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a" sheetId="1" r:id="rId1"/>
    <sheet name="Validation" sheetId="2" r:id="rId2"/>
    <sheet name="Data Dictionary" sheetId="3" r:id="rId3"/>
    <sheet name="metadata_schema" sheetId="4" state="hidden" r:id="rId4"/>
    <sheet name="metadata_form" sheetId="5" state="hidden" r:id="rId5"/>
    <sheet name="Instructions" sheetId="6" r:id="rId6"/>
  </sheets>
  <calcPr calcId="124519" fullCalcOnLoad="1"/>
</workbook>
</file>

<file path=xl/sharedStrings.xml><?xml version="1.0" encoding="utf-8"?>
<sst xmlns="http://schemas.openxmlformats.org/spreadsheetml/2006/main" count="102" uniqueCount="50">
  <si>
    <t>sample_id</t>
  </si>
  <si>
    <t>sample_name</t>
  </si>
  <si>
    <t>No more than 1000 samples can be entered in this worksheet.  If you need to submit metadata for &gt;1000 samples, please contact CMI directly.</t>
  </si>
  <si>
    <t>empo_1</t>
  </si>
  <si>
    <t>empo_2</t>
  </si>
  <si>
    <t>empo_3</t>
  </si>
  <si>
    <t>env_feature</t>
  </si>
  <si>
    <t>env_package</t>
  </si>
  <si>
    <t>host_age</t>
  </si>
  <si>
    <t>host_age_units</t>
  </si>
  <si>
    <t>host_common_name</t>
  </si>
  <si>
    <t>host_height</t>
  </si>
  <si>
    <t>host_height_units</t>
  </si>
  <si>
    <t>host_scientific_name</t>
  </si>
  <si>
    <t>host_taxid</t>
  </si>
  <si>
    <t>host_weight</t>
  </si>
  <si>
    <t>host_weight_units</t>
  </si>
  <si>
    <t>time_point</t>
  </si>
  <si>
    <t>time_point_units</t>
  </si>
  <si>
    <t>is_absent</t>
  </si>
  <si>
    <t>is_valid_row</t>
  </si>
  <si>
    <t>row_in_metadata</t>
  </si>
  <si>
    <t>row_order_weight</t>
  </si>
  <si>
    <t>row_rank</t>
  </si>
  <si>
    <t>is_valid_col</t>
  </si>
  <si>
    <t>col_in_metadata</t>
  </si>
  <si>
    <t>col_order_weight</t>
  </si>
  <si>
    <t>col_rank</t>
  </si>
  <si>
    <t>field name</t>
  </si>
  <si>
    <t>field description</t>
  </si>
  <si>
    <t>The value must be a string and must be unique and the value must contain only alphanumeric characters and/or periods.</t>
  </si>
  <si>
    <t>The value must be a string and must equal "Host-associated". The default value is Host-associated.</t>
  </si>
  <si>
    <t>The value must be a string and must equal "Animal" or must equal "Fungus" or must equal "Plant".</t>
  </si>
  <si>
    <t>The value must be a string and must equal "Plant secretion" or must equal "Plant rhizosphere" or must equal "Plant surface" or must equal "Plant corpus" or must equal "Fungus surface" or must equal "Fungus corpus" or must equal "Animal surface" or must equal "Animal proximal gut" or must equal "Animal corpus" or must equal "Animal distal gut" or must equal "Animal secretion".</t>
  </si>
  <si>
    <t>The value must be a string and must equal "not collected" or must equal "not provided" or must equal "restricted access" or the value must be a string and must equal "organism-associated habitat" or must equal "plant-associated habitat" or must equal "animal-associated habitat" or must equal "insecta-associated habitat" or must equal "mammalia-associated habitat" or must equal "human-associated habitat" or must equal "livestock-associated habitat".</t>
  </si>
  <si>
    <t>The value must be a string and must equal "host-associated". The default value is host-associated.</t>
  </si>
  <si>
    <t>Host age in appropriate units. The value must be a string and must equal "not collected" or must equal "not provided" or the value must be a number and &gt;0.</t>
  </si>
  <si>
    <t>The value must be a string and must equal "years". The default value is years.</t>
  </si>
  <si>
    <t>Common usage term for host e.g. human. The value must be a string.</t>
  </si>
  <si>
    <t>Height (or length) of host in cm preferred. The value must be a string and must equal "not collected" or must equal "not provided" or the value must be a number and &gt;0.</t>
  </si>
  <si>
    <t>The value must be a string and must equal "cm". The default value is cm.</t>
  </si>
  <si>
    <t>Host scientific name e.g. Homo sapiens. The value must be a string.</t>
  </si>
  <si>
    <t>Taxonomy id of host e.g. human is 9606. The value must be a string and must equal "not applicable" or must equal "not collected" or must equal "not provided" or the value must be a integer and &gt;0.</t>
  </si>
  <si>
    <t>In kilograms preferred. The value must be a string and must equal "not collected" or must equal "not provided" or the value must be a number and &gt;0.</t>
  </si>
  <si>
    <t>The value must be a string and must equal "kg". The default value is kg.</t>
  </si>
  <si>
    <t>A numeric ID to indicate order of linked samples. The value must be a string and must equal "not applicable" or must equal "not collected" or must equal "not provided" or must equal "restricted access" or the value must be a integer.</t>
  </si>
  <si>
    <t>The value must be a string and must equal "Not applicable". The default value is Not applicable.</t>
  </si>
  <si>
    <t xml:space="preserve">empo_1:
  allowed:
  - Host-associated
  default: Host-associated
  empty: false
  is_phi: false
  required: true
  type: string
empo_2:
  allowed:
  - Animal
  - Fungus
  - Plant
  empty: false
  is_phi: false
  required: true
  type: string
empo_3:
  allowed:
  - Plant secretion
  - Plant rhizosphere
  - Plant surface
  - Plant corpus
  - Fungus surface
  - Fungus corpus
  - Animal surface
  - Animal proximal gut
  - Animal corpus
  - Animal distal gut
  - Animal secretion
  empty: false
  is_phi: false
  required: true
  type: string
env_feature:
  anyof:
  - allowed:
    - not collected
    - not provided
    - restricted access
    type: string
  - allowed:
    - organism-associated habitat
    - plant-associated habitat
    - animal-associated habitat
    - insecta-associated habitat
    - mammalia-associated habitat
    - human-associated habitat
    - livestock-associated habitat
    type: string
  empty: false
  is_phi: false
  required: true
env_package:
  allowed:
  - host-associated
  default: host-associated
  empty: false
  is_phi: false
  required: true
  type: string
host_age:
  anyof:
  - allowed:
    - not collected
    - not provided
    type: string
  - min_exclusive: '0'
    type: number
  empty: false
  field_desc: Host age in appropriate units
  is_phi: false
  required: true
  units: host_age_units
host_age_units:
  allowed:
  - years
  default: years
  empty: false
  is_phi: false
  required: true
  type: string
host_common_name:
  empty: false
  field_desc: common usage term for host e.g. human
  is_phi: false
  required: true
  type: string
host_height:
  anyof:
  - allowed:
    - not collected
    - not provided
    type: string
  - min_exclusive: '0'
    type: number
  empty: false
  field_desc: Height (or length) of host in cm preferred
  is_phi: false
  required: true
  units: host_height_units
host_height_units:
  allowed:
  - cm
  default: cm
  empty: false
  is_phi: false
  required: true
  type: string
host_scientific_name:
  empty: false
  field_desc: host scientific name e.g. Homo sapiens
  is_phi: false
  required: true
  type: string
host_taxid:
  anyof:
  - allowed:
    - not applicable
    - not collected
    - not provided
    type: string
  - min_exclusive: '0'
    type: integer
  empty: false
  field_desc: taxonomy id of host e.g. human is 9606
  is_phi: false
  required: true
host_weight:
  anyof:
  - allowed:
    - not collected
    - not provided
    type: string
  - min_exclusive: '0'
    type: number
  empty: false
  field_desc: in kilograms preferred
  is_phi: false
  required: true
  units: host_weight_units
host_weight_units:
  allowed:
  - kg
  default: kg
  empty: false
  is_phi: false
  required: true
  type: string
sample_name:
  empty: false
  is_phi: false
  regex: ^[a-zA-Z0-9\.]+$
  required: true
  type: string
  unique: true
time_point:
  anyof:
  - allowed:
    - not applicable
    - not collected
    - not provided
    - restricted access
    type: string
  - type: integer
  empty: false
  field_desc: A numeric ID to indicate order of linked samples
  is_phi: false
  required: true
  units: time_point_units
time_point_units:
  allowed:
  - Not applicable
  default: Not applicable
  empty: false
  is_phi: false
  required: true
  type: string
</t>
  </si>
  <si>
    <t xml:space="preserve">0:
  default_value: no_default
  field_desc: common usage term for host e.g. human
  field_name: host_common_name
  field_type: string
1:
  default_value: no_default
  field_desc: host scientific name e.g. Homo sapiens
  field_name: host_scientific_name
  field_type: string
2:
  allowed_missing_vals[]:
  - ebi_not_applicable
  - ebi_not_collected
  - ebi_not_provided
  data_type: integer
  default_value: no_default
  field_desc: taxonomy id of host e.g. human is 9606
  field_name: host_taxid
  field_type: continuous
  is_unitless: 'True'
  maximum_comparison: no_comparison
  minimum_comparison: min_exclusive
  minimum_value: '0'
3:
  allowed_missing_vals[]:
  - ebi_not_applicable
  - ebi_not_collected
  - ebi_not_provided
  - ebi_restricted
  data_type: integer
  default_value: no_default
  field_desc: A numeric ID to indicate order of linked samples
  field_name: time_point
  field_type: continuous
  maximum_comparison: no_comparison
  minimum_comparison: no_comparison
  units: Not applicable
4:
  categorical_default_select: Host-associated
  categorical_values: Host-associated
  default_value: categorical_default
  field_name: empo_1
  field_type: categorical
5:
  categorical_values: "Animal\r\nFungus\r\nPlant"
  default_value: no_default
  field_name: empo_2
  field_type: categorical
6:
  categorical_values: "Plant secretion\r\nPlant rhizosphere\r\nPlant surface\r\nPlant\
    \ corpus\r\nFungus surface\r\nFungus corpus\r\nAnimal surface\r\nAnimal proximal\
    \ gut\r\nAnimal corpus\r\nAnimal distal gut\r\nAnimal secretion"
  default_value: no_default
  field_name: empo_3
  field_type: categorical
7:
  allowed_missing_vals[]:
  - ebi_not_collected
  - ebi_not_provided
  - ebi_restricted
  categorical_values: "organism-associated habitat\r\nplant-associated habitat\r\n\
    animal-associated habitat\r\ninsecta-associated habitat\r\nmammalia-associated\
    \ habitat\r\nhuman-associated habitat\r\nlivestock-associated habitat"
  default_value: no_default
  field_name: env_feature
  field_type: categorical
8:
  categorical_default_select: host-associated
  categorical_values: host-associated
  default_value: categorical_default
  field_name: env_package
  field_type: categorical
9:
  allowed_missing_vals[]:
  - ebi_not_collected
  - ebi_not_provided
  data_type: number
  default_value: no_default
  field_desc: Host age in appropriate units
  field_name: host_age
  field_type: continuous
  maximum_comparison: no_comparison
  minimum_comparison: min_exclusive
  minimum_value: '0'
  units: years
10:
  allowed_missing_vals[]:
  - ebi_not_collected
  - ebi_not_provided
  data_type: number
  default_value: no_default
  field_desc: Height (or length) of host in cm preferred
  field_name: host_height
  field_type: continuous
  maximum_comparison: no_comparison
  minimum_comparison: min_exclusive
  minimum_value: '0'
  units: cm
11:
  allowed_missing_vals[]:
  - ebi_not_collected
  - ebi_not_provided
  data_type: number
  default_value: no_default
  field_desc: in kilograms preferred
  field_name: host_weight
  field_type: continuous
  maximum_comparison: no_comparison
  minimum_comparison: min_exclusive
  minimum_value: '0'
  units: kg
</t>
  </si>
  <si>
    <t>This file was created by QIIMP v0.3 at 2018-09-10 00:27:04.</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</si>
</sst>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11"/>
      <color theme="1"/>
      <name val="Cambria"/>
      <family val="2"/>
    </font>
    <font>
      <b/>
      <sz val="11"/>
      <color theme="1"/>
      <name val="Cambria"/>
      <family val="2"/>
    </font>
    <font>
      <u/>
      <sz val="11"/>
      <color rgb="FF0000FF"/>
      <name val="Cambria"/>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64" fontId="1" fillId="0" borderId="0" xfId="0" applyNumberFormat="1" applyFont="1" applyProtection="1">
      <protection locked="0" hidden="1"/>
    </xf>
    <xf numFmtId="0" fontId="1" fillId="0" borderId="0" xfId="0" applyFont="1" applyProtection="1">
      <protection locked="0" hidden="1"/>
    </xf>
    <xf numFmtId="0" fontId="2" fillId="0" borderId="0" xfId="0" applyFont="1" applyAlignment="1" applyProtection="1">
      <alignment wrapText="1"/>
      <protection hidden="1"/>
    </xf>
    <xf numFmtId="0" fontId="3" fillId="0" borderId="0" xfId="0" applyFont="1" applyProtection="1">
      <protection hidden="1"/>
    </xf>
    <xf numFmtId="0" fontId="1" fillId="0" borderId="0" xfId="0" applyFont="1" applyAlignment="1" applyProtection="1">
      <alignment horizontal="center"/>
      <protection hidden="1"/>
    </xf>
    <xf numFmtId="0" fontId="0" fillId="0" borderId="0" xfId="0" applyAlignment="1">
      <alignment horizontal="left" vertical="top" wrapText="1"/>
    </xf>
  </cellXfs>
  <cellStyles count="1">
    <cellStyle name="Normal" xfId="0" builtinId="0"/>
  </cellStyles>
  <dxfs count="2">
    <dxf>
      <font>
        <color rgb="FFC6EFCE"/>
      </font>
      <fill>
        <patternFill>
          <bgColor rgb="FFC6EFCE"/>
        </patternFill>
      </fill>
    </dxf>
    <dxf>
      <font>
        <u/>
        <color rgb="FF9C0006"/>
      </font>
      <fill>
        <patternFill>
          <bgColor rgb="FFFFC7CE"/>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002"/>
  <sheetViews>
    <sheetView tabSelected="1" workbookViewId="0">
      <pane xSplit="2" ySplit="1" topLeftCell="C2" activePane="bottomRight" state="frozen"/>
      <selection pane="topRight" activeCell="C1" sqref="C1"/>
      <selection pane="bottomLeft" activeCell="A2" sqref="A2"/>
      <selection pane="bottomRight"/>
    </sheetView>
  </sheetViews>
  <sheetFormatPr defaultRowHeight="15" zeroHeight="1"/>
  <cols>
    <col min="1" max="1" width="0" hidden="1" customWidth="1"/>
    <col min="2" max="2" width="25.7109375" style="1" customWidth="1"/>
    <col min="3" max="3" width="25.7109375" style="1" customWidth="1"/>
    <col min="4" max="4" width="25.7109375" style="1" customWidth="1"/>
    <col min="5" max="5" width="25.7109375" style="1" customWidth="1"/>
    <col min="6" max="6" width="25.7109375" style="1" customWidth="1"/>
    <col min="7" max="7" width="25.7109375" style="1" customWidth="1"/>
    <col min="8" max="8" width="25.7109375" style="2" customWidth="1"/>
    <col min="9" max="9" width="25.7109375" style="1" customWidth="1"/>
    <col min="10" max="10" width="25.7109375" style="1" customWidth="1"/>
    <col min="11" max="11" width="25.7109375" style="2" customWidth="1"/>
    <col min="12" max="12" width="25.7109375" style="1" customWidth="1"/>
    <col min="13" max="13" width="25.7109375" style="1" customWidth="1"/>
    <col min="14" max="14" width="25.7109375" style="2" customWidth="1"/>
    <col min="15" max="15" width="25.7109375" style="2" customWidth="1"/>
    <col min="16" max="16" width="25.7109375" style="1" customWidth="1"/>
    <col min="17" max="17" width="25.7109375" style="2" customWidth="1"/>
    <col min="18" max="18" width="25.7109375" style="1" customWidth="1"/>
  </cols>
  <sheetData>
    <row r="1" spans="1:18">
      <c r="A1" s="3" t="s">
        <v>0</v>
      </c>
      <c r="B1" s="3" t="s">
        <v>1</v>
      </c>
      <c r="C1" s="3" t="s">
        <v>3</v>
      </c>
      <c r="D1" s="3" t="s">
        <v>4</v>
      </c>
      <c r="E1" s="3" t="s">
        <v>5</v>
      </c>
      <c r="F1" s="3" t="s">
        <v>6</v>
      </c>
      <c r="G1" s="3" t="s">
        <v>7</v>
      </c>
      <c r="H1" s="3" t="s">
        <v>8</v>
      </c>
      <c r="I1" s="3" t="s">
        <v>9</v>
      </c>
      <c r="J1" s="3" t="s">
        <v>10</v>
      </c>
      <c r="K1" s="3" t="s">
        <v>11</v>
      </c>
      <c r="L1" s="3" t="s">
        <v>12</v>
      </c>
      <c r="M1" s="3" t="s">
        <v>13</v>
      </c>
      <c r="N1" s="3" t="s">
        <v>14</v>
      </c>
      <c r="O1" s="3" t="s">
        <v>15</v>
      </c>
      <c r="P1" s="3" t="s">
        <v>16</v>
      </c>
      <c r="Q1" s="3" t="s">
        <v>17</v>
      </c>
      <c r="R1" s="3" t="s">
        <v>18</v>
      </c>
    </row>
    <row r="2" spans="1:18">
      <c r="A2">
        <f>IF(COUNTBLANK(B2:R2)&lt;&gt;COLUMNS(B2:R2),1,"")</f>
        <v>0</v>
      </c>
      <c r="C2" s="1">
        <f>IF(B2="", "", "Host-associated")</f>
        <v>0</v>
      </c>
      <c r="G2" s="1">
        <f>IF(B2="", "", "host-associated")</f>
        <v>0</v>
      </c>
      <c r="I2" s="1">
        <f>IF(B2="", "", "years")</f>
        <v>0</v>
      </c>
      <c r="L2" s="1">
        <f>IF(B2="", "", "cm")</f>
        <v>0</v>
      </c>
      <c r="P2" s="1">
        <f>IF(B2="", "", "kg")</f>
        <v>0</v>
      </c>
      <c r="R2" s="1">
        <f>IF(B2="", "", "Not applicable")</f>
        <v>0</v>
      </c>
    </row>
    <row r="3" spans="1:18">
      <c r="A3">
        <f>IF(COUNTBLANK(B3:R3)&lt;&gt;COLUMNS(B3:R3),2,"")</f>
        <v>0</v>
      </c>
      <c r="C3" s="1">
        <f>IF(B3="", "", "Host-associated")</f>
        <v>0</v>
      </c>
      <c r="G3" s="1">
        <f>IF(B3="", "", "host-associated")</f>
        <v>0</v>
      </c>
      <c r="I3" s="1">
        <f>IF(B3="", "", "years")</f>
        <v>0</v>
      </c>
      <c r="L3" s="1">
        <f>IF(B3="", "", "cm")</f>
        <v>0</v>
      </c>
      <c r="P3" s="1">
        <f>IF(B3="", "", "kg")</f>
        <v>0</v>
      </c>
      <c r="R3" s="1">
        <f>IF(B3="", "", "Not applicable")</f>
        <v>0</v>
      </c>
    </row>
    <row r="4" spans="1:18">
      <c r="A4">
        <f>IF(COUNTBLANK(B4:R4)&lt;&gt;COLUMNS(B4:R4),3,"")</f>
        <v>0</v>
      </c>
      <c r="C4" s="1">
        <f>IF(B4="", "", "Host-associated")</f>
        <v>0</v>
      </c>
      <c r="G4" s="1">
        <f>IF(B4="", "", "host-associated")</f>
        <v>0</v>
      </c>
      <c r="I4" s="1">
        <f>IF(B4="", "", "years")</f>
        <v>0</v>
      </c>
      <c r="L4" s="1">
        <f>IF(B4="", "", "cm")</f>
        <v>0</v>
      </c>
      <c r="P4" s="1">
        <f>IF(B4="", "", "kg")</f>
        <v>0</v>
      </c>
      <c r="R4" s="1">
        <f>IF(B4="", "", "Not applicable")</f>
        <v>0</v>
      </c>
    </row>
    <row r="5" spans="1:18">
      <c r="A5">
        <f>IF(COUNTBLANK(B5:R5)&lt;&gt;COLUMNS(B5:R5),4,"")</f>
        <v>0</v>
      </c>
      <c r="C5" s="1">
        <f>IF(B5="", "", "Host-associated")</f>
        <v>0</v>
      </c>
      <c r="G5" s="1">
        <f>IF(B5="", "", "host-associated")</f>
        <v>0</v>
      </c>
      <c r="I5" s="1">
        <f>IF(B5="", "", "years")</f>
        <v>0</v>
      </c>
      <c r="L5" s="1">
        <f>IF(B5="", "", "cm")</f>
        <v>0</v>
      </c>
      <c r="P5" s="1">
        <f>IF(B5="", "", "kg")</f>
        <v>0</v>
      </c>
      <c r="R5" s="1">
        <f>IF(B5="", "", "Not applicable")</f>
        <v>0</v>
      </c>
    </row>
    <row r="6" spans="1:18">
      <c r="A6">
        <f>IF(COUNTBLANK(B6:R6)&lt;&gt;COLUMNS(B6:R6),5,"")</f>
        <v>0</v>
      </c>
      <c r="C6" s="1">
        <f>IF(B6="", "", "Host-associated")</f>
        <v>0</v>
      </c>
      <c r="G6" s="1">
        <f>IF(B6="", "", "host-associated")</f>
        <v>0</v>
      </c>
      <c r="I6" s="1">
        <f>IF(B6="", "", "years")</f>
        <v>0</v>
      </c>
      <c r="L6" s="1">
        <f>IF(B6="", "", "cm")</f>
        <v>0</v>
      </c>
      <c r="P6" s="1">
        <f>IF(B6="", "", "kg")</f>
        <v>0</v>
      </c>
      <c r="R6" s="1">
        <f>IF(B6="", "", "Not applicable")</f>
        <v>0</v>
      </c>
    </row>
    <row r="7" spans="1:18">
      <c r="A7">
        <f>IF(COUNTBLANK(B7:R7)&lt;&gt;COLUMNS(B7:R7),6,"")</f>
        <v>0</v>
      </c>
      <c r="C7" s="1">
        <f>IF(B7="", "", "Host-associated")</f>
        <v>0</v>
      </c>
      <c r="G7" s="1">
        <f>IF(B7="", "", "host-associated")</f>
        <v>0</v>
      </c>
      <c r="I7" s="1">
        <f>IF(B7="", "", "years")</f>
        <v>0</v>
      </c>
      <c r="L7" s="1">
        <f>IF(B7="", "", "cm")</f>
        <v>0</v>
      </c>
      <c r="P7" s="1">
        <f>IF(B7="", "", "kg")</f>
        <v>0</v>
      </c>
      <c r="R7" s="1">
        <f>IF(B7="", "", "Not applicable")</f>
        <v>0</v>
      </c>
    </row>
    <row r="8" spans="1:18">
      <c r="A8">
        <f>IF(COUNTBLANK(B8:R8)&lt;&gt;COLUMNS(B8:R8),7,"")</f>
        <v>0</v>
      </c>
      <c r="C8" s="1">
        <f>IF(B8="", "", "Host-associated")</f>
        <v>0</v>
      </c>
      <c r="G8" s="1">
        <f>IF(B8="", "", "host-associated")</f>
        <v>0</v>
      </c>
      <c r="I8" s="1">
        <f>IF(B8="", "", "years")</f>
        <v>0</v>
      </c>
      <c r="L8" s="1">
        <f>IF(B8="", "", "cm")</f>
        <v>0</v>
      </c>
      <c r="P8" s="1">
        <f>IF(B8="", "", "kg")</f>
        <v>0</v>
      </c>
      <c r="R8" s="1">
        <f>IF(B8="", "", "Not applicable")</f>
        <v>0</v>
      </c>
    </row>
    <row r="9" spans="1:18">
      <c r="A9">
        <f>IF(COUNTBLANK(B9:R9)&lt;&gt;COLUMNS(B9:R9),8,"")</f>
        <v>0</v>
      </c>
      <c r="C9" s="1">
        <f>IF(B9="", "", "Host-associated")</f>
        <v>0</v>
      </c>
      <c r="G9" s="1">
        <f>IF(B9="", "", "host-associated")</f>
        <v>0</v>
      </c>
      <c r="I9" s="1">
        <f>IF(B9="", "", "years")</f>
        <v>0</v>
      </c>
      <c r="L9" s="1">
        <f>IF(B9="", "", "cm")</f>
        <v>0</v>
      </c>
      <c r="P9" s="1">
        <f>IF(B9="", "", "kg")</f>
        <v>0</v>
      </c>
      <c r="R9" s="1">
        <f>IF(B9="", "", "Not applicable")</f>
        <v>0</v>
      </c>
    </row>
    <row r="10" spans="1:18">
      <c r="A10">
        <f>IF(COUNTBLANK(B10:R10)&lt;&gt;COLUMNS(B10:R10),9,"")</f>
        <v>0</v>
      </c>
      <c r="C10" s="1">
        <f>IF(B10="", "", "Host-associated")</f>
        <v>0</v>
      </c>
      <c r="G10" s="1">
        <f>IF(B10="", "", "host-associated")</f>
        <v>0</v>
      </c>
      <c r="I10" s="1">
        <f>IF(B10="", "", "years")</f>
        <v>0</v>
      </c>
      <c r="L10" s="1">
        <f>IF(B10="", "", "cm")</f>
        <v>0</v>
      </c>
      <c r="P10" s="1">
        <f>IF(B10="", "", "kg")</f>
        <v>0</v>
      </c>
      <c r="R10" s="1">
        <f>IF(B10="", "", "Not applicable")</f>
        <v>0</v>
      </c>
    </row>
    <row r="11" spans="1:18">
      <c r="A11">
        <f>IF(COUNTBLANK(B11:R11)&lt;&gt;COLUMNS(B11:R11),10,"")</f>
        <v>0</v>
      </c>
      <c r="C11" s="1">
        <f>IF(B11="", "", "Host-associated")</f>
        <v>0</v>
      </c>
      <c r="G11" s="1">
        <f>IF(B11="", "", "host-associated")</f>
        <v>0</v>
      </c>
      <c r="I11" s="1">
        <f>IF(B11="", "", "years")</f>
        <v>0</v>
      </c>
      <c r="L11" s="1">
        <f>IF(B11="", "", "cm")</f>
        <v>0</v>
      </c>
      <c r="P11" s="1">
        <f>IF(B11="", "", "kg")</f>
        <v>0</v>
      </c>
      <c r="R11" s="1">
        <f>IF(B11="", "", "Not applicable")</f>
        <v>0</v>
      </c>
    </row>
    <row r="12" spans="1:18">
      <c r="A12">
        <f>IF(COUNTBLANK(B12:R12)&lt;&gt;COLUMNS(B12:R12),11,"")</f>
        <v>0</v>
      </c>
      <c r="C12" s="1">
        <f>IF(B12="", "", "Host-associated")</f>
        <v>0</v>
      </c>
      <c r="G12" s="1">
        <f>IF(B12="", "", "host-associated")</f>
        <v>0</v>
      </c>
      <c r="I12" s="1">
        <f>IF(B12="", "", "years")</f>
        <v>0</v>
      </c>
      <c r="L12" s="1">
        <f>IF(B12="", "", "cm")</f>
        <v>0</v>
      </c>
      <c r="P12" s="1">
        <f>IF(B12="", "", "kg")</f>
        <v>0</v>
      </c>
      <c r="R12" s="1">
        <f>IF(B12="", "", "Not applicable")</f>
        <v>0</v>
      </c>
    </row>
    <row r="13" spans="1:18">
      <c r="A13">
        <f>IF(COUNTBLANK(B13:R13)&lt;&gt;COLUMNS(B13:R13),12,"")</f>
        <v>0</v>
      </c>
      <c r="C13" s="1">
        <f>IF(B13="", "", "Host-associated")</f>
        <v>0</v>
      </c>
      <c r="G13" s="1">
        <f>IF(B13="", "", "host-associated")</f>
        <v>0</v>
      </c>
      <c r="I13" s="1">
        <f>IF(B13="", "", "years")</f>
        <v>0</v>
      </c>
      <c r="L13" s="1">
        <f>IF(B13="", "", "cm")</f>
        <v>0</v>
      </c>
      <c r="P13" s="1">
        <f>IF(B13="", "", "kg")</f>
        <v>0</v>
      </c>
      <c r="R13" s="1">
        <f>IF(B13="", "", "Not applicable")</f>
        <v>0</v>
      </c>
    </row>
    <row r="14" spans="1:18">
      <c r="A14">
        <f>IF(COUNTBLANK(B14:R14)&lt;&gt;COLUMNS(B14:R14),13,"")</f>
        <v>0</v>
      </c>
      <c r="C14" s="1">
        <f>IF(B14="", "", "Host-associated")</f>
        <v>0</v>
      </c>
      <c r="G14" s="1">
        <f>IF(B14="", "", "host-associated")</f>
        <v>0</v>
      </c>
      <c r="I14" s="1">
        <f>IF(B14="", "", "years")</f>
        <v>0</v>
      </c>
      <c r="L14" s="1">
        <f>IF(B14="", "", "cm")</f>
        <v>0</v>
      </c>
      <c r="P14" s="1">
        <f>IF(B14="", "", "kg")</f>
        <v>0</v>
      </c>
      <c r="R14" s="1">
        <f>IF(B14="", "", "Not applicable")</f>
        <v>0</v>
      </c>
    </row>
    <row r="15" spans="1:18">
      <c r="A15">
        <f>IF(COUNTBLANK(B15:R15)&lt;&gt;COLUMNS(B15:R15),14,"")</f>
        <v>0</v>
      </c>
      <c r="C15" s="1">
        <f>IF(B15="", "", "Host-associated")</f>
        <v>0</v>
      </c>
      <c r="G15" s="1">
        <f>IF(B15="", "", "host-associated")</f>
        <v>0</v>
      </c>
      <c r="I15" s="1">
        <f>IF(B15="", "", "years")</f>
        <v>0</v>
      </c>
      <c r="L15" s="1">
        <f>IF(B15="", "", "cm")</f>
        <v>0</v>
      </c>
      <c r="P15" s="1">
        <f>IF(B15="", "", "kg")</f>
        <v>0</v>
      </c>
      <c r="R15" s="1">
        <f>IF(B15="", "", "Not applicable")</f>
        <v>0</v>
      </c>
    </row>
    <row r="16" spans="1:18">
      <c r="A16">
        <f>IF(COUNTBLANK(B16:R16)&lt;&gt;COLUMNS(B16:R16),15,"")</f>
        <v>0</v>
      </c>
      <c r="C16" s="1">
        <f>IF(B16="", "", "Host-associated")</f>
        <v>0</v>
      </c>
      <c r="G16" s="1">
        <f>IF(B16="", "", "host-associated")</f>
        <v>0</v>
      </c>
      <c r="I16" s="1">
        <f>IF(B16="", "", "years")</f>
        <v>0</v>
      </c>
      <c r="L16" s="1">
        <f>IF(B16="", "", "cm")</f>
        <v>0</v>
      </c>
      <c r="P16" s="1">
        <f>IF(B16="", "", "kg")</f>
        <v>0</v>
      </c>
      <c r="R16" s="1">
        <f>IF(B16="", "", "Not applicable")</f>
        <v>0</v>
      </c>
    </row>
    <row r="17" spans="1:18">
      <c r="A17">
        <f>IF(COUNTBLANK(B17:R17)&lt;&gt;COLUMNS(B17:R17),16,"")</f>
        <v>0</v>
      </c>
      <c r="C17" s="1">
        <f>IF(B17="", "", "Host-associated")</f>
        <v>0</v>
      </c>
      <c r="G17" s="1">
        <f>IF(B17="", "", "host-associated")</f>
        <v>0</v>
      </c>
      <c r="I17" s="1">
        <f>IF(B17="", "", "years")</f>
        <v>0</v>
      </c>
      <c r="L17" s="1">
        <f>IF(B17="", "", "cm")</f>
        <v>0</v>
      </c>
      <c r="P17" s="1">
        <f>IF(B17="", "", "kg")</f>
        <v>0</v>
      </c>
      <c r="R17" s="1">
        <f>IF(B17="", "", "Not applicable")</f>
        <v>0</v>
      </c>
    </row>
    <row r="18" spans="1:18">
      <c r="A18">
        <f>IF(COUNTBLANK(B18:R18)&lt;&gt;COLUMNS(B18:R18),17,"")</f>
        <v>0</v>
      </c>
      <c r="C18" s="1">
        <f>IF(B18="", "", "Host-associated")</f>
        <v>0</v>
      </c>
      <c r="G18" s="1">
        <f>IF(B18="", "", "host-associated")</f>
        <v>0</v>
      </c>
      <c r="I18" s="1">
        <f>IF(B18="", "", "years")</f>
        <v>0</v>
      </c>
      <c r="L18" s="1">
        <f>IF(B18="", "", "cm")</f>
        <v>0</v>
      </c>
      <c r="P18" s="1">
        <f>IF(B18="", "", "kg")</f>
        <v>0</v>
      </c>
      <c r="R18" s="1">
        <f>IF(B18="", "", "Not applicable")</f>
        <v>0</v>
      </c>
    </row>
    <row r="19" spans="1:18">
      <c r="A19">
        <f>IF(COUNTBLANK(B19:R19)&lt;&gt;COLUMNS(B19:R19),18,"")</f>
        <v>0</v>
      </c>
      <c r="C19" s="1">
        <f>IF(B19="", "", "Host-associated")</f>
        <v>0</v>
      </c>
      <c r="G19" s="1">
        <f>IF(B19="", "", "host-associated")</f>
        <v>0</v>
      </c>
      <c r="I19" s="1">
        <f>IF(B19="", "", "years")</f>
        <v>0</v>
      </c>
      <c r="L19" s="1">
        <f>IF(B19="", "", "cm")</f>
        <v>0</v>
      </c>
      <c r="P19" s="1">
        <f>IF(B19="", "", "kg")</f>
        <v>0</v>
      </c>
      <c r="R19" s="1">
        <f>IF(B19="", "", "Not applicable")</f>
        <v>0</v>
      </c>
    </row>
    <row r="20" spans="1:18">
      <c r="A20">
        <f>IF(COUNTBLANK(B20:R20)&lt;&gt;COLUMNS(B20:R20),19,"")</f>
        <v>0</v>
      </c>
      <c r="C20" s="1">
        <f>IF(B20="", "", "Host-associated")</f>
        <v>0</v>
      </c>
      <c r="G20" s="1">
        <f>IF(B20="", "", "host-associated")</f>
        <v>0</v>
      </c>
      <c r="I20" s="1">
        <f>IF(B20="", "", "years")</f>
        <v>0</v>
      </c>
      <c r="L20" s="1">
        <f>IF(B20="", "", "cm")</f>
        <v>0</v>
      </c>
      <c r="P20" s="1">
        <f>IF(B20="", "", "kg")</f>
        <v>0</v>
      </c>
      <c r="R20" s="1">
        <f>IF(B20="", "", "Not applicable")</f>
        <v>0</v>
      </c>
    </row>
    <row r="21" spans="1:18">
      <c r="A21">
        <f>IF(COUNTBLANK(B21:R21)&lt;&gt;COLUMNS(B21:R21),20,"")</f>
        <v>0</v>
      </c>
      <c r="C21" s="1">
        <f>IF(B21="", "", "Host-associated")</f>
        <v>0</v>
      </c>
      <c r="G21" s="1">
        <f>IF(B21="", "", "host-associated")</f>
        <v>0</v>
      </c>
      <c r="I21" s="1">
        <f>IF(B21="", "", "years")</f>
        <v>0</v>
      </c>
      <c r="L21" s="1">
        <f>IF(B21="", "", "cm")</f>
        <v>0</v>
      </c>
      <c r="P21" s="1">
        <f>IF(B21="", "", "kg")</f>
        <v>0</v>
      </c>
      <c r="R21" s="1">
        <f>IF(B21="", "", "Not applicable")</f>
        <v>0</v>
      </c>
    </row>
    <row r="22" spans="1:18">
      <c r="A22">
        <f>IF(COUNTBLANK(B22:R22)&lt;&gt;COLUMNS(B22:R22),21,"")</f>
        <v>0</v>
      </c>
      <c r="C22" s="1">
        <f>IF(B22="", "", "Host-associated")</f>
        <v>0</v>
      </c>
      <c r="G22" s="1">
        <f>IF(B22="", "", "host-associated")</f>
        <v>0</v>
      </c>
      <c r="I22" s="1">
        <f>IF(B22="", "", "years")</f>
        <v>0</v>
      </c>
      <c r="L22" s="1">
        <f>IF(B22="", "", "cm")</f>
        <v>0</v>
      </c>
      <c r="P22" s="1">
        <f>IF(B22="", "", "kg")</f>
        <v>0</v>
      </c>
      <c r="R22" s="1">
        <f>IF(B22="", "", "Not applicable")</f>
        <v>0</v>
      </c>
    </row>
    <row r="23" spans="1:18">
      <c r="A23">
        <f>IF(COUNTBLANK(B23:R23)&lt;&gt;COLUMNS(B23:R23),22,"")</f>
        <v>0</v>
      </c>
      <c r="C23" s="1">
        <f>IF(B23="", "", "Host-associated")</f>
        <v>0</v>
      </c>
      <c r="G23" s="1">
        <f>IF(B23="", "", "host-associated")</f>
        <v>0</v>
      </c>
      <c r="I23" s="1">
        <f>IF(B23="", "", "years")</f>
        <v>0</v>
      </c>
      <c r="L23" s="1">
        <f>IF(B23="", "", "cm")</f>
        <v>0</v>
      </c>
      <c r="P23" s="1">
        <f>IF(B23="", "", "kg")</f>
        <v>0</v>
      </c>
      <c r="R23" s="1">
        <f>IF(B23="", "", "Not applicable")</f>
        <v>0</v>
      </c>
    </row>
    <row r="24" spans="1:18">
      <c r="A24">
        <f>IF(COUNTBLANK(B24:R24)&lt;&gt;COLUMNS(B24:R24),23,"")</f>
        <v>0</v>
      </c>
      <c r="C24" s="1">
        <f>IF(B24="", "", "Host-associated")</f>
        <v>0</v>
      </c>
      <c r="G24" s="1">
        <f>IF(B24="", "", "host-associated")</f>
        <v>0</v>
      </c>
      <c r="I24" s="1">
        <f>IF(B24="", "", "years")</f>
        <v>0</v>
      </c>
      <c r="L24" s="1">
        <f>IF(B24="", "", "cm")</f>
        <v>0</v>
      </c>
      <c r="P24" s="1">
        <f>IF(B24="", "", "kg")</f>
        <v>0</v>
      </c>
      <c r="R24" s="1">
        <f>IF(B24="", "", "Not applicable")</f>
        <v>0</v>
      </c>
    </row>
    <row r="25" spans="1:18">
      <c r="A25">
        <f>IF(COUNTBLANK(B25:R25)&lt;&gt;COLUMNS(B25:R25),24,"")</f>
        <v>0</v>
      </c>
      <c r="C25" s="1">
        <f>IF(B25="", "", "Host-associated")</f>
        <v>0</v>
      </c>
      <c r="G25" s="1">
        <f>IF(B25="", "", "host-associated")</f>
        <v>0</v>
      </c>
      <c r="I25" s="1">
        <f>IF(B25="", "", "years")</f>
        <v>0</v>
      </c>
      <c r="L25" s="1">
        <f>IF(B25="", "", "cm")</f>
        <v>0</v>
      </c>
      <c r="P25" s="1">
        <f>IF(B25="", "", "kg")</f>
        <v>0</v>
      </c>
      <c r="R25" s="1">
        <f>IF(B25="", "", "Not applicable")</f>
        <v>0</v>
      </c>
    </row>
    <row r="26" spans="1:18">
      <c r="A26">
        <f>IF(COUNTBLANK(B26:R26)&lt;&gt;COLUMNS(B26:R26),25,"")</f>
        <v>0</v>
      </c>
      <c r="C26" s="1">
        <f>IF(B26="", "", "Host-associated")</f>
        <v>0</v>
      </c>
      <c r="G26" s="1">
        <f>IF(B26="", "", "host-associated")</f>
        <v>0</v>
      </c>
      <c r="I26" s="1">
        <f>IF(B26="", "", "years")</f>
        <v>0</v>
      </c>
      <c r="L26" s="1">
        <f>IF(B26="", "", "cm")</f>
        <v>0</v>
      </c>
      <c r="P26" s="1">
        <f>IF(B26="", "", "kg")</f>
        <v>0</v>
      </c>
      <c r="R26" s="1">
        <f>IF(B26="", "", "Not applicable")</f>
        <v>0</v>
      </c>
    </row>
    <row r="27" spans="1:18">
      <c r="A27">
        <f>IF(COUNTBLANK(B27:R27)&lt;&gt;COLUMNS(B27:R27),26,"")</f>
        <v>0</v>
      </c>
      <c r="C27" s="1">
        <f>IF(B27="", "", "Host-associated")</f>
        <v>0</v>
      </c>
      <c r="G27" s="1">
        <f>IF(B27="", "", "host-associated")</f>
        <v>0</v>
      </c>
      <c r="I27" s="1">
        <f>IF(B27="", "", "years")</f>
        <v>0</v>
      </c>
      <c r="L27" s="1">
        <f>IF(B27="", "", "cm")</f>
        <v>0</v>
      </c>
      <c r="P27" s="1">
        <f>IF(B27="", "", "kg")</f>
        <v>0</v>
      </c>
      <c r="R27" s="1">
        <f>IF(B27="", "", "Not applicable")</f>
        <v>0</v>
      </c>
    </row>
    <row r="28" spans="1:18">
      <c r="A28">
        <f>IF(COUNTBLANK(B28:R28)&lt;&gt;COLUMNS(B28:R28),27,"")</f>
        <v>0</v>
      </c>
      <c r="C28" s="1">
        <f>IF(B28="", "", "Host-associated")</f>
        <v>0</v>
      </c>
      <c r="G28" s="1">
        <f>IF(B28="", "", "host-associated")</f>
        <v>0</v>
      </c>
      <c r="I28" s="1">
        <f>IF(B28="", "", "years")</f>
        <v>0</v>
      </c>
      <c r="L28" s="1">
        <f>IF(B28="", "", "cm")</f>
        <v>0</v>
      </c>
      <c r="P28" s="1">
        <f>IF(B28="", "", "kg")</f>
        <v>0</v>
      </c>
      <c r="R28" s="1">
        <f>IF(B28="", "", "Not applicable")</f>
        <v>0</v>
      </c>
    </row>
    <row r="29" spans="1:18">
      <c r="A29">
        <f>IF(COUNTBLANK(B29:R29)&lt;&gt;COLUMNS(B29:R29),28,"")</f>
        <v>0</v>
      </c>
      <c r="C29" s="1">
        <f>IF(B29="", "", "Host-associated")</f>
        <v>0</v>
      </c>
      <c r="G29" s="1">
        <f>IF(B29="", "", "host-associated")</f>
        <v>0</v>
      </c>
      <c r="I29" s="1">
        <f>IF(B29="", "", "years")</f>
        <v>0</v>
      </c>
      <c r="L29" s="1">
        <f>IF(B29="", "", "cm")</f>
        <v>0</v>
      </c>
      <c r="P29" s="1">
        <f>IF(B29="", "", "kg")</f>
        <v>0</v>
      </c>
      <c r="R29" s="1">
        <f>IF(B29="", "", "Not applicable")</f>
        <v>0</v>
      </c>
    </row>
    <row r="30" spans="1:18">
      <c r="A30">
        <f>IF(COUNTBLANK(B30:R30)&lt;&gt;COLUMNS(B30:R30),29,"")</f>
        <v>0</v>
      </c>
      <c r="C30" s="1">
        <f>IF(B30="", "", "Host-associated")</f>
        <v>0</v>
      </c>
      <c r="G30" s="1">
        <f>IF(B30="", "", "host-associated")</f>
        <v>0</v>
      </c>
      <c r="I30" s="1">
        <f>IF(B30="", "", "years")</f>
        <v>0</v>
      </c>
      <c r="L30" s="1">
        <f>IF(B30="", "", "cm")</f>
        <v>0</v>
      </c>
      <c r="P30" s="1">
        <f>IF(B30="", "", "kg")</f>
        <v>0</v>
      </c>
      <c r="R30" s="1">
        <f>IF(B30="", "", "Not applicable")</f>
        <v>0</v>
      </c>
    </row>
    <row r="31" spans="1:18">
      <c r="A31">
        <f>IF(COUNTBLANK(B31:R31)&lt;&gt;COLUMNS(B31:R31),30,"")</f>
        <v>0</v>
      </c>
      <c r="C31" s="1">
        <f>IF(B31="", "", "Host-associated")</f>
        <v>0</v>
      </c>
      <c r="G31" s="1">
        <f>IF(B31="", "", "host-associated")</f>
        <v>0</v>
      </c>
      <c r="I31" s="1">
        <f>IF(B31="", "", "years")</f>
        <v>0</v>
      </c>
      <c r="L31" s="1">
        <f>IF(B31="", "", "cm")</f>
        <v>0</v>
      </c>
      <c r="P31" s="1">
        <f>IF(B31="", "", "kg")</f>
        <v>0</v>
      </c>
      <c r="R31" s="1">
        <f>IF(B31="", "", "Not applicable")</f>
        <v>0</v>
      </c>
    </row>
    <row r="32" spans="1:18">
      <c r="A32">
        <f>IF(COUNTBLANK(B32:R32)&lt;&gt;COLUMNS(B32:R32),31,"")</f>
        <v>0</v>
      </c>
      <c r="C32" s="1">
        <f>IF(B32="", "", "Host-associated")</f>
        <v>0</v>
      </c>
      <c r="G32" s="1">
        <f>IF(B32="", "", "host-associated")</f>
        <v>0</v>
      </c>
      <c r="I32" s="1">
        <f>IF(B32="", "", "years")</f>
        <v>0</v>
      </c>
      <c r="L32" s="1">
        <f>IF(B32="", "", "cm")</f>
        <v>0</v>
      </c>
      <c r="P32" s="1">
        <f>IF(B32="", "", "kg")</f>
        <v>0</v>
      </c>
      <c r="R32" s="1">
        <f>IF(B32="", "", "Not applicable")</f>
        <v>0</v>
      </c>
    </row>
    <row r="33" spans="1:18">
      <c r="A33">
        <f>IF(COUNTBLANK(B33:R33)&lt;&gt;COLUMNS(B33:R33),32,"")</f>
        <v>0</v>
      </c>
      <c r="C33" s="1">
        <f>IF(B33="", "", "Host-associated")</f>
        <v>0</v>
      </c>
      <c r="G33" s="1">
        <f>IF(B33="", "", "host-associated")</f>
        <v>0</v>
      </c>
      <c r="I33" s="1">
        <f>IF(B33="", "", "years")</f>
        <v>0</v>
      </c>
      <c r="L33" s="1">
        <f>IF(B33="", "", "cm")</f>
        <v>0</v>
      </c>
      <c r="P33" s="1">
        <f>IF(B33="", "", "kg")</f>
        <v>0</v>
      </c>
      <c r="R33" s="1">
        <f>IF(B33="", "", "Not applicable")</f>
        <v>0</v>
      </c>
    </row>
    <row r="34" spans="1:18">
      <c r="A34">
        <f>IF(COUNTBLANK(B34:R34)&lt;&gt;COLUMNS(B34:R34),33,"")</f>
        <v>0</v>
      </c>
      <c r="C34" s="1">
        <f>IF(B34="", "", "Host-associated")</f>
        <v>0</v>
      </c>
      <c r="G34" s="1">
        <f>IF(B34="", "", "host-associated")</f>
        <v>0</v>
      </c>
      <c r="I34" s="1">
        <f>IF(B34="", "", "years")</f>
        <v>0</v>
      </c>
      <c r="L34" s="1">
        <f>IF(B34="", "", "cm")</f>
        <v>0</v>
      </c>
      <c r="P34" s="1">
        <f>IF(B34="", "", "kg")</f>
        <v>0</v>
      </c>
      <c r="R34" s="1">
        <f>IF(B34="", "", "Not applicable")</f>
        <v>0</v>
      </c>
    </row>
    <row r="35" spans="1:18">
      <c r="A35">
        <f>IF(COUNTBLANK(B35:R35)&lt;&gt;COLUMNS(B35:R35),34,"")</f>
        <v>0</v>
      </c>
      <c r="C35" s="1">
        <f>IF(B35="", "", "Host-associated")</f>
        <v>0</v>
      </c>
      <c r="G35" s="1">
        <f>IF(B35="", "", "host-associated")</f>
        <v>0</v>
      </c>
      <c r="I35" s="1">
        <f>IF(B35="", "", "years")</f>
        <v>0</v>
      </c>
      <c r="L35" s="1">
        <f>IF(B35="", "", "cm")</f>
        <v>0</v>
      </c>
      <c r="P35" s="1">
        <f>IF(B35="", "", "kg")</f>
        <v>0</v>
      </c>
      <c r="R35" s="1">
        <f>IF(B35="", "", "Not applicable")</f>
        <v>0</v>
      </c>
    </row>
    <row r="36" spans="1:18">
      <c r="A36">
        <f>IF(COUNTBLANK(B36:R36)&lt;&gt;COLUMNS(B36:R36),35,"")</f>
        <v>0</v>
      </c>
      <c r="C36" s="1">
        <f>IF(B36="", "", "Host-associated")</f>
        <v>0</v>
      </c>
      <c r="G36" s="1">
        <f>IF(B36="", "", "host-associated")</f>
        <v>0</v>
      </c>
      <c r="I36" s="1">
        <f>IF(B36="", "", "years")</f>
        <v>0</v>
      </c>
      <c r="L36" s="1">
        <f>IF(B36="", "", "cm")</f>
        <v>0</v>
      </c>
      <c r="P36" s="1">
        <f>IF(B36="", "", "kg")</f>
        <v>0</v>
      </c>
      <c r="R36" s="1">
        <f>IF(B36="", "", "Not applicable")</f>
        <v>0</v>
      </c>
    </row>
    <row r="37" spans="1:18">
      <c r="A37">
        <f>IF(COUNTBLANK(B37:R37)&lt;&gt;COLUMNS(B37:R37),36,"")</f>
        <v>0</v>
      </c>
      <c r="C37" s="1">
        <f>IF(B37="", "", "Host-associated")</f>
        <v>0</v>
      </c>
      <c r="G37" s="1">
        <f>IF(B37="", "", "host-associated")</f>
        <v>0</v>
      </c>
      <c r="I37" s="1">
        <f>IF(B37="", "", "years")</f>
        <v>0</v>
      </c>
      <c r="L37" s="1">
        <f>IF(B37="", "", "cm")</f>
        <v>0</v>
      </c>
      <c r="P37" s="1">
        <f>IF(B37="", "", "kg")</f>
        <v>0</v>
      </c>
      <c r="R37" s="1">
        <f>IF(B37="", "", "Not applicable")</f>
        <v>0</v>
      </c>
    </row>
    <row r="38" spans="1:18">
      <c r="A38">
        <f>IF(COUNTBLANK(B38:R38)&lt;&gt;COLUMNS(B38:R38),37,"")</f>
        <v>0</v>
      </c>
      <c r="C38" s="1">
        <f>IF(B38="", "", "Host-associated")</f>
        <v>0</v>
      </c>
      <c r="G38" s="1">
        <f>IF(B38="", "", "host-associated")</f>
        <v>0</v>
      </c>
      <c r="I38" s="1">
        <f>IF(B38="", "", "years")</f>
        <v>0</v>
      </c>
      <c r="L38" s="1">
        <f>IF(B38="", "", "cm")</f>
        <v>0</v>
      </c>
      <c r="P38" s="1">
        <f>IF(B38="", "", "kg")</f>
        <v>0</v>
      </c>
      <c r="R38" s="1">
        <f>IF(B38="", "", "Not applicable")</f>
        <v>0</v>
      </c>
    </row>
    <row r="39" spans="1:18">
      <c r="A39">
        <f>IF(COUNTBLANK(B39:R39)&lt;&gt;COLUMNS(B39:R39),38,"")</f>
        <v>0</v>
      </c>
      <c r="C39" s="1">
        <f>IF(B39="", "", "Host-associated")</f>
        <v>0</v>
      </c>
      <c r="G39" s="1">
        <f>IF(B39="", "", "host-associated")</f>
        <v>0</v>
      </c>
      <c r="I39" s="1">
        <f>IF(B39="", "", "years")</f>
        <v>0</v>
      </c>
      <c r="L39" s="1">
        <f>IF(B39="", "", "cm")</f>
        <v>0</v>
      </c>
      <c r="P39" s="1">
        <f>IF(B39="", "", "kg")</f>
        <v>0</v>
      </c>
      <c r="R39" s="1">
        <f>IF(B39="", "", "Not applicable")</f>
        <v>0</v>
      </c>
    </row>
    <row r="40" spans="1:18">
      <c r="A40">
        <f>IF(COUNTBLANK(B40:R40)&lt;&gt;COLUMNS(B40:R40),39,"")</f>
        <v>0</v>
      </c>
      <c r="C40" s="1">
        <f>IF(B40="", "", "Host-associated")</f>
        <v>0</v>
      </c>
      <c r="G40" s="1">
        <f>IF(B40="", "", "host-associated")</f>
        <v>0</v>
      </c>
      <c r="I40" s="1">
        <f>IF(B40="", "", "years")</f>
        <v>0</v>
      </c>
      <c r="L40" s="1">
        <f>IF(B40="", "", "cm")</f>
        <v>0</v>
      </c>
      <c r="P40" s="1">
        <f>IF(B40="", "", "kg")</f>
        <v>0</v>
      </c>
      <c r="R40" s="1">
        <f>IF(B40="", "", "Not applicable")</f>
        <v>0</v>
      </c>
    </row>
    <row r="41" spans="1:18">
      <c r="A41">
        <f>IF(COUNTBLANK(B41:R41)&lt;&gt;COLUMNS(B41:R41),40,"")</f>
        <v>0</v>
      </c>
      <c r="C41" s="1">
        <f>IF(B41="", "", "Host-associated")</f>
        <v>0</v>
      </c>
      <c r="G41" s="1">
        <f>IF(B41="", "", "host-associated")</f>
        <v>0</v>
      </c>
      <c r="I41" s="1">
        <f>IF(B41="", "", "years")</f>
        <v>0</v>
      </c>
      <c r="L41" s="1">
        <f>IF(B41="", "", "cm")</f>
        <v>0</v>
      </c>
      <c r="P41" s="1">
        <f>IF(B41="", "", "kg")</f>
        <v>0</v>
      </c>
      <c r="R41" s="1">
        <f>IF(B41="", "", "Not applicable")</f>
        <v>0</v>
      </c>
    </row>
    <row r="42" spans="1:18">
      <c r="A42">
        <f>IF(COUNTBLANK(B42:R42)&lt;&gt;COLUMNS(B42:R42),41,"")</f>
        <v>0</v>
      </c>
      <c r="C42" s="1">
        <f>IF(B42="", "", "Host-associated")</f>
        <v>0</v>
      </c>
      <c r="G42" s="1">
        <f>IF(B42="", "", "host-associated")</f>
        <v>0</v>
      </c>
      <c r="I42" s="1">
        <f>IF(B42="", "", "years")</f>
        <v>0</v>
      </c>
      <c r="L42" s="1">
        <f>IF(B42="", "", "cm")</f>
        <v>0</v>
      </c>
      <c r="P42" s="1">
        <f>IF(B42="", "", "kg")</f>
        <v>0</v>
      </c>
      <c r="R42" s="1">
        <f>IF(B42="", "", "Not applicable")</f>
        <v>0</v>
      </c>
    </row>
    <row r="43" spans="1:18">
      <c r="A43">
        <f>IF(COUNTBLANK(B43:R43)&lt;&gt;COLUMNS(B43:R43),42,"")</f>
        <v>0</v>
      </c>
      <c r="C43" s="1">
        <f>IF(B43="", "", "Host-associated")</f>
        <v>0</v>
      </c>
      <c r="G43" s="1">
        <f>IF(B43="", "", "host-associated")</f>
        <v>0</v>
      </c>
      <c r="I43" s="1">
        <f>IF(B43="", "", "years")</f>
        <v>0</v>
      </c>
      <c r="L43" s="1">
        <f>IF(B43="", "", "cm")</f>
        <v>0</v>
      </c>
      <c r="P43" s="1">
        <f>IF(B43="", "", "kg")</f>
        <v>0</v>
      </c>
      <c r="R43" s="1">
        <f>IF(B43="", "", "Not applicable")</f>
        <v>0</v>
      </c>
    </row>
    <row r="44" spans="1:18">
      <c r="A44">
        <f>IF(COUNTBLANK(B44:R44)&lt;&gt;COLUMNS(B44:R44),43,"")</f>
        <v>0</v>
      </c>
      <c r="C44" s="1">
        <f>IF(B44="", "", "Host-associated")</f>
        <v>0</v>
      </c>
      <c r="G44" s="1">
        <f>IF(B44="", "", "host-associated")</f>
        <v>0</v>
      </c>
      <c r="I44" s="1">
        <f>IF(B44="", "", "years")</f>
        <v>0</v>
      </c>
      <c r="L44" s="1">
        <f>IF(B44="", "", "cm")</f>
        <v>0</v>
      </c>
      <c r="P44" s="1">
        <f>IF(B44="", "", "kg")</f>
        <v>0</v>
      </c>
      <c r="R44" s="1">
        <f>IF(B44="", "", "Not applicable")</f>
        <v>0</v>
      </c>
    </row>
    <row r="45" spans="1:18">
      <c r="A45">
        <f>IF(COUNTBLANK(B45:R45)&lt;&gt;COLUMNS(B45:R45),44,"")</f>
        <v>0</v>
      </c>
      <c r="C45" s="1">
        <f>IF(B45="", "", "Host-associated")</f>
        <v>0</v>
      </c>
      <c r="G45" s="1">
        <f>IF(B45="", "", "host-associated")</f>
        <v>0</v>
      </c>
      <c r="I45" s="1">
        <f>IF(B45="", "", "years")</f>
        <v>0</v>
      </c>
      <c r="L45" s="1">
        <f>IF(B45="", "", "cm")</f>
        <v>0</v>
      </c>
      <c r="P45" s="1">
        <f>IF(B45="", "", "kg")</f>
        <v>0</v>
      </c>
      <c r="R45" s="1">
        <f>IF(B45="", "", "Not applicable")</f>
        <v>0</v>
      </c>
    </row>
    <row r="46" spans="1:18">
      <c r="A46">
        <f>IF(COUNTBLANK(B46:R46)&lt;&gt;COLUMNS(B46:R46),45,"")</f>
        <v>0</v>
      </c>
      <c r="C46" s="1">
        <f>IF(B46="", "", "Host-associated")</f>
        <v>0</v>
      </c>
      <c r="G46" s="1">
        <f>IF(B46="", "", "host-associated")</f>
        <v>0</v>
      </c>
      <c r="I46" s="1">
        <f>IF(B46="", "", "years")</f>
        <v>0</v>
      </c>
      <c r="L46" s="1">
        <f>IF(B46="", "", "cm")</f>
        <v>0</v>
      </c>
      <c r="P46" s="1">
        <f>IF(B46="", "", "kg")</f>
        <v>0</v>
      </c>
      <c r="R46" s="1">
        <f>IF(B46="", "", "Not applicable")</f>
        <v>0</v>
      </c>
    </row>
    <row r="47" spans="1:18">
      <c r="A47">
        <f>IF(COUNTBLANK(B47:R47)&lt;&gt;COLUMNS(B47:R47),46,"")</f>
        <v>0</v>
      </c>
      <c r="C47" s="1">
        <f>IF(B47="", "", "Host-associated")</f>
        <v>0</v>
      </c>
      <c r="G47" s="1">
        <f>IF(B47="", "", "host-associated")</f>
        <v>0</v>
      </c>
      <c r="I47" s="1">
        <f>IF(B47="", "", "years")</f>
        <v>0</v>
      </c>
      <c r="L47" s="1">
        <f>IF(B47="", "", "cm")</f>
        <v>0</v>
      </c>
      <c r="P47" s="1">
        <f>IF(B47="", "", "kg")</f>
        <v>0</v>
      </c>
      <c r="R47" s="1">
        <f>IF(B47="", "", "Not applicable")</f>
        <v>0</v>
      </c>
    </row>
    <row r="48" spans="1:18">
      <c r="A48">
        <f>IF(COUNTBLANK(B48:R48)&lt;&gt;COLUMNS(B48:R48),47,"")</f>
        <v>0</v>
      </c>
      <c r="C48" s="1">
        <f>IF(B48="", "", "Host-associated")</f>
        <v>0</v>
      </c>
      <c r="G48" s="1">
        <f>IF(B48="", "", "host-associated")</f>
        <v>0</v>
      </c>
      <c r="I48" s="1">
        <f>IF(B48="", "", "years")</f>
        <v>0</v>
      </c>
      <c r="L48" s="1">
        <f>IF(B48="", "", "cm")</f>
        <v>0</v>
      </c>
      <c r="P48" s="1">
        <f>IF(B48="", "", "kg")</f>
        <v>0</v>
      </c>
      <c r="R48" s="1">
        <f>IF(B48="", "", "Not applicable")</f>
        <v>0</v>
      </c>
    </row>
    <row r="49" spans="1:18">
      <c r="A49">
        <f>IF(COUNTBLANK(B49:R49)&lt;&gt;COLUMNS(B49:R49),48,"")</f>
        <v>0</v>
      </c>
      <c r="C49" s="1">
        <f>IF(B49="", "", "Host-associated")</f>
        <v>0</v>
      </c>
      <c r="G49" s="1">
        <f>IF(B49="", "", "host-associated")</f>
        <v>0</v>
      </c>
      <c r="I49" s="1">
        <f>IF(B49="", "", "years")</f>
        <v>0</v>
      </c>
      <c r="L49" s="1">
        <f>IF(B49="", "", "cm")</f>
        <v>0</v>
      </c>
      <c r="P49" s="1">
        <f>IF(B49="", "", "kg")</f>
        <v>0</v>
      </c>
      <c r="R49" s="1">
        <f>IF(B49="", "", "Not applicable")</f>
        <v>0</v>
      </c>
    </row>
    <row r="50" spans="1:18">
      <c r="A50">
        <f>IF(COUNTBLANK(B50:R50)&lt;&gt;COLUMNS(B50:R50),49,"")</f>
        <v>0</v>
      </c>
      <c r="C50" s="1">
        <f>IF(B50="", "", "Host-associated")</f>
        <v>0</v>
      </c>
      <c r="G50" s="1">
        <f>IF(B50="", "", "host-associated")</f>
        <v>0</v>
      </c>
      <c r="I50" s="1">
        <f>IF(B50="", "", "years")</f>
        <v>0</v>
      </c>
      <c r="L50" s="1">
        <f>IF(B50="", "", "cm")</f>
        <v>0</v>
      </c>
      <c r="P50" s="1">
        <f>IF(B50="", "", "kg")</f>
        <v>0</v>
      </c>
      <c r="R50" s="1">
        <f>IF(B50="", "", "Not applicable")</f>
        <v>0</v>
      </c>
    </row>
    <row r="51" spans="1:18">
      <c r="A51">
        <f>IF(COUNTBLANK(B51:R51)&lt;&gt;COLUMNS(B51:R51),50,"")</f>
        <v>0</v>
      </c>
      <c r="C51" s="1">
        <f>IF(B51="", "", "Host-associated")</f>
        <v>0</v>
      </c>
      <c r="G51" s="1">
        <f>IF(B51="", "", "host-associated")</f>
        <v>0</v>
      </c>
      <c r="I51" s="1">
        <f>IF(B51="", "", "years")</f>
        <v>0</v>
      </c>
      <c r="L51" s="1">
        <f>IF(B51="", "", "cm")</f>
        <v>0</v>
      </c>
      <c r="P51" s="1">
        <f>IF(B51="", "", "kg")</f>
        <v>0</v>
      </c>
      <c r="R51" s="1">
        <f>IF(B51="", "", "Not applicable")</f>
        <v>0</v>
      </c>
    </row>
    <row r="52" spans="1:18">
      <c r="A52">
        <f>IF(COUNTBLANK(B52:R52)&lt;&gt;COLUMNS(B52:R52),51,"")</f>
        <v>0</v>
      </c>
      <c r="C52" s="1">
        <f>IF(B52="", "", "Host-associated")</f>
        <v>0</v>
      </c>
      <c r="G52" s="1">
        <f>IF(B52="", "", "host-associated")</f>
        <v>0</v>
      </c>
      <c r="I52" s="1">
        <f>IF(B52="", "", "years")</f>
        <v>0</v>
      </c>
      <c r="L52" s="1">
        <f>IF(B52="", "", "cm")</f>
        <v>0</v>
      </c>
      <c r="P52" s="1">
        <f>IF(B52="", "", "kg")</f>
        <v>0</v>
      </c>
      <c r="R52" s="1">
        <f>IF(B52="", "", "Not applicable")</f>
        <v>0</v>
      </c>
    </row>
    <row r="53" spans="1:18">
      <c r="A53">
        <f>IF(COUNTBLANK(B53:R53)&lt;&gt;COLUMNS(B53:R53),52,"")</f>
        <v>0</v>
      </c>
      <c r="C53" s="1">
        <f>IF(B53="", "", "Host-associated")</f>
        <v>0</v>
      </c>
      <c r="G53" s="1">
        <f>IF(B53="", "", "host-associated")</f>
        <v>0</v>
      </c>
      <c r="I53" s="1">
        <f>IF(B53="", "", "years")</f>
        <v>0</v>
      </c>
      <c r="L53" s="1">
        <f>IF(B53="", "", "cm")</f>
        <v>0</v>
      </c>
      <c r="P53" s="1">
        <f>IF(B53="", "", "kg")</f>
        <v>0</v>
      </c>
      <c r="R53" s="1">
        <f>IF(B53="", "", "Not applicable")</f>
        <v>0</v>
      </c>
    </row>
    <row r="54" spans="1:18">
      <c r="A54">
        <f>IF(COUNTBLANK(B54:R54)&lt;&gt;COLUMNS(B54:R54),53,"")</f>
        <v>0</v>
      </c>
      <c r="C54" s="1">
        <f>IF(B54="", "", "Host-associated")</f>
        <v>0</v>
      </c>
      <c r="G54" s="1">
        <f>IF(B54="", "", "host-associated")</f>
        <v>0</v>
      </c>
      <c r="I54" s="1">
        <f>IF(B54="", "", "years")</f>
        <v>0</v>
      </c>
      <c r="L54" s="1">
        <f>IF(B54="", "", "cm")</f>
        <v>0</v>
      </c>
      <c r="P54" s="1">
        <f>IF(B54="", "", "kg")</f>
        <v>0</v>
      </c>
      <c r="R54" s="1">
        <f>IF(B54="", "", "Not applicable")</f>
        <v>0</v>
      </c>
    </row>
    <row r="55" spans="1:18">
      <c r="A55">
        <f>IF(COUNTBLANK(B55:R55)&lt;&gt;COLUMNS(B55:R55),54,"")</f>
        <v>0</v>
      </c>
      <c r="C55" s="1">
        <f>IF(B55="", "", "Host-associated")</f>
        <v>0</v>
      </c>
      <c r="G55" s="1">
        <f>IF(B55="", "", "host-associated")</f>
        <v>0</v>
      </c>
      <c r="I55" s="1">
        <f>IF(B55="", "", "years")</f>
        <v>0</v>
      </c>
      <c r="L55" s="1">
        <f>IF(B55="", "", "cm")</f>
        <v>0</v>
      </c>
      <c r="P55" s="1">
        <f>IF(B55="", "", "kg")</f>
        <v>0</v>
      </c>
      <c r="R55" s="1">
        <f>IF(B55="", "", "Not applicable")</f>
        <v>0</v>
      </c>
    </row>
    <row r="56" spans="1:18">
      <c r="A56">
        <f>IF(COUNTBLANK(B56:R56)&lt;&gt;COLUMNS(B56:R56),55,"")</f>
        <v>0</v>
      </c>
      <c r="C56" s="1">
        <f>IF(B56="", "", "Host-associated")</f>
        <v>0</v>
      </c>
      <c r="G56" s="1">
        <f>IF(B56="", "", "host-associated")</f>
        <v>0</v>
      </c>
      <c r="I56" s="1">
        <f>IF(B56="", "", "years")</f>
        <v>0</v>
      </c>
      <c r="L56" s="1">
        <f>IF(B56="", "", "cm")</f>
        <v>0</v>
      </c>
      <c r="P56" s="1">
        <f>IF(B56="", "", "kg")</f>
        <v>0</v>
      </c>
      <c r="R56" s="1">
        <f>IF(B56="", "", "Not applicable")</f>
        <v>0</v>
      </c>
    </row>
    <row r="57" spans="1:18">
      <c r="A57">
        <f>IF(COUNTBLANK(B57:R57)&lt;&gt;COLUMNS(B57:R57),56,"")</f>
        <v>0</v>
      </c>
      <c r="C57" s="1">
        <f>IF(B57="", "", "Host-associated")</f>
        <v>0</v>
      </c>
      <c r="G57" s="1">
        <f>IF(B57="", "", "host-associated")</f>
        <v>0</v>
      </c>
      <c r="I57" s="1">
        <f>IF(B57="", "", "years")</f>
        <v>0</v>
      </c>
      <c r="L57" s="1">
        <f>IF(B57="", "", "cm")</f>
        <v>0</v>
      </c>
      <c r="P57" s="1">
        <f>IF(B57="", "", "kg")</f>
        <v>0</v>
      </c>
      <c r="R57" s="1">
        <f>IF(B57="", "", "Not applicable")</f>
        <v>0</v>
      </c>
    </row>
    <row r="58" spans="1:18">
      <c r="A58">
        <f>IF(COUNTBLANK(B58:R58)&lt;&gt;COLUMNS(B58:R58),57,"")</f>
        <v>0</v>
      </c>
      <c r="C58" s="1">
        <f>IF(B58="", "", "Host-associated")</f>
        <v>0</v>
      </c>
      <c r="G58" s="1">
        <f>IF(B58="", "", "host-associated")</f>
        <v>0</v>
      </c>
      <c r="I58" s="1">
        <f>IF(B58="", "", "years")</f>
        <v>0</v>
      </c>
      <c r="L58" s="1">
        <f>IF(B58="", "", "cm")</f>
        <v>0</v>
      </c>
      <c r="P58" s="1">
        <f>IF(B58="", "", "kg")</f>
        <v>0</v>
      </c>
      <c r="R58" s="1">
        <f>IF(B58="", "", "Not applicable")</f>
        <v>0</v>
      </c>
    </row>
    <row r="59" spans="1:18">
      <c r="A59">
        <f>IF(COUNTBLANK(B59:R59)&lt;&gt;COLUMNS(B59:R59),58,"")</f>
        <v>0</v>
      </c>
      <c r="C59" s="1">
        <f>IF(B59="", "", "Host-associated")</f>
        <v>0</v>
      </c>
      <c r="G59" s="1">
        <f>IF(B59="", "", "host-associated")</f>
        <v>0</v>
      </c>
      <c r="I59" s="1">
        <f>IF(B59="", "", "years")</f>
        <v>0</v>
      </c>
      <c r="L59" s="1">
        <f>IF(B59="", "", "cm")</f>
        <v>0</v>
      </c>
      <c r="P59" s="1">
        <f>IF(B59="", "", "kg")</f>
        <v>0</v>
      </c>
      <c r="R59" s="1">
        <f>IF(B59="", "", "Not applicable")</f>
        <v>0</v>
      </c>
    </row>
    <row r="60" spans="1:18">
      <c r="A60">
        <f>IF(COUNTBLANK(B60:R60)&lt;&gt;COLUMNS(B60:R60),59,"")</f>
        <v>0</v>
      </c>
      <c r="C60" s="1">
        <f>IF(B60="", "", "Host-associated")</f>
        <v>0</v>
      </c>
      <c r="G60" s="1">
        <f>IF(B60="", "", "host-associated")</f>
        <v>0</v>
      </c>
      <c r="I60" s="1">
        <f>IF(B60="", "", "years")</f>
        <v>0</v>
      </c>
      <c r="L60" s="1">
        <f>IF(B60="", "", "cm")</f>
        <v>0</v>
      </c>
      <c r="P60" s="1">
        <f>IF(B60="", "", "kg")</f>
        <v>0</v>
      </c>
      <c r="R60" s="1">
        <f>IF(B60="", "", "Not applicable")</f>
        <v>0</v>
      </c>
    </row>
    <row r="61" spans="1:18">
      <c r="A61">
        <f>IF(COUNTBLANK(B61:R61)&lt;&gt;COLUMNS(B61:R61),60,"")</f>
        <v>0</v>
      </c>
      <c r="C61" s="1">
        <f>IF(B61="", "", "Host-associated")</f>
        <v>0</v>
      </c>
      <c r="G61" s="1">
        <f>IF(B61="", "", "host-associated")</f>
        <v>0</v>
      </c>
      <c r="I61" s="1">
        <f>IF(B61="", "", "years")</f>
        <v>0</v>
      </c>
      <c r="L61" s="1">
        <f>IF(B61="", "", "cm")</f>
        <v>0</v>
      </c>
      <c r="P61" s="1">
        <f>IF(B61="", "", "kg")</f>
        <v>0</v>
      </c>
      <c r="R61" s="1">
        <f>IF(B61="", "", "Not applicable")</f>
        <v>0</v>
      </c>
    </row>
    <row r="62" spans="1:18">
      <c r="A62">
        <f>IF(COUNTBLANK(B62:R62)&lt;&gt;COLUMNS(B62:R62),61,"")</f>
        <v>0</v>
      </c>
      <c r="C62" s="1">
        <f>IF(B62="", "", "Host-associated")</f>
        <v>0</v>
      </c>
      <c r="G62" s="1">
        <f>IF(B62="", "", "host-associated")</f>
        <v>0</v>
      </c>
      <c r="I62" s="1">
        <f>IF(B62="", "", "years")</f>
        <v>0</v>
      </c>
      <c r="L62" s="1">
        <f>IF(B62="", "", "cm")</f>
        <v>0</v>
      </c>
      <c r="P62" s="1">
        <f>IF(B62="", "", "kg")</f>
        <v>0</v>
      </c>
      <c r="R62" s="1">
        <f>IF(B62="", "", "Not applicable")</f>
        <v>0</v>
      </c>
    </row>
    <row r="63" spans="1:18">
      <c r="A63">
        <f>IF(COUNTBLANK(B63:R63)&lt;&gt;COLUMNS(B63:R63),62,"")</f>
        <v>0</v>
      </c>
      <c r="C63" s="1">
        <f>IF(B63="", "", "Host-associated")</f>
        <v>0</v>
      </c>
      <c r="G63" s="1">
        <f>IF(B63="", "", "host-associated")</f>
        <v>0</v>
      </c>
      <c r="I63" s="1">
        <f>IF(B63="", "", "years")</f>
        <v>0</v>
      </c>
      <c r="L63" s="1">
        <f>IF(B63="", "", "cm")</f>
        <v>0</v>
      </c>
      <c r="P63" s="1">
        <f>IF(B63="", "", "kg")</f>
        <v>0</v>
      </c>
      <c r="R63" s="1">
        <f>IF(B63="", "", "Not applicable")</f>
        <v>0</v>
      </c>
    </row>
    <row r="64" spans="1:18">
      <c r="A64">
        <f>IF(COUNTBLANK(B64:R64)&lt;&gt;COLUMNS(B64:R64),63,"")</f>
        <v>0</v>
      </c>
      <c r="C64" s="1">
        <f>IF(B64="", "", "Host-associated")</f>
        <v>0</v>
      </c>
      <c r="G64" s="1">
        <f>IF(B64="", "", "host-associated")</f>
        <v>0</v>
      </c>
      <c r="I64" s="1">
        <f>IF(B64="", "", "years")</f>
        <v>0</v>
      </c>
      <c r="L64" s="1">
        <f>IF(B64="", "", "cm")</f>
        <v>0</v>
      </c>
      <c r="P64" s="1">
        <f>IF(B64="", "", "kg")</f>
        <v>0</v>
      </c>
      <c r="R64" s="1">
        <f>IF(B64="", "", "Not applicable")</f>
        <v>0</v>
      </c>
    </row>
    <row r="65" spans="1:18">
      <c r="A65">
        <f>IF(COUNTBLANK(B65:R65)&lt;&gt;COLUMNS(B65:R65),64,"")</f>
        <v>0</v>
      </c>
      <c r="C65" s="1">
        <f>IF(B65="", "", "Host-associated")</f>
        <v>0</v>
      </c>
      <c r="G65" s="1">
        <f>IF(B65="", "", "host-associated")</f>
        <v>0</v>
      </c>
      <c r="I65" s="1">
        <f>IF(B65="", "", "years")</f>
        <v>0</v>
      </c>
      <c r="L65" s="1">
        <f>IF(B65="", "", "cm")</f>
        <v>0</v>
      </c>
      <c r="P65" s="1">
        <f>IF(B65="", "", "kg")</f>
        <v>0</v>
      </c>
      <c r="R65" s="1">
        <f>IF(B65="", "", "Not applicable")</f>
        <v>0</v>
      </c>
    </row>
    <row r="66" spans="1:18">
      <c r="A66">
        <f>IF(COUNTBLANK(B66:R66)&lt;&gt;COLUMNS(B66:R66),65,"")</f>
        <v>0</v>
      </c>
      <c r="C66" s="1">
        <f>IF(B66="", "", "Host-associated")</f>
        <v>0</v>
      </c>
      <c r="G66" s="1">
        <f>IF(B66="", "", "host-associated")</f>
        <v>0</v>
      </c>
      <c r="I66" s="1">
        <f>IF(B66="", "", "years")</f>
        <v>0</v>
      </c>
      <c r="L66" s="1">
        <f>IF(B66="", "", "cm")</f>
        <v>0</v>
      </c>
      <c r="P66" s="1">
        <f>IF(B66="", "", "kg")</f>
        <v>0</v>
      </c>
      <c r="R66" s="1">
        <f>IF(B66="", "", "Not applicable")</f>
        <v>0</v>
      </c>
    </row>
    <row r="67" spans="1:18">
      <c r="A67">
        <f>IF(COUNTBLANK(B67:R67)&lt;&gt;COLUMNS(B67:R67),66,"")</f>
        <v>0</v>
      </c>
      <c r="C67" s="1">
        <f>IF(B67="", "", "Host-associated")</f>
        <v>0</v>
      </c>
      <c r="G67" s="1">
        <f>IF(B67="", "", "host-associated")</f>
        <v>0</v>
      </c>
      <c r="I67" s="1">
        <f>IF(B67="", "", "years")</f>
        <v>0</v>
      </c>
      <c r="L67" s="1">
        <f>IF(B67="", "", "cm")</f>
        <v>0</v>
      </c>
      <c r="P67" s="1">
        <f>IF(B67="", "", "kg")</f>
        <v>0</v>
      </c>
      <c r="R67" s="1">
        <f>IF(B67="", "", "Not applicable")</f>
        <v>0</v>
      </c>
    </row>
    <row r="68" spans="1:18">
      <c r="A68">
        <f>IF(COUNTBLANK(B68:R68)&lt;&gt;COLUMNS(B68:R68),67,"")</f>
        <v>0</v>
      </c>
      <c r="C68" s="1">
        <f>IF(B68="", "", "Host-associated")</f>
        <v>0</v>
      </c>
      <c r="G68" s="1">
        <f>IF(B68="", "", "host-associated")</f>
        <v>0</v>
      </c>
      <c r="I68" s="1">
        <f>IF(B68="", "", "years")</f>
        <v>0</v>
      </c>
      <c r="L68" s="1">
        <f>IF(B68="", "", "cm")</f>
        <v>0</v>
      </c>
      <c r="P68" s="1">
        <f>IF(B68="", "", "kg")</f>
        <v>0</v>
      </c>
      <c r="R68" s="1">
        <f>IF(B68="", "", "Not applicable")</f>
        <v>0</v>
      </c>
    </row>
    <row r="69" spans="1:18">
      <c r="A69">
        <f>IF(COUNTBLANK(B69:R69)&lt;&gt;COLUMNS(B69:R69),68,"")</f>
        <v>0</v>
      </c>
      <c r="C69" s="1">
        <f>IF(B69="", "", "Host-associated")</f>
        <v>0</v>
      </c>
      <c r="G69" s="1">
        <f>IF(B69="", "", "host-associated")</f>
        <v>0</v>
      </c>
      <c r="I69" s="1">
        <f>IF(B69="", "", "years")</f>
        <v>0</v>
      </c>
      <c r="L69" s="1">
        <f>IF(B69="", "", "cm")</f>
        <v>0</v>
      </c>
      <c r="P69" s="1">
        <f>IF(B69="", "", "kg")</f>
        <v>0</v>
      </c>
      <c r="R69" s="1">
        <f>IF(B69="", "", "Not applicable")</f>
        <v>0</v>
      </c>
    </row>
    <row r="70" spans="1:18">
      <c r="A70">
        <f>IF(COUNTBLANK(B70:R70)&lt;&gt;COLUMNS(B70:R70),69,"")</f>
        <v>0</v>
      </c>
      <c r="C70" s="1">
        <f>IF(B70="", "", "Host-associated")</f>
        <v>0</v>
      </c>
      <c r="G70" s="1">
        <f>IF(B70="", "", "host-associated")</f>
        <v>0</v>
      </c>
      <c r="I70" s="1">
        <f>IF(B70="", "", "years")</f>
        <v>0</v>
      </c>
      <c r="L70" s="1">
        <f>IF(B70="", "", "cm")</f>
        <v>0</v>
      </c>
      <c r="P70" s="1">
        <f>IF(B70="", "", "kg")</f>
        <v>0</v>
      </c>
      <c r="R70" s="1">
        <f>IF(B70="", "", "Not applicable")</f>
        <v>0</v>
      </c>
    </row>
    <row r="71" spans="1:18">
      <c r="A71">
        <f>IF(COUNTBLANK(B71:R71)&lt;&gt;COLUMNS(B71:R71),70,"")</f>
        <v>0</v>
      </c>
      <c r="C71" s="1">
        <f>IF(B71="", "", "Host-associated")</f>
        <v>0</v>
      </c>
      <c r="G71" s="1">
        <f>IF(B71="", "", "host-associated")</f>
        <v>0</v>
      </c>
      <c r="I71" s="1">
        <f>IF(B71="", "", "years")</f>
        <v>0</v>
      </c>
      <c r="L71" s="1">
        <f>IF(B71="", "", "cm")</f>
        <v>0</v>
      </c>
      <c r="P71" s="1">
        <f>IF(B71="", "", "kg")</f>
        <v>0</v>
      </c>
      <c r="R71" s="1">
        <f>IF(B71="", "", "Not applicable")</f>
        <v>0</v>
      </c>
    </row>
    <row r="72" spans="1:18">
      <c r="A72">
        <f>IF(COUNTBLANK(B72:R72)&lt;&gt;COLUMNS(B72:R72),71,"")</f>
        <v>0</v>
      </c>
      <c r="C72" s="1">
        <f>IF(B72="", "", "Host-associated")</f>
        <v>0</v>
      </c>
      <c r="G72" s="1">
        <f>IF(B72="", "", "host-associated")</f>
        <v>0</v>
      </c>
      <c r="I72" s="1">
        <f>IF(B72="", "", "years")</f>
        <v>0</v>
      </c>
      <c r="L72" s="1">
        <f>IF(B72="", "", "cm")</f>
        <v>0</v>
      </c>
      <c r="P72" s="1">
        <f>IF(B72="", "", "kg")</f>
        <v>0</v>
      </c>
      <c r="R72" s="1">
        <f>IF(B72="", "", "Not applicable")</f>
        <v>0</v>
      </c>
    </row>
    <row r="73" spans="1:18">
      <c r="A73">
        <f>IF(COUNTBLANK(B73:R73)&lt;&gt;COLUMNS(B73:R73),72,"")</f>
        <v>0</v>
      </c>
      <c r="C73" s="1">
        <f>IF(B73="", "", "Host-associated")</f>
        <v>0</v>
      </c>
      <c r="G73" s="1">
        <f>IF(B73="", "", "host-associated")</f>
        <v>0</v>
      </c>
      <c r="I73" s="1">
        <f>IF(B73="", "", "years")</f>
        <v>0</v>
      </c>
      <c r="L73" s="1">
        <f>IF(B73="", "", "cm")</f>
        <v>0</v>
      </c>
      <c r="P73" s="1">
        <f>IF(B73="", "", "kg")</f>
        <v>0</v>
      </c>
      <c r="R73" s="1">
        <f>IF(B73="", "", "Not applicable")</f>
        <v>0</v>
      </c>
    </row>
    <row r="74" spans="1:18">
      <c r="A74">
        <f>IF(COUNTBLANK(B74:R74)&lt;&gt;COLUMNS(B74:R74),73,"")</f>
        <v>0</v>
      </c>
      <c r="C74" s="1">
        <f>IF(B74="", "", "Host-associated")</f>
        <v>0</v>
      </c>
      <c r="G74" s="1">
        <f>IF(B74="", "", "host-associated")</f>
        <v>0</v>
      </c>
      <c r="I74" s="1">
        <f>IF(B74="", "", "years")</f>
        <v>0</v>
      </c>
      <c r="L74" s="1">
        <f>IF(B74="", "", "cm")</f>
        <v>0</v>
      </c>
      <c r="P74" s="1">
        <f>IF(B74="", "", "kg")</f>
        <v>0</v>
      </c>
      <c r="R74" s="1">
        <f>IF(B74="", "", "Not applicable")</f>
        <v>0</v>
      </c>
    </row>
    <row r="75" spans="1:18">
      <c r="A75">
        <f>IF(COUNTBLANK(B75:R75)&lt;&gt;COLUMNS(B75:R75),74,"")</f>
        <v>0</v>
      </c>
      <c r="C75" s="1">
        <f>IF(B75="", "", "Host-associated")</f>
        <v>0</v>
      </c>
      <c r="G75" s="1">
        <f>IF(B75="", "", "host-associated")</f>
        <v>0</v>
      </c>
      <c r="I75" s="1">
        <f>IF(B75="", "", "years")</f>
        <v>0</v>
      </c>
      <c r="L75" s="1">
        <f>IF(B75="", "", "cm")</f>
        <v>0</v>
      </c>
      <c r="P75" s="1">
        <f>IF(B75="", "", "kg")</f>
        <v>0</v>
      </c>
      <c r="R75" s="1">
        <f>IF(B75="", "", "Not applicable")</f>
        <v>0</v>
      </c>
    </row>
    <row r="76" spans="1:18">
      <c r="A76">
        <f>IF(COUNTBLANK(B76:R76)&lt;&gt;COLUMNS(B76:R76),75,"")</f>
        <v>0</v>
      </c>
      <c r="C76" s="1">
        <f>IF(B76="", "", "Host-associated")</f>
        <v>0</v>
      </c>
      <c r="G76" s="1">
        <f>IF(B76="", "", "host-associated")</f>
        <v>0</v>
      </c>
      <c r="I76" s="1">
        <f>IF(B76="", "", "years")</f>
        <v>0</v>
      </c>
      <c r="L76" s="1">
        <f>IF(B76="", "", "cm")</f>
        <v>0</v>
      </c>
      <c r="P76" s="1">
        <f>IF(B76="", "", "kg")</f>
        <v>0</v>
      </c>
      <c r="R76" s="1">
        <f>IF(B76="", "", "Not applicable")</f>
        <v>0</v>
      </c>
    </row>
    <row r="77" spans="1:18">
      <c r="A77">
        <f>IF(COUNTBLANK(B77:R77)&lt;&gt;COLUMNS(B77:R77),76,"")</f>
        <v>0</v>
      </c>
      <c r="C77" s="1">
        <f>IF(B77="", "", "Host-associated")</f>
        <v>0</v>
      </c>
      <c r="G77" s="1">
        <f>IF(B77="", "", "host-associated")</f>
        <v>0</v>
      </c>
      <c r="I77" s="1">
        <f>IF(B77="", "", "years")</f>
        <v>0</v>
      </c>
      <c r="L77" s="1">
        <f>IF(B77="", "", "cm")</f>
        <v>0</v>
      </c>
      <c r="P77" s="1">
        <f>IF(B77="", "", "kg")</f>
        <v>0</v>
      </c>
      <c r="R77" s="1">
        <f>IF(B77="", "", "Not applicable")</f>
        <v>0</v>
      </c>
    </row>
    <row r="78" spans="1:18">
      <c r="A78">
        <f>IF(COUNTBLANK(B78:R78)&lt;&gt;COLUMNS(B78:R78),77,"")</f>
        <v>0</v>
      </c>
      <c r="C78" s="1">
        <f>IF(B78="", "", "Host-associated")</f>
        <v>0</v>
      </c>
      <c r="G78" s="1">
        <f>IF(B78="", "", "host-associated")</f>
        <v>0</v>
      </c>
      <c r="I78" s="1">
        <f>IF(B78="", "", "years")</f>
        <v>0</v>
      </c>
      <c r="L78" s="1">
        <f>IF(B78="", "", "cm")</f>
        <v>0</v>
      </c>
      <c r="P78" s="1">
        <f>IF(B78="", "", "kg")</f>
        <v>0</v>
      </c>
      <c r="R78" s="1">
        <f>IF(B78="", "", "Not applicable")</f>
        <v>0</v>
      </c>
    </row>
    <row r="79" spans="1:18">
      <c r="A79">
        <f>IF(COUNTBLANK(B79:R79)&lt;&gt;COLUMNS(B79:R79),78,"")</f>
        <v>0</v>
      </c>
      <c r="C79" s="1">
        <f>IF(B79="", "", "Host-associated")</f>
        <v>0</v>
      </c>
      <c r="G79" s="1">
        <f>IF(B79="", "", "host-associated")</f>
        <v>0</v>
      </c>
      <c r="I79" s="1">
        <f>IF(B79="", "", "years")</f>
        <v>0</v>
      </c>
      <c r="L79" s="1">
        <f>IF(B79="", "", "cm")</f>
        <v>0</v>
      </c>
      <c r="P79" s="1">
        <f>IF(B79="", "", "kg")</f>
        <v>0</v>
      </c>
      <c r="R79" s="1">
        <f>IF(B79="", "", "Not applicable")</f>
        <v>0</v>
      </c>
    </row>
    <row r="80" spans="1:18">
      <c r="A80">
        <f>IF(COUNTBLANK(B80:R80)&lt;&gt;COLUMNS(B80:R80),79,"")</f>
        <v>0</v>
      </c>
      <c r="C80" s="1">
        <f>IF(B80="", "", "Host-associated")</f>
        <v>0</v>
      </c>
      <c r="G80" s="1">
        <f>IF(B80="", "", "host-associated")</f>
        <v>0</v>
      </c>
      <c r="I80" s="1">
        <f>IF(B80="", "", "years")</f>
        <v>0</v>
      </c>
      <c r="L80" s="1">
        <f>IF(B80="", "", "cm")</f>
        <v>0</v>
      </c>
      <c r="P80" s="1">
        <f>IF(B80="", "", "kg")</f>
        <v>0</v>
      </c>
      <c r="R80" s="1">
        <f>IF(B80="", "", "Not applicable")</f>
        <v>0</v>
      </c>
    </row>
    <row r="81" spans="1:18">
      <c r="A81">
        <f>IF(COUNTBLANK(B81:R81)&lt;&gt;COLUMNS(B81:R81),80,"")</f>
        <v>0</v>
      </c>
      <c r="C81" s="1">
        <f>IF(B81="", "", "Host-associated")</f>
        <v>0</v>
      </c>
      <c r="G81" s="1">
        <f>IF(B81="", "", "host-associated")</f>
        <v>0</v>
      </c>
      <c r="I81" s="1">
        <f>IF(B81="", "", "years")</f>
        <v>0</v>
      </c>
      <c r="L81" s="1">
        <f>IF(B81="", "", "cm")</f>
        <v>0</v>
      </c>
      <c r="P81" s="1">
        <f>IF(B81="", "", "kg")</f>
        <v>0</v>
      </c>
      <c r="R81" s="1">
        <f>IF(B81="", "", "Not applicable")</f>
        <v>0</v>
      </c>
    </row>
    <row r="82" spans="1:18">
      <c r="A82">
        <f>IF(COUNTBLANK(B82:R82)&lt;&gt;COLUMNS(B82:R82),81,"")</f>
        <v>0</v>
      </c>
      <c r="C82" s="1">
        <f>IF(B82="", "", "Host-associated")</f>
        <v>0</v>
      </c>
      <c r="G82" s="1">
        <f>IF(B82="", "", "host-associated")</f>
        <v>0</v>
      </c>
      <c r="I82" s="1">
        <f>IF(B82="", "", "years")</f>
        <v>0</v>
      </c>
      <c r="L82" s="1">
        <f>IF(B82="", "", "cm")</f>
        <v>0</v>
      </c>
      <c r="P82" s="1">
        <f>IF(B82="", "", "kg")</f>
        <v>0</v>
      </c>
      <c r="R82" s="1">
        <f>IF(B82="", "", "Not applicable")</f>
        <v>0</v>
      </c>
    </row>
    <row r="83" spans="1:18">
      <c r="A83">
        <f>IF(COUNTBLANK(B83:R83)&lt;&gt;COLUMNS(B83:R83),82,"")</f>
        <v>0</v>
      </c>
      <c r="C83" s="1">
        <f>IF(B83="", "", "Host-associated")</f>
        <v>0</v>
      </c>
      <c r="G83" s="1">
        <f>IF(B83="", "", "host-associated")</f>
        <v>0</v>
      </c>
      <c r="I83" s="1">
        <f>IF(B83="", "", "years")</f>
        <v>0</v>
      </c>
      <c r="L83" s="1">
        <f>IF(B83="", "", "cm")</f>
        <v>0</v>
      </c>
      <c r="P83" s="1">
        <f>IF(B83="", "", "kg")</f>
        <v>0</v>
      </c>
      <c r="R83" s="1">
        <f>IF(B83="", "", "Not applicable")</f>
        <v>0</v>
      </c>
    </row>
    <row r="84" spans="1:18">
      <c r="A84">
        <f>IF(COUNTBLANK(B84:R84)&lt;&gt;COLUMNS(B84:R84),83,"")</f>
        <v>0</v>
      </c>
      <c r="C84" s="1">
        <f>IF(B84="", "", "Host-associated")</f>
        <v>0</v>
      </c>
      <c r="G84" s="1">
        <f>IF(B84="", "", "host-associated")</f>
        <v>0</v>
      </c>
      <c r="I84" s="1">
        <f>IF(B84="", "", "years")</f>
        <v>0</v>
      </c>
      <c r="L84" s="1">
        <f>IF(B84="", "", "cm")</f>
        <v>0</v>
      </c>
      <c r="P84" s="1">
        <f>IF(B84="", "", "kg")</f>
        <v>0</v>
      </c>
      <c r="R84" s="1">
        <f>IF(B84="", "", "Not applicable")</f>
        <v>0</v>
      </c>
    </row>
    <row r="85" spans="1:18">
      <c r="A85">
        <f>IF(COUNTBLANK(B85:R85)&lt;&gt;COLUMNS(B85:R85),84,"")</f>
        <v>0</v>
      </c>
      <c r="C85" s="1">
        <f>IF(B85="", "", "Host-associated")</f>
        <v>0</v>
      </c>
      <c r="G85" s="1">
        <f>IF(B85="", "", "host-associated")</f>
        <v>0</v>
      </c>
      <c r="I85" s="1">
        <f>IF(B85="", "", "years")</f>
        <v>0</v>
      </c>
      <c r="L85" s="1">
        <f>IF(B85="", "", "cm")</f>
        <v>0</v>
      </c>
      <c r="P85" s="1">
        <f>IF(B85="", "", "kg")</f>
        <v>0</v>
      </c>
      <c r="R85" s="1">
        <f>IF(B85="", "", "Not applicable")</f>
        <v>0</v>
      </c>
    </row>
    <row r="86" spans="1:18">
      <c r="A86">
        <f>IF(COUNTBLANK(B86:R86)&lt;&gt;COLUMNS(B86:R86),85,"")</f>
        <v>0</v>
      </c>
      <c r="C86" s="1">
        <f>IF(B86="", "", "Host-associated")</f>
        <v>0</v>
      </c>
      <c r="G86" s="1">
        <f>IF(B86="", "", "host-associated")</f>
        <v>0</v>
      </c>
      <c r="I86" s="1">
        <f>IF(B86="", "", "years")</f>
        <v>0</v>
      </c>
      <c r="L86" s="1">
        <f>IF(B86="", "", "cm")</f>
        <v>0</v>
      </c>
      <c r="P86" s="1">
        <f>IF(B86="", "", "kg")</f>
        <v>0</v>
      </c>
      <c r="R86" s="1">
        <f>IF(B86="", "", "Not applicable")</f>
        <v>0</v>
      </c>
    </row>
    <row r="87" spans="1:18">
      <c r="A87">
        <f>IF(COUNTBLANK(B87:R87)&lt;&gt;COLUMNS(B87:R87),86,"")</f>
        <v>0</v>
      </c>
      <c r="C87" s="1">
        <f>IF(B87="", "", "Host-associated")</f>
        <v>0</v>
      </c>
      <c r="G87" s="1">
        <f>IF(B87="", "", "host-associated")</f>
        <v>0</v>
      </c>
      <c r="I87" s="1">
        <f>IF(B87="", "", "years")</f>
        <v>0</v>
      </c>
      <c r="L87" s="1">
        <f>IF(B87="", "", "cm")</f>
        <v>0</v>
      </c>
      <c r="P87" s="1">
        <f>IF(B87="", "", "kg")</f>
        <v>0</v>
      </c>
      <c r="R87" s="1">
        <f>IF(B87="", "", "Not applicable")</f>
        <v>0</v>
      </c>
    </row>
    <row r="88" spans="1:18">
      <c r="A88">
        <f>IF(COUNTBLANK(B88:R88)&lt;&gt;COLUMNS(B88:R88),87,"")</f>
        <v>0</v>
      </c>
      <c r="C88" s="1">
        <f>IF(B88="", "", "Host-associated")</f>
        <v>0</v>
      </c>
      <c r="G88" s="1">
        <f>IF(B88="", "", "host-associated")</f>
        <v>0</v>
      </c>
      <c r="I88" s="1">
        <f>IF(B88="", "", "years")</f>
        <v>0</v>
      </c>
      <c r="L88" s="1">
        <f>IF(B88="", "", "cm")</f>
        <v>0</v>
      </c>
      <c r="P88" s="1">
        <f>IF(B88="", "", "kg")</f>
        <v>0</v>
      </c>
      <c r="R88" s="1">
        <f>IF(B88="", "", "Not applicable")</f>
        <v>0</v>
      </c>
    </row>
    <row r="89" spans="1:18">
      <c r="A89">
        <f>IF(COUNTBLANK(B89:R89)&lt;&gt;COLUMNS(B89:R89),88,"")</f>
        <v>0</v>
      </c>
      <c r="C89" s="1">
        <f>IF(B89="", "", "Host-associated")</f>
        <v>0</v>
      </c>
      <c r="G89" s="1">
        <f>IF(B89="", "", "host-associated")</f>
        <v>0</v>
      </c>
      <c r="I89" s="1">
        <f>IF(B89="", "", "years")</f>
        <v>0</v>
      </c>
      <c r="L89" s="1">
        <f>IF(B89="", "", "cm")</f>
        <v>0</v>
      </c>
      <c r="P89" s="1">
        <f>IF(B89="", "", "kg")</f>
        <v>0</v>
      </c>
      <c r="R89" s="1">
        <f>IF(B89="", "", "Not applicable")</f>
        <v>0</v>
      </c>
    </row>
    <row r="90" spans="1:18">
      <c r="A90">
        <f>IF(COUNTBLANK(B90:R90)&lt;&gt;COLUMNS(B90:R90),89,"")</f>
        <v>0</v>
      </c>
      <c r="C90" s="1">
        <f>IF(B90="", "", "Host-associated")</f>
        <v>0</v>
      </c>
      <c r="G90" s="1">
        <f>IF(B90="", "", "host-associated")</f>
        <v>0</v>
      </c>
      <c r="I90" s="1">
        <f>IF(B90="", "", "years")</f>
        <v>0</v>
      </c>
      <c r="L90" s="1">
        <f>IF(B90="", "", "cm")</f>
        <v>0</v>
      </c>
      <c r="P90" s="1">
        <f>IF(B90="", "", "kg")</f>
        <v>0</v>
      </c>
      <c r="R90" s="1">
        <f>IF(B90="", "", "Not applicable")</f>
        <v>0</v>
      </c>
    </row>
    <row r="91" spans="1:18">
      <c r="A91">
        <f>IF(COUNTBLANK(B91:R91)&lt;&gt;COLUMNS(B91:R91),90,"")</f>
        <v>0</v>
      </c>
      <c r="C91" s="1">
        <f>IF(B91="", "", "Host-associated")</f>
        <v>0</v>
      </c>
      <c r="G91" s="1">
        <f>IF(B91="", "", "host-associated")</f>
        <v>0</v>
      </c>
      <c r="I91" s="1">
        <f>IF(B91="", "", "years")</f>
        <v>0</v>
      </c>
      <c r="L91" s="1">
        <f>IF(B91="", "", "cm")</f>
        <v>0</v>
      </c>
      <c r="P91" s="1">
        <f>IF(B91="", "", "kg")</f>
        <v>0</v>
      </c>
      <c r="R91" s="1">
        <f>IF(B91="", "", "Not applicable")</f>
        <v>0</v>
      </c>
    </row>
    <row r="92" spans="1:18">
      <c r="A92">
        <f>IF(COUNTBLANK(B92:R92)&lt;&gt;COLUMNS(B92:R92),91,"")</f>
        <v>0</v>
      </c>
      <c r="C92" s="1">
        <f>IF(B92="", "", "Host-associated")</f>
        <v>0</v>
      </c>
      <c r="G92" s="1">
        <f>IF(B92="", "", "host-associated")</f>
        <v>0</v>
      </c>
      <c r="I92" s="1">
        <f>IF(B92="", "", "years")</f>
        <v>0</v>
      </c>
      <c r="L92" s="1">
        <f>IF(B92="", "", "cm")</f>
        <v>0</v>
      </c>
      <c r="P92" s="1">
        <f>IF(B92="", "", "kg")</f>
        <v>0</v>
      </c>
      <c r="R92" s="1">
        <f>IF(B92="", "", "Not applicable")</f>
        <v>0</v>
      </c>
    </row>
    <row r="93" spans="1:18">
      <c r="A93">
        <f>IF(COUNTBLANK(B93:R93)&lt;&gt;COLUMNS(B93:R93),92,"")</f>
        <v>0</v>
      </c>
      <c r="C93" s="1">
        <f>IF(B93="", "", "Host-associated")</f>
        <v>0</v>
      </c>
      <c r="G93" s="1">
        <f>IF(B93="", "", "host-associated")</f>
        <v>0</v>
      </c>
      <c r="I93" s="1">
        <f>IF(B93="", "", "years")</f>
        <v>0</v>
      </c>
      <c r="L93" s="1">
        <f>IF(B93="", "", "cm")</f>
        <v>0</v>
      </c>
      <c r="P93" s="1">
        <f>IF(B93="", "", "kg")</f>
        <v>0</v>
      </c>
      <c r="R93" s="1">
        <f>IF(B93="", "", "Not applicable")</f>
        <v>0</v>
      </c>
    </row>
    <row r="94" spans="1:18">
      <c r="A94">
        <f>IF(COUNTBLANK(B94:R94)&lt;&gt;COLUMNS(B94:R94),93,"")</f>
        <v>0</v>
      </c>
      <c r="C94" s="1">
        <f>IF(B94="", "", "Host-associated")</f>
        <v>0</v>
      </c>
      <c r="G94" s="1">
        <f>IF(B94="", "", "host-associated")</f>
        <v>0</v>
      </c>
      <c r="I94" s="1">
        <f>IF(B94="", "", "years")</f>
        <v>0</v>
      </c>
      <c r="L94" s="1">
        <f>IF(B94="", "", "cm")</f>
        <v>0</v>
      </c>
      <c r="P94" s="1">
        <f>IF(B94="", "", "kg")</f>
        <v>0</v>
      </c>
      <c r="R94" s="1">
        <f>IF(B94="", "", "Not applicable")</f>
        <v>0</v>
      </c>
    </row>
    <row r="95" spans="1:18">
      <c r="A95">
        <f>IF(COUNTBLANK(B95:R95)&lt;&gt;COLUMNS(B95:R95),94,"")</f>
        <v>0</v>
      </c>
      <c r="C95" s="1">
        <f>IF(B95="", "", "Host-associated")</f>
        <v>0</v>
      </c>
      <c r="G95" s="1">
        <f>IF(B95="", "", "host-associated")</f>
        <v>0</v>
      </c>
      <c r="I95" s="1">
        <f>IF(B95="", "", "years")</f>
        <v>0</v>
      </c>
      <c r="L95" s="1">
        <f>IF(B95="", "", "cm")</f>
        <v>0</v>
      </c>
      <c r="P95" s="1">
        <f>IF(B95="", "", "kg")</f>
        <v>0</v>
      </c>
      <c r="R95" s="1">
        <f>IF(B95="", "", "Not applicable")</f>
        <v>0</v>
      </c>
    </row>
    <row r="96" spans="1:18">
      <c r="A96">
        <f>IF(COUNTBLANK(B96:R96)&lt;&gt;COLUMNS(B96:R96),95,"")</f>
        <v>0</v>
      </c>
      <c r="C96" s="1">
        <f>IF(B96="", "", "Host-associated")</f>
        <v>0</v>
      </c>
      <c r="G96" s="1">
        <f>IF(B96="", "", "host-associated")</f>
        <v>0</v>
      </c>
      <c r="I96" s="1">
        <f>IF(B96="", "", "years")</f>
        <v>0</v>
      </c>
      <c r="L96" s="1">
        <f>IF(B96="", "", "cm")</f>
        <v>0</v>
      </c>
      <c r="P96" s="1">
        <f>IF(B96="", "", "kg")</f>
        <v>0</v>
      </c>
      <c r="R96" s="1">
        <f>IF(B96="", "", "Not applicable")</f>
        <v>0</v>
      </c>
    </row>
    <row r="97" spans="1:18">
      <c r="A97">
        <f>IF(COUNTBLANK(B97:R97)&lt;&gt;COLUMNS(B97:R97),96,"")</f>
        <v>0</v>
      </c>
      <c r="C97" s="1">
        <f>IF(B97="", "", "Host-associated")</f>
        <v>0</v>
      </c>
      <c r="G97" s="1">
        <f>IF(B97="", "", "host-associated")</f>
        <v>0</v>
      </c>
      <c r="I97" s="1">
        <f>IF(B97="", "", "years")</f>
        <v>0</v>
      </c>
      <c r="L97" s="1">
        <f>IF(B97="", "", "cm")</f>
        <v>0</v>
      </c>
      <c r="P97" s="1">
        <f>IF(B97="", "", "kg")</f>
        <v>0</v>
      </c>
      <c r="R97" s="1">
        <f>IF(B97="", "", "Not applicable")</f>
        <v>0</v>
      </c>
    </row>
    <row r="98" spans="1:18">
      <c r="A98">
        <f>IF(COUNTBLANK(B98:R98)&lt;&gt;COLUMNS(B98:R98),97,"")</f>
        <v>0</v>
      </c>
      <c r="C98" s="1">
        <f>IF(B98="", "", "Host-associated")</f>
        <v>0</v>
      </c>
      <c r="G98" s="1">
        <f>IF(B98="", "", "host-associated")</f>
        <v>0</v>
      </c>
      <c r="I98" s="1">
        <f>IF(B98="", "", "years")</f>
        <v>0</v>
      </c>
      <c r="L98" s="1">
        <f>IF(B98="", "", "cm")</f>
        <v>0</v>
      </c>
      <c r="P98" s="1">
        <f>IF(B98="", "", "kg")</f>
        <v>0</v>
      </c>
      <c r="R98" s="1">
        <f>IF(B98="", "", "Not applicable")</f>
        <v>0</v>
      </c>
    </row>
    <row r="99" spans="1:18">
      <c r="A99">
        <f>IF(COUNTBLANK(B99:R99)&lt;&gt;COLUMNS(B99:R99),98,"")</f>
        <v>0</v>
      </c>
      <c r="C99" s="1">
        <f>IF(B99="", "", "Host-associated")</f>
        <v>0</v>
      </c>
      <c r="G99" s="1">
        <f>IF(B99="", "", "host-associated")</f>
        <v>0</v>
      </c>
      <c r="I99" s="1">
        <f>IF(B99="", "", "years")</f>
        <v>0</v>
      </c>
      <c r="L99" s="1">
        <f>IF(B99="", "", "cm")</f>
        <v>0</v>
      </c>
      <c r="P99" s="1">
        <f>IF(B99="", "", "kg")</f>
        <v>0</v>
      </c>
      <c r="R99" s="1">
        <f>IF(B99="", "", "Not applicable")</f>
        <v>0</v>
      </c>
    </row>
    <row r="100" spans="1:18">
      <c r="A100">
        <f>IF(COUNTBLANK(B100:R100)&lt;&gt;COLUMNS(B100:R100),99,"")</f>
        <v>0</v>
      </c>
      <c r="C100" s="1">
        <f>IF(B100="", "", "Host-associated")</f>
        <v>0</v>
      </c>
      <c r="G100" s="1">
        <f>IF(B100="", "", "host-associated")</f>
        <v>0</v>
      </c>
      <c r="I100" s="1">
        <f>IF(B100="", "", "years")</f>
        <v>0</v>
      </c>
      <c r="L100" s="1">
        <f>IF(B100="", "", "cm")</f>
        <v>0</v>
      </c>
      <c r="P100" s="1">
        <f>IF(B100="", "", "kg")</f>
        <v>0</v>
      </c>
      <c r="R100" s="1">
        <f>IF(B100="", "", "Not applicable")</f>
        <v>0</v>
      </c>
    </row>
    <row r="101" spans="1:18">
      <c r="A101">
        <f>IF(COUNTBLANK(B101:R101)&lt;&gt;COLUMNS(B101:R101),100,"")</f>
        <v>0</v>
      </c>
      <c r="C101" s="1">
        <f>IF(B101="", "", "Host-associated")</f>
        <v>0</v>
      </c>
      <c r="G101" s="1">
        <f>IF(B101="", "", "host-associated")</f>
        <v>0</v>
      </c>
      <c r="I101" s="1">
        <f>IF(B101="", "", "years")</f>
        <v>0</v>
      </c>
      <c r="L101" s="1">
        <f>IF(B101="", "", "cm")</f>
        <v>0</v>
      </c>
      <c r="P101" s="1">
        <f>IF(B101="", "", "kg")</f>
        <v>0</v>
      </c>
      <c r="R101" s="1">
        <f>IF(B101="", "", "Not applicable")</f>
        <v>0</v>
      </c>
    </row>
    <row r="102" spans="1:18">
      <c r="A102">
        <f>IF(COUNTBLANK(B102:R102)&lt;&gt;COLUMNS(B102:R102),101,"")</f>
        <v>0</v>
      </c>
      <c r="C102" s="1">
        <f>IF(B102="", "", "Host-associated")</f>
        <v>0</v>
      </c>
      <c r="G102" s="1">
        <f>IF(B102="", "", "host-associated")</f>
        <v>0</v>
      </c>
      <c r="I102" s="1">
        <f>IF(B102="", "", "years")</f>
        <v>0</v>
      </c>
      <c r="L102" s="1">
        <f>IF(B102="", "", "cm")</f>
        <v>0</v>
      </c>
      <c r="P102" s="1">
        <f>IF(B102="", "", "kg")</f>
        <v>0</v>
      </c>
      <c r="R102" s="1">
        <f>IF(B102="", "", "Not applicable")</f>
        <v>0</v>
      </c>
    </row>
    <row r="103" spans="1:18">
      <c r="A103">
        <f>IF(COUNTBLANK(B103:R103)&lt;&gt;COLUMNS(B103:R103),102,"")</f>
        <v>0</v>
      </c>
      <c r="C103" s="1">
        <f>IF(B103="", "", "Host-associated")</f>
        <v>0</v>
      </c>
      <c r="G103" s="1">
        <f>IF(B103="", "", "host-associated")</f>
        <v>0</v>
      </c>
      <c r="I103" s="1">
        <f>IF(B103="", "", "years")</f>
        <v>0</v>
      </c>
      <c r="L103" s="1">
        <f>IF(B103="", "", "cm")</f>
        <v>0</v>
      </c>
      <c r="P103" s="1">
        <f>IF(B103="", "", "kg")</f>
        <v>0</v>
      </c>
      <c r="R103" s="1">
        <f>IF(B103="", "", "Not applicable")</f>
        <v>0</v>
      </c>
    </row>
    <row r="104" spans="1:18">
      <c r="A104">
        <f>IF(COUNTBLANK(B104:R104)&lt;&gt;COLUMNS(B104:R104),103,"")</f>
        <v>0</v>
      </c>
      <c r="C104" s="1">
        <f>IF(B104="", "", "Host-associated")</f>
        <v>0</v>
      </c>
      <c r="G104" s="1">
        <f>IF(B104="", "", "host-associated")</f>
        <v>0</v>
      </c>
      <c r="I104" s="1">
        <f>IF(B104="", "", "years")</f>
        <v>0</v>
      </c>
      <c r="L104" s="1">
        <f>IF(B104="", "", "cm")</f>
        <v>0</v>
      </c>
      <c r="P104" s="1">
        <f>IF(B104="", "", "kg")</f>
        <v>0</v>
      </c>
      <c r="R104" s="1">
        <f>IF(B104="", "", "Not applicable")</f>
        <v>0</v>
      </c>
    </row>
    <row r="105" spans="1:18">
      <c r="A105">
        <f>IF(COUNTBLANK(B105:R105)&lt;&gt;COLUMNS(B105:R105),104,"")</f>
        <v>0</v>
      </c>
      <c r="C105" s="1">
        <f>IF(B105="", "", "Host-associated")</f>
        <v>0</v>
      </c>
      <c r="G105" s="1">
        <f>IF(B105="", "", "host-associated")</f>
        <v>0</v>
      </c>
      <c r="I105" s="1">
        <f>IF(B105="", "", "years")</f>
        <v>0</v>
      </c>
      <c r="L105" s="1">
        <f>IF(B105="", "", "cm")</f>
        <v>0</v>
      </c>
      <c r="P105" s="1">
        <f>IF(B105="", "", "kg")</f>
        <v>0</v>
      </c>
      <c r="R105" s="1">
        <f>IF(B105="", "", "Not applicable")</f>
        <v>0</v>
      </c>
    </row>
    <row r="106" spans="1:18">
      <c r="A106">
        <f>IF(COUNTBLANK(B106:R106)&lt;&gt;COLUMNS(B106:R106),105,"")</f>
        <v>0</v>
      </c>
      <c r="C106" s="1">
        <f>IF(B106="", "", "Host-associated")</f>
        <v>0</v>
      </c>
      <c r="G106" s="1">
        <f>IF(B106="", "", "host-associated")</f>
        <v>0</v>
      </c>
      <c r="I106" s="1">
        <f>IF(B106="", "", "years")</f>
        <v>0</v>
      </c>
      <c r="L106" s="1">
        <f>IF(B106="", "", "cm")</f>
        <v>0</v>
      </c>
      <c r="P106" s="1">
        <f>IF(B106="", "", "kg")</f>
        <v>0</v>
      </c>
      <c r="R106" s="1">
        <f>IF(B106="", "", "Not applicable")</f>
        <v>0</v>
      </c>
    </row>
    <row r="107" spans="1:18">
      <c r="A107">
        <f>IF(COUNTBLANK(B107:R107)&lt;&gt;COLUMNS(B107:R107),106,"")</f>
        <v>0</v>
      </c>
      <c r="C107" s="1">
        <f>IF(B107="", "", "Host-associated")</f>
        <v>0</v>
      </c>
      <c r="G107" s="1">
        <f>IF(B107="", "", "host-associated")</f>
        <v>0</v>
      </c>
      <c r="I107" s="1">
        <f>IF(B107="", "", "years")</f>
        <v>0</v>
      </c>
      <c r="L107" s="1">
        <f>IF(B107="", "", "cm")</f>
        <v>0</v>
      </c>
      <c r="P107" s="1">
        <f>IF(B107="", "", "kg")</f>
        <v>0</v>
      </c>
      <c r="R107" s="1">
        <f>IF(B107="", "", "Not applicable")</f>
        <v>0</v>
      </c>
    </row>
    <row r="108" spans="1:18">
      <c r="A108">
        <f>IF(COUNTBLANK(B108:R108)&lt;&gt;COLUMNS(B108:R108),107,"")</f>
        <v>0</v>
      </c>
      <c r="C108" s="1">
        <f>IF(B108="", "", "Host-associated")</f>
        <v>0</v>
      </c>
      <c r="G108" s="1">
        <f>IF(B108="", "", "host-associated")</f>
        <v>0</v>
      </c>
      <c r="I108" s="1">
        <f>IF(B108="", "", "years")</f>
        <v>0</v>
      </c>
      <c r="L108" s="1">
        <f>IF(B108="", "", "cm")</f>
        <v>0</v>
      </c>
      <c r="P108" s="1">
        <f>IF(B108="", "", "kg")</f>
        <v>0</v>
      </c>
      <c r="R108" s="1">
        <f>IF(B108="", "", "Not applicable")</f>
        <v>0</v>
      </c>
    </row>
    <row r="109" spans="1:18">
      <c r="A109">
        <f>IF(COUNTBLANK(B109:R109)&lt;&gt;COLUMNS(B109:R109),108,"")</f>
        <v>0</v>
      </c>
      <c r="C109" s="1">
        <f>IF(B109="", "", "Host-associated")</f>
        <v>0</v>
      </c>
      <c r="G109" s="1">
        <f>IF(B109="", "", "host-associated")</f>
        <v>0</v>
      </c>
      <c r="I109" s="1">
        <f>IF(B109="", "", "years")</f>
        <v>0</v>
      </c>
      <c r="L109" s="1">
        <f>IF(B109="", "", "cm")</f>
        <v>0</v>
      </c>
      <c r="P109" s="1">
        <f>IF(B109="", "", "kg")</f>
        <v>0</v>
      </c>
      <c r="R109" s="1">
        <f>IF(B109="", "", "Not applicable")</f>
        <v>0</v>
      </c>
    </row>
    <row r="110" spans="1:18">
      <c r="A110">
        <f>IF(COUNTBLANK(B110:R110)&lt;&gt;COLUMNS(B110:R110),109,"")</f>
        <v>0</v>
      </c>
      <c r="C110" s="1">
        <f>IF(B110="", "", "Host-associated")</f>
        <v>0</v>
      </c>
      <c r="G110" s="1">
        <f>IF(B110="", "", "host-associated")</f>
        <v>0</v>
      </c>
      <c r="I110" s="1">
        <f>IF(B110="", "", "years")</f>
        <v>0</v>
      </c>
      <c r="L110" s="1">
        <f>IF(B110="", "", "cm")</f>
        <v>0</v>
      </c>
      <c r="P110" s="1">
        <f>IF(B110="", "", "kg")</f>
        <v>0</v>
      </c>
      <c r="R110" s="1">
        <f>IF(B110="", "", "Not applicable")</f>
        <v>0</v>
      </c>
    </row>
    <row r="111" spans="1:18">
      <c r="A111">
        <f>IF(COUNTBLANK(B111:R111)&lt;&gt;COLUMNS(B111:R111),110,"")</f>
        <v>0</v>
      </c>
      <c r="C111" s="1">
        <f>IF(B111="", "", "Host-associated")</f>
        <v>0</v>
      </c>
      <c r="G111" s="1">
        <f>IF(B111="", "", "host-associated")</f>
        <v>0</v>
      </c>
      <c r="I111" s="1">
        <f>IF(B111="", "", "years")</f>
        <v>0</v>
      </c>
      <c r="L111" s="1">
        <f>IF(B111="", "", "cm")</f>
        <v>0</v>
      </c>
      <c r="P111" s="1">
        <f>IF(B111="", "", "kg")</f>
        <v>0</v>
      </c>
      <c r="R111" s="1">
        <f>IF(B111="", "", "Not applicable")</f>
        <v>0</v>
      </c>
    </row>
    <row r="112" spans="1:18">
      <c r="A112">
        <f>IF(COUNTBLANK(B112:R112)&lt;&gt;COLUMNS(B112:R112),111,"")</f>
        <v>0</v>
      </c>
      <c r="C112" s="1">
        <f>IF(B112="", "", "Host-associated")</f>
        <v>0</v>
      </c>
      <c r="G112" s="1">
        <f>IF(B112="", "", "host-associated")</f>
        <v>0</v>
      </c>
      <c r="I112" s="1">
        <f>IF(B112="", "", "years")</f>
        <v>0</v>
      </c>
      <c r="L112" s="1">
        <f>IF(B112="", "", "cm")</f>
        <v>0</v>
      </c>
      <c r="P112" s="1">
        <f>IF(B112="", "", "kg")</f>
        <v>0</v>
      </c>
      <c r="R112" s="1">
        <f>IF(B112="", "", "Not applicable")</f>
        <v>0</v>
      </c>
    </row>
    <row r="113" spans="1:18">
      <c r="A113">
        <f>IF(COUNTBLANK(B113:R113)&lt;&gt;COLUMNS(B113:R113),112,"")</f>
        <v>0</v>
      </c>
      <c r="C113" s="1">
        <f>IF(B113="", "", "Host-associated")</f>
        <v>0</v>
      </c>
      <c r="G113" s="1">
        <f>IF(B113="", "", "host-associated")</f>
        <v>0</v>
      </c>
      <c r="I113" s="1">
        <f>IF(B113="", "", "years")</f>
        <v>0</v>
      </c>
      <c r="L113" s="1">
        <f>IF(B113="", "", "cm")</f>
        <v>0</v>
      </c>
      <c r="P113" s="1">
        <f>IF(B113="", "", "kg")</f>
        <v>0</v>
      </c>
      <c r="R113" s="1">
        <f>IF(B113="", "", "Not applicable")</f>
        <v>0</v>
      </c>
    </row>
    <row r="114" spans="1:18">
      <c r="A114">
        <f>IF(COUNTBLANK(B114:R114)&lt;&gt;COLUMNS(B114:R114),113,"")</f>
        <v>0</v>
      </c>
      <c r="C114" s="1">
        <f>IF(B114="", "", "Host-associated")</f>
        <v>0</v>
      </c>
      <c r="G114" s="1">
        <f>IF(B114="", "", "host-associated")</f>
        <v>0</v>
      </c>
      <c r="I114" s="1">
        <f>IF(B114="", "", "years")</f>
        <v>0</v>
      </c>
      <c r="L114" s="1">
        <f>IF(B114="", "", "cm")</f>
        <v>0</v>
      </c>
      <c r="P114" s="1">
        <f>IF(B114="", "", "kg")</f>
        <v>0</v>
      </c>
      <c r="R114" s="1">
        <f>IF(B114="", "", "Not applicable")</f>
        <v>0</v>
      </c>
    </row>
    <row r="115" spans="1:18">
      <c r="A115">
        <f>IF(COUNTBLANK(B115:R115)&lt;&gt;COLUMNS(B115:R115),114,"")</f>
        <v>0</v>
      </c>
      <c r="C115" s="1">
        <f>IF(B115="", "", "Host-associated")</f>
        <v>0</v>
      </c>
      <c r="G115" s="1">
        <f>IF(B115="", "", "host-associated")</f>
        <v>0</v>
      </c>
      <c r="I115" s="1">
        <f>IF(B115="", "", "years")</f>
        <v>0</v>
      </c>
      <c r="L115" s="1">
        <f>IF(B115="", "", "cm")</f>
        <v>0</v>
      </c>
      <c r="P115" s="1">
        <f>IF(B115="", "", "kg")</f>
        <v>0</v>
      </c>
      <c r="R115" s="1">
        <f>IF(B115="", "", "Not applicable")</f>
        <v>0</v>
      </c>
    </row>
    <row r="116" spans="1:18">
      <c r="A116">
        <f>IF(COUNTBLANK(B116:R116)&lt;&gt;COLUMNS(B116:R116),115,"")</f>
        <v>0</v>
      </c>
      <c r="C116" s="1">
        <f>IF(B116="", "", "Host-associated")</f>
        <v>0</v>
      </c>
      <c r="G116" s="1">
        <f>IF(B116="", "", "host-associated")</f>
        <v>0</v>
      </c>
      <c r="I116" s="1">
        <f>IF(B116="", "", "years")</f>
        <v>0</v>
      </c>
      <c r="L116" s="1">
        <f>IF(B116="", "", "cm")</f>
        <v>0</v>
      </c>
      <c r="P116" s="1">
        <f>IF(B116="", "", "kg")</f>
        <v>0</v>
      </c>
      <c r="R116" s="1">
        <f>IF(B116="", "", "Not applicable")</f>
        <v>0</v>
      </c>
    </row>
    <row r="117" spans="1:18">
      <c r="A117">
        <f>IF(COUNTBLANK(B117:R117)&lt;&gt;COLUMNS(B117:R117),116,"")</f>
        <v>0</v>
      </c>
      <c r="C117" s="1">
        <f>IF(B117="", "", "Host-associated")</f>
        <v>0</v>
      </c>
      <c r="G117" s="1">
        <f>IF(B117="", "", "host-associated")</f>
        <v>0</v>
      </c>
      <c r="I117" s="1">
        <f>IF(B117="", "", "years")</f>
        <v>0</v>
      </c>
      <c r="L117" s="1">
        <f>IF(B117="", "", "cm")</f>
        <v>0</v>
      </c>
      <c r="P117" s="1">
        <f>IF(B117="", "", "kg")</f>
        <v>0</v>
      </c>
      <c r="R117" s="1">
        <f>IF(B117="", "", "Not applicable")</f>
        <v>0</v>
      </c>
    </row>
    <row r="118" spans="1:18">
      <c r="A118">
        <f>IF(COUNTBLANK(B118:R118)&lt;&gt;COLUMNS(B118:R118),117,"")</f>
        <v>0</v>
      </c>
      <c r="C118" s="1">
        <f>IF(B118="", "", "Host-associated")</f>
        <v>0</v>
      </c>
      <c r="G118" s="1">
        <f>IF(B118="", "", "host-associated")</f>
        <v>0</v>
      </c>
      <c r="I118" s="1">
        <f>IF(B118="", "", "years")</f>
        <v>0</v>
      </c>
      <c r="L118" s="1">
        <f>IF(B118="", "", "cm")</f>
        <v>0</v>
      </c>
      <c r="P118" s="1">
        <f>IF(B118="", "", "kg")</f>
        <v>0</v>
      </c>
      <c r="R118" s="1">
        <f>IF(B118="", "", "Not applicable")</f>
        <v>0</v>
      </c>
    </row>
    <row r="119" spans="1:18">
      <c r="A119">
        <f>IF(COUNTBLANK(B119:R119)&lt;&gt;COLUMNS(B119:R119),118,"")</f>
        <v>0</v>
      </c>
      <c r="C119" s="1">
        <f>IF(B119="", "", "Host-associated")</f>
        <v>0</v>
      </c>
      <c r="G119" s="1">
        <f>IF(B119="", "", "host-associated")</f>
        <v>0</v>
      </c>
      <c r="I119" s="1">
        <f>IF(B119="", "", "years")</f>
        <v>0</v>
      </c>
      <c r="L119" s="1">
        <f>IF(B119="", "", "cm")</f>
        <v>0</v>
      </c>
      <c r="P119" s="1">
        <f>IF(B119="", "", "kg")</f>
        <v>0</v>
      </c>
      <c r="R119" s="1">
        <f>IF(B119="", "", "Not applicable")</f>
        <v>0</v>
      </c>
    </row>
    <row r="120" spans="1:18">
      <c r="A120">
        <f>IF(COUNTBLANK(B120:R120)&lt;&gt;COLUMNS(B120:R120),119,"")</f>
        <v>0</v>
      </c>
      <c r="C120" s="1">
        <f>IF(B120="", "", "Host-associated")</f>
        <v>0</v>
      </c>
      <c r="G120" s="1">
        <f>IF(B120="", "", "host-associated")</f>
        <v>0</v>
      </c>
      <c r="I120" s="1">
        <f>IF(B120="", "", "years")</f>
        <v>0</v>
      </c>
      <c r="L120" s="1">
        <f>IF(B120="", "", "cm")</f>
        <v>0</v>
      </c>
      <c r="P120" s="1">
        <f>IF(B120="", "", "kg")</f>
        <v>0</v>
      </c>
      <c r="R120" s="1">
        <f>IF(B120="", "", "Not applicable")</f>
        <v>0</v>
      </c>
    </row>
    <row r="121" spans="1:18">
      <c r="A121">
        <f>IF(COUNTBLANK(B121:R121)&lt;&gt;COLUMNS(B121:R121),120,"")</f>
        <v>0</v>
      </c>
      <c r="C121" s="1">
        <f>IF(B121="", "", "Host-associated")</f>
        <v>0</v>
      </c>
      <c r="G121" s="1">
        <f>IF(B121="", "", "host-associated")</f>
        <v>0</v>
      </c>
      <c r="I121" s="1">
        <f>IF(B121="", "", "years")</f>
        <v>0</v>
      </c>
      <c r="L121" s="1">
        <f>IF(B121="", "", "cm")</f>
        <v>0</v>
      </c>
      <c r="P121" s="1">
        <f>IF(B121="", "", "kg")</f>
        <v>0</v>
      </c>
      <c r="R121" s="1">
        <f>IF(B121="", "", "Not applicable")</f>
        <v>0</v>
      </c>
    </row>
    <row r="122" spans="1:18">
      <c r="A122">
        <f>IF(COUNTBLANK(B122:R122)&lt;&gt;COLUMNS(B122:R122),121,"")</f>
        <v>0</v>
      </c>
      <c r="C122" s="1">
        <f>IF(B122="", "", "Host-associated")</f>
        <v>0</v>
      </c>
      <c r="G122" s="1">
        <f>IF(B122="", "", "host-associated")</f>
        <v>0</v>
      </c>
      <c r="I122" s="1">
        <f>IF(B122="", "", "years")</f>
        <v>0</v>
      </c>
      <c r="L122" s="1">
        <f>IF(B122="", "", "cm")</f>
        <v>0</v>
      </c>
      <c r="P122" s="1">
        <f>IF(B122="", "", "kg")</f>
        <v>0</v>
      </c>
      <c r="R122" s="1">
        <f>IF(B122="", "", "Not applicable")</f>
        <v>0</v>
      </c>
    </row>
    <row r="123" spans="1:18">
      <c r="A123">
        <f>IF(COUNTBLANK(B123:R123)&lt;&gt;COLUMNS(B123:R123),122,"")</f>
        <v>0</v>
      </c>
      <c r="C123" s="1">
        <f>IF(B123="", "", "Host-associated")</f>
        <v>0</v>
      </c>
      <c r="G123" s="1">
        <f>IF(B123="", "", "host-associated")</f>
        <v>0</v>
      </c>
      <c r="I123" s="1">
        <f>IF(B123="", "", "years")</f>
        <v>0</v>
      </c>
      <c r="L123" s="1">
        <f>IF(B123="", "", "cm")</f>
        <v>0</v>
      </c>
      <c r="P123" s="1">
        <f>IF(B123="", "", "kg")</f>
        <v>0</v>
      </c>
      <c r="R123" s="1">
        <f>IF(B123="", "", "Not applicable")</f>
        <v>0</v>
      </c>
    </row>
    <row r="124" spans="1:18">
      <c r="A124">
        <f>IF(COUNTBLANK(B124:R124)&lt;&gt;COLUMNS(B124:R124),123,"")</f>
        <v>0</v>
      </c>
      <c r="C124" s="1">
        <f>IF(B124="", "", "Host-associated")</f>
        <v>0</v>
      </c>
      <c r="G124" s="1">
        <f>IF(B124="", "", "host-associated")</f>
        <v>0</v>
      </c>
      <c r="I124" s="1">
        <f>IF(B124="", "", "years")</f>
        <v>0</v>
      </c>
      <c r="L124" s="1">
        <f>IF(B124="", "", "cm")</f>
        <v>0</v>
      </c>
      <c r="P124" s="1">
        <f>IF(B124="", "", "kg")</f>
        <v>0</v>
      </c>
      <c r="R124" s="1">
        <f>IF(B124="", "", "Not applicable")</f>
        <v>0</v>
      </c>
    </row>
    <row r="125" spans="1:18">
      <c r="A125">
        <f>IF(COUNTBLANK(B125:R125)&lt;&gt;COLUMNS(B125:R125),124,"")</f>
        <v>0</v>
      </c>
      <c r="C125" s="1">
        <f>IF(B125="", "", "Host-associated")</f>
        <v>0</v>
      </c>
      <c r="G125" s="1">
        <f>IF(B125="", "", "host-associated")</f>
        <v>0</v>
      </c>
      <c r="I125" s="1">
        <f>IF(B125="", "", "years")</f>
        <v>0</v>
      </c>
      <c r="L125" s="1">
        <f>IF(B125="", "", "cm")</f>
        <v>0</v>
      </c>
      <c r="P125" s="1">
        <f>IF(B125="", "", "kg")</f>
        <v>0</v>
      </c>
      <c r="R125" s="1">
        <f>IF(B125="", "", "Not applicable")</f>
        <v>0</v>
      </c>
    </row>
    <row r="126" spans="1:18">
      <c r="A126">
        <f>IF(COUNTBLANK(B126:R126)&lt;&gt;COLUMNS(B126:R126),125,"")</f>
        <v>0</v>
      </c>
      <c r="C126" s="1">
        <f>IF(B126="", "", "Host-associated")</f>
        <v>0</v>
      </c>
      <c r="G126" s="1">
        <f>IF(B126="", "", "host-associated")</f>
        <v>0</v>
      </c>
      <c r="I126" s="1">
        <f>IF(B126="", "", "years")</f>
        <v>0</v>
      </c>
      <c r="L126" s="1">
        <f>IF(B126="", "", "cm")</f>
        <v>0</v>
      </c>
      <c r="P126" s="1">
        <f>IF(B126="", "", "kg")</f>
        <v>0</v>
      </c>
      <c r="R126" s="1">
        <f>IF(B126="", "", "Not applicable")</f>
        <v>0</v>
      </c>
    </row>
    <row r="127" spans="1:18">
      <c r="A127">
        <f>IF(COUNTBLANK(B127:R127)&lt;&gt;COLUMNS(B127:R127),126,"")</f>
        <v>0</v>
      </c>
      <c r="C127" s="1">
        <f>IF(B127="", "", "Host-associated")</f>
        <v>0</v>
      </c>
      <c r="G127" s="1">
        <f>IF(B127="", "", "host-associated")</f>
        <v>0</v>
      </c>
      <c r="I127" s="1">
        <f>IF(B127="", "", "years")</f>
        <v>0</v>
      </c>
      <c r="L127" s="1">
        <f>IF(B127="", "", "cm")</f>
        <v>0</v>
      </c>
      <c r="P127" s="1">
        <f>IF(B127="", "", "kg")</f>
        <v>0</v>
      </c>
      <c r="R127" s="1">
        <f>IF(B127="", "", "Not applicable")</f>
        <v>0</v>
      </c>
    </row>
    <row r="128" spans="1:18">
      <c r="A128">
        <f>IF(COUNTBLANK(B128:R128)&lt;&gt;COLUMNS(B128:R128),127,"")</f>
        <v>0</v>
      </c>
      <c r="C128" s="1">
        <f>IF(B128="", "", "Host-associated")</f>
        <v>0</v>
      </c>
      <c r="G128" s="1">
        <f>IF(B128="", "", "host-associated")</f>
        <v>0</v>
      </c>
      <c r="I128" s="1">
        <f>IF(B128="", "", "years")</f>
        <v>0</v>
      </c>
      <c r="L128" s="1">
        <f>IF(B128="", "", "cm")</f>
        <v>0</v>
      </c>
      <c r="P128" s="1">
        <f>IF(B128="", "", "kg")</f>
        <v>0</v>
      </c>
      <c r="R128" s="1">
        <f>IF(B128="", "", "Not applicable")</f>
        <v>0</v>
      </c>
    </row>
    <row r="129" spans="1:18">
      <c r="A129">
        <f>IF(COUNTBLANK(B129:R129)&lt;&gt;COLUMNS(B129:R129),128,"")</f>
        <v>0</v>
      </c>
      <c r="C129" s="1">
        <f>IF(B129="", "", "Host-associated")</f>
        <v>0</v>
      </c>
      <c r="G129" s="1">
        <f>IF(B129="", "", "host-associated")</f>
        <v>0</v>
      </c>
      <c r="I129" s="1">
        <f>IF(B129="", "", "years")</f>
        <v>0</v>
      </c>
      <c r="L129" s="1">
        <f>IF(B129="", "", "cm")</f>
        <v>0</v>
      </c>
      <c r="P129" s="1">
        <f>IF(B129="", "", "kg")</f>
        <v>0</v>
      </c>
      <c r="R129" s="1">
        <f>IF(B129="", "", "Not applicable")</f>
        <v>0</v>
      </c>
    </row>
    <row r="130" spans="1:18">
      <c r="A130">
        <f>IF(COUNTBLANK(B130:R130)&lt;&gt;COLUMNS(B130:R130),129,"")</f>
        <v>0</v>
      </c>
      <c r="C130" s="1">
        <f>IF(B130="", "", "Host-associated")</f>
        <v>0</v>
      </c>
      <c r="G130" s="1">
        <f>IF(B130="", "", "host-associated")</f>
        <v>0</v>
      </c>
      <c r="I130" s="1">
        <f>IF(B130="", "", "years")</f>
        <v>0</v>
      </c>
      <c r="L130" s="1">
        <f>IF(B130="", "", "cm")</f>
        <v>0</v>
      </c>
      <c r="P130" s="1">
        <f>IF(B130="", "", "kg")</f>
        <v>0</v>
      </c>
      <c r="R130" s="1">
        <f>IF(B130="", "", "Not applicable")</f>
        <v>0</v>
      </c>
    </row>
    <row r="131" spans="1:18">
      <c r="A131">
        <f>IF(COUNTBLANK(B131:R131)&lt;&gt;COLUMNS(B131:R131),130,"")</f>
        <v>0</v>
      </c>
      <c r="C131" s="1">
        <f>IF(B131="", "", "Host-associated")</f>
        <v>0</v>
      </c>
      <c r="G131" s="1">
        <f>IF(B131="", "", "host-associated")</f>
        <v>0</v>
      </c>
      <c r="I131" s="1">
        <f>IF(B131="", "", "years")</f>
        <v>0</v>
      </c>
      <c r="L131" s="1">
        <f>IF(B131="", "", "cm")</f>
        <v>0</v>
      </c>
      <c r="P131" s="1">
        <f>IF(B131="", "", "kg")</f>
        <v>0</v>
      </c>
      <c r="R131" s="1">
        <f>IF(B131="", "", "Not applicable")</f>
        <v>0</v>
      </c>
    </row>
    <row r="132" spans="1:18">
      <c r="A132">
        <f>IF(COUNTBLANK(B132:R132)&lt;&gt;COLUMNS(B132:R132),131,"")</f>
        <v>0</v>
      </c>
      <c r="C132" s="1">
        <f>IF(B132="", "", "Host-associated")</f>
        <v>0</v>
      </c>
      <c r="G132" s="1">
        <f>IF(B132="", "", "host-associated")</f>
        <v>0</v>
      </c>
      <c r="I132" s="1">
        <f>IF(B132="", "", "years")</f>
        <v>0</v>
      </c>
      <c r="L132" s="1">
        <f>IF(B132="", "", "cm")</f>
        <v>0</v>
      </c>
      <c r="P132" s="1">
        <f>IF(B132="", "", "kg")</f>
        <v>0</v>
      </c>
      <c r="R132" s="1">
        <f>IF(B132="", "", "Not applicable")</f>
        <v>0</v>
      </c>
    </row>
    <row r="133" spans="1:18">
      <c r="A133">
        <f>IF(COUNTBLANK(B133:R133)&lt;&gt;COLUMNS(B133:R133),132,"")</f>
        <v>0</v>
      </c>
      <c r="C133" s="1">
        <f>IF(B133="", "", "Host-associated")</f>
        <v>0</v>
      </c>
      <c r="G133" s="1">
        <f>IF(B133="", "", "host-associated")</f>
        <v>0</v>
      </c>
      <c r="I133" s="1">
        <f>IF(B133="", "", "years")</f>
        <v>0</v>
      </c>
      <c r="L133" s="1">
        <f>IF(B133="", "", "cm")</f>
        <v>0</v>
      </c>
      <c r="P133" s="1">
        <f>IF(B133="", "", "kg")</f>
        <v>0</v>
      </c>
      <c r="R133" s="1">
        <f>IF(B133="", "", "Not applicable")</f>
        <v>0</v>
      </c>
    </row>
    <row r="134" spans="1:18">
      <c r="A134">
        <f>IF(COUNTBLANK(B134:R134)&lt;&gt;COLUMNS(B134:R134),133,"")</f>
        <v>0</v>
      </c>
      <c r="C134" s="1">
        <f>IF(B134="", "", "Host-associated")</f>
        <v>0</v>
      </c>
      <c r="G134" s="1">
        <f>IF(B134="", "", "host-associated")</f>
        <v>0</v>
      </c>
      <c r="I134" s="1">
        <f>IF(B134="", "", "years")</f>
        <v>0</v>
      </c>
      <c r="L134" s="1">
        <f>IF(B134="", "", "cm")</f>
        <v>0</v>
      </c>
      <c r="P134" s="1">
        <f>IF(B134="", "", "kg")</f>
        <v>0</v>
      </c>
      <c r="R134" s="1">
        <f>IF(B134="", "", "Not applicable")</f>
        <v>0</v>
      </c>
    </row>
    <row r="135" spans="1:18">
      <c r="A135">
        <f>IF(COUNTBLANK(B135:R135)&lt;&gt;COLUMNS(B135:R135),134,"")</f>
        <v>0</v>
      </c>
      <c r="C135" s="1">
        <f>IF(B135="", "", "Host-associated")</f>
        <v>0</v>
      </c>
      <c r="G135" s="1">
        <f>IF(B135="", "", "host-associated")</f>
        <v>0</v>
      </c>
      <c r="I135" s="1">
        <f>IF(B135="", "", "years")</f>
        <v>0</v>
      </c>
      <c r="L135" s="1">
        <f>IF(B135="", "", "cm")</f>
        <v>0</v>
      </c>
      <c r="P135" s="1">
        <f>IF(B135="", "", "kg")</f>
        <v>0</v>
      </c>
      <c r="R135" s="1">
        <f>IF(B135="", "", "Not applicable")</f>
        <v>0</v>
      </c>
    </row>
    <row r="136" spans="1:18">
      <c r="A136">
        <f>IF(COUNTBLANK(B136:R136)&lt;&gt;COLUMNS(B136:R136),135,"")</f>
        <v>0</v>
      </c>
      <c r="C136" s="1">
        <f>IF(B136="", "", "Host-associated")</f>
        <v>0</v>
      </c>
      <c r="G136" s="1">
        <f>IF(B136="", "", "host-associated")</f>
        <v>0</v>
      </c>
      <c r="I136" s="1">
        <f>IF(B136="", "", "years")</f>
        <v>0</v>
      </c>
      <c r="L136" s="1">
        <f>IF(B136="", "", "cm")</f>
        <v>0</v>
      </c>
      <c r="P136" s="1">
        <f>IF(B136="", "", "kg")</f>
        <v>0</v>
      </c>
      <c r="R136" s="1">
        <f>IF(B136="", "", "Not applicable")</f>
        <v>0</v>
      </c>
    </row>
    <row r="137" spans="1:18">
      <c r="A137">
        <f>IF(COUNTBLANK(B137:R137)&lt;&gt;COLUMNS(B137:R137),136,"")</f>
        <v>0</v>
      </c>
      <c r="C137" s="1">
        <f>IF(B137="", "", "Host-associated")</f>
        <v>0</v>
      </c>
      <c r="G137" s="1">
        <f>IF(B137="", "", "host-associated")</f>
        <v>0</v>
      </c>
      <c r="I137" s="1">
        <f>IF(B137="", "", "years")</f>
        <v>0</v>
      </c>
      <c r="L137" s="1">
        <f>IF(B137="", "", "cm")</f>
        <v>0</v>
      </c>
      <c r="P137" s="1">
        <f>IF(B137="", "", "kg")</f>
        <v>0</v>
      </c>
      <c r="R137" s="1">
        <f>IF(B137="", "", "Not applicable")</f>
        <v>0</v>
      </c>
    </row>
    <row r="138" spans="1:18">
      <c r="A138">
        <f>IF(COUNTBLANK(B138:R138)&lt;&gt;COLUMNS(B138:R138),137,"")</f>
        <v>0</v>
      </c>
      <c r="C138" s="1">
        <f>IF(B138="", "", "Host-associated")</f>
        <v>0</v>
      </c>
      <c r="G138" s="1">
        <f>IF(B138="", "", "host-associated")</f>
        <v>0</v>
      </c>
      <c r="I138" s="1">
        <f>IF(B138="", "", "years")</f>
        <v>0</v>
      </c>
      <c r="L138" s="1">
        <f>IF(B138="", "", "cm")</f>
        <v>0</v>
      </c>
      <c r="P138" s="1">
        <f>IF(B138="", "", "kg")</f>
        <v>0</v>
      </c>
      <c r="R138" s="1">
        <f>IF(B138="", "", "Not applicable")</f>
        <v>0</v>
      </c>
    </row>
    <row r="139" spans="1:18">
      <c r="A139">
        <f>IF(COUNTBLANK(B139:R139)&lt;&gt;COLUMNS(B139:R139),138,"")</f>
        <v>0</v>
      </c>
      <c r="C139" s="1">
        <f>IF(B139="", "", "Host-associated")</f>
        <v>0</v>
      </c>
      <c r="G139" s="1">
        <f>IF(B139="", "", "host-associated")</f>
        <v>0</v>
      </c>
      <c r="I139" s="1">
        <f>IF(B139="", "", "years")</f>
        <v>0</v>
      </c>
      <c r="L139" s="1">
        <f>IF(B139="", "", "cm")</f>
        <v>0</v>
      </c>
      <c r="P139" s="1">
        <f>IF(B139="", "", "kg")</f>
        <v>0</v>
      </c>
      <c r="R139" s="1">
        <f>IF(B139="", "", "Not applicable")</f>
        <v>0</v>
      </c>
    </row>
    <row r="140" spans="1:18">
      <c r="A140">
        <f>IF(COUNTBLANK(B140:R140)&lt;&gt;COLUMNS(B140:R140),139,"")</f>
        <v>0</v>
      </c>
      <c r="C140" s="1">
        <f>IF(B140="", "", "Host-associated")</f>
        <v>0</v>
      </c>
      <c r="G140" s="1">
        <f>IF(B140="", "", "host-associated")</f>
        <v>0</v>
      </c>
      <c r="I140" s="1">
        <f>IF(B140="", "", "years")</f>
        <v>0</v>
      </c>
      <c r="L140" s="1">
        <f>IF(B140="", "", "cm")</f>
        <v>0</v>
      </c>
      <c r="P140" s="1">
        <f>IF(B140="", "", "kg")</f>
        <v>0</v>
      </c>
      <c r="R140" s="1">
        <f>IF(B140="", "", "Not applicable")</f>
        <v>0</v>
      </c>
    </row>
    <row r="141" spans="1:18">
      <c r="A141">
        <f>IF(COUNTBLANK(B141:R141)&lt;&gt;COLUMNS(B141:R141),140,"")</f>
        <v>0</v>
      </c>
      <c r="C141" s="1">
        <f>IF(B141="", "", "Host-associated")</f>
        <v>0</v>
      </c>
      <c r="G141" s="1">
        <f>IF(B141="", "", "host-associated")</f>
        <v>0</v>
      </c>
      <c r="I141" s="1">
        <f>IF(B141="", "", "years")</f>
        <v>0</v>
      </c>
      <c r="L141" s="1">
        <f>IF(B141="", "", "cm")</f>
        <v>0</v>
      </c>
      <c r="P141" s="1">
        <f>IF(B141="", "", "kg")</f>
        <v>0</v>
      </c>
      <c r="R141" s="1">
        <f>IF(B141="", "", "Not applicable")</f>
        <v>0</v>
      </c>
    </row>
    <row r="142" spans="1:18">
      <c r="A142">
        <f>IF(COUNTBLANK(B142:R142)&lt;&gt;COLUMNS(B142:R142),141,"")</f>
        <v>0</v>
      </c>
      <c r="C142" s="1">
        <f>IF(B142="", "", "Host-associated")</f>
        <v>0</v>
      </c>
      <c r="G142" s="1">
        <f>IF(B142="", "", "host-associated")</f>
        <v>0</v>
      </c>
      <c r="I142" s="1">
        <f>IF(B142="", "", "years")</f>
        <v>0</v>
      </c>
      <c r="L142" s="1">
        <f>IF(B142="", "", "cm")</f>
        <v>0</v>
      </c>
      <c r="P142" s="1">
        <f>IF(B142="", "", "kg")</f>
        <v>0</v>
      </c>
      <c r="R142" s="1">
        <f>IF(B142="", "", "Not applicable")</f>
        <v>0</v>
      </c>
    </row>
    <row r="143" spans="1:18">
      <c r="A143">
        <f>IF(COUNTBLANK(B143:R143)&lt;&gt;COLUMNS(B143:R143),142,"")</f>
        <v>0</v>
      </c>
      <c r="C143" s="1">
        <f>IF(B143="", "", "Host-associated")</f>
        <v>0</v>
      </c>
      <c r="G143" s="1">
        <f>IF(B143="", "", "host-associated")</f>
        <v>0</v>
      </c>
      <c r="I143" s="1">
        <f>IF(B143="", "", "years")</f>
        <v>0</v>
      </c>
      <c r="L143" s="1">
        <f>IF(B143="", "", "cm")</f>
        <v>0</v>
      </c>
      <c r="P143" s="1">
        <f>IF(B143="", "", "kg")</f>
        <v>0</v>
      </c>
      <c r="R143" s="1">
        <f>IF(B143="", "", "Not applicable")</f>
        <v>0</v>
      </c>
    </row>
    <row r="144" spans="1:18">
      <c r="A144">
        <f>IF(COUNTBLANK(B144:R144)&lt;&gt;COLUMNS(B144:R144),143,"")</f>
        <v>0</v>
      </c>
      <c r="C144" s="1">
        <f>IF(B144="", "", "Host-associated")</f>
        <v>0</v>
      </c>
      <c r="G144" s="1">
        <f>IF(B144="", "", "host-associated")</f>
        <v>0</v>
      </c>
      <c r="I144" s="1">
        <f>IF(B144="", "", "years")</f>
        <v>0</v>
      </c>
      <c r="L144" s="1">
        <f>IF(B144="", "", "cm")</f>
        <v>0</v>
      </c>
      <c r="P144" s="1">
        <f>IF(B144="", "", "kg")</f>
        <v>0</v>
      </c>
      <c r="R144" s="1">
        <f>IF(B144="", "", "Not applicable")</f>
        <v>0</v>
      </c>
    </row>
    <row r="145" spans="1:18">
      <c r="A145">
        <f>IF(COUNTBLANK(B145:R145)&lt;&gt;COLUMNS(B145:R145),144,"")</f>
        <v>0</v>
      </c>
      <c r="C145" s="1">
        <f>IF(B145="", "", "Host-associated")</f>
        <v>0</v>
      </c>
      <c r="G145" s="1">
        <f>IF(B145="", "", "host-associated")</f>
        <v>0</v>
      </c>
      <c r="I145" s="1">
        <f>IF(B145="", "", "years")</f>
        <v>0</v>
      </c>
      <c r="L145" s="1">
        <f>IF(B145="", "", "cm")</f>
        <v>0</v>
      </c>
      <c r="P145" s="1">
        <f>IF(B145="", "", "kg")</f>
        <v>0</v>
      </c>
      <c r="R145" s="1">
        <f>IF(B145="", "", "Not applicable")</f>
        <v>0</v>
      </c>
    </row>
    <row r="146" spans="1:18">
      <c r="A146">
        <f>IF(COUNTBLANK(B146:R146)&lt;&gt;COLUMNS(B146:R146),145,"")</f>
        <v>0</v>
      </c>
      <c r="C146" s="1">
        <f>IF(B146="", "", "Host-associated")</f>
        <v>0</v>
      </c>
      <c r="G146" s="1">
        <f>IF(B146="", "", "host-associated")</f>
        <v>0</v>
      </c>
      <c r="I146" s="1">
        <f>IF(B146="", "", "years")</f>
        <v>0</v>
      </c>
      <c r="L146" s="1">
        <f>IF(B146="", "", "cm")</f>
        <v>0</v>
      </c>
      <c r="P146" s="1">
        <f>IF(B146="", "", "kg")</f>
        <v>0</v>
      </c>
      <c r="R146" s="1">
        <f>IF(B146="", "", "Not applicable")</f>
        <v>0</v>
      </c>
    </row>
    <row r="147" spans="1:18">
      <c r="A147">
        <f>IF(COUNTBLANK(B147:R147)&lt;&gt;COLUMNS(B147:R147),146,"")</f>
        <v>0</v>
      </c>
      <c r="C147" s="1">
        <f>IF(B147="", "", "Host-associated")</f>
        <v>0</v>
      </c>
      <c r="G147" s="1">
        <f>IF(B147="", "", "host-associated")</f>
        <v>0</v>
      </c>
      <c r="I147" s="1">
        <f>IF(B147="", "", "years")</f>
        <v>0</v>
      </c>
      <c r="L147" s="1">
        <f>IF(B147="", "", "cm")</f>
        <v>0</v>
      </c>
      <c r="P147" s="1">
        <f>IF(B147="", "", "kg")</f>
        <v>0</v>
      </c>
      <c r="R147" s="1">
        <f>IF(B147="", "", "Not applicable")</f>
        <v>0</v>
      </c>
    </row>
    <row r="148" spans="1:18">
      <c r="A148">
        <f>IF(COUNTBLANK(B148:R148)&lt;&gt;COLUMNS(B148:R148),147,"")</f>
        <v>0</v>
      </c>
      <c r="C148" s="1">
        <f>IF(B148="", "", "Host-associated")</f>
        <v>0</v>
      </c>
      <c r="G148" s="1">
        <f>IF(B148="", "", "host-associated")</f>
        <v>0</v>
      </c>
      <c r="I148" s="1">
        <f>IF(B148="", "", "years")</f>
        <v>0</v>
      </c>
      <c r="L148" s="1">
        <f>IF(B148="", "", "cm")</f>
        <v>0</v>
      </c>
      <c r="P148" s="1">
        <f>IF(B148="", "", "kg")</f>
        <v>0</v>
      </c>
      <c r="R148" s="1">
        <f>IF(B148="", "", "Not applicable")</f>
        <v>0</v>
      </c>
    </row>
    <row r="149" spans="1:18">
      <c r="A149">
        <f>IF(COUNTBLANK(B149:R149)&lt;&gt;COLUMNS(B149:R149),148,"")</f>
        <v>0</v>
      </c>
      <c r="C149" s="1">
        <f>IF(B149="", "", "Host-associated")</f>
        <v>0</v>
      </c>
      <c r="G149" s="1">
        <f>IF(B149="", "", "host-associated")</f>
        <v>0</v>
      </c>
      <c r="I149" s="1">
        <f>IF(B149="", "", "years")</f>
        <v>0</v>
      </c>
      <c r="L149" s="1">
        <f>IF(B149="", "", "cm")</f>
        <v>0</v>
      </c>
      <c r="P149" s="1">
        <f>IF(B149="", "", "kg")</f>
        <v>0</v>
      </c>
      <c r="R149" s="1">
        <f>IF(B149="", "", "Not applicable")</f>
        <v>0</v>
      </c>
    </row>
    <row r="150" spans="1:18">
      <c r="A150">
        <f>IF(COUNTBLANK(B150:R150)&lt;&gt;COLUMNS(B150:R150),149,"")</f>
        <v>0</v>
      </c>
      <c r="C150" s="1">
        <f>IF(B150="", "", "Host-associated")</f>
        <v>0</v>
      </c>
      <c r="G150" s="1">
        <f>IF(B150="", "", "host-associated")</f>
        <v>0</v>
      </c>
      <c r="I150" s="1">
        <f>IF(B150="", "", "years")</f>
        <v>0</v>
      </c>
      <c r="L150" s="1">
        <f>IF(B150="", "", "cm")</f>
        <v>0</v>
      </c>
      <c r="P150" s="1">
        <f>IF(B150="", "", "kg")</f>
        <v>0</v>
      </c>
      <c r="R150" s="1">
        <f>IF(B150="", "", "Not applicable")</f>
        <v>0</v>
      </c>
    </row>
    <row r="151" spans="1:18">
      <c r="A151">
        <f>IF(COUNTBLANK(B151:R151)&lt;&gt;COLUMNS(B151:R151),150,"")</f>
        <v>0</v>
      </c>
      <c r="C151" s="1">
        <f>IF(B151="", "", "Host-associated")</f>
        <v>0</v>
      </c>
      <c r="G151" s="1">
        <f>IF(B151="", "", "host-associated")</f>
        <v>0</v>
      </c>
      <c r="I151" s="1">
        <f>IF(B151="", "", "years")</f>
        <v>0</v>
      </c>
      <c r="L151" s="1">
        <f>IF(B151="", "", "cm")</f>
        <v>0</v>
      </c>
      <c r="P151" s="1">
        <f>IF(B151="", "", "kg")</f>
        <v>0</v>
      </c>
      <c r="R151" s="1">
        <f>IF(B151="", "", "Not applicable")</f>
        <v>0</v>
      </c>
    </row>
    <row r="152" spans="1:18">
      <c r="A152">
        <f>IF(COUNTBLANK(B152:R152)&lt;&gt;COLUMNS(B152:R152),151,"")</f>
        <v>0</v>
      </c>
      <c r="C152" s="1">
        <f>IF(B152="", "", "Host-associated")</f>
        <v>0</v>
      </c>
      <c r="G152" s="1">
        <f>IF(B152="", "", "host-associated")</f>
        <v>0</v>
      </c>
      <c r="I152" s="1">
        <f>IF(B152="", "", "years")</f>
        <v>0</v>
      </c>
      <c r="L152" s="1">
        <f>IF(B152="", "", "cm")</f>
        <v>0</v>
      </c>
      <c r="P152" s="1">
        <f>IF(B152="", "", "kg")</f>
        <v>0</v>
      </c>
      <c r="R152" s="1">
        <f>IF(B152="", "", "Not applicable")</f>
        <v>0</v>
      </c>
    </row>
    <row r="153" spans="1:18">
      <c r="A153">
        <f>IF(COUNTBLANK(B153:R153)&lt;&gt;COLUMNS(B153:R153),152,"")</f>
        <v>0</v>
      </c>
      <c r="C153" s="1">
        <f>IF(B153="", "", "Host-associated")</f>
        <v>0</v>
      </c>
      <c r="G153" s="1">
        <f>IF(B153="", "", "host-associated")</f>
        <v>0</v>
      </c>
      <c r="I153" s="1">
        <f>IF(B153="", "", "years")</f>
        <v>0</v>
      </c>
      <c r="L153" s="1">
        <f>IF(B153="", "", "cm")</f>
        <v>0</v>
      </c>
      <c r="P153" s="1">
        <f>IF(B153="", "", "kg")</f>
        <v>0</v>
      </c>
      <c r="R153" s="1">
        <f>IF(B153="", "", "Not applicable")</f>
        <v>0</v>
      </c>
    </row>
    <row r="154" spans="1:18">
      <c r="A154">
        <f>IF(COUNTBLANK(B154:R154)&lt;&gt;COLUMNS(B154:R154),153,"")</f>
        <v>0</v>
      </c>
      <c r="C154" s="1">
        <f>IF(B154="", "", "Host-associated")</f>
        <v>0</v>
      </c>
      <c r="G154" s="1">
        <f>IF(B154="", "", "host-associated")</f>
        <v>0</v>
      </c>
      <c r="I154" s="1">
        <f>IF(B154="", "", "years")</f>
        <v>0</v>
      </c>
      <c r="L154" s="1">
        <f>IF(B154="", "", "cm")</f>
        <v>0</v>
      </c>
      <c r="P154" s="1">
        <f>IF(B154="", "", "kg")</f>
        <v>0</v>
      </c>
      <c r="R154" s="1">
        <f>IF(B154="", "", "Not applicable")</f>
        <v>0</v>
      </c>
    </row>
    <row r="155" spans="1:18">
      <c r="A155">
        <f>IF(COUNTBLANK(B155:R155)&lt;&gt;COLUMNS(B155:R155),154,"")</f>
        <v>0</v>
      </c>
      <c r="C155" s="1">
        <f>IF(B155="", "", "Host-associated")</f>
        <v>0</v>
      </c>
      <c r="G155" s="1">
        <f>IF(B155="", "", "host-associated")</f>
        <v>0</v>
      </c>
      <c r="I155" s="1">
        <f>IF(B155="", "", "years")</f>
        <v>0</v>
      </c>
      <c r="L155" s="1">
        <f>IF(B155="", "", "cm")</f>
        <v>0</v>
      </c>
      <c r="P155" s="1">
        <f>IF(B155="", "", "kg")</f>
        <v>0</v>
      </c>
      <c r="R155" s="1">
        <f>IF(B155="", "", "Not applicable")</f>
        <v>0</v>
      </c>
    </row>
    <row r="156" spans="1:18">
      <c r="A156">
        <f>IF(COUNTBLANK(B156:R156)&lt;&gt;COLUMNS(B156:R156),155,"")</f>
        <v>0</v>
      </c>
      <c r="C156" s="1">
        <f>IF(B156="", "", "Host-associated")</f>
        <v>0</v>
      </c>
      <c r="G156" s="1">
        <f>IF(B156="", "", "host-associated")</f>
        <v>0</v>
      </c>
      <c r="I156" s="1">
        <f>IF(B156="", "", "years")</f>
        <v>0</v>
      </c>
      <c r="L156" s="1">
        <f>IF(B156="", "", "cm")</f>
        <v>0</v>
      </c>
      <c r="P156" s="1">
        <f>IF(B156="", "", "kg")</f>
        <v>0</v>
      </c>
      <c r="R156" s="1">
        <f>IF(B156="", "", "Not applicable")</f>
        <v>0</v>
      </c>
    </row>
    <row r="157" spans="1:18">
      <c r="A157">
        <f>IF(COUNTBLANK(B157:R157)&lt;&gt;COLUMNS(B157:R157),156,"")</f>
        <v>0</v>
      </c>
      <c r="C157" s="1">
        <f>IF(B157="", "", "Host-associated")</f>
        <v>0</v>
      </c>
      <c r="G157" s="1">
        <f>IF(B157="", "", "host-associated")</f>
        <v>0</v>
      </c>
      <c r="I157" s="1">
        <f>IF(B157="", "", "years")</f>
        <v>0</v>
      </c>
      <c r="L157" s="1">
        <f>IF(B157="", "", "cm")</f>
        <v>0</v>
      </c>
      <c r="P157" s="1">
        <f>IF(B157="", "", "kg")</f>
        <v>0</v>
      </c>
      <c r="R157" s="1">
        <f>IF(B157="", "", "Not applicable")</f>
        <v>0</v>
      </c>
    </row>
    <row r="158" spans="1:18">
      <c r="A158">
        <f>IF(COUNTBLANK(B158:R158)&lt;&gt;COLUMNS(B158:R158),157,"")</f>
        <v>0</v>
      </c>
      <c r="C158" s="1">
        <f>IF(B158="", "", "Host-associated")</f>
        <v>0</v>
      </c>
      <c r="G158" s="1">
        <f>IF(B158="", "", "host-associated")</f>
        <v>0</v>
      </c>
      <c r="I158" s="1">
        <f>IF(B158="", "", "years")</f>
        <v>0</v>
      </c>
      <c r="L158" s="1">
        <f>IF(B158="", "", "cm")</f>
        <v>0</v>
      </c>
      <c r="P158" s="1">
        <f>IF(B158="", "", "kg")</f>
        <v>0</v>
      </c>
      <c r="R158" s="1">
        <f>IF(B158="", "", "Not applicable")</f>
        <v>0</v>
      </c>
    </row>
    <row r="159" spans="1:18">
      <c r="A159">
        <f>IF(COUNTBLANK(B159:R159)&lt;&gt;COLUMNS(B159:R159),158,"")</f>
        <v>0</v>
      </c>
      <c r="C159" s="1">
        <f>IF(B159="", "", "Host-associated")</f>
        <v>0</v>
      </c>
      <c r="G159" s="1">
        <f>IF(B159="", "", "host-associated")</f>
        <v>0</v>
      </c>
      <c r="I159" s="1">
        <f>IF(B159="", "", "years")</f>
        <v>0</v>
      </c>
      <c r="L159" s="1">
        <f>IF(B159="", "", "cm")</f>
        <v>0</v>
      </c>
      <c r="P159" s="1">
        <f>IF(B159="", "", "kg")</f>
        <v>0</v>
      </c>
      <c r="R159" s="1">
        <f>IF(B159="", "", "Not applicable")</f>
        <v>0</v>
      </c>
    </row>
    <row r="160" spans="1:18">
      <c r="A160">
        <f>IF(COUNTBLANK(B160:R160)&lt;&gt;COLUMNS(B160:R160),159,"")</f>
        <v>0</v>
      </c>
      <c r="C160" s="1">
        <f>IF(B160="", "", "Host-associated")</f>
        <v>0</v>
      </c>
      <c r="G160" s="1">
        <f>IF(B160="", "", "host-associated")</f>
        <v>0</v>
      </c>
      <c r="I160" s="1">
        <f>IF(B160="", "", "years")</f>
        <v>0</v>
      </c>
      <c r="L160" s="1">
        <f>IF(B160="", "", "cm")</f>
        <v>0</v>
      </c>
      <c r="P160" s="1">
        <f>IF(B160="", "", "kg")</f>
        <v>0</v>
      </c>
      <c r="R160" s="1">
        <f>IF(B160="", "", "Not applicable")</f>
        <v>0</v>
      </c>
    </row>
    <row r="161" spans="1:18">
      <c r="A161">
        <f>IF(COUNTBLANK(B161:R161)&lt;&gt;COLUMNS(B161:R161),160,"")</f>
        <v>0</v>
      </c>
      <c r="C161" s="1">
        <f>IF(B161="", "", "Host-associated")</f>
        <v>0</v>
      </c>
      <c r="G161" s="1">
        <f>IF(B161="", "", "host-associated")</f>
        <v>0</v>
      </c>
      <c r="I161" s="1">
        <f>IF(B161="", "", "years")</f>
        <v>0</v>
      </c>
      <c r="L161" s="1">
        <f>IF(B161="", "", "cm")</f>
        <v>0</v>
      </c>
      <c r="P161" s="1">
        <f>IF(B161="", "", "kg")</f>
        <v>0</v>
      </c>
      <c r="R161" s="1">
        <f>IF(B161="", "", "Not applicable")</f>
        <v>0</v>
      </c>
    </row>
    <row r="162" spans="1:18">
      <c r="A162">
        <f>IF(COUNTBLANK(B162:R162)&lt;&gt;COLUMNS(B162:R162),161,"")</f>
        <v>0</v>
      </c>
      <c r="C162" s="1">
        <f>IF(B162="", "", "Host-associated")</f>
        <v>0</v>
      </c>
      <c r="G162" s="1">
        <f>IF(B162="", "", "host-associated")</f>
        <v>0</v>
      </c>
      <c r="I162" s="1">
        <f>IF(B162="", "", "years")</f>
        <v>0</v>
      </c>
      <c r="L162" s="1">
        <f>IF(B162="", "", "cm")</f>
        <v>0</v>
      </c>
      <c r="P162" s="1">
        <f>IF(B162="", "", "kg")</f>
        <v>0</v>
      </c>
      <c r="R162" s="1">
        <f>IF(B162="", "", "Not applicable")</f>
        <v>0</v>
      </c>
    </row>
    <row r="163" spans="1:18">
      <c r="A163">
        <f>IF(COUNTBLANK(B163:R163)&lt;&gt;COLUMNS(B163:R163),162,"")</f>
        <v>0</v>
      </c>
      <c r="C163" s="1">
        <f>IF(B163="", "", "Host-associated")</f>
        <v>0</v>
      </c>
      <c r="G163" s="1">
        <f>IF(B163="", "", "host-associated")</f>
        <v>0</v>
      </c>
      <c r="I163" s="1">
        <f>IF(B163="", "", "years")</f>
        <v>0</v>
      </c>
      <c r="L163" s="1">
        <f>IF(B163="", "", "cm")</f>
        <v>0</v>
      </c>
      <c r="P163" s="1">
        <f>IF(B163="", "", "kg")</f>
        <v>0</v>
      </c>
      <c r="R163" s="1">
        <f>IF(B163="", "", "Not applicable")</f>
        <v>0</v>
      </c>
    </row>
    <row r="164" spans="1:18">
      <c r="A164">
        <f>IF(COUNTBLANK(B164:R164)&lt;&gt;COLUMNS(B164:R164),163,"")</f>
        <v>0</v>
      </c>
      <c r="C164" s="1">
        <f>IF(B164="", "", "Host-associated")</f>
        <v>0</v>
      </c>
      <c r="G164" s="1">
        <f>IF(B164="", "", "host-associated")</f>
        <v>0</v>
      </c>
      <c r="I164" s="1">
        <f>IF(B164="", "", "years")</f>
        <v>0</v>
      </c>
      <c r="L164" s="1">
        <f>IF(B164="", "", "cm")</f>
        <v>0</v>
      </c>
      <c r="P164" s="1">
        <f>IF(B164="", "", "kg")</f>
        <v>0</v>
      </c>
      <c r="R164" s="1">
        <f>IF(B164="", "", "Not applicable")</f>
        <v>0</v>
      </c>
    </row>
    <row r="165" spans="1:18">
      <c r="A165">
        <f>IF(COUNTBLANK(B165:R165)&lt;&gt;COLUMNS(B165:R165),164,"")</f>
        <v>0</v>
      </c>
      <c r="C165" s="1">
        <f>IF(B165="", "", "Host-associated")</f>
        <v>0</v>
      </c>
      <c r="G165" s="1">
        <f>IF(B165="", "", "host-associated")</f>
        <v>0</v>
      </c>
      <c r="I165" s="1">
        <f>IF(B165="", "", "years")</f>
        <v>0</v>
      </c>
      <c r="L165" s="1">
        <f>IF(B165="", "", "cm")</f>
        <v>0</v>
      </c>
      <c r="P165" s="1">
        <f>IF(B165="", "", "kg")</f>
        <v>0</v>
      </c>
      <c r="R165" s="1">
        <f>IF(B165="", "", "Not applicable")</f>
        <v>0</v>
      </c>
    </row>
    <row r="166" spans="1:18">
      <c r="A166">
        <f>IF(COUNTBLANK(B166:R166)&lt;&gt;COLUMNS(B166:R166),165,"")</f>
        <v>0</v>
      </c>
      <c r="C166" s="1">
        <f>IF(B166="", "", "Host-associated")</f>
        <v>0</v>
      </c>
      <c r="G166" s="1">
        <f>IF(B166="", "", "host-associated")</f>
        <v>0</v>
      </c>
      <c r="I166" s="1">
        <f>IF(B166="", "", "years")</f>
        <v>0</v>
      </c>
      <c r="L166" s="1">
        <f>IF(B166="", "", "cm")</f>
        <v>0</v>
      </c>
      <c r="P166" s="1">
        <f>IF(B166="", "", "kg")</f>
        <v>0</v>
      </c>
      <c r="R166" s="1">
        <f>IF(B166="", "", "Not applicable")</f>
        <v>0</v>
      </c>
    </row>
    <row r="167" spans="1:18">
      <c r="A167">
        <f>IF(COUNTBLANK(B167:R167)&lt;&gt;COLUMNS(B167:R167),166,"")</f>
        <v>0</v>
      </c>
      <c r="C167" s="1">
        <f>IF(B167="", "", "Host-associated")</f>
        <v>0</v>
      </c>
      <c r="G167" s="1">
        <f>IF(B167="", "", "host-associated")</f>
        <v>0</v>
      </c>
      <c r="I167" s="1">
        <f>IF(B167="", "", "years")</f>
        <v>0</v>
      </c>
      <c r="L167" s="1">
        <f>IF(B167="", "", "cm")</f>
        <v>0</v>
      </c>
      <c r="P167" s="1">
        <f>IF(B167="", "", "kg")</f>
        <v>0</v>
      </c>
      <c r="R167" s="1">
        <f>IF(B167="", "", "Not applicable")</f>
        <v>0</v>
      </c>
    </row>
    <row r="168" spans="1:18">
      <c r="A168">
        <f>IF(COUNTBLANK(B168:R168)&lt;&gt;COLUMNS(B168:R168),167,"")</f>
        <v>0</v>
      </c>
      <c r="C168" s="1">
        <f>IF(B168="", "", "Host-associated")</f>
        <v>0</v>
      </c>
      <c r="G168" s="1">
        <f>IF(B168="", "", "host-associated")</f>
        <v>0</v>
      </c>
      <c r="I168" s="1">
        <f>IF(B168="", "", "years")</f>
        <v>0</v>
      </c>
      <c r="L168" s="1">
        <f>IF(B168="", "", "cm")</f>
        <v>0</v>
      </c>
      <c r="P168" s="1">
        <f>IF(B168="", "", "kg")</f>
        <v>0</v>
      </c>
      <c r="R168" s="1">
        <f>IF(B168="", "", "Not applicable")</f>
        <v>0</v>
      </c>
    </row>
    <row r="169" spans="1:18">
      <c r="A169">
        <f>IF(COUNTBLANK(B169:R169)&lt;&gt;COLUMNS(B169:R169),168,"")</f>
        <v>0</v>
      </c>
      <c r="C169" s="1">
        <f>IF(B169="", "", "Host-associated")</f>
        <v>0</v>
      </c>
      <c r="G169" s="1">
        <f>IF(B169="", "", "host-associated")</f>
        <v>0</v>
      </c>
      <c r="I169" s="1">
        <f>IF(B169="", "", "years")</f>
        <v>0</v>
      </c>
      <c r="L169" s="1">
        <f>IF(B169="", "", "cm")</f>
        <v>0</v>
      </c>
      <c r="P169" s="1">
        <f>IF(B169="", "", "kg")</f>
        <v>0</v>
      </c>
      <c r="R169" s="1">
        <f>IF(B169="", "", "Not applicable")</f>
        <v>0</v>
      </c>
    </row>
    <row r="170" spans="1:18">
      <c r="A170">
        <f>IF(COUNTBLANK(B170:R170)&lt;&gt;COLUMNS(B170:R170),169,"")</f>
        <v>0</v>
      </c>
      <c r="C170" s="1">
        <f>IF(B170="", "", "Host-associated")</f>
        <v>0</v>
      </c>
      <c r="G170" s="1">
        <f>IF(B170="", "", "host-associated")</f>
        <v>0</v>
      </c>
      <c r="I170" s="1">
        <f>IF(B170="", "", "years")</f>
        <v>0</v>
      </c>
      <c r="L170" s="1">
        <f>IF(B170="", "", "cm")</f>
        <v>0</v>
      </c>
      <c r="P170" s="1">
        <f>IF(B170="", "", "kg")</f>
        <v>0</v>
      </c>
      <c r="R170" s="1">
        <f>IF(B170="", "", "Not applicable")</f>
        <v>0</v>
      </c>
    </row>
    <row r="171" spans="1:18">
      <c r="A171">
        <f>IF(COUNTBLANK(B171:R171)&lt;&gt;COLUMNS(B171:R171),170,"")</f>
        <v>0</v>
      </c>
      <c r="C171" s="1">
        <f>IF(B171="", "", "Host-associated")</f>
        <v>0</v>
      </c>
      <c r="G171" s="1">
        <f>IF(B171="", "", "host-associated")</f>
        <v>0</v>
      </c>
      <c r="I171" s="1">
        <f>IF(B171="", "", "years")</f>
        <v>0</v>
      </c>
      <c r="L171" s="1">
        <f>IF(B171="", "", "cm")</f>
        <v>0</v>
      </c>
      <c r="P171" s="1">
        <f>IF(B171="", "", "kg")</f>
        <v>0</v>
      </c>
      <c r="R171" s="1">
        <f>IF(B171="", "", "Not applicable")</f>
        <v>0</v>
      </c>
    </row>
    <row r="172" spans="1:18">
      <c r="A172">
        <f>IF(COUNTBLANK(B172:R172)&lt;&gt;COLUMNS(B172:R172),171,"")</f>
        <v>0</v>
      </c>
      <c r="C172" s="1">
        <f>IF(B172="", "", "Host-associated")</f>
        <v>0</v>
      </c>
      <c r="G172" s="1">
        <f>IF(B172="", "", "host-associated")</f>
        <v>0</v>
      </c>
      <c r="I172" s="1">
        <f>IF(B172="", "", "years")</f>
        <v>0</v>
      </c>
      <c r="L172" s="1">
        <f>IF(B172="", "", "cm")</f>
        <v>0</v>
      </c>
      <c r="P172" s="1">
        <f>IF(B172="", "", "kg")</f>
        <v>0</v>
      </c>
      <c r="R172" s="1">
        <f>IF(B172="", "", "Not applicable")</f>
        <v>0</v>
      </c>
    </row>
    <row r="173" spans="1:18">
      <c r="A173">
        <f>IF(COUNTBLANK(B173:R173)&lt;&gt;COLUMNS(B173:R173),172,"")</f>
        <v>0</v>
      </c>
      <c r="C173" s="1">
        <f>IF(B173="", "", "Host-associated")</f>
        <v>0</v>
      </c>
      <c r="G173" s="1">
        <f>IF(B173="", "", "host-associated")</f>
        <v>0</v>
      </c>
      <c r="I173" s="1">
        <f>IF(B173="", "", "years")</f>
        <v>0</v>
      </c>
      <c r="L173" s="1">
        <f>IF(B173="", "", "cm")</f>
        <v>0</v>
      </c>
      <c r="P173" s="1">
        <f>IF(B173="", "", "kg")</f>
        <v>0</v>
      </c>
      <c r="R173" s="1">
        <f>IF(B173="", "", "Not applicable")</f>
        <v>0</v>
      </c>
    </row>
    <row r="174" spans="1:18">
      <c r="A174">
        <f>IF(COUNTBLANK(B174:R174)&lt;&gt;COLUMNS(B174:R174),173,"")</f>
        <v>0</v>
      </c>
      <c r="C174" s="1">
        <f>IF(B174="", "", "Host-associated")</f>
        <v>0</v>
      </c>
      <c r="G174" s="1">
        <f>IF(B174="", "", "host-associated")</f>
        <v>0</v>
      </c>
      <c r="I174" s="1">
        <f>IF(B174="", "", "years")</f>
        <v>0</v>
      </c>
      <c r="L174" s="1">
        <f>IF(B174="", "", "cm")</f>
        <v>0</v>
      </c>
      <c r="P174" s="1">
        <f>IF(B174="", "", "kg")</f>
        <v>0</v>
      </c>
      <c r="R174" s="1">
        <f>IF(B174="", "", "Not applicable")</f>
        <v>0</v>
      </c>
    </row>
    <row r="175" spans="1:18">
      <c r="A175">
        <f>IF(COUNTBLANK(B175:R175)&lt;&gt;COLUMNS(B175:R175),174,"")</f>
        <v>0</v>
      </c>
      <c r="C175" s="1">
        <f>IF(B175="", "", "Host-associated")</f>
        <v>0</v>
      </c>
      <c r="G175" s="1">
        <f>IF(B175="", "", "host-associated")</f>
        <v>0</v>
      </c>
      <c r="I175" s="1">
        <f>IF(B175="", "", "years")</f>
        <v>0</v>
      </c>
      <c r="L175" s="1">
        <f>IF(B175="", "", "cm")</f>
        <v>0</v>
      </c>
      <c r="P175" s="1">
        <f>IF(B175="", "", "kg")</f>
        <v>0</v>
      </c>
      <c r="R175" s="1">
        <f>IF(B175="", "", "Not applicable")</f>
        <v>0</v>
      </c>
    </row>
    <row r="176" spans="1:18">
      <c r="A176">
        <f>IF(COUNTBLANK(B176:R176)&lt;&gt;COLUMNS(B176:R176),175,"")</f>
        <v>0</v>
      </c>
      <c r="C176" s="1">
        <f>IF(B176="", "", "Host-associated")</f>
        <v>0</v>
      </c>
      <c r="G176" s="1">
        <f>IF(B176="", "", "host-associated")</f>
        <v>0</v>
      </c>
      <c r="I176" s="1">
        <f>IF(B176="", "", "years")</f>
        <v>0</v>
      </c>
      <c r="L176" s="1">
        <f>IF(B176="", "", "cm")</f>
        <v>0</v>
      </c>
      <c r="P176" s="1">
        <f>IF(B176="", "", "kg")</f>
        <v>0</v>
      </c>
      <c r="R176" s="1">
        <f>IF(B176="", "", "Not applicable")</f>
        <v>0</v>
      </c>
    </row>
    <row r="177" spans="1:18">
      <c r="A177">
        <f>IF(COUNTBLANK(B177:R177)&lt;&gt;COLUMNS(B177:R177),176,"")</f>
        <v>0</v>
      </c>
      <c r="C177" s="1">
        <f>IF(B177="", "", "Host-associated")</f>
        <v>0</v>
      </c>
      <c r="G177" s="1">
        <f>IF(B177="", "", "host-associated")</f>
        <v>0</v>
      </c>
      <c r="I177" s="1">
        <f>IF(B177="", "", "years")</f>
        <v>0</v>
      </c>
      <c r="L177" s="1">
        <f>IF(B177="", "", "cm")</f>
        <v>0</v>
      </c>
      <c r="P177" s="1">
        <f>IF(B177="", "", "kg")</f>
        <v>0</v>
      </c>
      <c r="R177" s="1">
        <f>IF(B177="", "", "Not applicable")</f>
        <v>0</v>
      </c>
    </row>
    <row r="178" spans="1:18">
      <c r="A178">
        <f>IF(COUNTBLANK(B178:R178)&lt;&gt;COLUMNS(B178:R178),177,"")</f>
        <v>0</v>
      </c>
      <c r="C178" s="1">
        <f>IF(B178="", "", "Host-associated")</f>
        <v>0</v>
      </c>
      <c r="G178" s="1">
        <f>IF(B178="", "", "host-associated")</f>
        <v>0</v>
      </c>
      <c r="I178" s="1">
        <f>IF(B178="", "", "years")</f>
        <v>0</v>
      </c>
      <c r="L178" s="1">
        <f>IF(B178="", "", "cm")</f>
        <v>0</v>
      </c>
      <c r="P178" s="1">
        <f>IF(B178="", "", "kg")</f>
        <v>0</v>
      </c>
      <c r="R178" s="1">
        <f>IF(B178="", "", "Not applicable")</f>
        <v>0</v>
      </c>
    </row>
    <row r="179" spans="1:18">
      <c r="A179">
        <f>IF(COUNTBLANK(B179:R179)&lt;&gt;COLUMNS(B179:R179),178,"")</f>
        <v>0</v>
      </c>
      <c r="C179" s="1">
        <f>IF(B179="", "", "Host-associated")</f>
        <v>0</v>
      </c>
      <c r="G179" s="1">
        <f>IF(B179="", "", "host-associated")</f>
        <v>0</v>
      </c>
      <c r="I179" s="1">
        <f>IF(B179="", "", "years")</f>
        <v>0</v>
      </c>
      <c r="L179" s="1">
        <f>IF(B179="", "", "cm")</f>
        <v>0</v>
      </c>
      <c r="P179" s="1">
        <f>IF(B179="", "", "kg")</f>
        <v>0</v>
      </c>
      <c r="R179" s="1">
        <f>IF(B179="", "", "Not applicable")</f>
        <v>0</v>
      </c>
    </row>
    <row r="180" spans="1:18">
      <c r="A180">
        <f>IF(COUNTBLANK(B180:R180)&lt;&gt;COLUMNS(B180:R180),179,"")</f>
        <v>0</v>
      </c>
      <c r="C180" s="1">
        <f>IF(B180="", "", "Host-associated")</f>
        <v>0</v>
      </c>
      <c r="G180" s="1">
        <f>IF(B180="", "", "host-associated")</f>
        <v>0</v>
      </c>
      <c r="I180" s="1">
        <f>IF(B180="", "", "years")</f>
        <v>0</v>
      </c>
      <c r="L180" s="1">
        <f>IF(B180="", "", "cm")</f>
        <v>0</v>
      </c>
      <c r="P180" s="1">
        <f>IF(B180="", "", "kg")</f>
        <v>0</v>
      </c>
      <c r="R180" s="1">
        <f>IF(B180="", "", "Not applicable")</f>
        <v>0</v>
      </c>
    </row>
    <row r="181" spans="1:18">
      <c r="A181">
        <f>IF(COUNTBLANK(B181:R181)&lt;&gt;COLUMNS(B181:R181),180,"")</f>
        <v>0</v>
      </c>
      <c r="C181" s="1">
        <f>IF(B181="", "", "Host-associated")</f>
        <v>0</v>
      </c>
      <c r="G181" s="1">
        <f>IF(B181="", "", "host-associated")</f>
        <v>0</v>
      </c>
      <c r="I181" s="1">
        <f>IF(B181="", "", "years")</f>
        <v>0</v>
      </c>
      <c r="L181" s="1">
        <f>IF(B181="", "", "cm")</f>
        <v>0</v>
      </c>
      <c r="P181" s="1">
        <f>IF(B181="", "", "kg")</f>
        <v>0</v>
      </c>
      <c r="R181" s="1">
        <f>IF(B181="", "", "Not applicable")</f>
        <v>0</v>
      </c>
    </row>
    <row r="182" spans="1:18">
      <c r="A182">
        <f>IF(COUNTBLANK(B182:R182)&lt;&gt;COLUMNS(B182:R182),181,"")</f>
        <v>0</v>
      </c>
      <c r="C182" s="1">
        <f>IF(B182="", "", "Host-associated")</f>
        <v>0</v>
      </c>
      <c r="G182" s="1">
        <f>IF(B182="", "", "host-associated")</f>
        <v>0</v>
      </c>
      <c r="I182" s="1">
        <f>IF(B182="", "", "years")</f>
        <v>0</v>
      </c>
      <c r="L182" s="1">
        <f>IF(B182="", "", "cm")</f>
        <v>0</v>
      </c>
      <c r="P182" s="1">
        <f>IF(B182="", "", "kg")</f>
        <v>0</v>
      </c>
      <c r="R182" s="1">
        <f>IF(B182="", "", "Not applicable")</f>
        <v>0</v>
      </c>
    </row>
    <row r="183" spans="1:18">
      <c r="A183">
        <f>IF(COUNTBLANK(B183:R183)&lt;&gt;COLUMNS(B183:R183),182,"")</f>
        <v>0</v>
      </c>
      <c r="C183" s="1">
        <f>IF(B183="", "", "Host-associated")</f>
        <v>0</v>
      </c>
      <c r="G183" s="1">
        <f>IF(B183="", "", "host-associated")</f>
        <v>0</v>
      </c>
      <c r="I183" s="1">
        <f>IF(B183="", "", "years")</f>
        <v>0</v>
      </c>
      <c r="L183" s="1">
        <f>IF(B183="", "", "cm")</f>
        <v>0</v>
      </c>
      <c r="P183" s="1">
        <f>IF(B183="", "", "kg")</f>
        <v>0</v>
      </c>
      <c r="R183" s="1">
        <f>IF(B183="", "", "Not applicable")</f>
        <v>0</v>
      </c>
    </row>
    <row r="184" spans="1:18">
      <c r="A184">
        <f>IF(COUNTBLANK(B184:R184)&lt;&gt;COLUMNS(B184:R184),183,"")</f>
        <v>0</v>
      </c>
      <c r="C184" s="1">
        <f>IF(B184="", "", "Host-associated")</f>
        <v>0</v>
      </c>
      <c r="G184" s="1">
        <f>IF(B184="", "", "host-associated")</f>
        <v>0</v>
      </c>
      <c r="I184" s="1">
        <f>IF(B184="", "", "years")</f>
        <v>0</v>
      </c>
      <c r="L184" s="1">
        <f>IF(B184="", "", "cm")</f>
        <v>0</v>
      </c>
      <c r="P184" s="1">
        <f>IF(B184="", "", "kg")</f>
        <v>0</v>
      </c>
      <c r="R184" s="1">
        <f>IF(B184="", "", "Not applicable")</f>
        <v>0</v>
      </c>
    </row>
    <row r="185" spans="1:18">
      <c r="A185">
        <f>IF(COUNTBLANK(B185:R185)&lt;&gt;COLUMNS(B185:R185),184,"")</f>
        <v>0</v>
      </c>
      <c r="C185" s="1">
        <f>IF(B185="", "", "Host-associated")</f>
        <v>0</v>
      </c>
      <c r="G185" s="1">
        <f>IF(B185="", "", "host-associated")</f>
        <v>0</v>
      </c>
      <c r="I185" s="1">
        <f>IF(B185="", "", "years")</f>
        <v>0</v>
      </c>
      <c r="L185" s="1">
        <f>IF(B185="", "", "cm")</f>
        <v>0</v>
      </c>
      <c r="P185" s="1">
        <f>IF(B185="", "", "kg")</f>
        <v>0</v>
      </c>
      <c r="R185" s="1">
        <f>IF(B185="", "", "Not applicable")</f>
        <v>0</v>
      </c>
    </row>
    <row r="186" spans="1:18">
      <c r="A186">
        <f>IF(COUNTBLANK(B186:R186)&lt;&gt;COLUMNS(B186:R186),185,"")</f>
        <v>0</v>
      </c>
      <c r="C186" s="1">
        <f>IF(B186="", "", "Host-associated")</f>
        <v>0</v>
      </c>
      <c r="G186" s="1">
        <f>IF(B186="", "", "host-associated")</f>
        <v>0</v>
      </c>
      <c r="I186" s="1">
        <f>IF(B186="", "", "years")</f>
        <v>0</v>
      </c>
      <c r="L186" s="1">
        <f>IF(B186="", "", "cm")</f>
        <v>0</v>
      </c>
      <c r="P186" s="1">
        <f>IF(B186="", "", "kg")</f>
        <v>0</v>
      </c>
      <c r="R186" s="1">
        <f>IF(B186="", "", "Not applicable")</f>
        <v>0</v>
      </c>
    </row>
    <row r="187" spans="1:18">
      <c r="A187">
        <f>IF(COUNTBLANK(B187:R187)&lt;&gt;COLUMNS(B187:R187),186,"")</f>
        <v>0</v>
      </c>
      <c r="C187" s="1">
        <f>IF(B187="", "", "Host-associated")</f>
        <v>0</v>
      </c>
      <c r="G187" s="1">
        <f>IF(B187="", "", "host-associated")</f>
        <v>0</v>
      </c>
      <c r="I187" s="1">
        <f>IF(B187="", "", "years")</f>
        <v>0</v>
      </c>
      <c r="L187" s="1">
        <f>IF(B187="", "", "cm")</f>
        <v>0</v>
      </c>
      <c r="P187" s="1">
        <f>IF(B187="", "", "kg")</f>
        <v>0</v>
      </c>
      <c r="R187" s="1">
        <f>IF(B187="", "", "Not applicable")</f>
        <v>0</v>
      </c>
    </row>
    <row r="188" spans="1:18">
      <c r="A188">
        <f>IF(COUNTBLANK(B188:R188)&lt;&gt;COLUMNS(B188:R188),187,"")</f>
        <v>0</v>
      </c>
      <c r="C188" s="1">
        <f>IF(B188="", "", "Host-associated")</f>
        <v>0</v>
      </c>
      <c r="G188" s="1">
        <f>IF(B188="", "", "host-associated")</f>
        <v>0</v>
      </c>
      <c r="I188" s="1">
        <f>IF(B188="", "", "years")</f>
        <v>0</v>
      </c>
      <c r="L188" s="1">
        <f>IF(B188="", "", "cm")</f>
        <v>0</v>
      </c>
      <c r="P188" s="1">
        <f>IF(B188="", "", "kg")</f>
        <v>0</v>
      </c>
      <c r="R188" s="1">
        <f>IF(B188="", "", "Not applicable")</f>
        <v>0</v>
      </c>
    </row>
    <row r="189" spans="1:18">
      <c r="A189">
        <f>IF(COUNTBLANK(B189:R189)&lt;&gt;COLUMNS(B189:R189),188,"")</f>
        <v>0</v>
      </c>
      <c r="C189" s="1">
        <f>IF(B189="", "", "Host-associated")</f>
        <v>0</v>
      </c>
      <c r="G189" s="1">
        <f>IF(B189="", "", "host-associated")</f>
        <v>0</v>
      </c>
      <c r="I189" s="1">
        <f>IF(B189="", "", "years")</f>
        <v>0</v>
      </c>
      <c r="L189" s="1">
        <f>IF(B189="", "", "cm")</f>
        <v>0</v>
      </c>
      <c r="P189" s="1">
        <f>IF(B189="", "", "kg")</f>
        <v>0</v>
      </c>
      <c r="R189" s="1">
        <f>IF(B189="", "", "Not applicable")</f>
        <v>0</v>
      </c>
    </row>
    <row r="190" spans="1:18">
      <c r="A190">
        <f>IF(COUNTBLANK(B190:R190)&lt;&gt;COLUMNS(B190:R190),189,"")</f>
        <v>0</v>
      </c>
      <c r="C190" s="1">
        <f>IF(B190="", "", "Host-associated")</f>
        <v>0</v>
      </c>
      <c r="G190" s="1">
        <f>IF(B190="", "", "host-associated")</f>
        <v>0</v>
      </c>
      <c r="I190" s="1">
        <f>IF(B190="", "", "years")</f>
        <v>0</v>
      </c>
      <c r="L190" s="1">
        <f>IF(B190="", "", "cm")</f>
        <v>0</v>
      </c>
      <c r="P190" s="1">
        <f>IF(B190="", "", "kg")</f>
        <v>0</v>
      </c>
      <c r="R190" s="1">
        <f>IF(B190="", "", "Not applicable")</f>
        <v>0</v>
      </c>
    </row>
    <row r="191" spans="1:18">
      <c r="A191">
        <f>IF(COUNTBLANK(B191:R191)&lt;&gt;COLUMNS(B191:R191),190,"")</f>
        <v>0</v>
      </c>
      <c r="C191" s="1">
        <f>IF(B191="", "", "Host-associated")</f>
        <v>0</v>
      </c>
      <c r="G191" s="1">
        <f>IF(B191="", "", "host-associated")</f>
        <v>0</v>
      </c>
      <c r="I191" s="1">
        <f>IF(B191="", "", "years")</f>
        <v>0</v>
      </c>
      <c r="L191" s="1">
        <f>IF(B191="", "", "cm")</f>
        <v>0</v>
      </c>
      <c r="P191" s="1">
        <f>IF(B191="", "", "kg")</f>
        <v>0</v>
      </c>
      <c r="R191" s="1">
        <f>IF(B191="", "", "Not applicable")</f>
        <v>0</v>
      </c>
    </row>
    <row r="192" spans="1:18">
      <c r="A192">
        <f>IF(COUNTBLANK(B192:R192)&lt;&gt;COLUMNS(B192:R192),191,"")</f>
        <v>0</v>
      </c>
      <c r="C192" s="1">
        <f>IF(B192="", "", "Host-associated")</f>
        <v>0</v>
      </c>
      <c r="G192" s="1">
        <f>IF(B192="", "", "host-associated")</f>
        <v>0</v>
      </c>
      <c r="I192" s="1">
        <f>IF(B192="", "", "years")</f>
        <v>0</v>
      </c>
      <c r="L192" s="1">
        <f>IF(B192="", "", "cm")</f>
        <v>0</v>
      </c>
      <c r="P192" s="1">
        <f>IF(B192="", "", "kg")</f>
        <v>0</v>
      </c>
      <c r="R192" s="1">
        <f>IF(B192="", "", "Not applicable")</f>
        <v>0</v>
      </c>
    </row>
    <row r="193" spans="1:18">
      <c r="A193">
        <f>IF(COUNTBLANK(B193:R193)&lt;&gt;COLUMNS(B193:R193),192,"")</f>
        <v>0</v>
      </c>
      <c r="C193" s="1">
        <f>IF(B193="", "", "Host-associated")</f>
        <v>0</v>
      </c>
      <c r="G193" s="1">
        <f>IF(B193="", "", "host-associated")</f>
        <v>0</v>
      </c>
      <c r="I193" s="1">
        <f>IF(B193="", "", "years")</f>
        <v>0</v>
      </c>
      <c r="L193" s="1">
        <f>IF(B193="", "", "cm")</f>
        <v>0</v>
      </c>
      <c r="P193" s="1">
        <f>IF(B193="", "", "kg")</f>
        <v>0</v>
      </c>
      <c r="R193" s="1">
        <f>IF(B193="", "", "Not applicable")</f>
        <v>0</v>
      </c>
    </row>
    <row r="194" spans="1:18">
      <c r="A194">
        <f>IF(COUNTBLANK(B194:R194)&lt;&gt;COLUMNS(B194:R194),193,"")</f>
        <v>0</v>
      </c>
      <c r="C194" s="1">
        <f>IF(B194="", "", "Host-associated")</f>
        <v>0</v>
      </c>
      <c r="G194" s="1">
        <f>IF(B194="", "", "host-associated")</f>
        <v>0</v>
      </c>
      <c r="I194" s="1">
        <f>IF(B194="", "", "years")</f>
        <v>0</v>
      </c>
      <c r="L194" s="1">
        <f>IF(B194="", "", "cm")</f>
        <v>0</v>
      </c>
      <c r="P194" s="1">
        <f>IF(B194="", "", "kg")</f>
        <v>0</v>
      </c>
      <c r="R194" s="1">
        <f>IF(B194="", "", "Not applicable")</f>
        <v>0</v>
      </c>
    </row>
    <row r="195" spans="1:18">
      <c r="A195">
        <f>IF(COUNTBLANK(B195:R195)&lt;&gt;COLUMNS(B195:R195),194,"")</f>
        <v>0</v>
      </c>
      <c r="C195" s="1">
        <f>IF(B195="", "", "Host-associated")</f>
        <v>0</v>
      </c>
      <c r="G195" s="1">
        <f>IF(B195="", "", "host-associated")</f>
        <v>0</v>
      </c>
      <c r="I195" s="1">
        <f>IF(B195="", "", "years")</f>
        <v>0</v>
      </c>
      <c r="L195" s="1">
        <f>IF(B195="", "", "cm")</f>
        <v>0</v>
      </c>
      <c r="P195" s="1">
        <f>IF(B195="", "", "kg")</f>
        <v>0</v>
      </c>
      <c r="R195" s="1">
        <f>IF(B195="", "", "Not applicable")</f>
        <v>0</v>
      </c>
    </row>
    <row r="196" spans="1:18">
      <c r="A196">
        <f>IF(COUNTBLANK(B196:R196)&lt;&gt;COLUMNS(B196:R196),195,"")</f>
        <v>0</v>
      </c>
      <c r="C196" s="1">
        <f>IF(B196="", "", "Host-associated")</f>
        <v>0</v>
      </c>
      <c r="G196" s="1">
        <f>IF(B196="", "", "host-associated")</f>
        <v>0</v>
      </c>
      <c r="I196" s="1">
        <f>IF(B196="", "", "years")</f>
        <v>0</v>
      </c>
      <c r="L196" s="1">
        <f>IF(B196="", "", "cm")</f>
        <v>0</v>
      </c>
      <c r="P196" s="1">
        <f>IF(B196="", "", "kg")</f>
        <v>0</v>
      </c>
      <c r="R196" s="1">
        <f>IF(B196="", "", "Not applicable")</f>
        <v>0</v>
      </c>
    </row>
    <row r="197" spans="1:18">
      <c r="A197">
        <f>IF(COUNTBLANK(B197:R197)&lt;&gt;COLUMNS(B197:R197),196,"")</f>
        <v>0</v>
      </c>
      <c r="C197" s="1">
        <f>IF(B197="", "", "Host-associated")</f>
        <v>0</v>
      </c>
      <c r="G197" s="1">
        <f>IF(B197="", "", "host-associated")</f>
        <v>0</v>
      </c>
      <c r="I197" s="1">
        <f>IF(B197="", "", "years")</f>
        <v>0</v>
      </c>
      <c r="L197" s="1">
        <f>IF(B197="", "", "cm")</f>
        <v>0</v>
      </c>
      <c r="P197" s="1">
        <f>IF(B197="", "", "kg")</f>
        <v>0</v>
      </c>
      <c r="R197" s="1">
        <f>IF(B197="", "", "Not applicable")</f>
        <v>0</v>
      </c>
    </row>
    <row r="198" spans="1:18">
      <c r="A198">
        <f>IF(COUNTBLANK(B198:R198)&lt;&gt;COLUMNS(B198:R198),197,"")</f>
        <v>0</v>
      </c>
      <c r="C198" s="1">
        <f>IF(B198="", "", "Host-associated")</f>
        <v>0</v>
      </c>
      <c r="G198" s="1">
        <f>IF(B198="", "", "host-associated")</f>
        <v>0</v>
      </c>
      <c r="I198" s="1">
        <f>IF(B198="", "", "years")</f>
        <v>0</v>
      </c>
      <c r="L198" s="1">
        <f>IF(B198="", "", "cm")</f>
        <v>0</v>
      </c>
      <c r="P198" s="1">
        <f>IF(B198="", "", "kg")</f>
        <v>0</v>
      </c>
      <c r="R198" s="1">
        <f>IF(B198="", "", "Not applicable")</f>
        <v>0</v>
      </c>
    </row>
    <row r="199" spans="1:18">
      <c r="A199">
        <f>IF(COUNTBLANK(B199:R199)&lt;&gt;COLUMNS(B199:R199),198,"")</f>
        <v>0</v>
      </c>
      <c r="C199" s="1">
        <f>IF(B199="", "", "Host-associated")</f>
        <v>0</v>
      </c>
      <c r="G199" s="1">
        <f>IF(B199="", "", "host-associated")</f>
        <v>0</v>
      </c>
      <c r="I199" s="1">
        <f>IF(B199="", "", "years")</f>
        <v>0</v>
      </c>
      <c r="L199" s="1">
        <f>IF(B199="", "", "cm")</f>
        <v>0</v>
      </c>
      <c r="P199" s="1">
        <f>IF(B199="", "", "kg")</f>
        <v>0</v>
      </c>
      <c r="R199" s="1">
        <f>IF(B199="", "", "Not applicable")</f>
        <v>0</v>
      </c>
    </row>
    <row r="200" spans="1:18">
      <c r="A200">
        <f>IF(COUNTBLANK(B200:R200)&lt;&gt;COLUMNS(B200:R200),199,"")</f>
        <v>0</v>
      </c>
      <c r="C200" s="1">
        <f>IF(B200="", "", "Host-associated")</f>
        <v>0</v>
      </c>
      <c r="G200" s="1">
        <f>IF(B200="", "", "host-associated")</f>
        <v>0</v>
      </c>
      <c r="I200" s="1">
        <f>IF(B200="", "", "years")</f>
        <v>0</v>
      </c>
      <c r="L200" s="1">
        <f>IF(B200="", "", "cm")</f>
        <v>0</v>
      </c>
      <c r="P200" s="1">
        <f>IF(B200="", "", "kg")</f>
        <v>0</v>
      </c>
      <c r="R200" s="1">
        <f>IF(B200="", "", "Not applicable")</f>
        <v>0</v>
      </c>
    </row>
    <row r="201" spans="1:18">
      <c r="A201">
        <f>IF(COUNTBLANK(B201:R201)&lt;&gt;COLUMNS(B201:R201),200,"")</f>
        <v>0</v>
      </c>
      <c r="C201" s="1">
        <f>IF(B201="", "", "Host-associated")</f>
        <v>0</v>
      </c>
      <c r="G201" s="1">
        <f>IF(B201="", "", "host-associated")</f>
        <v>0</v>
      </c>
      <c r="I201" s="1">
        <f>IF(B201="", "", "years")</f>
        <v>0</v>
      </c>
      <c r="L201" s="1">
        <f>IF(B201="", "", "cm")</f>
        <v>0</v>
      </c>
      <c r="P201" s="1">
        <f>IF(B201="", "", "kg")</f>
        <v>0</v>
      </c>
      <c r="R201" s="1">
        <f>IF(B201="", "", "Not applicable")</f>
        <v>0</v>
      </c>
    </row>
    <row r="202" spans="1:18">
      <c r="A202">
        <f>IF(COUNTBLANK(B202:R202)&lt;&gt;COLUMNS(B202:R202),201,"")</f>
        <v>0</v>
      </c>
      <c r="C202" s="1">
        <f>IF(B202="", "", "Host-associated")</f>
        <v>0</v>
      </c>
      <c r="G202" s="1">
        <f>IF(B202="", "", "host-associated")</f>
        <v>0</v>
      </c>
      <c r="I202" s="1">
        <f>IF(B202="", "", "years")</f>
        <v>0</v>
      </c>
      <c r="L202" s="1">
        <f>IF(B202="", "", "cm")</f>
        <v>0</v>
      </c>
      <c r="P202" s="1">
        <f>IF(B202="", "", "kg")</f>
        <v>0</v>
      </c>
      <c r="R202" s="1">
        <f>IF(B202="", "", "Not applicable")</f>
        <v>0</v>
      </c>
    </row>
    <row r="203" spans="1:18">
      <c r="A203">
        <f>IF(COUNTBLANK(B203:R203)&lt;&gt;COLUMNS(B203:R203),202,"")</f>
        <v>0</v>
      </c>
      <c r="C203" s="1">
        <f>IF(B203="", "", "Host-associated")</f>
        <v>0</v>
      </c>
      <c r="G203" s="1">
        <f>IF(B203="", "", "host-associated")</f>
        <v>0</v>
      </c>
      <c r="I203" s="1">
        <f>IF(B203="", "", "years")</f>
        <v>0</v>
      </c>
      <c r="L203" s="1">
        <f>IF(B203="", "", "cm")</f>
        <v>0</v>
      </c>
      <c r="P203" s="1">
        <f>IF(B203="", "", "kg")</f>
        <v>0</v>
      </c>
      <c r="R203" s="1">
        <f>IF(B203="", "", "Not applicable")</f>
        <v>0</v>
      </c>
    </row>
    <row r="204" spans="1:18">
      <c r="A204">
        <f>IF(COUNTBLANK(B204:R204)&lt;&gt;COLUMNS(B204:R204),203,"")</f>
        <v>0</v>
      </c>
      <c r="C204" s="1">
        <f>IF(B204="", "", "Host-associated")</f>
        <v>0</v>
      </c>
      <c r="G204" s="1">
        <f>IF(B204="", "", "host-associated")</f>
        <v>0</v>
      </c>
      <c r="I204" s="1">
        <f>IF(B204="", "", "years")</f>
        <v>0</v>
      </c>
      <c r="L204" s="1">
        <f>IF(B204="", "", "cm")</f>
        <v>0</v>
      </c>
      <c r="P204" s="1">
        <f>IF(B204="", "", "kg")</f>
        <v>0</v>
      </c>
      <c r="R204" s="1">
        <f>IF(B204="", "", "Not applicable")</f>
        <v>0</v>
      </c>
    </row>
    <row r="205" spans="1:18">
      <c r="A205">
        <f>IF(COUNTBLANK(B205:R205)&lt;&gt;COLUMNS(B205:R205),204,"")</f>
        <v>0</v>
      </c>
      <c r="C205" s="1">
        <f>IF(B205="", "", "Host-associated")</f>
        <v>0</v>
      </c>
      <c r="G205" s="1">
        <f>IF(B205="", "", "host-associated")</f>
        <v>0</v>
      </c>
      <c r="I205" s="1">
        <f>IF(B205="", "", "years")</f>
        <v>0</v>
      </c>
      <c r="L205" s="1">
        <f>IF(B205="", "", "cm")</f>
        <v>0</v>
      </c>
      <c r="P205" s="1">
        <f>IF(B205="", "", "kg")</f>
        <v>0</v>
      </c>
      <c r="R205" s="1">
        <f>IF(B205="", "", "Not applicable")</f>
        <v>0</v>
      </c>
    </row>
    <row r="206" spans="1:18">
      <c r="A206">
        <f>IF(COUNTBLANK(B206:R206)&lt;&gt;COLUMNS(B206:R206),205,"")</f>
        <v>0</v>
      </c>
      <c r="C206" s="1">
        <f>IF(B206="", "", "Host-associated")</f>
        <v>0</v>
      </c>
      <c r="G206" s="1">
        <f>IF(B206="", "", "host-associated")</f>
        <v>0</v>
      </c>
      <c r="I206" s="1">
        <f>IF(B206="", "", "years")</f>
        <v>0</v>
      </c>
      <c r="L206" s="1">
        <f>IF(B206="", "", "cm")</f>
        <v>0</v>
      </c>
      <c r="P206" s="1">
        <f>IF(B206="", "", "kg")</f>
        <v>0</v>
      </c>
      <c r="R206" s="1">
        <f>IF(B206="", "", "Not applicable")</f>
        <v>0</v>
      </c>
    </row>
    <row r="207" spans="1:18">
      <c r="A207">
        <f>IF(COUNTBLANK(B207:R207)&lt;&gt;COLUMNS(B207:R207),206,"")</f>
        <v>0</v>
      </c>
      <c r="C207" s="1">
        <f>IF(B207="", "", "Host-associated")</f>
        <v>0</v>
      </c>
      <c r="G207" s="1">
        <f>IF(B207="", "", "host-associated")</f>
        <v>0</v>
      </c>
      <c r="I207" s="1">
        <f>IF(B207="", "", "years")</f>
        <v>0</v>
      </c>
      <c r="L207" s="1">
        <f>IF(B207="", "", "cm")</f>
        <v>0</v>
      </c>
      <c r="P207" s="1">
        <f>IF(B207="", "", "kg")</f>
        <v>0</v>
      </c>
      <c r="R207" s="1">
        <f>IF(B207="", "", "Not applicable")</f>
        <v>0</v>
      </c>
    </row>
    <row r="208" spans="1:18">
      <c r="A208">
        <f>IF(COUNTBLANK(B208:R208)&lt;&gt;COLUMNS(B208:R208),207,"")</f>
        <v>0</v>
      </c>
      <c r="C208" s="1">
        <f>IF(B208="", "", "Host-associated")</f>
        <v>0</v>
      </c>
      <c r="G208" s="1">
        <f>IF(B208="", "", "host-associated")</f>
        <v>0</v>
      </c>
      <c r="I208" s="1">
        <f>IF(B208="", "", "years")</f>
        <v>0</v>
      </c>
      <c r="L208" s="1">
        <f>IF(B208="", "", "cm")</f>
        <v>0</v>
      </c>
      <c r="P208" s="1">
        <f>IF(B208="", "", "kg")</f>
        <v>0</v>
      </c>
      <c r="R208" s="1">
        <f>IF(B208="", "", "Not applicable")</f>
        <v>0</v>
      </c>
    </row>
    <row r="209" spans="1:18">
      <c r="A209">
        <f>IF(COUNTBLANK(B209:R209)&lt;&gt;COLUMNS(B209:R209),208,"")</f>
        <v>0</v>
      </c>
      <c r="C209" s="1">
        <f>IF(B209="", "", "Host-associated")</f>
        <v>0</v>
      </c>
      <c r="G209" s="1">
        <f>IF(B209="", "", "host-associated")</f>
        <v>0</v>
      </c>
      <c r="I209" s="1">
        <f>IF(B209="", "", "years")</f>
        <v>0</v>
      </c>
      <c r="L209" s="1">
        <f>IF(B209="", "", "cm")</f>
        <v>0</v>
      </c>
      <c r="P209" s="1">
        <f>IF(B209="", "", "kg")</f>
        <v>0</v>
      </c>
      <c r="R209" s="1">
        <f>IF(B209="", "", "Not applicable")</f>
        <v>0</v>
      </c>
    </row>
    <row r="210" spans="1:18">
      <c r="A210">
        <f>IF(COUNTBLANK(B210:R210)&lt;&gt;COLUMNS(B210:R210),209,"")</f>
        <v>0</v>
      </c>
      <c r="C210" s="1">
        <f>IF(B210="", "", "Host-associated")</f>
        <v>0</v>
      </c>
      <c r="G210" s="1">
        <f>IF(B210="", "", "host-associated")</f>
        <v>0</v>
      </c>
      <c r="I210" s="1">
        <f>IF(B210="", "", "years")</f>
        <v>0</v>
      </c>
      <c r="L210" s="1">
        <f>IF(B210="", "", "cm")</f>
        <v>0</v>
      </c>
      <c r="P210" s="1">
        <f>IF(B210="", "", "kg")</f>
        <v>0</v>
      </c>
      <c r="R210" s="1">
        <f>IF(B210="", "", "Not applicable")</f>
        <v>0</v>
      </c>
    </row>
    <row r="211" spans="1:18">
      <c r="A211">
        <f>IF(COUNTBLANK(B211:R211)&lt;&gt;COLUMNS(B211:R211),210,"")</f>
        <v>0</v>
      </c>
      <c r="C211" s="1">
        <f>IF(B211="", "", "Host-associated")</f>
        <v>0</v>
      </c>
      <c r="G211" s="1">
        <f>IF(B211="", "", "host-associated")</f>
        <v>0</v>
      </c>
      <c r="I211" s="1">
        <f>IF(B211="", "", "years")</f>
        <v>0</v>
      </c>
      <c r="L211" s="1">
        <f>IF(B211="", "", "cm")</f>
        <v>0</v>
      </c>
      <c r="P211" s="1">
        <f>IF(B211="", "", "kg")</f>
        <v>0</v>
      </c>
      <c r="R211" s="1">
        <f>IF(B211="", "", "Not applicable")</f>
        <v>0</v>
      </c>
    </row>
    <row r="212" spans="1:18">
      <c r="A212">
        <f>IF(COUNTBLANK(B212:R212)&lt;&gt;COLUMNS(B212:R212),211,"")</f>
        <v>0</v>
      </c>
      <c r="C212" s="1">
        <f>IF(B212="", "", "Host-associated")</f>
        <v>0</v>
      </c>
      <c r="G212" s="1">
        <f>IF(B212="", "", "host-associated")</f>
        <v>0</v>
      </c>
      <c r="I212" s="1">
        <f>IF(B212="", "", "years")</f>
        <v>0</v>
      </c>
      <c r="L212" s="1">
        <f>IF(B212="", "", "cm")</f>
        <v>0</v>
      </c>
      <c r="P212" s="1">
        <f>IF(B212="", "", "kg")</f>
        <v>0</v>
      </c>
      <c r="R212" s="1">
        <f>IF(B212="", "", "Not applicable")</f>
        <v>0</v>
      </c>
    </row>
    <row r="213" spans="1:18">
      <c r="A213">
        <f>IF(COUNTBLANK(B213:R213)&lt;&gt;COLUMNS(B213:R213),212,"")</f>
        <v>0</v>
      </c>
      <c r="C213" s="1">
        <f>IF(B213="", "", "Host-associated")</f>
        <v>0</v>
      </c>
      <c r="G213" s="1">
        <f>IF(B213="", "", "host-associated")</f>
        <v>0</v>
      </c>
      <c r="I213" s="1">
        <f>IF(B213="", "", "years")</f>
        <v>0</v>
      </c>
      <c r="L213" s="1">
        <f>IF(B213="", "", "cm")</f>
        <v>0</v>
      </c>
      <c r="P213" s="1">
        <f>IF(B213="", "", "kg")</f>
        <v>0</v>
      </c>
      <c r="R213" s="1">
        <f>IF(B213="", "", "Not applicable")</f>
        <v>0</v>
      </c>
    </row>
    <row r="214" spans="1:18">
      <c r="A214">
        <f>IF(COUNTBLANK(B214:R214)&lt;&gt;COLUMNS(B214:R214),213,"")</f>
        <v>0</v>
      </c>
      <c r="C214" s="1">
        <f>IF(B214="", "", "Host-associated")</f>
        <v>0</v>
      </c>
      <c r="G214" s="1">
        <f>IF(B214="", "", "host-associated")</f>
        <v>0</v>
      </c>
      <c r="I214" s="1">
        <f>IF(B214="", "", "years")</f>
        <v>0</v>
      </c>
      <c r="L214" s="1">
        <f>IF(B214="", "", "cm")</f>
        <v>0</v>
      </c>
      <c r="P214" s="1">
        <f>IF(B214="", "", "kg")</f>
        <v>0</v>
      </c>
      <c r="R214" s="1">
        <f>IF(B214="", "", "Not applicable")</f>
        <v>0</v>
      </c>
    </row>
    <row r="215" spans="1:18">
      <c r="A215">
        <f>IF(COUNTBLANK(B215:R215)&lt;&gt;COLUMNS(B215:R215),214,"")</f>
        <v>0</v>
      </c>
      <c r="C215" s="1">
        <f>IF(B215="", "", "Host-associated")</f>
        <v>0</v>
      </c>
      <c r="G215" s="1">
        <f>IF(B215="", "", "host-associated")</f>
        <v>0</v>
      </c>
      <c r="I215" s="1">
        <f>IF(B215="", "", "years")</f>
        <v>0</v>
      </c>
      <c r="L215" s="1">
        <f>IF(B215="", "", "cm")</f>
        <v>0</v>
      </c>
      <c r="P215" s="1">
        <f>IF(B215="", "", "kg")</f>
        <v>0</v>
      </c>
      <c r="R215" s="1">
        <f>IF(B215="", "", "Not applicable")</f>
        <v>0</v>
      </c>
    </row>
    <row r="216" spans="1:18">
      <c r="A216">
        <f>IF(COUNTBLANK(B216:R216)&lt;&gt;COLUMNS(B216:R216),215,"")</f>
        <v>0</v>
      </c>
      <c r="C216" s="1">
        <f>IF(B216="", "", "Host-associated")</f>
        <v>0</v>
      </c>
      <c r="G216" s="1">
        <f>IF(B216="", "", "host-associated")</f>
        <v>0</v>
      </c>
      <c r="I216" s="1">
        <f>IF(B216="", "", "years")</f>
        <v>0</v>
      </c>
      <c r="L216" s="1">
        <f>IF(B216="", "", "cm")</f>
        <v>0</v>
      </c>
      <c r="P216" s="1">
        <f>IF(B216="", "", "kg")</f>
        <v>0</v>
      </c>
      <c r="R216" s="1">
        <f>IF(B216="", "", "Not applicable")</f>
        <v>0</v>
      </c>
    </row>
    <row r="217" spans="1:18">
      <c r="A217">
        <f>IF(COUNTBLANK(B217:R217)&lt;&gt;COLUMNS(B217:R217),216,"")</f>
        <v>0</v>
      </c>
      <c r="C217" s="1">
        <f>IF(B217="", "", "Host-associated")</f>
        <v>0</v>
      </c>
      <c r="G217" s="1">
        <f>IF(B217="", "", "host-associated")</f>
        <v>0</v>
      </c>
      <c r="I217" s="1">
        <f>IF(B217="", "", "years")</f>
        <v>0</v>
      </c>
      <c r="L217" s="1">
        <f>IF(B217="", "", "cm")</f>
        <v>0</v>
      </c>
      <c r="P217" s="1">
        <f>IF(B217="", "", "kg")</f>
        <v>0</v>
      </c>
      <c r="R217" s="1">
        <f>IF(B217="", "", "Not applicable")</f>
        <v>0</v>
      </c>
    </row>
    <row r="218" spans="1:18">
      <c r="A218">
        <f>IF(COUNTBLANK(B218:R218)&lt;&gt;COLUMNS(B218:R218),217,"")</f>
        <v>0</v>
      </c>
      <c r="C218" s="1">
        <f>IF(B218="", "", "Host-associated")</f>
        <v>0</v>
      </c>
      <c r="G218" s="1">
        <f>IF(B218="", "", "host-associated")</f>
        <v>0</v>
      </c>
      <c r="I218" s="1">
        <f>IF(B218="", "", "years")</f>
        <v>0</v>
      </c>
      <c r="L218" s="1">
        <f>IF(B218="", "", "cm")</f>
        <v>0</v>
      </c>
      <c r="P218" s="1">
        <f>IF(B218="", "", "kg")</f>
        <v>0</v>
      </c>
      <c r="R218" s="1">
        <f>IF(B218="", "", "Not applicable")</f>
        <v>0</v>
      </c>
    </row>
    <row r="219" spans="1:18">
      <c r="A219">
        <f>IF(COUNTBLANK(B219:R219)&lt;&gt;COLUMNS(B219:R219),218,"")</f>
        <v>0</v>
      </c>
      <c r="C219" s="1">
        <f>IF(B219="", "", "Host-associated")</f>
        <v>0</v>
      </c>
      <c r="G219" s="1">
        <f>IF(B219="", "", "host-associated")</f>
        <v>0</v>
      </c>
      <c r="I219" s="1">
        <f>IF(B219="", "", "years")</f>
        <v>0</v>
      </c>
      <c r="L219" s="1">
        <f>IF(B219="", "", "cm")</f>
        <v>0</v>
      </c>
      <c r="P219" s="1">
        <f>IF(B219="", "", "kg")</f>
        <v>0</v>
      </c>
      <c r="R219" s="1">
        <f>IF(B219="", "", "Not applicable")</f>
        <v>0</v>
      </c>
    </row>
    <row r="220" spans="1:18">
      <c r="A220">
        <f>IF(COUNTBLANK(B220:R220)&lt;&gt;COLUMNS(B220:R220),219,"")</f>
        <v>0</v>
      </c>
      <c r="C220" s="1">
        <f>IF(B220="", "", "Host-associated")</f>
        <v>0</v>
      </c>
      <c r="G220" s="1">
        <f>IF(B220="", "", "host-associated")</f>
        <v>0</v>
      </c>
      <c r="I220" s="1">
        <f>IF(B220="", "", "years")</f>
        <v>0</v>
      </c>
      <c r="L220" s="1">
        <f>IF(B220="", "", "cm")</f>
        <v>0</v>
      </c>
      <c r="P220" s="1">
        <f>IF(B220="", "", "kg")</f>
        <v>0</v>
      </c>
      <c r="R220" s="1">
        <f>IF(B220="", "", "Not applicable")</f>
        <v>0</v>
      </c>
    </row>
    <row r="221" spans="1:18">
      <c r="A221">
        <f>IF(COUNTBLANK(B221:R221)&lt;&gt;COLUMNS(B221:R221),220,"")</f>
        <v>0</v>
      </c>
      <c r="C221" s="1">
        <f>IF(B221="", "", "Host-associated")</f>
        <v>0</v>
      </c>
      <c r="G221" s="1">
        <f>IF(B221="", "", "host-associated")</f>
        <v>0</v>
      </c>
      <c r="I221" s="1">
        <f>IF(B221="", "", "years")</f>
        <v>0</v>
      </c>
      <c r="L221" s="1">
        <f>IF(B221="", "", "cm")</f>
        <v>0</v>
      </c>
      <c r="P221" s="1">
        <f>IF(B221="", "", "kg")</f>
        <v>0</v>
      </c>
      <c r="R221" s="1">
        <f>IF(B221="", "", "Not applicable")</f>
        <v>0</v>
      </c>
    </row>
    <row r="222" spans="1:18">
      <c r="A222">
        <f>IF(COUNTBLANK(B222:R222)&lt;&gt;COLUMNS(B222:R222),221,"")</f>
        <v>0</v>
      </c>
      <c r="C222" s="1">
        <f>IF(B222="", "", "Host-associated")</f>
        <v>0</v>
      </c>
      <c r="G222" s="1">
        <f>IF(B222="", "", "host-associated")</f>
        <v>0</v>
      </c>
      <c r="I222" s="1">
        <f>IF(B222="", "", "years")</f>
        <v>0</v>
      </c>
      <c r="L222" s="1">
        <f>IF(B222="", "", "cm")</f>
        <v>0</v>
      </c>
      <c r="P222" s="1">
        <f>IF(B222="", "", "kg")</f>
        <v>0</v>
      </c>
      <c r="R222" s="1">
        <f>IF(B222="", "", "Not applicable")</f>
        <v>0</v>
      </c>
    </row>
    <row r="223" spans="1:18">
      <c r="A223">
        <f>IF(COUNTBLANK(B223:R223)&lt;&gt;COLUMNS(B223:R223),222,"")</f>
        <v>0</v>
      </c>
      <c r="C223" s="1">
        <f>IF(B223="", "", "Host-associated")</f>
        <v>0</v>
      </c>
      <c r="G223" s="1">
        <f>IF(B223="", "", "host-associated")</f>
        <v>0</v>
      </c>
      <c r="I223" s="1">
        <f>IF(B223="", "", "years")</f>
        <v>0</v>
      </c>
      <c r="L223" s="1">
        <f>IF(B223="", "", "cm")</f>
        <v>0</v>
      </c>
      <c r="P223" s="1">
        <f>IF(B223="", "", "kg")</f>
        <v>0</v>
      </c>
      <c r="R223" s="1">
        <f>IF(B223="", "", "Not applicable")</f>
        <v>0</v>
      </c>
    </row>
    <row r="224" spans="1:18">
      <c r="A224">
        <f>IF(COUNTBLANK(B224:R224)&lt;&gt;COLUMNS(B224:R224),223,"")</f>
        <v>0</v>
      </c>
      <c r="C224" s="1">
        <f>IF(B224="", "", "Host-associated")</f>
        <v>0</v>
      </c>
      <c r="G224" s="1">
        <f>IF(B224="", "", "host-associated")</f>
        <v>0</v>
      </c>
      <c r="I224" s="1">
        <f>IF(B224="", "", "years")</f>
        <v>0</v>
      </c>
      <c r="L224" s="1">
        <f>IF(B224="", "", "cm")</f>
        <v>0</v>
      </c>
      <c r="P224" s="1">
        <f>IF(B224="", "", "kg")</f>
        <v>0</v>
      </c>
      <c r="R224" s="1">
        <f>IF(B224="", "", "Not applicable")</f>
        <v>0</v>
      </c>
    </row>
    <row r="225" spans="1:18">
      <c r="A225">
        <f>IF(COUNTBLANK(B225:R225)&lt;&gt;COLUMNS(B225:R225),224,"")</f>
        <v>0</v>
      </c>
      <c r="C225" s="1">
        <f>IF(B225="", "", "Host-associated")</f>
        <v>0</v>
      </c>
      <c r="G225" s="1">
        <f>IF(B225="", "", "host-associated")</f>
        <v>0</v>
      </c>
      <c r="I225" s="1">
        <f>IF(B225="", "", "years")</f>
        <v>0</v>
      </c>
      <c r="L225" s="1">
        <f>IF(B225="", "", "cm")</f>
        <v>0</v>
      </c>
      <c r="P225" s="1">
        <f>IF(B225="", "", "kg")</f>
        <v>0</v>
      </c>
      <c r="R225" s="1">
        <f>IF(B225="", "", "Not applicable")</f>
        <v>0</v>
      </c>
    </row>
    <row r="226" spans="1:18">
      <c r="A226">
        <f>IF(COUNTBLANK(B226:R226)&lt;&gt;COLUMNS(B226:R226),225,"")</f>
        <v>0</v>
      </c>
      <c r="C226" s="1">
        <f>IF(B226="", "", "Host-associated")</f>
        <v>0</v>
      </c>
      <c r="G226" s="1">
        <f>IF(B226="", "", "host-associated")</f>
        <v>0</v>
      </c>
      <c r="I226" s="1">
        <f>IF(B226="", "", "years")</f>
        <v>0</v>
      </c>
      <c r="L226" s="1">
        <f>IF(B226="", "", "cm")</f>
        <v>0</v>
      </c>
      <c r="P226" s="1">
        <f>IF(B226="", "", "kg")</f>
        <v>0</v>
      </c>
      <c r="R226" s="1">
        <f>IF(B226="", "", "Not applicable")</f>
        <v>0</v>
      </c>
    </row>
    <row r="227" spans="1:18">
      <c r="A227">
        <f>IF(COUNTBLANK(B227:R227)&lt;&gt;COLUMNS(B227:R227),226,"")</f>
        <v>0</v>
      </c>
      <c r="C227" s="1">
        <f>IF(B227="", "", "Host-associated")</f>
        <v>0</v>
      </c>
      <c r="G227" s="1">
        <f>IF(B227="", "", "host-associated")</f>
        <v>0</v>
      </c>
      <c r="I227" s="1">
        <f>IF(B227="", "", "years")</f>
        <v>0</v>
      </c>
      <c r="L227" s="1">
        <f>IF(B227="", "", "cm")</f>
        <v>0</v>
      </c>
      <c r="P227" s="1">
        <f>IF(B227="", "", "kg")</f>
        <v>0</v>
      </c>
      <c r="R227" s="1">
        <f>IF(B227="", "", "Not applicable")</f>
        <v>0</v>
      </c>
    </row>
    <row r="228" spans="1:18">
      <c r="A228">
        <f>IF(COUNTBLANK(B228:R228)&lt;&gt;COLUMNS(B228:R228),227,"")</f>
        <v>0</v>
      </c>
      <c r="C228" s="1">
        <f>IF(B228="", "", "Host-associated")</f>
        <v>0</v>
      </c>
      <c r="G228" s="1">
        <f>IF(B228="", "", "host-associated")</f>
        <v>0</v>
      </c>
      <c r="I228" s="1">
        <f>IF(B228="", "", "years")</f>
        <v>0</v>
      </c>
      <c r="L228" s="1">
        <f>IF(B228="", "", "cm")</f>
        <v>0</v>
      </c>
      <c r="P228" s="1">
        <f>IF(B228="", "", "kg")</f>
        <v>0</v>
      </c>
      <c r="R228" s="1">
        <f>IF(B228="", "", "Not applicable")</f>
        <v>0</v>
      </c>
    </row>
    <row r="229" spans="1:18">
      <c r="A229">
        <f>IF(COUNTBLANK(B229:R229)&lt;&gt;COLUMNS(B229:R229),228,"")</f>
        <v>0</v>
      </c>
      <c r="C229" s="1">
        <f>IF(B229="", "", "Host-associated")</f>
        <v>0</v>
      </c>
      <c r="G229" s="1">
        <f>IF(B229="", "", "host-associated")</f>
        <v>0</v>
      </c>
      <c r="I229" s="1">
        <f>IF(B229="", "", "years")</f>
        <v>0</v>
      </c>
      <c r="L229" s="1">
        <f>IF(B229="", "", "cm")</f>
        <v>0</v>
      </c>
      <c r="P229" s="1">
        <f>IF(B229="", "", "kg")</f>
        <v>0</v>
      </c>
      <c r="R229" s="1">
        <f>IF(B229="", "", "Not applicable")</f>
        <v>0</v>
      </c>
    </row>
    <row r="230" spans="1:18">
      <c r="A230">
        <f>IF(COUNTBLANK(B230:R230)&lt;&gt;COLUMNS(B230:R230),229,"")</f>
        <v>0</v>
      </c>
      <c r="C230" s="1">
        <f>IF(B230="", "", "Host-associated")</f>
        <v>0</v>
      </c>
      <c r="G230" s="1">
        <f>IF(B230="", "", "host-associated")</f>
        <v>0</v>
      </c>
      <c r="I230" s="1">
        <f>IF(B230="", "", "years")</f>
        <v>0</v>
      </c>
      <c r="L230" s="1">
        <f>IF(B230="", "", "cm")</f>
        <v>0</v>
      </c>
      <c r="P230" s="1">
        <f>IF(B230="", "", "kg")</f>
        <v>0</v>
      </c>
      <c r="R230" s="1">
        <f>IF(B230="", "", "Not applicable")</f>
        <v>0</v>
      </c>
    </row>
    <row r="231" spans="1:18">
      <c r="A231">
        <f>IF(COUNTBLANK(B231:R231)&lt;&gt;COLUMNS(B231:R231),230,"")</f>
        <v>0</v>
      </c>
      <c r="C231" s="1">
        <f>IF(B231="", "", "Host-associated")</f>
        <v>0</v>
      </c>
      <c r="G231" s="1">
        <f>IF(B231="", "", "host-associated")</f>
        <v>0</v>
      </c>
      <c r="I231" s="1">
        <f>IF(B231="", "", "years")</f>
        <v>0</v>
      </c>
      <c r="L231" s="1">
        <f>IF(B231="", "", "cm")</f>
        <v>0</v>
      </c>
      <c r="P231" s="1">
        <f>IF(B231="", "", "kg")</f>
        <v>0</v>
      </c>
      <c r="R231" s="1">
        <f>IF(B231="", "", "Not applicable")</f>
        <v>0</v>
      </c>
    </row>
    <row r="232" spans="1:18">
      <c r="A232">
        <f>IF(COUNTBLANK(B232:R232)&lt;&gt;COLUMNS(B232:R232),231,"")</f>
        <v>0</v>
      </c>
      <c r="C232" s="1">
        <f>IF(B232="", "", "Host-associated")</f>
        <v>0</v>
      </c>
      <c r="G232" s="1">
        <f>IF(B232="", "", "host-associated")</f>
        <v>0</v>
      </c>
      <c r="I232" s="1">
        <f>IF(B232="", "", "years")</f>
        <v>0</v>
      </c>
      <c r="L232" s="1">
        <f>IF(B232="", "", "cm")</f>
        <v>0</v>
      </c>
      <c r="P232" s="1">
        <f>IF(B232="", "", "kg")</f>
        <v>0</v>
      </c>
      <c r="R232" s="1">
        <f>IF(B232="", "", "Not applicable")</f>
        <v>0</v>
      </c>
    </row>
    <row r="233" spans="1:18">
      <c r="A233">
        <f>IF(COUNTBLANK(B233:R233)&lt;&gt;COLUMNS(B233:R233),232,"")</f>
        <v>0</v>
      </c>
      <c r="C233" s="1">
        <f>IF(B233="", "", "Host-associated")</f>
        <v>0</v>
      </c>
      <c r="G233" s="1">
        <f>IF(B233="", "", "host-associated")</f>
        <v>0</v>
      </c>
      <c r="I233" s="1">
        <f>IF(B233="", "", "years")</f>
        <v>0</v>
      </c>
      <c r="L233" s="1">
        <f>IF(B233="", "", "cm")</f>
        <v>0</v>
      </c>
      <c r="P233" s="1">
        <f>IF(B233="", "", "kg")</f>
        <v>0</v>
      </c>
      <c r="R233" s="1">
        <f>IF(B233="", "", "Not applicable")</f>
        <v>0</v>
      </c>
    </row>
    <row r="234" spans="1:18">
      <c r="A234">
        <f>IF(COUNTBLANK(B234:R234)&lt;&gt;COLUMNS(B234:R234),233,"")</f>
        <v>0</v>
      </c>
      <c r="C234" s="1">
        <f>IF(B234="", "", "Host-associated")</f>
        <v>0</v>
      </c>
      <c r="G234" s="1">
        <f>IF(B234="", "", "host-associated")</f>
        <v>0</v>
      </c>
      <c r="I234" s="1">
        <f>IF(B234="", "", "years")</f>
        <v>0</v>
      </c>
      <c r="L234" s="1">
        <f>IF(B234="", "", "cm")</f>
        <v>0</v>
      </c>
      <c r="P234" s="1">
        <f>IF(B234="", "", "kg")</f>
        <v>0</v>
      </c>
      <c r="R234" s="1">
        <f>IF(B234="", "", "Not applicable")</f>
        <v>0</v>
      </c>
    </row>
    <row r="235" spans="1:18">
      <c r="A235">
        <f>IF(COUNTBLANK(B235:R235)&lt;&gt;COLUMNS(B235:R235),234,"")</f>
        <v>0</v>
      </c>
      <c r="C235" s="1">
        <f>IF(B235="", "", "Host-associated")</f>
        <v>0</v>
      </c>
      <c r="G235" s="1">
        <f>IF(B235="", "", "host-associated")</f>
        <v>0</v>
      </c>
      <c r="I235" s="1">
        <f>IF(B235="", "", "years")</f>
        <v>0</v>
      </c>
      <c r="L235" s="1">
        <f>IF(B235="", "", "cm")</f>
        <v>0</v>
      </c>
      <c r="P235" s="1">
        <f>IF(B235="", "", "kg")</f>
        <v>0</v>
      </c>
      <c r="R235" s="1">
        <f>IF(B235="", "", "Not applicable")</f>
        <v>0</v>
      </c>
    </row>
    <row r="236" spans="1:18">
      <c r="A236">
        <f>IF(COUNTBLANK(B236:R236)&lt;&gt;COLUMNS(B236:R236),235,"")</f>
        <v>0</v>
      </c>
      <c r="C236" s="1">
        <f>IF(B236="", "", "Host-associated")</f>
        <v>0</v>
      </c>
      <c r="G236" s="1">
        <f>IF(B236="", "", "host-associated")</f>
        <v>0</v>
      </c>
      <c r="I236" s="1">
        <f>IF(B236="", "", "years")</f>
        <v>0</v>
      </c>
      <c r="L236" s="1">
        <f>IF(B236="", "", "cm")</f>
        <v>0</v>
      </c>
      <c r="P236" s="1">
        <f>IF(B236="", "", "kg")</f>
        <v>0</v>
      </c>
      <c r="R236" s="1">
        <f>IF(B236="", "", "Not applicable")</f>
        <v>0</v>
      </c>
    </row>
    <row r="237" spans="1:18">
      <c r="A237">
        <f>IF(COUNTBLANK(B237:R237)&lt;&gt;COLUMNS(B237:R237),236,"")</f>
        <v>0</v>
      </c>
      <c r="C237" s="1">
        <f>IF(B237="", "", "Host-associated")</f>
        <v>0</v>
      </c>
      <c r="G237" s="1">
        <f>IF(B237="", "", "host-associated")</f>
        <v>0</v>
      </c>
      <c r="I237" s="1">
        <f>IF(B237="", "", "years")</f>
        <v>0</v>
      </c>
      <c r="L237" s="1">
        <f>IF(B237="", "", "cm")</f>
        <v>0</v>
      </c>
      <c r="P237" s="1">
        <f>IF(B237="", "", "kg")</f>
        <v>0</v>
      </c>
      <c r="R237" s="1">
        <f>IF(B237="", "", "Not applicable")</f>
        <v>0</v>
      </c>
    </row>
    <row r="238" spans="1:18">
      <c r="A238">
        <f>IF(COUNTBLANK(B238:R238)&lt;&gt;COLUMNS(B238:R238),237,"")</f>
        <v>0</v>
      </c>
      <c r="C238" s="1">
        <f>IF(B238="", "", "Host-associated")</f>
        <v>0</v>
      </c>
      <c r="G238" s="1">
        <f>IF(B238="", "", "host-associated")</f>
        <v>0</v>
      </c>
      <c r="I238" s="1">
        <f>IF(B238="", "", "years")</f>
        <v>0</v>
      </c>
      <c r="L238" s="1">
        <f>IF(B238="", "", "cm")</f>
        <v>0</v>
      </c>
      <c r="P238" s="1">
        <f>IF(B238="", "", "kg")</f>
        <v>0</v>
      </c>
      <c r="R238" s="1">
        <f>IF(B238="", "", "Not applicable")</f>
        <v>0</v>
      </c>
    </row>
    <row r="239" spans="1:18">
      <c r="A239">
        <f>IF(COUNTBLANK(B239:R239)&lt;&gt;COLUMNS(B239:R239),238,"")</f>
        <v>0</v>
      </c>
      <c r="C239" s="1">
        <f>IF(B239="", "", "Host-associated")</f>
        <v>0</v>
      </c>
      <c r="G239" s="1">
        <f>IF(B239="", "", "host-associated")</f>
        <v>0</v>
      </c>
      <c r="I239" s="1">
        <f>IF(B239="", "", "years")</f>
        <v>0</v>
      </c>
      <c r="L239" s="1">
        <f>IF(B239="", "", "cm")</f>
        <v>0</v>
      </c>
      <c r="P239" s="1">
        <f>IF(B239="", "", "kg")</f>
        <v>0</v>
      </c>
      <c r="R239" s="1">
        <f>IF(B239="", "", "Not applicable")</f>
        <v>0</v>
      </c>
    </row>
    <row r="240" spans="1:18">
      <c r="A240">
        <f>IF(COUNTBLANK(B240:R240)&lt;&gt;COLUMNS(B240:R240),239,"")</f>
        <v>0</v>
      </c>
      <c r="C240" s="1">
        <f>IF(B240="", "", "Host-associated")</f>
        <v>0</v>
      </c>
      <c r="G240" s="1">
        <f>IF(B240="", "", "host-associated")</f>
        <v>0</v>
      </c>
      <c r="I240" s="1">
        <f>IF(B240="", "", "years")</f>
        <v>0</v>
      </c>
      <c r="L240" s="1">
        <f>IF(B240="", "", "cm")</f>
        <v>0</v>
      </c>
      <c r="P240" s="1">
        <f>IF(B240="", "", "kg")</f>
        <v>0</v>
      </c>
      <c r="R240" s="1">
        <f>IF(B240="", "", "Not applicable")</f>
        <v>0</v>
      </c>
    </row>
    <row r="241" spans="1:18">
      <c r="A241">
        <f>IF(COUNTBLANK(B241:R241)&lt;&gt;COLUMNS(B241:R241),240,"")</f>
        <v>0</v>
      </c>
      <c r="C241" s="1">
        <f>IF(B241="", "", "Host-associated")</f>
        <v>0</v>
      </c>
      <c r="G241" s="1">
        <f>IF(B241="", "", "host-associated")</f>
        <v>0</v>
      </c>
      <c r="I241" s="1">
        <f>IF(B241="", "", "years")</f>
        <v>0</v>
      </c>
      <c r="L241" s="1">
        <f>IF(B241="", "", "cm")</f>
        <v>0</v>
      </c>
      <c r="P241" s="1">
        <f>IF(B241="", "", "kg")</f>
        <v>0</v>
      </c>
      <c r="R241" s="1">
        <f>IF(B241="", "", "Not applicable")</f>
        <v>0</v>
      </c>
    </row>
    <row r="242" spans="1:18">
      <c r="A242">
        <f>IF(COUNTBLANK(B242:R242)&lt;&gt;COLUMNS(B242:R242),241,"")</f>
        <v>0</v>
      </c>
      <c r="C242" s="1">
        <f>IF(B242="", "", "Host-associated")</f>
        <v>0</v>
      </c>
      <c r="G242" s="1">
        <f>IF(B242="", "", "host-associated")</f>
        <v>0</v>
      </c>
      <c r="I242" s="1">
        <f>IF(B242="", "", "years")</f>
        <v>0</v>
      </c>
      <c r="L242" s="1">
        <f>IF(B242="", "", "cm")</f>
        <v>0</v>
      </c>
      <c r="P242" s="1">
        <f>IF(B242="", "", "kg")</f>
        <v>0</v>
      </c>
      <c r="R242" s="1">
        <f>IF(B242="", "", "Not applicable")</f>
        <v>0</v>
      </c>
    </row>
    <row r="243" spans="1:18">
      <c r="A243">
        <f>IF(COUNTBLANK(B243:R243)&lt;&gt;COLUMNS(B243:R243),242,"")</f>
        <v>0</v>
      </c>
      <c r="C243" s="1">
        <f>IF(B243="", "", "Host-associated")</f>
        <v>0</v>
      </c>
      <c r="G243" s="1">
        <f>IF(B243="", "", "host-associated")</f>
        <v>0</v>
      </c>
      <c r="I243" s="1">
        <f>IF(B243="", "", "years")</f>
        <v>0</v>
      </c>
      <c r="L243" s="1">
        <f>IF(B243="", "", "cm")</f>
        <v>0</v>
      </c>
      <c r="P243" s="1">
        <f>IF(B243="", "", "kg")</f>
        <v>0</v>
      </c>
      <c r="R243" s="1">
        <f>IF(B243="", "", "Not applicable")</f>
        <v>0</v>
      </c>
    </row>
    <row r="244" spans="1:18">
      <c r="A244">
        <f>IF(COUNTBLANK(B244:R244)&lt;&gt;COLUMNS(B244:R244),243,"")</f>
        <v>0</v>
      </c>
      <c r="C244" s="1">
        <f>IF(B244="", "", "Host-associated")</f>
        <v>0</v>
      </c>
      <c r="G244" s="1">
        <f>IF(B244="", "", "host-associated")</f>
        <v>0</v>
      </c>
      <c r="I244" s="1">
        <f>IF(B244="", "", "years")</f>
        <v>0</v>
      </c>
      <c r="L244" s="1">
        <f>IF(B244="", "", "cm")</f>
        <v>0</v>
      </c>
      <c r="P244" s="1">
        <f>IF(B244="", "", "kg")</f>
        <v>0</v>
      </c>
      <c r="R244" s="1">
        <f>IF(B244="", "", "Not applicable")</f>
        <v>0</v>
      </c>
    </row>
    <row r="245" spans="1:18">
      <c r="A245">
        <f>IF(COUNTBLANK(B245:R245)&lt;&gt;COLUMNS(B245:R245),244,"")</f>
        <v>0</v>
      </c>
      <c r="C245" s="1">
        <f>IF(B245="", "", "Host-associated")</f>
        <v>0</v>
      </c>
      <c r="G245" s="1">
        <f>IF(B245="", "", "host-associated")</f>
        <v>0</v>
      </c>
      <c r="I245" s="1">
        <f>IF(B245="", "", "years")</f>
        <v>0</v>
      </c>
      <c r="L245" s="1">
        <f>IF(B245="", "", "cm")</f>
        <v>0</v>
      </c>
      <c r="P245" s="1">
        <f>IF(B245="", "", "kg")</f>
        <v>0</v>
      </c>
      <c r="R245" s="1">
        <f>IF(B245="", "", "Not applicable")</f>
        <v>0</v>
      </c>
    </row>
    <row r="246" spans="1:18">
      <c r="A246">
        <f>IF(COUNTBLANK(B246:R246)&lt;&gt;COLUMNS(B246:R246),245,"")</f>
        <v>0</v>
      </c>
      <c r="C246" s="1">
        <f>IF(B246="", "", "Host-associated")</f>
        <v>0</v>
      </c>
      <c r="G246" s="1">
        <f>IF(B246="", "", "host-associated")</f>
        <v>0</v>
      </c>
      <c r="I246" s="1">
        <f>IF(B246="", "", "years")</f>
        <v>0</v>
      </c>
      <c r="L246" s="1">
        <f>IF(B246="", "", "cm")</f>
        <v>0</v>
      </c>
      <c r="P246" s="1">
        <f>IF(B246="", "", "kg")</f>
        <v>0</v>
      </c>
      <c r="R246" s="1">
        <f>IF(B246="", "", "Not applicable")</f>
        <v>0</v>
      </c>
    </row>
    <row r="247" spans="1:18">
      <c r="A247">
        <f>IF(COUNTBLANK(B247:R247)&lt;&gt;COLUMNS(B247:R247),246,"")</f>
        <v>0</v>
      </c>
      <c r="C247" s="1">
        <f>IF(B247="", "", "Host-associated")</f>
        <v>0</v>
      </c>
      <c r="G247" s="1">
        <f>IF(B247="", "", "host-associated")</f>
        <v>0</v>
      </c>
      <c r="I247" s="1">
        <f>IF(B247="", "", "years")</f>
        <v>0</v>
      </c>
      <c r="L247" s="1">
        <f>IF(B247="", "", "cm")</f>
        <v>0</v>
      </c>
      <c r="P247" s="1">
        <f>IF(B247="", "", "kg")</f>
        <v>0</v>
      </c>
      <c r="R247" s="1">
        <f>IF(B247="", "", "Not applicable")</f>
        <v>0</v>
      </c>
    </row>
    <row r="248" spans="1:18">
      <c r="A248">
        <f>IF(COUNTBLANK(B248:R248)&lt;&gt;COLUMNS(B248:R248),247,"")</f>
        <v>0</v>
      </c>
      <c r="C248" s="1">
        <f>IF(B248="", "", "Host-associated")</f>
        <v>0</v>
      </c>
      <c r="G248" s="1">
        <f>IF(B248="", "", "host-associated")</f>
        <v>0</v>
      </c>
      <c r="I248" s="1">
        <f>IF(B248="", "", "years")</f>
        <v>0</v>
      </c>
      <c r="L248" s="1">
        <f>IF(B248="", "", "cm")</f>
        <v>0</v>
      </c>
      <c r="P248" s="1">
        <f>IF(B248="", "", "kg")</f>
        <v>0</v>
      </c>
      <c r="R248" s="1">
        <f>IF(B248="", "", "Not applicable")</f>
        <v>0</v>
      </c>
    </row>
    <row r="249" spans="1:18">
      <c r="A249">
        <f>IF(COUNTBLANK(B249:R249)&lt;&gt;COLUMNS(B249:R249),248,"")</f>
        <v>0</v>
      </c>
      <c r="C249" s="1">
        <f>IF(B249="", "", "Host-associated")</f>
        <v>0</v>
      </c>
      <c r="G249" s="1">
        <f>IF(B249="", "", "host-associated")</f>
        <v>0</v>
      </c>
      <c r="I249" s="1">
        <f>IF(B249="", "", "years")</f>
        <v>0</v>
      </c>
      <c r="L249" s="1">
        <f>IF(B249="", "", "cm")</f>
        <v>0</v>
      </c>
      <c r="P249" s="1">
        <f>IF(B249="", "", "kg")</f>
        <v>0</v>
      </c>
      <c r="R249" s="1">
        <f>IF(B249="", "", "Not applicable")</f>
        <v>0</v>
      </c>
    </row>
    <row r="250" spans="1:18">
      <c r="A250">
        <f>IF(COUNTBLANK(B250:R250)&lt;&gt;COLUMNS(B250:R250),249,"")</f>
        <v>0</v>
      </c>
      <c r="C250" s="1">
        <f>IF(B250="", "", "Host-associated")</f>
        <v>0</v>
      </c>
      <c r="G250" s="1">
        <f>IF(B250="", "", "host-associated")</f>
        <v>0</v>
      </c>
      <c r="I250" s="1">
        <f>IF(B250="", "", "years")</f>
        <v>0</v>
      </c>
      <c r="L250" s="1">
        <f>IF(B250="", "", "cm")</f>
        <v>0</v>
      </c>
      <c r="P250" s="1">
        <f>IF(B250="", "", "kg")</f>
        <v>0</v>
      </c>
      <c r="R250" s="1">
        <f>IF(B250="", "", "Not applicable")</f>
        <v>0</v>
      </c>
    </row>
    <row r="251" spans="1:18">
      <c r="A251">
        <f>IF(COUNTBLANK(B251:R251)&lt;&gt;COLUMNS(B251:R251),250,"")</f>
        <v>0</v>
      </c>
      <c r="C251" s="1">
        <f>IF(B251="", "", "Host-associated")</f>
        <v>0</v>
      </c>
      <c r="G251" s="1">
        <f>IF(B251="", "", "host-associated")</f>
        <v>0</v>
      </c>
      <c r="I251" s="1">
        <f>IF(B251="", "", "years")</f>
        <v>0</v>
      </c>
      <c r="L251" s="1">
        <f>IF(B251="", "", "cm")</f>
        <v>0</v>
      </c>
      <c r="P251" s="1">
        <f>IF(B251="", "", "kg")</f>
        <v>0</v>
      </c>
      <c r="R251" s="1">
        <f>IF(B251="", "", "Not applicable")</f>
        <v>0</v>
      </c>
    </row>
    <row r="252" spans="1:18">
      <c r="A252">
        <f>IF(COUNTBLANK(B252:R252)&lt;&gt;COLUMNS(B252:R252),251,"")</f>
        <v>0</v>
      </c>
      <c r="C252" s="1">
        <f>IF(B252="", "", "Host-associated")</f>
        <v>0</v>
      </c>
      <c r="G252" s="1">
        <f>IF(B252="", "", "host-associated")</f>
        <v>0</v>
      </c>
      <c r="I252" s="1">
        <f>IF(B252="", "", "years")</f>
        <v>0</v>
      </c>
      <c r="L252" s="1">
        <f>IF(B252="", "", "cm")</f>
        <v>0</v>
      </c>
      <c r="P252" s="1">
        <f>IF(B252="", "", "kg")</f>
        <v>0</v>
      </c>
      <c r="R252" s="1">
        <f>IF(B252="", "", "Not applicable")</f>
        <v>0</v>
      </c>
    </row>
    <row r="253" spans="1:18">
      <c r="A253">
        <f>IF(COUNTBLANK(B253:R253)&lt;&gt;COLUMNS(B253:R253),252,"")</f>
        <v>0</v>
      </c>
      <c r="C253" s="1">
        <f>IF(B253="", "", "Host-associated")</f>
        <v>0</v>
      </c>
      <c r="G253" s="1">
        <f>IF(B253="", "", "host-associated")</f>
        <v>0</v>
      </c>
      <c r="I253" s="1">
        <f>IF(B253="", "", "years")</f>
        <v>0</v>
      </c>
      <c r="L253" s="1">
        <f>IF(B253="", "", "cm")</f>
        <v>0</v>
      </c>
      <c r="P253" s="1">
        <f>IF(B253="", "", "kg")</f>
        <v>0</v>
      </c>
      <c r="R253" s="1">
        <f>IF(B253="", "", "Not applicable")</f>
        <v>0</v>
      </c>
    </row>
    <row r="254" spans="1:18">
      <c r="A254">
        <f>IF(COUNTBLANK(B254:R254)&lt;&gt;COLUMNS(B254:R254),253,"")</f>
        <v>0</v>
      </c>
      <c r="C254" s="1">
        <f>IF(B254="", "", "Host-associated")</f>
        <v>0</v>
      </c>
      <c r="G254" s="1">
        <f>IF(B254="", "", "host-associated")</f>
        <v>0</v>
      </c>
      <c r="I254" s="1">
        <f>IF(B254="", "", "years")</f>
        <v>0</v>
      </c>
      <c r="L254" s="1">
        <f>IF(B254="", "", "cm")</f>
        <v>0</v>
      </c>
      <c r="P254" s="1">
        <f>IF(B254="", "", "kg")</f>
        <v>0</v>
      </c>
      <c r="R254" s="1">
        <f>IF(B254="", "", "Not applicable")</f>
        <v>0</v>
      </c>
    </row>
    <row r="255" spans="1:18">
      <c r="A255">
        <f>IF(COUNTBLANK(B255:R255)&lt;&gt;COLUMNS(B255:R255),254,"")</f>
        <v>0</v>
      </c>
      <c r="C255" s="1">
        <f>IF(B255="", "", "Host-associated")</f>
        <v>0</v>
      </c>
      <c r="G255" s="1">
        <f>IF(B255="", "", "host-associated")</f>
        <v>0</v>
      </c>
      <c r="I255" s="1">
        <f>IF(B255="", "", "years")</f>
        <v>0</v>
      </c>
      <c r="L255" s="1">
        <f>IF(B255="", "", "cm")</f>
        <v>0</v>
      </c>
      <c r="P255" s="1">
        <f>IF(B255="", "", "kg")</f>
        <v>0</v>
      </c>
      <c r="R255" s="1">
        <f>IF(B255="", "", "Not applicable")</f>
        <v>0</v>
      </c>
    </row>
    <row r="256" spans="1:18">
      <c r="A256">
        <f>IF(COUNTBLANK(B256:R256)&lt;&gt;COLUMNS(B256:R256),255,"")</f>
        <v>0</v>
      </c>
      <c r="C256" s="1">
        <f>IF(B256="", "", "Host-associated")</f>
        <v>0</v>
      </c>
      <c r="G256" s="1">
        <f>IF(B256="", "", "host-associated")</f>
        <v>0</v>
      </c>
      <c r="I256" s="1">
        <f>IF(B256="", "", "years")</f>
        <v>0</v>
      </c>
      <c r="L256" s="1">
        <f>IF(B256="", "", "cm")</f>
        <v>0</v>
      </c>
      <c r="P256" s="1">
        <f>IF(B256="", "", "kg")</f>
        <v>0</v>
      </c>
      <c r="R256" s="1">
        <f>IF(B256="", "", "Not applicable")</f>
        <v>0</v>
      </c>
    </row>
    <row r="257" spans="1:18">
      <c r="A257">
        <f>IF(COUNTBLANK(B257:R257)&lt;&gt;COLUMNS(B257:R257),256,"")</f>
        <v>0</v>
      </c>
      <c r="C257" s="1">
        <f>IF(B257="", "", "Host-associated")</f>
        <v>0</v>
      </c>
      <c r="G257" s="1">
        <f>IF(B257="", "", "host-associated")</f>
        <v>0</v>
      </c>
      <c r="I257" s="1">
        <f>IF(B257="", "", "years")</f>
        <v>0</v>
      </c>
      <c r="L257" s="1">
        <f>IF(B257="", "", "cm")</f>
        <v>0</v>
      </c>
      <c r="P257" s="1">
        <f>IF(B257="", "", "kg")</f>
        <v>0</v>
      </c>
      <c r="R257" s="1">
        <f>IF(B257="", "", "Not applicable")</f>
        <v>0</v>
      </c>
    </row>
    <row r="258" spans="1:18">
      <c r="A258">
        <f>IF(COUNTBLANK(B258:R258)&lt;&gt;COLUMNS(B258:R258),257,"")</f>
        <v>0</v>
      </c>
      <c r="C258" s="1">
        <f>IF(B258="", "", "Host-associated")</f>
        <v>0</v>
      </c>
      <c r="G258" s="1">
        <f>IF(B258="", "", "host-associated")</f>
        <v>0</v>
      </c>
      <c r="I258" s="1">
        <f>IF(B258="", "", "years")</f>
        <v>0</v>
      </c>
      <c r="L258" s="1">
        <f>IF(B258="", "", "cm")</f>
        <v>0</v>
      </c>
      <c r="P258" s="1">
        <f>IF(B258="", "", "kg")</f>
        <v>0</v>
      </c>
      <c r="R258" s="1">
        <f>IF(B258="", "", "Not applicable")</f>
        <v>0</v>
      </c>
    </row>
    <row r="259" spans="1:18">
      <c r="A259">
        <f>IF(COUNTBLANK(B259:R259)&lt;&gt;COLUMNS(B259:R259),258,"")</f>
        <v>0</v>
      </c>
      <c r="C259" s="1">
        <f>IF(B259="", "", "Host-associated")</f>
        <v>0</v>
      </c>
      <c r="G259" s="1">
        <f>IF(B259="", "", "host-associated")</f>
        <v>0</v>
      </c>
      <c r="I259" s="1">
        <f>IF(B259="", "", "years")</f>
        <v>0</v>
      </c>
      <c r="L259" s="1">
        <f>IF(B259="", "", "cm")</f>
        <v>0</v>
      </c>
      <c r="P259" s="1">
        <f>IF(B259="", "", "kg")</f>
        <v>0</v>
      </c>
      <c r="R259" s="1">
        <f>IF(B259="", "", "Not applicable")</f>
        <v>0</v>
      </c>
    </row>
    <row r="260" spans="1:18">
      <c r="A260">
        <f>IF(COUNTBLANK(B260:R260)&lt;&gt;COLUMNS(B260:R260),259,"")</f>
        <v>0</v>
      </c>
      <c r="C260" s="1">
        <f>IF(B260="", "", "Host-associated")</f>
        <v>0</v>
      </c>
      <c r="G260" s="1">
        <f>IF(B260="", "", "host-associated")</f>
        <v>0</v>
      </c>
      <c r="I260" s="1">
        <f>IF(B260="", "", "years")</f>
        <v>0</v>
      </c>
      <c r="L260" s="1">
        <f>IF(B260="", "", "cm")</f>
        <v>0</v>
      </c>
      <c r="P260" s="1">
        <f>IF(B260="", "", "kg")</f>
        <v>0</v>
      </c>
      <c r="R260" s="1">
        <f>IF(B260="", "", "Not applicable")</f>
        <v>0</v>
      </c>
    </row>
    <row r="261" spans="1:18">
      <c r="A261">
        <f>IF(COUNTBLANK(B261:R261)&lt;&gt;COLUMNS(B261:R261),260,"")</f>
        <v>0</v>
      </c>
      <c r="C261" s="1">
        <f>IF(B261="", "", "Host-associated")</f>
        <v>0</v>
      </c>
      <c r="G261" s="1">
        <f>IF(B261="", "", "host-associated")</f>
        <v>0</v>
      </c>
      <c r="I261" s="1">
        <f>IF(B261="", "", "years")</f>
        <v>0</v>
      </c>
      <c r="L261" s="1">
        <f>IF(B261="", "", "cm")</f>
        <v>0</v>
      </c>
      <c r="P261" s="1">
        <f>IF(B261="", "", "kg")</f>
        <v>0</v>
      </c>
      <c r="R261" s="1">
        <f>IF(B261="", "", "Not applicable")</f>
        <v>0</v>
      </c>
    </row>
    <row r="262" spans="1:18">
      <c r="A262">
        <f>IF(COUNTBLANK(B262:R262)&lt;&gt;COLUMNS(B262:R262),261,"")</f>
        <v>0</v>
      </c>
      <c r="C262" s="1">
        <f>IF(B262="", "", "Host-associated")</f>
        <v>0</v>
      </c>
      <c r="G262" s="1">
        <f>IF(B262="", "", "host-associated")</f>
        <v>0</v>
      </c>
      <c r="I262" s="1">
        <f>IF(B262="", "", "years")</f>
        <v>0</v>
      </c>
      <c r="L262" s="1">
        <f>IF(B262="", "", "cm")</f>
        <v>0</v>
      </c>
      <c r="P262" s="1">
        <f>IF(B262="", "", "kg")</f>
        <v>0</v>
      </c>
      <c r="R262" s="1">
        <f>IF(B262="", "", "Not applicable")</f>
        <v>0</v>
      </c>
    </row>
    <row r="263" spans="1:18">
      <c r="A263">
        <f>IF(COUNTBLANK(B263:R263)&lt;&gt;COLUMNS(B263:R263),262,"")</f>
        <v>0</v>
      </c>
      <c r="C263" s="1">
        <f>IF(B263="", "", "Host-associated")</f>
        <v>0</v>
      </c>
      <c r="G263" s="1">
        <f>IF(B263="", "", "host-associated")</f>
        <v>0</v>
      </c>
      <c r="I263" s="1">
        <f>IF(B263="", "", "years")</f>
        <v>0</v>
      </c>
      <c r="L263" s="1">
        <f>IF(B263="", "", "cm")</f>
        <v>0</v>
      </c>
      <c r="P263" s="1">
        <f>IF(B263="", "", "kg")</f>
        <v>0</v>
      </c>
      <c r="R263" s="1">
        <f>IF(B263="", "", "Not applicable")</f>
        <v>0</v>
      </c>
    </row>
    <row r="264" spans="1:18">
      <c r="A264">
        <f>IF(COUNTBLANK(B264:R264)&lt;&gt;COLUMNS(B264:R264),263,"")</f>
        <v>0</v>
      </c>
      <c r="C264" s="1">
        <f>IF(B264="", "", "Host-associated")</f>
        <v>0</v>
      </c>
      <c r="G264" s="1">
        <f>IF(B264="", "", "host-associated")</f>
        <v>0</v>
      </c>
      <c r="I264" s="1">
        <f>IF(B264="", "", "years")</f>
        <v>0</v>
      </c>
      <c r="L264" s="1">
        <f>IF(B264="", "", "cm")</f>
        <v>0</v>
      </c>
      <c r="P264" s="1">
        <f>IF(B264="", "", "kg")</f>
        <v>0</v>
      </c>
      <c r="R264" s="1">
        <f>IF(B264="", "", "Not applicable")</f>
        <v>0</v>
      </c>
    </row>
    <row r="265" spans="1:18">
      <c r="A265">
        <f>IF(COUNTBLANK(B265:R265)&lt;&gt;COLUMNS(B265:R265),264,"")</f>
        <v>0</v>
      </c>
      <c r="C265" s="1">
        <f>IF(B265="", "", "Host-associated")</f>
        <v>0</v>
      </c>
      <c r="G265" s="1">
        <f>IF(B265="", "", "host-associated")</f>
        <v>0</v>
      </c>
      <c r="I265" s="1">
        <f>IF(B265="", "", "years")</f>
        <v>0</v>
      </c>
      <c r="L265" s="1">
        <f>IF(B265="", "", "cm")</f>
        <v>0</v>
      </c>
      <c r="P265" s="1">
        <f>IF(B265="", "", "kg")</f>
        <v>0</v>
      </c>
      <c r="R265" s="1">
        <f>IF(B265="", "", "Not applicable")</f>
        <v>0</v>
      </c>
    </row>
    <row r="266" spans="1:18">
      <c r="A266">
        <f>IF(COUNTBLANK(B266:R266)&lt;&gt;COLUMNS(B266:R266),265,"")</f>
        <v>0</v>
      </c>
      <c r="C266" s="1">
        <f>IF(B266="", "", "Host-associated")</f>
        <v>0</v>
      </c>
      <c r="G266" s="1">
        <f>IF(B266="", "", "host-associated")</f>
        <v>0</v>
      </c>
      <c r="I266" s="1">
        <f>IF(B266="", "", "years")</f>
        <v>0</v>
      </c>
      <c r="L266" s="1">
        <f>IF(B266="", "", "cm")</f>
        <v>0</v>
      </c>
      <c r="P266" s="1">
        <f>IF(B266="", "", "kg")</f>
        <v>0</v>
      </c>
      <c r="R266" s="1">
        <f>IF(B266="", "", "Not applicable")</f>
        <v>0</v>
      </c>
    </row>
    <row r="267" spans="1:18">
      <c r="A267">
        <f>IF(COUNTBLANK(B267:R267)&lt;&gt;COLUMNS(B267:R267),266,"")</f>
        <v>0</v>
      </c>
      <c r="C267" s="1">
        <f>IF(B267="", "", "Host-associated")</f>
        <v>0</v>
      </c>
      <c r="G267" s="1">
        <f>IF(B267="", "", "host-associated")</f>
        <v>0</v>
      </c>
      <c r="I267" s="1">
        <f>IF(B267="", "", "years")</f>
        <v>0</v>
      </c>
      <c r="L267" s="1">
        <f>IF(B267="", "", "cm")</f>
        <v>0</v>
      </c>
      <c r="P267" s="1">
        <f>IF(B267="", "", "kg")</f>
        <v>0</v>
      </c>
      <c r="R267" s="1">
        <f>IF(B267="", "", "Not applicable")</f>
        <v>0</v>
      </c>
    </row>
    <row r="268" spans="1:18">
      <c r="A268">
        <f>IF(COUNTBLANK(B268:R268)&lt;&gt;COLUMNS(B268:R268),267,"")</f>
        <v>0</v>
      </c>
      <c r="C268" s="1">
        <f>IF(B268="", "", "Host-associated")</f>
        <v>0</v>
      </c>
      <c r="G268" s="1">
        <f>IF(B268="", "", "host-associated")</f>
        <v>0</v>
      </c>
      <c r="I268" s="1">
        <f>IF(B268="", "", "years")</f>
        <v>0</v>
      </c>
      <c r="L268" s="1">
        <f>IF(B268="", "", "cm")</f>
        <v>0</v>
      </c>
      <c r="P268" s="1">
        <f>IF(B268="", "", "kg")</f>
        <v>0</v>
      </c>
      <c r="R268" s="1">
        <f>IF(B268="", "", "Not applicable")</f>
        <v>0</v>
      </c>
    </row>
    <row r="269" spans="1:18">
      <c r="A269">
        <f>IF(COUNTBLANK(B269:R269)&lt;&gt;COLUMNS(B269:R269),268,"")</f>
        <v>0</v>
      </c>
      <c r="C269" s="1">
        <f>IF(B269="", "", "Host-associated")</f>
        <v>0</v>
      </c>
      <c r="G269" s="1">
        <f>IF(B269="", "", "host-associated")</f>
        <v>0</v>
      </c>
      <c r="I269" s="1">
        <f>IF(B269="", "", "years")</f>
        <v>0</v>
      </c>
      <c r="L269" s="1">
        <f>IF(B269="", "", "cm")</f>
        <v>0</v>
      </c>
      <c r="P269" s="1">
        <f>IF(B269="", "", "kg")</f>
        <v>0</v>
      </c>
      <c r="R269" s="1">
        <f>IF(B269="", "", "Not applicable")</f>
        <v>0</v>
      </c>
    </row>
    <row r="270" spans="1:18">
      <c r="A270">
        <f>IF(COUNTBLANK(B270:R270)&lt;&gt;COLUMNS(B270:R270),269,"")</f>
        <v>0</v>
      </c>
      <c r="C270" s="1">
        <f>IF(B270="", "", "Host-associated")</f>
        <v>0</v>
      </c>
      <c r="G270" s="1">
        <f>IF(B270="", "", "host-associated")</f>
        <v>0</v>
      </c>
      <c r="I270" s="1">
        <f>IF(B270="", "", "years")</f>
        <v>0</v>
      </c>
      <c r="L270" s="1">
        <f>IF(B270="", "", "cm")</f>
        <v>0</v>
      </c>
      <c r="P270" s="1">
        <f>IF(B270="", "", "kg")</f>
        <v>0</v>
      </c>
      <c r="R270" s="1">
        <f>IF(B270="", "", "Not applicable")</f>
        <v>0</v>
      </c>
    </row>
    <row r="271" spans="1:18">
      <c r="A271">
        <f>IF(COUNTBLANK(B271:R271)&lt;&gt;COLUMNS(B271:R271),270,"")</f>
        <v>0</v>
      </c>
      <c r="C271" s="1">
        <f>IF(B271="", "", "Host-associated")</f>
        <v>0</v>
      </c>
      <c r="G271" s="1">
        <f>IF(B271="", "", "host-associated")</f>
        <v>0</v>
      </c>
      <c r="I271" s="1">
        <f>IF(B271="", "", "years")</f>
        <v>0</v>
      </c>
      <c r="L271" s="1">
        <f>IF(B271="", "", "cm")</f>
        <v>0</v>
      </c>
      <c r="P271" s="1">
        <f>IF(B271="", "", "kg")</f>
        <v>0</v>
      </c>
      <c r="R271" s="1">
        <f>IF(B271="", "", "Not applicable")</f>
        <v>0</v>
      </c>
    </row>
    <row r="272" spans="1:18">
      <c r="A272">
        <f>IF(COUNTBLANK(B272:R272)&lt;&gt;COLUMNS(B272:R272),271,"")</f>
        <v>0</v>
      </c>
      <c r="C272" s="1">
        <f>IF(B272="", "", "Host-associated")</f>
        <v>0</v>
      </c>
      <c r="G272" s="1">
        <f>IF(B272="", "", "host-associated")</f>
        <v>0</v>
      </c>
      <c r="I272" s="1">
        <f>IF(B272="", "", "years")</f>
        <v>0</v>
      </c>
      <c r="L272" s="1">
        <f>IF(B272="", "", "cm")</f>
        <v>0</v>
      </c>
      <c r="P272" s="1">
        <f>IF(B272="", "", "kg")</f>
        <v>0</v>
      </c>
      <c r="R272" s="1">
        <f>IF(B272="", "", "Not applicable")</f>
        <v>0</v>
      </c>
    </row>
    <row r="273" spans="1:18">
      <c r="A273">
        <f>IF(COUNTBLANK(B273:R273)&lt;&gt;COLUMNS(B273:R273),272,"")</f>
        <v>0</v>
      </c>
      <c r="C273" s="1">
        <f>IF(B273="", "", "Host-associated")</f>
        <v>0</v>
      </c>
      <c r="G273" s="1">
        <f>IF(B273="", "", "host-associated")</f>
        <v>0</v>
      </c>
      <c r="I273" s="1">
        <f>IF(B273="", "", "years")</f>
        <v>0</v>
      </c>
      <c r="L273" s="1">
        <f>IF(B273="", "", "cm")</f>
        <v>0</v>
      </c>
      <c r="P273" s="1">
        <f>IF(B273="", "", "kg")</f>
        <v>0</v>
      </c>
      <c r="R273" s="1">
        <f>IF(B273="", "", "Not applicable")</f>
        <v>0</v>
      </c>
    </row>
    <row r="274" spans="1:18">
      <c r="A274">
        <f>IF(COUNTBLANK(B274:R274)&lt;&gt;COLUMNS(B274:R274),273,"")</f>
        <v>0</v>
      </c>
      <c r="C274" s="1">
        <f>IF(B274="", "", "Host-associated")</f>
        <v>0</v>
      </c>
      <c r="G274" s="1">
        <f>IF(B274="", "", "host-associated")</f>
        <v>0</v>
      </c>
      <c r="I274" s="1">
        <f>IF(B274="", "", "years")</f>
        <v>0</v>
      </c>
      <c r="L274" s="1">
        <f>IF(B274="", "", "cm")</f>
        <v>0</v>
      </c>
      <c r="P274" s="1">
        <f>IF(B274="", "", "kg")</f>
        <v>0</v>
      </c>
      <c r="R274" s="1">
        <f>IF(B274="", "", "Not applicable")</f>
        <v>0</v>
      </c>
    </row>
    <row r="275" spans="1:18">
      <c r="A275">
        <f>IF(COUNTBLANK(B275:R275)&lt;&gt;COLUMNS(B275:R275),274,"")</f>
        <v>0</v>
      </c>
      <c r="C275" s="1">
        <f>IF(B275="", "", "Host-associated")</f>
        <v>0</v>
      </c>
      <c r="G275" s="1">
        <f>IF(B275="", "", "host-associated")</f>
        <v>0</v>
      </c>
      <c r="I275" s="1">
        <f>IF(B275="", "", "years")</f>
        <v>0</v>
      </c>
      <c r="L275" s="1">
        <f>IF(B275="", "", "cm")</f>
        <v>0</v>
      </c>
      <c r="P275" s="1">
        <f>IF(B275="", "", "kg")</f>
        <v>0</v>
      </c>
      <c r="R275" s="1">
        <f>IF(B275="", "", "Not applicable")</f>
        <v>0</v>
      </c>
    </row>
    <row r="276" spans="1:18">
      <c r="A276">
        <f>IF(COUNTBLANK(B276:R276)&lt;&gt;COLUMNS(B276:R276),275,"")</f>
        <v>0</v>
      </c>
      <c r="C276" s="1">
        <f>IF(B276="", "", "Host-associated")</f>
        <v>0</v>
      </c>
      <c r="G276" s="1">
        <f>IF(B276="", "", "host-associated")</f>
        <v>0</v>
      </c>
      <c r="I276" s="1">
        <f>IF(B276="", "", "years")</f>
        <v>0</v>
      </c>
      <c r="L276" s="1">
        <f>IF(B276="", "", "cm")</f>
        <v>0</v>
      </c>
      <c r="P276" s="1">
        <f>IF(B276="", "", "kg")</f>
        <v>0</v>
      </c>
      <c r="R276" s="1">
        <f>IF(B276="", "", "Not applicable")</f>
        <v>0</v>
      </c>
    </row>
    <row r="277" spans="1:18">
      <c r="A277">
        <f>IF(COUNTBLANK(B277:R277)&lt;&gt;COLUMNS(B277:R277),276,"")</f>
        <v>0</v>
      </c>
      <c r="C277" s="1">
        <f>IF(B277="", "", "Host-associated")</f>
        <v>0</v>
      </c>
      <c r="G277" s="1">
        <f>IF(B277="", "", "host-associated")</f>
        <v>0</v>
      </c>
      <c r="I277" s="1">
        <f>IF(B277="", "", "years")</f>
        <v>0</v>
      </c>
      <c r="L277" s="1">
        <f>IF(B277="", "", "cm")</f>
        <v>0</v>
      </c>
      <c r="P277" s="1">
        <f>IF(B277="", "", "kg")</f>
        <v>0</v>
      </c>
      <c r="R277" s="1">
        <f>IF(B277="", "", "Not applicable")</f>
        <v>0</v>
      </c>
    </row>
    <row r="278" spans="1:18">
      <c r="A278">
        <f>IF(COUNTBLANK(B278:R278)&lt;&gt;COLUMNS(B278:R278),277,"")</f>
        <v>0</v>
      </c>
      <c r="C278" s="1">
        <f>IF(B278="", "", "Host-associated")</f>
        <v>0</v>
      </c>
      <c r="G278" s="1">
        <f>IF(B278="", "", "host-associated")</f>
        <v>0</v>
      </c>
      <c r="I278" s="1">
        <f>IF(B278="", "", "years")</f>
        <v>0</v>
      </c>
      <c r="L278" s="1">
        <f>IF(B278="", "", "cm")</f>
        <v>0</v>
      </c>
      <c r="P278" s="1">
        <f>IF(B278="", "", "kg")</f>
        <v>0</v>
      </c>
      <c r="R278" s="1">
        <f>IF(B278="", "", "Not applicable")</f>
        <v>0</v>
      </c>
    </row>
    <row r="279" spans="1:18">
      <c r="A279">
        <f>IF(COUNTBLANK(B279:R279)&lt;&gt;COLUMNS(B279:R279),278,"")</f>
        <v>0</v>
      </c>
      <c r="C279" s="1">
        <f>IF(B279="", "", "Host-associated")</f>
        <v>0</v>
      </c>
      <c r="G279" s="1">
        <f>IF(B279="", "", "host-associated")</f>
        <v>0</v>
      </c>
      <c r="I279" s="1">
        <f>IF(B279="", "", "years")</f>
        <v>0</v>
      </c>
      <c r="L279" s="1">
        <f>IF(B279="", "", "cm")</f>
        <v>0</v>
      </c>
      <c r="P279" s="1">
        <f>IF(B279="", "", "kg")</f>
        <v>0</v>
      </c>
      <c r="R279" s="1">
        <f>IF(B279="", "", "Not applicable")</f>
        <v>0</v>
      </c>
    </row>
    <row r="280" spans="1:18">
      <c r="A280">
        <f>IF(COUNTBLANK(B280:R280)&lt;&gt;COLUMNS(B280:R280),279,"")</f>
        <v>0</v>
      </c>
      <c r="C280" s="1">
        <f>IF(B280="", "", "Host-associated")</f>
        <v>0</v>
      </c>
      <c r="G280" s="1">
        <f>IF(B280="", "", "host-associated")</f>
        <v>0</v>
      </c>
      <c r="I280" s="1">
        <f>IF(B280="", "", "years")</f>
        <v>0</v>
      </c>
      <c r="L280" s="1">
        <f>IF(B280="", "", "cm")</f>
        <v>0</v>
      </c>
      <c r="P280" s="1">
        <f>IF(B280="", "", "kg")</f>
        <v>0</v>
      </c>
      <c r="R280" s="1">
        <f>IF(B280="", "", "Not applicable")</f>
        <v>0</v>
      </c>
    </row>
    <row r="281" spans="1:18">
      <c r="A281">
        <f>IF(COUNTBLANK(B281:R281)&lt;&gt;COLUMNS(B281:R281),280,"")</f>
        <v>0</v>
      </c>
      <c r="C281" s="1">
        <f>IF(B281="", "", "Host-associated")</f>
        <v>0</v>
      </c>
      <c r="G281" s="1">
        <f>IF(B281="", "", "host-associated")</f>
        <v>0</v>
      </c>
      <c r="I281" s="1">
        <f>IF(B281="", "", "years")</f>
        <v>0</v>
      </c>
      <c r="L281" s="1">
        <f>IF(B281="", "", "cm")</f>
        <v>0</v>
      </c>
      <c r="P281" s="1">
        <f>IF(B281="", "", "kg")</f>
        <v>0</v>
      </c>
      <c r="R281" s="1">
        <f>IF(B281="", "", "Not applicable")</f>
        <v>0</v>
      </c>
    </row>
    <row r="282" spans="1:18">
      <c r="A282">
        <f>IF(COUNTBLANK(B282:R282)&lt;&gt;COLUMNS(B282:R282),281,"")</f>
        <v>0</v>
      </c>
      <c r="C282" s="1">
        <f>IF(B282="", "", "Host-associated")</f>
        <v>0</v>
      </c>
      <c r="G282" s="1">
        <f>IF(B282="", "", "host-associated")</f>
        <v>0</v>
      </c>
      <c r="I282" s="1">
        <f>IF(B282="", "", "years")</f>
        <v>0</v>
      </c>
      <c r="L282" s="1">
        <f>IF(B282="", "", "cm")</f>
        <v>0</v>
      </c>
      <c r="P282" s="1">
        <f>IF(B282="", "", "kg")</f>
        <v>0</v>
      </c>
      <c r="R282" s="1">
        <f>IF(B282="", "", "Not applicable")</f>
        <v>0</v>
      </c>
    </row>
    <row r="283" spans="1:18">
      <c r="A283">
        <f>IF(COUNTBLANK(B283:R283)&lt;&gt;COLUMNS(B283:R283),282,"")</f>
        <v>0</v>
      </c>
      <c r="C283" s="1">
        <f>IF(B283="", "", "Host-associated")</f>
        <v>0</v>
      </c>
      <c r="G283" s="1">
        <f>IF(B283="", "", "host-associated")</f>
        <v>0</v>
      </c>
      <c r="I283" s="1">
        <f>IF(B283="", "", "years")</f>
        <v>0</v>
      </c>
      <c r="L283" s="1">
        <f>IF(B283="", "", "cm")</f>
        <v>0</v>
      </c>
      <c r="P283" s="1">
        <f>IF(B283="", "", "kg")</f>
        <v>0</v>
      </c>
      <c r="R283" s="1">
        <f>IF(B283="", "", "Not applicable")</f>
        <v>0</v>
      </c>
    </row>
    <row r="284" spans="1:18">
      <c r="A284">
        <f>IF(COUNTBLANK(B284:R284)&lt;&gt;COLUMNS(B284:R284),283,"")</f>
        <v>0</v>
      </c>
      <c r="C284" s="1">
        <f>IF(B284="", "", "Host-associated")</f>
        <v>0</v>
      </c>
      <c r="G284" s="1">
        <f>IF(B284="", "", "host-associated")</f>
        <v>0</v>
      </c>
      <c r="I284" s="1">
        <f>IF(B284="", "", "years")</f>
        <v>0</v>
      </c>
      <c r="L284" s="1">
        <f>IF(B284="", "", "cm")</f>
        <v>0</v>
      </c>
      <c r="P284" s="1">
        <f>IF(B284="", "", "kg")</f>
        <v>0</v>
      </c>
      <c r="R284" s="1">
        <f>IF(B284="", "", "Not applicable")</f>
        <v>0</v>
      </c>
    </row>
    <row r="285" spans="1:18">
      <c r="A285">
        <f>IF(COUNTBLANK(B285:R285)&lt;&gt;COLUMNS(B285:R285),284,"")</f>
        <v>0</v>
      </c>
      <c r="C285" s="1">
        <f>IF(B285="", "", "Host-associated")</f>
        <v>0</v>
      </c>
      <c r="G285" s="1">
        <f>IF(B285="", "", "host-associated")</f>
        <v>0</v>
      </c>
      <c r="I285" s="1">
        <f>IF(B285="", "", "years")</f>
        <v>0</v>
      </c>
      <c r="L285" s="1">
        <f>IF(B285="", "", "cm")</f>
        <v>0</v>
      </c>
      <c r="P285" s="1">
        <f>IF(B285="", "", "kg")</f>
        <v>0</v>
      </c>
      <c r="R285" s="1">
        <f>IF(B285="", "", "Not applicable")</f>
        <v>0</v>
      </c>
    </row>
    <row r="286" spans="1:18">
      <c r="A286">
        <f>IF(COUNTBLANK(B286:R286)&lt;&gt;COLUMNS(B286:R286),285,"")</f>
        <v>0</v>
      </c>
      <c r="C286" s="1">
        <f>IF(B286="", "", "Host-associated")</f>
        <v>0</v>
      </c>
      <c r="G286" s="1">
        <f>IF(B286="", "", "host-associated")</f>
        <v>0</v>
      </c>
      <c r="I286" s="1">
        <f>IF(B286="", "", "years")</f>
        <v>0</v>
      </c>
      <c r="L286" s="1">
        <f>IF(B286="", "", "cm")</f>
        <v>0</v>
      </c>
      <c r="P286" s="1">
        <f>IF(B286="", "", "kg")</f>
        <v>0</v>
      </c>
      <c r="R286" s="1">
        <f>IF(B286="", "", "Not applicable")</f>
        <v>0</v>
      </c>
    </row>
    <row r="287" spans="1:18">
      <c r="A287">
        <f>IF(COUNTBLANK(B287:R287)&lt;&gt;COLUMNS(B287:R287),286,"")</f>
        <v>0</v>
      </c>
      <c r="C287" s="1">
        <f>IF(B287="", "", "Host-associated")</f>
        <v>0</v>
      </c>
      <c r="G287" s="1">
        <f>IF(B287="", "", "host-associated")</f>
        <v>0</v>
      </c>
      <c r="I287" s="1">
        <f>IF(B287="", "", "years")</f>
        <v>0</v>
      </c>
      <c r="L287" s="1">
        <f>IF(B287="", "", "cm")</f>
        <v>0</v>
      </c>
      <c r="P287" s="1">
        <f>IF(B287="", "", "kg")</f>
        <v>0</v>
      </c>
      <c r="R287" s="1">
        <f>IF(B287="", "", "Not applicable")</f>
        <v>0</v>
      </c>
    </row>
    <row r="288" spans="1:18">
      <c r="A288">
        <f>IF(COUNTBLANK(B288:R288)&lt;&gt;COLUMNS(B288:R288),287,"")</f>
        <v>0</v>
      </c>
      <c r="C288" s="1">
        <f>IF(B288="", "", "Host-associated")</f>
        <v>0</v>
      </c>
      <c r="G288" s="1">
        <f>IF(B288="", "", "host-associated")</f>
        <v>0</v>
      </c>
      <c r="I288" s="1">
        <f>IF(B288="", "", "years")</f>
        <v>0</v>
      </c>
      <c r="L288" s="1">
        <f>IF(B288="", "", "cm")</f>
        <v>0</v>
      </c>
      <c r="P288" s="1">
        <f>IF(B288="", "", "kg")</f>
        <v>0</v>
      </c>
      <c r="R288" s="1">
        <f>IF(B288="", "", "Not applicable")</f>
        <v>0</v>
      </c>
    </row>
    <row r="289" spans="1:18">
      <c r="A289">
        <f>IF(COUNTBLANK(B289:R289)&lt;&gt;COLUMNS(B289:R289),288,"")</f>
        <v>0</v>
      </c>
      <c r="C289" s="1">
        <f>IF(B289="", "", "Host-associated")</f>
        <v>0</v>
      </c>
      <c r="G289" s="1">
        <f>IF(B289="", "", "host-associated")</f>
        <v>0</v>
      </c>
      <c r="I289" s="1">
        <f>IF(B289="", "", "years")</f>
        <v>0</v>
      </c>
      <c r="L289" s="1">
        <f>IF(B289="", "", "cm")</f>
        <v>0</v>
      </c>
      <c r="P289" s="1">
        <f>IF(B289="", "", "kg")</f>
        <v>0</v>
      </c>
      <c r="R289" s="1">
        <f>IF(B289="", "", "Not applicable")</f>
        <v>0</v>
      </c>
    </row>
    <row r="290" spans="1:18">
      <c r="A290">
        <f>IF(COUNTBLANK(B290:R290)&lt;&gt;COLUMNS(B290:R290),289,"")</f>
        <v>0</v>
      </c>
      <c r="C290" s="1">
        <f>IF(B290="", "", "Host-associated")</f>
        <v>0</v>
      </c>
      <c r="G290" s="1">
        <f>IF(B290="", "", "host-associated")</f>
        <v>0</v>
      </c>
      <c r="I290" s="1">
        <f>IF(B290="", "", "years")</f>
        <v>0</v>
      </c>
      <c r="L290" s="1">
        <f>IF(B290="", "", "cm")</f>
        <v>0</v>
      </c>
      <c r="P290" s="1">
        <f>IF(B290="", "", "kg")</f>
        <v>0</v>
      </c>
      <c r="R290" s="1">
        <f>IF(B290="", "", "Not applicable")</f>
        <v>0</v>
      </c>
    </row>
    <row r="291" spans="1:18">
      <c r="A291">
        <f>IF(COUNTBLANK(B291:R291)&lt;&gt;COLUMNS(B291:R291),290,"")</f>
        <v>0</v>
      </c>
      <c r="C291" s="1">
        <f>IF(B291="", "", "Host-associated")</f>
        <v>0</v>
      </c>
      <c r="G291" s="1">
        <f>IF(B291="", "", "host-associated")</f>
        <v>0</v>
      </c>
      <c r="I291" s="1">
        <f>IF(B291="", "", "years")</f>
        <v>0</v>
      </c>
      <c r="L291" s="1">
        <f>IF(B291="", "", "cm")</f>
        <v>0</v>
      </c>
      <c r="P291" s="1">
        <f>IF(B291="", "", "kg")</f>
        <v>0</v>
      </c>
      <c r="R291" s="1">
        <f>IF(B291="", "", "Not applicable")</f>
        <v>0</v>
      </c>
    </row>
    <row r="292" spans="1:18">
      <c r="A292">
        <f>IF(COUNTBLANK(B292:R292)&lt;&gt;COLUMNS(B292:R292),291,"")</f>
        <v>0</v>
      </c>
      <c r="C292" s="1">
        <f>IF(B292="", "", "Host-associated")</f>
        <v>0</v>
      </c>
      <c r="G292" s="1">
        <f>IF(B292="", "", "host-associated")</f>
        <v>0</v>
      </c>
      <c r="I292" s="1">
        <f>IF(B292="", "", "years")</f>
        <v>0</v>
      </c>
      <c r="L292" s="1">
        <f>IF(B292="", "", "cm")</f>
        <v>0</v>
      </c>
      <c r="P292" s="1">
        <f>IF(B292="", "", "kg")</f>
        <v>0</v>
      </c>
      <c r="R292" s="1">
        <f>IF(B292="", "", "Not applicable")</f>
        <v>0</v>
      </c>
    </row>
    <row r="293" spans="1:18">
      <c r="A293">
        <f>IF(COUNTBLANK(B293:R293)&lt;&gt;COLUMNS(B293:R293),292,"")</f>
        <v>0</v>
      </c>
      <c r="C293" s="1">
        <f>IF(B293="", "", "Host-associated")</f>
        <v>0</v>
      </c>
      <c r="G293" s="1">
        <f>IF(B293="", "", "host-associated")</f>
        <v>0</v>
      </c>
      <c r="I293" s="1">
        <f>IF(B293="", "", "years")</f>
        <v>0</v>
      </c>
      <c r="L293" s="1">
        <f>IF(B293="", "", "cm")</f>
        <v>0</v>
      </c>
      <c r="P293" s="1">
        <f>IF(B293="", "", "kg")</f>
        <v>0</v>
      </c>
      <c r="R293" s="1">
        <f>IF(B293="", "", "Not applicable")</f>
        <v>0</v>
      </c>
    </row>
    <row r="294" spans="1:18">
      <c r="A294">
        <f>IF(COUNTBLANK(B294:R294)&lt;&gt;COLUMNS(B294:R294),293,"")</f>
        <v>0</v>
      </c>
      <c r="C294" s="1">
        <f>IF(B294="", "", "Host-associated")</f>
        <v>0</v>
      </c>
      <c r="G294" s="1">
        <f>IF(B294="", "", "host-associated")</f>
        <v>0</v>
      </c>
      <c r="I294" s="1">
        <f>IF(B294="", "", "years")</f>
        <v>0</v>
      </c>
      <c r="L294" s="1">
        <f>IF(B294="", "", "cm")</f>
        <v>0</v>
      </c>
      <c r="P294" s="1">
        <f>IF(B294="", "", "kg")</f>
        <v>0</v>
      </c>
      <c r="R294" s="1">
        <f>IF(B294="", "", "Not applicable")</f>
        <v>0</v>
      </c>
    </row>
    <row r="295" spans="1:18">
      <c r="A295">
        <f>IF(COUNTBLANK(B295:R295)&lt;&gt;COLUMNS(B295:R295),294,"")</f>
        <v>0</v>
      </c>
      <c r="C295" s="1">
        <f>IF(B295="", "", "Host-associated")</f>
        <v>0</v>
      </c>
      <c r="G295" s="1">
        <f>IF(B295="", "", "host-associated")</f>
        <v>0</v>
      </c>
      <c r="I295" s="1">
        <f>IF(B295="", "", "years")</f>
        <v>0</v>
      </c>
      <c r="L295" s="1">
        <f>IF(B295="", "", "cm")</f>
        <v>0</v>
      </c>
      <c r="P295" s="1">
        <f>IF(B295="", "", "kg")</f>
        <v>0</v>
      </c>
      <c r="R295" s="1">
        <f>IF(B295="", "", "Not applicable")</f>
        <v>0</v>
      </c>
    </row>
    <row r="296" spans="1:18">
      <c r="A296">
        <f>IF(COUNTBLANK(B296:R296)&lt;&gt;COLUMNS(B296:R296),295,"")</f>
        <v>0</v>
      </c>
      <c r="C296" s="1">
        <f>IF(B296="", "", "Host-associated")</f>
        <v>0</v>
      </c>
      <c r="G296" s="1">
        <f>IF(B296="", "", "host-associated")</f>
        <v>0</v>
      </c>
      <c r="I296" s="1">
        <f>IF(B296="", "", "years")</f>
        <v>0</v>
      </c>
      <c r="L296" s="1">
        <f>IF(B296="", "", "cm")</f>
        <v>0</v>
      </c>
      <c r="P296" s="1">
        <f>IF(B296="", "", "kg")</f>
        <v>0</v>
      </c>
      <c r="R296" s="1">
        <f>IF(B296="", "", "Not applicable")</f>
        <v>0</v>
      </c>
    </row>
    <row r="297" spans="1:18">
      <c r="A297">
        <f>IF(COUNTBLANK(B297:R297)&lt;&gt;COLUMNS(B297:R297),296,"")</f>
        <v>0</v>
      </c>
      <c r="C297" s="1">
        <f>IF(B297="", "", "Host-associated")</f>
        <v>0</v>
      </c>
      <c r="G297" s="1">
        <f>IF(B297="", "", "host-associated")</f>
        <v>0</v>
      </c>
      <c r="I297" s="1">
        <f>IF(B297="", "", "years")</f>
        <v>0</v>
      </c>
      <c r="L297" s="1">
        <f>IF(B297="", "", "cm")</f>
        <v>0</v>
      </c>
      <c r="P297" s="1">
        <f>IF(B297="", "", "kg")</f>
        <v>0</v>
      </c>
      <c r="R297" s="1">
        <f>IF(B297="", "", "Not applicable")</f>
        <v>0</v>
      </c>
    </row>
    <row r="298" spans="1:18">
      <c r="A298">
        <f>IF(COUNTBLANK(B298:R298)&lt;&gt;COLUMNS(B298:R298),297,"")</f>
        <v>0</v>
      </c>
      <c r="C298" s="1">
        <f>IF(B298="", "", "Host-associated")</f>
        <v>0</v>
      </c>
      <c r="G298" s="1">
        <f>IF(B298="", "", "host-associated")</f>
        <v>0</v>
      </c>
      <c r="I298" s="1">
        <f>IF(B298="", "", "years")</f>
        <v>0</v>
      </c>
      <c r="L298" s="1">
        <f>IF(B298="", "", "cm")</f>
        <v>0</v>
      </c>
      <c r="P298" s="1">
        <f>IF(B298="", "", "kg")</f>
        <v>0</v>
      </c>
      <c r="R298" s="1">
        <f>IF(B298="", "", "Not applicable")</f>
        <v>0</v>
      </c>
    </row>
    <row r="299" spans="1:18">
      <c r="A299">
        <f>IF(COUNTBLANK(B299:R299)&lt;&gt;COLUMNS(B299:R299),298,"")</f>
        <v>0</v>
      </c>
      <c r="C299" s="1">
        <f>IF(B299="", "", "Host-associated")</f>
        <v>0</v>
      </c>
      <c r="G299" s="1">
        <f>IF(B299="", "", "host-associated")</f>
        <v>0</v>
      </c>
      <c r="I299" s="1">
        <f>IF(B299="", "", "years")</f>
        <v>0</v>
      </c>
      <c r="L299" s="1">
        <f>IF(B299="", "", "cm")</f>
        <v>0</v>
      </c>
      <c r="P299" s="1">
        <f>IF(B299="", "", "kg")</f>
        <v>0</v>
      </c>
      <c r="R299" s="1">
        <f>IF(B299="", "", "Not applicable")</f>
        <v>0</v>
      </c>
    </row>
    <row r="300" spans="1:18">
      <c r="A300">
        <f>IF(COUNTBLANK(B300:R300)&lt;&gt;COLUMNS(B300:R300),299,"")</f>
        <v>0</v>
      </c>
      <c r="C300" s="1">
        <f>IF(B300="", "", "Host-associated")</f>
        <v>0</v>
      </c>
      <c r="G300" s="1">
        <f>IF(B300="", "", "host-associated")</f>
        <v>0</v>
      </c>
      <c r="I300" s="1">
        <f>IF(B300="", "", "years")</f>
        <v>0</v>
      </c>
      <c r="L300" s="1">
        <f>IF(B300="", "", "cm")</f>
        <v>0</v>
      </c>
      <c r="P300" s="1">
        <f>IF(B300="", "", "kg")</f>
        <v>0</v>
      </c>
      <c r="R300" s="1">
        <f>IF(B300="", "", "Not applicable")</f>
        <v>0</v>
      </c>
    </row>
    <row r="301" spans="1:18">
      <c r="A301">
        <f>IF(COUNTBLANK(B301:R301)&lt;&gt;COLUMNS(B301:R301),300,"")</f>
        <v>0</v>
      </c>
      <c r="C301" s="1">
        <f>IF(B301="", "", "Host-associated")</f>
        <v>0</v>
      </c>
      <c r="G301" s="1">
        <f>IF(B301="", "", "host-associated")</f>
        <v>0</v>
      </c>
      <c r="I301" s="1">
        <f>IF(B301="", "", "years")</f>
        <v>0</v>
      </c>
      <c r="L301" s="1">
        <f>IF(B301="", "", "cm")</f>
        <v>0</v>
      </c>
      <c r="P301" s="1">
        <f>IF(B301="", "", "kg")</f>
        <v>0</v>
      </c>
      <c r="R301" s="1">
        <f>IF(B301="", "", "Not applicable")</f>
        <v>0</v>
      </c>
    </row>
    <row r="302" spans="1:18">
      <c r="A302">
        <f>IF(COUNTBLANK(B302:R302)&lt;&gt;COLUMNS(B302:R302),301,"")</f>
        <v>0</v>
      </c>
      <c r="C302" s="1">
        <f>IF(B302="", "", "Host-associated")</f>
        <v>0</v>
      </c>
      <c r="G302" s="1">
        <f>IF(B302="", "", "host-associated")</f>
        <v>0</v>
      </c>
      <c r="I302" s="1">
        <f>IF(B302="", "", "years")</f>
        <v>0</v>
      </c>
      <c r="L302" s="1">
        <f>IF(B302="", "", "cm")</f>
        <v>0</v>
      </c>
      <c r="P302" s="1">
        <f>IF(B302="", "", "kg")</f>
        <v>0</v>
      </c>
      <c r="R302" s="1">
        <f>IF(B302="", "", "Not applicable")</f>
        <v>0</v>
      </c>
    </row>
    <row r="303" spans="1:18">
      <c r="A303">
        <f>IF(COUNTBLANK(B303:R303)&lt;&gt;COLUMNS(B303:R303),302,"")</f>
        <v>0</v>
      </c>
      <c r="C303" s="1">
        <f>IF(B303="", "", "Host-associated")</f>
        <v>0</v>
      </c>
      <c r="G303" s="1">
        <f>IF(B303="", "", "host-associated")</f>
        <v>0</v>
      </c>
      <c r="I303" s="1">
        <f>IF(B303="", "", "years")</f>
        <v>0</v>
      </c>
      <c r="L303" s="1">
        <f>IF(B303="", "", "cm")</f>
        <v>0</v>
      </c>
      <c r="P303" s="1">
        <f>IF(B303="", "", "kg")</f>
        <v>0</v>
      </c>
      <c r="R303" s="1">
        <f>IF(B303="", "", "Not applicable")</f>
        <v>0</v>
      </c>
    </row>
    <row r="304" spans="1:18">
      <c r="A304">
        <f>IF(COUNTBLANK(B304:R304)&lt;&gt;COLUMNS(B304:R304),303,"")</f>
        <v>0</v>
      </c>
      <c r="C304" s="1">
        <f>IF(B304="", "", "Host-associated")</f>
        <v>0</v>
      </c>
      <c r="G304" s="1">
        <f>IF(B304="", "", "host-associated")</f>
        <v>0</v>
      </c>
      <c r="I304" s="1">
        <f>IF(B304="", "", "years")</f>
        <v>0</v>
      </c>
      <c r="L304" s="1">
        <f>IF(B304="", "", "cm")</f>
        <v>0</v>
      </c>
      <c r="P304" s="1">
        <f>IF(B304="", "", "kg")</f>
        <v>0</v>
      </c>
      <c r="R304" s="1">
        <f>IF(B304="", "", "Not applicable")</f>
        <v>0</v>
      </c>
    </row>
    <row r="305" spans="1:18">
      <c r="A305">
        <f>IF(COUNTBLANK(B305:R305)&lt;&gt;COLUMNS(B305:R305),304,"")</f>
        <v>0</v>
      </c>
      <c r="C305" s="1">
        <f>IF(B305="", "", "Host-associated")</f>
        <v>0</v>
      </c>
      <c r="G305" s="1">
        <f>IF(B305="", "", "host-associated")</f>
        <v>0</v>
      </c>
      <c r="I305" s="1">
        <f>IF(B305="", "", "years")</f>
        <v>0</v>
      </c>
      <c r="L305" s="1">
        <f>IF(B305="", "", "cm")</f>
        <v>0</v>
      </c>
      <c r="P305" s="1">
        <f>IF(B305="", "", "kg")</f>
        <v>0</v>
      </c>
      <c r="R305" s="1">
        <f>IF(B305="", "", "Not applicable")</f>
        <v>0</v>
      </c>
    </row>
    <row r="306" spans="1:18">
      <c r="A306">
        <f>IF(COUNTBLANK(B306:R306)&lt;&gt;COLUMNS(B306:R306),305,"")</f>
        <v>0</v>
      </c>
      <c r="C306" s="1">
        <f>IF(B306="", "", "Host-associated")</f>
        <v>0</v>
      </c>
      <c r="G306" s="1">
        <f>IF(B306="", "", "host-associated")</f>
        <v>0</v>
      </c>
      <c r="I306" s="1">
        <f>IF(B306="", "", "years")</f>
        <v>0</v>
      </c>
      <c r="L306" s="1">
        <f>IF(B306="", "", "cm")</f>
        <v>0</v>
      </c>
      <c r="P306" s="1">
        <f>IF(B306="", "", "kg")</f>
        <v>0</v>
      </c>
      <c r="R306" s="1">
        <f>IF(B306="", "", "Not applicable")</f>
        <v>0</v>
      </c>
    </row>
    <row r="307" spans="1:18">
      <c r="A307">
        <f>IF(COUNTBLANK(B307:R307)&lt;&gt;COLUMNS(B307:R307),306,"")</f>
        <v>0</v>
      </c>
      <c r="C307" s="1">
        <f>IF(B307="", "", "Host-associated")</f>
        <v>0</v>
      </c>
      <c r="G307" s="1">
        <f>IF(B307="", "", "host-associated")</f>
        <v>0</v>
      </c>
      <c r="I307" s="1">
        <f>IF(B307="", "", "years")</f>
        <v>0</v>
      </c>
      <c r="L307" s="1">
        <f>IF(B307="", "", "cm")</f>
        <v>0</v>
      </c>
      <c r="P307" s="1">
        <f>IF(B307="", "", "kg")</f>
        <v>0</v>
      </c>
      <c r="R307" s="1">
        <f>IF(B307="", "", "Not applicable")</f>
        <v>0</v>
      </c>
    </row>
    <row r="308" spans="1:18">
      <c r="A308">
        <f>IF(COUNTBLANK(B308:R308)&lt;&gt;COLUMNS(B308:R308),307,"")</f>
        <v>0</v>
      </c>
      <c r="C308" s="1">
        <f>IF(B308="", "", "Host-associated")</f>
        <v>0</v>
      </c>
      <c r="G308" s="1">
        <f>IF(B308="", "", "host-associated")</f>
        <v>0</v>
      </c>
      <c r="I308" s="1">
        <f>IF(B308="", "", "years")</f>
        <v>0</v>
      </c>
      <c r="L308" s="1">
        <f>IF(B308="", "", "cm")</f>
        <v>0</v>
      </c>
      <c r="P308" s="1">
        <f>IF(B308="", "", "kg")</f>
        <v>0</v>
      </c>
      <c r="R308" s="1">
        <f>IF(B308="", "", "Not applicable")</f>
        <v>0</v>
      </c>
    </row>
    <row r="309" spans="1:18">
      <c r="A309">
        <f>IF(COUNTBLANK(B309:R309)&lt;&gt;COLUMNS(B309:R309),308,"")</f>
        <v>0</v>
      </c>
      <c r="C309" s="1">
        <f>IF(B309="", "", "Host-associated")</f>
        <v>0</v>
      </c>
      <c r="G309" s="1">
        <f>IF(B309="", "", "host-associated")</f>
        <v>0</v>
      </c>
      <c r="I309" s="1">
        <f>IF(B309="", "", "years")</f>
        <v>0</v>
      </c>
      <c r="L309" s="1">
        <f>IF(B309="", "", "cm")</f>
        <v>0</v>
      </c>
      <c r="P309" s="1">
        <f>IF(B309="", "", "kg")</f>
        <v>0</v>
      </c>
      <c r="R309" s="1">
        <f>IF(B309="", "", "Not applicable")</f>
        <v>0</v>
      </c>
    </row>
    <row r="310" spans="1:18">
      <c r="A310">
        <f>IF(COUNTBLANK(B310:R310)&lt;&gt;COLUMNS(B310:R310),309,"")</f>
        <v>0</v>
      </c>
      <c r="C310" s="1">
        <f>IF(B310="", "", "Host-associated")</f>
        <v>0</v>
      </c>
      <c r="G310" s="1">
        <f>IF(B310="", "", "host-associated")</f>
        <v>0</v>
      </c>
      <c r="I310" s="1">
        <f>IF(B310="", "", "years")</f>
        <v>0</v>
      </c>
      <c r="L310" s="1">
        <f>IF(B310="", "", "cm")</f>
        <v>0</v>
      </c>
      <c r="P310" s="1">
        <f>IF(B310="", "", "kg")</f>
        <v>0</v>
      </c>
      <c r="R310" s="1">
        <f>IF(B310="", "", "Not applicable")</f>
        <v>0</v>
      </c>
    </row>
    <row r="311" spans="1:18">
      <c r="A311">
        <f>IF(COUNTBLANK(B311:R311)&lt;&gt;COLUMNS(B311:R311),310,"")</f>
        <v>0</v>
      </c>
      <c r="C311" s="1">
        <f>IF(B311="", "", "Host-associated")</f>
        <v>0</v>
      </c>
      <c r="G311" s="1">
        <f>IF(B311="", "", "host-associated")</f>
        <v>0</v>
      </c>
      <c r="I311" s="1">
        <f>IF(B311="", "", "years")</f>
        <v>0</v>
      </c>
      <c r="L311" s="1">
        <f>IF(B311="", "", "cm")</f>
        <v>0</v>
      </c>
      <c r="P311" s="1">
        <f>IF(B311="", "", "kg")</f>
        <v>0</v>
      </c>
      <c r="R311" s="1">
        <f>IF(B311="", "", "Not applicable")</f>
        <v>0</v>
      </c>
    </row>
    <row r="312" spans="1:18">
      <c r="A312">
        <f>IF(COUNTBLANK(B312:R312)&lt;&gt;COLUMNS(B312:R312),311,"")</f>
        <v>0</v>
      </c>
      <c r="C312" s="1">
        <f>IF(B312="", "", "Host-associated")</f>
        <v>0</v>
      </c>
      <c r="G312" s="1">
        <f>IF(B312="", "", "host-associated")</f>
        <v>0</v>
      </c>
      <c r="I312" s="1">
        <f>IF(B312="", "", "years")</f>
        <v>0</v>
      </c>
      <c r="L312" s="1">
        <f>IF(B312="", "", "cm")</f>
        <v>0</v>
      </c>
      <c r="P312" s="1">
        <f>IF(B312="", "", "kg")</f>
        <v>0</v>
      </c>
      <c r="R312" s="1">
        <f>IF(B312="", "", "Not applicable")</f>
        <v>0</v>
      </c>
    </row>
    <row r="313" spans="1:18">
      <c r="A313">
        <f>IF(COUNTBLANK(B313:R313)&lt;&gt;COLUMNS(B313:R313),312,"")</f>
        <v>0</v>
      </c>
      <c r="C313" s="1">
        <f>IF(B313="", "", "Host-associated")</f>
        <v>0</v>
      </c>
      <c r="G313" s="1">
        <f>IF(B313="", "", "host-associated")</f>
        <v>0</v>
      </c>
      <c r="I313" s="1">
        <f>IF(B313="", "", "years")</f>
        <v>0</v>
      </c>
      <c r="L313" s="1">
        <f>IF(B313="", "", "cm")</f>
        <v>0</v>
      </c>
      <c r="P313" s="1">
        <f>IF(B313="", "", "kg")</f>
        <v>0</v>
      </c>
      <c r="R313" s="1">
        <f>IF(B313="", "", "Not applicable")</f>
        <v>0</v>
      </c>
    </row>
    <row r="314" spans="1:18">
      <c r="A314">
        <f>IF(COUNTBLANK(B314:R314)&lt;&gt;COLUMNS(B314:R314),313,"")</f>
        <v>0</v>
      </c>
      <c r="C314" s="1">
        <f>IF(B314="", "", "Host-associated")</f>
        <v>0</v>
      </c>
      <c r="G314" s="1">
        <f>IF(B314="", "", "host-associated")</f>
        <v>0</v>
      </c>
      <c r="I314" s="1">
        <f>IF(B314="", "", "years")</f>
        <v>0</v>
      </c>
      <c r="L314" s="1">
        <f>IF(B314="", "", "cm")</f>
        <v>0</v>
      </c>
      <c r="P314" s="1">
        <f>IF(B314="", "", "kg")</f>
        <v>0</v>
      </c>
      <c r="R314" s="1">
        <f>IF(B314="", "", "Not applicable")</f>
        <v>0</v>
      </c>
    </row>
    <row r="315" spans="1:18">
      <c r="A315">
        <f>IF(COUNTBLANK(B315:R315)&lt;&gt;COLUMNS(B315:R315),314,"")</f>
        <v>0</v>
      </c>
      <c r="C315" s="1">
        <f>IF(B315="", "", "Host-associated")</f>
        <v>0</v>
      </c>
      <c r="G315" s="1">
        <f>IF(B315="", "", "host-associated")</f>
        <v>0</v>
      </c>
      <c r="I315" s="1">
        <f>IF(B315="", "", "years")</f>
        <v>0</v>
      </c>
      <c r="L315" s="1">
        <f>IF(B315="", "", "cm")</f>
        <v>0</v>
      </c>
      <c r="P315" s="1">
        <f>IF(B315="", "", "kg")</f>
        <v>0</v>
      </c>
      <c r="R315" s="1">
        <f>IF(B315="", "", "Not applicable")</f>
        <v>0</v>
      </c>
    </row>
    <row r="316" spans="1:18">
      <c r="A316">
        <f>IF(COUNTBLANK(B316:R316)&lt;&gt;COLUMNS(B316:R316),315,"")</f>
        <v>0</v>
      </c>
      <c r="C316" s="1">
        <f>IF(B316="", "", "Host-associated")</f>
        <v>0</v>
      </c>
      <c r="G316" s="1">
        <f>IF(B316="", "", "host-associated")</f>
        <v>0</v>
      </c>
      <c r="I316" s="1">
        <f>IF(B316="", "", "years")</f>
        <v>0</v>
      </c>
      <c r="L316" s="1">
        <f>IF(B316="", "", "cm")</f>
        <v>0</v>
      </c>
      <c r="P316" s="1">
        <f>IF(B316="", "", "kg")</f>
        <v>0</v>
      </c>
      <c r="R316" s="1">
        <f>IF(B316="", "", "Not applicable")</f>
        <v>0</v>
      </c>
    </row>
    <row r="317" spans="1:18">
      <c r="A317">
        <f>IF(COUNTBLANK(B317:R317)&lt;&gt;COLUMNS(B317:R317),316,"")</f>
        <v>0</v>
      </c>
      <c r="C317" s="1">
        <f>IF(B317="", "", "Host-associated")</f>
        <v>0</v>
      </c>
      <c r="G317" s="1">
        <f>IF(B317="", "", "host-associated")</f>
        <v>0</v>
      </c>
      <c r="I317" s="1">
        <f>IF(B317="", "", "years")</f>
        <v>0</v>
      </c>
      <c r="L317" s="1">
        <f>IF(B317="", "", "cm")</f>
        <v>0</v>
      </c>
      <c r="P317" s="1">
        <f>IF(B317="", "", "kg")</f>
        <v>0</v>
      </c>
      <c r="R317" s="1">
        <f>IF(B317="", "", "Not applicable")</f>
        <v>0</v>
      </c>
    </row>
    <row r="318" spans="1:18">
      <c r="A318">
        <f>IF(COUNTBLANK(B318:R318)&lt;&gt;COLUMNS(B318:R318),317,"")</f>
        <v>0</v>
      </c>
      <c r="C318" s="1">
        <f>IF(B318="", "", "Host-associated")</f>
        <v>0</v>
      </c>
      <c r="G318" s="1">
        <f>IF(B318="", "", "host-associated")</f>
        <v>0</v>
      </c>
      <c r="I318" s="1">
        <f>IF(B318="", "", "years")</f>
        <v>0</v>
      </c>
      <c r="L318" s="1">
        <f>IF(B318="", "", "cm")</f>
        <v>0</v>
      </c>
      <c r="P318" s="1">
        <f>IF(B318="", "", "kg")</f>
        <v>0</v>
      </c>
      <c r="R318" s="1">
        <f>IF(B318="", "", "Not applicable")</f>
        <v>0</v>
      </c>
    </row>
    <row r="319" spans="1:18">
      <c r="A319">
        <f>IF(COUNTBLANK(B319:R319)&lt;&gt;COLUMNS(B319:R319),318,"")</f>
        <v>0</v>
      </c>
      <c r="C319" s="1">
        <f>IF(B319="", "", "Host-associated")</f>
        <v>0</v>
      </c>
      <c r="G319" s="1">
        <f>IF(B319="", "", "host-associated")</f>
        <v>0</v>
      </c>
      <c r="I319" s="1">
        <f>IF(B319="", "", "years")</f>
        <v>0</v>
      </c>
      <c r="L319" s="1">
        <f>IF(B319="", "", "cm")</f>
        <v>0</v>
      </c>
      <c r="P319" s="1">
        <f>IF(B319="", "", "kg")</f>
        <v>0</v>
      </c>
      <c r="R319" s="1">
        <f>IF(B319="", "", "Not applicable")</f>
        <v>0</v>
      </c>
    </row>
    <row r="320" spans="1:18">
      <c r="A320">
        <f>IF(COUNTBLANK(B320:R320)&lt;&gt;COLUMNS(B320:R320),319,"")</f>
        <v>0</v>
      </c>
      <c r="C320" s="1">
        <f>IF(B320="", "", "Host-associated")</f>
        <v>0</v>
      </c>
      <c r="G320" s="1">
        <f>IF(B320="", "", "host-associated")</f>
        <v>0</v>
      </c>
      <c r="I320" s="1">
        <f>IF(B320="", "", "years")</f>
        <v>0</v>
      </c>
      <c r="L320" s="1">
        <f>IF(B320="", "", "cm")</f>
        <v>0</v>
      </c>
      <c r="P320" s="1">
        <f>IF(B320="", "", "kg")</f>
        <v>0</v>
      </c>
      <c r="R320" s="1">
        <f>IF(B320="", "", "Not applicable")</f>
        <v>0</v>
      </c>
    </row>
    <row r="321" spans="1:18">
      <c r="A321">
        <f>IF(COUNTBLANK(B321:R321)&lt;&gt;COLUMNS(B321:R321),320,"")</f>
        <v>0</v>
      </c>
      <c r="C321" s="1">
        <f>IF(B321="", "", "Host-associated")</f>
        <v>0</v>
      </c>
      <c r="G321" s="1">
        <f>IF(B321="", "", "host-associated")</f>
        <v>0</v>
      </c>
      <c r="I321" s="1">
        <f>IF(B321="", "", "years")</f>
        <v>0</v>
      </c>
      <c r="L321" s="1">
        <f>IF(B321="", "", "cm")</f>
        <v>0</v>
      </c>
      <c r="P321" s="1">
        <f>IF(B321="", "", "kg")</f>
        <v>0</v>
      </c>
      <c r="R321" s="1">
        <f>IF(B321="", "", "Not applicable")</f>
        <v>0</v>
      </c>
    </row>
    <row r="322" spans="1:18">
      <c r="A322">
        <f>IF(COUNTBLANK(B322:R322)&lt;&gt;COLUMNS(B322:R322),321,"")</f>
        <v>0</v>
      </c>
      <c r="C322" s="1">
        <f>IF(B322="", "", "Host-associated")</f>
        <v>0</v>
      </c>
      <c r="G322" s="1">
        <f>IF(B322="", "", "host-associated")</f>
        <v>0</v>
      </c>
      <c r="I322" s="1">
        <f>IF(B322="", "", "years")</f>
        <v>0</v>
      </c>
      <c r="L322" s="1">
        <f>IF(B322="", "", "cm")</f>
        <v>0</v>
      </c>
      <c r="P322" s="1">
        <f>IF(B322="", "", "kg")</f>
        <v>0</v>
      </c>
      <c r="R322" s="1">
        <f>IF(B322="", "", "Not applicable")</f>
        <v>0</v>
      </c>
    </row>
    <row r="323" spans="1:18">
      <c r="A323">
        <f>IF(COUNTBLANK(B323:R323)&lt;&gt;COLUMNS(B323:R323),322,"")</f>
        <v>0</v>
      </c>
      <c r="C323" s="1">
        <f>IF(B323="", "", "Host-associated")</f>
        <v>0</v>
      </c>
      <c r="G323" s="1">
        <f>IF(B323="", "", "host-associated")</f>
        <v>0</v>
      </c>
      <c r="I323" s="1">
        <f>IF(B323="", "", "years")</f>
        <v>0</v>
      </c>
      <c r="L323" s="1">
        <f>IF(B323="", "", "cm")</f>
        <v>0</v>
      </c>
      <c r="P323" s="1">
        <f>IF(B323="", "", "kg")</f>
        <v>0</v>
      </c>
      <c r="R323" s="1">
        <f>IF(B323="", "", "Not applicable")</f>
        <v>0</v>
      </c>
    </row>
    <row r="324" spans="1:18">
      <c r="A324">
        <f>IF(COUNTBLANK(B324:R324)&lt;&gt;COLUMNS(B324:R324),323,"")</f>
        <v>0</v>
      </c>
      <c r="C324" s="1">
        <f>IF(B324="", "", "Host-associated")</f>
        <v>0</v>
      </c>
      <c r="G324" s="1">
        <f>IF(B324="", "", "host-associated")</f>
        <v>0</v>
      </c>
      <c r="I324" s="1">
        <f>IF(B324="", "", "years")</f>
        <v>0</v>
      </c>
      <c r="L324" s="1">
        <f>IF(B324="", "", "cm")</f>
        <v>0</v>
      </c>
      <c r="P324" s="1">
        <f>IF(B324="", "", "kg")</f>
        <v>0</v>
      </c>
      <c r="R324" s="1">
        <f>IF(B324="", "", "Not applicable")</f>
        <v>0</v>
      </c>
    </row>
    <row r="325" spans="1:18">
      <c r="A325">
        <f>IF(COUNTBLANK(B325:R325)&lt;&gt;COLUMNS(B325:R325),324,"")</f>
        <v>0</v>
      </c>
      <c r="C325" s="1">
        <f>IF(B325="", "", "Host-associated")</f>
        <v>0</v>
      </c>
      <c r="G325" s="1">
        <f>IF(B325="", "", "host-associated")</f>
        <v>0</v>
      </c>
      <c r="I325" s="1">
        <f>IF(B325="", "", "years")</f>
        <v>0</v>
      </c>
      <c r="L325" s="1">
        <f>IF(B325="", "", "cm")</f>
        <v>0</v>
      </c>
      <c r="P325" s="1">
        <f>IF(B325="", "", "kg")</f>
        <v>0</v>
      </c>
      <c r="R325" s="1">
        <f>IF(B325="", "", "Not applicable")</f>
        <v>0</v>
      </c>
    </row>
    <row r="326" spans="1:18">
      <c r="A326">
        <f>IF(COUNTBLANK(B326:R326)&lt;&gt;COLUMNS(B326:R326),325,"")</f>
        <v>0</v>
      </c>
      <c r="C326" s="1">
        <f>IF(B326="", "", "Host-associated")</f>
        <v>0</v>
      </c>
      <c r="G326" s="1">
        <f>IF(B326="", "", "host-associated")</f>
        <v>0</v>
      </c>
      <c r="I326" s="1">
        <f>IF(B326="", "", "years")</f>
        <v>0</v>
      </c>
      <c r="L326" s="1">
        <f>IF(B326="", "", "cm")</f>
        <v>0</v>
      </c>
      <c r="P326" s="1">
        <f>IF(B326="", "", "kg")</f>
        <v>0</v>
      </c>
      <c r="R326" s="1">
        <f>IF(B326="", "", "Not applicable")</f>
        <v>0</v>
      </c>
    </row>
    <row r="327" spans="1:18">
      <c r="A327">
        <f>IF(COUNTBLANK(B327:R327)&lt;&gt;COLUMNS(B327:R327),326,"")</f>
        <v>0</v>
      </c>
      <c r="C327" s="1">
        <f>IF(B327="", "", "Host-associated")</f>
        <v>0</v>
      </c>
      <c r="G327" s="1">
        <f>IF(B327="", "", "host-associated")</f>
        <v>0</v>
      </c>
      <c r="I327" s="1">
        <f>IF(B327="", "", "years")</f>
        <v>0</v>
      </c>
      <c r="L327" s="1">
        <f>IF(B327="", "", "cm")</f>
        <v>0</v>
      </c>
      <c r="P327" s="1">
        <f>IF(B327="", "", "kg")</f>
        <v>0</v>
      </c>
      <c r="R327" s="1">
        <f>IF(B327="", "", "Not applicable")</f>
        <v>0</v>
      </c>
    </row>
    <row r="328" spans="1:18">
      <c r="A328">
        <f>IF(COUNTBLANK(B328:R328)&lt;&gt;COLUMNS(B328:R328),327,"")</f>
        <v>0</v>
      </c>
      <c r="C328" s="1">
        <f>IF(B328="", "", "Host-associated")</f>
        <v>0</v>
      </c>
      <c r="G328" s="1">
        <f>IF(B328="", "", "host-associated")</f>
        <v>0</v>
      </c>
      <c r="I328" s="1">
        <f>IF(B328="", "", "years")</f>
        <v>0</v>
      </c>
      <c r="L328" s="1">
        <f>IF(B328="", "", "cm")</f>
        <v>0</v>
      </c>
      <c r="P328" s="1">
        <f>IF(B328="", "", "kg")</f>
        <v>0</v>
      </c>
      <c r="R328" s="1">
        <f>IF(B328="", "", "Not applicable")</f>
        <v>0</v>
      </c>
    </row>
    <row r="329" spans="1:18">
      <c r="A329">
        <f>IF(COUNTBLANK(B329:R329)&lt;&gt;COLUMNS(B329:R329),328,"")</f>
        <v>0</v>
      </c>
      <c r="C329" s="1">
        <f>IF(B329="", "", "Host-associated")</f>
        <v>0</v>
      </c>
      <c r="G329" s="1">
        <f>IF(B329="", "", "host-associated")</f>
        <v>0</v>
      </c>
      <c r="I329" s="1">
        <f>IF(B329="", "", "years")</f>
        <v>0</v>
      </c>
      <c r="L329" s="1">
        <f>IF(B329="", "", "cm")</f>
        <v>0</v>
      </c>
      <c r="P329" s="1">
        <f>IF(B329="", "", "kg")</f>
        <v>0</v>
      </c>
      <c r="R329" s="1">
        <f>IF(B329="", "", "Not applicable")</f>
        <v>0</v>
      </c>
    </row>
    <row r="330" spans="1:18">
      <c r="A330">
        <f>IF(COUNTBLANK(B330:R330)&lt;&gt;COLUMNS(B330:R330),329,"")</f>
        <v>0</v>
      </c>
      <c r="C330" s="1">
        <f>IF(B330="", "", "Host-associated")</f>
        <v>0</v>
      </c>
      <c r="G330" s="1">
        <f>IF(B330="", "", "host-associated")</f>
        <v>0</v>
      </c>
      <c r="I330" s="1">
        <f>IF(B330="", "", "years")</f>
        <v>0</v>
      </c>
      <c r="L330" s="1">
        <f>IF(B330="", "", "cm")</f>
        <v>0</v>
      </c>
      <c r="P330" s="1">
        <f>IF(B330="", "", "kg")</f>
        <v>0</v>
      </c>
      <c r="R330" s="1">
        <f>IF(B330="", "", "Not applicable")</f>
        <v>0</v>
      </c>
    </row>
    <row r="331" spans="1:18">
      <c r="A331">
        <f>IF(COUNTBLANK(B331:R331)&lt;&gt;COLUMNS(B331:R331),330,"")</f>
        <v>0</v>
      </c>
      <c r="C331" s="1">
        <f>IF(B331="", "", "Host-associated")</f>
        <v>0</v>
      </c>
      <c r="G331" s="1">
        <f>IF(B331="", "", "host-associated")</f>
        <v>0</v>
      </c>
      <c r="I331" s="1">
        <f>IF(B331="", "", "years")</f>
        <v>0</v>
      </c>
      <c r="L331" s="1">
        <f>IF(B331="", "", "cm")</f>
        <v>0</v>
      </c>
      <c r="P331" s="1">
        <f>IF(B331="", "", "kg")</f>
        <v>0</v>
      </c>
      <c r="R331" s="1">
        <f>IF(B331="", "", "Not applicable")</f>
        <v>0</v>
      </c>
    </row>
    <row r="332" spans="1:18">
      <c r="A332">
        <f>IF(COUNTBLANK(B332:R332)&lt;&gt;COLUMNS(B332:R332),331,"")</f>
        <v>0</v>
      </c>
      <c r="C332" s="1">
        <f>IF(B332="", "", "Host-associated")</f>
        <v>0</v>
      </c>
      <c r="G332" s="1">
        <f>IF(B332="", "", "host-associated")</f>
        <v>0</v>
      </c>
      <c r="I332" s="1">
        <f>IF(B332="", "", "years")</f>
        <v>0</v>
      </c>
      <c r="L332" s="1">
        <f>IF(B332="", "", "cm")</f>
        <v>0</v>
      </c>
      <c r="P332" s="1">
        <f>IF(B332="", "", "kg")</f>
        <v>0</v>
      </c>
      <c r="R332" s="1">
        <f>IF(B332="", "", "Not applicable")</f>
        <v>0</v>
      </c>
    </row>
    <row r="333" spans="1:18">
      <c r="A333">
        <f>IF(COUNTBLANK(B333:R333)&lt;&gt;COLUMNS(B333:R333),332,"")</f>
        <v>0</v>
      </c>
      <c r="C333" s="1">
        <f>IF(B333="", "", "Host-associated")</f>
        <v>0</v>
      </c>
      <c r="G333" s="1">
        <f>IF(B333="", "", "host-associated")</f>
        <v>0</v>
      </c>
      <c r="I333" s="1">
        <f>IF(B333="", "", "years")</f>
        <v>0</v>
      </c>
      <c r="L333" s="1">
        <f>IF(B333="", "", "cm")</f>
        <v>0</v>
      </c>
      <c r="P333" s="1">
        <f>IF(B333="", "", "kg")</f>
        <v>0</v>
      </c>
      <c r="R333" s="1">
        <f>IF(B333="", "", "Not applicable")</f>
        <v>0</v>
      </c>
    </row>
    <row r="334" spans="1:18">
      <c r="A334">
        <f>IF(COUNTBLANK(B334:R334)&lt;&gt;COLUMNS(B334:R334),333,"")</f>
        <v>0</v>
      </c>
      <c r="C334" s="1">
        <f>IF(B334="", "", "Host-associated")</f>
        <v>0</v>
      </c>
      <c r="G334" s="1">
        <f>IF(B334="", "", "host-associated")</f>
        <v>0</v>
      </c>
      <c r="I334" s="1">
        <f>IF(B334="", "", "years")</f>
        <v>0</v>
      </c>
      <c r="L334" s="1">
        <f>IF(B334="", "", "cm")</f>
        <v>0</v>
      </c>
      <c r="P334" s="1">
        <f>IF(B334="", "", "kg")</f>
        <v>0</v>
      </c>
      <c r="R334" s="1">
        <f>IF(B334="", "", "Not applicable")</f>
        <v>0</v>
      </c>
    </row>
    <row r="335" spans="1:18">
      <c r="A335">
        <f>IF(COUNTBLANK(B335:R335)&lt;&gt;COLUMNS(B335:R335),334,"")</f>
        <v>0</v>
      </c>
      <c r="C335" s="1">
        <f>IF(B335="", "", "Host-associated")</f>
        <v>0</v>
      </c>
      <c r="G335" s="1">
        <f>IF(B335="", "", "host-associated")</f>
        <v>0</v>
      </c>
      <c r="I335" s="1">
        <f>IF(B335="", "", "years")</f>
        <v>0</v>
      </c>
      <c r="L335" s="1">
        <f>IF(B335="", "", "cm")</f>
        <v>0</v>
      </c>
      <c r="P335" s="1">
        <f>IF(B335="", "", "kg")</f>
        <v>0</v>
      </c>
      <c r="R335" s="1">
        <f>IF(B335="", "", "Not applicable")</f>
        <v>0</v>
      </c>
    </row>
    <row r="336" spans="1:18">
      <c r="A336">
        <f>IF(COUNTBLANK(B336:R336)&lt;&gt;COLUMNS(B336:R336),335,"")</f>
        <v>0</v>
      </c>
      <c r="C336" s="1">
        <f>IF(B336="", "", "Host-associated")</f>
        <v>0</v>
      </c>
      <c r="G336" s="1">
        <f>IF(B336="", "", "host-associated")</f>
        <v>0</v>
      </c>
      <c r="I336" s="1">
        <f>IF(B336="", "", "years")</f>
        <v>0</v>
      </c>
      <c r="L336" s="1">
        <f>IF(B336="", "", "cm")</f>
        <v>0</v>
      </c>
      <c r="P336" s="1">
        <f>IF(B336="", "", "kg")</f>
        <v>0</v>
      </c>
      <c r="R336" s="1">
        <f>IF(B336="", "", "Not applicable")</f>
        <v>0</v>
      </c>
    </row>
    <row r="337" spans="1:18">
      <c r="A337">
        <f>IF(COUNTBLANK(B337:R337)&lt;&gt;COLUMNS(B337:R337),336,"")</f>
        <v>0</v>
      </c>
      <c r="C337" s="1">
        <f>IF(B337="", "", "Host-associated")</f>
        <v>0</v>
      </c>
      <c r="G337" s="1">
        <f>IF(B337="", "", "host-associated")</f>
        <v>0</v>
      </c>
      <c r="I337" s="1">
        <f>IF(B337="", "", "years")</f>
        <v>0</v>
      </c>
      <c r="L337" s="1">
        <f>IF(B337="", "", "cm")</f>
        <v>0</v>
      </c>
      <c r="P337" s="1">
        <f>IF(B337="", "", "kg")</f>
        <v>0</v>
      </c>
      <c r="R337" s="1">
        <f>IF(B337="", "", "Not applicable")</f>
        <v>0</v>
      </c>
    </row>
    <row r="338" spans="1:18">
      <c r="A338">
        <f>IF(COUNTBLANK(B338:R338)&lt;&gt;COLUMNS(B338:R338),337,"")</f>
        <v>0</v>
      </c>
      <c r="C338" s="1">
        <f>IF(B338="", "", "Host-associated")</f>
        <v>0</v>
      </c>
      <c r="G338" s="1">
        <f>IF(B338="", "", "host-associated")</f>
        <v>0</v>
      </c>
      <c r="I338" s="1">
        <f>IF(B338="", "", "years")</f>
        <v>0</v>
      </c>
      <c r="L338" s="1">
        <f>IF(B338="", "", "cm")</f>
        <v>0</v>
      </c>
      <c r="P338" s="1">
        <f>IF(B338="", "", "kg")</f>
        <v>0</v>
      </c>
      <c r="R338" s="1">
        <f>IF(B338="", "", "Not applicable")</f>
        <v>0</v>
      </c>
    </row>
    <row r="339" spans="1:18">
      <c r="A339">
        <f>IF(COUNTBLANK(B339:R339)&lt;&gt;COLUMNS(B339:R339),338,"")</f>
        <v>0</v>
      </c>
      <c r="C339" s="1">
        <f>IF(B339="", "", "Host-associated")</f>
        <v>0</v>
      </c>
      <c r="G339" s="1">
        <f>IF(B339="", "", "host-associated")</f>
        <v>0</v>
      </c>
      <c r="I339" s="1">
        <f>IF(B339="", "", "years")</f>
        <v>0</v>
      </c>
      <c r="L339" s="1">
        <f>IF(B339="", "", "cm")</f>
        <v>0</v>
      </c>
      <c r="P339" s="1">
        <f>IF(B339="", "", "kg")</f>
        <v>0</v>
      </c>
      <c r="R339" s="1">
        <f>IF(B339="", "", "Not applicable")</f>
        <v>0</v>
      </c>
    </row>
    <row r="340" spans="1:18">
      <c r="A340">
        <f>IF(COUNTBLANK(B340:R340)&lt;&gt;COLUMNS(B340:R340),339,"")</f>
        <v>0</v>
      </c>
      <c r="C340" s="1">
        <f>IF(B340="", "", "Host-associated")</f>
        <v>0</v>
      </c>
      <c r="G340" s="1">
        <f>IF(B340="", "", "host-associated")</f>
        <v>0</v>
      </c>
      <c r="I340" s="1">
        <f>IF(B340="", "", "years")</f>
        <v>0</v>
      </c>
      <c r="L340" s="1">
        <f>IF(B340="", "", "cm")</f>
        <v>0</v>
      </c>
      <c r="P340" s="1">
        <f>IF(B340="", "", "kg")</f>
        <v>0</v>
      </c>
      <c r="R340" s="1">
        <f>IF(B340="", "", "Not applicable")</f>
        <v>0</v>
      </c>
    </row>
    <row r="341" spans="1:18">
      <c r="A341">
        <f>IF(COUNTBLANK(B341:R341)&lt;&gt;COLUMNS(B341:R341),340,"")</f>
        <v>0</v>
      </c>
      <c r="C341" s="1">
        <f>IF(B341="", "", "Host-associated")</f>
        <v>0</v>
      </c>
      <c r="G341" s="1">
        <f>IF(B341="", "", "host-associated")</f>
        <v>0</v>
      </c>
      <c r="I341" s="1">
        <f>IF(B341="", "", "years")</f>
        <v>0</v>
      </c>
      <c r="L341" s="1">
        <f>IF(B341="", "", "cm")</f>
        <v>0</v>
      </c>
      <c r="P341" s="1">
        <f>IF(B341="", "", "kg")</f>
        <v>0</v>
      </c>
      <c r="R341" s="1">
        <f>IF(B341="", "", "Not applicable")</f>
        <v>0</v>
      </c>
    </row>
    <row r="342" spans="1:18">
      <c r="A342">
        <f>IF(COUNTBLANK(B342:R342)&lt;&gt;COLUMNS(B342:R342),341,"")</f>
        <v>0</v>
      </c>
      <c r="C342" s="1">
        <f>IF(B342="", "", "Host-associated")</f>
        <v>0</v>
      </c>
      <c r="G342" s="1">
        <f>IF(B342="", "", "host-associated")</f>
        <v>0</v>
      </c>
      <c r="I342" s="1">
        <f>IF(B342="", "", "years")</f>
        <v>0</v>
      </c>
      <c r="L342" s="1">
        <f>IF(B342="", "", "cm")</f>
        <v>0</v>
      </c>
      <c r="P342" s="1">
        <f>IF(B342="", "", "kg")</f>
        <v>0</v>
      </c>
      <c r="R342" s="1">
        <f>IF(B342="", "", "Not applicable")</f>
        <v>0</v>
      </c>
    </row>
    <row r="343" spans="1:18">
      <c r="A343">
        <f>IF(COUNTBLANK(B343:R343)&lt;&gt;COLUMNS(B343:R343),342,"")</f>
        <v>0</v>
      </c>
      <c r="C343" s="1">
        <f>IF(B343="", "", "Host-associated")</f>
        <v>0</v>
      </c>
      <c r="G343" s="1">
        <f>IF(B343="", "", "host-associated")</f>
        <v>0</v>
      </c>
      <c r="I343" s="1">
        <f>IF(B343="", "", "years")</f>
        <v>0</v>
      </c>
      <c r="L343" s="1">
        <f>IF(B343="", "", "cm")</f>
        <v>0</v>
      </c>
      <c r="P343" s="1">
        <f>IF(B343="", "", "kg")</f>
        <v>0</v>
      </c>
      <c r="R343" s="1">
        <f>IF(B343="", "", "Not applicable")</f>
        <v>0</v>
      </c>
    </row>
    <row r="344" spans="1:18">
      <c r="A344">
        <f>IF(COUNTBLANK(B344:R344)&lt;&gt;COLUMNS(B344:R344),343,"")</f>
        <v>0</v>
      </c>
      <c r="C344" s="1">
        <f>IF(B344="", "", "Host-associated")</f>
        <v>0</v>
      </c>
      <c r="G344" s="1">
        <f>IF(B344="", "", "host-associated")</f>
        <v>0</v>
      </c>
      <c r="I344" s="1">
        <f>IF(B344="", "", "years")</f>
        <v>0</v>
      </c>
      <c r="L344" s="1">
        <f>IF(B344="", "", "cm")</f>
        <v>0</v>
      </c>
      <c r="P344" s="1">
        <f>IF(B344="", "", "kg")</f>
        <v>0</v>
      </c>
      <c r="R344" s="1">
        <f>IF(B344="", "", "Not applicable")</f>
        <v>0</v>
      </c>
    </row>
    <row r="345" spans="1:18">
      <c r="A345">
        <f>IF(COUNTBLANK(B345:R345)&lt;&gt;COLUMNS(B345:R345),344,"")</f>
        <v>0</v>
      </c>
      <c r="C345" s="1">
        <f>IF(B345="", "", "Host-associated")</f>
        <v>0</v>
      </c>
      <c r="G345" s="1">
        <f>IF(B345="", "", "host-associated")</f>
        <v>0</v>
      </c>
      <c r="I345" s="1">
        <f>IF(B345="", "", "years")</f>
        <v>0</v>
      </c>
      <c r="L345" s="1">
        <f>IF(B345="", "", "cm")</f>
        <v>0</v>
      </c>
      <c r="P345" s="1">
        <f>IF(B345="", "", "kg")</f>
        <v>0</v>
      </c>
      <c r="R345" s="1">
        <f>IF(B345="", "", "Not applicable")</f>
        <v>0</v>
      </c>
    </row>
    <row r="346" spans="1:18">
      <c r="A346">
        <f>IF(COUNTBLANK(B346:R346)&lt;&gt;COLUMNS(B346:R346),345,"")</f>
        <v>0</v>
      </c>
      <c r="C346" s="1">
        <f>IF(B346="", "", "Host-associated")</f>
        <v>0</v>
      </c>
      <c r="G346" s="1">
        <f>IF(B346="", "", "host-associated")</f>
        <v>0</v>
      </c>
      <c r="I346" s="1">
        <f>IF(B346="", "", "years")</f>
        <v>0</v>
      </c>
      <c r="L346" s="1">
        <f>IF(B346="", "", "cm")</f>
        <v>0</v>
      </c>
      <c r="P346" s="1">
        <f>IF(B346="", "", "kg")</f>
        <v>0</v>
      </c>
      <c r="R346" s="1">
        <f>IF(B346="", "", "Not applicable")</f>
        <v>0</v>
      </c>
    </row>
    <row r="347" spans="1:18">
      <c r="A347">
        <f>IF(COUNTBLANK(B347:R347)&lt;&gt;COLUMNS(B347:R347),346,"")</f>
        <v>0</v>
      </c>
      <c r="C347" s="1">
        <f>IF(B347="", "", "Host-associated")</f>
        <v>0</v>
      </c>
      <c r="G347" s="1">
        <f>IF(B347="", "", "host-associated")</f>
        <v>0</v>
      </c>
      <c r="I347" s="1">
        <f>IF(B347="", "", "years")</f>
        <v>0</v>
      </c>
      <c r="L347" s="1">
        <f>IF(B347="", "", "cm")</f>
        <v>0</v>
      </c>
      <c r="P347" s="1">
        <f>IF(B347="", "", "kg")</f>
        <v>0</v>
      </c>
      <c r="R347" s="1">
        <f>IF(B347="", "", "Not applicable")</f>
        <v>0</v>
      </c>
    </row>
    <row r="348" spans="1:18">
      <c r="A348">
        <f>IF(COUNTBLANK(B348:R348)&lt;&gt;COLUMNS(B348:R348),347,"")</f>
        <v>0</v>
      </c>
      <c r="C348" s="1">
        <f>IF(B348="", "", "Host-associated")</f>
        <v>0</v>
      </c>
      <c r="G348" s="1">
        <f>IF(B348="", "", "host-associated")</f>
        <v>0</v>
      </c>
      <c r="I348" s="1">
        <f>IF(B348="", "", "years")</f>
        <v>0</v>
      </c>
      <c r="L348" s="1">
        <f>IF(B348="", "", "cm")</f>
        <v>0</v>
      </c>
      <c r="P348" s="1">
        <f>IF(B348="", "", "kg")</f>
        <v>0</v>
      </c>
      <c r="R348" s="1">
        <f>IF(B348="", "", "Not applicable")</f>
        <v>0</v>
      </c>
    </row>
    <row r="349" spans="1:18">
      <c r="A349">
        <f>IF(COUNTBLANK(B349:R349)&lt;&gt;COLUMNS(B349:R349),348,"")</f>
        <v>0</v>
      </c>
      <c r="C349" s="1">
        <f>IF(B349="", "", "Host-associated")</f>
        <v>0</v>
      </c>
      <c r="G349" s="1">
        <f>IF(B349="", "", "host-associated")</f>
        <v>0</v>
      </c>
      <c r="I349" s="1">
        <f>IF(B349="", "", "years")</f>
        <v>0</v>
      </c>
      <c r="L349" s="1">
        <f>IF(B349="", "", "cm")</f>
        <v>0</v>
      </c>
      <c r="P349" s="1">
        <f>IF(B349="", "", "kg")</f>
        <v>0</v>
      </c>
      <c r="R349" s="1">
        <f>IF(B349="", "", "Not applicable")</f>
        <v>0</v>
      </c>
    </row>
    <row r="350" spans="1:18">
      <c r="A350">
        <f>IF(COUNTBLANK(B350:R350)&lt;&gt;COLUMNS(B350:R350),349,"")</f>
        <v>0</v>
      </c>
      <c r="C350" s="1">
        <f>IF(B350="", "", "Host-associated")</f>
        <v>0</v>
      </c>
      <c r="G350" s="1">
        <f>IF(B350="", "", "host-associated")</f>
        <v>0</v>
      </c>
      <c r="I350" s="1">
        <f>IF(B350="", "", "years")</f>
        <v>0</v>
      </c>
      <c r="L350" s="1">
        <f>IF(B350="", "", "cm")</f>
        <v>0</v>
      </c>
      <c r="P350" s="1">
        <f>IF(B350="", "", "kg")</f>
        <v>0</v>
      </c>
      <c r="R350" s="1">
        <f>IF(B350="", "", "Not applicable")</f>
        <v>0</v>
      </c>
    </row>
    <row r="351" spans="1:18">
      <c r="A351">
        <f>IF(COUNTBLANK(B351:R351)&lt;&gt;COLUMNS(B351:R351),350,"")</f>
        <v>0</v>
      </c>
      <c r="C351" s="1">
        <f>IF(B351="", "", "Host-associated")</f>
        <v>0</v>
      </c>
      <c r="G351" s="1">
        <f>IF(B351="", "", "host-associated")</f>
        <v>0</v>
      </c>
      <c r="I351" s="1">
        <f>IF(B351="", "", "years")</f>
        <v>0</v>
      </c>
      <c r="L351" s="1">
        <f>IF(B351="", "", "cm")</f>
        <v>0</v>
      </c>
      <c r="P351" s="1">
        <f>IF(B351="", "", "kg")</f>
        <v>0</v>
      </c>
      <c r="R351" s="1">
        <f>IF(B351="", "", "Not applicable")</f>
        <v>0</v>
      </c>
    </row>
    <row r="352" spans="1:18">
      <c r="A352">
        <f>IF(COUNTBLANK(B352:R352)&lt;&gt;COLUMNS(B352:R352),351,"")</f>
        <v>0</v>
      </c>
      <c r="C352" s="1">
        <f>IF(B352="", "", "Host-associated")</f>
        <v>0</v>
      </c>
      <c r="G352" s="1">
        <f>IF(B352="", "", "host-associated")</f>
        <v>0</v>
      </c>
      <c r="I352" s="1">
        <f>IF(B352="", "", "years")</f>
        <v>0</v>
      </c>
      <c r="L352" s="1">
        <f>IF(B352="", "", "cm")</f>
        <v>0</v>
      </c>
      <c r="P352" s="1">
        <f>IF(B352="", "", "kg")</f>
        <v>0</v>
      </c>
      <c r="R352" s="1">
        <f>IF(B352="", "", "Not applicable")</f>
        <v>0</v>
      </c>
    </row>
    <row r="353" spans="1:18">
      <c r="A353">
        <f>IF(COUNTBLANK(B353:R353)&lt;&gt;COLUMNS(B353:R353),352,"")</f>
        <v>0</v>
      </c>
      <c r="C353" s="1">
        <f>IF(B353="", "", "Host-associated")</f>
        <v>0</v>
      </c>
      <c r="G353" s="1">
        <f>IF(B353="", "", "host-associated")</f>
        <v>0</v>
      </c>
      <c r="I353" s="1">
        <f>IF(B353="", "", "years")</f>
        <v>0</v>
      </c>
      <c r="L353" s="1">
        <f>IF(B353="", "", "cm")</f>
        <v>0</v>
      </c>
      <c r="P353" s="1">
        <f>IF(B353="", "", "kg")</f>
        <v>0</v>
      </c>
      <c r="R353" s="1">
        <f>IF(B353="", "", "Not applicable")</f>
        <v>0</v>
      </c>
    </row>
    <row r="354" spans="1:18">
      <c r="A354">
        <f>IF(COUNTBLANK(B354:R354)&lt;&gt;COLUMNS(B354:R354),353,"")</f>
        <v>0</v>
      </c>
      <c r="C354" s="1">
        <f>IF(B354="", "", "Host-associated")</f>
        <v>0</v>
      </c>
      <c r="G354" s="1">
        <f>IF(B354="", "", "host-associated")</f>
        <v>0</v>
      </c>
      <c r="I354" s="1">
        <f>IF(B354="", "", "years")</f>
        <v>0</v>
      </c>
      <c r="L354" s="1">
        <f>IF(B354="", "", "cm")</f>
        <v>0</v>
      </c>
      <c r="P354" s="1">
        <f>IF(B354="", "", "kg")</f>
        <v>0</v>
      </c>
      <c r="R354" s="1">
        <f>IF(B354="", "", "Not applicable")</f>
        <v>0</v>
      </c>
    </row>
    <row r="355" spans="1:18">
      <c r="A355">
        <f>IF(COUNTBLANK(B355:R355)&lt;&gt;COLUMNS(B355:R355),354,"")</f>
        <v>0</v>
      </c>
      <c r="C355" s="1">
        <f>IF(B355="", "", "Host-associated")</f>
        <v>0</v>
      </c>
      <c r="G355" s="1">
        <f>IF(B355="", "", "host-associated")</f>
        <v>0</v>
      </c>
      <c r="I355" s="1">
        <f>IF(B355="", "", "years")</f>
        <v>0</v>
      </c>
      <c r="L355" s="1">
        <f>IF(B355="", "", "cm")</f>
        <v>0</v>
      </c>
      <c r="P355" s="1">
        <f>IF(B355="", "", "kg")</f>
        <v>0</v>
      </c>
      <c r="R355" s="1">
        <f>IF(B355="", "", "Not applicable")</f>
        <v>0</v>
      </c>
    </row>
    <row r="356" spans="1:18">
      <c r="A356">
        <f>IF(COUNTBLANK(B356:R356)&lt;&gt;COLUMNS(B356:R356),355,"")</f>
        <v>0</v>
      </c>
      <c r="C356" s="1">
        <f>IF(B356="", "", "Host-associated")</f>
        <v>0</v>
      </c>
      <c r="G356" s="1">
        <f>IF(B356="", "", "host-associated")</f>
        <v>0</v>
      </c>
      <c r="I356" s="1">
        <f>IF(B356="", "", "years")</f>
        <v>0</v>
      </c>
      <c r="L356" s="1">
        <f>IF(B356="", "", "cm")</f>
        <v>0</v>
      </c>
      <c r="P356" s="1">
        <f>IF(B356="", "", "kg")</f>
        <v>0</v>
      </c>
      <c r="R356" s="1">
        <f>IF(B356="", "", "Not applicable")</f>
        <v>0</v>
      </c>
    </row>
    <row r="357" spans="1:18">
      <c r="A357">
        <f>IF(COUNTBLANK(B357:R357)&lt;&gt;COLUMNS(B357:R357),356,"")</f>
        <v>0</v>
      </c>
      <c r="C357" s="1">
        <f>IF(B357="", "", "Host-associated")</f>
        <v>0</v>
      </c>
      <c r="G357" s="1">
        <f>IF(B357="", "", "host-associated")</f>
        <v>0</v>
      </c>
      <c r="I357" s="1">
        <f>IF(B357="", "", "years")</f>
        <v>0</v>
      </c>
      <c r="L357" s="1">
        <f>IF(B357="", "", "cm")</f>
        <v>0</v>
      </c>
      <c r="P357" s="1">
        <f>IF(B357="", "", "kg")</f>
        <v>0</v>
      </c>
      <c r="R357" s="1">
        <f>IF(B357="", "", "Not applicable")</f>
        <v>0</v>
      </c>
    </row>
    <row r="358" spans="1:18">
      <c r="A358">
        <f>IF(COUNTBLANK(B358:R358)&lt;&gt;COLUMNS(B358:R358),357,"")</f>
        <v>0</v>
      </c>
      <c r="C358" s="1">
        <f>IF(B358="", "", "Host-associated")</f>
        <v>0</v>
      </c>
      <c r="G358" s="1">
        <f>IF(B358="", "", "host-associated")</f>
        <v>0</v>
      </c>
      <c r="I358" s="1">
        <f>IF(B358="", "", "years")</f>
        <v>0</v>
      </c>
      <c r="L358" s="1">
        <f>IF(B358="", "", "cm")</f>
        <v>0</v>
      </c>
      <c r="P358" s="1">
        <f>IF(B358="", "", "kg")</f>
        <v>0</v>
      </c>
      <c r="R358" s="1">
        <f>IF(B358="", "", "Not applicable")</f>
        <v>0</v>
      </c>
    </row>
    <row r="359" spans="1:18">
      <c r="A359">
        <f>IF(COUNTBLANK(B359:R359)&lt;&gt;COLUMNS(B359:R359),358,"")</f>
        <v>0</v>
      </c>
      <c r="C359" s="1">
        <f>IF(B359="", "", "Host-associated")</f>
        <v>0</v>
      </c>
      <c r="G359" s="1">
        <f>IF(B359="", "", "host-associated")</f>
        <v>0</v>
      </c>
      <c r="I359" s="1">
        <f>IF(B359="", "", "years")</f>
        <v>0</v>
      </c>
      <c r="L359" s="1">
        <f>IF(B359="", "", "cm")</f>
        <v>0</v>
      </c>
      <c r="P359" s="1">
        <f>IF(B359="", "", "kg")</f>
        <v>0</v>
      </c>
      <c r="R359" s="1">
        <f>IF(B359="", "", "Not applicable")</f>
        <v>0</v>
      </c>
    </row>
    <row r="360" spans="1:18">
      <c r="A360">
        <f>IF(COUNTBLANK(B360:R360)&lt;&gt;COLUMNS(B360:R360),359,"")</f>
        <v>0</v>
      </c>
      <c r="C360" s="1">
        <f>IF(B360="", "", "Host-associated")</f>
        <v>0</v>
      </c>
      <c r="G360" s="1">
        <f>IF(B360="", "", "host-associated")</f>
        <v>0</v>
      </c>
      <c r="I360" s="1">
        <f>IF(B360="", "", "years")</f>
        <v>0</v>
      </c>
      <c r="L360" s="1">
        <f>IF(B360="", "", "cm")</f>
        <v>0</v>
      </c>
      <c r="P360" s="1">
        <f>IF(B360="", "", "kg")</f>
        <v>0</v>
      </c>
      <c r="R360" s="1">
        <f>IF(B360="", "", "Not applicable")</f>
        <v>0</v>
      </c>
    </row>
    <row r="361" spans="1:18">
      <c r="A361">
        <f>IF(COUNTBLANK(B361:R361)&lt;&gt;COLUMNS(B361:R361),360,"")</f>
        <v>0</v>
      </c>
      <c r="C361" s="1">
        <f>IF(B361="", "", "Host-associated")</f>
        <v>0</v>
      </c>
      <c r="G361" s="1">
        <f>IF(B361="", "", "host-associated")</f>
        <v>0</v>
      </c>
      <c r="I361" s="1">
        <f>IF(B361="", "", "years")</f>
        <v>0</v>
      </c>
      <c r="L361" s="1">
        <f>IF(B361="", "", "cm")</f>
        <v>0</v>
      </c>
      <c r="P361" s="1">
        <f>IF(B361="", "", "kg")</f>
        <v>0</v>
      </c>
      <c r="R361" s="1">
        <f>IF(B361="", "", "Not applicable")</f>
        <v>0</v>
      </c>
    </row>
    <row r="362" spans="1:18">
      <c r="A362">
        <f>IF(COUNTBLANK(B362:R362)&lt;&gt;COLUMNS(B362:R362),361,"")</f>
        <v>0</v>
      </c>
      <c r="C362" s="1">
        <f>IF(B362="", "", "Host-associated")</f>
        <v>0</v>
      </c>
      <c r="G362" s="1">
        <f>IF(B362="", "", "host-associated")</f>
        <v>0</v>
      </c>
      <c r="I362" s="1">
        <f>IF(B362="", "", "years")</f>
        <v>0</v>
      </c>
      <c r="L362" s="1">
        <f>IF(B362="", "", "cm")</f>
        <v>0</v>
      </c>
      <c r="P362" s="1">
        <f>IF(B362="", "", "kg")</f>
        <v>0</v>
      </c>
      <c r="R362" s="1">
        <f>IF(B362="", "", "Not applicable")</f>
        <v>0</v>
      </c>
    </row>
    <row r="363" spans="1:18">
      <c r="A363">
        <f>IF(COUNTBLANK(B363:R363)&lt;&gt;COLUMNS(B363:R363),362,"")</f>
        <v>0</v>
      </c>
      <c r="C363" s="1">
        <f>IF(B363="", "", "Host-associated")</f>
        <v>0</v>
      </c>
      <c r="G363" s="1">
        <f>IF(B363="", "", "host-associated")</f>
        <v>0</v>
      </c>
      <c r="I363" s="1">
        <f>IF(B363="", "", "years")</f>
        <v>0</v>
      </c>
      <c r="L363" s="1">
        <f>IF(B363="", "", "cm")</f>
        <v>0</v>
      </c>
      <c r="P363" s="1">
        <f>IF(B363="", "", "kg")</f>
        <v>0</v>
      </c>
      <c r="R363" s="1">
        <f>IF(B363="", "", "Not applicable")</f>
        <v>0</v>
      </c>
    </row>
    <row r="364" spans="1:18">
      <c r="A364">
        <f>IF(COUNTBLANK(B364:R364)&lt;&gt;COLUMNS(B364:R364),363,"")</f>
        <v>0</v>
      </c>
      <c r="C364" s="1">
        <f>IF(B364="", "", "Host-associated")</f>
        <v>0</v>
      </c>
      <c r="G364" s="1">
        <f>IF(B364="", "", "host-associated")</f>
        <v>0</v>
      </c>
      <c r="I364" s="1">
        <f>IF(B364="", "", "years")</f>
        <v>0</v>
      </c>
      <c r="L364" s="1">
        <f>IF(B364="", "", "cm")</f>
        <v>0</v>
      </c>
      <c r="P364" s="1">
        <f>IF(B364="", "", "kg")</f>
        <v>0</v>
      </c>
      <c r="R364" s="1">
        <f>IF(B364="", "", "Not applicable")</f>
        <v>0</v>
      </c>
    </row>
    <row r="365" spans="1:18">
      <c r="A365">
        <f>IF(COUNTBLANK(B365:R365)&lt;&gt;COLUMNS(B365:R365),364,"")</f>
        <v>0</v>
      </c>
      <c r="C365" s="1">
        <f>IF(B365="", "", "Host-associated")</f>
        <v>0</v>
      </c>
      <c r="G365" s="1">
        <f>IF(B365="", "", "host-associated")</f>
        <v>0</v>
      </c>
      <c r="I365" s="1">
        <f>IF(B365="", "", "years")</f>
        <v>0</v>
      </c>
      <c r="L365" s="1">
        <f>IF(B365="", "", "cm")</f>
        <v>0</v>
      </c>
      <c r="P365" s="1">
        <f>IF(B365="", "", "kg")</f>
        <v>0</v>
      </c>
      <c r="R365" s="1">
        <f>IF(B365="", "", "Not applicable")</f>
        <v>0</v>
      </c>
    </row>
    <row r="366" spans="1:18">
      <c r="A366">
        <f>IF(COUNTBLANK(B366:R366)&lt;&gt;COLUMNS(B366:R366),365,"")</f>
        <v>0</v>
      </c>
      <c r="C366" s="1">
        <f>IF(B366="", "", "Host-associated")</f>
        <v>0</v>
      </c>
      <c r="G366" s="1">
        <f>IF(B366="", "", "host-associated")</f>
        <v>0</v>
      </c>
      <c r="I366" s="1">
        <f>IF(B366="", "", "years")</f>
        <v>0</v>
      </c>
      <c r="L366" s="1">
        <f>IF(B366="", "", "cm")</f>
        <v>0</v>
      </c>
      <c r="P366" s="1">
        <f>IF(B366="", "", "kg")</f>
        <v>0</v>
      </c>
      <c r="R366" s="1">
        <f>IF(B366="", "", "Not applicable")</f>
        <v>0</v>
      </c>
    </row>
    <row r="367" spans="1:18">
      <c r="A367">
        <f>IF(COUNTBLANK(B367:R367)&lt;&gt;COLUMNS(B367:R367),366,"")</f>
        <v>0</v>
      </c>
      <c r="C367" s="1">
        <f>IF(B367="", "", "Host-associated")</f>
        <v>0</v>
      </c>
      <c r="G367" s="1">
        <f>IF(B367="", "", "host-associated")</f>
        <v>0</v>
      </c>
      <c r="I367" s="1">
        <f>IF(B367="", "", "years")</f>
        <v>0</v>
      </c>
      <c r="L367" s="1">
        <f>IF(B367="", "", "cm")</f>
        <v>0</v>
      </c>
      <c r="P367" s="1">
        <f>IF(B367="", "", "kg")</f>
        <v>0</v>
      </c>
      <c r="R367" s="1">
        <f>IF(B367="", "", "Not applicable")</f>
        <v>0</v>
      </c>
    </row>
    <row r="368" spans="1:18">
      <c r="A368">
        <f>IF(COUNTBLANK(B368:R368)&lt;&gt;COLUMNS(B368:R368),367,"")</f>
        <v>0</v>
      </c>
      <c r="C368" s="1">
        <f>IF(B368="", "", "Host-associated")</f>
        <v>0</v>
      </c>
      <c r="G368" s="1">
        <f>IF(B368="", "", "host-associated")</f>
        <v>0</v>
      </c>
      <c r="I368" s="1">
        <f>IF(B368="", "", "years")</f>
        <v>0</v>
      </c>
      <c r="L368" s="1">
        <f>IF(B368="", "", "cm")</f>
        <v>0</v>
      </c>
      <c r="P368" s="1">
        <f>IF(B368="", "", "kg")</f>
        <v>0</v>
      </c>
      <c r="R368" s="1">
        <f>IF(B368="", "", "Not applicable")</f>
        <v>0</v>
      </c>
    </row>
    <row r="369" spans="1:18">
      <c r="A369">
        <f>IF(COUNTBLANK(B369:R369)&lt;&gt;COLUMNS(B369:R369),368,"")</f>
        <v>0</v>
      </c>
      <c r="C369" s="1">
        <f>IF(B369="", "", "Host-associated")</f>
        <v>0</v>
      </c>
      <c r="G369" s="1">
        <f>IF(B369="", "", "host-associated")</f>
        <v>0</v>
      </c>
      <c r="I369" s="1">
        <f>IF(B369="", "", "years")</f>
        <v>0</v>
      </c>
      <c r="L369" s="1">
        <f>IF(B369="", "", "cm")</f>
        <v>0</v>
      </c>
      <c r="P369" s="1">
        <f>IF(B369="", "", "kg")</f>
        <v>0</v>
      </c>
      <c r="R369" s="1">
        <f>IF(B369="", "", "Not applicable")</f>
        <v>0</v>
      </c>
    </row>
    <row r="370" spans="1:18">
      <c r="A370">
        <f>IF(COUNTBLANK(B370:R370)&lt;&gt;COLUMNS(B370:R370),369,"")</f>
        <v>0</v>
      </c>
      <c r="C370" s="1">
        <f>IF(B370="", "", "Host-associated")</f>
        <v>0</v>
      </c>
      <c r="G370" s="1">
        <f>IF(B370="", "", "host-associated")</f>
        <v>0</v>
      </c>
      <c r="I370" s="1">
        <f>IF(B370="", "", "years")</f>
        <v>0</v>
      </c>
      <c r="L370" s="1">
        <f>IF(B370="", "", "cm")</f>
        <v>0</v>
      </c>
      <c r="P370" s="1">
        <f>IF(B370="", "", "kg")</f>
        <v>0</v>
      </c>
      <c r="R370" s="1">
        <f>IF(B370="", "", "Not applicable")</f>
        <v>0</v>
      </c>
    </row>
    <row r="371" spans="1:18">
      <c r="A371">
        <f>IF(COUNTBLANK(B371:R371)&lt;&gt;COLUMNS(B371:R371),370,"")</f>
        <v>0</v>
      </c>
      <c r="C371" s="1">
        <f>IF(B371="", "", "Host-associated")</f>
        <v>0</v>
      </c>
      <c r="G371" s="1">
        <f>IF(B371="", "", "host-associated")</f>
        <v>0</v>
      </c>
      <c r="I371" s="1">
        <f>IF(B371="", "", "years")</f>
        <v>0</v>
      </c>
      <c r="L371" s="1">
        <f>IF(B371="", "", "cm")</f>
        <v>0</v>
      </c>
      <c r="P371" s="1">
        <f>IF(B371="", "", "kg")</f>
        <v>0</v>
      </c>
      <c r="R371" s="1">
        <f>IF(B371="", "", "Not applicable")</f>
        <v>0</v>
      </c>
    </row>
    <row r="372" spans="1:18">
      <c r="A372">
        <f>IF(COUNTBLANK(B372:R372)&lt;&gt;COLUMNS(B372:R372),371,"")</f>
        <v>0</v>
      </c>
      <c r="C372" s="1">
        <f>IF(B372="", "", "Host-associated")</f>
        <v>0</v>
      </c>
      <c r="G372" s="1">
        <f>IF(B372="", "", "host-associated")</f>
        <v>0</v>
      </c>
      <c r="I372" s="1">
        <f>IF(B372="", "", "years")</f>
        <v>0</v>
      </c>
      <c r="L372" s="1">
        <f>IF(B372="", "", "cm")</f>
        <v>0</v>
      </c>
      <c r="P372" s="1">
        <f>IF(B372="", "", "kg")</f>
        <v>0</v>
      </c>
      <c r="R372" s="1">
        <f>IF(B372="", "", "Not applicable")</f>
        <v>0</v>
      </c>
    </row>
    <row r="373" spans="1:18">
      <c r="A373">
        <f>IF(COUNTBLANK(B373:R373)&lt;&gt;COLUMNS(B373:R373),372,"")</f>
        <v>0</v>
      </c>
      <c r="C373" s="1">
        <f>IF(B373="", "", "Host-associated")</f>
        <v>0</v>
      </c>
      <c r="G373" s="1">
        <f>IF(B373="", "", "host-associated")</f>
        <v>0</v>
      </c>
      <c r="I373" s="1">
        <f>IF(B373="", "", "years")</f>
        <v>0</v>
      </c>
      <c r="L373" s="1">
        <f>IF(B373="", "", "cm")</f>
        <v>0</v>
      </c>
      <c r="P373" s="1">
        <f>IF(B373="", "", "kg")</f>
        <v>0</v>
      </c>
      <c r="R373" s="1">
        <f>IF(B373="", "", "Not applicable")</f>
        <v>0</v>
      </c>
    </row>
    <row r="374" spans="1:18">
      <c r="A374">
        <f>IF(COUNTBLANK(B374:R374)&lt;&gt;COLUMNS(B374:R374),373,"")</f>
        <v>0</v>
      </c>
      <c r="C374" s="1">
        <f>IF(B374="", "", "Host-associated")</f>
        <v>0</v>
      </c>
      <c r="G374" s="1">
        <f>IF(B374="", "", "host-associated")</f>
        <v>0</v>
      </c>
      <c r="I374" s="1">
        <f>IF(B374="", "", "years")</f>
        <v>0</v>
      </c>
      <c r="L374" s="1">
        <f>IF(B374="", "", "cm")</f>
        <v>0</v>
      </c>
      <c r="P374" s="1">
        <f>IF(B374="", "", "kg")</f>
        <v>0</v>
      </c>
      <c r="R374" s="1">
        <f>IF(B374="", "", "Not applicable")</f>
        <v>0</v>
      </c>
    </row>
    <row r="375" spans="1:18">
      <c r="A375">
        <f>IF(COUNTBLANK(B375:R375)&lt;&gt;COLUMNS(B375:R375),374,"")</f>
        <v>0</v>
      </c>
      <c r="C375" s="1">
        <f>IF(B375="", "", "Host-associated")</f>
        <v>0</v>
      </c>
      <c r="G375" s="1">
        <f>IF(B375="", "", "host-associated")</f>
        <v>0</v>
      </c>
      <c r="I375" s="1">
        <f>IF(B375="", "", "years")</f>
        <v>0</v>
      </c>
      <c r="L375" s="1">
        <f>IF(B375="", "", "cm")</f>
        <v>0</v>
      </c>
      <c r="P375" s="1">
        <f>IF(B375="", "", "kg")</f>
        <v>0</v>
      </c>
      <c r="R375" s="1">
        <f>IF(B375="", "", "Not applicable")</f>
        <v>0</v>
      </c>
    </row>
    <row r="376" spans="1:18">
      <c r="A376">
        <f>IF(COUNTBLANK(B376:R376)&lt;&gt;COLUMNS(B376:R376),375,"")</f>
        <v>0</v>
      </c>
      <c r="C376" s="1">
        <f>IF(B376="", "", "Host-associated")</f>
        <v>0</v>
      </c>
      <c r="G376" s="1">
        <f>IF(B376="", "", "host-associated")</f>
        <v>0</v>
      </c>
      <c r="I376" s="1">
        <f>IF(B376="", "", "years")</f>
        <v>0</v>
      </c>
      <c r="L376" s="1">
        <f>IF(B376="", "", "cm")</f>
        <v>0</v>
      </c>
      <c r="P376" s="1">
        <f>IF(B376="", "", "kg")</f>
        <v>0</v>
      </c>
      <c r="R376" s="1">
        <f>IF(B376="", "", "Not applicable")</f>
        <v>0</v>
      </c>
    </row>
    <row r="377" spans="1:18">
      <c r="A377">
        <f>IF(COUNTBLANK(B377:R377)&lt;&gt;COLUMNS(B377:R377),376,"")</f>
        <v>0</v>
      </c>
      <c r="C377" s="1">
        <f>IF(B377="", "", "Host-associated")</f>
        <v>0</v>
      </c>
      <c r="G377" s="1">
        <f>IF(B377="", "", "host-associated")</f>
        <v>0</v>
      </c>
      <c r="I377" s="1">
        <f>IF(B377="", "", "years")</f>
        <v>0</v>
      </c>
      <c r="L377" s="1">
        <f>IF(B377="", "", "cm")</f>
        <v>0</v>
      </c>
      <c r="P377" s="1">
        <f>IF(B377="", "", "kg")</f>
        <v>0</v>
      </c>
      <c r="R377" s="1">
        <f>IF(B377="", "", "Not applicable")</f>
        <v>0</v>
      </c>
    </row>
    <row r="378" spans="1:18">
      <c r="A378">
        <f>IF(COUNTBLANK(B378:R378)&lt;&gt;COLUMNS(B378:R378),377,"")</f>
        <v>0</v>
      </c>
      <c r="C378" s="1">
        <f>IF(B378="", "", "Host-associated")</f>
        <v>0</v>
      </c>
      <c r="G378" s="1">
        <f>IF(B378="", "", "host-associated")</f>
        <v>0</v>
      </c>
      <c r="I378" s="1">
        <f>IF(B378="", "", "years")</f>
        <v>0</v>
      </c>
      <c r="L378" s="1">
        <f>IF(B378="", "", "cm")</f>
        <v>0</v>
      </c>
      <c r="P378" s="1">
        <f>IF(B378="", "", "kg")</f>
        <v>0</v>
      </c>
      <c r="R378" s="1">
        <f>IF(B378="", "", "Not applicable")</f>
        <v>0</v>
      </c>
    </row>
    <row r="379" spans="1:18">
      <c r="A379">
        <f>IF(COUNTBLANK(B379:R379)&lt;&gt;COLUMNS(B379:R379),378,"")</f>
        <v>0</v>
      </c>
      <c r="C379" s="1">
        <f>IF(B379="", "", "Host-associated")</f>
        <v>0</v>
      </c>
      <c r="G379" s="1">
        <f>IF(B379="", "", "host-associated")</f>
        <v>0</v>
      </c>
      <c r="I379" s="1">
        <f>IF(B379="", "", "years")</f>
        <v>0</v>
      </c>
      <c r="L379" s="1">
        <f>IF(B379="", "", "cm")</f>
        <v>0</v>
      </c>
      <c r="P379" s="1">
        <f>IF(B379="", "", "kg")</f>
        <v>0</v>
      </c>
      <c r="R379" s="1">
        <f>IF(B379="", "", "Not applicable")</f>
        <v>0</v>
      </c>
    </row>
    <row r="380" spans="1:18">
      <c r="A380">
        <f>IF(COUNTBLANK(B380:R380)&lt;&gt;COLUMNS(B380:R380),379,"")</f>
        <v>0</v>
      </c>
      <c r="C380" s="1">
        <f>IF(B380="", "", "Host-associated")</f>
        <v>0</v>
      </c>
      <c r="G380" s="1">
        <f>IF(B380="", "", "host-associated")</f>
        <v>0</v>
      </c>
      <c r="I380" s="1">
        <f>IF(B380="", "", "years")</f>
        <v>0</v>
      </c>
      <c r="L380" s="1">
        <f>IF(B380="", "", "cm")</f>
        <v>0</v>
      </c>
      <c r="P380" s="1">
        <f>IF(B380="", "", "kg")</f>
        <v>0</v>
      </c>
      <c r="R380" s="1">
        <f>IF(B380="", "", "Not applicable")</f>
        <v>0</v>
      </c>
    </row>
    <row r="381" spans="1:18">
      <c r="A381">
        <f>IF(COUNTBLANK(B381:R381)&lt;&gt;COLUMNS(B381:R381),380,"")</f>
        <v>0</v>
      </c>
      <c r="C381" s="1">
        <f>IF(B381="", "", "Host-associated")</f>
        <v>0</v>
      </c>
      <c r="G381" s="1">
        <f>IF(B381="", "", "host-associated")</f>
        <v>0</v>
      </c>
      <c r="I381" s="1">
        <f>IF(B381="", "", "years")</f>
        <v>0</v>
      </c>
      <c r="L381" s="1">
        <f>IF(B381="", "", "cm")</f>
        <v>0</v>
      </c>
      <c r="P381" s="1">
        <f>IF(B381="", "", "kg")</f>
        <v>0</v>
      </c>
      <c r="R381" s="1">
        <f>IF(B381="", "", "Not applicable")</f>
        <v>0</v>
      </c>
    </row>
    <row r="382" spans="1:18">
      <c r="A382">
        <f>IF(COUNTBLANK(B382:R382)&lt;&gt;COLUMNS(B382:R382),381,"")</f>
        <v>0</v>
      </c>
      <c r="C382" s="1">
        <f>IF(B382="", "", "Host-associated")</f>
        <v>0</v>
      </c>
      <c r="G382" s="1">
        <f>IF(B382="", "", "host-associated")</f>
        <v>0</v>
      </c>
      <c r="I382" s="1">
        <f>IF(B382="", "", "years")</f>
        <v>0</v>
      </c>
      <c r="L382" s="1">
        <f>IF(B382="", "", "cm")</f>
        <v>0</v>
      </c>
      <c r="P382" s="1">
        <f>IF(B382="", "", "kg")</f>
        <v>0</v>
      </c>
      <c r="R382" s="1">
        <f>IF(B382="", "", "Not applicable")</f>
        <v>0</v>
      </c>
    </row>
    <row r="383" spans="1:18">
      <c r="A383">
        <f>IF(COUNTBLANK(B383:R383)&lt;&gt;COLUMNS(B383:R383),382,"")</f>
        <v>0</v>
      </c>
      <c r="C383" s="1">
        <f>IF(B383="", "", "Host-associated")</f>
        <v>0</v>
      </c>
      <c r="G383" s="1">
        <f>IF(B383="", "", "host-associated")</f>
        <v>0</v>
      </c>
      <c r="I383" s="1">
        <f>IF(B383="", "", "years")</f>
        <v>0</v>
      </c>
      <c r="L383" s="1">
        <f>IF(B383="", "", "cm")</f>
        <v>0</v>
      </c>
      <c r="P383" s="1">
        <f>IF(B383="", "", "kg")</f>
        <v>0</v>
      </c>
      <c r="R383" s="1">
        <f>IF(B383="", "", "Not applicable")</f>
        <v>0</v>
      </c>
    </row>
    <row r="384" spans="1:18">
      <c r="A384">
        <f>IF(COUNTBLANK(B384:R384)&lt;&gt;COLUMNS(B384:R384),383,"")</f>
        <v>0</v>
      </c>
      <c r="C384" s="1">
        <f>IF(B384="", "", "Host-associated")</f>
        <v>0</v>
      </c>
      <c r="G384" s="1">
        <f>IF(B384="", "", "host-associated")</f>
        <v>0</v>
      </c>
      <c r="I384" s="1">
        <f>IF(B384="", "", "years")</f>
        <v>0</v>
      </c>
      <c r="L384" s="1">
        <f>IF(B384="", "", "cm")</f>
        <v>0</v>
      </c>
      <c r="P384" s="1">
        <f>IF(B384="", "", "kg")</f>
        <v>0</v>
      </c>
      <c r="R384" s="1">
        <f>IF(B384="", "", "Not applicable")</f>
        <v>0</v>
      </c>
    </row>
    <row r="385" spans="1:18">
      <c r="A385">
        <f>IF(COUNTBLANK(B385:R385)&lt;&gt;COLUMNS(B385:R385),384,"")</f>
        <v>0</v>
      </c>
      <c r="C385" s="1">
        <f>IF(B385="", "", "Host-associated")</f>
        <v>0</v>
      </c>
      <c r="G385" s="1">
        <f>IF(B385="", "", "host-associated")</f>
        <v>0</v>
      </c>
      <c r="I385" s="1">
        <f>IF(B385="", "", "years")</f>
        <v>0</v>
      </c>
      <c r="L385" s="1">
        <f>IF(B385="", "", "cm")</f>
        <v>0</v>
      </c>
      <c r="P385" s="1">
        <f>IF(B385="", "", "kg")</f>
        <v>0</v>
      </c>
      <c r="R385" s="1">
        <f>IF(B385="", "", "Not applicable")</f>
        <v>0</v>
      </c>
    </row>
    <row r="386" spans="1:18">
      <c r="A386">
        <f>IF(COUNTBLANK(B386:R386)&lt;&gt;COLUMNS(B386:R386),385,"")</f>
        <v>0</v>
      </c>
      <c r="C386" s="1">
        <f>IF(B386="", "", "Host-associated")</f>
        <v>0</v>
      </c>
      <c r="G386" s="1">
        <f>IF(B386="", "", "host-associated")</f>
        <v>0</v>
      </c>
      <c r="I386" s="1">
        <f>IF(B386="", "", "years")</f>
        <v>0</v>
      </c>
      <c r="L386" s="1">
        <f>IF(B386="", "", "cm")</f>
        <v>0</v>
      </c>
      <c r="P386" s="1">
        <f>IF(B386="", "", "kg")</f>
        <v>0</v>
      </c>
      <c r="R386" s="1">
        <f>IF(B386="", "", "Not applicable")</f>
        <v>0</v>
      </c>
    </row>
    <row r="387" spans="1:18">
      <c r="A387">
        <f>IF(COUNTBLANK(B387:R387)&lt;&gt;COLUMNS(B387:R387),386,"")</f>
        <v>0</v>
      </c>
      <c r="C387" s="1">
        <f>IF(B387="", "", "Host-associated")</f>
        <v>0</v>
      </c>
      <c r="G387" s="1">
        <f>IF(B387="", "", "host-associated")</f>
        <v>0</v>
      </c>
      <c r="I387" s="1">
        <f>IF(B387="", "", "years")</f>
        <v>0</v>
      </c>
      <c r="L387" s="1">
        <f>IF(B387="", "", "cm")</f>
        <v>0</v>
      </c>
      <c r="P387" s="1">
        <f>IF(B387="", "", "kg")</f>
        <v>0</v>
      </c>
      <c r="R387" s="1">
        <f>IF(B387="", "", "Not applicable")</f>
        <v>0</v>
      </c>
    </row>
    <row r="388" spans="1:18">
      <c r="A388">
        <f>IF(COUNTBLANK(B388:R388)&lt;&gt;COLUMNS(B388:R388),387,"")</f>
        <v>0</v>
      </c>
      <c r="C388" s="1">
        <f>IF(B388="", "", "Host-associated")</f>
        <v>0</v>
      </c>
      <c r="G388" s="1">
        <f>IF(B388="", "", "host-associated")</f>
        <v>0</v>
      </c>
      <c r="I388" s="1">
        <f>IF(B388="", "", "years")</f>
        <v>0</v>
      </c>
      <c r="L388" s="1">
        <f>IF(B388="", "", "cm")</f>
        <v>0</v>
      </c>
      <c r="P388" s="1">
        <f>IF(B388="", "", "kg")</f>
        <v>0</v>
      </c>
      <c r="R388" s="1">
        <f>IF(B388="", "", "Not applicable")</f>
        <v>0</v>
      </c>
    </row>
    <row r="389" spans="1:18">
      <c r="A389">
        <f>IF(COUNTBLANK(B389:R389)&lt;&gt;COLUMNS(B389:R389),388,"")</f>
        <v>0</v>
      </c>
      <c r="C389" s="1">
        <f>IF(B389="", "", "Host-associated")</f>
        <v>0</v>
      </c>
      <c r="G389" s="1">
        <f>IF(B389="", "", "host-associated")</f>
        <v>0</v>
      </c>
      <c r="I389" s="1">
        <f>IF(B389="", "", "years")</f>
        <v>0</v>
      </c>
      <c r="L389" s="1">
        <f>IF(B389="", "", "cm")</f>
        <v>0</v>
      </c>
      <c r="P389" s="1">
        <f>IF(B389="", "", "kg")</f>
        <v>0</v>
      </c>
      <c r="R389" s="1">
        <f>IF(B389="", "", "Not applicable")</f>
        <v>0</v>
      </c>
    </row>
    <row r="390" spans="1:18">
      <c r="A390">
        <f>IF(COUNTBLANK(B390:R390)&lt;&gt;COLUMNS(B390:R390),389,"")</f>
        <v>0</v>
      </c>
      <c r="C390" s="1">
        <f>IF(B390="", "", "Host-associated")</f>
        <v>0</v>
      </c>
      <c r="G390" s="1">
        <f>IF(B390="", "", "host-associated")</f>
        <v>0</v>
      </c>
      <c r="I390" s="1">
        <f>IF(B390="", "", "years")</f>
        <v>0</v>
      </c>
      <c r="L390" s="1">
        <f>IF(B390="", "", "cm")</f>
        <v>0</v>
      </c>
      <c r="P390" s="1">
        <f>IF(B390="", "", "kg")</f>
        <v>0</v>
      </c>
      <c r="R390" s="1">
        <f>IF(B390="", "", "Not applicable")</f>
        <v>0</v>
      </c>
    </row>
    <row r="391" spans="1:18">
      <c r="A391">
        <f>IF(COUNTBLANK(B391:R391)&lt;&gt;COLUMNS(B391:R391),390,"")</f>
        <v>0</v>
      </c>
      <c r="C391" s="1">
        <f>IF(B391="", "", "Host-associated")</f>
        <v>0</v>
      </c>
      <c r="G391" s="1">
        <f>IF(B391="", "", "host-associated")</f>
        <v>0</v>
      </c>
      <c r="I391" s="1">
        <f>IF(B391="", "", "years")</f>
        <v>0</v>
      </c>
      <c r="L391" s="1">
        <f>IF(B391="", "", "cm")</f>
        <v>0</v>
      </c>
      <c r="P391" s="1">
        <f>IF(B391="", "", "kg")</f>
        <v>0</v>
      </c>
      <c r="R391" s="1">
        <f>IF(B391="", "", "Not applicable")</f>
        <v>0</v>
      </c>
    </row>
    <row r="392" spans="1:18">
      <c r="A392">
        <f>IF(COUNTBLANK(B392:R392)&lt;&gt;COLUMNS(B392:R392),391,"")</f>
        <v>0</v>
      </c>
      <c r="C392" s="1">
        <f>IF(B392="", "", "Host-associated")</f>
        <v>0</v>
      </c>
      <c r="G392" s="1">
        <f>IF(B392="", "", "host-associated")</f>
        <v>0</v>
      </c>
      <c r="I392" s="1">
        <f>IF(B392="", "", "years")</f>
        <v>0</v>
      </c>
      <c r="L392" s="1">
        <f>IF(B392="", "", "cm")</f>
        <v>0</v>
      </c>
      <c r="P392" s="1">
        <f>IF(B392="", "", "kg")</f>
        <v>0</v>
      </c>
      <c r="R392" s="1">
        <f>IF(B392="", "", "Not applicable")</f>
        <v>0</v>
      </c>
    </row>
    <row r="393" spans="1:18">
      <c r="A393">
        <f>IF(COUNTBLANK(B393:R393)&lt;&gt;COLUMNS(B393:R393),392,"")</f>
        <v>0</v>
      </c>
      <c r="C393" s="1">
        <f>IF(B393="", "", "Host-associated")</f>
        <v>0</v>
      </c>
      <c r="G393" s="1">
        <f>IF(B393="", "", "host-associated")</f>
        <v>0</v>
      </c>
      <c r="I393" s="1">
        <f>IF(B393="", "", "years")</f>
        <v>0</v>
      </c>
      <c r="L393" s="1">
        <f>IF(B393="", "", "cm")</f>
        <v>0</v>
      </c>
      <c r="P393" s="1">
        <f>IF(B393="", "", "kg")</f>
        <v>0</v>
      </c>
      <c r="R393" s="1">
        <f>IF(B393="", "", "Not applicable")</f>
        <v>0</v>
      </c>
    </row>
    <row r="394" spans="1:18">
      <c r="A394">
        <f>IF(COUNTBLANK(B394:R394)&lt;&gt;COLUMNS(B394:R394),393,"")</f>
        <v>0</v>
      </c>
      <c r="C394" s="1">
        <f>IF(B394="", "", "Host-associated")</f>
        <v>0</v>
      </c>
      <c r="G394" s="1">
        <f>IF(B394="", "", "host-associated")</f>
        <v>0</v>
      </c>
      <c r="I394" s="1">
        <f>IF(B394="", "", "years")</f>
        <v>0</v>
      </c>
      <c r="L394" s="1">
        <f>IF(B394="", "", "cm")</f>
        <v>0</v>
      </c>
      <c r="P394" s="1">
        <f>IF(B394="", "", "kg")</f>
        <v>0</v>
      </c>
      <c r="R394" s="1">
        <f>IF(B394="", "", "Not applicable")</f>
        <v>0</v>
      </c>
    </row>
    <row r="395" spans="1:18">
      <c r="A395">
        <f>IF(COUNTBLANK(B395:R395)&lt;&gt;COLUMNS(B395:R395),394,"")</f>
        <v>0</v>
      </c>
      <c r="C395" s="1">
        <f>IF(B395="", "", "Host-associated")</f>
        <v>0</v>
      </c>
      <c r="G395" s="1">
        <f>IF(B395="", "", "host-associated")</f>
        <v>0</v>
      </c>
      <c r="I395" s="1">
        <f>IF(B395="", "", "years")</f>
        <v>0</v>
      </c>
      <c r="L395" s="1">
        <f>IF(B395="", "", "cm")</f>
        <v>0</v>
      </c>
      <c r="P395" s="1">
        <f>IF(B395="", "", "kg")</f>
        <v>0</v>
      </c>
      <c r="R395" s="1">
        <f>IF(B395="", "", "Not applicable")</f>
        <v>0</v>
      </c>
    </row>
    <row r="396" spans="1:18">
      <c r="A396">
        <f>IF(COUNTBLANK(B396:R396)&lt;&gt;COLUMNS(B396:R396),395,"")</f>
        <v>0</v>
      </c>
      <c r="C396" s="1">
        <f>IF(B396="", "", "Host-associated")</f>
        <v>0</v>
      </c>
      <c r="G396" s="1">
        <f>IF(B396="", "", "host-associated")</f>
        <v>0</v>
      </c>
      <c r="I396" s="1">
        <f>IF(B396="", "", "years")</f>
        <v>0</v>
      </c>
      <c r="L396" s="1">
        <f>IF(B396="", "", "cm")</f>
        <v>0</v>
      </c>
      <c r="P396" s="1">
        <f>IF(B396="", "", "kg")</f>
        <v>0</v>
      </c>
      <c r="R396" s="1">
        <f>IF(B396="", "", "Not applicable")</f>
        <v>0</v>
      </c>
    </row>
    <row r="397" spans="1:18">
      <c r="A397">
        <f>IF(COUNTBLANK(B397:R397)&lt;&gt;COLUMNS(B397:R397),396,"")</f>
        <v>0</v>
      </c>
      <c r="C397" s="1">
        <f>IF(B397="", "", "Host-associated")</f>
        <v>0</v>
      </c>
      <c r="G397" s="1">
        <f>IF(B397="", "", "host-associated")</f>
        <v>0</v>
      </c>
      <c r="I397" s="1">
        <f>IF(B397="", "", "years")</f>
        <v>0</v>
      </c>
      <c r="L397" s="1">
        <f>IF(B397="", "", "cm")</f>
        <v>0</v>
      </c>
      <c r="P397" s="1">
        <f>IF(B397="", "", "kg")</f>
        <v>0</v>
      </c>
      <c r="R397" s="1">
        <f>IF(B397="", "", "Not applicable")</f>
        <v>0</v>
      </c>
    </row>
    <row r="398" spans="1:18">
      <c r="A398">
        <f>IF(COUNTBLANK(B398:R398)&lt;&gt;COLUMNS(B398:R398),397,"")</f>
        <v>0</v>
      </c>
      <c r="C398" s="1">
        <f>IF(B398="", "", "Host-associated")</f>
        <v>0</v>
      </c>
      <c r="G398" s="1">
        <f>IF(B398="", "", "host-associated")</f>
        <v>0</v>
      </c>
      <c r="I398" s="1">
        <f>IF(B398="", "", "years")</f>
        <v>0</v>
      </c>
      <c r="L398" s="1">
        <f>IF(B398="", "", "cm")</f>
        <v>0</v>
      </c>
      <c r="P398" s="1">
        <f>IF(B398="", "", "kg")</f>
        <v>0</v>
      </c>
      <c r="R398" s="1">
        <f>IF(B398="", "", "Not applicable")</f>
        <v>0</v>
      </c>
    </row>
    <row r="399" spans="1:18">
      <c r="A399">
        <f>IF(COUNTBLANK(B399:R399)&lt;&gt;COLUMNS(B399:R399),398,"")</f>
        <v>0</v>
      </c>
      <c r="C399" s="1">
        <f>IF(B399="", "", "Host-associated")</f>
        <v>0</v>
      </c>
      <c r="G399" s="1">
        <f>IF(B399="", "", "host-associated")</f>
        <v>0</v>
      </c>
      <c r="I399" s="1">
        <f>IF(B399="", "", "years")</f>
        <v>0</v>
      </c>
      <c r="L399" s="1">
        <f>IF(B399="", "", "cm")</f>
        <v>0</v>
      </c>
      <c r="P399" s="1">
        <f>IF(B399="", "", "kg")</f>
        <v>0</v>
      </c>
      <c r="R399" s="1">
        <f>IF(B399="", "", "Not applicable")</f>
        <v>0</v>
      </c>
    </row>
    <row r="400" spans="1:18">
      <c r="A400">
        <f>IF(COUNTBLANK(B400:R400)&lt;&gt;COLUMNS(B400:R400),399,"")</f>
        <v>0</v>
      </c>
      <c r="C400" s="1">
        <f>IF(B400="", "", "Host-associated")</f>
        <v>0</v>
      </c>
      <c r="G400" s="1">
        <f>IF(B400="", "", "host-associated")</f>
        <v>0</v>
      </c>
      <c r="I400" s="1">
        <f>IF(B400="", "", "years")</f>
        <v>0</v>
      </c>
      <c r="L400" s="1">
        <f>IF(B400="", "", "cm")</f>
        <v>0</v>
      </c>
      <c r="P400" s="1">
        <f>IF(B400="", "", "kg")</f>
        <v>0</v>
      </c>
      <c r="R400" s="1">
        <f>IF(B400="", "", "Not applicable")</f>
        <v>0</v>
      </c>
    </row>
    <row r="401" spans="1:18">
      <c r="A401">
        <f>IF(COUNTBLANK(B401:R401)&lt;&gt;COLUMNS(B401:R401),400,"")</f>
        <v>0</v>
      </c>
      <c r="C401" s="1">
        <f>IF(B401="", "", "Host-associated")</f>
        <v>0</v>
      </c>
      <c r="G401" s="1">
        <f>IF(B401="", "", "host-associated")</f>
        <v>0</v>
      </c>
      <c r="I401" s="1">
        <f>IF(B401="", "", "years")</f>
        <v>0</v>
      </c>
      <c r="L401" s="1">
        <f>IF(B401="", "", "cm")</f>
        <v>0</v>
      </c>
      <c r="P401" s="1">
        <f>IF(B401="", "", "kg")</f>
        <v>0</v>
      </c>
      <c r="R401" s="1">
        <f>IF(B401="", "", "Not applicable")</f>
        <v>0</v>
      </c>
    </row>
    <row r="402" spans="1:18">
      <c r="A402">
        <f>IF(COUNTBLANK(B402:R402)&lt;&gt;COLUMNS(B402:R402),401,"")</f>
        <v>0</v>
      </c>
      <c r="C402" s="1">
        <f>IF(B402="", "", "Host-associated")</f>
        <v>0</v>
      </c>
      <c r="G402" s="1">
        <f>IF(B402="", "", "host-associated")</f>
        <v>0</v>
      </c>
      <c r="I402" s="1">
        <f>IF(B402="", "", "years")</f>
        <v>0</v>
      </c>
      <c r="L402" s="1">
        <f>IF(B402="", "", "cm")</f>
        <v>0</v>
      </c>
      <c r="P402" s="1">
        <f>IF(B402="", "", "kg")</f>
        <v>0</v>
      </c>
      <c r="R402" s="1">
        <f>IF(B402="", "", "Not applicable")</f>
        <v>0</v>
      </c>
    </row>
    <row r="403" spans="1:18">
      <c r="A403">
        <f>IF(COUNTBLANK(B403:R403)&lt;&gt;COLUMNS(B403:R403),402,"")</f>
        <v>0</v>
      </c>
      <c r="C403" s="1">
        <f>IF(B403="", "", "Host-associated")</f>
        <v>0</v>
      </c>
      <c r="G403" s="1">
        <f>IF(B403="", "", "host-associated")</f>
        <v>0</v>
      </c>
      <c r="I403" s="1">
        <f>IF(B403="", "", "years")</f>
        <v>0</v>
      </c>
      <c r="L403" s="1">
        <f>IF(B403="", "", "cm")</f>
        <v>0</v>
      </c>
      <c r="P403" s="1">
        <f>IF(B403="", "", "kg")</f>
        <v>0</v>
      </c>
      <c r="R403" s="1">
        <f>IF(B403="", "", "Not applicable")</f>
        <v>0</v>
      </c>
    </row>
    <row r="404" spans="1:18">
      <c r="A404">
        <f>IF(COUNTBLANK(B404:R404)&lt;&gt;COLUMNS(B404:R404),403,"")</f>
        <v>0</v>
      </c>
      <c r="C404" s="1">
        <f>IF(B404="", "", "Host-associated")</f>
        <v>0</v>
      </c>
      <c r="G404" s="1">
        <f>IF(B404="", "", "host-associated")</f>
        <v>0</v>
      </c>
      <c r="I404" s="1">
        <f>IF(B404="", "", "years")</f>
        <v>0</v>
      </c>
      <c r="L404" s="1">
        <f>IF(B404="", "", "cm")</f>
        <v>0</v>
      </c>
      <c r="P404" s="1">
        <f>IF(B404="", "", "kg")</f>
        <v>0</v>
      </c>
      <c r="R404" s="1">
        <f>IF(B404="", "", "Not applicable")</f>
        <v>0</v>
      </c>
    </row>
    <row r="405" spans="1:18">
      <c r="A405">
        <f>IF(COUNTBLANK(B405:R405)&lt;&gt;COLUMNS(B405:R405),404,"")</f>
        <v>0</v>
      </c>
      <c r="C405" s="1">
        <f>IF(B405="", "", "Host-associated")</f>
        <v>0</v>
      </c>
      <c r="G405" s="1">
        <f>IF(B405="", "", "host-associated")</f>
        <v>0</v>
      </c>
      <c r="I405" s="1">
        <f>IF(B405="", "", "years")</f>
        <v>0</v>
      </c>
      <c r="L405" s="1">
        <f>IF(B405="", "", "cm")</f>
        <v>0</v>
      </c>
      <c r="P405" s="1">
        <f>IF(B405="", "", "kg")</f>
        <v>0</v>
      </c>
      <c r="R405" s="1">
        <f>IF(B405="", "", "Not applicable")</f>
        <v>0</v>
      </c>
    </row>
    <row r="406" spans="1:18">
      <c r="A406">
        <f>IF(COUNTBLANK(B406:R406)&lt;&gt;COLUMNS(B406:R406),405,"")</f>
        <v>0</v>
      </c>
      <c r="C406" s="1">
        <f>IF(B406="", "", "Host-associated")</f>
        <v>0</v>
      </c>
      <c r="G406" s="1">
        <f>IF(B406="", "", "host-associated")</f>
        <v>0</v>
      </c>
      <c r="I406" s="1">
        <f>IF(B406="", "", "years")</f>
        <v>0</v>
      </c>
      <c r="L406" s="1">
        <f>IF(B406="", "", "cm")</f>
        <v>0</v>
      </c>
      <c r="P406" s="1">
        <f>IF(B406="", "", "kg")</f>
        <v>0</v>
      </c>
      <c r="R406" s="1">
        <f>IF(B406="", "", "Not applicable")</f>
        <v>0</v>
      </c>
    </row>
    <row r="407" spans="1:18">
      <c r="A407">
        <f>IF(COUNTBLANK(B407:R407)&lt;&gt;COLUMNS(B407:R407),406,"")</f>
        <v>0</v>
      </c>
      <c r="C407" s="1">
        <f>IF(B407="", "", "Host-associated")</f>
        <v>0</v>
      </c>
      <c r="G407" s="1">
        <f>IF(B407="", "", "host-associated")</f>
        <v>0</v>
      </c>
      <c r="I407" s="1">
        <f>IF(B407="", "", "years")</f>
        <v>0</v>
      </c>
      <c r="L407" s="1">
        <f>IF(B407="", "", "cm")</f>
        <v>0</v>
      </c>
      <c r="P407" s="1">
        <f>IF(B407="", "", "kg")</f>
        <v>0</v>
      </c>
      <c r="R407" s="1">
        <f>IF(B407="", "", "Not applicable")</f>
        <v>0</v>
      </c>
    </row>
    <row r="408" spans="1:18">
      <c r="A408">
        <f>IF(COUNTBLANK(B408:R408)&lt;&gt;COLUMNS(B408:R408),407,"")</f>
        <v>0</v>
      </c>
      <c r="C408" s="1">
        <f>IF(B408="", "", "Host-associated")</f>
        <v>0</v>
      </c>
      <c r="G408" s="1">
        <f>IF(B408="", "", "host-associated")</f>
        <v>0</v>
      </c>
      <c r="I408" s="1">
        <f>IF(B408="", "", "years")</f>
        <v>0</v>
      </c>
      <c r="L408" s="1">
        <f>IF(B408="", "", "cm")</f>
        <v>0</v>
      </c>
      <c r="P408" s="1">
        <f>IF(B408="", "", "kg")</f>
        <v>0</v>
      </c>
      <c r="R408" s="1">
        <f>IF(B408="", "", "Not applicable")</f>
        <v>0</v>
      </c>
    </row>
    <row r="409" spans="1:18">
      <c r="A409">
        <f>IF(COUNTBLANK(B409:R409)&lt;&gt;COLUMNS(B409:R409),408,"")</f>
        <v>0</v>
      </c>
      <c r="C409" s="1">
        <f>IF(B409="", "", "Host-associated")</f>
        <v>0</v>
      </c>
      <c r="G409" s="1">
        <f>IF(B409="", "", "host-associated")</f>
        <v>0</v>
      </c>
      <c r="I409" s="1">
        <f>IF(B409="", "", "years")</f>
        <v>0</v>
      </c>
      <c r="L409" s="1">
        <f>IF(B409="", "", "cm")</f>
        <v>0</v>
      </c>
      <c r="P409" s="1">
        <f>IF(B409="", "", "kg")</f>
        <v>0</v>
      </c>
      <c r="R409" s="1">
        <f>IF(B409="", "", "Not applicable")</f>
        <v>0</v>
      </c>
    </row>
    <row r="410" spans="1:18">
      <c r="A410">
        <f>IF(COUNTBLANK(B410:R410)&lt;&gt;COLUMNS(B410:R410),409,"")</f>
        <v>0</v>
      </c>
      <c r="C410" s="1">
        <f>IF(B410="", "", "Host-associated")</f>
        <v>0</v>
      </c>
      <c r="G410" s="1">
        <f>IF(B410="", "", "host-associated")</f>
        <v>0</v>
      </c>
      <c r="I410" s="1">
        <f>IF(B410="", "", "years")</f>
        <v>0</v>
      </c>
      <c r="L410" s="1">
        <f>IF(B410="", "", "cm")</f>
        <v>0</v>
      </c>
      <c r="P410" s="1">
        <f>IF(B410="", "", "kg")</f>
        <v>0</v>
      </c>
      <c r="R410" s="1">
        <f>IF(B410="", "", "Not applicable")</f>
        <v>0</v>
      </c>
    </row>
    <row r="411" spans="1:18">
      <c r="A411">
        <f>IF(COUNTBLANK(B411:R411)&lt;&gt;COLUMNS(B411:R411),410,"")</f>
        <v>0</v>
      </c>
      <c r="C411" s="1">
        <f>IF(B411="", "", "Host-associated")</f>
        <v>0</v>
      </c>
      <c r="G411" s="1">
        <f>IF(B411="", "", "host-associated")</f>
        <v>0</v>
      </c>
      <c r="I411" s="1">
        <f>IF(B411="", "", "years")</f>
        <v>0</v>
      </c>
      <c r="L411" s="1">
        <f>IF(B411="", "", "cm")</f>
        <v>0</v>
      </c>
      <c r="P411" s="1">
        <f>IF(B411="", "", "kg")</f>
        <v>0</v>
      </c>
      <c r="R411" s="1">
        <f>IF(B411="", "", "Not applicable")</f>
        <v>0</v>
      </c>
    </row>
    <row r="412" spans="1:18">
      <c r="A412">
        <f>IF(COUNTBLANK(B412:R412)&lt;&gt;COLUMNS(B412:R412),411,"")</f>
        <v>0</v>
      </c>
      <c r="C412" s="1">
        <f>IF(B412="", "", "Host-associated")</f>
        <v>0</v>
      </c>
      <c r="G412" s="1">
        <f>IF(B412="", "", "host-associated")</f>
        <v>0</v>
      </c>
      <c r="I412" s="1">
        <f>IF(B412="", "", "years")</f>
        <v>0</v>
      </c>
      <c r="L412" s="1">
        <f>IF(B412="", "", "cm")</f>
        <v>0</v>
      </c>
      <c r="P412" s="1">
        <f>IF(B412="", "", "kg")</f>
        <v>0</v>
      </c>
      <c r="R412" s="1">
        <f>IF(B412="", "", "Not applicable")</f>
        <v>0</v>
      </c>
    </row>
    <row r="413" spans="1:18">
      <c r="A413">
        <f>IF(COUNTBLANK(B413:R413)&lt;&gt;COLUMNS(B413:R413),412,"")</f>
        <v>0</v>
      </c>
      <c r="C413" s="1">
        <f>IF(B413="", "", "Host-associated")</f>
        <v>0</v>
      </c>
      <c r="G413" s="1">
        <f>IF(B413="", "", "host-associated")</f>
        <v>0</v>
      </c>
      <c r="I413" s="1">
        <f>IF(B413="", "", "years")</f>
        <v>0</v>
      </c>
      <c r="L413" s="1">
        <f>IF(B413="", "", "cm")</f>
        <v>0</v>
      </c>
      <c r="P413" s="1">
        <f>IF(B413="", "", "kg")</f>
        <v>0</v>
      </c>
      <c r="R413" s="1">
        <f>IF(B413="", "", "Not applicable")</f>
        <v>0</v>
      </c>
    </row>
    <row r="414" spans="1:18">
      <c r="A414">
        <f>IF(COUNTBLANK(B414:R414)&lt;&gt;COLUMNS(B414:R414),413,"")</f>
        <v>0</v>
      </c>
      <c r="C414" s="1">
        <f>IF(B414="", "", "Host-associated")</f>
        <v>0</v>
      </c>
      <c r="G414" s="1">
        <f>IF(B414="", "", "host-associated")</f>
        <v>0</v>
      </c>
      <c r="I414" s="1">
        <f>IF(B414="", "", "years")</f>
        <v>0</v>
      </c>
      <c r="L414" s="1">
        <f>IF(B414="", "", "cm")</f>
        <v>0</v>
      </c>
      <c r="P414" s="1">
        <f>IF(B414="", "", "kg")</f>
        <v>0</v>
      </c>
      <c r="R414" s="1">
        <f>IF(B414="", "", "Not applicable")</f>
        <v>0</v>
      </c>
    </row>
    <row r="415" spans="1:18">
      <c r="A415">
        <f>IF(COUNTBLANK(B415:R415)&lt;&gt;COLUMNS(B415:R415),414,"")</f>
        <v>0</v>
      </c>
      <c r="C415" s="1">
        <f>IF(B415="", "", "Host-associated")</f>
        <v>0</v>
      </c>
      <c r="G415" s="1">
        <f>IF(B415="", "", "host-associated")</f>
        <v>0</v>
      </c>
      <c r="I415" s="1">
        <f>IF(B415="", "", "years")</f>
        <v>0</v>
      </c>
      <c r="L415" s="1">
        <f>IF(B415="", "", "cm")</f>
        <v>0</v>
      </c>
      <c r="P415" s="1">
        <f>IF(B415="", "", "kg")</f>
        <v>0</v>
      </c>
      <c r="R415" s="1">
        <f>IF(B415="", "", "Not applicable")</f>
        <v>0</v>
      </c>
    </row>
    <row r="416" spans="1:18">
      <c r="A416">
        <f>IF(COUNTBLANK(B416:R416)&lt;&gt;COLUMNS(B416:R416),415,"")</f>
        <v>0</v>
      </c>
      <c r="C416" s="1">
        <f>IF(B416="", "", "Host-associated")</f>
        <v>0</v>
      </c>
      <c r="G416" s="1">
        <f>IF(B416="", "", "host-associated")</f>
        <v>0</v>
      </c>
      <c r="I416" s="1">
        <f>IF(B416="", "", "years")</f>
        <v>0</v>
      </c>
      <c r="L416" s="1">
        <f>IF(B416="", "", "cm")</f>
        <v>0</v>
      </c>
      <c r="P416" s="1">
        <f>IF(B416="", "", "kg")</f>
        <v>0</v>
      </c>
      <c r="R416" s="1">
        <f>IF(B416="", "", "Not applicable")</f>
        <v>0</v>
      </c>
    </row>
    <row r="417" spans="1:18">
      <c r="A417">
        <f>IF(COUNTBLANK(B417:R417)&lt;&gt;COLUMNS(B417:R417),416,"")</f>
        <v>0</v>
      </c>
      <c r="C417" s="1">
        <f>IF(B417="", "", "Host-associated")</f>
        <v>0</v>
      </c>
      <c r="G417" s="1">
        <f>IF(B417="", "", "host-associated")</f>
        <v>0</v>
      </c>
      <c r="I417" s="1">
        <f>IF(B417="", "", "years")</f>
        <v>0</v>
      </c>
      <c r="L417" s="1">
        <f>IF(B417="", "", "cm")</f>
        <v>0</v>
      </c>
      <c r="P417" s="1">
        <f>IF(B417="", "", "kg")</f>
        <v>0</v>
      </c>
      <c r="R417" s="1">
        <f>IF(B417="", "", "Not applicable")</f>
        <v>0</v>
      </c>
    </row>
    <row r="418" spans="1:18">
      <c r="A418">
        <f>IF(COUNTBLANK(B418:R418)&lt;&gt;COLUMNS(B418:R418),417,"")</f>
        <v>0</v>
      </c>
      <c r="C418" s="1">
        <f>IF(B418="", "", "Host-associated")</f>
        <v>0</v>
      </c>
      <c r="G418" s="1">
        <f>IF(B418="", "", "host-associated")</f>
        <v>0</v>
      </c>
      <c r="I418" s="1">
        <f>IF(B418="", "", "years")</f>
        <v>0</v>
      </c>
      <c r="L418" s="1">
        <f>IF(B418="", "", "cm")</f>
        <v>0</v>
      </c>
      <c r="P418" s="1">
        <f>IF(B418="", "", "kg")</f>
        <v>0</v>
      </c>
      <c r="R418" s="1">
        <f>IF(B418="", "", "Not applicable")</f>
        <v>0</v>
      </c>
    </row>
    <row r="419" spans="1:18">
      <c r="A419">
        <f>IF(COUNTBLANK(B419:R419)&lt;&gt;COLUMNS(B419:R419),418,"")</f>
        <v>0</v>
      </c>
      <c r="C419" s="1">
        <f>IF(B419="", "", "Host-associated")</f>
        <v>0</v>
      </c>
      <c r="G419" s="1">
        <f>IF(B419="", "", "host-associated")</f>
        <v>0</v>
      </c>
      <c r="I419" s="1">
        <f>IF(B419="", "", "years")</f>
        <v>0</v>
      </c>
      <c r="L419" s="1">
        <f>IF(B419="", "", "cm")</f>
        <v>0</v>
      </c>
      <c r="P419" s="1">
        <f>IF(B419="", "", "kg")</f>
        <v>0</v>
      </c>
      <c r="R419" s="1">
        <f>IF(B419="", "", "Not applicable")</f>
        <v>0</v>
      </c>
    </row>
    <row r="420" spans="1:18">
      <c r="A420">
        <f>IF(COUNTBLANK(B420:R420)&lt;&gt;COLUMNS(B420:R420),419,"")</f>
        <v>0</v>
      </c>
      <c r="C420" s="1">
        <f>IF(B420="", "", "Host-associated")</f>
        <v>0</v>
      </c>
      <c r="G420" s="1">
        <f>IF(B420="", "", "host-associated")</f>
        <v>0</v>
      </c>
      <c r="I420" s="1">
        <f>IF(B420="", "", "years")</f>
        <v>0</v>
      </c>
      <c r="L420" s="1">
        <f>IF(B420="", "", "cm")</f>
        <v>0</v>
      </c>
      <c r="P420" s="1">
        <f>IF(B420="", "", "kg")</f>
        <v>0</v>
      </c>
      <c r="R420" s="1">
        <f>IF(B420="", "", "Not applicable")</f>
        <v>0</v>
      </c>
    </row>
    <row r="421" spans="1:18">
      <c r="A421">
        <f>IF(COUNTBLANK(B421:R421)&lt;&gt;COLUMNS(B421:R421),420,"")</f>
        <v>0</v>
      </c>
      <c r="C421" s="1">
        <f>IF(B421="", "", "Host-associated")</f>
        <v>0</v>
      </c>
      <c r="G421" s="1">
        <f>IF(B421="", "", "host-associated")</f>
        <v>0</v>
      </c>
      <c r="I421" s="1">
        <f>IF(B421="", "", "years")</f>
        <v>0</v>
      </c>
      <c r="L421" s="1">
        <f>IF(B421="", "", "cm")</f>
        <v>0</v>
      </c>
      <c r="P421" s="1">
        <f>IF(B421="", "", "kg")</f>
        <v>0</v>
      </c>
      <c r="R421" s="1">
        <f>IF(B421="", "", "Not applicable")</f>
        <v>0</v>
      </c>
    </row>
    <row r="422" spans="1:18">
      <c r="A422">
        <f>IF(COUNTBLANK(B422:R422)&lt;&gt;COLUMNS(B422:R422),421,"")</f>
        <v>0</v>
      </c>
      <c r="C422" s="1">
        <f>IF(B422="", "", "Host-associated")</f>
        <v>0</v>
      </c>
      <c r="G422" s="1">
        <f>IF(B422="", "", "host-associated")</f>
        <v>0</v>
      </c>
      <c r="I422" s="1">
        <f>IF(B422="", "", "years")</f>
        <v>0</v>
      </c>
      <c r="L422" s="1">
        <f>IF(B422="", "", "cm")</f>
        <v>0</v>
      </c>
      <c r="P422" s="1">
        <f>IF(B422="", "", "kg")</f>
        <v>0</v>
      </c>
      <c r="R422" s="1">
        <f>IF(B422="", "", "Not applicable")</f>
        <v>0</v>
      </c>
    </row>
    <row r="423" spans="1:18">
      <c r="A423">
        <f>IF(COUNTBLANK(B423:R423)&lt;&gt;COLUMNS(B423:R423),422,"")</f>
        <v>0</v>
      </c>
      <c r="C423" s="1">
        <f>IF(B423="", "", "Host-associated")</f>
        <v>0</v>
      </c>
      <c r="G423" s="1">
        <f>IF(B423="", "", "host-associated")</f>
        <v>0</v>
      </c>
      <c r="I423" s="1">
        <f>IF(B423="", "", "years")</f>
        <v>0</v>
      </c>
      <c r="L423" s="1">
        <f>IF(B423="", "", "cm")</f>
        <v>0</v>
      </c>
      <c r="P423" s="1">
        <f>IF(B423="", "", "kg")</f>
        <v>0</v>
      </c>
      <c r="R423" s="1">
        <f>IF(B423="", "", "Not applicable")</f>
        <v>0</v>
      </c>
    </row>
    <row r="424" spans="1:18">
      <c r="A424">
        <f>IF(COUNTBLANK(B424:R424)&lt;&gt;COLUMNS(B424:R424),423,"")</f>
        <v>0</v>
      </c>
      <c r="C424" s="1">
        <f>IF(B424="", "", "Host-associated")</f>
        <v>0</v>
      </c>
      <c r="G424" s="1">
        <f>IF(B424="", "", "host-associated")</f>
        <v>0</v>
      </c>
      <c r="I424" s="1">
        <f>IF(B424="", "", "years")</f>
        <v>0</v>
      </c>
      <c r="L424" s="1">
        <f>IF(B424="", "", "cm")</f>
        <v>0</v>
      </c>
      <c r="P424" s="1">
        <f>IF(B424="", "", "kg")</f>
        <v>0</v>
      </c>
      <c r="R424" s="1">
        <f>IF(B424="", "", "Not applicable")</f>
        <v>0</v>
      </c>
    </row>
    <row r="425" spans="1:18">
      <c r="A425">
        <f>IF(COUNTBLANK(B425:R425)&lt;&gt;COLUMNS(B425:R425),424,"")</f>
        <v>0</v>
      </c>
      <c r="C425" s="1">
        <f>IF(B425="", "", "Host-associated")</f>
        <v>0</v>
      </c>
      <c r="G425" s="1">
        <f>IF(B425="", "", "host-associated")</f>
        <v>0</v>
      </c>
      <c r="I425" s="1">
        <f>IF(B425="", "", "years")</f>
        <v>0</v>
      </c>
      <c r="L425" s="1">
        <f>IF(B425="", "", "cm")</f>
        <v>0</v>
      </c>
      <c r="P425" s="1">
        <f>IF(B425="", "", "kg")</f>
        <v>0</v>
      </c>
      <c r="R425" s="1">
        <f>IF(B425="", "", "Not applicable")</f>
        <v>0</v>
      </c>
    </row>
    <row r="426" spans="1:18">
      <c r="A426">
        <f>IF(COUNTBLANK(B426:R426)&lt;&gt;COLUMNS(B426:R426),425,"")</f>
        <v>0</v>
      </c>
      <c r="C426" s="1">
        <f>IF(B426="", "", "Host-associated")</f>
        <v>0</v>
      </c>
      <c r="G426" s="1">
        <f>IF(B426="", "", "host-associated")</f>
        <v>0</v>
      </c>
      <c r="I426" s="1">
        <f>IF(B426="", "", "years")</f>
        <v>0</v>
      </c>
      <c r="L426" s="1">
        <f>IF(B426="", "", "cm")</f>
        <v>0</v>
      </c>
      <c r="P426" s="1">
        <f>IF(B426="", "", "kg")</f>
        <v>0</v>
      </c>
      <c r="R426" s="1">
        <f>IF(B426="", "", "Not applicable")</f>
        <v>0</v>
      </c>
    </row>
    <row r="427" spans="1:18">
      <c r="A427">
        <f>IF(COUNTBLANK(B427:R427)&lt;&gt;COLUMNS(B427:R427),426,"")</f>
        <v>0</v>
      </c>
      <c r="C427" s="1">
        <f>IF(B427="", "", "Host-associated")</f>
        <v>0</v>
      </c>
      <c r="G427" s="1">
        <f>IF(B427="", "", "host-associated")</f>
        <v>0</v>
      </c>
      <c r="I427" s="1">
        <f>IF(B427="", "", "years")</f>
        <v>0</v>
      </c>
      <c r="L427" s="1">
        <f>IF(B427="", "", "cm")</f>
        <v>0</v>
      </c>
      <c r="P427" s="1">
        <f>IF(B427="", "", "kg")</f>
        <v>0</v>
      </c>
      <c r="R427" s="1">
        <f>IF(B427="", "", "Not applicable")</f>
        <v>0</v>
      </c>
    </row>
    <row r="428" spans="1:18">
      <c r="A428">
        <f>IF(COUNTBLANK(B428:R428)&lt;&gt;COLUMNS(B428:R428),427,"")</f>
        <v>0</v>
      </c>
      <c r="C428" s="1">
        <f>IF(B428="", "", "Host-associated")</f>
        <v>0</v>
      </c>
      <c r="G428" s="1">
        <f>IF(B428="", "", "host-associated")</f>
        <v>0</v>
      </c>
      <c r="I428" s="1">
        <f>IF(B428="", "", "years")</f>
        <v>0</v>
      </c>
      <c r="L428" s="1">
        <f>IF(B428="", "", "cm")</f>
        <v>0</v>
      </c>
      <c r="P428" s="1">
        <f>IF(B428="", "", "kg")</f>
        <v>0</v>
      </c>
      <c r="R428" s="1">
        <f>IF(B428="", "", "Not applicable")</f>
        <v>0</v>
      </c>
    </row>
    <row r="429" spans="1:18">
      <c r="A429">
        <f>IF(COUNTBLANK(B429:R429)&lt;&gt;COLUMNS(B429:R429),428,"")</f>
        <v>0</v>
      </c>
      <c r="C429" s="1">
        <f>IF(B429="", "", "Host-associated")</f>
        <v>0</v>
      </c>
      <c r="G429" s="1">
        <f>IF(B429="", "", "host-associated")</f>
        <v>0</v>
      </c>
      <c r="I429" s="1">
        <f>IF(B429="", "", "years")</f>
        <v>0</v>
      </c>
      <c r="L429" s="1">
        <f>IF(B429="", "", "cm")</f>
        <v>0</v>
      </c>
      <c r="P429" s="1">
        <f>IF(B429="", "", "kg")</f>
        <v>0</v>
      </c>
      <c r="R429" s="1">
        <f>IF(B429="", "", "Not applicable")</f>
        <v>0</v>
      </c>
    </row>
    <row r="430" spans="1:18">
      <c r="A430">
        <f>IF(COUNTBLANK(B430:R430)&lt;&gt;COLUMNS(B430:R430),429,"")</f>
        <v>0</v>
      </c>
      <c r="C430" s="1">
        <f>IF(B430="", "", "Host-associated")</f>
        <v>0</v>
      </c>
      <c r="G430" s="1">
        <f>IF(B430="", "", "host-associated")</f>
        <v>0</v>
      </c>
      <c r="I430" s="1">
        <f>IF(B430="", "", "years")</f>
        <v>0</v>
      </c>
      <c r="L430" s="1">
        <f>IF(B430="", "", "cm")</f>
        <v>0</v>
      </c>
      <c r="P430" s="1">
        <f>IF(B430="", "", "kg")</f>
        <v>0</v>
      </c>
      <c r="R430" s="1">
        <f>IF(B430="", "", "Not applicable")</f>
        <v>0</v>
      </c>
    </row>
    <row r="431" spans="1:18">
      <c r="A431">
        <f>IF(COUNTBLANK(B431:R431)&lt;&gt;COLUMNS(B431:R431),430,"")</f>
        <v>0</v>
      </c>
      <c r="C431" s="1">
        <f>IF(B431="", "", "Host-associated")</f>
        <v>0</v>
      </c>
      <c r="G431" s="1">
        <f>IF(B431="", "", "host-associated")</f>
        <v>0</v>
      </c>
      <c r="I431" s="1">
        <f>IF(B431="", "", "years")</f>
        <v>0</v>
      </c>
      <c r="L431" s="1">
        <f>IF(B431="", "", "cm")</f>
        <v>0</v>
      </c>
      <c r="P431" s="1">
        <f>IF(B431="", "", "kg")</f>
        <v>0</v>
      </c>
      <c r="R431" s="1">
        <f>IF(B431="", "", "Not applicable")</f>
        <v>0</v>
      </c>
    </row>
    <row r="432" spans="1:18">
      <c r="A432">
        <f>IF(COUNTBLANK(B432:R432)&lt;&gt;COLUMNS(B432:R432),431,"")</f>
        <v>0</v>
      </c>
      <c r="C432" s="1">
        <f>IF(B432="", "", "Host-associated")</f>
        <v>0</v>
      </c>
      <c r="G432" s="1">
        <f>IF(B432="", "", "host-associated")</f>
        <v>0</v>
      </c>
      <c r="I432" s="1">
        <f>IF(B432="", "", "years")</f>
        <v>0</v>
      </c>
      <c r="L432" s="1">
        <f>IF(B432="", "", "cm")</f>
        <v>0</v>
      </c>
      <c r="P432" s="1">
        <f>IF(B432="", "", "kg")</f>
        <v>0</v>
      </c>
      <c r="R432" s="1">
        <f>IF(B432="", "", "Not applicable")</f>
        <v>0</v>
      </c>
    </row>
    <row r="433" spans="1:18">
      <c r="A433">
        <f>IF(COUNTBLANK(B433:R433)&lt;&gt;COLUMNS(B433:R433),432,"")</f>
        <v>0</v>
      </c>
      <c r="C433" s="1">
        <f>IF(B433="", "", "Host-associated")</f>
        <v>0</v>
      </c>
      <c r="G433" s="1">
        <f>IF(B433="", "", "host-associated")</f>
        <v>0</v>
      </c>
      <c r="I433" s="1">
        <f>IF(B433="", "", "years")</f>
        <v>0</v>
      </c>
      <c r="L433" s="1">
        <f>IF(B433="", "", "cm")</f>
        <v>0</v>
      </c>
      <c r="P433" s="1">
        <f>IF(B433="", "", "kg")</f>
        <v>0</v>
      </c>
      <c r="R433" s="1">
        <f>IF(B433="", "", "Not applicable")</f>
        <v>0</v>
      </c>
    </row>
    <row r="434" spans="1:18">
      <c r="A434">
        <f>IF(COUNTBLANK(B434:R434)&lt;&gt;COLUMNS(B434:R434),433,"")</f>
        <v>0</v>
      </c>
      <c r="C434" s="1">
        <f>IF(B434="", "", "Host-associated")</f>
        <v>0</v>
      </c>
      <c r="G434" s="1">
        <f>IF(B434="", "", "host-associated")</f>
        <v>0</v>
      </c>
      <c r="I434" s="1">
        <f>IF(B434="", "", "years")</f>
        <v>0</v>
      </c>
      <c r="L434" s="1">
        <f>IF(B434="", "", "cm")</f>
        <v>0</v>
      </c>
      <c r="P434" s="1">
        <f>IF(B434="", "", "kg")</f>
        <v>0</v>
      </c>
      <c r="R434" s="1">
        <f>IF(B434="", "", "Not applicable")</f>
        <v>0</v>
      </c>
    </row>
    <row r="435" spans="1:18">
      <c r="A435">
        <f>IF(COUNTBLANK(B435:R435)&lt;&gt;COLUMNS(B435:R435),434,"")</f>
        <v>0</v>
      </c>
      <c r="C435" s="1">
        <f>IF(B435="", "", "Host-associated")</f>
        <v>0</v>
      </c>
      <c r="G435" s="1">
        <f>IF(B435="", "", "host-associated")</f>
        <v>0</v>
      </c>
      <c r="I435" s="1">
        <f>IF(B435="", "", "years")</f>
        <v>0</v>
      </c>
      <c r="L435" s="1">
        <f>IF(B435="", "", "cm")</f>
        <v>0</v>
      </c>
      <c r="P435" s="1">
        <f>IF(B435="", "", "kg")</f>
        <v>0</v>
      </c>
      <c r="R435" s="1">
        <f>IF(B435="", "", "Not applicable")</f>
        <v>0</v>
      </c>
    </row>
    <row r="436" spans="1:18">
      <c r="A436">
        <f>IF(COUNTBLANK(B436:R436)&lt;&gt;COLUMNS(B436:R436),435,"")</f>
        <v>0</v>
      </c>
      <c r="C436" s="1">
        <f>IF(B436="", "", "Host-associated")</f>
        <v>0</v>
      </c>
      <c r="G436" s="1">
        <f>IF(B436="", "", "host-associated")</f>
        <v>0</v>
      </c>
      <c r="I436" s="1">
        <f>IF(B436="", "", "years")</f>
        <v>0</v>
      </c>
      <c r="L436" s="1">
        <f>IF(B436="", "", "cm")</f>
        <v>0</v>
      </c>
      <c r="P436" s="1">
        <f>IF(B436="", "", "kg")</f>
        <v>0</v>
      </c>
      <c r="R436" s="1">
        <f>IF(B436="", "", "Not applicable")</f>
        <v>0</v>
      </c>
    </row>
    <row r="437" spans="1:18">
      <c r="A437">
        <f>IF(COUNTBLANK(B437:R437)&lt;&gt;COLUMNS(B437:R437),436,"")</f>
        <v>0</v>
      </c>
      <c r="C437" s="1">
        <f>IF(B437="", "", "Host-associated")</f>
        <v>0</v>
      </c>
      <c r="G437" s="1">
        <f>IF(B437="", "", "host-associated")</f>
        <v>0</v>
      </c>
      <c r="I437" s="1">
        <f>IF(B437="", "", "years")</f>
        <v>0</v>
      </c>
      <c r="L437" s="1">
        <f>IF(B437="", "", "cm")</f>
        <v>0</v>
      </c>
      <c r="P437" s="1">
        <f>IF(B437="", "", "kg")</f>
        <v>0</v>
      </c>
      <c r="R437" s="1">
        <f>IF(B437="", "", "Not applicable")</f>
        <v>0</v>
      </c>
    </row>
    <row r="438" spans="1:18">
      <c r="A438">
        <f>IF(COUNTBLANK(B438:R438)&lt;&gt;COLUMNS(B438:R438),437,"")</f>
        <v>0</v>
      </c>
      <c r="C438" s="1">
        <f>IF(B438="", "", "Host-associated")</f>
        <v>0</v>
      </c>
      <c r="G438" s="1">
        <f>IF(B438="", "", "host-associated")</f>
        <v>0</v>
      </c>
      <c r="I438" s="1">
        <f>IF(B438="", "", "years")</f>
        <v>0</v>
      </c>
      <c r="L438" s="1">
        <f>IF(B438="", "", "cm")</f>
        <v>0</v>
      </c>
      <c r="P438" s="1">
        <f>IF(B438="", "", "kg")</f>
        <v>0</v>
      </c>
      <c r="R438" s="1">
        <f>IF(B438="", "", "Not applicable")</f>
        <v>0</v>
      </c>
    </row>
    <row r="439" spans="1:18">
      <c r="A439">
        <f>IF(COUNTBLANK(B439:R439)&lt;&gt;COLUMNS(B439:R439),438,"")</f>
        <v>0</v>
      </c>
      <c r="C439" s="1">
        <f>IF(B439="", "", "Host-associated")</f>
        <v>0</v>
      </c>
      <c r="G439" s="1">
        <f>IF(B439="", "", "host-associated")</f>
        <v>0</v>
      </c>
      <c r="I439" s="1">
        <f>IF(B439="", "", "years")</f>
        <v>0</v>
      </c>
      <c r="L439" s="1">
        <f>IF(B439="", "", "cm")</f>
        <v>0</v>
      </c>
      <c r="P439" s="1">
        <f>IF(B439="", "", "kg")</f>
        <v>0</v>
      </c>
      <c r="R439" s="1">
        <f>IF(B439="", "", "Not applicable")</f>
        <v>0</v>
      </c>
    </row>
    <row r="440" spans="1:18">
      <c r="A440">
        <f>IF(COUNTBLANK(B440:R440)&lt;&gt;COLUMNS(B440:R440),439,"")</f>
        <v>0</v>
      </c>
      <c r="C440" s="1">
        <f>IF(B440="", "", "Host-associated")</f>
        <v>0</v>
      </c>
      <c r="G440" s="1">
        <f>IF(B440="", "", "host-associated")</f>
        <v>0</v>
      </c>
      <c r="I440" s="1">
        <f>IF(B440="", "", "years")</f>
        <v>0</v>
      </c>
      <c r="L440" s="1">
        <f>IF(B440="", "", "cm")</f>
        <v>0</v>
      </c>
      <c r="P440" s="1">
        <f>IF(B440="", "", "kg")</f>
        <v>0</v>
      </c>
      <c r="R440" s="1">
        <f>IF(B440="", "", "Not applicable")</f>
        <v>0</v>
      </c>
    </row>
    <row r="441" spans="1:18">
      <c r="A441">
        <f>IF(COUNTBLANK(B441:R441)&lt;&gt;COLUMNS(B441:R441),440,"")</f>
        <v>0</v>
      </c>
      <c r="C441" s="1">
        <f>IF(B441="", "", "Host-associated")</f>
        <v>0</v>
      </c>
      <c r="G441" s="1">
        <f>IF(B441="", "", "host-associated")</f>
        <v>0</v>
      </c>
      <c r="I441" s="1">
        <f>IF(B441="", "", "years")</f>
        <v>0</v>
      </c>
      <c r="L441" s="1">
        <f>IF(B441="", "", "cm")</f>
        <v>0</v>
      </c>
      <c r="P441" s="1">
        <f>IF(B441="", "", "kg")</f>
        <v>0</v>
      </c>
      <c r="R441" s="1">
        <f>IF(B441="", "", "Not applicable")</f>
        <v>0</v>
      </c>
    </row>
    <row r="442" spans="1:18">
      <c r="A442">
        <f>IF(COUNTBLANK(B442:R442)&lt;&gt;COLUMNS(B442:R442),441,"")</f>
        <v>0</v>
      </c>
      <c r="C442" s="1">
        <f>IF(B442="", "", "Host-associated")</f>
        <v>0</v>
      </c>
      <c r="G442" s="1">
        <f>IF(B442="", "", "host-associated")</f>
        <v>0</v>
      </c>
      <c r="I442" s="1">
        <f>IF(B442="", "", "years")</f>
        <v>0</v>
      </c>
      <c r="L442" s="1">
        <f>IF(B442="", "", "cm")</f>
        <v>0</v>
      </c>
      <c r="P442" s="1">
        <f>IF(B442="", "", "kg")</f>
        <v>0</v>
      </c>
      <c r="R442" s="1">
        <f>IF(B442="", "", "Not applicable")</f>
        <v>0</v>
      </c>
    </row>
    <row r="443" spans="1:18">
      <c r="A443">
        <f>IF(COUNTBLANK(B443:R443)&lt;&gt;COLUMNS(B443:R443),442,"")</f>
        <v>0</v>
      </c>
      <c r="C443" s="1">
        <f>IF(B443="", "", "Host-associated")</f>
        <v>0</v>
      </c>
      <c r="G443" s="1">
        <f>IF(B443="", "", "host-associated")</f>
        <v>0</v>
      </c>
      <c r="I443" s="1">
        <f>IF(B443="", "", "years")</f>
        <v>0</v>
      </c>
      <c r="L443" s="1">
        <f>IF(B443="", "", "cm")</f>
        <v>0</v>
      </c>
      <c r="P443" s="1">
        <f>IF(B443="", "", "kg")</f>
        <v>0</v>
      </c>
      <c r="R443" s="1">
        <f>IF(B443="", "", "Not applicable")</f>
        <v>0</v>
      </c>
    </row>
    <row r="444" spans="1:18">
      <c r="A444">
        <f>IF(COUNTBLANK(B444:R444)&lt;&gt;COLUMNS(B444:R444),443,"")</f>
        <v>0</v>
      </c>
      <c r="C444" s="1">
        <f>IF(B444="", "", "Host-associated")</f>
        <v>0</v>
      </c>
      <c r="G444" s="1">
        <f>IF(B444="", "", "host-associated")</f>
        <v>0</v>
      </c>
      <c r="I444" s="1">
        <f>IF(B444="", "", "years")</f>
        <v>0</v>
      </c>
      <c r="L444" s="1">
        <f>IF(B444="", "", "cm")</f>
        <v>0</v>
      </c>
      <c r="P444" s="1">
        <f>IF(B444="", "", "kg")</f>
        <v>0</v>
      </c>
      <c r="R444" s="1">
        <f>IF(B444="", "", "Not applicable")</f>
        <v>0</v>
      </c>
    </row>
    <row r="445" spans="1:18">
      <c r="A445">
        <f>IF(COUNTBLANK(B445:R445)&lt;&gt;COLUMNS(B445:R445),444,"")</f>
        <v>0</v>
      </c>
      <c r="C445" s="1">
        <f>IF(B445="", "", "Host-associated")</f>
        <v>0</v>
      </c>
      <c r="G445" s="1">
        <f>IF(B445="", "", "host-associated")</f>
        <v>0</v>
      </c>
      <c r="I445" s="1">
        <f>IF(B445="", "", "years")</f>
        <v>0</v>
      </c>
      <c r="L445" s="1">
        <f>IF(B445="", "", "cm")</f>
        <v>0</v>
      </c>
      <c r="P445" s="1">
        <f>IF(B445="", "", "kg")</f>
        <v>0</v>
      </c>
      <c r="R445" s="1">
        <f>IF(B445="", "", "Not applicable")</f>
        <v>0</v>
      </c>
    </row>
    <row r="446" spans="1:18">
      <c r="A446">
        <f>IF(COUNTBLANK(B446:R446)&lt;&gt;COLUMNS(B446:R446),445,"")</f>
        <v>0</v>
      </c>
      <c r="C446" s="1">
        <f>IF(B446="", "", "Host-associated")</f>
        <v>0</v>
      </c>
      <c r="G446" s="1">
        <f>IF(B446="", "", "host-associated")</f>
        <v>0</v>
      </c>
      <c r="I446" s="1">
        <f>IF(B446="", "", "years")</f>
        <v>0</v>
      </c>
      <c r="L446" s="1">
        <f>IF(B446="", "", "cm")</f>
        <v>0</v>
      </c>
      <c r="P446" s="1">
        <f>IF(B446="", "", "kg")</f>
        <v>0</v>
      </c>
      <c r="R446" s="1">
        <f>IF(B446="", "", "Not applicable")</f>
        <v>0</v>
      </c>
    </row>
    <row r="447" spans="1:18">
      <c r="A447">
        <f>IF(COUNTBLANK(B447:R447)&lt;&gt;COLUMNS(B447:R447),446,"")</f>
        <v>0</v>
      </c>
      <c r="C447" s="1">
        <f>IF(B447="", "", "Host-associated")</f>
        <v>0</v>
      </c>
      <c r="G447" s="1">
        <f>IF(B447="", "", "host-associated")</f>
        <v>0</v>
      </c>
      <c r="I447" s="1">
        <f>IF(B447="", "", "years")</f>
        <v>0</v>
      </c>
      <c r="L447" s="1">
        <f>IF(B447="", "", "cm")</f>
        <v>0</v>
      </c>
      <c r="P447" s="1">
        <f>IF(B447="", "", "kg")</f>
        <v>0</v>
      </c>
      <c r="R447" s="1">
        <f>IF(B447="", "", "Not applicable")</f>
        <v>0</v>
      </c>
    </row>
    <row r="448" spans="1:18">
      <c r="A448">
        <f>IF(COUNTBLANK(B448:R448)&lt;&gt;COLUMNS(B448:R448),447,"")</f>
        <v>0</v>
      </c>
      <c r="C448" s="1">
        <f>IF(B448="", "", "Host-associated")</f>
        <v>0</v>
      </c>
      <c r="G448" s="1">
        <f>IF(B448="", "", "host-associated")</f>
        <v>0</v>
      </c>
      <c r="I448" s="1">
        <f>IF(B448="", "", "years")</f>
        <v>0</v>
      </c>
      <c r="L448" s="1">
        <f>IF(B448="", "", "cm")</f>
        <v>0</v>
      </c>
      <c r="P448" s="1">
        <f>IF(B448="", "", "kg")</f>
        <v>0</v>
      </c>
      <c r="R448" s="1">
        <f>IF(B448="", "", "Not applicable")</f>
        <v>0</v>
      </c>
    </row>
    <row r="449" spans="1:18">
      <c r="A449">
        <f>IF(COUNTBLANK(B449:R449)&lt;&gt;COLUMNS(B449:R449),448,"")</f>
        <v>0</v>
      </c>
      <c r="C449" s="1">
        <f>IF(B449="", "", "Host-associated")</f>
        <v>0</v>
      </c>
      <c r="G449" s="1">
        <f>IF(B449="", "", "host-associated")</f>
        <v>0</v>
      </c>
      <c r="I449" s="1">
        <f>IF(B449="", "", "years")</f>
        <v>0</v>
      </c>
      <c r="L449" s="1">
        <f>IF(B449="", "", "cm")</f>
        <v>0</v>
      </c>
      <c r="P449" s="1">
        <f>IF(B449="", "", "kg")</f>
        <v>0</v>
      </c>
      <c r="R449" s="1">
        <f>IF(B449="", "", "Not applicable")</f>
        <v>0</v>
      </c>
    </row>
    <row r="450" spans="1:18">
      <c r="A450">
        <f>IF(COUNTBLANK(B450:R450)&lt;&gt;COLUMNS(B450:R450),449,"")</f>
        <v>0</v>
      </c>
      <c r="C450" s="1">
        <f>IF(B450="", "", "Host-associated")</f>
        <v>0</v>
      </c>
      <c r="G450" s="1">
        <f>IF(B450="", "", "host-associated")</f>
        <v>0</v>
      </c>
      <c r="I450" s="1">
        <f>IF(B450="", "", "years")</f>
        <v>0</v>
      </c>
      <c r="L450" s="1">
        <f>IF(B450="", "", "cm")</f>
        <v>0</v>
      </c>
      <c r="P450" s="1">
        <f>IF(B450="", "", "kg")</f>
        <v>0</v>
      </c>
      <c r="R450" s="1">
        <f>IF(B450="", "", "Not applicable")</f>
        <v>0</v>
      </c>
    </row>
    <row r="451" spans="1:18">
      <c r="A451">
        <f>IF(COUNTBLANK(B451:R451)&lt;&gt;COLUMNS(B451:R451),450,"")</f>
        <v>0</v>
      </c>
      <c r="C451" s="1">
        <f>IF(B451="", "", "Host-associated")</f>
        <v>0</v>
      </c>
      <c r="G451" s="1">
        <f>IF(B451="", "", "host-associated")</f>
        <v>0</v>
      </c>
      <c r="I451" s="1">
        <f>IF(B451="", "", "years")</f>
        <v>0</v>
      </c>
      <c r="L451" s="1">
        <f>IF(B451="", "", "cm")</f>
        <v>0</v>
      </c>
      <c r="P451" s="1">
        <f>IF(B451="", "", "kg")</f>
        <v>0</v>
      </c>
      <c r="R451" s="1">
        <f>IF(B451="", "", "Not applicable")</f>
        <v>0</v>
      </c>
    </row>
    <row r="452" spans="1:18">
      <c r="A452">
        <f>IF(COUNTBLANK(B452:R452)&lt;&gt;COLUMNS(B452:R452),451,"")</f>
        <v>0</v>
      </c>
      <c r="C452" s="1">
        <f>IF(B452="", "", "Host-associated")</f>
        <v>0</v>
      </c>
      <c r="G452" s="1">
        <f>IF(B452="", "", "host-associated")</f>
        <v>0</v>
      </c>
      <c r="I452" s="1">
        <f>IF(B452="", "", "years")</f>
        <v>0</v>
      </c>
      <c r="L452" s="1">
        <f>IF(B452="", "", "cm")</f>
        <v>0</v>
      </c>
      <c r="P452" s="1">
        <f>IF(B452="", "", "kg")</f>
        <v>0</v>
      </c>
      <c r="R452" s="1">
        <f>IF(B452="", "", "Not applicable")</f>
        <v>0</v>
      </c>
    </row>
    <row r="453" spans="1:18">
      <c r="A453">
        <f>IF(COUNTBLANK(B453:R453)&lt;&gt;COLUMNS(B453:R453),452,"")</f>
        <v>0</v>
      </c>
      <c r="C453" s="1">
        <f>IF(B453="", "", "Host-associated")</f>
        <v>0</v>
      </c>
      <c r="G453" s="1">
        <f>IF(B453="", "", "host-associated")</f>
        <v>0</v>
      </c>
      <c r="I453" s="1">
        <f>IF(B453="", "", "years")</f>
        <v>0</v>
      </c>
      <c r="L453" s="1">
        <f>IF(B453="", "", "cm")</f>
        <v>0</v>
      </c>
      <c r="P453" s="1">
        <f>IF(B453="", "", "kg")</f>
        <v>0</v>
      </c>
      <c r="R453" s="1">
        <f>IF(B453="", "", "Not applicable")</f>
        <v>0</v>
      </c>
    </row>
    <row r="454" spans="1:18">
      <c r="A454">
        <f>IF(COUNTBLANK(B454:R454)&lt;&gt;COLUMNS(B454:R454),453,"")</f>
        <v>0</v>
      </c>
      <c r="C454" s="1">
        <f>IF(B454="", "", "Host-associated")</f>
        <v>0</v>
      </c>
      <c r="G454" s="1">
        <f>IF(B454="", "", "host-associated")</f>
        <v>0</v>
      </c>
      <c r="I454" s="1">
        <f>IF(B454="", "", "years")</f>
        <v>0</v>
      </c>
      <c r="L454" s="1">
        <f>IF(B454="", "", "cm")</f>
        <v>0</v>
      </c>
      <c r="P454" s="1">
        <f>IF(B454="", "", "kg")</f>
        <v>0</v>
      </c>
      <c r="R454" s="1">
        <f>IF(B454="", "", "Not applicable")</f>
        <v>0</v>
      </c>
    </row>
    <row r="455" spans="1:18">
      <c r="A455">
        <f>IF(COUNTBLANK(B455:R455)&lt;&gt;COLUMNS(B455:R455),454,"")</f>
        <v>0</v>
      </c>
      <c r="C455" s="1">
        <f>IF(B455="", "", "Host-associated")</f>
        <v>0</v>
      </c>
      <c r="G455" s="1">
        <f>IF(B455="", "", "host-associated")</f>
        <v>0</v>
      </c>
      <c r="I455" s="1">
        <f>IF(B455="", "", "years")</f>
        <v>0</v>
      </c>
      <c r="L455" s="1">
        <f>IF(B455="", "", "cm")</f>
        <v>0</v>
      </c>
      <c r="P455" s="1">
        <f>IF(B455="", "", "kg")</f>
        <v>0</v>
      </c>
      <c r="R455" s="1">
        <f>IF(B455="", "", "Not applicable")</f>
        <v>0</v>
      </c>
    </row>
    <row r="456" spans="1:18">
      <c r="A456">
        <f>IF(COUNTBLANK(B456:R456)&lt;&gt;COLUMNS(B456:R456),455,"")</f>
        <v>0</v>
      </c>
      <c r="C456" s="1">
        <f>IF(B456="", "", "Host-associated")</f>
        <v>0</v>
      </c>
      <c r="G456" s="1">
        <f>IF(B456="", "", "host-associated")</f>
        <v>0</v>
      </c>
      <c r="I456" s="1">
        <f>IF(B456="", "", "years")</f>
        <v>0</v>
      </c>
      <c r="L456" s="1">
        <f>IF(B456="", "", "cm")</f>
        <v>0</v>
      </c>
      <c r="P456" s="1">
        <f>IF(B456="", "", "kg")</f>
        <v>0</v>
      </c>
      <c r="R456" s="1">
        <f>IF(B456="", "", "Not applicable")</f>
        <v>0</v>
      </c>
    </row>
    <row r="457" spans="1:18">
      <c r="A457">
        <f>IF(COUNTBLANK(B457:R457)&lt;&gt;COLUMNS(B457:R457),456,"")</f>
        <v>0</v>
      </c>
      <c r="C457" s="1">
        <f>IF(B457="", "", "Host-associated")</f>
        <v>0</v>
      </c>
      <c r="G457" s="1">
        <f>IF(B457="", "", "host-associated")</f>
        <v>0</v>
      </c>
      <c r="I457" s="1">
        <f>IF(B457="", "", "years")</f>
        <v>0</v>
      </c>
      <c r="L457" s="1">
        <f>IF(B457="", "", "cm")</f>
        <v>0</v>
      </c>
      <c r="P457" s="1">
        <f>IF(B457="", "", "kg")</f>
        <v>0</v>
      </c>
      <c r="R457" s="1">
        <f>IF(B457="", "", "Not applicable")</f>
        <v>0</v>
      </c>
    </row>
    <row r="458" spans="1:18">
      <c r="A458">
        <f>IF(COUNTBLANK(B458:R458)&lt;&gt;COLUMNS(B458:R458),457,"")</f>
        <v>0</v>
      </c>
      <c r="C458" s="1">
        <f>IF(B458="", "", "Host-associated")</f>
        <v>0</v>
      </c>
      <c r="G458" s="1">
        <f>IF(B458="", "", "host-associated")</f>
        <v>0</v>
      </c>
      <c r="I458" s="1">
        <f>IF(B458="", "", "years")</f>
        <v>0</v>
      </c>
      <c r="L458" s="1">
        <f>IF(B458="", "", "cm")</f>
        <v>0</v>
      </c>
      <c r="P458" s="1">
        <f>IF(B458="", "", "kg")</f>
        <v>0</v>
      </c>
      <c r="R458" s="1">
        <f>IF(B458="", "", "Not applicable")</f>
        <v>0</v>
      </c>
    </row>
    <row r="459" spans="1:18">
      <c r="A459">
        <f>IF(COUNTBLANK(B459:R459)&lt;&gt;COLUMNS(B459:R459),458,"")</f>
        <v>0</v>
      </c>
      <c r="C459" s="1">
        <f>IF(B459="", "", "Host-associated")</f>
        <v>0</v>
      </c>
      <c r="G459" s="1">
        <f>IF(B459="", "", "host-associated")</f>
        <v>0</v>
      </c>
      <c r="I459" s="1">
        <f>IF(B459="", "", "years")</f>
        <v>0</v>
      </c>
      <c r="L459" s="1">
        <f>IF(B459="", "", "cm")</f>
        <v>0</v>
      </c>
      <c r="P459" s="1">
        <f>IF(B459="", "", "kg")</f>
        <v>0</v>
      </c>
      <c r="R459" s="1">
        <f>IF(B459="", "", "Not applicable")</f>
        <v>0</v>
      </c>
    </row>
    <row r="460" spans="1:18">
      <c r="A460">
        <f>IF(COUNTBLANK(B460:R460)&lt;&gt;COLUMNS(B460:R460),459,"")</f>
        <v>0</v>
      </c>
      <c r="C460" s="1">
        <f>IF(B460="", "", "Host-associated")</f>
        <v>0</v>
      </c>
      <c r="G460" s="1">
        <f>IF(B460="", "", "host-associated")</f>
        <v>0</v>
      </c>
      <c r="I460" s="1">
        <f>IF(B460="", "", "years")</f>
        <v>0</v>
      </c>
      <c r="L460" s="1">
        <f>IF(B460="", "", "cm")</f>
        <v>0</v>
      </c>
      <c r="P460" s="1">
        <f>IF(B460="", "", "kg")</f>
        <v>0</v>
      </c>
      <c r="R460" s="1">
        <f>IF(B460="", "", "Not applicable")</f>
        <v>0</v>
      </c>
    </row>
    <row r="461" spans="1:18">
      <c r="A461">
        <f>IF(COUNTBLANK(B461:R461)&lt;&gt;COLUMNS(B461:R461),460,"")</f>
        <v>0</v>
      </c>
      <c r="C461" s="1">
        <f>IF(B461="", "", "Host-associated")</f>
        <v>0</v>
      </c>
      <c r="G461" s="1">
        <f>IF(B461="", "", "host-associated")</f>
        <v>0</v>
      </c>
      <c r="I461" s="1">
        <f>IF(B461="", "", "years")</f>
        <v>0</v>
      </c>
      <c r="L461" s="1">
        <f>IF(B461="", "", "cm")</f>
        <v>0</v>
      </c>
      <c r="P461" s="1">
        <f>IF(B461="", "", "kg")</f>
        <v>0</v>
      </c>
      <c r="R461" s="1">
        <f>IF(B461="", "", "Not applicable")</f>
        <v>0</v>
      </c>
    </row>
    <row r="462" spans="1:18">
      <c r="A462">
        <f>IF(COUNTBLANK(B462:R462)&lt;&gt;COLUMNS(B462:R462),461,"")</f>
        <v>0</v>
      </c>
      <c r="C462" s="1">
        <f>IF(B462="", "", "Host-associated")</f>
        <v>0</v>
      </c>
      <c r="G462" s="1">
        <f>IF(B462="", "", "host-associated")</f>
        <v>0</v>
      </c>
      <c r="I462" s="1">
        <f>IF(B462="", "", "years")</f>
        <v>0</v>
      </c>
      <c r="L462" s="1">
        <f>IF(B462="", "", "cm")</f>
        <v>0</v>
      </c>
      <c r="P462" s="1">
        <f>IF(B462="", "", "kg")</f>
        <v>0</v>
      </c>
      <c r="R462" s="1">
        <f>IF(B462="", "", "Not applicable")</f>
        <v>0</v>
      </c>
    </row>
    <row r="463" spans="1:18">
      <c r="A463">
        <f>IF(COUNTBLANK(B463:R463)&lt;&gt;COLUMNS(B463:R463),462,"")</f>
        <v>0</v>
      </c>
      <c r="C463" s="1">
        <f>IF(B463="", "", "Host-associated")</f>
        <v>0</v>
      </c>
      <c r="G463" s="1">
        <f>IF(B463="", "", "host-associated")</f>
        <v>0</v>
      </c>
      <c r="I463" s="1">
        <f>IF(B463="", "", "years")</f>
        <v>0</v>
      </c>
      <c r="L463" s="1">
        <f>IF(B463="", "", "cm")</f>
        <v>0</v>
      </c>
      <c r="P463" s="1">
        <f>IF(B463="", "", "kg")</f>
        <v>0</v>
      </c>
      <c r="R463" s="1">
        <f>IF(B463="", "", "Not applicable")</f>
        <v>0</v>
      </c>
    </row>
    <row r="464" spans="1:18">
      <c r="A464">
        <f>IF(COUNTBLANK(B464:R464)&lt;&gt;COLUMNS(B464:R464),463,"")</f>
        <v>0</v>
      </c>
      <c r="C464" s="1">
        <f>IF(B464="", "", "Host-associated")</f>
        <v>0</v>
      </c>
      <c r="G464" s="1">
        <f>IF(B464="", "", "host-associated")</f>
        <v>0</v>
      </c>
      <c r="I464" s="1">
        <f>IF(B464="", "", "years")</f>
        <v>0</v>
      </c>
      <c r="L464" s="1">
        <f>IF(B464="", "", "cm")</f>
        <v>0</v>
      </c>
      <c r="P464" s="1">
        <f>IF(B464="", "", "kg")</f>
        <v>0</v>
      </c>
      <c r="R464" s="1">
        <f>IF(B464="", "", "Not applicable")</f>
        <v>0</v>
      </c>
    </row>
    <row r="465" spans="1:18">
      <c r="A465">
        <f>IF(COUNTBLANK(B465:R465)&lt;&gt;COLUMNS(B465:R465),464,"")</f>
        <v>0</v>
      </c>
      <c r="C465" s="1">
        <f>IF(B465="", "", "Host-associated")</f>
        <v>0</v>
      </c>
      <c r="G465" s="1">
        <f>IF(B465="", "", "host-associated")</f>
        <v>0</v>
      </c>
      <c r="I465" s="1">
        <f>IF(B465="", "", "years")</f>
        <v>0</v>
      </c>
      <c r="L465" s="1">
        <f>IF(B465="", "", "cm")</f>
        <v>0</v>
      </c>
      <c r="P465" s="1">
        <f>IF(B465="", "", "kg")</f>
        <v>0</v>
      </c>
      <c r="R465" s="1">
        <f>IF(B465="", "", "Not applicable")</f>
        <v>0</v>
      </c>
    </row>
    <row r="466" spans="1:18">
      <c r="A466">
        <f>IF(COUNTBLANK(B466:R466)&lt;&gt;COLUMNS(B466:R466),465,"")</f>
        <v>0</v>
      </c>
      <c r="C466" s="1">
        <f>IF(B466="", "", "Host-associated")</f>
        <v>0</v>
      </c>
      <c r="G466" s="1">
        <f>IF(B466="", "", "host-associated")</f>
        <v>0</v>
      </c>
      <c r="I466" s="1">
        <f>IF(B466="", "", "years")</f>
        <v>0</v>
      </c>
      <c r="L466" s="1">
        <f>IF(B466="", "", "cm")</f>
        <v>0</v>
      </c>
      <c r="P466" s="1">
        <f>IF(B466="", "", "kg")</f>
        <v>0</v>
      </c>
      <c r="R466" s="1">
        <f>IF(B466="", "", "Not applicable")</f>
        <v>0</v>
      </c>
    </row>
    <row r="467" spans="1:18">
      <c r="A467">
        <f>IF(COUNTBLANK(B467:R467)&lt;&gt;COLUMNS(B467:R467),466,"")</f>
        <v>0</v>
      </c>
      <c r="C467" s="1">
        <f>IF(B467="", "", "Host-associated")</f>
        <v>0</v>
      </c>
      <c r="G467" s="1">
        <f>IF(B467="", "", "host-associated")</f>
        <v>0</v>
      </c>
      <c r="I467" s="1">
        <f>IF(B467="", "", "years")</f>
        <v>0</v>
      </c>
      <c r="L467" s="1">
        <f>IF(B467="", "", "cm")</f>
        <v>0</v>
      </c>
      <c r="P467" s="1">
        <f>IF(B467="", "", "kg")</f>
        <v>0</v>
      </c>
      <c r="R467" s="1">
        <f>IF(B467="", "", "Not applicable")</f>
        <v>0</v>
      </c>
    </row>
    <row r="468" spans="1:18">
      <c r="A468">
        <f>IF(COUNTBLANK(B468:R468)&lt;&gt;COLUMNS(B468:R468),467,"")</f>
        <v>0</v>
      </c>
      <c r="C468" s="1">
        <f>IF(B468="", "", "Host-associated")</f>
        <v>0</v>
      </c>
      <c r="G468" s="1">
        <f>IF(B468="", "", "host-associated")</f>
        <v>0</v>
      </c>
      <c r="I468" s="1">
        <f>IF(B468="", "", "years")</f>
        <v>0</v>
      </c>
      <c r="L468" s="1">
        <f>IF(B468="", "", "cm")</f>
        <v>0</v>
      </c>
      <c r="P468" s="1">
        <f>IF(B468="", "", "kg")</f>
        <v>0</v>
      </c>
      <c r="R468" s="1">
        <f>IF(B468="", "", "Not applicable")</f>
        <v>0</v>
      </c>
    </row>
    <row r="469" spans="1:18">
      <c r="A469">
        <f>IF(COUNTBLANK(B469:R469)&lt;&gt;COLUMNS(B469:R469),468,"")</f>
        <v>0</v>
      </c>
      <c r="C469" s="1">
        <f>IF(B469="", "", "Host-associated")</f>
        <v>0</v>
      </c>
      <c r="G469" s="1">
        <f>IF(B469="", "", "host-associated")</f>
        <v>0</v>
      </c>
      <c r="I469" s="1">
        <f>IF(B469="", "", "years")</f>
        <v>0</v>
      </c>
      <c r="L469" s="1">
        <f>IF(B469="", "", "cm")</f>
        <v>0</v>
      </c>
      <c r="P469" s="1">
        <f>IF(B469="", "", "kg")</f>
        <v>0</v>
      </c>
      <c r="R469" s="1">
        <f>IF(B469="", "", "Not applicable")</f>
        <v>0</v>
      </c>
    </row>
    <row r="470" spans="1:18">
      <c r="A470">
        <f>IF(COUNTBLANK(B470:R470)&lt;&gt;COLUMNS(B470:R470),469,"")</f>
        <v>0</v>
      </c>
      <c r="C470" s="1">
        <f>IF(B470="", "", "Host-associated")</f>
        <v>0</v>
      </c>
      <c r="G470" s="1">
        <f>IF(B470="", "", "host-associated")</f>
        <v>0</v>
      </c>
      <c r="I470" s="1">
        <f>IF(B470="", "", "years")</f>
        <v>0</v>
      </c>
      <c r="L470" s="1">
        <f>IF(B470="", "", "cm")</f>
        <v>0</v>
      </c>
      <c r="P470" s="1">
        <f>IF(B470="", "", "kg")</f>
        <v>0</v>
      </c>
      <c r="R470" s="1">
        <f>IF(B470="", "", "Not applicable")</f>
        <v>0</v>
      </c>
    </row>
    <row r="471" spans="1:18">
      <c r="A471">
        <f>IF(COUNTBLANK(B471:R471)&lt;&gt;COLUMNS(B471:R471),470,"")</f>
        <v>0</v>
      </c>
      <c r="C471" s="1">
        <f>IF(B471="", "", "Host-associated")</f>
        <v>0</v>
      </c>
      <c r="G471" s="1">
        <f>IF(B471="", "", "host-associated")</f>
        <v>0</v>
      </c>
      <c r="I471" s="1">
        <f>IF(B471="", "", "years")</f>
        <v>0</v>
      </c>
      <c r="L471" s="1">
        <f>IF(B471="", "", "cm")</f>
        <v>0</v>
      </c>
      <c r="P471" s="1">
        <f>IF(B471="", "", "kg")</f>
        <v>0</v>
      </c>
      <c r="R471" s="1">
        <f>IF(B471="", "", "Not applicable")</f>
        <v>0</v>
      </c>
    </row>
    <row r="472" spans="1:18">
      <c r="A472">
        <f>IF(COUNTBLANK(B472:R472)&lt;&gt;COLUMNS(B472:R472),471,"")</f>
        <v>0</v>
      </c>
      <c r="C472" s="1">
        <f>IF(B472="", "", "Host-associated")</f>
        <v>0</v>
      </c>
      <c r="G472" s="1">
        <f>IF(B472="", "", "host-associated")</f>
        <v>0</v>
      </c>
      <c r="I472" s="1">
        <f>IF(B472="", "", "years")</f>
        <v>0</v>
      </c>
      <c r="L472" s="1">
        <f>IF(B472="", "", "cm")</f>
        <v>0</v>
      </c>
      <c r="P472" s="1">
        <f>IF(B472="", "", "kg")</f>
        <v>0</v>
      </c>
      <c r="R472" s="1">
        <f>IF(B472="", "", "Not applicable")</f>
        <v>0</v>
      </c>
    </row>
    <row r="473" spans="1:18">
      <c r="A473">
        <f>IF(COUNTBLANK(B473:R473)&lt;&gt;COLUMNS(B473:R473),472,"")</f>
        <v>0</v>
      </c>
      <c r="C473" s="1">
        <f>IF(B473="", "", "Host-associated")</f>
        <v>0</v>
      </c>
      <c r="G473" s="1">
        <f>IF(B473="", "", "host-associated")</f>
        <v>0</v>
      </c>
      <c r="I473" s="1">
        <f>IF(B473="", "", "years")</f>
        <v>0</v>
      </c>
      <c r="L473" s="1">
        <f>IF(B473="", "", "cm")</f>
        <v>0</v>
      </c>
      <c r="P473" s="1">
        <f>IF(B473="", "", "kg")</f>
        <v>0</v>
      </c>
      <c r="R473" s="1">
        <f>IF(B473="", "", "Not applicable")</f>
        <v>0</v>
      </c>
    </row>
    <row r="474" spans="1:18">
      <c r="A474">
        <f>IF(COUNTBLANK(B474:R474)&lt;&gt;COLUMNS(B474:R474),473,"")</f>
        <v>0</v>
      </c>
      <c r="C474" s="1">
        <f>IF(B474="", "", "Host-associated")</f>
        <v>0</v>
      </c>
      <c r="G474" s="1">
        <f>IF(B474="", "", "host-associated")</f>
        <v>0</v>
      </c>
      <c r="I474" s="1">
        <f>IF(B474="", "", "years")</f>
        <v>0</v>
      </c>
      <c r="L474" s="1">
        <f>IF(B474="", "", "cm")</f>
        <v>0</v>
      </c>
      <c r="P474" s="1">
        <f>IF(B474="", "", "kg")</f>
        <v>0</v>
      </c>
      <c r="R474" s="1">
        <f>IF(B474="", "", "Not applicable")</f>
        <v>0</v>
      </c>
    </row>
    <row r="475" spans="1:18">
      <c r="A475">
        <f>IF(COUNTBLANK(B475:R475)&lt;&gt;COLUMNS(B475:R475),474,"")</f>
        <v>0</v>
      </c>
      <c r="C475" s="1">
        <f>IF(B475="", "", "Host-associated")</f>
        <v>0</v>
      </c>
      <c r="G475" s="1">
        <f>IF(B475="", "", "host-associated")</f>
        <v>0</v>
      </c>
      <c r="I475" s="1">
        <f>IF(B475="", "", "years")</f>
        <v>0</v>
      </c>
      <c r="L475" s="1">
        <f>IF(B475="", "", "cm")</f>
        <v>0</v>
      </c>
      <c r="P475" s="1">
        <f>IF(B475="", "", "kg")</f>
        <v>0</v>
      </c>
      <c r="R475" s="1">
        <f>IF(B475="", "", "Not applicable")</f>
        <v>0</v>
      </c>
    </row>
    <row r="476" spans="1:18">
      <c r="A476">
        <f>IF(COUNTBLANK(B476:R476)&lt;&gt;COLUMNS(B476:R476),475,"")</f>
        <v>0</v>
      </c>
      <c r="C476" s="1">
        <f>IF(B476="", "", "Host-associated")</f>
        <v>0</v>
      </c>
      <c r="G476" s="1">
        <f>IF(B476="", "", "host-associated")</f>
        <v>0</v>
      </c>
      <c r="I476" s="1">
        <f>IF(B476="", "", "years")</f>
        <v>0</v>
      </c>
      <c r="L476" s="1">
        <f>IF(B476="", "", "cm")</f>
        <v>0</v>
      </c>
      <c r="P476" s="1">
        <f>IF(B476="", "", "kg")</f>
        <v>0</v>
      </c>
      <c r="R476" s="1">
        <f>IF(B476="", "", "Not applicable")</f>
        <v>0</v>
      </c>
    </row>
    <row r="477" spans="1:18">
      <c r="A477">
        <f>IF(COUNTBLANK(B477:R477)&lt;&gt;COLUMNS(B477:R477),476,"")</f>
        <v>0</v>
      </c>
      <c r="C477" s="1">
        <f>IF(B477="", "", "Host-associated")</f>
        <v>0</v>
      </c>
      <c r="G477" s="1">
        <f>IF(B477="", "", "host-associated")</f>
        <v>0</v>
      </c>
      <c r="I477" s="1">
        <f>IF(B477="", "", "years")</f>
        <v>0</v>
      </c>
      <c r="L477" s="1">
        <f>IF(B477="", "", "cm")</f>
        <v>0</v>
      </c>
      <c r="P477" s="1">
        <f>IF(B477="", "", "kg")</f>
        <v>0</v>
      </c>
      <c r="R477" s="1">
        <f>IF(B477="", "", "Not applicable")</f>
        <v>0</v>
      </c>
    </row>
    <row r="478" spans="1:18">
      <c r="A478">
        <f>IF(COUNTBLANK(B478:R478)&lt;&gt;COLUMNS(B478:R478),477,"")</f>
        <v>0</v>
      </c>
      <c r="C478" s="1">
        <f>IF(B478="", "", "Host-associated")</f>
        <v>0</v>
      </c>
      <c r="G478" s="1">
        <f>IF(B478="", "", "host-associated")</f>
        <v>0</v>
      </c>
      <c r="I478" s="1">
        <f>IF(B478="", "", "years")</f>
        <v>0</v>
      </c>
      <c r="L478" s="1">
        <f>IF(B478="", "", "cm")</f>
        <v>0</v>
      </c>
      <c r="P478" s="1">
        <f>IF(B478="", "", "kg")</f>
        <v>0</v>
      </c>
      <c r="R478" s="1">
        <f>IF(B478="", "", "Not applicable")</f>
        <v>0</v>
      </c>
    </row>
    <row r="479" spans="1:18">
      <c r="A479">
        <f>IF(COUNTBLANK(B479:R479)&lt;&gt;COLUMNS(B479:R479),478,"")</f>
        <v>0</v>
      </c>
      <c r="C479" s="1">
        <f>IF(B479="", "", "Host-associated")</f>
        <v>0</v>
      </c>
      <c r="G479" s="1">
        <f>IF(B479="", "", "host-associated")</f>
        <v>0</v>
      </c>
      <c r="I479" s="1">
        <f>IF(B479="", "", "years")</f>
        <v>0</v>
      </c>
      <c r="L479" s="1">
        <f>IF(B479="", "", "cm")</f>
        <v>0</v>
      </c>
      <c r="P479" s="1">
        <f>IF(B479="", "", "kg")</f>
        <v>0</v>
      </c>
      <c r="R479" s="1">
        <f>IF(B479="", "", "Not applicable")</f>
        <v>0</v>
      </c>
    </row>
    <row r="480" spans="1:18">
      <c r="A480">
        <f>IF(COUNTBLANK(B480:R480)&lt;&gt;COLUMNS(B480:R480),479,"")</f>
        <v>0</v>
      </c>
      <c r="C480" s="1">
        <f>IF(B480="", "", "Host-associated")</f>
        <v>0</v>
      </c>
      <c r="G480" s="1">
        <f>IF(B480="", "", "host-associated")</f>
        <v>0</v>
      </c>
      <c r="I480" s="1">
        <f>IF(B480="", "", "years")</f>
        <v>0</v>
      </c>
      <c r="L480" s="1">
        <f>IF(B480="", "", "cm")</f>
        <v>0</v>
      </c>
      <c r="P480" s="1">
        <f>IF(B480="", "", "kg")</f>
        <v>0</v>
      </c>
      <c r="R480" s="1">
        <f>IF(B480="", "", "Not applicable")</f>
        <v>0</v>
      </c>
    </row>
    <row r="481" spans="1:18">
      <c r="A481">
        <f>IF(COUNTBLANK(B481:R481)&lt;&gt;COLUMNS(B481:R481),480,"")</f>
        <v>0</v>
      </c>
      <c r="C481" s="1">
        <f>IF(B481="", "", "Host-associated")</f>
        <v>0</v>
      </c>
      <c r="G481" s="1">
        <f>IF(B481="", "", "host-associated")</f>
        <v>0</v>
      </c>
      <c r="I481" s="1">
        <f>IF(B481="", "", "years")</f>
        <v>0</v>
      </c>
      <c r="L481" s="1">
        <f>IF(B481="", "", "cm")</f>
        <v>0</v>
      </c>
      <c r="P481" s="1">
        <f>IF(B481="", "", "kg")</f>
        <v>0</v>
      </c>
      <c r="R481" s="1">
        <f>IF(B481="", "", "Not applicable")</f>
        <v>0</v>
      </c>
    </row>
    <row r="482" spans="1:18">
      <c r="A482">
        <f>IF(COUNTBLANK(B482:R482)&lt;&gt;COLUMNS(B482:R482),481,"")</f>
        <v>0</v>
      </c>
      <c r="C482" s="1">
        <f>IF(B482="", "", "Host-associated")</f>
        <v>0</v>
      </c>
      <c r="G482" s="1">
        <f>IF(B482="", "", "host-associated")</f>
        <v>0</v>
      </c>
      <c r="I482" s="1">
        <f>IF(B482="", "", "years")</f>
        <v>0</v>
      </c>
      <c r="L482" s="1">
        <f>IF(B482="", "", "cm")</f>
        <v>0</v>
      </c>
      <c r="P482" s="1">
        <f>IF(B482="", "", "kg")</f>
        <v>0</v>
      </c>
      <c r="R482" s="1">
        <f>IF(B482="", "", "Not applicable")</f>
        <v>0</v>
      </c>
    </row>
    <row r="483" spans="1:18">
      <c r="A483">
        <f>IF(COUNTBLANK(B483:R483)&lt;&gt;COLUMNS(B483:R483),482,"")</f>
        <v>0</v>
      </c>
      <c r="C483" s="1">
        <f>IF(B483="", "", "Host-associated")</f>
        <v>0</v>
      </c>
      <c r="G483" s="1">
        <f>IF(B483="", "", "host-associated")</f>
        <v>0</v>
      </c>
      <c r="I483" s="1">
        <f>IF(B483="", "", "years")</f>
        <v>0</v>
      </c>
      <c r="L483" s="1">
        <f>IF(B483="", "", "cm")</f>
        <v>0</v>
      </c>
      <c r="P483" s="1">
        <f>IF(B483="", "", "kg")</f>
        <v>0</v>
      </c>
      <c r="R483" s="1">
        <f>IF(B483="", "", "Not applicable")</f>
        <v>0</v>
      </c>
    </row>
    <row r="484" spans="1:18">
      <c r="A484">
        <f>IF(COUNTBLANK(B484:R484)&lt;&gt;COLUMNS(B484:R484),483,"")</f>
        <v>0</v>
      </c>
      <c r="C484" s="1">
        <f>IF(B484="", "", "Host-associated")</f>
        <v>0</v>
      </c>
      <c r="G484" s="1">
        <f>IF(B484="", "", "host-associated")</f>
        <v>0</v>
      </c>
      <c r="I484" s="1">
        <f>IF(B484="", "", "years")</f>
        <v>0</v>
      </c>
      <c r="L484" s="1">
        <f>IF(B484="", "", "cm")</f>
        <v>0</v>
      </c>
      <c r="P484" s="1">
        <f>IF(B484="", "", "kg")</f>
        <v>0</v>
      </c>
      <c r="R484" s="1">
        <f>IF(B484="", "", "Not applicable")</f>
        <v>0</v>
      </c>
    </row>
    <row r="485" spans="1:18">
      <c r="A485">
        <f>IF(COUNTBLANK(B485:R485)&lt;&gt;COLUMNS(B485:R485),484,"")</f>
        <v>0</v>
      </c>
      <c r="C485" s="1">
        <f>IF(B485="", "", "Host-associated")</f>
        <v>0</v>
      </c>
      <c r="G485" s="1">
        <f>IF(B485="", "", "host-associated")</f>
        <v>0</v>
      </c>
      <c r="I485" s="1">
        <f>IF(B485="", "", "years")</f>
        <v>0</v>
      </c>
      <c r="L485" s="1">
        <f>IF(B485="", "", "cm")</f>
        <v>0</v>
      </c>
      <c r="P485" s="1">
        <f>IF(B485="", "", "kg")</f>
        <v>0</v>
      </c>
      <c r="R485" s="1">
        <f>IF(B485="", "", "Not applicable")</f>
        <v>0</v>
      </c>
    </row>
    <row r="486" spans="1:18">
      <c r="A486">
        <f>IF(COUNTBLANK(B486:R486)&lt;&gt;COLUMNS(B486:R486),485,"")</f>
        <v>0</v>
      </c>
      <c r="C486" s="1">
        <f>IF(B486="", "", "Host-associated")</f>
        <v>0</v>
      </c>
      <c r="G486" s="1">
        <f>IF(B486="", "", "host-associated")</f>
        <v>0</v>
      </c>
      <c r="I486" s="1">
        <f>IF(B486="", "", "years")</f>
        <v>0</v>
      </c>
      <c r="L486" s="1">
        <f>IF(B486="", "", "cm")</f>
        <v>0</v>
      </c>
      <c r="P486" s="1">
        <f>IF(B486="", "", "kg")</f>
        <v>0</v>
      </c>
      <c r="R486" s="1">
        <f>IF(B486="", "", "Not applicable")</f>
        <v>0</v>
      </c>
    </row>
    <row r="487" spans="1:18">
      <c r="A487">
        <f>IF(COUNTBLANK(B487:R487)&lt;&gt;COLUMNS(B487:R487),486,"")</f>
        <v>0</v>
      </c>
      <c r="C487" s="1">
        <f>IF(B487="", "", "Host-associated")</f>
        <v>0</v>
      </c>
      <c r="G487" s="1">
        <f>IF(B487="", "", "host-associated")</f>
        <v>0</v>
      </c>
      <c r="I487" s="1">
        <f>IF(B487="", "", "years")</f>
        <v>0</v>
      </c>
      <c r="L487" s="1">
        <f>IF(B487="", "", "cm")</f>
        <v>0</v>
      </c>
      <c r="P487" s="1">
        <f>IF(B487="", "", "kg")</f>
        <v>0</v>
      </c>
      <c r="R487" s="1">
        <f>IF(B487="", "", "Not applicable")</f>
        <v>0</v>
      </c>
    </row>
    <row r="488" spans="1:18">
      <c r="A488">
        <f>IF(COUNTBLANK(B488:R488)&lt;&gt;COLUMNS(B488:R488),487,"")</f>
        <v>0</v>
      </c>
      <c r="C488" s="1">
        <f>IF(B488="", "", "Host-associated")</f>
        <v>0</v>
      </c>
      <c r="G488" s="1">
        <f>IF(B488="", "", "host-associated")</f>
        <v>0</v>
      </c>
      <c r="I488" s="1">
        <f>IF(B488="", "", "years")</f>
        <v>0</v>
      </c>
      <c r="L488" s="1">
        <f>IF(B488="", "", "cm")</f>
        <v>0</v>
      </c>
      <c r="P488" s="1">
        <f>IF(B488="", "", "kg")</f>
        <v>0</v>
      </c>
      <c r="R488" s="1">
        <f>IF(B488="", "", "Not applicable")</f>
        <v>0</v>
      </c>
    </row>
    <row r="489" spans="1:18">
      <c r="A489">
        <f>IF(COUNTBLANK(B489:R489)&lt;&gt;COLUMNS(B489:R489),488,"")</f>
        <v>0</v>
      </c>
      <c r="C489" s="1">
        <f>IF(B489="", "", "Host-associated")</f>
        <v>0</v>
      </c>
      <c r="G489" s="1">
        <f>IF(B489="", "", "host-associated")</f>
        <v>0</v>
      </c>
      <c r="I489" s="1">
        <f>IF(B489="", "", "years")</f>
        <v>0</v>
      </c>
      <c r="L489" s="1">
        <f>IF(B489="", "", "cm")</f>
        <v>0</v>
      </c>
      <c r="P489" s="1">
        <f>IF(B489="", "", "kg")</f>
        <v>0</v>
      </c>
      <c r="R489" s="1">
        <f>IF(B489="", "", "Not applicable")</f>
        <v>0</v>
      </c>
    </row>
    <row r="490" spans="1:18">
      <c r="A490">
        <f>IF(COUNTBLANK(B490:R490)&lt;&gt;COLUMNS(B490:R490),489,"")</f>
        <v>0</v>
      </c>
      <c r="C490" s="1">
        <f>IF(B490="", "", "Host-associated")</f>
        <v>0</v>
      </c>
      <c r="G490" s="1">
        <f>IF(B490="", "", "host-associated")</f>
        <v>0</v>
      </c>
      <c r="I490" s="1">
        <f>IF(B490="", "", "years")</f>
        <v>0</v>
      </c>
      <c r="L490" s="1">
        <f>IF(B490="", "", "cm")</f>
        <v>0</v>
      </c>
      <c r="P490" s="1">
        <f>IF(B490="", "", "kg")</f>
        <v>0</v>
      </c>
      <c r="R490" s="1">
        <f>IF(B490="", "", "Not applicable")</f>
        <v>0</v>
      </c>
    </row>
    <row r="491" spans="1:18">
      <c r="A491">
        <f>IF(COUNTBLANK(B491:R491)&lt;&gt;COLUMNS(B491:R491),490,"")</f>
        <v>0</v>
      </c>
      <c r="C491" s="1">
        <f>IF(B491="", "", "Host-associated")</f>
        <v>0</v>
      </c>
      <c r="G491" s="1">
        <f>IF(B491="", "", "host-associated")</f>
        <v>0</v>
      </c>
      <c r="I491" s="1">
        <f>IF(B491="", "", "years")</f>
        <v>0</v>
      </c>
      <c r="L491" s="1">
        <f>IF(B491="", "", "cm")</f>
        <v>0</v>
      </c>
      <c r="P491" s="1">
        <f>IF(B491="", "", "kg")</f>
        <v>0</v>
      </c>
      <c r="R491" s="1">
        <f>IF(B491="", "", "Not applicable")</f>
        <v>0</v>
      </c>
    </row>
    <row r="492" spans="1:18">
      <c r="A492">
        <f>IF(COUNTBLANK(B492:R492)&lt;&gt;COLUMNS(B492:R492),491,"")</f>
        <v>0</v>
      </c>
      <c r="C492" s="1">
        <f>IF(B492="", "", "Host-associated")</f>
        <v>0</v>
      </c>
      <c r="G492" s="1">
        <f>IF(B492="", "", "host-associated")</f>
        <v>0</v>
      </c>
      <c r="I492" s="1">
        <f>IF(B492="", "", "years")</f>
        <v>0</v>
      </c>
      <c r="L492" s="1">
        <f>IF(B492="", "", "cm")</f>
        <v>0</v>
      </c>
      <c r="P492" s="1">
        <f>IF(B492="", "", "kg")</f>
        <v>0</v>
      </c>
      <c r="R492" s="1">
        <f>IF(B492="", "", "Not applicable")</f>
        <v>0</v>
      </c>
    </row>
    <row r="493" spans="1:18">
      <c r="A493">
        <f>IF(COUNTBLANK(B493:R493)&lt;&gt;COLUMNS(B493:R493),492,"")</f>
        <v>0</v>
      </c>
      <c r="C493" s="1">
        <f>IF(B493="", "", "Host-associated")</f>
        <v>0</v>
      </c>
      <c r="G493" s="1">
        <f>IF(B493="", "", "host-associated")</f>
        <v>0</v>
      </c>
      <c r="I493" s="1">
        <f>IF(B493="", "", "years")</f>
        <v>0</v>
      </c>
      <c r="L493" s="1">
        <f>IF(B493="", "", "cm")</f>
        <v>0</v>
      </c>
      <c r="P493" s="1">
        <f>IF(B493="", "", "kg")</f>
        <v>0</v>
      </c>
      <c r="R493" s="1">
        <f>IF(B493="", "", "Not applicable")</f>
        <v>0</v>
      </c>
    </row>
    <row r="494" spans="1:18">
      <c r="A494">
        <f>IF(COUNTBLANK(B494:R494)&lt;&gt;COLUMNS(B494:R494),493,"")</f>
        <v>0</v>
      </c>
      <c r="C494" s="1">
        <f>IF(B494="", "", "Host-associated")</f>
        <v>0</v>
      </c>
      <c r="G494" s="1">
        <f>IF(B494="", "", "host-associated")</f>
        <v>0</v>
      </c>
      <c r="I494" s="1">
        <f>IF(B494="", "", "years")</f>
        <v>0</v>
      </c>
      <c r="L494" s="1">
        <f>IF(B494="", "", "cm")</f>
        <v>0</v>
      </c>
      <c r="P494" s="1">
        <f>IF(B494="", "", "kg")</f>
        <v>0</v>
      </c>
      <c r="R494" s="1">
        <f>IF(B494="", "", "Not applicable")</f>
        <v>0</v>
      </c>
    </row>
    <row r="495" spans="1:18">
      <c r="A495">
        <f>IF(COUNTBLANK(B495:R495)&lt;&gt;COLUMNS(B495:R495),494,"")</f>
        <v>0</v>
      </c>
      <c r="C495" s="1">
        <f>IF(B495="", "", "Host-associated")</f>
        <v>0</v>
      </c>
      <c r="G495" s="1">
        <f>IF(B495="", "", "host-associated")</f>
        <v>0</v>
      </c>
      <c r="I495" s="1">
        <f>IF(B495="", "", "years")</f>
        <v>0</v>
      </c>
      <c r="L495" s="1">
        <f>IF(B495="", "", "cm")</f>
        <v>0</v>
      </c>
      <c r="P495" s="1">
        <f>IF(B495="", "", "kg")</f>
        <v>0</v>
      </c>
      <c r="R495" s="1">
        <f>IF(B495="", "", "Not applicable")</f>
        <v>0</v>
      </c>
    </row>
    <row r="496" spans="1:18">
      <c r="A496">
        <f>IF(COUNTBLANK(B496:R496)&lt;&gt;COLUMNS(B496:R496),495,"")</f>
        <v>0</v>
      </c>
      <c r="C496" s="1">
        <f>IF(B496="", "", "Host-associated")</f>
        <v>0</v>
      </c>
      <c r="G496" s="1">
        <f>IF(B496="", "", "host-associated")</f>
        <v>0</v>
      </c>
      <c r="I496" s="1">
        <f>IF(B496="", "", "years")</f>
        <v>0</v>
      </c>
      <c r="L496" s="1">
        <f>IF(B496="", "", "cm")</f>
        <v>0</v>
      </c>
      <c r="P496" s="1">
        <f>IF(B496="", "", "kg")</f>
        <v>0</v>
      </c>
      <c r="R496" s="1">
        <f>IF(B496="", "", "Not applicable")</f>
        <v>0</v>
      </c>
    </row>
    <row r="497" spans="1:18">
      <c r="A497">
        <f>IF(COUNTBLANK(B497:R497)&lt;&gt;COLUMNS(B497:R497),496,"")</f>
        <v>0</v>
      </c>
      <c r="C497" s="1">
        <f>IF(B497="", "", "Host-associated")</f>
        <v>0</v>
      </c>
      <c r="G497" s="1">
        <f>IF(B497="", "", "host-associated")</f>
        <v>0</v>
      </c>
      <c r="I497" s="1">
        <f>IF(B497="", "", "years")</f>
        <v>0</v>
      </c>
      <c r="L497" s="1">
        <f>IF(B497="", "", "cm")</f>
        <v>0</v>
      </c>
      <c r="P497" s="1">
        <f>IF(B497="", "", "kg")</f>
        <v>0</v>
      </c>
      <c r="R497" s="1">
        <f>IF(B497="", "", "Not applicable")</f>
        <v>0</v>
      </c>
    </row>
    <row r="498" spans="1:18">
      <c r="A498">
        <f>IF(COUNTBLANK(B498:R498)&lt;&gt;COLUMNS(B498:R498),497,"")</f>
        <v>0</v>
      </c>
      <c r="C498" s="1">
        <f>IF(B498="", "", "Host-associated")</f>
        <v>0</v>
      </c>
      <c r="G498" s="1">
        <f>IF(B498="", "", "host-associated")</f>
        <v>0</v>
      </c>
      <c r="I498" s="1">
        <f>IF(B498="", "", "years")</f>
        <v>0</v>
      </c>
      <c r="L498" s="1">
        <f>IF(B498="", "", "cm")</f>
        <v>0</v>
      </c>
      <c r="P498" s="1">
        <f>IF(B498="", "", "kg")</f>
        <v>0</v>
      </c>
      <c r="R498" s="1">
        <f>IF(B498="", "", "Not applicable")</f>
        <v>0</v>
      </c>
    </row>
    <row r="499" spans="1:18">
      <c r="A499">
        <f>IF(COUNTBLANK(B499:R499)&lt;&gt;COLUMNS(B499:R499),498,"")</f>
        <v>0</v>
      </c>
      <c r="C499" s="1">
        <f>IF(B499="", "", "Host-associated")</f>
        <v>0</v>
      </c>
      <c r="G499" s="1">
        <f>IF(B499="", "", "host-associated")</f>
        <v>0</v>
      </c>
      <c r="I499" s="1">
        <f>IF(B499="", "", "years")</f>
        <v>0</v>
      </c>
      <c r="L499" s="1">
        <f>IF(B499="", "", "cm")</f>
        <v>0</v>
      </c>
      <c r="P499" s="1">
        <f>IF(B499="", "", "kg")</f>
        <v>0</v>
      </c>
      <c r="R499" s="1">
        <f>IF(B499="", "", "Not applicable")</f>
        <v>0</v>
      </c>
    </row>
    <row r="500" spans="1:18">
      <c r="A500">
        <f>IF(COUNTBLANK(B500:R500)&lt;&gt;COLUMNS(B500:R500),499,"")</f>
        <v>0</v>
      </c>
      <c r="C500" s="1">
        <f>IF(B500="", "", "Host-associated")</f>
        <v>0</v>
      </c>
      <c r="G500" s="1">
        <f>IF(B500="", "", "host-associated")</f>
        <v>0</v>
      </c>
      <c r="I500" s="1">
        <f>IF(B500="", "", "years")</f>
        <v>0</v>
      </c>
      <c r="L500" s="1">
        <f>IF(B500="", "", "cm")</f>
        <v>0</v>
      </c>
      <c r="P500" s="1">
        <f>IF(B500="", "", "kg")</f>
        <v>0</v>
      </c>
      <c r="R500" s="1">
        <f>IF(B500="", "", "Not applicable")</f>
        <v>0</v>
      </c>
    </row>
    <row r="501" spans="1:18">
      <c r="A501">
        <f>IF(COUNTBLANK(B501:R501)&lt;&gt;COLUMNS(B501:R501),500,"")</f>
        <v>0</v>
      </c>
      <c r="C501" s="1">
        <f>IF(B501="", "", "Host-associated")</f>
        <v>0</v>
      </c>
      <c r="G501" s="1">
        <f>IF(B501="", "", "host-associated")</f>
        <v>0</v>
      </c>
      <c r="I501" s="1">
        <f>IF(B501="", "", "years")</f>
        <v>0</v>
      </c>
      <c r="L501" s="1">
        <f>IF(B501="", "", "cm")</f>
        <v>0</v>
      </c>
      <c r="P501" s="1">
        <f>IF(B501="", "", "kg")</f>
        <v>0</v>
      </c>
      <c r="R501" s="1">
        <f>IF(B501="", "", "Not applicable")</f>
        <v>0</v>
      </c>
    </row>
    <row r="502" spans="1:18">
      <c r="A502">
        <f>IF(COUNTBLANK(B502:R502)&lt;&gt;COLUMNS(B502:R502),501,"")</f>
        <v>0</v>
      </c>
      <c r="C502" s="1">
        <f>IF(B502="", "", "Host-associated")</f>
        <v>0</v>
      </c>
      <c r="G502" s="1">
        <f>IF(B502="", "", "host-associated")</f>
        <v>0</v>
      </c>
      <c r="I502" s="1">
        <f>IF(B502="", "", "years")</f>
        <v>0</v>
      </c>
      <c r="L502" s="1">
        <f>IF(B502="", "", "cm")</f>
        <v>0</v>
      </c>
      <c r="P502" s="1">
        <f>IF(B502="", "", "kg")</f>
        <v>0</v>
      </c>
      <c r="R502" s="1">
        <f>IF(B502="", "", "Not applicable")</f>
        <v>0</v>
      </c>
    </row>
    <row r="503" spans="1:18">
      <c r="A503">
        <f>IF(COUNTBLANK(B503:R503)&lt;&gt;COLUMNS(B503:R503),502,"")</f>
        <v>0</v>
      </c>
      <c r="C503" s="1">
        <f>IF(B503="", "", "Host-associated")</f>
        <v>0</v>
      </c>
      <c r="G503" s="1">
        <f>IF(B503="", "", "host-associated")</f>
        <v>0</v>
      </c>
      <c r="I503" s="1">
        <f>IF(B503="", "", "years")</f>
        <v>0</v>
      </c>
      <c r="L503" s="1">
        <f>IF(B503="", "", "cm")</f>
        <v>0</v>
      </c>
      <c r="P503" s="1">
        <f>IF(B503="", "", "kg")</f>
        <v>0</v>
      </c>
      <c r="R503" s="1">
        <f>IF(B503="", "", "Not applicable")</f>
        <v>0</v>
      </c>
    </row>
    <row r="504" spans="1:18">
      <c r="A504">
        <f>IF(COUNTBLANK(B504:R504)&lt;&gt;COLUMNS(B504:R504),503,"")</f>
        <v>0</v>
      </c>
      <c r="C504" s="1">
        <f>IF(B504="", "", "Host-associated")</f>
        <v>0</v>
      </c>
      <c r="G504" s="1">
        <f>IF(B504="", "", "host-associated")</f>
        <v>0</v>
      </c>
      <c r="I504" s="1">
        <f>IF(B504="", "", "years")</f>
        <v>0</v>
      </c>
      <c r="L504" s="1">
        <f>IF(B504="", "", "cm")</f>
        <v>0</v>
      </c>
      <c r="P504" s="1">
        <f>IF(B504="", "", "kg")</f>
        <v>0</v>
      </c>
      <c r="R504" s="1">
        <f>IF(B504="", "", "Not applicable")</f>
        <v>0</v>
      </c>
    </row>
    <row r="505" spans="1:18">
      <c r="A505">
        <f>IF(COUNTBLANK(B505:R505)&lt;&gt;COLUMNS(B505:R505),504,"")</f>
        <v>0</v>
      </c>
      <c r="C505" s="1">
        <f>IF(B505="", "", "Host-associated")</f>
        <v>0</v>
      </c>
      <c r="G505" s="1">
        <f>IF(B505="", "", "host-associated")</f>
        <v>0</v>
      </c>
      <c r="I505" s="1">
        <f>IF(B505="", "", "years")</f>
        <v>0</v>
      </c>
      <c r="L505" s="1">
        <f>IF(B505="", "", "cm")</f>
        <v>0</v>
      </c>
      <c r="P505" s="1">
        <f>IF(B505="", "", "kg")</f>
        <v>0</v>
      </c>
      <c r="R505" s="1">
        <f>IF(B505="", "", "Not applicable")</f>
        <v>0</v>
      </c>
    </row>
    <row r="506" spans="1:18">
      <c r="A506">
        <f>IF(COUNTBLANK(B506:R506)&lt;&gt;COLUMNS(B506:R506),505,"")</f>
        <v>0</v>
      </c>
      <c r="C506" s="1">
        <f>IF(B506="", "", "Host-associated")</f>
        <v>0</v>
      </c>
      <c r="G506" s="1">
        <f>IF(B506="", "", "host-associated")</f>
        <v>0</v>
      </c>
      <c r="I506" s="1">
        <f>IF(B506="", "", "years")</f>
        <v>0</v>
      </c>
      <c r="L506" s="1">
        <f>IF(B506="", "", "cm")</f>
        <v>0</v>
      </c>
      <c r="P506" s="1">
        <f>IF(B506="", "", "kg")</f>
        <v>0</v>
      </c>
      <c r="R506" s="1">
        <f>IF(B506="", "", "Not applicable")</f>
        <v>0</v>
      </c>
    </row>
    <row r="507" spans="1:18">
      <c r="A507">
        <f>IF(COUNTBLANK(B507:R507)&lt;&gt;COLUMNS(B507:R507),506,"")</f>
        <v>0</v>
      </c>
      <c r="C507" s="1">
        <f>IF(B507="", "", "Host-associated")</f>
        <v>0</v>
      </c>
      <c r="G507" s="1">
        <f>IF(B507="", "", "host-associated")</f>
        <v>0</v>
      </c>
      <c r="I507" s="1">
        <f>IF(B507="", "", "years")</f>
        <v>0</v>
      </c>
      <c r="L507" s="1">
        <f>IF(B507="", "", "cm")</f>
        <v>0</v>
      </c>
      <c r="P507" s="1">
        <f>IF(B507="", "", "kg")</f>
        <v>0</v>
      </c>
      <c r="R507" s="1">
        <f>IF(B507="", "", "Not applicable")</f>
        <v>0</v>
      </c>
    </row>
    <row r="508" spans="1:18">
      <c r="A508">
        <f>IF(COUNTBLANK(B508:R508)&lt;&gt;COLUMNS(B508:R508),507,"")</f>
        <v>0</v>
      </c>
      <c r="C508" s="1">
        <f>IF(B508="", "", "Host-associated")</f>
        <v>0</v>
      </c>
      <c r="G508" s="1">
        <f>IF(B508="", "", "host-associated")</f>
        <v>0</v>
      </c>
      <c r="I508" s="1">
        <f>IF(B508="", "", "years")</f>
        <v>0</v>
      </c>
      <c r="L508" s="1">
        <f>IF(B508="", "", "cm")</f>
        <v>0</v>
      </c>
      <c r="P508" s="1">
        <f>IF(B508="", "", "kg")</f>
        <v>0</v>
      </c>
      <c r="R508" s="1">
        <f>IF(B508="", "", "Not applicable")</f>
        <v>0</v>
      </c>
    </row>
    <row r="509" spans="1:18">
      <c r="A509">
        <f>IF(COUNTBLANK(B509:R509)&lt;&gt;COLUMNS(B509:R509),508,"")</f>
        <v>0</v>
      </c>
      <c r="C509" s="1">
        <f>IF(B509="", "", "Host-associated")</f>
        <v>0</v>
      </c>
      <c r="G509" s="1">
        <f>IF(B509="", "", "host-associated")</f>
        <v>0</v>
      </c>
      <c r="I509" s="1">
        <f>IF(B509="", "", "years")</f>
        <v>0</v>
      </c>
      <c r="L509" s="1">
        <f>IF(B509="", "", "cm")</f>
        <v>0</v>
      </c>
      <c r="P509" s="1">
        <f>IF(B509="", "", "kg")</f>
        <v>0</v>
      </c>
      <c r="R509" s="1">
        <f>IF(B509="", "", "Not applicable")</f>
        <v>0</v>
      </c>
    </row>
    <row r="510" spans="1:18">
      <c r="A510">
        <f>IF(COUNTBLANK(B510:R510)&lt;&gt;COLUMNS(B510:R510),509,"")</f>
        <v>0</v>
      </c>
      <c r="C510" s="1">
        <f>IF(B510="", "", "Host-associated")</f>
        <v>0</v>
      </c>
      <c r="G510" s="1">
        <f>IF(B510="", "", "host-associated")</f>
        <v>0</v>
      </c>
      <c r="I510" s="1">
        <f>IF(B510="", "", "years")</f>
        <v>0</v>
      </c>
      <c r="L510" s="1">
        <f>IF(B510="", "", "cm")</f>
        <v>0</v>
      </c>
      <c r="P510" s="1">
        <f>IF(B510="", "", "kg")</f>
        <v>0</v>
      </c>
      <c r="R510" s="1">
        <f>IF(B510="", "", "Not applicable")</f>
        <v>0</v>
      </c>
    </row>
    <row r="511" spans="1:18">
      <c r="A511">
        <f>IF(COUNTBLANK(B511:R511)&lt;&gt;COLUMNS(B511:R511),510,"")</f>
        <v>0</v>
      </c>
      <c r="C511" s="1">
        <f>IF(B511="", "", "Host-associated")</f>
        <v>0</v>
      </c>
      <c r="G511" s="1">
        <f>IF(B511="", "", "host-associated")</f>
        <v>0</v>
      </c>
      <c r="I511" s="1">
        <f>IF(B511="", "", "years")</f>
        <v>0</v>
      </c>
      <c r="L511" s="1">
        <f>IF(B511="", "", "cm")</f>
        <v>0</v>
      </c>
      <c r="P511" s="1">
        <f>IF(B511="", "", "kg")</f>
        <v>0</v>
      </c>
      <c r="R511" s="1">
        <f>IF(B511="", "", "Not applicable")</f>
        <v>0</v>
      </c>
    </row>
    <row r="512" spans="1:18">
      <c r="A512">
        <f>IF(COUNTBLANK(B512:R512)&lt;&gt;COLUMNS(B512:R512),511,"")</f>
        <v>0</v>
      </c>
      <c r="C512" s="1">
        <f>IF(B512="", "", "Host-associated")</f>
        <v>0</v>
      </c>
      <c r="G512" s="1">
        <f>IF(B512="", "", "host-associated")</f>
        <v>0</v>
      </c>
      <c r="I512" s="1">
        <f>IF(B512="", "", "years")</f>
        <v>0</v>
      </c>
      <c r="L512" s="1">
        <f>IF(B512="", "", "cm")</f>
        <v>0</v>
      </c>
      <c r="P512" s="1">
        <f>IF(B512="", "", "kg")</f>
        <v>0</v>
      </c>
      <c r="R512" s="1">
        <f>IF(B512="", "", "Not applicable")</f>
        <v>0</v>
      </c>
    </row>
    <row r="513" spans="1:18">
      <c r="A513">
        <f>IF(COUNTBLANK(B513:R513)&lt;&gt;COLUMNS(B513:R513),512,"")</f>
        <v>0</v>
      </c>
      <c r="C513" s="1">
        <f>IF(B513="", "", "Host-associated")</f>
        <v>0</v>
      </c>
      <c r="G513" s="1">
        <f>IF(B513="", "", "host-associated")</f>
        <v>0</v>
      </c>
      <c r="I513" s="1">
        <f>IF(B513="", "", "years")</f>
        <v>0</v>
      </c>
      <c r="L513" s="1">
        <f>IF(B513="", "", "cm")</f>
        <v>0</v>
      </c>
      <c r="P513" s="1">
        <f>IF(B513="", "", "kg")</f>
        <v>0</v>
      </c>
      <c r="R513" s="1">
        <f>IF(B513="", "", "Not applicable")</f>
        <v>0</v>
      </c>
    </row>
    <row r="514" spans="1:18">
      <c r="A514">
        <f>IF(COUNTBLANK(B514:R514)&lt;&gt;COLUMNS(B514:R514),513,"")</f>
        <v>0</v>
      </c>
      <c r="C514" s="1">
        <f>IF(B514="", "", "Host-associated")</f>
        <v>0</v>
      </c>
      <c r="G514" s="1">
        <f>IF(B514="", "", "host-associated")</f>
        <v>0</v>
      </c>
      <c r="I514" s="1">
        <f>IF(B514="", "", "years")</f>
        <v>0</v>
      </c>
      <c r="L514" s="1">
        <f>IF(B514="", "", "cm")</f>
        <v>0</v>
      </c>
      <c r="P514" s="1">
        <f>IF(B514="", "", "kg")</f>
        <v>0</v>
      </c>
      <c r="R514" s="1">
        <f>IF(B514="", "", "Not applicable")</f>
        <v>0</v>
      </c>
    </row>
    <row r="515" spans="1:18">
      <c r="A515">
        <f>IF(COUNTBLANK(B515:R515)&lt;&gt;COLUMNS(B515:R515),514,"")</f>
        <v>0</v>
      </c>
      <c r="C515" s="1">
        <f>IF(B515="", "", "Host-associated")</f>
        <v>0</v>
      </c>
      <c r="G515" s="1">
        <f>IF(B515="", "", "host-associated")</f>
        <v>0</v>
      </c>
      <c r="I515" s="1">
        <f>IF(B515="", "", "years")</f>
        <v>0</v>
      </c>
      <c r="L515" s="1">
        <f>IF(B515="", "", "cm")</f>
        <v>0</v>
      </c>
      <c r="P515" s="1">
        <f>IF(B515="", "", "kg")</f>
        <v>0</v>
      </c>
      <c r="R515" s="1">
        <f>IF(B515="", "", "Not applicable")</f>
        <v>0</v>
      </c>
    </row>
    <row r="516" spans="1:18">
      <c r="A516">
        <f>IF(COUNTBLANK(B516:R516)&lt;&gt;COLUMNS(B516:R516),515,"")</f>
        <v>0</v>
      </c>
      <c r="C516" s="1">
        <f>IF(B516="", "", "Host-associated")</f>
        <v>0</v>
      </c>
      <c r="G516" s="1">
        <f>IF(B516="", "", "host-associated")</f>
        <v>0</v>
      </c>
      <c r="I516" s="1">
        <f>IF(B516="", "", "years")</f>
        <v>0</v>
      </c>
      <c r="L516" s="1">
        <f>IF(B516="", "", "cm")</f>
        <v>0</v>
      </c>
      <c r="P516" s="1">
        <f>IF(B516="", "", "kg")</f>
        <v>0</v>
      </c>
      <c r="R516" s="1">
        <f>IF(B516="", "", "Not applicable")</f>
        <v>0</v>
      </c>
    </row>
    <row r="517" spans="1:18">
      <c r="A517">
        <f>IF(COUNTBLANK(B517:R517)&lt;&gt;COLUMNS(B517:R517),516,"")</f>
        <v>0</v>
      </c>
      <c r="C517" s="1">
        <f>IF(B517="", "", "Host-associated")</f>
        <v>0</v>
      </c>
      <c r="G517" s="1">
        <f>IF(B517="", "", "host-associated")</f>
        <v>0</v>
      </c>
      <c r="I517" s="1">
        <f>IF(B517="", "", "years")</f>
        <v>0</v>
      </c>
      <c r="L517" s="1">
        <f>IF(B517="", "", "cm")</f>
        <v>0</v>
      </c>
      <c r="P517" s="1">
        <f>IF(B517="", "", "kg")</f>
        <v>0</v>
      </c>
      <c r="R517" s="1">
        <f>IF(B517="", "", "Not applicable")</f>
        <v>0</v>
      </c>
    </row>
    <row r="518" spans="1:18">
      <c r="A518">
        <f>IF(COUNTBLANK(B518:R518)&lt;&gt;COLUMNS(B518:R518),517,"")</f>
        <v>0</v>
      </c>
      <c r="C518" s="1">
        <f>IF(B518="", "", "Host-associated")</f>
        <v>0</v>
      </c>
      <c r="G518" s="1">
        <f>IF(B518="", "", "host-associated")</f>
        <v>0</v>
      </c>
      <c r="I518" s="1">
        <f>IF(B518="", "", "years")</f>
        <v>0</v>
      </c>
      <c r="L518" s="1">
        <f>IF(B518="", "", "cm")</f>
        <v>0</v>
      </c>
      <c r="P518" s="1">
        <f>IF(B518="", "", "kg")</f>
        <v>0</v>
      </c>
      <c r="R518" s="1">
        <f>IF(B518="", "", "Not applicable")</f>
        <v>0</v>
      </c>
    </row>
    <row r="519" spans="1:18">
      <c r="A519">
        <f>IF(COUNTBLANK(B519:R519)&lt;&gt;COLUMNS(B519:R519),518,"")</f>
        <v>0</v>
      </c>
      <c r="C519" s="1">
        <f>IF(B519="", "", "Host-associated")</f>
        <v>0</v>
      </c>
      <c r="G519" s="1">
        <f>IF(B519="", "", "host-associated")</f>
        <v>0</v>
      </c>
      <c r="I519" s="1">
        <f>IF(B519="", "", "years")</f>
        <v>0</v>
      </c>
      <c r="L519" s="1">
        <f>IF(B519="", "", "cm")</f>
        <v>0</v>
      </c>
      <c r="P519" s="1">
        <f>IF(B519="", "", "kg")</f>
        <v>0</v>
      </c>
      <c r="R519" s="1">
        <f>IF(B519="", "", "Not applicable")</f>
        <v>0</v>
      </c>
    </row>
    <row r="520" spans="1:18">
      <c r="A520">
        <f>IF(COUNTBLANK(B520:R520)&lt;&gt;COLUMNS(B520:R520),519,"")</f>
        <v>0</v>
      </c>
      <c r="C520" s="1">
        <f>IF(B520="", "", "Host-associated")</f>
        <v>0</v>
      </c>
      <c r="G520" s="1">
        <f>IF(B520="", "", "host-associated")</f>
        <v>0</v>
      </c>
      <c r="I520" s="1">
        <f>IF(B520="", "", "years")</f>
        <v>0</v>
      </c>
      <c r="L520" s="1">
        <f>IF(B520="", "", "cm")</f>
        <v>0</v>
      </c>
      <c r="P520" s="1">
        <f>IF(B520="", "", "kg")</f>
        <v>0</v>
      </c>
      <c r="R520" s="1">
        <f>IF(B520="", "", "Not applicable")</f>
        <v>0</v>
      </c>
    </row>
    <row r="521" spans="1:18">
      <c r="A521">
        <f>IF(COUNTBLANK(B521:R521)&lt;&gt;COLUMNS(B521:R521),520,"")</f>
        <v>0</v>
      </c>
      <c r="C521" s="1">
        <f>IF(B521="", "", "Host-associated")</f>
        <v>0</v>
      </c>
      <c r="G521" s="1">
        <f>IF(B521="", "", "host-associated")</f>
        <v>0</v>
      </c>
      <c r="I521" s="1">
        <f>IF(B521="", "", "years")</f>
        <v>0</v>
      </c>
      <c r="L521" s="1">
        <f>IF(B521="", "", "cm")</f>
        <v>0</v>
      </c>
      <c r="P521" s="1">
        <f>IF(B521="", "", "kg")</f>
        <v>0</v>
      </c>
      <c r="R521" s="1">
        <f>IF(B521="", "", "Not applicable")</f>
        <v>0</v>
      </c>
    </row>
    <row r="522" spans="1:18">
      <c r="A522">
        <f>IF(COUNTBLANK(B522:R522)&lt;&gt;COLUMNS(B522:R522),521,"")</f>
        <v>0</v>
      </c>
      <c r="C522" s="1">
        <f>IF(B522="", "", "Host-associated")</f>
        <v>0</v>
      </c>
      <c r="G522" s="1">
        <f>IF(B522="", "", "host-associated")</f>
        <v>0</v>
      </c>
      <c r="I522" s="1">
        <f>IF(B522="", "", "years")</f>
        <v>0</v>
      </c>
      <c r="L522" s="1">
        <f>IF(B522="", "", "cm")</f>
        <v>0</v>
      </c>
      <c r="P522" s="1">
        <f>IF(B522="", "", "kg")</f>
        <v>0</v>
      </c>
      <c r="R522" s="1">
        <f>IF(B522="", "", "Not applicable")</f>
        <v>0</v>
      </c>
    </row>
    <row r="523" spans="1:18">
      <c r="A523">
        <f>IF(COUNTBLANK(B523:R523)&lt;&gt;COLUMNS(B523:R523),522,"")</f>
        <v>0</v>
      </c>
      <c r="C523" s="1">
        <f>IF(B523="", "", "Host-associated")</f>
        <v>0</v>
      </c>
      <c r="G523" s="1">
        <f>IF(B523="", "", "host-associated")</f>
        <v>0</v>
      </c>
      <c r="I523" s="1">
        <f>IF(B523="", "", "years")</f>
        <v>0</v>
      </c>
      <c r="L523" s="1">
        <f>IF(B523="", "", "cm")</f>
        <v>0</v>
      </c>
      <c r="P523" s="1">
        <f>IF(B523="", "", "kg")</f>
        <v>0</v>
      </c>
      <c r="R523" s="1">
        <f>IF(B523="", "", "Not applicable")</f>
        <v>0</v>
      </c>
    </row>
    <row r="524" spans="1:18">
      <c r="A524">
        <f>IF(COUNTBLANK(B524:R524)&lt;&gt;COLUMNS(B524:R524),523,"")</f>
        <v>0</v>
      </c>
      <c r="C524" s="1">
        <f>IF(B524="", "", "Host-associated")</f>
        <v>0</v>
      </c>
      <c r="G524" s="1">
        <f>IF(B524="", "", "host-associated")</f>
        <v>0</v>
      </c>
      <c r="I524" s="1">
        <f>IF(B524="", "", "years")</f>
        <v>0</v>
      </c>
      <c r="L524" s="1">
        <f>IF(B524="", "", "cm")</f>
        <v>0</v>
      </c>
      <c r="P524" s="1">
        <f>IF(B524="", "", "kg")</f>
        <v>0</v>
      </c>
      <c r="R524" s="1">
        <f>IF(B524="", "", "Not applicable")</f>
        <v>0</v>
      </c>
    </row>
    <row r="525" spans="1:18">
      <c r="A525">
        <f>IF(COUNTBLANK(B525:R525)&lt;&gt;COLUMNS(B525:R525),524,"")</f>
        <v>0</v>
      </c>
      <c r="C525" s="1">
        <f>IF(B525="", "", "Host-associated")</f>
        <v>0</v>
      </c>
      <c r="G525" s="1">
        <f>IF(B525="", "", "host-associated")</f>
        <v>0</v>
      </c>
      <c r="I525" s="1">
        <f>IF(B525="", "", "years")</f>
        <v>0</v>
      </c>
      <c r="L525" s="1">
        <f>IF(B525="", "", "cm")</f>
        <v>0</v>
      </c>
      <c r="P525" s="1">
        <f>IF(B525="", "", "kg")</f>
        <v>0</v>
      </c>
      <c r="R525" s="1">
        <f>IF(B525="", "", "Not applicable")</f>
        <v>0</v>
      </c>
    </row>
    <row r="526" spans="1:18">
      <c r="A526">
        <f>IF(COUNTBLANK(B526:R526)&lt;&gt;COLUMNS(B526:R526),525,"")</f>
        <v>0</v>
      </c>
      <c r="C526" s="1">
        <f>IF(B526="", "", "Host-associated")</f>
        <v>0</v>
      </c>
      <c r="G526" s="1">
        <f>IF(B526="", "", "host-associated")</f>
        <v>0</v>
      </c>
      <c r="I526" s="1">
        <f>IF(B526="", "", "years")</f>
        <v>0</v>
      </c>
      <c r="L526" s="1">
        <f>IF(B526="", "", "cm")</f>
        <v>0</v>
      </c>
      <c r="P526" s="1">
        <f>IF(B526="", "", "kg")</f>
        <v>0</v>
      </c>
      <c r="R526" s="1">
        <f>IF(B526="", "", "Not applicable")</f>
        <v>0</v>
      </c>
    </row>
    <row r="527" spans="1:18">
      <c r="A527">
        <f>IF(COUNTBLANK(B527:R527)&lt;&gt;COLUMNS(B527:R527),526,"")</f>
        <v>0</v>
      </c>
      <c r="C527" s="1">
        <f>IF(B527="", "", "Host-associated")</f>
        <v>0</v>
      </c>
      <c r="G527" s="1">
        <f>IF(B527="", "", "host-associated")</f>
        <v>0</v>
      </c>
      <c r="I527" s="1">
        <f>IF(B527="", "", "years")</f>
        <v>0</v>
      </c>
      <c r="L527" s="1">
        <f>IF(B527="", "", "cm")</f>
        <v>0</v>
      </c>
      <c r="P527" s="1">
        <f>IF(B527="", "", "kg")</f>
        <v>0</v>
      </c>
      <c r="R527" s="1">
        <f>IF(B527="", "", "Not applicable")</f>
        <v>0</v>
      </c>
    </row>
    <row r="528" spans="1:18">
      <c r="A528">
        <f>IF(COUNTBLANK(B528:R528)&lt;&gt;COLUMNS(B528:R528),527,"")</f>
        <v>0</v>
      </c>
      <c r="C528" s="1">
        <f>IF(B528="", "", "Host-associated")</f>
        <v>0</v>
      </c>
      <c r="G528" s="1">
        <f>IF(B528="", "", "host-associated")</f>
        <v>0</v>
      </c>
      <c r="I528" s="1">
        <f>IF(B528="", "", "years")</f>
        <v>0</v>
      </c>
      <c r="L528" s="1">
        <f>IF(B528="", "", "cm")</f>
        <v>0</v>
      </c>
      <c r="P528" s="1">
        <f>IF(B528="", "", "kg")</f>
        <v>0</v>
      </c>
      <c r="R528" s="1">
        <f>IF(B528="", "", "Not applicable")</f>
        <v>0</v>
      </c>
    </row>
    <row r="529" spans="1:18">
      <c r="A529">
        <f>IF(COUNTBLANK(B529:R529)&lt;&gt;COLUMNS(B529:R529),528,"")</f>
        <v>0</v>
      </c>
      <c r="C529" s="1">
        <f>IF(B529="", "", "Host-associated")</f>
        <v>0</v>
      </c>
      <c r="G529" s="1">
        <f>IF(B529="", "", "host-associated")</f>
        <v>0</v>
      </c>
      <c r="I529" s="1">
        <f>IF(B529="", "", "years")</f>
        <v>0</v>
      </c>
      <c r="L529" s="1">
        <f>IF(B529="", "", "cm")</f>
        <v>0</v>
      </c>
      <c r="P529" s="1">
        <f>IF(B529="", "", "kg")</f>
        <v>0</v>
      </c>
      <c r="R529" s="1">
        <f>IF(B529="", "", "Not applicable")</f>
        <v>0</v>
      </c>
    </row>
    <row r="530" spans="1:18">
      <c r="A530">
        <f>IF(COUNTBLANK(B530:R530)&lt;&gt;COLUMNS(B530:R530),529,"")</f>
        <v>0</v>
      </c>
      <c r="C530" s="1">
        <f>IF(B530="", "", "Host-associated")</f>
        <v>0</v>
      </c>
      <c r="G530" s="1">
        <f>IF(B530="", "", "host-associated")</f>
        <v>0</v>
      </c>
      <c r="I530" s="1">
        <f>IF(B530="", "", "years")</f>
        <v>0</v>
      </c>
      <c r="L530" s="1">
        <f>IF(B530="", "", "cm")</f>
        <v>0</v>
      </c>
      <c r="P530" s="1">
        <f>IF(B530="", "", "kg")</f>
        <v>0</v>
      </c>
      <c r="R530" s="1">
        <f>IF(B530="", "", "Not applicable")</f>
        <v>0</v>
      </c>
    </row>
    <row r="531" spans="1:18">
      <c r="A531">
        <f>IF(COUNTBLANK(B531:R531)&lt;&gt;COLUMNS(B531:R531),530,"")</f>
        <v>0</v>
      </c>
      <c r="C531" s="1">
        <f>IF(B531="", "", "Host-associated")</f>
        <v>0</v>
      </c>
      <c r="G531" s="1">
        <f>IF(B531="", "", "host-associated")</f>
        <v>0</v>
      </c>
      <c r="I531" s="1">
        <f>IF(B531="", "", "years")</f>
        <v>0</v>
      </c>
      <c r="L531" s="1">
        <f>IF(B531="", "", "cm")</f>
        <v>0</v>
      </c>
      <c r="P531" s="1">
        <f>IF(B531="", "", "kg")</f>
        <v>0</v>
      </c>
      <c r="R531" s="1">
        <f>IF(B531="", "", "Not applicable")</f>
        <v>0</v>
      </c>
    </row>
    <row r="532" spans="1:18">
      <c r="A532">
        <f>IF(COUNTBLANK(B532:R532)&lt;&gt;COLUMNS(B532:R532),531,"")</f>
        <v>0</v>
      </c>
      <c r="C532" s="1">
        <f>IF(B532="", "", "Host-associated")</f>
        <v>0</v>
      </c>
      <c r="G532" s="1">
        <f>IF(B532="", "", "host-associated")</f>
        <v>0</v>
      </c>
      <c r="I532" s="1">
        <f>IF(B532="", "", "years")</f>
        <v>0</v>
      </c>
      <c r="L532" s="1">
        <f>IF(B532="", "", "cm")</f>
        <v>0</v>
      </c>
      <c r="P532" s="1">
        <f>IF(B532="", "", "kg")</f>
        <v>0</v>
      </c>
      <c r="R532" s="1">
        <f>IF(B532="", "", "Not applicable")</f>
        <v>0</v>
      </c>
    </row>
    <row r="533" spans="1:18">
      <c r="A533">
        <f>IF(COUNTBLANK(B533:R533)&lt;&gt;COLUMNS(B533:R533),532,"")</f>
        <v>0</v>
      </c>
      <c r="C533" s="1">
        <f>IF(B533="", "", "Host-associated")</f>
        <v>0</v>
      </c>
      <c r="G533" s="1">
        <f>IF(B533="", "", "host-associated")</f>
        <v>0</v>
      </c>
      <c r="I533" s="1">
        <f>IF(B533="", "", "years")</f>
        <v>0</v>
      </c>
      <c r="L533" s="1">
        <f>IF(B533="", "", "cm")</f>
        <v>0</v>
      </c>
      <c r="P533" s="1">
        <f>IF(B533="", "", "kg")</f>
        <v>0</v>
      </c>
      <c r="R533" s="1">
        <f>IF(B533="", "", "Not applicable")</f>
        <v>0</v>
      </c>
    </row>
    <row r="534" spans="1:18">
      <c r="A534">
        <f>IF(COUNTBLANK(B534:R534)&lt;&gt;COLUMNS(B534:R534),533,"")</f>
        <v>0</v>
      </c>
      <c r="C534" s="1">
        <f>IF(B534="", "", "Host-associated")</f>
        <v>0</v>
      </c>
      <c r="G534" s="1">
        <f>IF(B534="", "", "host-associated")</f>
        <v>0</v>
      </c>
      <c r="I534" s="1">
        <f>IF(B534="", "", "years")</f>
        <v>0</v>
      </c>
      <c r="L534" s="1">
        <f>IF(B534="", "", "cm")</f>
        <v>0</v>
      </c>
      <c r="P534" s="1">
        <f>IF(B534="", "", "kg")</f>
        <v>0</v>
      </c>
      <c r="R534" s="1">
        <f>IF(B534="", "", "Not applicable")</f>
        <v>0</v>
      </c>
    </row>
    <row r="535" spans="1:18">
      <c r="A535">
        <f>IF(COUNTBLANK(B535:R535)&lt;&gt;COLUMNS(B535:R535),534,"")</f>
        <v>0</v>
      </c>
      <c r="C535" s="1">
        <f>IF(B535="", "", "Host-associated")</f>
        <v>0</v>
      </c>
      <c r="G535" s="1">
        <f>IF(B535="", "", "host-associated")</f>
        <v>0</v>
      </c>
      <c r="I535" s="1">
        <f>IF(B535="", "", "years")</f>
        <v>0</v>
      </c>
      <c r="L535" s="1">
        <f>IF(B535="", "", "cm")</f>
        <v>0</v>
      </c>
      <c r="P535" s="1">
        <f>IF(B535="", "", "kg")</f>
        <v>0</v>
      </c>
      <c r="R535" s="1">
        <f>IF(B535="", "", "Not applicable")</f>
        <v>0</v>
      </c>
    </row>
    <row r="536" spans="1:18">
      <c r="A536">
        <f>IF(COUNTBLANK(B536:R536)&lt;&gt;COLUMNS(B536:R536),535,"")</f>
        <v>0</v>
      </c>
      <c r="C536" s="1">
        <f>IF(B536="", "", "Host-associated")</f>
        <v>0</v>
      </c>
      <c r="G536" s="1">
        <f>IF(B536="", "", "host-associated")</f>
        <v>0</v>
      </c>
      <c r="I536" s="1">
        <f>IF(B536="", "", "years")</f>
        <v>0</v>
      </c>
      <c r="L536" s="1">
        <f>IF(B536="", "", "cm")</f>
        <v>0</v>
      </c>
      <c r="P536" s="1">
        <f>IF(B536="", "", "kg")</f>
        <v>0</v>
      </c>
      <c r="R536" s="1">
        <f>IF(B536="", "", "Not applicable")</f>
        <v>0</v>
      </c>
    </row>
    <row r="537" spans="1:18">
      <c r="A537">
        <f>IF(COUNTBLANK(B537:R537)&lt;&gt;COLUMNS(B537:R537),536,"")</f>
        <v>0</v>
      </c>
      <c r="C537" s="1">
        <f>IF(B537="", "", "Host-associated")</f>
        <v>0</v>
      </c>
      <c r="G537" s="1">
        <f>IF(B537="", "", "host-associated")</f>
        <v>0</v>
      </c>
      <c r="I537" s="1">
        <f>IF(B537="", "", "years")</f>
        <v>0</v>
      </c>
      <c r="L537" s="1">
        <f>IF(B537="", "", "cm")</f>
        <v>0</v>
      </c>
      <c r="P537" s="1">
        <f>IF(B537="", "", "kg")</f>
        <v>0</v>
      </c>
      <c r="R537" s="1">
        <f>IF(B537="", "", "Not applicable")</f>
        <v>0</v>
      </c>
    </row>
    <row r="538" spans="1:18">
      <c r="A538">
        <f>IF(COUNTBLANK(B538:R538)&lt;&gt;COLUMNS(B538:R538),537,"")</f>
        <v>0</v>
      </c>
      <c r="C538" s="1">
        <f>IF(B538="", "", "Host-associated")</f>
        <v>0</v>
      </c>
      <c r="G538" s="1">
        <f>IF(B538="", "", "host-associated")</f>
        <v>0</v>
      </c>
      <c r="I538" s="1">
        <f>IF(B538="", "", "years")</f>
        <v>0</v>
      </c>
      <c r="L538" s="1">
        <f>IF(B538="", "", "cm")</f>
        <v>0</v>
      </c>
      <c r="P538" s="1">
        <f>IF(B538="", "", "kg")</f>
        <v>0</v>
      </c>
      <c r="R538" s="1">
        <f>IF(B538="", "", "Not applicable")</f>
        <v>0</v>
      </c>
    </row>
    <row r="539" spans="1:18">
      <c r="A539">
        <f>IF(COUNTBLANK(B539:R539)&lt;&gt;COLUMNS(B539:R539),538,"")</f>
        <v>0</v>
      </c>
      <c r="C539" s="1">
        <f>IF(B539="", "", "Host-associated")</f>
        <v>0</v>
      </c>
      <c r="G539" s="1">
        <f>IF(B539="", "", "host-associated")</f>
        <v>0</v>
      </c>
      <c r="I539" s="1">
        <f>IF(B539="", "", "years")</f>
        <v>0</v>
      </c>
      <c r="L539" s="1">
        <f>IF(B539="", "", "cm")</f>
        <v>0</v>
      </c>
      <c r="P539" s="1">
        <f>IF(B539="", "", "kg")</f>
        <v>0</v>
      </c>
      <c r="R539" s="1">
        <f>IF(B539="", "", "Not applicable")</f>
        <v>0</v>
      </c>
    </row>
    <row r="540" spans="1:18">
      <c r="A540">
        <f>IF(COUNTBLANK(B540:R540)&lt;&gt;COLUMNS(B540:R540),539,"")</f>
        <v>0</v>
      </c>
      <c r="C540" s="1">
        <f>IF(B540="", "", "Host-associated")</f>
        <v>0</v>
      </c>
      <c r="G540" s="1">
        <f>IF(B540="", "", "host-associated")</f>
        <v>0</v>
      </c>
      <c r="I540" s="1">
        <f>IF(B540="", "", "years")</f>
        <v>0</v>
      </c>
      <c r="L540" s="1">
        <f>IF(B540="", "", "cm")</f>
        <v>0</v>
      </c>
      <c r="P540" s="1">
        <f>IF(B540="", "", "kg")</f>
        <v>0</v>
      </c>
      <c r="R540" s="1">
        <f>IF(B540="", "", "Not applicable")</f>
        <v>0</v>
      </c>
    </row>
    <row r="541" spans="1:18">
      <c r="A541">
        <f>IF(COUNTBLANK(B541:R541)&lt;&gt;COLUMNS(B541:R541),540,"")</f>
        <v>0</v>
      </c>
      <c r="C541" s="1">
        <f>IF(B541="", "", "Host-associated")</f>
        <v>0</v>
      </c>
      <c r="G541" s="1">
        <f>IF(B541="", "", "host-associated")</f>
        <v>0</v>
      </c>
      <c r="I541" s="1">
        <f>IF(B541="", "", "years")</f>
        <v>0</v>
      </c>
      <c r="L541" s="1">
        <f>IF(B541="", "", "cm")</f>
        <v>0</v>
      </c>
      <c r="P541" s="1">
        <f>IF(B541="", "", "kg")</f>
        <v>0</v>
      </c>
      <c r="R541" s="1">
        <f>IF(B541="", "", "Not applicable")</f>
        <v>0</v>
      </c>
    </row>
    <row r="542" spans="1:18">
      <c r="A542">
        <f>IF(COUNTBLANK(B542:R542)&lt;&gt;COLUMNS(B542:R542),541,"")</f>
        <v>0</v>
      </c>
      <c r="C542" s="1">
        <f>IF(B542="", "", "Host-associated")</f>
        <v>0</v>
      </c>
      <c r="G542" s="1">
        <f>IF(B542="", "", "host-associated")</f>
        <v>0</v>
      </c>
      <c r="I542" s="1">
        <f>IF(B542="", "", "years")</f>
        <v>0</v>
      </c>
      <c r="L542" s="1">
        <f>IF(B542="", "", "cm")</f>
        <v>0</v>
      </c>
      <c r="P542" s="1">
        <f>IF(B542="", "", "kg")</f>
        <v>0</v>
      </c>
      <c r="R542" s="1">
        <f>IF(B542="", "", "Not applicable")</f>
        <v>0</v>
      </c>
    </row>
    <row r="543" spans="1:18">
      <c r="A543">
        <f>IF(COUNTBLANK(B543:R543)&lt;&gt;COLUMNS(B543:R543),542,"")</f>
        <v>0</v>
      </c>
      <c r="C543" s="1">
        <f>IF(B543="", "", "Host-associated")</f>
        <v>0</v>
      </c>
      <c r="G543" s="1">
        <f>IF(B543="", "", "host-associated")</f>
        <v>0</v>
      </c>
      <c r="I543" s="1">
        <f>IF(B543="", "", "years")</f>
        <v>0</v>
      </c>
      <c r="L543" s="1">
        <f>IF(B543="", "", "cm")</f>
        <v>0</v>
      </c>
      <c r="P543" s="1">
        <f>IF(B543="", "", "kg")</f>
        <v>0</v>
      </c>
      <c r="R543" s="1">
        <f>IF(B543="", "", "Not applicable")</f>
        <v>0</v>
      </c>
    </row>
    <row r="544" spans="1:18">
      <c r="A544">
        <f>IF(COUNTBLANK(B544:R544)&lt;&gt;COLUMNS(B544:R544),543,"")</f>
        <v>0</v>
      </c>
      <c r="C544" s="1">
        <f>IF(B544="", "", "Host-associated")</f>
        <v>0</v>
      </c>
      <c r="G544" s="1">
        <f>IF(B544="", "", "host-associated")</f>
        <v>0</v>
      </c>
      <c r="I544" s="1">
        <f>IF(B544="", "", "years")</f>
        <v>0</v>
      </c>
      <c r="L544" s="1">
        <f>IF(B544="", "", "cm")</f>
        <v>0</v>
      </c>
      <c r="P544" s="1">
        <f>IF(B544="", "", "kg")</f>
        <v>0</v>
      </c>
      <c r="R544" s="1">
        <f>IF(B544="", "", "Not applicable")</f>
        <v>0</v>
      </c>
    </row>
    <row r="545" spans="1:18">
      <c r="A545">
        <f>IF(COUNTBLANK(B545:R545)&lt;&gt;COLUMNS(B545:R545),544,"")</f>
        <v>0</v>
      </c>
      <c r="C545" s="1">
        <f>IF(B545="", "", "Host-associated")</f>
        <v>0</v>
      </c>
      <c r="G545" s="1">
        <f>IF(B545="", "", "host-associated")</f>
        <v>0</v>
      </c>
      <c r="I545" s="1">
        <f>IF(B545="", "", "years")</f>
        <v>0</v>
      </c>
      <c r="L545" s="1">
        <f>IF(B545="", "", "cm")</f>
        <v>0</v>
      </c>
      <c r="P545" s="1">
        <f>IF(B545="", "", "kg")</f>
        <v>0</v>
      </c>
      <c r="R545" s="1">
        <f>IF(B545="", "", "Not applicable")</f>
        <v>0</v>
      </c>
    </row>
    <row r="546" spans="1:18">
      <c r="A546">
        <f>IF(COUNTBLANK(B546:R546)&lt;&gt;COLUMNS(B546:R546),545,"")</f>
        <v>0</v>
      </c>
      <c r="C546" s="1">
        <f>IF(B546="", "", "Host-associated")</f>
        <v>0</v>
      </c>
      <c r="G546" s="1">
        <f>IF(B546="", "", "host-associated")</f>
        <v>0</v>
      </c>
      <c r="I546" s="1">
        <f>IF(B546="", "", "years")</f>
        <v>0</v>
      </c>
      <c r="L546" s="1">
        <f>IF(B546="", "", "cm")</f>
        <v>0</v>
      </c>
      <c r="P546" s="1">
        <f>IF(B546="", "", "kg")</f>
        <v>0</v>
      </c>
      <c r="R546" s="1">
        <f>IF(B546="", "", "Not applicable")</f>
        <v>0</v>
      </c>
    </row>
    <row r="547" spans="1:18">
      <c r="A547">
        <f>IF(COUNTBLANK(B547:R547)&lt;&gt;COLUMNS(B547:R547),546,"")</f>
        <v>0</v>
      </c>
      <c r="C547" s="1">
        <f>IF(B547="", "", "Host-associated")</f>
        <v>0</v>
      </c>
      <c r="G547" s="1">
        <f>IF(B547="", "", "host-associated")</f>
        <v>0</v>
      </c>
      <c r="I547" s="1">
        <f>IF(B547="", "", "years")</f>
        <v>0</v>
      </c>
      <c r="L547" s="1">
        <f>IF(B547="", "", "cm")</f>
        <v>0</v>
      </c>
      <c r="P547" s="1">
        <f>IF(B547="", "", "kg")</f>
        <v>0</v>
      </c>
      <c r="R547" s="1">
        <f>IF(B547="", "", "Not applicable")</f>
        <v>0</v>
      </c>
    </row>
    <row r="548" spans="1:18">
      <c r="A548">
        <f>IF(COUNTBLANK(B548:R548)&lt;&gt;COLUMNS(B548:R548),547,"")</f>
        <v>0</v>
      </c>
      <c r="C548" s="1">
        <f>IF(B548="", "", "Host-associated")</f>
        <v>0</v>
      </c>
      <c r="G548" s="1">
        <f>IF(B548="", "", "host-associated")</f>
        <v>0</v>
      </c>
      <c r="I548" s="1">
        <f>IF(B548="", "", "years")</f>
        <v>0</v>
      </c>
      <c r="L548" s="1">
        <f>IF(B548="", "", "cm")</f>
        <v>0</v>
      </c>
      <c r="P548" s="1">
        <f>IF(B548="", "", "kg")</f>
        <v>0</v>
      </c>
      <c r="R548" s="1">
        <f>IF(B548="", "", "Not applicable")</f>
        <v>0</v>
      </c>
    </row>
    <row r="549" spans="1:18">
      <c r="A549">
        <f>IF(COUNTBLANK(B549:R549)&lt;&gt;COLUMNS(B549:R549),548,"")</f>
        <v>0</v>
      </c>
      <c r="C549" s="1">
        <f>IF(B549="", "", "Host-associated")</f>
        <v>0</v>
      </c>
      <c r="G549" s="1">
        <f>IF(B549="", "", "host-associated")</f>
        <v>0</v>
      </c>
      <c r="I549" s="1">
        <f>IF(B549="", "", "years")</f>
        <v>0</v>
      </c>
      <c r="L549" s="1">
        <f>IF(B549="", "", "cm")</f>
        <v>0</v>
      </c>
      <c r="P549" s="1">
        <f>IF(B549="", "", "kg")</f>
        <v>0</v>
      </c>
      <c r="R549" s="1">
        <f>IF(B549="", "", "Not applicable")</f>
        <v>0</v>
      </c>
    </row>
    <row r="550" spans="1:18">
      <c r="A550">
        <f>IF(COUNTBLANK(B550:R550)&lt;&gt;COLUMNS(B550:R550),549,"")</f>
        <v>0</v>
      </c>
      <c r="C550" s="1">
        <f>IF(B550="", "", "Host-associated")</f>
        <v>0</v>
      </c>
      <c r="G550" s="1">
        <f>IF(B550="", "", "host-associated")</f>
        <v>0</v>
      </c>
      <c r="I550" s="1">
        <f>IF(B550="", "", "years")</f>
        <v>0</v>
      </c>
      <c r="L550" s="1">
        <f>IF(B550="", "", "cm")</f>
        <v>0</v>
      </c>
      <c r="P550" s="1">
        <f>IF(B550="", "", "kg")</f>
        <v>0</v>
      </c>
      <c r="R550" s="1">
        <f>IF(B550="", "", "Not applicable")</f>
        <v>0</v>
      </c>
    </row>
    <row r="551" spans="1:18">
      <c r="A551">
        <f>IF(COUNTBLANK(B551:R551)&lt;&gt;COLUMNS(B551:R551),550,"")</f>
        <v>0</v>
      </c>
      <c r="C551" s="1">
        <f>IF(B551="", "", "Host-associated")</f>
        <v>0</v>
      </c>
      <c r="G551" s="1">
        <f>IF(B551="", "", "host-associated")</f>
        <v>0</v>
      </c>
      <c r="I551" s="1">
        <f>IF(B551="", "", "years")</f>
        <v>0</v>
      </c>
      <c r="L551" s="1">
        <f>IF(B551="", "", "cm")</f>
        <v>0</v>
      </c>
      <c r="P551" s="1">
        <f>IF(B551="", "", "kg")</f>
        <v>0</v>
      </c>
      <c r="R551" s="1">
        <f>IF(B551="", "", "Not applicable")</f>
        <v>0</v>
      </c>
    </row>
    <row r="552" spans="1:18">
      <c r="A552">
        <f>IF(COUNTBLANK(B552:R552)&lt;&gt;COLUMNS(B552:R552),551,"")</f>
        <v>0</v>
      </c>
      <c r="C552" s="1">
        <f>IF(B552="", "", "Host-associated")</f>
        <v>0</v>
      </c>
      <c r="G552" s="1">
        <f>IF(B552="", "", "host-associated")</f>
        <v>0</v>
      </c>
      <c r="I552" s="1">
        <f>IF(B552="", "", "years")</f>
        <v>0</v>
      </c>
      <c r="L552" s="1">
        <f>IF(B552="", "", "cm")</f>
        <v>0</v>
      </c>
      <c r="P552" s="1">
        <f>IF(B552="", "", "kg")</f>
        <v>0</v>
      </c>
      <c r="R552" s="1">
        <f>IF(B552="", "", "Not applicable")</f>
        <v>0</v>
      </c>
    </row>
    <row r="553" spans="1:18">
      <c r="A553">
        <f>IF(COUNTBLANK(B553:R553)&lt;&gt;COLUMNS(B553:R553),552,"")</f>
        <v>0</v>
      </c>
      <c r="C553" s="1">
        <f>IF(B553="", "", "Host-associated")</f>
        <v>0</v>
      </c>
      <c r="G553" s="1">
        <f>IF(B553="", "", "host-associated")</f>
        <v>0</v>
      </c>
      <c r="I553" s="1">
        <f>IF(B553="", "", "years")</f>
        <v>0</v>
      </c>
      <c r="L553" s="1">
        <f>IF(B553="", "", "cm")</f>
        <v>0</v>
      </c>
      <c r="P553" s="1">
        <f>IF(B553="", "", "kg")</f>
        <v>0</v>
      </c>
      <c r="R553" s="1">
        <f>IF(B553="", "", "Not applicable")</f>
        <v>0</v>
      </c>
    </row>
    <row r="554" spans="1:18">
      <c r="A554">
        <f>IF(COUNTBLANK(B554:R554)&lt;&gt;COLUMNS(B554:R554),553,"")</f>
        <v>0</v>
      </c>
      <c r="C554" s="1">
        <f>IF(B554="", "", "Host-associated")</f>
        <v>0</v>
      </c>
      <c r="G554" s="1">
        <f>IF(B554="", "", "host-associated")</f>
        <v>0</v>
      </c>
      <c r="I554" s="1">
        <f>IF(B554="", "", "years")</f>
        <v>0</v>
      </c>
      <c r="L554" s="1">
        <f>IF(B554="", "", "cm")</f>
        <v>0</v>
      </c>
      <c r="P554" s="1">
        <f>IF(B554="", "", "kg")</f>
        <v>0</v>
      </c>
      <c r="R554" s="1">
        <f>IF(B554="", "", "Not applicable")</f>
        <v>0</v>
      </c>
    </row>
    <row r="555" spans="1:18">
      <c r="A555">
        <f>IF(COUNTBLANK(B555:R555)&lt;&gt;COLUMNS(B555:R555),554,"")</f>
        <v>0</v>
      </c>
      <c r="C555" s="1">
        <f>IF(B555="", "", "Host-associated")</f>
        <v>0</v>
      </c>
      <c r="G555" s="1">
        <f>IF(B555="", "", "host-associated")</f>
        <v>0</v>
      </c>
      <c r="I555" s="1">
        <f>IF(B555="", "", "years")</f>
        <v>0</v>
      </c>
      <c r="L555" s="1">
        <f>IF(B555="", "", "cm")</f>
        <v>0</v>
      </c>
      <c r="P555" s="1">
        <f>IF(B555="", "", "kg")</f>
        <v>0</v>
      </c>
      <c r="R555" s="1">
        <f>IF(B555="", "", "Not applicable")</f>
        <v>0</v>
      </c>
    </row>
    <row r="556" spans="1:18">
      <c r="A556">
        <f>IF(COUNTBLANK(B556:R556)&lt;&gt;COLUMNS(B556:R556),555,"")</f>
        <v>0</v>
      </c>
      <c r="C556" s="1">
        <f>IF(B556="", "", "Host-associated")</f>
        <v>0</v>
      </c>
      <c r="G556" s="1">
        <f>IF(B556="", "", "host-associated")</f>
        <v>0</v>
      </c>
      <c r="I556" s="1">
        <f>IF(B556="", "", "years")</f>
        <v>0</v>
      </c>
      <c r="L556" s="1">
        <f>IF(B556="", "", "cm")</f>
        <v>0</v>
      </c>
      <c r="P556" s="1">
        <f>IF(B556="", "", "kg")</f>
        <v>0</v>
      </c>
      <c r="R556" s="1">
        <f>IF(B556="", "", "Not applicable")</f>
        <v>0</v>
      </c>
    </row>
    <row r="557" spans="1:18">
      <c r="A557">
        <f>IF(COUNTBLANK(B557:R557)&lt;&gt;COLUMNS(B557:R557),556,"")</f>
        <v>0</v>
      </c>
      <c r="C557" s="1">
        <f>IF(B557="", "", "Host-associated")</f>
        <v>0</v>
      </c>
      <c r="G557" s="1">
        <f>IF(B557="", "", "host-associated")</f>
        <v>0</v>
      </c>
      <c r="I557" s="1">
        <f>IF(B557="", "", "years")</f>
        <v>0</v>
      </c>
      <c r="L557" s="1">
        <f>IF(B557="", "", "cm")</f>
        <v>0</v>
      </c>
      <c r="P557" s="1">
        <f>IF(B557="", "", "kg")</f>
        <v>0</v>
      </c>
      <c r="R557" s="1">
        <f>IF(B557="", "", "Not applicable")</f>
        <v>0</v>
      </c>
    </row>
    <row r="558" spans="1:18">
      <c r="A558">
        <f>IF(COUNTBLANK(B558:R558)&lt;&gt;COLUMNS(B558:R558),557,"")</f>
        <v>0</v>
      </c>
      <c r="C558" s="1">
        <f>IF(B558="", "", "Host-associated")</f>
        <v>0</v>
      </c>
      <c r="G558" s="1">
        <f>IF(B558="", "", "host-associated")</f>
        <v>0</v>
      </c>
      <c r="I558" s="1">
        <f>IF(B558="", "", "years")</f>
        <v>0</v>
      </c>
      <c r="L558" s="1">
        <f>IF(B558="", "", "cm")</f>
        <v>0</v>
      </c>
      <c r="P558" s="1">
        <f>IF(B558="", "", "kg")</f>
        <v>0</v>
      </c>
      <c r="R558" s="1">
        <f>IF(B558="", "", "Not applicable")</f>
        <v>0</v>
      </c>
    </row>
    <row r="559" spans="1:18">
      <c r="A559">
        <f>IF(COUNTBLANK(B559:R559)&lt;&gt;COLUMNS(B559:R559),558,"")</f>
        <v>0</v>
      </c>
      <c r="C559" s="1">
        <f>IF(B559="", "", "Host-associated")</f>
        <v>0</v>
      </c>
      <c r="G559" s="1">
        <f>IF(B559="", "", "host-associated")</f>
        <v>0</v>
      </c>
      <c r="I559" s="1">
        <f>IF(B559="", "", "years")</f>
        <v>0</v>
      </c>
      <c r="L559" s="1">
        <f>IF(B559="", "", "cm")</f>
        <v>0</v>
      </c>
      <c r="P559" s="1">
        <f>IF(B559="", "", "kg")</f>
        <v>0</v>
      </c>
      <c r="R559" s="1">
        <f>IF(B559="", "", "Not applicable")</f>
        <v>0</v>
      </c>
    </row>
    <row r="560" spans="1:18">
      <c r="A560">
        <f>IF(COUNTBLANK(B560:R560)&lt;&gt;COLUMNS(B560:R560),559,"")</f>
        <v>0</v>
      </c>
      <c r="C560" s="1">
        <f>IF(B560="", "", "Host-associated")</f>
        <v>0</v>
      </c>
      <c r="G560" s="1">
        <f>IF(B560="", "", "host-associated")</f>
        <v>0</v>
      </c>
      <c r="I560" s="1">
        <f>IF(B560="", "", "years")</f>
        <v>0</v>
      </c>
      <c r="L560" s="1">
        <f>IF(B560="", "", "cm")</f>
        <v>0</v>
      </c>
      <c r="P560" s="1">
        <f>IF(B560="", "", "kg")</f>
        <v>0</v>
      </c>
      <c r="R560" s="1">
        <f>IF(B560="", "", "Not applicable")</f>
        <v>0</v>
      </c>
    </row>
    <row r="561" spans="1:18">
      <c r="A561">
        <f>IF(COUNTBLANK(B561:R561)&lt;&gt;COLUMNS(B561:R561),560,"")</f>
        <v>0</v>
      </c>
      <c r="C561" s="1">
        <f>IF(B561="", "", "Host-associated")</f>
        <v>0</v>
      </c>
      <c r="G561" s="1">
        <f>IF(B561="", "", "host-associated")</f>
        <v>0</v>
      </c>
      <c r="I561" s="1">
        <f>IF(B561="", "", "years")</f>
        <v>0</v>
      </c>
      <c r="L561" s="1">
        <f>IF(B561="", "", "cm")</f>
        <v>0</v>
      </c>
      <c r="P561" s="1">
        <f>IF(B561="", "", "kg")</f>
        <v>0</v>
      </c>
      <c r="R561" s="1">
        <f>IF(B561="", "", "Not applicable")</f>
        <v>0</v>
      </c>
    </row>
    <row r="562" spans="1:18">
      <c r="A562">
        <f>IF(COUNTBLANK(B562:R562)&lt;&gt;COLUMNS(B562:R562),561,"")</f>
        <v>0</v>
      </c>
      <c r="C562" s="1">
        <f>IF(B562="", "", "Host-associated")</f>
        <v>0</v>
      </c>
      <c r="G562" s="1">
        <f>IF(B562="", "", "host-associated")</f>
        <v>0</v>
      </c>
      <c r="I562" s="1">
        <f>IF(B562="", "", "years")</f>
        <v>0</v>
      </c>
      <c r="L562" s="1">
        <f>IF(B562="", "", "cm")</f>
        <v>0</v>
      </c>
      <c r="P562" s="1">
        <f>IF(B562="", "", "kg")</f>
        <v>0</v>
      </c>
      <c r="R562" s="1">
        <f>IF(B562="", "", "Not applicable")</f>
        <v>0</v>
      </c>
    </row>
    <row r="563" spans="1:18">
      <c r="A563">
        <f>IF(COUNTBLANK(B563:R563)&lt;&gt;COLUMNS(B563:R563),562,"")</f>
        <v>0</v>
      </c>
      <c r="C563" s="1">
        <f>IF(B563="", "", "Host-associated")</f>
        <v>0</v>
      </c>
      <c r="G563" s="1">
        <f>IF(B563="", "", "host-associated")</f>
        <v>0</v>
      </c>
      <c r="I563" s="1">
        <f>IF(B563="", "", "years")</f>
        <v>0</v>
      </c>
      <c r="L563" s="1">
        <f>IF(B563="", "", "cm")</f>
        <v>0</v>
      </c>
      <c r="P563" s="1">
        <f>IF(B563="", "", "kg")</f>
        <v>0</v>
      </c>
      <c r="R563" s="1">
        <f>IF(B563="", "", "Not applicable")</f>
        <v>0</v>
      </c>
    </row>
    <row r="564" spans="1:18">
      <c r="A564">
        <f>IF(COUNTBLANK(B564:R564)&lt;&gt;COLUMNS(B564:R564),563,"")</f>
        <v>0</v>
      </c>
      <c r="C564" s="1">
        <f>IF(B564="", "", "Host-associated")</f>
        <v>0</v>
      </c>
      <c r="G564" s="1">
        <f>IF(B564="", "", "host-associated")</f>
        <v>0</v>
      </c>
      <c r="I564" s="1">
        <f>IF(B564="", "", "years")</f>
        <v>0</v>
      </c>
      <c r="L564" s="1">
        <f>IF(B564="", "", "cm")</f>
        <v>0</v>
      </c>
      <c r="P564" s="1">
        <f>IF(B564="", "", "kg")</f>
        <v>0</v>
      </c>
      <c r="R564" s="1">
        <f>IF(B564="", "", "Not applicable")</f>
        <v>0</v>
      </c>
    </row>
    <row r="565" spans="1:18">
      <c r="A565">
        <f>IF(COUNTBLANK(B565:R565)&lt;&gt;COLUMNS(B565:R565),564,"")</f>
        <v>0</v>
      </c>
      <c r="C565" s="1">
        <f>IF(B565="", "", "Host-associated")</f>
        <v>0</v>
      </c>
      <c r="G565" s="1">
        <f>IF(B565="", "", "host-associated")</f>
        <v>0</v>
      </c>
      <c r="I565" s="1">
        <f>IF(B565="", "", "years")</f>
        <v>0</v>
      </c>
      <c r="L565" s="1">
        <f>IF(B565="", "", "cm")</f>
        <v>0</v>
      </c>
      <c r="P565" s="1">
        <f>IF(B565="", "", "kg")</f>
        <v>0</v>
      </c>
      <c r="R565" s="1">
        <f>IF(B565="", "", "Not applicable")</f>
        <v>0</v>
      </c>
    </row>
    <row r="566" spans="1:18">
      <c r="A566">
        <f>IF(COUNTBLANK(B566:R566)&lt;&gt;COLUMNS(B566:R566),565,"")</f>
        <v>0</v>
      </c>
      <c r="C566" s="1">
        <f>IF(B566="", "", "Host-associated")</f>
        <v>0</v>
      </c>
      <c r="G566" s="1">
        <f>IF(B566="", "", "host-associated")</f>
        <v>0</v>
      </c>
      <c r="I566" s="1">
        <f>IF(B566="", "", "years")</f>
        <v>0</v>
      </c>
      <c r="L566" s="1">
        <f>IF(B566="", "", "cm")</f>
        <v>0</v>
      </c>
      <c r="P566" s="1">
        <f>IF(B566="", "", "kg")</f>
        <v>0</v>
      </c>
      <c r="R566" s="1">
        <f>IF(B566="", "", "Not applicable")</f>
        <v>0</v>
      </c>
    </row>
    <row r="567" spans="1:18">
      <c r="A567">
        <f>IF(COUNTBLANK(B567:R567)&lt;&gt;COLUMNS(B567:R567),566,"")</f>
        <v>0</v>
      </c>
      <c r="C567" s="1">
        <f>IF(B567="", "", "Host-associated")</f>
        <v>0</v>
      </c>
      <c r="G567" s="1">
        <f>IF(B567="", "", "host-associated")</f>
        <v>0</v>
      </c>
      <c r="I567" s="1">
        <f>IF(B567="", "", "years")</f>
        <v>0</v>
      </c>
      <c r="L567" s="1">
        <f>IF(B567="", "", "cm")</f>
        <v>0</v>
      </c>
      <c r="P567" s="1">
        <f>IF(B567="", "", "kg")</f>
        <v>0</v>
      </c>
      <c r="R567" s="1">
        <f>IF(B567="", "", "Not applicable")</f>
        <v>0</v>
      </c>
    </row>
    <row r="568" spans="1:18">
      <c r="A568">
        <f>IF(COUNTBLANK(B568:R568)&lt;&gt;COLUMNS(B568:R568),567,"")</f>
        <v>0</v>
      </c>
      <c r="C568" s="1">
        <f>IF(B568="", "", "Host-associated")</f>
        <v>0</v>
      </c>
      <c r="G568" s="1">
        <f>IF(B568="", "", "host-associated")</f>
        <v>0</v>
      </c>
      <c r="I568" s="1">
        <f>IF(B568="", "", "years")</f>
        <v>0</v>
      </c>
      <c r="L568" s="1">
        <f>IF(B568="", "", "cm")</f>
        <v>0</v>
      </c>
      <c r="P568" s="1">
        <f>IF(B568="", "", "kg")</f>
        <v>0</v>
      </c>
      <c r="R568" s="1">
        <f>IF(B568="", "", "Not applicable")</f>
        <v>0</v>
      </c>
    </row>
    <row r="569" spans="1:18">
      <c r="A569">
        <f>IF(COUNTBLANK(B569:R569)&lt;&gt;COLUMNS(B569:R569),568,"")</f>
        <v>0</v>
      </c>
      <c r="C569" s="1">
        <f>IF(B569="", "", "Host-associated")</f>
        <v>0</v>
      </c>
      <c r="G569" s="1">
        <f>IF(B569="", "", "host-associated")</f>
        <v>0</v>
      </c>
      <c r="I569" s="1">
        <f>IF(B569="", "", "years")</f>
        <v>0</v>
      </c>
      <c r="L569" s="1">
        <f>IF(B569="", "", "cm")</f>
        <v>0</v>
      </c>
      <c r="P569" s="1">
        <f>IF(B569="", "", "kg")</f>
        <v>0</v>
      </c>
      <c r="R569" s="1">
        <f>IF(B569="", "", "Not applicable")</f>
        <v>0</v>
      </c>
    </row>
    <row r="570" spans="1:18">
      <c r="A570">
        <f>IF(COUNTBLANK(B570:R570)&lt;&gt;COLUMNS(B570:R570),569,"")</f>
        <v>0</v>
      </c>
      <c r="C570" s="1">
        <f>IF(B570="", "", "Host-associated")</f>
        <v>0</v>
      </c>
      <c r="G570" s="1">
        <f>IF(B570="", "", "host-associated")</f>
        <v>0</v>
      </c>
      <c r="I570" s="1">
        <f>IF(B570="", "", "years")</f>
        <v>0</v>
      </c>
      <c r="L570" s="1">
        <f>IF(B570="", "", "cm")</f>
        <v>0</v>
      </c>
      <c r="P570" s="1">
        <f>IF(B570="", "", "kg")</f>
        <v>0</v>
      </c>
      <c r="R570" s="1">
        <f>IF(B570="", "", "Not applicable")</f>
        <v>0</v>
      </c>
    </row>
    <row r="571" spans="1:18">
      <c r="A571">
        <f>IF(COUNTBLANK(B571:R571)&lt;&gt;COLUMNS(B571:R571),570,"")</f>
        <v>0</v>
      </c>
      <c r="C571" s="1">
        <f>IF(B571="", "", "Host-associated")</f>
        <v>0</v>
      </c>
      <c r="G571" s="1">
        <f>IF(B571="", "", "host-associated")</f>
        <v>0</v>
      </c>
      <c r="I571" s="1">
        <f>IF(B571="", "", "years")</f>
        <v>0</v>
      </c>
      <c r="L571" s="1">
        <f>IF(B571="", "", "cm")</f>
        <v>0</v>
      </c>
      <c r="P571" s="1">
        <f>IF(B571="", "", "kg")</f>
        <v>0</v>
      </c>
      <c r="R571" s="1">
        <f>IF(B571="", "", "Not applicable")</f>
        <v>0</v>
      </c>
    </row>
    <row r="572" spans="1:18">
      <c r="A572">
        <f>IF(COUNTBLANK(B572:R572)&lt;&gt;COLUMNS(B572:R572),571,"")</f>
        <v>0</v>
      </c>
      <c r="C572" s="1">
        <f>IF(B572="", "", "Host-associated")</f>
        <v>0</v>
      </c>
      <c r="G572" s="1">
        <f>IF(B572="", "", "host-associated")</f>
        <v>0</v>
      </c>
      <c r="I572" s="1">
        <f>IF(B572="", "", "years")</f>
        <v>0</v>
      </c>
      <c r="L572" s="1">
        <f>IF(B572="", "", "cm")</f>
        <v>0</v>
      </c>
      <c r="P572" s="1">
        <f>IF(B572="", "", "kg")</f>
        <v>0</v>
      </c>
      <c r="R572" s="1">
        <f>IF(B572="", "", "Not applicable")</f>
        <v>0</v>
      </c>
    </row>
    <row r="573" spans="1:18">
      <c r="A573">
        <f>IF(COUNTBLANK(B573:R573)&lt;&gt;COLUMNS(B573:R573),572,"")</f>
        <v>0</v>
      </c>
      <c r="C573" s="1">
        <f>IF(B573="", "", "Host-associated")</f>
        <v>0</v>
      </c>
      <c r="G573" s="1">
        <f>IF(B573="", "", "host-associated")</f>
        <v>0</v>
      </c>
      <c r="I573" s="1">
        <f>IF(B573="", "", "years")</f>
        <v>0</v>
      </c>
      <c r="L573" s="1">
        <f>IF(B573="", "", "cm")</f>
        <v>0</v>
      </c>
      <c r="P573" s="1">
        <f>IF(B573="", "", "kg")</f>
        <v>0</v>
      </c>
      <c r="R573" s="1">
        <f>IF(B573="", "", "Not applicable")</f>
        <v>0</v>
      </c>
    </row>
    <row r="574" spans="1:18">
      <c r="A574">
        <f>IF(COUNTBLANK(B574:R574)&lt;&gt;COLUMNS(B574:R574),573,"")</f>
        <v>0</v>
      </c>
      <c r="C574" s="1">
        <f>IF(B574="", "", "Host-associated")</f>
        <v>0</v>
      </c>
      <c r="G574" s="1">
        <f>IF(B574="", "", "host-associated")</f>
        <v>0</v>
      </c>
      <c r="I574" s="1">
        <f>IF(B574="", "", "years")</f>
        <v>0</v>
      </c>
      <c r="L574" s="1">
        <f>IF(B574="", "", "cm")</f>
        <v>0</v>
      </c>
      <c r="P574" s="1">
        <f>IF(B574="", "", "kg")</f>
        <v>0</v>
      </c>
      <c r="R574" s="1">
        <f>IF(B574="", "", "Not applicable")</f>
        <v>0</v>
      </c>
    </row>
    <row r="575" spans="1:18">
      <c r="A575">
        <f>IF(COUNTBLANK(B575:R575)&lt;&gt;COLUMNS(B575:R575),574,"")</f>
        <v>0</v>
      </c>
      <c r="C575" s="1">
        <f>IF(B575="", "", "Host-associated")</f>
        <v>0</v>
      </c>
      <c r="G575" s="1">
        <f>IF(B575="", "", "host-associated")</f>
        <v>0</v>
      </c>
      <c r="I575" s="1">
        <f>IF(B575="", "", "years")</f>
        <v>0</v>
      </c>
      <c r="L575" s="1">
        <f>IF(B575="", "", "cm")</f>
        <v>0</v>
      </c>
      <c r="P575" s="1">
        <f>IF(B575="", "", "kg")</f>
        <v>0</v>
      </c>
      <c r="R575" s="1">
        <f>IF(B575="", "", "Not applicable")</f>
        <v>0</v>
      </c>
    </row>
    <row r="576" spans="1:18">
      <c r="A576">
        <f>IF(COUNTBLANK(B576:R576)&lt;&gt;COLUMNS(B576:R576),575,"")</f>
        <v>0</v>
      </c>
      <c r="C576" s="1">
        <f>IF(B576="", "", "Host-associated")</f>
        <v>0</v>
      </c>
      <c r="G576" s="1">
        <f>IF(B576="", "", "host-associated")</f>
        <v>0</v>
      </c>
      <c r="I576" s="1">
        <f>IF(B576="", "", "years")</f>
        <v>0</v>
      </c>
      <c r="L576" s="1">
        <f>IF(B576="", "", "cm")</f>
        <v>0</v>
      </c>
      <c r="P576" s="1">
        <f>IF(B576="", "", "kg")</f>
        <v>0</v>
      </c>
      <c r="R576" s="1">
        <f>IF(B576="", "", "Not applicable")</f>
        <v>0</v>
      </c>
    </row>
    <row r="577" spans="1:18">
      <c r="A577">
        <f>IF(COUNTBLANK(B577:R577)&lt;&gt;COLUMNS(B577:R577),576,"")</f>
        <v>0</v>
      </c>
      <c r="C577" s="1">
        <f>IF(B577="", "", "Host-associated")</f>
        <v>0</v>
      </c>
      <c r="G577" s="1">
        <f>IF(B577="", "", "host-associated")</f>
        <v>0</v>
      </c>
      <c r="I577" s="1">
        <f>IF(B577="", "", "years")</f>
        <v>0</v>
      </c>
      <c r="L577" s="1">
        <f>IF(B577="", "", "cm")</f>
        <v>0</v>
      </c>
      <c r="P577" s="1">
        <f>IF(B577="", "", "kg")</f>
        <v>0</v>
      </c>
      <c r="R577" s="1">
        <f>IF(B577="", "", "Not applicable")</f>
        <v>0</v>
      </c>
    </row>
    <row r="578" spans="1:18">
      <c r="A578">
        <f>IF(COUNTBLANK(B578:R578)&lt;&gt;COLUMNS(B578:R578),577,"")</f>
        <v>0</v>
      </c>
      <c r="C578" s="1">
        <f>IF(B578="", "", "Host-associated")</f>
        <v>0</v>
      </c>
      <c r="G578" s="1">
        <f>IF(B578="", "", "host-associated")</f>
        <v>0</v>
      </c>
      <c r="I578" s="1">
        <f>IF(B578="", "", "years")</f>
        <v>0</v>
      </c>
      <c r="L578" s="1">
        <f>IF(B578="", "", "cm")</f>
        <v>0</v>
      </c>
      <c r="P578" s="1">
        <f>IF(B578="", "", "kg")</f>
        <v>0</v>
      </c>
      <c r="R578" s="1">
        <f>IF(B578="", "", "Not applicable")</f>
        <v>0</v>
      </c>
    </row>
    <row r="579" spans="1:18">
      <c r="A579">
        <f>IF(COUNTBLANK(B579:R579)&lt;&gt;COLUMNS(B579:R579),578,"")</f>
        <v>0</v>
      </c>
      <c r="C579" s="1">
        <f>IF(B579="", "", "Host-associated")</f>
        <v>0</v>
      </c>
      <c r="G579" s="1">
        <f>IF(B579="", "", "host-associated")</f>
        <v>0</v>
      </c>
      <c r="I579" s="1">
        <f>IF(B579="", "", "years")</f>
        <v>0</v>
      </c>
      <c r="L579" s="1">
        <f>IF(B579="", "", "cm")</f>
        <v>0</v>
      </c>
      <c r="P579" s="1">
        <f>IF(B579="", "", "kg")</f>
        <v>0</v>
      </c>
      <c r="R579" s="1">
        <f>IF(B579="", "", "Not applicable")</f>
        <v>0</v>
      </c>
    </row>
    <row r="580" spans="1:18">
      <c r="A580">
        <f>IF(COUNTBLANK(B580:R580)&lt;&gt;COLUMNS(B580:R580),579,"")</f>
        <v>0</v>
      </c>
      <c r="C580" s="1">
        <f>IF(B580="", "", "Host-associated")</f>
        <v>0</v>
      </c>
      <c r="G580" s="1">
        <f>IF(B580="", "", "host-associated")</f>
        <v>0</v>
      </c>
      <c r="I580" s="1">
        <f>IF(B580="", "", "years")</f>
        <v>0</v>
      </c>
      <c r="L580" s="1">
        <f>IF(B580="", "", "cm")</f>
        <v>0</v>
      </c>
      <c r="P580" s="1">
        <f>IF(B580="", "", "kg")</f>
        <v>0</v>
      </c>
      <c r="R580" s="1">
        <f>IF(B580="", "", "Not applicable")</f>
        <v>0</v>
      </c>
    </row>
    <row r="581" spans="1:18">
      <c r="A581">
        <f>IF(COUNTBLANK(B581:R581)&lt;&gt;COLUMNS(B581:R581),580,"")</f>
        <v>0</v>
      </c>
      <c r="C581" s="1">
        <f>IF(B581="", "", "Host-associated")</f>
        <v>0</v>
      </c>
      <c r="G581" s="1">
        <f>IF(B581="", "", "host-associated")</f>
        <v>0</v>
      </c>
      <c r="I581" s="1">
        <f>IF(B581="", "", "years")</f>
        <v>0</v>
      </c>
      <c r="L581" s="1">
        <f>IF(B581="", "", "cm")</f>
        <v>0</v>
      </c>
      <c r="P581" s="1">
        <f>IF(B581="", "", "kg")</f>
        <v>0</v>
      </c>
      <c r="R581" s="1">
        <f>IF(B581="", "", "Not applicable")</f>
        <v>0</v>
      </c>
    </row>
    <row r="582" spans="1:18">
      <c r="A582">
        <f>IF(COUNTBLANK(B582:R582)&lt;&gt;COLUMNS(B582:R582),581,"")</f>
        <v>0</v>
      </c>
      <c r="C582" s="1">
        <f>IF(B582="", "", "Host-associated")</f>
        <v>0</v>
      </c>
      <c r="G582" s="1">
        <f>IF(B582="", "", "host-associated")</f>
        <v>0</v>
      </c>
      <c r="I582" s="1">
        <f>IF(B582="", "", "years")</f>
        <v>0</v>
      </c>
      <c r="L582" s="1">
        <f>IF(B582="", "", "cm")</f>
        <v>0</v>
      </c>
      <c r="P582" s="1">
        <f>IF(B582="", "", "kg")</f>
        <v>0</v>
      </c>
      <c r="R582" s="1">
        <f>IF(B582="", "", "Not applicable")</f>
        <v>0</v>
      </c>
    </row>
    <row r="583" spans="1:18">
      <c r="A583">
        <f>IF(COUNTBLANK(B583:R583)&lt;&gt;COLUMNS(B583:R583),582,"")</f>
        <v>0</v>
      </c>
      <c r="C583" s="1">
        <f>IF(B583="", "", "Host-associated")</f>
        <v>0</v>
      </c>
      <c r="G583" s="1">
        <f>IF(B583="", "", "host-associated")</f>
        <v>0</v>
      </c>
      <c r="I583" s="1">
        <f>IF(B583="", "", "years")</f>
        <v>0</v>
      </c>
      <c r="L583" s="1">
        <f>IF(B583="", "", "cm")</f>
        <v>0</v>
      </c>
      <c r="P583" s="1">
        <f>IF(B583="", "", "kg")</f>
        <v>0</v>
      </c>
      <c r="R583" s="1">
        <f>IF(B583="", "", "Not applicable")</f>
        <v>0</v>
      </c>
    </row>
    <row r="584" spans="1:18">
      <c r="A584">
        <f>IF(COUNTBLANK(B584:R584)&lt;&gt;COLUMNS(B584:R584),583,"")</f>
        <v>0</v>
      </c>
      <c r="C584" s="1">
        <f>IF(B584="", "", "Host-associated")</f>
        <v>0</v>
      </c>
      <c r="G584" s="1">
        <f>IF(B584="", "", "host-associated")</f>
        <v>0</v>
      </c>
      <c r="I584" s="1">
        <f>IF(B584="", "", "years")</f>
        <v>0</v>
      </c>
      <c r="L584" s="1">
        <f>IF(B584="", "", "cm")</f>
        <v>0</v>
      </c>
      <c r="P584" s="1">
        <f>IF(B584="", "", "kg")</f>
        <v>0</v>
      </c>
      <c r="R584" s="1">
        <f>IF(B584="", "", "Not applicable")</f>
        <v>0</v>
      </c>
    </row>
    <row r="585" spans="1:18">
      <c r="A585">
        <f>IF(COUNTBLANK(B585:R585)&lt;&gt;COLUMNS(B585:R585),584,"")</f>
        <v>0</v>
      </c>
      <c r="C585" s="1">
        <f>IF(B585="", "", "Host-associated")</f>
        <v>0</v>
      </c>
      <c r="G585" s="1">
        <f>IF(B585="", "", "host-associated")</f>
        <v>0</v>
      </c>
      <c r="I585" s="1">
        <f>IF(B585="", "", "years")</f>
        <v>0</v>
      </c>
      <c r="L585" s="1">
        <f>IF(B585="", "", "cm")</f>
        <v>0</v>
      </c>
      <c r="P585" s="1">
        <f>IF(B585="", "", "kg")</f>
        <v>0</v>
      </c>
      <c r="R585" s="1">
        <f>IF(B585="", "", "Not applicable")</f>
        <v>0</v>
      </c>
    </row>
    <row r="586" spans="1:18">
      <c r="A586">
        <f>IF(COUNTBLANK(B586:R586)&lt;&gt;COLUMNS(B586:R586),585,"")</f>
        <v>0</v>
      </c>
      <c r="C586" s="1">
        <f>IF(B586="", "", "Host-associated")</f>
        <v>0</v>
      </c>
      <c r="G586" s="1">
        <f>IF(B586="", "", "host-associated")</f>
        <v>0</v>
      </c>
      <c r="I586" s="1">
        <f>IF(B586="", "", "years")</f>
        <v>0</v>
      </c>
      <c r="L586" s="1">
        <f>IF(B586="", "", "cm")</f>
        <v>0</v>
      </c>
      <c r="P586" s="1">
        <f>IF(B586="", "", "kg")</f>
        <v>0</v>
      </c>
      <c r="R586" s="1">
        <f>IF(B586="", "", "Not applicable")</f>
        <v>0</v>
      </c>
    </row>
    <row r="587" spans="1:18">
      <c r="A587">
        <f>IF(COUNTBLANK(B587:R587)&lt;&gt;COLUMNS(B587:R587),586,"")</f>
        <v>0</v>
      </c>
      <c r="C587" s="1">
        <f>IF(B587="", "", "Host-associated")</f>
        <v>0</v>
      </c>
      <c r="G587" s="1">
        <f>IF(B587="", "", "host-associated")</f>
        <v>0</v>
      </c>
      <c r="I587" s="1">
        <f>IF(B587="", "", "years")</f>
        <v>0</v>
      </c>
      <c r="L587" s="1">
        <f>IF(B587="", "", "cm")</f>
        <v>0</v>
      </c>
      <c r="P587" s="1">
        <f>IF(B587="", "", "kg")</f>
        <v>0</v>
      </c>
      <c r="R587" s="1">
        <f>IF(B587="", "", "Not applicable")</f>
        <v>0</v>
      </c>
    </row>
    <row r="588" spans="1:18">
      <c r="A588">
        <f>IF(COUNTBLANK(B588:R588)&lt;&gt;COLUMNS(B588:R588),587,"")</f>
        <v>0</v>
      </c>
      <c r="C588" s="1">
        <f>IF(B588="", "", "Host-associated")</f>
        <v>0</v>
      </c>
      <c r="G588" s="1">
        <f>IF(B588="", "", "host-associated")</f>
        <v>0</v>
      </c>
      <c r="I588" s="1">
        <f>IF(B588="", "", "years")</f>
        <v>0</v>
      </c>
      <c r="L588" s="1">
        <f>IF(B588="", "", "cm")</f>
        <v>0</v>
      </c>
      <c r="P588" s="1">
        <f>IF(B588="", "", "kg")</f>
        <v>0</v>
      </c>
      <c r="R588" s="1">
        <f>IF(B588="", "", "Not applicable")</f>
        <v>0</v>
      </c>
    </row>
    <row r="589" spans="1:18">
      <c r="A589">
        <f>IF(COUNTBLANK(B589:R589)&lt;&gt;COLUMNS(B589:R589),588,"")</f>
        <v>0</v>
      </c>
      <c r="C589" s="1">
        <f>IF(B589="", "", "Host-associated")</f>
        <v>0</v>
      </c>
      <c r="G589" s="1">
        <f>IF(B589="", "", "host-associated")</f>
        <v>0</v>
      </c>
      <c r="I589" s="1">
        <f>IF(B589="", "", "years")</f>
        <v>0</v>
      </c>
      <c r="L589" s="1">
        <f>IF(B589="", "", "cm")</f>
        <v>0</v>
      </c>
      <c r="P589" s="1">
        <f>IF(B589="", "", "kg")</f>
        <v>0</v>
      </c>
      <c r="R589" s="1">
        <f>IF(B589="", "", "Not applicable")</f>
        <v>0</v>
      </c>
    </row>
    <row r="590" spans="1:18">
      <c r="A590">
        <f>IF(COUNTBLANK(B590:R590)&lt;&gt;COLUMNS(B590:R590),589,"")</f>
        <v>0</v>
      </c>
      <c r="C590" s="1">
        <f>IF(B590="", "", "Host-associated")</f>
        <v>0</v>
      </c>
      <c r="G590" s="1">
        <f>IF(B590="", "", "host-associated")</f>
        <v>0</v>
      </c>
      <c r="I590" s="1">
        <f>IF(B590="", "", "years")</f>
        <v>0</v>
      </c>
      <c r="L590" s="1">
        <f>IF(B590="", "", "cm")</f>
        <v>0</v>
      </c>
      <c r="P590" s="1">
        <f>IF(B590="", "", "kg")</f>
        <v>0</v>
      </c>
      <c r="R590" s="1">
        <f>IF(B590="", "", "Not applicable")</f>
        <v>0</v>
      </c>
    </row>
    <row r="591" spans="1:18">
      <c r="A591">
        <f>IF(COUNTBLANK(B591:R591)&lt;&gt;COLUMNS(B591:R591),590,"")</f>
        <v>0</v>
      </c>
      <c r="C591" s="1">
        <f>IF(B591="", "", "Host-associated")</f>
        <v>0</v>
      </c>
      <c r="G591" s="1">
        <f>IF(B591="", "", "host-associated")</f>
        <v>0</v>
      </c>
      <c r="I591" s="1">
        <f>IF(B591="", "", "years")</f>
        <v>0</v>
      </c>
      <c r="L591" s="1">
        <f>IF(B591="", "", "cm")</f>
        <v>0</v>
      </c>
      <c r="P591" s="1">
        <f>IF(B591="", "", "kg")</f>
        <v>0</v>
      </c>
      <c r="R591" s="1">
        <f>IF(B591="", "", "Not applicable")</f>
        <v>0</v>
      </c>
    </row>
    <row r="592" spans="1:18">
      <c r="A592">
        <f>IF(COUNTBLANK(B592:R592)&lt;&gt;COLUMNS(B592:R592),591,"")</f>
        <v>0</v>
      </c>
      <c r="C592" s="1">
        <f>IF(B592="", "", "Host-associated")</f>
        <v>0</v>
      </c>
      <c r="G592" s="1">
        <f>IF(B592="", "", "host-associated")</f>
        <v>0</v>
      </c>
      <c r="I592" s="1">
        <f>IF(B592="", "", "years")</f>
        <v>0</v>
      </c>
      <c r="L592" s="1">
        <f>IF(B592="", "", "cm")</f>
        <v>0</v>
      </c>
      <c r="P592" s="1">
        <f>IF(B592="", "", "kg")</f>
        <v>0</v>
      </c>
      <c r="R592" s="1">
        <f>IF(B592="", "", "Not applicable")</f>
        <v>0</v>
      </c>
    </row>
    <row r="593" spans="1:18">
      <c r="A593">
        <f>IF(COUNTBLANK(B593:R593)&lt;&gt;COLUMNS(B593:R593),592,"")</f>
        <v>0</v>
      </c>
      <c r="C593" s="1">
        <f>IF(B593="", "", "Host-associated")</f>
        <v>0</v>
      </c>
      <c r="G593" s="1">
        <f>IF(B593="", "", "host-associated")</f>
        <v>0</v>
      </c>
      <c r="I593" s="1">
        <f>IF(B593="", "", "years")</f>
        <v>0</v>
      </c>
      <c r="L593" s="1">
        <f>IF(B593="", "", "cm")</f>
        <v>0</v>
      </c>
      <c r="P593" s="1">
        <f>IF(B593="", "", "kg")</f>
        <v>0</v>
      </c>
      <c r="R593" s="1">
        <f>IF(B593="", "", "Not applicable")</f>
        <v>0</v>
      </c>
    </row>
    <row r="594" spans="1:18">
      <c r="A594">
        <f>IF(COUNTBLANK(B594:R594)&lt;&gt;COLUMNS(B594:R594),593,"")</f>
        <v>0</v>
      </c>
      <c r="C594" s="1">
        <f>IF(B594="", "", "Host-associated")</f>
        <v>0</v>
      </c>
      <c r="G594" s="1">
        <f>IF(B594="", "", "host-associated")</f>
        <v>0</v>
      </c>
      <c r="I594" s="1">
        <f>IF(B594="", "", "years")</f>
        <v>0</v>
      </c>
      <c r="L594" s="1">
        <f>IF(B594="", "", "cm")</f>
        <v>0</v>
      </c>
      <c r="P594" s="1">
        <f>IF(B594="", "", "kg")</f>
        <v>0</v>
      </c>
      <c r="R594" s="1">
        <f>IF(B594="", "", "Not applicable")</f>
        <v>0</v>
      </c>
    </row>
    <row r="595" spans="1:18">
      <c r="A595">
        <f>IF(COUNTBLANK(B595:R595)&lt;&gt;COLUMNS(B595:R595),594,"")</f>
        <v>0</v>
      </c>
      <c r="C595" s="1">
        <f>IF(B595="", "", "Host-associated")</f>
        <v>0</v>
      </c>
      <c r="G595" s="1">
        <f>IF(B595="", "", "host-associated")</f>
        <v>0</v>
      </c>
      <c r="I595" s="1">
        <f>IF(B595="", "", "years")</f>
        <v>0</v>
      </c>
      <c r="L595" s="1">
        <f>IF(B595="", "", "cm")</f>
        <v>0</v>
      </c>
      <c r="P595" s="1">
        <f>IF(B595="", "", "kg")</f>
        <v>0</v>
      </c>
      <c r="R595" s="1">
        <f>IF(B595="", "", "Not applicable")</f>
        <v>0</v>
      </c>
    </row>
    <row r="596" spans="1:18">
      <c r="A596">
        <f>IF(COUNTBLANK(B596:R596)&lt;&gt;COLUMNS(B596:R596),595,"")</f>
        <v>0</v>
      </c>
      <c r="C596" s="1">
        <f>IF(B596="", "", "Host-associated")</f>
        <v>0</v>
      </c>
      <c r="G596" s="1">
        <f>IF(B596="", "", "host-associated")</f>
        <v>0</v>
      </c>
      <c r="I596" s="1">
        <f>IF(B596="", "", "years")</f>
        <v>0</v>
      </c>
      <c r="L596" s="1">
        <f>IF(B596="", "", "cm")</f>
        <v>0</v>
      </c>
      <c r="P596" s="1">
        <f>IF(B596="", "", "kg")</f>
        <v>0</v>
      </c>
      <c r="R596" s="1">
        <f>IF(B596="", "", "Not applicable")</f>
        <v>0</v>
      </c>
    </row>
    <row r="597" spans="1:18">
      <c r="A597">
        <f>IF(COUNTBLANK(B597:R597)&lt;&gt;COLUMNS(B597:R597),596,"")</f>
        <v>0</v>
      </c>
      <c r="C597" s="1">
        <f>IF(B597="", "", "Host-associated")</f>
        <v>0</v>
      </c>
      <c r="G597" s="1">
        <f>IF(B597="", "", "host-associated")</f>
        <v>0</v>
      </c>
      <c r="I597" s="1">
        <f>IF(B597="", "", "years")</f>
        <v>0</v>
      </c>
      <c r="L597" s="1">
        <f>IF(B597="", "", "cm")</f>
        <v>0</v>
      </c>
      <c r="P597" s="1">
        <f>IF(B597="", "", "kg")</f>
        <v>0</v>
      </c>
      <c r="R597" s="1">
        <f>IF(B597="", "", "Not applicable")</f>
        <v>0</v>
      </c>
    </row>
    <row r="598" spans="1:18">
      <c r="A598">
        <f>IF(COUNTBLANK(B598:R598)&lt;&gt;COLUMNS(B598:R598),597,"")</f>
        <v>0</v>
      </c>
      <c r="C598" s="1">
        <f>IF(B598="", "", "Host-associated")</f>
        <v>0</v>
      </c>
      <c r="G598" s="1">
        <f>IF(B598="", "", "host-associated")</f>
        <v>0</v>
      </c>
      <c r="I598" s="1">
        <f>IF(B598="", "", "years")</f>
        <v>0</v>
      </c>
      <c r="L598" s="1">
        <f>IF(B598="", "", "cm")</f>
        <v>0</v>
      </c>
      <c r="P598" s="1">
        <f>IF(B598="", "", "kg")</f>
        <v>0</v>
      </c>
      <c r="R598" s="1">
        <f>IF(B598="", "", "Not applicable")</f>
        <v>0</v>
      </c>
    </row>
    <row r="599" spans="1:18">
      <c r="A599">
        <f>IF(COUNTBLANK(B599:R599)&lt;&gt;COLUMNS(B599:R599),598,"")</f>
        <v>0</v>
      </c>
      <c r="C599" s="1">
        <f>IF(B599="", "", "Host-associated")</f>
        <v>0</v>
      </c>
      <c r="G599" s="1">
        <f>IF(B599="", "", "host-associated")</f>
        <v>0</v>
      </c>
      <c r="I599" s="1">
        <f>IF(B599="", "", "years")</f>
        <v>0</v>
      </c>
      <c r="L599" s="1">
        <f>IF(B599="", "", "cm")</f>
        <v>0</v>
      </c>
      <c r="P599" s="1">
        <f>IF(B599="", "", "kg")</f>
        <v>0</v>
      </c>
      <c r="R599" s="1">
        <f>IF(B599="", "", "Not applicable")</f>
        <v>0</v>
      </c>
    </row>
    <row r="600" spans="1:18">
      <c r="A600">
        <f>IF(COUNTBLANK(B600:R600)&lt;&gt;COLUMNS(B600:R600),599,"")</f>
        <v>0</v>
      </c>
      <c r="C600" s="1">
        <f>IF(B600="", "", "Host-associated")</f>
        <v>0</v>
      </c>
      <c r="G600" s="1">
        <f>IF(B600="", "", "host-associated")</f>
        <v>0</v>
      </c>
      <c r="I600" s="1">
        <f>IF(B600="", "", "years")</f>
        <v>0</v>
      </c>
      <c r="L600" s="1">
        <f>IF(B600="", "", "cm")</f>
        <v>0</v>
      </c>
      <c r="P600" s="1">
        <f>IF(B600="", "", "kg")</f>
        <v>0</v>
      </c>
      <c r="R600" s="1">
        <f>IF(B600="", "", "Not applicable")</f>
        <v>0</v>
      </c>
    </row>
    <row r="601" spans="1:18">
      <c r="A601">
        <f>IF(COUNTBLANK(B601:R601)&lt;&gt;COLUMNS(B601:R601),600,"")</f>
        <v>0</v>
      </c>
      <c r="C601" s="1">
        <f>IF(B601="", "", "Host-associated")</f>
        <v>0</v>
      </c>
      <c r="G601" s="1">
        <f>IF(B601="", "", "host-associated")</f>
        <v>0</v>
      </c>
      <c r="I601" s="1">
        <f>IF(B601="", "", "years")</f>
        <v>0</v>
      </c>
      <c r="L601" s="1">
        <f>IF(B601="", "", "cm")</f>
        <v>0</v>
      </c>
      <c r="P601" s="1">
        <f>IF(B601="", "", "kg")</f>
        <v>0</v>
      </c>
      <c r="R601" s="1">
        <f>IF(B601="", "", "Not applicable")</f>
        <v>0</v>
      </c>
    </row>
    <row r="602" spans="1:18">
      <c r="A602">
        <f>IF(COUNTBLANK(B602:R602)&lt;&gt;COLUMNS(B602:R602),601,"")</f>
        <v>0</v>
      </c>
      <c r="C602" s="1">
        <f>IF(B602="", "", "Host-associated")</f>
        <v>0</v>
      </c>
      <c r="G602" s="1">
        <f>IF(B602="", "", "host-associated")</f>
        <v>0</v>
      </c>
      <c r="I602" s="1">
        <f>IF(B602="", "", "years")</f>
        <v>0</v>
      </c>
      <c r="L602" s="1">
        <f>IF(B602="", "", "cm")</f>
        <v>0</v>
      </c>
      <c r="P602" s="1">
        <f>IF(B602="", "", "kg")</f>
        <v>0</v>
      </c>
      <c r="R602" s="1">
        <f>IF(B602="", "", "Not applicable")</f>
        <v>0</v>
      </c>
    </row>
    <row r="603" spans="1:18">
      <c r="A603">
        <f>IF(COUNTBLANK(B603:R603)&lt;&gt;COLUMNS(B603:R603),602,"")</f>
        <v>0</v>
      </c>
      <c r="C603" s="1">
        <f>IF(B603="", "", "Host-associated")</f>
        <v>0</v>
      </c>
      <c r="G603" s="1">
        <f>IF(B603="", "", "host-associated")</f>
        <v>0</v>
      </c>
      <c r="I603" s="1">
        <f>IF(B603="", "", "years")</f>
        <v>0</v>
      </c>
      <c r="L603" s="1">
        <f>IF(B603="", "", "cm")</f>
        <v>0</v>
      </c>
      <c r="P603" s="1">
        <f>IF(B603="", "", "kg")</f>
        <v>0</v>
      </c>
      <c r="R603" s="1">
        <f>IF(B603="", "", "Not applicable")</f>
        <v>0</v>
      </c>
    </row>
    <row r="604" spans="1:18">
      <c r="A604">
        <f>IF(COUNTBLANK(B604:R604)&lt;&gt;COLUMNS(B604:R604),603,"")</f>
        <v>0</v>
      </c>
      <c r="C604" s="1">
        <f>IF(B604="", "", "Host-associated")</f>
        <v>0</v>
      </c>
      <c r="G604" s="1">
        <f>IF(B604="", "", "host-associated")</f>
        <v>0</v>
      </c>
      <c r="I604" s="1">
        <f>IF(B604="", "", "years")</f>
        <v>0</v>
      </c>
      <c r="L604" s="1">
        <f>IF(B604="", "", "cm")</f>
        <v>0</v>
      </c>
      <c r="P604" s="1">
        <f>IF(B604="", "", "kg")</f>
        <v>0</v>
      </c>
      <c r="R604" s="1">
        <f>IF(B604="", "", "Not applicable")</f>
        <v>0</v>
      </c>
    </row>
    <row r="605" spans="1:18">
      <c r="A605">
        <f>IF(COUNTBLANK(B605:R605)&lt;&gt;COLUMNS(B605:R605),604,"")</f>
        <v>0</v>
      </c>
      <c r="C605" s="1">
        <f>IF(B605="", "", "Host-associated")</f>
        <v>0</v>
      </c>
      <c r="G605" s="1">
        <f>IF(B605="", "", "host-associated")</f>
        <v>0</v>
      </c>
      <c r="I605" s="1">
        <f>IF(B605="", "", "years")</f>
        <v>0</v>
      </c>
      <c r="L605" s="1">
        <f>IF(B605="", "", "cm")</f>
        <v>0</v>
      </c>
      <c r="P605" s="1">
        <f>IF(B605="", "", "kg")</f>
        <v>0</v>
      </c>
      <c r="R605" s="1">
        <f>IF(B605="", "", "Not applicable")</f>
        <v>0</v>
      </c>
    </row>
    <row r="606" spans="1:18">
      <c r="A606">
        <f>IF(COUNTBLANK(B606:R606)&lt;&gt;COLUMNS(B606:R606),605,"")</f>
        <v>0</v>
      </c>
      <c r="C606" s="1">
        <f>IF(B606="", "", "Host-associated")</f>
        <v>0</v>
      </c>
      <c r="G606" s="1">
        <f>IF(B606="", "", "host-associated")</f>
        <v>0</v>
      </c>
      <c r="I606" s="1">
        <f>IF(B606="", "", "years")</f>
        <v>0</v>
      </c>
      <c r="L606" s="1">
        <f>IF(B606="", "", "cm")</f>
        <v>0</v>
      </c>
      <c r="P606" s="1">
        <f>IF(B606="", "", "kg")</f>
        <v>0</v>
      </c>
      <c r="R606" s="1">
        <f>IF(B606="", "", "Not applicable")</f>
        <v>0</v>
      </c>
    </row>
    <row r="607" spans="1:18">
      <c r="A607">
        <f>IF(COUNTBLANK(B607:R607)&lt;&gt;COLUMNS(B607:R607),606,"")</f>
        <v>0</v>
      </c>
      <c r="C607" s="1">
        <f>IF(B607="", "", "Host-associated")</f>
        <v>0</v>
      </c>
      <c r="G607" s="1">
        <f>IF(B607="", "", "host-associated")</f>
        <v>0</v>
      </c>
      <c r="I607" s="1">
        <f>IF(B607="", "", "years")</f>
        <v>0</v>
      </c>
      <c r="L607" s="1">
        <f>IF(B607="", "", "cm")</f>
        <v>0</v>
      </c>
      <c r="P607" s="1">
        <f>IF(B607="", "", "kg")</f>
        <v>0</v>
      </c>
      <c r="R607" s="1">
        <f>IF(B607="", "", "Not applicable")</f>
        <v>0</v>
      </c>
    </row>
    <row r="608" spans="1:18">
      <c r="A608">
        <f>IF(COUNTBLANK(B608:R608)&lt;&gt;COLUMNS(B608:R608),607,"")</f>
        <v>0</v>
      </c>
      <c r="C608" s="1">
        <f>IF(B608="", "", "Host-associated")</f>
        <v>0</v>
      </c>
      <c r="G608" s="1">
        <f>IF(B608="", "", "host-associated")</f>
        <v>0</v>
      </c>
      <c r="I608" s="1">
        <f>IF(B608="", "", "years")</f>
        <v>0</v>
      </c>
      <c r="L608" s="1">
        <f>IF(B608="", "", "cm")</f>
        <v>0</v>
      </c>
      <c r="P608" s="1">
        <f>IF(B608="", "", "kg")</f>
        <v>0</v>
      </c>
      <c r="R608" s="1">
        <f>IF(B608="", "", "Not applicable")</f>
        <v>0</v>
      </c>
    </row>
    <row r="609" spans="1:18">
      <c r="A609">
        <f>IF(COUNTBLANK(B609:R609)&lt;&gt;COLUMNS(B609:R609),608,"")</f>
        <v>0</v>
      </c>
      <c r="C609" s="1">
        <f>IF(B609="", "", "Host-associated")</f>
        <v>0</v>
      </c>
      <c r="G609" s="1">
        <f>IF(B609="", "", "host-associated")</f>
        <v>0</v>
      </c>
      <c r="I609" s="1">
        <f>IF(B609="", "", "years")</f>
        <v>0</v>
      </c>
      <c r="L609" s="1">
        <f>IF(B609="", "", "cm")</f>
        <v>0</v>
      </c>
      <c r="P609" s="1">
        <f>IF(B609="", "", "kg")</f>
        <v>0</v>
      </c>
      <c r="R609" s="1">
        <f>IF(B609="", "", "Not applicable")</f>
        <v>0</v>
      </c>
    </row>
    <row r="610" spans="1:18">
      <c r="A610">
        <f>IF(COUNTBLANK(B610:R610)&lt;&gt;COLUMNS(B610:R610),609,"")</f>
        <v>0</v>
      </c>
      <c r="C610" s="1">
        <f>IF(B610="", "", "Host-associated")</f>
        <v>0</v>
      </c>
      <c r="G610" s="1">
        <f>IF(B610="", "", "host-associated")</f>
        <v>0</v>
      </c>
      <c r="I610" s="1">
        <f>IF(B610="", "", "years")</f>
        <v>0</v>
      </c>
      <c r="L610" s="1">
        <f>IF(B610="", "", "cm")</f>
        <v>0</v>
      </c>
      <c r="P610" s="1">
        <f>IF(B610="", "", "kg")</f>
        <v>0</v>
      </c>
      <c r="R610" s="1">
        <f>IF(B610="", "", "Not applicable")</f>
        <v>0</v>
      </c>
    </row>
    <row r="611" spans="1:18">
      <c r="A611">
        <f>IF(COUNTBLANK(B611:R611)&lt;&gt;COLUMNS(B611:R611),610,"")</f>
        <v>0</v>
      </c>
      <c r="C611" s="1">
        <f>IF(B611="", "", "Host-associated")</f>
        <v>0</v>
      </c>
      <c r="G611" s="1">
        <f>IF(B611="", "", "host-associated")</f>
        <v>0</v>
      </c>
      <c r="I611" s="1">
        <f>IF(B611="", "", "years")</f>
        <v>0</v>
      </c>
      <c r="L611" s="1">
        <f>IF(B611="", "", "cm")</f>
        <v>0</v>
      </c>
      <c r="P611" s="1">
        <f>IF(B611="", "", "kg")</f>
        <v>0</v>
      </c>
      <c r="R611" s="1">
        <f>IF(B611="", "", "Not applicable")</f>
        <v>0</v>
      </c>
    </row>
    <row r="612" spans="1:18">
      <c r="A612">
        <f>IF(COUNTBLANK(B612:R612)&lt;&gt;COLUMNS(B612:R612),611,"")</f>
        <v>0</v>
      </c>
      <c r="C612" s="1">
        <f>IF(B612="", "", "Host-associated")</f>
        <v>0</v>
      </c>
      <c r="G612" s="1">
        <f>IF(B612="", "", "host-associated")</f>
        <v>0</v>
      </c>
      <c r="I612" s="1">
        <f>IF(B612="", "", "years")</f>
        <v>0</v>
      </c>
      <c r="L612" s="1">
        <f>IF(B612="", "", "cm")</f>
        <v>0</v>
      </c>
      <c r="P612" s="1">
        <f>IF(B612="", "", "kg")</f>
        <v>0</v>
      </c>
      <c r="R612" s="1">
        <f>IF(B612="", "", "Not applicable")</f>
        <v>0</v>
      </c>
    </row>
    <row r="613" spans="1:18">
      <c r="A613">
        <f>IF(COUNTBLANK(B613:R613)&lt;&gt;COLUMNS(B613:R613),612,"")</f>
        <v>0</v>
      </c>
      <c r="C613" s="1">
        <f>IF(B613="", "", "Host-associated")</f>
        <v>0</v>
      </c>
      <c r="G613" s="1">
        <f>IF(B613="", "", "host-associated")</f>
        <v>0</v>
      </c>
      <c r="I613" s="1">
        <f>IF(B613="", "", "years")</f>
        <v>0</v>
      </c>
      <c r="L613" s="1">
        <f>IF(B613="", "", "cm")</f>
        <v>0</v>
      </c>
      <c r="P613" s="1">
        <f>IF(B613="", "", "kg")</f>
        <v>0</v>
      </c>
      <c r="R613" s="1">
        <f>IF(B613="", "", "Not applicable")</f>
        <v>0</v>
      </c>
    </row>
    <row r="614" spans="1:18">
      <c r="A614">
        <f>IF(COUNTBLANK(B614:R614)&lt;&gt;COLUMNS(B614:R614),613,"")</f>
        <v>0</v>
      </c>
      <c r="C614" s="1">
        <f>IF(B614="", "", "Host-associated")</f>
        <v>0</v>
      </c>
      <c r="G614" s="1">
        <f>IF(B614="", "", "host-associated")</f>
        <v>0</v>
      </c>
      <c r="I614" s="1">
        <f>IF(B614="", "", "years")</f>
        <v>0</v>
      </c>
      <c r="L614" s="1">
        <f>IF(B614="", "", "cm")</f>
        <v>0</v>
      </c>
      <c r="P614" s="1">
        <f>IF(B614="", "", "kg")</f>
        <v>0</v>
      </c>
      <c r="R614" s="1">
        <f>IF(B614="", "", "Not applicable")</f>
        <v>0</v>
      </c>
    </row>
    <row r="615" spans="1:18">
      <c r="A615">
        <f>IF(COUNTBLANK(B615:R615)&lt;&gt;COLUMNS(B615:R615),614,"")</f>
        <v>0</v>
      </c>
      <c r="C615" s="1">
        <f>IF(B615="", "", "Host-associated")</f>
        <v>0</v>
      </c>
      <c r="G615" s="1">
        <f>IF(B615="", "", "host-associated")</f>
        <v>0</v>
      </c>
      <c r="I615" s="1">
        <f>IF(B615="", "", "years")</f>
        <v>0</v>
      </c>
      <c r="L615" s="1">
        <f>IF(B615="", "", "cm")</f>
        <v>0</v>
      </c>
      <c r="P615" s="1">
        <f>IF(B615="", "", "kg")</f>
        <v>0</v>
      </c>
      <c r="R615" s="1">
        <f>IF(B615="", "", "Not applicable")</f>
        <v>0</v>
      </c>
    </row>
    <row r="616" spans="1:18">
      <c r="A616">
        <f>IF(COUNTBLANK(B616:R616)&lt;&gt;COLUMNS(B616:R616),615,"")</f>
        <v>0</v>
      </c>
      <c r="C616" s="1">
        <f>IF(B616="", "", "Host-associated")</f>
        <v>0</v>
      </c>
      <c r="G616" s="1">
        <f>IF(B616="", "", "host-associated")</f>
        <v>0</v>
      </c>
      <c r="I616" s="1">
        <f>IF(B616="", "", "years")</f>
        <v>0</v>
      </c>
      <c r="L616" s="1">
        <f>IF(B616="", "", "cm")</f>
        <v>0</v>
      </c>
      <c r="P616" s="1">
        <f>IF(B616="", "", "kg")</f>
        <v>0</v>
      </c>
      <c r="R616" s="1">
        <f>IF(B616="", "", "Not applicable")</f>
        <v>0</v>
      </c>
    </row>
    <row r="617" spans="1:18">
      <c r="A617">
        <f>IF(COUNTBLANK(B617:R617)&lt;&gt;COLUMNS(B617:R617),616,"")</f>
        <v>0</v>
      </c>
      <c r="C617" s="1">
        <f>IF(B617="", "", "Host-associated")</f>
        <v>0</v>
      </c>
      <c r="G617" s="1">
        <f>IF(B617="", "", "host-associated")</f>
        <v>0</v>
      </c>
      <c r="I617" s="1">
        <f>IF(B617="", "", "years")</f>
        <v>0</v>
      </c>
      <c r="L617" s="1">
        <f>IF(B617="", "", "cm")</f>
        <v>0</v>
      </c>
      <c r="P617" s="1">
        <f>IF(B617="", "", "kg")</f>
        <v>0</v>
      </c>
      <c r="R617" s="1">
        <f>IF(B617="", "", "Not applicable")</f>
        <v>0</v>
      </c>
    </row>
    <row r="618" spans="1:18">
      <c r="A618">
        <f>IF(COUNTBLANK(B618:R618)&lt;&gt;COLUMNS(B618:R618),617,"")</f>
        <v>0</v>
      </c>
      <c r="C618" s="1">
        <f>IF(B618="", "", "Host-associated")</f>
        <v>0</v>
      </c>
      <c r="G618" s="1">
        <f>IF(B618="", "", "host-associated")</f>
        <v>0</v>
      </c>
      <c r="I618" s="1">
        <f>IF(B618="", "", "years")</f>
        <v>0</v>
      </c>
      <c r="L618" s="1">
        <f>IF(B618="", "", "cm")</f>
        <v>0</v>
      </c>
      <c r="P618" s="1">
        <f>IF(B618="", "", "kg")</f>
        <v>0</v>
      </c>
      <c r="R618" s="1">
        <f>IF(B618="", "", "Not applicable")</f>
        <v>0</v>
      </c>
    </row>
    <row r="619" spans="1:18">
      <c r="A619">
        <f>IF(COUNTBLANK(B619:R619)&lt;&gt;COLUMNS(B619:R619),618,"")</f>
        <v>0</v>
      </c>
      <c r="C619" s="1">
        <f>IF(B619="", "", "Host-associated")</f>
        <v>0</v>
      </c>
      <c r="G619" s="1">
        <f>IF(B619="", "", "host-associated")</f>
        <v>0</v>
      </c>
      <c r="I619" s="1">
        <f>IF(B619="", "", "years")</f>
        <v>0</v>
      </c>
      <c r="L619" s="1">
        <f>IF(B619="", "", "cm")</f>
        <v>0</v>
      </c>
      <c r="P619" s="1">
        <f>IF(B619="", "", "kg")</f>
        <v>0</v>
      </c>
      <c r="R619" s="1">
        <f>IF(B619="", "", "Not applicable")</f>
        <v>0</v>
      </c>
    </row>
    <row r="620" spans="1:18">
      <c r="A620">
        <f>IF(COUNTBLANK(B620:R620)&lt;&gt;COLUMNS(B620:R620),619,"")</f>
        <v>0</v>
      </c>
      <c r="C620" s="1">
        <f>IF(B620="", "", "Host-associated")</f>
        <v>0</v>
      </c>
      <c r="G620" s="1">
        <f>IF(B620="", "", "host-associated")</f>
        <v>0</v>
      </c>
      <c r="I620" s="1">
        <f>IF(B620="", "", "years")</f>
        <v>0</v>
      </c>
      <c r="L620" s="1">
        <f>IF(B620="", "", "cm")</f>
        <v>0</v>
      </c>
      <c r="P620" s="1">
        <f>IF(B620="", "", "kg")</f>
        <v>0</v>
      </c>
      <c r="R620" s="1">
        <f>IF(B620="", "", "Not applicable")</f>
        <v>0</v>
      </c>
    </row>
    <row r="621" spans="1:18">
      <c r="A621">
        <f>IF(COUNTBLANK(B621:R621)&lt;&gt;COLUMNS(B621:R621),620,"")</f>
        <v>0</v>
      </c>
      <c r="C621" s="1">
        <f>IF(B621="", "", "Host-associated")</f>
        <v>0</v>
      </c>
      <c r="G621" s="1">
        <f>IF(B621="", "", "host-associated")</f>
        <v>0</v>
      </c>
      <c r="I621" s="1">
        <f>IF(B621="", "", "years")</f>
        <v>0</v>
      </c>
      <c r="L621" s="1">
        <f>IF(B621="", "", "cm")</f>
        <v>0</v>
      </c>
      <c r="P621" s="1">
        <f>IF(B621="", "", "kg")</f>
        <v>0</v>
      </c>
      <c r="R621" s="1">
        <f>IF(B621="", "", "Not applicable")</f>
        <v>0</v>
      </c>
    </row>
    <row r="622" spans="1:18">
      <c r="A622">
        <f>IF(COUNTBLANK(B622:R622)&lt;&gt;COLUMNS(B622:R622),621,"")</f>
        <v>0</v>
      </c>
      <c r="C622" s="1">
        <f>IF(B622="", "", "Host-associated")</f>
        <v>0</v>
      </c>
      <c r="G622" s="1">
        <f>IF(B622="", "", "host-associated")</f>
        <v>0</v>
      </c>
      <c r="I622" s="1">
        <f>IF(B622="", "", "years")</f>
        <v>0</v>
      </c>
      <c r="L622" s="1">
        <f>IF(B622="", "", "cm")</f>
        <v>0</v>
      </c>
      <c r="P622" s="1">
        <f>IF(B622="", "", "kg")</f>
        <v>0</v>
      </c>
      <c r="R622" s="1">
        <f>IF(B622="", "", "Not applicable")</f>
        <v>0</v>
      </c>
    </row>
    <row r="623" spans="1:18">
      <c r="A623">
        <f>IF(COUNTBLANK(B623:R623)&lt;&gt;COLUMNS(B623:R623),622,"")</f>
        <v>0</v>
      </c>
      <c r="C623" s="1">
        <f>IF(B623="", "", "Host-associated")</f>
        <v>0</v>
      </c>
      <c r="G623" s="1">
        <f>IF(B623="", "", "host-associated")</f>
        <v>0</v>
      </c>
      <c r="I623" s="1">
        <f>IF(B623="", "", "years")</f>
        <v>0</v>
      </c>
      <c r="L623" s="1">
        <f>IF(B623="", "", "cm")</f>
        <v>0</v>
      </c>
      <c r="P623" s="1">
        <f>IF(B623="", "", "kg")</f>
        <v>0</v>
      </c>
      <c r="R623" s="1">
        <f>IF(B623="", "", "Not applicable")</f>
        <v>0</v>
      </c>
    </row>
    <row r="624" spans="1:18">
      <c r="A624">
        <f>IF(COUNTBLANK(B624:R624)&lt;&gt;COLUMNS(B624:R624),623,"")</f>
        <v>0</v>
      </c>
      <c r="C624" s="1">
        <f>IF(B624="", "", "Host-associated")</f>
        <v>0</v>
      </c>
      <c r="G624" s="1">
        <f>IF(B624="", "", "host-associated")</f>
        <v>0</v>
      </c>
      <c r="I624" s="1">
        <f>IF(B624="", "", "years")</f>
        <v>0</v>
      </c>
      <c r="L624" s="1">
        <f>IF(B624="", "", "cm")</f>
        <v>0</v>
      </c>
      <c r="P624" s="1">
        <f>IF(B624="", "", "kg")</f>
        <v>0</v>
      </c>
      <c r="R624" s="1">
        <f>IF(B624="", "", "Not applicable")</f>
        <v>0</v>
      </c>
    </row>
    <row r="625" spans="1:18">
      <c r="A625">
        <f>IF(COUNTBLANK(B625:R625)&lt;&gt;COLUMNS(B625:R625),624,"")</f>
        <v>0</v>
      </c>
      <c r="C625" s="1">
        <f>IF(B625="", "", "Host-associated")</f>
        <v>0</v>
      </c>
      <c r="G625" s="1">
        <f>IF(B625="", "", "host-associated")</f>
        <v>0</v>
      </c>
      <c r="I625" s="1">
        <f>IF(B625="", "", "years")</f>
        <v>0</v>
      </c>
      <c r="L625" s="1">
        <f>IF(B625="", "", "cm")</f>
        <v>0</v>
      </c>
      <c r="P625" s="1">
        <f>IF(B625="", "", "kg")</f>
        <v>0</v>
      </c>
      <c r="R625" s="1">
        <f>IF(B625="", "", "Not applicable")</f>
        <v>0</v>
      </c>
    </row>
    <row r="626" spans="1:18">
      <c r="A626">
        <f>IF(COUNTBLANK(B626:R626)&lt;&gt;COLUMNS(B626:R626),625,"")</f>
        <v>0</v>
      </c>
      <c r="C626" s="1">
        <f>IF(B626="", "", "Host-associated")</f>
        <v>0</v>
      </c>
      <c r="G626" s="1">
        <f>IF(B626="", "", "host-associated")</f>
        <v>0</v>
      </c>
      <c r="I626" s="1">
        <f>IF(B626="", "", "years")</f>
        <v>0</v>
      </c>
      <c r="L626" s="1">
        <f>IF(B626="", "", "cm")</f>
        <v>0</v>
      </c>
      <c r="P626" s="1">
        <f>IF(B626="", "", "kg")</f>
        <v>0</v>
      </c>
      <c r="R626" s="1">
        <f>IF(B626="", "", "Not applicable")</f>
        <v>0</v>
      </c>
    </row>
    <row r="627" spans="1:18">
      <c r="A627">
        <f>IF(COUNTBLANK(B627:R627)&lt;&gt;COLUMNS(B627:R627),626,"")</f>
        <v>0</v>
      </c>
      <c r="C627" s="1">
        <f>IF(B627="", "", "Host-associated")</f>
        <v>0</v>
      </c>
      <c r="G627" s="1">
        <f>IF(B627="", "", "host-associated")</f>
        <v>0</v>
      </c>
      <c r="I627" s="1">
        <f>IF(B627="", "", "years")</f>
        <v>0</v>
      </c>
      <c r="L627" s="1">
        <f>IF(B627="", "", "cm")</f>
        <v>0</v>
      </c>
      <c r="P627" s="1">
        <f>IF(B627="", "", "kg")</f>
        <v>0</v>
      </c>
      <c r="R627" s="1">
        <f>IF(B627="", "", "Not applicable")</f>
        <v>0</v>
      </c>
    </row>
    <row r="628" spans="1:18">
      <c r="A628">
        <f>IF(COUNTBLANK(B628:R628)&lt;&gt;COLUMNS(B628:R628),627,"")</f>
        <v>0</v>
      </c>
      <c r="C628" s="1">
        <f>IF(B628="", "", "Host-associated")</f>
        <v>0</v>
      </c>
      <c r="G628" s="1">
        <f>IF(B628="", "", "host-associated")</f>
        <v>0</v>
      </c>
      <c r="I628" s="1">
        <f>IF(B628="", "", "years")</f>
        <v>0</v>
      </c>
      <c r="L628" s="1">
        <f>IF(B628="", "", "cm")</f>
        <v>0</v>
      </c>
      <c r="P628" s="1">
        <f>IF(B628="", "", "kg")</f>
        <v>0</v>
      </c>
      <c r="R628" s="1">
        <f>IF(B628="", "", "Not applicable")</f>
        <v>0</v>
      </c>
    </row>
    <row r="629" spans="1:18">
      <c r="A629">
        <f>IF(COUNTBLANK(B629:R629)&lt;&gt;COLUMNS(B629:R629),628,"")</f>
        <v>0</v>
      </c>
      <c r="C629" s="1">
        <f>IF(B629="", "", "Host-associated")</f>
        <v>0</v>
      </c>
      <c r="G629" s="1">
        <f>IF(B629="", "", "host-associated")</f>
        <v>0</v>
      </c>
      <c r="I629" s="1">
        <f>IF(B629="", "", "years")</f>
        <v>0</v>
      </c>
      <c r="L629" s="1">
        <f>IF(B629="", "", "cm")</f>
        <v>0</v>
      </c>
      <c r="P629" s="1">
        <f>IF(B629="", "", "kg")</f>
        <v>0</v>
      </c>
      <c r="R629" s="1">
        <f>IF(B629="", "", "Not applicable")</f>
        <v>0</v>
      </c>
    </row>
    <row r="630" spans="1:18">
      <c r="A630">
        <f>IF(COUNTBLANK(B630:R630)&lt;&gt;COLUMNS(B630:R630),629,"")</f>
        <v>0</v>
      </c>
      <c r="C630" s="1">
        <f>IF(B630="", "", "Host-associated")</f>
        <v>0</v>
      </c>
      <c r="G630" s="1">
        <f>IF(B630="", "", "host-associated")</f>
        <v>0</v>
      </c>
      <c r="I630" s="1">
        <f>IF(B630="", "", "years")</f>
        <v>0</v>
      </c>
      <c r="L630" s="1">
        <f>IF(B630="", "", "cm")</f>
        <v>0</v>
      </c>
      <c r="P630" s="1">
        <f>IF(B630="", "", "kg")</f>
        <v>0</v>
      </c>
      <c r="R630" s="1">
        <f>IF(B630="", "", "Not applicable")</f>
        <v>0</v>
      </c>
    </row>
    <row r="631" spans="1:18">
      <c r="A631">
        <f>IF(COUNTBLANK(B631:R631)&lt;&gt;COLUMNS(B631:R631),630,"")</f>
        <v>0</v>
      </c>
      <c r="C631" s="1">
        <f>IF(B631="", "", "Host-associated")</f>
        <v>0</v>
      </c>
      <c r="G631" s="1">
        <f>IF(B631="", "", "host-associated")</f>
        <v>0</v>
      </c>
      <c r="I631" s="1">
        <f>IF(B631="", "", "years")</f>
        <v>0</v>
      </c>
      <c r="L631" s="1">
        <f>IF(B631="", "", "cm")</f>
        <v>0</v>
      </c>
      <c r="P631" s="1">
        <f>IF(B631="", "", "kg")</f>
        <v>0</v>
      </c>
      <c r="R631" s="1">
        <f>IF(B631="", "", "Not applicable")</f>
        <v>0</v>
      </c>
    </row>
    <row r="632" spans="1:18">
      <c r="A632">
        <f>IF(COUNTBLANK(B632:R632)&lt;&gt;COLUMNS(B632:R632),631,"")</f>
        <v>0</v>
      </c>
      <c r="C632" s="1">
        <f>IF(B632="", "", "Host-associated")</f>
        <v>0</v>
      </c>
      <c r="G632" s="1">
        <f>IF(B632="", "", "host-associated")</f>
        <v>0</v>
      </c>
      <c r="I632" s="1">
        <f>IF(B632="", "", "years")</f>
        <v>0</v>
      </c>
      <c r="L632" s="1">
        <f>IF(B632="", "", "cm")</f>
        <v>0</v>
      </c>
      <c r="P632" s="1">
        <f>IF(B632="", "", "kg")</f>
        <v>0</v>
      </c>
      <c r="R632" s="1">
        <f>IF(B632="", "", "Not applicable")</f>
        <v>0</v>
      </c>
    </row>
    <row r="633" spans="1:18">
      <c r="A633">
        <f>IF(COUNTBLANK(B633:R633)&lt;&gt;COLUMNS(B633:R633),632,"")</f>
        <v>0</v>
      </c>
      <c r="C633" s="1">
        <f>IF(B633="", "", "Host-associated")</f>
        <v>0</v>
      </c>
      <c r="G633" s="1">
        <f>IF(B633="", "", "host-associated")</f>
        <v>0</v>
      </c>
      <c r="I633" s="1">
        <f>IF(B633="", "", "years")</f>
        <v>0</v>
      </c>
      <c r="L633" s="1">
        <f>IF(B633="", "", "cm")</f>
        <v>0</v>
      </c>
      <c r="P633" s="1">
        <f>IF(B633="", "", "kg")</f>
        <v>0</v>
      </c>
      <c r="R633" s="1">
        <f>IF(B633="", "", "Not applicable")</f>
        <v>0</v>
      </c>
    </row>
    <row r="634" spans="1:18">
      <c r="A634">
        <f>IF(COUNTBLANK(B634:R634)&lt;&gt;COLUMNS(B634:R634),633,"")</f>
        <v>0</v>
      </c>
      <c r="C634" s="1">
        <f>IF(B634="", "", "Host-associated")</f>
        <v>0</v>
      </c>
      <c r="G634" s="1">
        <f>IF(B634="", "", "host-associated")</f>
        <v>0</v>
      </c>
      <c r="I634" s="1">
        <f>IF(B634="", "", "years")</f>
        <v>0</v>
      </c>
      <c r="L634" s="1">
        <f>IF(B634="", "", "cm")</f>
        <v>0</v>
      </c>
      <c r="P634" s="1">
        <f>IF(B634="", "", "kg")</f>
        <v>0</v>
      </c>
      <c r="R634" s="1">
        <f>IF(B634="", "", "Not applicable")</f>
        <v>0</v>
      </c>
    </row>
    <row r="635" spans="1:18">
      <c r="A635">
        <f>IF(COUNTBLANK(B635:R635)&lt;&gt;COLUMNS(B635:R635),634,"")</f>
        <v>0</v>
      </c>
      <c r="C635" s="1">
        <f>IF(B635="", "", "Host-associated")</f>
        <v>0</v>
      </c>
      <c r="G635" s="1">
        <f>IF(B635="", "", "host-associated")</f>
        <v>0</v>
      </c>
      <c r="I635" s="1">
        <f>IF(B635="", "", "years")</f>
        <v>0</v>
      </c>
      <c r="L635" s="1">
        <f>IF(B635="", "", "cm")</f>
        <v>0</v>
      </c>
      <c r="P635" s="1">
        <f>IF(B635="", "", "kg")</f>
        <v>0</v>
      </c>
      <c r="R635" s="1">
        <f>IF(B635="", "", "Not applicable")</f>
        <v>0</v>
      </c>
    </row>
    <row r="636" spans="1:18">
      <c r="A636">
        <f>IF(COUNTBLANK(B636:R636)&lt;&gt;COLUMNS(B636:R636),635,"")</f>
        <v>0</v>
      </c>
      <c r="C636" s="1">
        <f>IF(B636="", "", "Host-associated")</f>
        <v>0</v>
      </c>
      <c r="G636" s="1">
        <f>IF(B636="", "", "host-associated")</f>
        <v>0</v>
      </c>
      <c r="I636" s="1">
        <f>IF(B636="", "", "years")</f>
        <v>0</v>
      </c>
      <c r="L636" s="1">
        <f>IF(B636="", "", "cm")</f>
        <v>0</v>
      </c>
      <c r="P636" s="1">
        <f>IF(B636="", "", "kg")</f>
        <v>0</v>
      </c>
      <c r="R636" s="1">
        <f>IF(B636="", "", "Not applicable")</f>
        <v>0</v>
      </c>
    </row>
    <row r="637" spans="1:18">
      <c r="A637">
        <f>IF(COUNTBLANK(B637:R637)&lt;&gt;COLUMNS(B637:R637),636,"")</f>
        <v>0</v>
      </c>
      <c r="C637" s="1">
        <f>IF(B637="", "", "Host-associated")</f>
        <v>0</v>
      </c>
      <c r="G637" s="1">
        <f>IF(B637="", "", "host-associated")</f>
        <v>0</v>
      </c>
      <c r="I637" s="1">
        <f>IF(B637="", "", "years")</f>
        <v>0</v>
      </c>
      <c r="L637" s="1">
        <f>IF(B637="", "", "cm")</f>
        <v>0</v>
      </c>
      <c r="P637" s="1">
        <f>IF(B637="", "", "kg")</f>
        <v>0</v>
      </c>
      <c r="R637" s="1">
        <f>IF(B637="", "", "Not applicable")</f>
        <v>0</v>
      </c>
    </row>
    <row r="638" spans="1:18">
      <c r="A638">
        <f>IF(COUNTBLANK(B638:R638)&lt;&gt;COLUMNS(B638:R638),637,"")</f>
        <v>0</v>
      </c>
      <c r="C638" s="1">
        <f>IF(B638="", "", "Host-associated")</f>
        <v>0</v>
      </c>
      <c r="G638" s="1">
        <f>IF(B638="", "", "host-associated")</f>
        <v>0</v>
      </c>
      <c r="I638" s="1">
        <f>IF(B638="", "", "years")</f>
        <v>0</v>
      </c>
      <c r="L638" s="1">
        <f>IF(B638="", "", "cm")</f>
        <v>0</v>
      </c>
      <c r="P638" s="1">
        <f>IF(B638="", "", "kg")</f>
        <v>0</v>
      </c>
      <c r="R638" s="1">
        <f>IF(B638="", "", "Not applicable")</f>
        <v>0</v>
      </c>
    </row>
    <row r="639" spans="1:18">
      <c r="A639">
        <f>IF(COUNTBLANK(B639:R639)&lt;&gt;COLUMNS(B639:R639),638,"")</f>
        <v>0</v>
      </c>
      <c r="C639" s="1">
        <f>IF(B639="", "", "Host-associated")</f>
        <v>0</v>
      </c>
      <c r="G639" s="1">
        <f>IF(B639="", "", "host-associated")</f>
        <v>0</v>
      </c>
      <c r="I639" s="1">
        <f>IF(B639="", "", "years")</f>
        <v>0</v>
      </c>
      <c r="L639" s="1">
        <f>IF(B639="", "", "cm")</f>
        <v>0</v>
      </c>
      <c r="P639" s="1">
        <f>IF(B639="", "", "kg")</f>
        <v>0</v>
      </c>
      <c r="R639" s="1">
        <f>IF(B639="", "", "Not applicable")</f>
        <v>0</v>
      </c>
    </row>
    <row r="640" spans="1:18">
      <c r="A640">
        <f>IF(COUNTBLANK(B640:R640)&lt;&gt;COLUMNS(B640:R640),639,"")</f>
        <v>0</v>
      </c>
      <c r="C640" s="1">
        <f>IF(B640="", "", "Host-associated")</f>
        <v>0</v>
      </c>
      <c r="G640" s="1">
        <f>IF(B640="", "", "host-associated")</f>
        <v>0</v>
      </c>
      <c r="I640" s="1">
        <f>IF(B640="", "", "years")</f>
        <v>0</v>
      </c>
      <c r="L640" s="1">
        <f>IF(B640="", "", "cm")</f>
        <v>0</v>
      </c>
      <c r="P640" s="1">
        <f>IF(B640="", "", "kg")</f>
        <v>0</v>
      </c>
      <c r="R640" s="1">
        <f>IF(B640="", "", "Not applicable")</f>
        <v>0</v>
      </c>
    </row>
    <row r="641" spans="1:18">
      <c r="A641">
        <f>IF(COUNTBLANK(B641:R641)&lt;&gt;COLUMNS(B641:R641),640,"")</f>
        <v>0</v>
      </c>
      <c r="C641" s="1">
        <f>IF(B641="", "", "Host-associated")</f>
        <v>0</v>
      </c>
      <c r="G641" s="1">
        <f>IF(B641="", "", "host-associated")</f>
        <v>0</v>
      </c>
      <c r="I641" s="1">
        <f>IF(B641="", "", "years")</f>
        <v>0</v>
      </c>
      <c r="L641" s="1">
        <f>IF(B641="", "", "cm")</f>
        <v>0</v>
      </c>
      <c r="P641" s="1">
        <f>IF(B641="", "", "kg")</f>
        <v>0</v>
      </c>
      <c r="R641" s="1">
        <f>IF(B641="", "", "Not applicable")</f>
        <v>0</v>
      </c>
    </row>
    <row r="642" spans="1:18">
      <c r="A642">
        <f>IF(COUNTBLANK(B642:R642)&lt;&gt;COLUMNS(B642:R642),641,"")</f>
        <v>0</v>
      </c>
      <c r="C642" s="1">
        <f>IF(B642="", "", "Host-associated")</f>
        <v>0</v>
      </c>
      <c r="G642" s="1">
        <f>IF(B642="", "", "host-associated")</f>
        <v>0</v>
      </c>
      <c r="I642" s="1">
        <f>IF(B642="", "", "years")</f>
        <v>0</v>
      </c>
      <c r="L642" s="1">
        <f>IF(B642="", "", "cm")</f>
        <v>0</v>
      </c>
      <c r="P642" s="1">
        <f>IF(B642="", "", "kg")</f>
        <v>0</v>
      </c>
      <c r="R642" s="1">
        <f>IF(B642="", "", "Not applicable")</f>
        <v>0</v>
      </c>
    </row>
    <row r="643" spans="1:18">
      <c r="A643">
        <f>IF(COUNTBLANK(B643:R643)&lt;&gt;COLUMNS(B643:R643),642,"")</f>
        <v>0</v>
      </c>
      <c r="C643" s="1">
        <f>IF(B643="", "", "Host-associated")</f>
        <v>0</v>
      </c>
      <c r="G643" s="1">
        <f>IF(B643="", "", "host-associated")</f>
        <v>0</v>
      </c>
      <c r="I643" s="1">
        <f>IF(B643="", "", "years")</f>
        <v>0</v>
      </c>
      <c r="L643" s="1">
        <f>IF(B643="", "", "cm")</f>
        <v>0</v>
      </c>
      <c r="P643" s="1">
        <f>IF(B643="", "", "kg")</f>
        <v>0</v>
      </c>
      <c r="R643" s="1">
        <f>IF(B643="", "", "Not applicable")</f>
        <v>0</v>
      </c>
    </row>
    <row r="644" spans="1:18">
      <c r="A644">
        <f>IF(COUNTBLANK(B644:R644)&lt;&gt;COLUMNS(B644:R644),643,"")</f>
        <v>0</v>
      </c>
      <c r="C644" s="1">
        <f>IF(B644="", "", "Host-associated")</f>
        <v>0</v>
      </c>
      <c r="G644" s="1">
        <f>IF(B644="", "", "host-associated")</f>
        <v>0</v>
      </c>
      <c r="I644" s="1">
        <f>IF(B644="", "", "years")</f>
        <v>0</v>
      </c>
      <c r="L644" s="1">
        <f>IF(B644="", "", "cm")</f>
        <v>0</v>
      </c>
      <c r="P644" s="1">
        <f>IF(B644="", "", "kg")</f>
        <v>0</v>
      </c>
      <c r="R644" s="1">
        <f>IF(B644="", "", "Not applicable")</f>
        <v>0</v>
      </c>
    </row>
    <row r="645" spans="1:18">
      <c r="A645">
        <f>IF(COUNTBLANK(B645:R645)&lt;&gt;COLUMNS(B645:R645),644,"")</f>
        <v>0</v>
      </c>
      <c r="C645" s="1">
        <f>IF(B645="", "", "Host-associated")</f>
        <v>0</v>
      </c>
      <c r="G645" s="1">
        <f>IF(B645="", "", "host-associated")</f>
        <v>0</v>
      </c>
      <c r="I645" s="1">
        <f>IF(B645="", "", "years")</f>
        <v>0</v>
      </c>
      <c r="L645" s="1">
        <f>IF(B645="", "", "cm")</f>
        <v>0</v>
      </c>
      <c r="P645" s="1">
        <f>IF(B645="", "", "kg")</f>
        <v>0</v>
      </c>
      <c r="R645" s="1">
        <f>IF(B645="", "", "Not applicable")</f>
        <v>0</v>
      </c>
    </row>
    <row r="646" spans="1:18">
      <c r="A646">
        <f>IF(COUNTBLANK(B646:R646)&lt;&gt;COLUMNS(B646:R646),645,"")</f>
        <v>0</v>
      </c>
      <c r="C646" s="1">
        <f>IF(B646="", "", "Host-associated")</f>
        <v>0</v>
      </c>
      <c r="G646" s="1">
        <f>IF(B646="", "", "host-associated")</f>
        <v>0</v>
      </c>
      <c r="I646" s="1">
        <f>IF(B646="", "", "years")</f>
        <v>0</v>
      </c>
      <c r="L646" s="1">
        <f>IF(B646="", "", "cm")</f>
        <v>0</v>
      </c>
      <c r="P646" s="1">
        <f>IF(B646="", "", "kg")</f>
        <v>0</v>
      </c>
      <c r="R646" s="1">
        <f>IF(B646="", "", "Not applicable")</f>
        <v>0</v>
      </c>
    </row>
    <row r="647" spans="1:18">
      <c r="A647">
        <f>IF(COUNTBLANK(B647:R647)&lt;&gt;COLUMNS(B647:R647),646,"")</f>
        <v>0</v>
      </c>
      <c r="C647" s="1">
        <f>IF(B647="", "", "Host-associated")</f>
        <v>0</v>
      </c>
      <c r="G647" s="1">
        <f>IF(B647="", "", "host-associated")</f>
        <v>0</v>
      </c>
      <c r="I647" s="1">
        <f>IF(B647="", "", "years")</f>
        <v>0</v>
      </c>
      <c r="L647" s="1">
        <f>IF(B647="", "", "cm")</f>
        <v>0</v>
      </c>
      <c r="P647" s="1">
        <f>IF(B647="", "", "kg")</f>
        <v>0</v>
      </c>
      <c r="R647" s="1">
        <f>IF(B647="", "", "Not applicable")</f>
        <v>0</v>
      </c>
    </row>
    <row r="648" spans="1:18">
      <c r="A648">
        <f>IF(COUNTBLANK(B648:R648)&lt;&gt;COLUMNS(B648:R648),647,"")</f>
        <v>0</v>
      </c>
      <c r="C648" s="1">
        <f>IF(B648="", "", "Host-associated")</f>
        <v>0</v>
      </c>
      <c r="G648" s="1">
        <f>IF(B648="", "", "host-associated")</f>
        <v>0</v>
      </c>
      <c r="I648" s="1">
        <f>IF(B648="", "", "years")</f>
        <v>0</v>
      </c>
      <c r="L648" s="1">
        <f>IF(B648="", "", "cm")</f>
        <v>0</v>
      </c>
      <c r="P648" s="1">
        <f>IF(B648="", "", "kg")</f>
        <v>0</v>
      </c>
      <c r="R648" s="1">
        <f>IF(B648="", "", "Not applicable")</f>
        <v>0</v>
      </c>
    </row>
    <row r="649" spans="1:18">
      <c r="A649">
        <f>IF(COUNTBLANK(B649:R649)&lt;&gt;COLUMNS(B649:R649),648,"")</f>
        <v>0</v>
      </c>
      <c r="C649" s="1">
        <f>IF(B649="", "", "Host-associated")</f>
        <v>0</v>
      </c>
      <c r="G649" s="1">
        <f>IF(B649="", "", "host-associated")</f>
        <v>0</v>
      </c>
      <c r="I649" s="1">
        <f>IF(B649="", "", "years")</f>
        <v>0</v>
      </c>
      <c r="L649" s="1">
        <f>IF(B649="", "", "cm")</f>
        <v>0</v>
      </c>
      <c r="P649" s="1">
        <f>IF(B649="", "", "kg")</f>
        <v>0</v>
      </c>
      <c r="R649" s="1">
        <f>IF(B649="", "", "Not applicable")</f>
        <v>0</v>
      </c>
    </row>
    <row r="650" spans="1:18">
      <c r="A650">
        <f>IF(COUNTBLANK(B650:R650)&lt;&gt;COLUMNS(B650:R650),649,"")</f>
        <v>0</v>
      </c>
      <c r="C650" s="1">
        <f>IF(B650="", "", "Host-associated")</f>
        <v>0</v>
      </c>
      <c r="G650" s="1">
        <f>IF(B650="", "", "host-associated")</f>
        <v>0</v>
      </c>
      <c r="I650" s="1">
        <f>IF(B650="", "", "years")</f>
        <v>0</v>
      </c>
      <c r="L650" s="1">
        <f>IF(B650="", "", "cm")</f>
        <v>0</v>
      </c>
      <c r="P650" s="1">
        <f>IF(B650="", "", "kg")</f>
        <v>0</v>
      </c>
      <c r="R650" s="1">
        <f>IF(B650="", "", "Not applicable")</f>
        <v>0</v>
      </c>
    </row>
    <row r="651" spans="1:18">
      <c r="A651">
        <f>IF(COUNTBLANK(B651:R651)&lt;&gt;COLUMNS(B651:R651),650,"")</f>
        <v>0</v>
      </c>
      <c r="C651" s="1">
        <f>IF(B651="", "", "Host-associated")</f>
        <v>0</v>
      </c>
      <c r="G651" s="1">
        <f>IF(B651="", "", "host-associated")</f>
        <v>0</v>
      </c>
      <c r="I651" s="1">
        <f>IF(B651="", "", "years")</f>
        <v>0</v>
      </c>
      <c r="L651" s="1">
        <f>IF(B651="", "", "cm")</f>
        <v>0</v>
      </c>
      <c r="P651" s="1">
        <f>IF(B651="", "", "kg")</f>
        <v>0</v>
      </c>
      <c r="R651" s="1">
        <f>IF(B651="", "", "Not applicable")</f>
        <v>0</v>
      </c>
    </row>
    <row r="652" spans="1:18">
      <c r="A652">
        <f>IF(COUNTBLANK(B652:R652)&lt;&gt;COLUMNS(B652:R652),651,"")</f>
        <v>0</v>
      </c>
      <c r="C652" s="1">
        <f>IF(B652="", "", "Host-associated")</f>
        <v>0</v>
      </c>
      <c r="G652" s="1">
        <f>IF(B652="", "", "host-associated")</f>
        <v>0</v>
      </c>
      <c r="I652" s="1">
        <f>IF(B652="", "", "years")</f>
        <v>0</v>
      </c>
      <c r="L652" s="1">
        <f>IF(B652="", "", "cm")</f>
        <v>0</v>
      </c>
      <c r="P652" s="1">
        <f>IF(B652="", "", "kg")</f>
        <v>0</v>
      </c>
      <c r="R652" s="1">
        <f>IF(B652="", "", "Not applicable")</f>
        <v>0</v>
      </c>
    </row>
    <row r="653" spans="1:18">
      <c r="A653">
        <f>IF(COUNTBLANK(B653:R653)&lt;&gt;COLUMNS(B653:R653),652,"")</f>
        <v>0</v>
      </c>
      <c r="C653" s="1">
        <f>IF(B653="", "", "Host-associated")</f>
        <v>0</v>
      </c>
      <c r="G653" s="1">
        <f>IF(B653="", "", "host-associated")</f>
        <v>0</v>
      </c>
      <c r="I653" s="1">
        <f>IF(B653="", "", "years")</f>
        <v>0</v>
      </c>
      <c r="L653" s="1">
        <f>IF(B653="", "", "cm")</f>
        <v>0</v>
      </c>
      <c r="P653" s="1">
        <f>IF(B653="", "", "kg")</f>
        <v>0</v>
      </c>
      <c r="R653" s="1">
        <f>IF(B653="", "", "Not applicable")</f>
        <v>0</v>
      </c>
    </row>
    <row r="654" spans="1:18">
      <c r="A654">
        <f>IF(COUNTBLANK(B654:R654)&lt;&gt;COLUMNS(B654:R654),653,"")</f>
        <v>0</v>
      </c>
      <c r="C654" s="1">
        <f>IF(B654="", "", "Host-associated")</f>
        <v>0</v>
      </c>
      <c r="G654" s="1">
        <f>IF(B654="", "", "host-associated")</f>
        <v>0</v>
      </c>
      <c r="I654" s="1">
        <f>IF(B654="", "", "years")</f>
        <v>0</v>
      </c>
      <c r="L654" s="1">
        <f>IF(B654="", "", "cm")</f>
        <v>0</v>
      </c>
      <c r="P654" s="1">
        <f>IF(B654="", "", "kg")</f>
        <v>0</v>
      </c>
      <c r="R654" s="1">
        <f>IF(B654="", "", "Not applicable")</f>
        <v>0</v>
      </c>
    </row>
    <row r="655" spans="1:18">
      <c r="A655">
        <f>IF(COUNTBLANK(B655:R655)&lt;&gt;COLUMNS(B655:R655),654,"")</f>
        <v>0</v>
      </c>
      <c r="C655" s="1">
        <f>IF(B655="", "", "Host-associated")</f>
        <v>0</v>
      </c>
      <c r="G655" s="1">
        <f>IF(B655="", "", "host-associated")</f>
        <v>0</v>
      </c>
      <c r="I655" s="1">
        <f>IF(B655="", "", "years")</f>
        <v>0</v>
      </c>
      <c r="L655" s="1">
        <f>IF(B655="", "", "cm")</f>
        <v>0</v>
      </c>
      <c r="P655" s="1">
        <f>IF(B655="", "", "kg")</f>
        <v>0</v>
      </c>
      <c r="R655" s="1">
        <f>IF(B655="", "", "Not applicable")</f>
        <v>0</v>
      </c>
    </row>
    <row r="656" spans="1:18">
      <c r="A656">
        <f>IF(COUNTBLANK(B656:R656)&lt;&gt;COLUMNS(B656:R656),655,"")</f>
        <v>0</v>
      </c>
      <c r="C656" s="1">
        <f>IF(B656="", "", "Host-associated")</f>
        <v>0</v>
      </c>
      <c r="G656" s="1">
        <f>IF(B656="", "", "host-associated")</f>
        <v>0</v>
      </c>
      <c r="I656" s="1">
        <f>IF(B656="", "", "years")</f>
        <v>0</v>
      </c>
      <c r="L656" s="1">
        <f>IF(B656="", "", "cm")</f>
        <v>0</v>
      </c>
      <c r="P656" s="1">
        <f>IF(B656="", "", "kg")</f>
        <v>0</v>
      </c>
      <c r="R656" s="1">
        <f>IF(B656="", "", "Not applicable")</f>
        <v>0</v>
      </c>
    </row>
    <row r="657" spans="1:18">
      <c r="A657">
        <f>IF(COUNTBLANK(B657:R657)&lt;&gt;COLUMNS(B657:R657),656,"")</f>
        <v>0</v>
      </c>
      <c r="C657" s="1">
        <f>IF(B657="", "", "Host-associated")</f>
        <v>0</v>
      </c>
      <c r="G657" s="1">
        <f>IF(B657="", "", "host-associated")</f>
        <v>0</v>
      </c>
      <c r="I657" s="1">
        <f>IF(B657="", "", "years")</f>
        <v>0</v>
      </c>
      <c r="L657" s="1">
        <f>IF(B657="", "", "cm")</f>
        <v>0</v>
      </c>
      <c r="P657" s="1">
        <f>IF(B657="", "", "kg")</f>
        <v>0</v>
      </c>
      <c r="R657" s="1">
        <f>IF(B657="", "", "Not applicable")</f>
        <v>0</v>
      </c>
    </row>
    <row r="658" spans="1:18">
      <c r="A658">
        <f>IF(COUNTBLANK(B658:R658)&lt;&gt;COLUMNS(B658:R658),657,"")</f>
        <v>0</v>
      </c>
      <c r="C658" s="1">
        <f>IF(B658="", "", "Host-associated")</f>
        <v>0</v>
      </c>
      <c r="G658" s="1">
        <f>IF(B658="", "", "host-associated")</f>
        <v>0</v>
      </c>
      <c r="I658" s="1">
        <f>IF(B658="", "", "years")</f>
        <v>0</v>
      </c>
      <c r="L658" s="1">
        <f>IF(B658="", "", "cm")</f>
        <v>0</v>
      </c>
      <c r="P658" s="1">
        <f>IF(B658="", "", "kg")</f>
        <v>0</v>
      </c>
      <c r="R658" s="1">
        <f>IF(B658="", "", "Not applicable")</f>
        <v>0</v>
      </c>
    </row>
    <row r="659" spans="1:18">
      <c r="A659">
        <f>IF(COUNTBLANK(B659:R659)&lt;&gt;COLUMNS(B659:R659),658,"")</f>
        <v>0</v>
      </c>
      <c r="C659" s="1">
        <f>IF(B659="", "", "Host-associated")</f>
        <v>0</v>
      </c>
      <c r="G659" s="1">
        <f>IF(B659="", "", "host-associated")</f>
        <v>0</v>
      </c>
      <c r="I659" s="1">
        <f>IF(B659="", "", "years")</f>
        <v>0</v>
      </c>
      <c r="L659" s="1">
        <f>IF(B659="", "", "cm")</f>
        <v>0</v>
      </c>
      <c r="P659" s="1">
        <f>IF(B659="", "", "kg")</f>
        <v>0</v>
      </c>
      <c r="R659" s="1">
        <f>IF(B659="", "", "Not applicable")</f>
        <v>0</v>
      </c>
    </row>
    <row r="660" spans="1:18">
      <c r="A660">
        <f>IF(COUNTBLANK(B660:R660)&lt;&gt;COLUMNS(B660:R660),659,"")</f>
        <v>0</v>
      </c>
      <c r="C660" s="1">
        <f>IF(B660="", "", "Host-associated")</f>
        <v>0</v>
      </c>
      <c r="G660" s="1">
        <f>IF(B660="", "", "host-associated")</f>
        <v>0</v>
      </c>
      <c r="I660" s="1">
        <f>IF(B660="", "", "years")</f>
        <v>0</v>
      </c>
      <c r="L660" s="1">
        <f>IF(B660="", "", "cm")</f>
        <v>0</v>
      </c>
      <c r="P660" s="1">
        <f>IF(B660="", "", "kg")</f>
        <v>0</v>
      </c>
      <c r="R660" s="1">
        <f>IF(B660="", "", "Not applicable")</f>
        <v>0</v>
      </c>
    </row>
    <row r="661" spans="1:18">
      <c r="A661">
        <f>IF(COUNTBLANK(B661:R661)&lt;&gt;COLUMNS(B661:R661),660,"")</f>
        <v>0</v>
      </c>
      <c r="C661" s="1">
        <f>IF(B661="", "", "Host-associated")</f>
        <v>0</v>
      </c>
      <c r="G661" s="1">
        <f>IF(B661="", "", "host-associated")</f>
        <v>0</v>
      </c>
      <c r="I661" s="1">
        <f>IF(B661="", "", "years")</f>
        <v>0</v>
      </c>
      <c r="L661" s="1">
        <f>IF(B661="", "", "cm")</f>
        <v>0</v>
      </c>
      <c r="P661" s="1">
        <f>IF(B661="", "", "kg")</f>
        <v>0</v>
      </c>
      <c r="R661" s="1">
        <f>IF(B661="", "", "Not applicable")</f>
        <v>0</v>
      </c>
    </row>
    <row r="662" spans="1:18">
      <c r="A662">
        <f>IF(COUNTBLANK(B662:R662)&lt;&gt;COLUMNS(B662:R662),661,"")</f>
        <v>0</v>
      </c>
      <c r="C662" s="1">
        <f>IF(B662="", "", "Host-associated")</f>
        <v>0</v>
      </c>
      <c r="G662" s="1">
        <f>IF(B662="", "", "host-associated")</f>
        <v>0</v>
      </c>
      <c r="I662" s="1">
        <f>IF(B662="", "", "years")</f>
        <v>0</v>
      </c>
      <c r="L662" s="1">
        <f>IF(B662="", "", "cm")</f>
        <v>0</v>
      </c>
      <c r="P662" s="1">
        <f>IF(B662="", "", "kg")</f>
        <v>0</v>
      </c>
      <c r="R662" s="1">
        <f>IF(B662="", "", "Not applicable")</f>
        <v>0</v>
      </c>
    </row>
    <row r="663" spans="1:18">
      <c r="A663">
        <f>IF(COUNTBLANK(B663:R663)&lt;&gt;COLUMNS(B663:R663),662,"")</f>
        <v>0</v>
      </c>
      <c r="C663" s="1">
        <f>IF(B663="", "", "Host-associated")</f>
        <v>0</v>
      </c>
      <c r="G663" s="1">
        <f>IF(B663="", "", "host-associated")</f>
        <v>0</v>
      </c>
      <c r="I663" s="1">
        <f>IF(B663="", "", "years")</f>
        <v>0</v>
      </c>
      <c r="L663" s="1">
        <f>IF(B663="", "", "cm")</f>
        <v>0</v>
      </c>
      <c r="P663" s="1">
        <f>IF(B663="", "", "kg")</f>
        <v>0</v>
      </c>
      <c r="R663" s="1">
        <f>IF(B663="", "", "Not applicable")</f>
        <v>0</v>
      </c>
    </row>
    <row r="664" spans="1:18">
      <c r="A664">
        <f>IF(COUNTBLANK(B664:R664)&lt;&gt;COLUMNS(B664:R664),663,"")</f>
        <v>0</v>
      </c>
      <c r="C664" s="1">
        <f>IF(B664="", "", "Host-associated")</f>
        <v>0</v>
      </c>
      <c r="G664" s="1">
        <f>IF(B664="", "", "host-associated")</f>
        <v>0</v>
      </c>
      <c r="I664" s="1">
        <f>IF(B664="", "", "years")</f>
        <v>0</v>
      </c>
      <c r="L664" s="1">
        <f>IF(B664="", "", "cm")</f>
        <v>0</v>
      </c>
      <c r="P664" s="1">
        <f>IF(B664="", "", "kg")</f>
        <v>0</v>
      </c>
      <c r="R664" s="1">
        <f>IF(B664="", "", "Not applicable")</f>
        <v>0</v>
      </c>
    </row>
    <row r="665" spans="1:18">
      <c r="A665">
        <f>IF(COUNTBLANK(B665:R665)&lt;&gt;COLUMNS(B665:R665),664,"")</f>
        <v>0</v>
      </c>
      <c r="C665" s="1">
        <f>IF(B665="", "", "Host-associated")</f>
        <v>0</v>
      </c>
      <c r="G665" s="1">
        <f>IF(B665="", "", "host-associated")</f>
        <v>0</v>
      </c>
      <c r="I665" s="1">
        <f>IF(B665="", "", "years")</f>
        <v>0</v>
      </c>
      <c r="L665" s="1">
        <f>IF(B665="", "", "cm")</f>
        <v>0</v>
      </c>
      <c r="P665" s="1">
        <f>IF(B665="", "", "kg")</f>
        <v>0</v>
      </c>
      <c r="R665" s="1">
        <f>IF(B665="", "", "Not applicable")</f>
        <v>0</v>
      </c>
    </row>
    <row r="666" spans="1:18">
      <c r="A666">
        <f>IF(COUNTBLANK(B666:R666)&lt;&gt;COLUMNS(B666:R666),665,"")</f>
        <v>0</v>
      </c>
      <c r="C666" s="1">
        <f>IF(B666="", "", "Host-associated")</f>
        <v>0</v>
      </c>
      <c r="G666" s="1">
        <f>IF(B666="", "", "host-associated")</f>
        <v>0</v>
      </c>
      <c r="I666" s="1">
        <f>IF(B666="", "", "years")</f>
        <v>0</v>
      </c>
      <c r="L666" s="1">
        <f>IF(B666="", "", "cm")</f>
        <v>0</v>
      </c>
      <c r="P666" s="1">
        <f>IF(B666="", "", "kg")</f>
        <v>0</v>
      </c>
      <c r="R666" s="1">
        <f>IF(B666="", "", "Not applicable")</f>
        <v>0</v>
      </c>
    </row>
    <row r="667" spans="1:18">
      <c r="A667">
        <f>IF(COUNTBLANK(B667:R667)&lt;&gt;COLUMNS(B667:R667),666,"")</f>
        <v>0</v>
      </c>
      <c r="C667" s="1">
        <f>IF(B667="", "", "Host-associated")</f>
        <v>0</v>
      </c>
      <c r="G667" s="1">
        <f>IF(B667="", "", "host-associated")</f>
        <v>0</v>
      </c>
      <c r="I667" s="1">
        <f>IF(B667="", "", "years")</f>
        <v>0</v>
      </c>
      <c r="L667" s="1">
        <f>IF(B667="", "", "cm")</f>
        <v>0</v>
      </c>
      <c r="P667" s="1">
        <f>IF(B667="", "", "kg")</f>
        <v>0</v>
      </c>
      <c r="R667" s="1">
        <f>IF(B667="", "", "Not applicable")</f>
        <v>0</v>
      </c>
    </row>
    <row r="668" spans="1:18">
      <c r="A668">
        <f>IF(COUNTBLANK(B668:R668)&lt;&gt;COLUMNS(B668:R668),667,"")</f>
        <v>0</v>
      </c>
      <c r="C668" s="1">
        <f>IF(B668="", "", "Host-associated")</f>
        <v>0</v>
      </c>
      <c r="G668" s="1">
        <f>IF(B668="", "", "host-associated")</f>
        <v>0</v>
      </c>
      <c r="I668" s="1">
        <f>IF(B668="", "", "years")</f>
        <v>0</v>
      </c>
      <c r="L668" s="1">
        <f>IF(B668="", "", "cm")</f>
        <v>0</v>
      </c>
      <c r="P668" s="1">
        <f>IF(B668="", "", "kg")</f>
        <v>0</v>
      </c>
      <c r="R668" s="1">
        <f>IF(B668="", "", "Not applicable")</f>
        <v>0</v>
      </c>
    </row>
    <row r="669" spans="1:18">
      <c r="A669">
        <f>IF(COUNTBLANK(B669:R669)&lt;&gt;COLUMNS(B669:R669),668,"")</f>
        <v>0</v>
      </c>
      <c r="C669" s="1">
        <f>IF(B669="", "", "Host-associated")</f>
        <v>0</v>
      </c>
      <c r="G669" s="1">
        <f>IF(B669="", "", "host-associated")</f>
        <v>0</v>
      </c>
      <c r="I669" s="1">
        <f>IF(B669="", "", "years")</f>
        <v>0</v>
      </c>
      <c r="L669" s="1">
        <f>IF(B669="", "", "cm")</f>
        <v>0</v>
      </c>
      <c r="P669" s="1">
        <f>IF(B669="", "", "kg")</f>
        <v>0</v>
      </c>
      <c r="R669" s="1">
        <f>IF(B669="", "", "Not applicable")</f>
        <v>0</v>
      </c>
    </row>
    <row r="670" spans="1:18">
      <c r="A670">
        <f>IF(COUNTBLANK(B670:R670)&lt;&gt;COLUMNS(B670:R670),669,"")</f>
        <v>0</v>
      </c>
      <c r="C670" s="1">
        <f>IF(B670="", "", "Host-associated")</f>
        <v>0</v>
      </c>
      <c r="G670" s="1">
        <f>IF(B670="", "", "host-associated")</f>
        <v>0</v>
      </c>
      <c r="I670" s="1">
        <f>IF(B670="", "", "years")</f>
        <v>0</v>
      </c>
      <c r="L670" s="1">
        <f>IF(B670="", "", "cm")</f>
        <v>0</v>
      </c>
      <c r="P670" s="1">
        <f>IF(B670="", "", "kg")</f>
        <v>0</v>
      </c>
      <c r="R670" s="1">
        <f>IF(B670="", "", "Not applicable")</f>
        <v>0</v>
      </c>
    </row>
    <row r="671" spans="1:18">
      <c r="A671">
        <f>IF(COUNTBLANK(B671:R671)&lt;&gt;COLUMNS(B671:R671),670,"")</f>
        <v>0</v>
      </c>
      <c r="C671" s="1">
        <f>IF(B671="", "", "Host-associated")</f>
        <v>0</v>
      </c>
      <c r="G671" s="1">
        <f>IF(B671="", "", "host-associated")</f>
        <v>0</v>
      </c>
      <c r="I671" s="1">
        <f>IF(B671="", "", "years")</f>
        <v>0</v>
      </c>
      <c r="L671" s="1">
        <f>IF(B671="", "", "cm")</f>
        <v>0</v>
      </c>
      <c r="P671" s="1">
        <f>IF(B671="", "", "kg")</f>
        <v>0</v>
      </c>
      <c r="R671" s="1">
        <f>IF(B671="", "", "Not applicable")</f>
        <v>0</v>
      </c>
    </row>
    <row r="672" spans="1:18">
      <c r="A672">
        <f>IF(COUNTBLANK(B672:R672)&lt;&gt;COLUMNS(B672:R672),671,"")</f>
        <v>0</v>
      </c>
      <c r="C672" s="1">
        <f>IF(B672="", "", "Host-associated")</f>
        <v>0</v>
      </c>
      <c r="G672" s="1">
        <f>IF(B672="", "", "host-associated")</f>
        <v>0</v>
      </c>
      <c r="I672" s="1">
        <f>IF(B672="", "", "years")</f>
        <v>0</v>
      </c>
      <c r="L672" s="1">
        <f>IF(B672="", "", "cm")</f>
        <v>0</v>
      </c>
      <c r="P672" s="1">
        <f>IF(B672="", "", "kg")</f>
        <v>0</v>
      </c>
      <c r="R672" s="1">
        <f>IF(B672="", "", "Not applicable")</f>
        <v>0</v>
      </c>
    </row>
    <row r="673" spans="1:18">
      <c r="A673">
        <f>IF(COUNTBLANK(B673:R673)&lt;&gt;COLUMNS(B673:R673),672,"")</f>
        <v>0</v>
      </c>
      <c r="C673" s="1">
        <f>IF(B673="", "", "Host-associated")</f>
        <v>0</v>
      </c>
      <c r="G673" s="1">
        <f>IF(B673="", "", "host-associated")</f>
        <v>0</v>
      </c>
      <c r="I673" s="1">
        <f>IF(B673="", "", "years")</f>
        <v>0</v>
      </c>
      <c r="L673" s="1">
        <f>IF(B673="", "", "cm")</f>
        <v>0</v>
      </c>
      <c r="P673" s="1">
        <f>IF(B673="", "", "kg")</f>
        <v>0</v>
      </c>
      <c r="R673" s="1">
        <f>IF(B673="", "", "Not applicable")</f>
        <v>0</v>
      </c>
    </row>
    <row r="674" spans="1:18">
      <c r="A674">
        <f>IF(COUNTBLANK(B674:R674)&lt;&gt;COLUMNS(B674:R674),673,"")</f>
        <v>0</v>
      </c>
      <c r="C674" s="1">
        <f>IF(B674="", "", "Host-associated")</f>
        <v>0</v>
      </c>
      <c r="G674" s="1">
        <f>IF(B674="", "", "host-associated")</f>
        <v>0</v>
      </c>
      <c r="I674" s="1">
        <f>IF(B674="", "", "years")</f>
        <v>0</v>
      </c>
      <c r="L674" s="1">
        <f>IF(B674="", "", "cm")</f>
        <v>0</v>
      </c>
      <c r="P674" s="1">
        <f>IF(B674="", "", "kg")</f>
        <v>0</v>
      </c>
      <c r="R674" s="1">
        <f>IF(B674="", "", "Not applicable")</f>
        <v>0</v>
      </c>
    </row>
    <row r="675" spans="1:18">
      <c r="A675">
        <f>IF(COUNTBLANK(B675:R675)&lt;&gt;COLUMNS(B675:R675),674,"")</f>
        <v>0</v>
      </c>
      <c r="C675" s="1">
        <f>IF(B675="", "", "Host-associated")</f>
        <v>0</v>
      </c>
      <c r="G675" s="1">
        <f>IF(B675="", "", "host-associated")</f>
        <v>0</v>
      </c>
      <c r="I675" s="1">
        <f>IF(B675="", "", "years")</f>
        <v>0</v>
      </c>
      <c r="L675" s="1">
        <f>IF(B675="", "", "cm")</f>
        <v>0</v>
      </c>
      <c r="P675" s="1">
        <f>IF(B675="", "", "kg")</f>
        <v>0</v>
      </c>
      <c r="R675" s="1">
        <f>IF(B675="", "", "Not applicable")</f>
        <v>0</v>
      </c>
    </row>
    <row r="676" spans="1:18">
      <c r="A676">
        <f>IF(COUNTBLANK(B676:R676)&lt;&gt;COLUMNS(B676:R676),675,"")</f>
        <v>0</v>
      </c>
      <c r="C676" s="1">
        <f>IF(B676="", "", "Host-associated")</f>
        <v>0</v>
      </c>
      <c r="G676" s="1">
        <f>IF(B676="", "", "host-associated")</f>
        <v>0</v>
      </c>
      <c r="I676" s="1">
        <f>IF(B676="", "", "years")</f>
        <v>0</v>
      </c>
      <c r="L676" s="1">
        <f>IF(B676="", "", "cm")</f>
        <v>0</v>
      </c>
      <c r="P676" s="1">
        <f>IF(B676="", "", "kg")</f>
        <v>0</v>
      </c>
      <c r="R676" s="1">
        <f>IF(B676="", "", "Not applicable")</f>
        <v>0</v>
      </c>
    </row>
    <row r="677" spans="1:18">
      <c r="A677">
        <f>IF(COUNTBLANK(B677:R677)&lt;&gt;COLUMNS(B677:R677),676,"")</f>
        <v>0</v>
      </c>
      <c r="C677" s="1">
        <f>IF(B677="", "", "Host-associated")</f>
        <v>0</v>
      </c>
      <c r="G677" s="1">
        <f>IF(B677="", "", "host-associated")</f>
        <v>0</v>
      </c>
      <c r="I677" s="1">
        <f>IF(B677="", "", "years")</f>
        <v>0</v>
      </c>
      <c r="L677" s="1">
        <f>IF(B677="", "", "cm")</f>
        <v>0</v>
      </c>
      <c r="P677" s="1">
        <f>IF(B677="", "", "kg")</f>
        <v>0</v>
      </c>
      <c r="R677" s="1">
        <f>IF(B677="", "", "Not applicable")</f>
        <v>0</v>
      </c>
    </row>
    <row r="678" spans="1:18">
      <c r="A678">
        <f>IF(COUNTBLANK(B678:R678)&lt;&gt;COLUMNS(B678:R678),677,"")</f>
        <v>0</v>
      </c>
      <c r="C678" s="1">
        <f>IF(B678="", "", "Host-associated")</f>
        <v>0</v>
      </c>
      <c r="G678" s="1">
        <f>IF(B678="", "", "host-associated")</f>
        <v>0</v>
      </c>
      <c r="I678" s="1">
        <f>IF(B678="", "", "years")</f>
        <v>0</v>
      </c>
      <c r="L678" s="1">
        <f>IF(B678="", "", "cm")</f>
        <v>0</v>
      </c>
      <c r="P678" s="1">
        <f>IF(B678="", "", "kg")</f>
        <v>0</v>
      </c>
      <c r="R678" s="1">
        <f>IF(B678="", "", "Not applicable")</f>
        <v>0</v>
      </c>
    </row>
    <row r="679" spans="1:18">
      <c r="A679">
        <f>IF(COUNTBLANK(B679:R679)&lt;&gt;COLUMNS(B679:R679),678,"")</f>
        <v>0</v>
      </c>
      <c r="C679" s="1">
        <f>IF(B679="", "", "Host-associated")</f>
        <v>0</v>
      </c>
      <c r="G679" s="1">
        <f>IF(B679="", "", "host-associated")</f>
        <v>0</v>
      </c>
      <c r="I679" s="1">
        <f>IF(B679="", "", "years")</f>
        <v>0</v>
      </c>
      <c r="L679" s="1">
        <f>IF(B679="", "", "cm")</f>
        <v>0</v>
      </c>
      <c r="P679" s="1">
        <f>IF(B679="", "", "kg")</f>
        <v>0</v>
      </c>
      <c r="R679" s="1">
        <f>IF(B679="", "", "Not applicable")</f>
        <v>0</v>
      </c>
    </row>
    <row r="680" spans="1:18">
      <c r="A680">
        <f>IF(COUNTBLANK(B680:R680)&lt;&gt;COLUMNS(B680:R680),679,"")</f>
        <v>0</v>
      </c>
      <c r="C680" s="1">
        <f>IF(B680="", "", "Host-associated")</f>
        <v>0</v>
      </c>
      <c r="G680" s="1">
        <f>IF(B680="", "", "host-associated")</f>
        <v>0</v>
      </c>
      <c r="I680" s="1">
        <f>IF(B680="", "", "years")</f>
        <v>0</v>
      </c>
      <c r="L680" s="1">
        <f>IF(B680="", "", "cm")</f>
        <v>0</v>
      </c>
      <c r="P680" s="1">
        <f>IF(B680="", "", "kg")</f>
        <v>0</v>
      </c>
      <c r="R680" s="1">
        <f>IF(B680="", "", "Not applicable")</f>
        <v>0</v>
      </c>
    </row>
    <row r="681" spans="1:18">
      <c r="A681">
        <f>IF(COUNTBLANK(B681:R681)&lt;&gt;COLUMNS(B681:R681),680,"")</f>
        <v>0</v>
      </c>
      <c r="C681" s="1">
        <f>IF(B681="", "", "Host-associated")</f>
        <v>0</v>
      </c>
      <c r="G681" s="1">
        <f>IF(B681="", "", "host-associated")</f>
        <v>0</v>
      </c>
      <c r="I681" s="1">
        <f>IF(B681="", "", "years")</f>
        <v>0</v>
      </c>
      <c r="L681" s="1">
        <f>IF(B681="", "", "cm")</f>
        <v>0</v>
      </c>
      <c r="P681" s="1">
        <f>IF(B681="", "", "kg")</f>
        <v>0</v>
      </c>
      <c r="R681" s="1">
        <f>IF(B681="", "", "Not applicable")</f>
        <v>0</v>
      </c>
    </row>
    <row r="682" spans="1:18">
      <c r="A682">
        <f>IF(COUNTBLANK(B682:R682)&lt;&gt;COLUMNS(B682:R682),681,"")</f>
        <v>0</v>
      </c>
      <c r="C682" s="1">
        <f>IF(B682="", "", "Host-associated")</f>
        <v>0</v>
      </c>
      <c r="G682" s="1">
        <f>IF(B682="", "", "host-associated")</f>
        <v>0</v>
      </c>
      <c r="I682" s="1">
        <f>IF(B682="", "", "years")</f>
        <v>0</v>
      </c>
      <c r="L682" s="1">
        <f>IF(B682="", "", "cm")</f>
        <v>0</v>
      </c>
      <c r="P682" s="1">
        <f>IF(B682="", "", "kg")</f>
        <v>0</v>
      </c>
      <c r="R682" s="1">
        <f>IF(B682="", "", "Not applicable")</f>
        <v>0</v>
      </c>
    </row>
    <row r="683" spans="1:18">
      <c r="A683">
        <f>IF(COUNTBLANK(B683:R683)&lt;&gt;COLUMNS(B683:R683),682,"")</f>
        <v>0</v>
      </c>
      <c r="C683" s="1">
        <f>IF(B683="", "", "Host-associated")</f>
        <v>0</v>
      </c>
      <c r="G683" s="1">
        <f>IF(B683="", "", "host-associated")</f>
        <v>0</v>
      </c>
      <c r="I683" s="1">
        <f>IF(B683="", "", "years")</f>
        <v>0</v>
      </c>
      <c r="L683" s="1">
        <f>IF(B683="", "", "cm")</f>
        <v>0</v>
      </c>
      <c r="P683" s="1">
        <f>IF(B683="", "", "kg")</f>
        <v>0</v>
      </c>
      <c r="R683" s="1">
        <f>IF(B683="", "", "Not applicable")</f>
        <v>0</v>
      </c>
    </row>
    <row r="684" spans="1:18">
      <c r="A684">
        <f>IF(COUNTBLANK(B684:R684)&lt;&gt;COLUMNS(B684:R684),683,"")</f>
        <v>0</v>
      </c>
      <c r="C684" s="1">
        <f>IF(B684="", "", "Host-associated")</f>
        <v>0</v>
      </c>
      <c r="G684" s="1">
        <f>IF(B684="", "", "host-associated")</f>
        <v>0</v>
      </c>
      <c r="I684" s="1">
        <f>IF(B684="", "", "years")</f>
        <v>0</v>
      </c>
      <c r="L684" s="1">
        <f>IF(B684="", "", "cm")</f>
        <v>0</v>
      </c>
      <c r="P684" s="1">
        <f>IF(B684="", "", "kg")</f>
        <v>0</v>
      </c>
      <c r="R684" s="1">
        <f>IF(B684="", "", "Not applicable")</f>
        <v>0</v>
      </c>
    </row>
    <row r="685" spans="1:18">
      <c r="A685">
        <f>IF(COUNTBLANK(B685:R685)&lt;&gt;COLUMNS(B685:R685),684,"")</f>
        <v>0</v>
      </c>
      <c r="C685" s="1">
        <f>IF(B685="", "", "Host-associated")</f>
        <v>0</v>
      </c>
      <c r="G685" s="1">
        <f>IF(B685="", "", "host-associated")</f>
        <v>0</v>
      </c>
      <c r="I685" s="1">
        <f>IF(B685="", "", "years")</f>
        <v>0</v>
      </c>
      <c r="L685" s="1">
        <f>IF(B685="", "", "cm")</f>
        <v>0</v>
      </c>
      <c r="P685" s="1">
        <f>IF(B685="", "", "kg")</f>
        <v>0</v>
      </c>
      <c r="R685" s="1">
        <f>IF(B685="", "", "Not applicable")</f>
        <v>0</v>
      </c>
    </row>
    <row r="686" spans="1:18">
      <c r="A686">
        <f>IF(COUNTBLANK(B686:R686)&lt;&gt;COLUMNS(B686:R686),685,"")</f>
        <v>0</v>
      </c>
      <c r="C686" s="1">
        <f>IF(B686="", "", "Host-associated")</f>
        <v>0</v>
      </c>
      <c r="G686" s="1">
        <f>IF(B686="", "", "host-associated")</f>
        <v>0</v>
      </c>
      <c r="I686" s="1">
        <f>IF(B686="", "", "years")</f>
        <v>0</v>
      </c>
      <c r="L686" s="1">
        <f>IF(B686="", "", "cm")</f>
        <v>0</v>
      </c>
      <c r="P686" s="1">
        <f>IF(B686="", "", "kg")</f>
        <v>0</v>
      </c>
      <c r="R686" s="1">
        <f>IF(B686="", "", "Not applicable")</f>
        <v>0</v>
      </c>
    </row>
    <row r="687" spans="1:18">
      <c r="A687">
        <f>IF(COUNTBLANK(B687:R687)&lt;&gt;COLUMNS(B687:R687),686,"")</f>
        <v>0</v>
      </c>
      <c r="C687" s="1">
        <f>IF(B687="", "", "Host-associated")</f>
        <v>0</v>
      </c>
      <c r="G687" s="1">
        <f>IF(B687="", "", "host-associated")</f>
        <v>0</v>
      </c>
      <c r="I687" s="1">
        <f>IF(B687="", "", "years")</f>
        <v>0</v>
      </c>
      <c r="L687" s="1">
        <f>IF(B687="", "", "cm")</f>
        <v>0</v>
      </c>
      <c r="P687" s="1">
        <f>IF(B687="", "", "kg")</f>
        <v>0</v>
      </c>
      <c r="R687" s="1">
        <f>IF(B687="", "", "Not applicable")</f>
        <v>0</v>
      </c>
    </row>
    <row r="688" spans="1:18">
      <c r="A688">
        <f>IF(COUNTBLANK(B688:R688)&lt;&gt;COLUMNS(B688:R688),687,"")</f>
        <v>0</v>
      </c>
      <c r="C688" s="1">
        <f>IF(B688="", "", "Host-associated")</f>
        <v>0</v>
      </c>
      <c r="G688" s="1">
        <f>IF(B688="", "", "host-associated")</f>
        <v>0</v>
      </c>
      <c r="I688" s="1">
        <f>IF(B688="", "", "years")</f>
        <v>0</v>
      </c>
      <c r="L688" s="1">
        <f>IF(B688="", "", "cm")</f>
        <v>0</v>
      </c>
      <c r="P688" s="1">
        <f>IF(B688="", "", "kg")</f>
        <v>0</v>
      </c>
      <c r="R688" s="1">
        <f>IF(B688="", "", "Not applicable")</f>
        <v>0</v>
      </c>
    </row>
    <row r="689" spans="1:18">
      <c r="A689">
        <f>IF(COUNTBLANK(B689:R689)&lt;&gt;COLUMNS(B689:R689),688,"")</f>
        <v>0</v>
      </c>
      <c r="C689" s="1">
        <f>IF(B689="", "", "Host-associated")</f>
        <v>0</v>
      </c>
      <c r="G689" s="1">
        <f>IF(B689="", "", "host-associated")</f>
        <v>0</v>
      </c>
      <c r="I689" s="1">
        <f>IF(B689="", "", "years")</f>
        <v>0</v>
      </c>
      <c r="L689" s="1">
        <f>IF(B689="", "", "cm")</f>
        <v>0</v>
      </c>
      <c r="P689" s="1">
        <f>IF(B689="", "", "kg")</f>
        <v>0</v>
      </c>
      <c r="R689" s="1">
        <f>IF(B689="", "", "Not applicable")</f>
        <v>0</v>
      </c>
    </row>
    <row r="690" spans="1:18">
      <c r="A690">
        <f>IF(COUNTBLANK(B690:R690)&lt;&gt;COLUMNS(B690:R690),689,"")</f>
        <v>0</v>
      </c>
      <c r="C690" s="1">
        <f>IF(B690="", "", "Host-associated")</f>
        <v>0</v>
      </c>
      <c r="G690" s="1">
        <f>IF(B690="", "", "host-associated")</f>
        <v>0</v>
      </c>
      <c r="I690" s="1">
        <f>IF(B690="", "", "years")</f>
        <v>0</v>
      </c>
      <c r="L690" s="1">
        <f>IF(B690="", "", "cm")</f>
        <v>0</v>
      </c>
      <c r="P690" s="1">
        <f>IF(B690="", "", "kg")</f>
        <v>0</v>
      </c>
      <c r="R690" s="1">
        <f>IF(B690="", "", "Not applicable")</f>
        <v>0</v>
      </c>
    </row>
    <row r="691" spans="1:18">
      <c r="A691">
        <f>IF(COUNTBLANK(B691:R691)&lt;&gt;COLUMNS(B691:R691),690,"")</f>
        <v>0</v>
      </c>
      <c r="C691" s="1">
        <f>IF(B691="", "", "Host-associated")</f>
        <v>0</v>
      </c>
      <c r="G691" s="1">
        <f>IF(B691="", "", "host-associated")</f>
        <v>0</v>
      </c>
      <c r="I691" s="1">
        <f>IF(B691="", "", "years")</f>
        <v>0</v>
      </c>
      <c r="L691" s="1">
        <f>IF(B691="", "", "cm")</f>
        <v>0</v>
      </c>
      <c r="P691" s="1">
        <f>IF(B691="", "", "kg")</f>
        <v>0</v>
      </c>
      <c r="R691" s="1">
        <f>IF(B691="", "", "Not applicable")</f>
        <v>0</v>
      </c>
    </row>
    <row r="692" spans="1:18">
      <c r="A692">
        <f>IF(COUNTBLANK(B692:R692)&lt;&gt;COLUMNS(B692:R692),691,"")</f>
        <v>0</v>
      </c>
      <c r="C692" s="1">
        <f>IF(B692="", "", "Host-associated")</f>
        <v>0</v>
      </c>
      <c r="G692" s="1">
        <f>IF(B692="", "", "host-associated")</f>
        <v>0</v>
      </c>
      <c r="I692" s="1">
        <f>IF(B692="", "", "years")</f>
        <v>0</v>
      </c>
      <c r="L692" s="1">
        <f>IF(B692="", "", "cm")</f>
        <v>0</v>
      </c>
      <c r="P692" s="1">
        <f>IF(B692="", "", "kg")</f>
        <v>0</v>
      </c>
      <c r="R692" s="1">
        <f>IF(B692="", "", "Not applicable")</f>
        <v>0</v>
      </c>
    </row>
    <row r="693" spans="1:18">
      <c r="A693">
        <f>IF(COUNTBLANK(B693:R693)&lt;&gt;COLUMNS(B693:R693),692,"")</f>
        <v>0</v>
      </c>
      <c r="C693" s="1">
        <f>IF(B693="", "", "Host-associated")</f>
        <v>0</v>
      </c>
      <c r="G693" s="1">
        <f>IF(B693="", "", "host-associated")</f>
        <v>0</v>
      </c>
      <c r="I693" s="1">
        <f>IF(B693="", "", "years")</f>
        <v>0</v>
      </c>
      <c r="L693" s="1">
        <f>IF(B693="", "", "cm")</f>
        <v>0</v>
      </c>
      <c r="P693" s="1">
        <f>IF(B693="", "", "kg")</f>
        <v>0</v>
      </c>
      <c r="R693" s="1">
        <f>IF(B693="", "", "Not applicable")</f>
        <v>0</v>
      </c>
    </row>
    <row r="694" spans="1:18">
      <c r="A694">
        <f>IF(COUNTBLANK(B694:R694)&lt;&gt;COLUMNS(B694:R694),693,"")</f>
        <v>0</v>
      </c>
      <c r="C694" s="1">
        <f>IF(B694="", "", "Host-associated")</f>
        <v>0</v>
      </c>
      <c r="G694" s="1">
        <f>IF(B694="", "", "host-associated")</f>
        <v>0</v>
      </c>
      <c r="I694" s="1">
        <f>IF(B694="", "", "years")</f>
        <v>0</v>
      </c>
      <c r="L694" s="1">
        <f>IF(B694="", "", "cm")</f>
        <v>0</v>
      </c>
      <c r="P694" s="1">
        <f>IF(B694="", "", "kg")</f>
        <v>0</v>
      </c>
      <c r="R694" s="1">
        <f>IF(B694="", "", "Not applicable")</f>
        <v>0</v>
      </c>
    </row>
    <row r="695" spans="1:18">
      <c r="A695">
        <f>IF(COUNTBLANK(B695:R695)&lt;&gt;COLUMNS(B695:R695),694,"")</f>
        <v>0</v>
      </c>
      <c r="C695" s="1">
        <f>IF(B695="", "", "Host-associated")</f>
        <v>0</v>
      </c>
      <c r="G695" s="1">
        <f>IF(B695="", "", "host-associated")</f>
        <v>0</v>
      </c>
      <c r="I695" s="1">
        <f>IF(B695="", "", "years")</f>
        <v>0</v>
      </c>
      <c r="L695" s="1">
        <f>IF(B695="", "", "cm")</f>
        <v>0</v>
      </c>
      <c r="P695" s="1">
        <f>IF(B695="", "", "kg")</f>
        <v>0</v>
      </c>
      <c r="R695" s="1">
        <f>IF(B695="", "", "Not applicable")</f>
        <v>0</v>
      </c>
    </row>
    <row r="696" spans="1:18">
      <c r="A696">
        <f>IF(COUNTBLANK(B696:R696)&lt;&gt;COLUMNS(B696:R696),695,"")</f>
        <v>0</v>
      </c>
      <c r="C696" s="1">
        <f>IF(B696="", "", "Host-associated")</f>
        <v>0</v>
      </c>
      <c r="G696" s="1">
        <f>IF(B696="", "", "host-associated")</f>
        <v>0</v>
      </c>
      <c r="I696" s="1">
        <f>IF(B696="", "", "years")</f>
        <v>0</v>
      </c>
      <c r="L696" s="1">
        <f>IF(B696="", "", "cm")</f>
        <v>0</v>
      </c>
      <c r="P696" s="1">
        <f>IF(B696="", "", "kg")</f>
        <v>0</v>
      </c>
      <c r="R696" s="1">
        <f>IF(B696="", "", "Not applicable")</f>
        <v>0</v>
      </c>
    </row>
    <row r="697" spans="1:18">
      <c r="A697">
        <f>IF(COUNTBLANK(B697:R697)&lt;&gt;COLUMNS(B697:R697),696,"")</f>
        <v>0</v>
      </c>
      <c r="C697" s="1">
        <f>IF(B697="", "", "Host-associated")</f>
        <v>0</v>
      </c>
      <c r="G697" s="1">
        <f>IF(B697="", "", "host-associated")</f>
        <v>0</v>
      </c>
      <c r="I697" s="1">
        <f>IF(B697="", "", "years")</f>
        <v>0</v>
      </c>
      <c r="L697" s="1">
        <f>IF(B697="", "", "cm")</f>
        <v>0</v>
      </c>
      <c r="P697" s="1">
        <f>IF(B697="", "", "kg")</f>
        <v>0</v>
      </c>
      <c r="R697" s="1">
        <f>IF(B697="", "", "Not applicable")</f>
        <v>0</v>
      </c>
    </row>
    <row r="698" spans="1:18">
      <c r="A698">
        <f>IF(COUNTBLANK(B698:R698)&lt;&gt;COLUMNS(B698:R698),697,"")</f>
        <v>0</v>
      </c>
      <c r="C698" s="1">
        <f>IF(B698="", "", "Host-associated")</f>
        <v>0</v>
      </c>
      <c r="G698" s="1">
        <f>IF(B698="", "", "host-associated")</f>
        <v>0</v>
      </c>
      <c r="I698" s="1">
        <f>IF(B698="", "", "years")</f>
        <v>0</v>
      </c>
      <c r="L698" s="1">
        <f>IF(B698="", "", "cm")</f>
        <v>0</v>
      </c>
      <c r="P698" s="1">
        <f>IF(B698="", "", "kg")</f>
        <v>0</v>
      </c>
      <c r="R698" s="1">
        <f>IF(B698="", "", "Not applicable")</f>
        <v>0</v>
      </c>
    </row>
    <row r="699" spans="1:18">
      <c r="A699">
        <f>IF(COUNTBLANK(B699:R699)&lt;&gt;COLUMNS(B699:R699),698,"")</f>
        <v>0</v>
      </c>
      <c r="C699" s="1">
        <f>IF(B699="", "", "Host-associated")</f>
        <v>0</v>
      </c>
      <c r="G699" s="1">
        <f>IF(B699="", "", "host-associated")</f>
        <v>0</v>
      </c>
      <c r="I699" s="1">
        <f>IF(B699="", "", "years")</f>
        <v>0</v>
      </c>
      <c r="L699" s="1">
        <f>IF(B699="", "", "cm")</f>
        <v>0</v>
      </c>
      <c r="P699" s="1">
        <f>IF(B699="", "", "kg")</f>
        <v>0</v>
      </c>
      <c r="R699" s="1">
        <f>IF(B699="", "", "Not applicable")</f>
        <v>0</v>
      </c>
    </row>
    <row r="700" spans="1:18">
      <c r="A700">
        <f>IF(COUNTBLANK(B700:R700)&lt;&gt;COLUMNS(B700:R700),699,"")</f>
        <v>0</v>
      </c>
      <c r="C700" s="1">
        <f>IF(B700="", "", "Host-associated")</f>
        <v>0</v>
      </c>
      <c r="G700" s="1">
        <f>IF(B700="", "", "host-associated")</f>
        <v>0</v>
      </c>
      <c r="I700" s="1">
        <f>IF(B700="", "", "years")</f>
        <v>0</v>
      </c>
      <c r="L700" s="1">
        <f>IF(B700="", "", "cm")</f>
        <v>0</v>
      </c>
      <c r="P700" s="1">
        <f>IF(B700="", "", "kg")</f>
        <v>0</v>
      </c>
      <c r="R700" s="1">
        <f>IF(B700="", "", "Not applicable")</f>
        <v>0</v>
      </c>
    </row>
    <row r="701" spans="1:18">
      <c r="A701">
        <f>IF(COUNTBLANK(B701:R701)&lt;&gt;COLUMNS(B701:R701),700,"")</f>
        <v>0</v>
      </c>
      <c r="C701" s="1">
        <f>IF(B701="", "", "Host-associated")</f>
        <v>0</v>
      </c>
      <c r="G701" s="1">
        <f>IF(B701="", "", "host-associated")</f>
        <v>0</v>
      </c>
      <c r="I701" s="1">
        <f>IF(B701="", "", "years")</f>
        <v>0</v>
      </c>
      <c r="L701" s="1">
        <f>IF(B701="", "", "cm")</f>
        <v>0</v>
      </c>
      <c r="P701" s="1">
        <f>IF(B701="", "", "kg")</f>
        <v>0</v>
      </c>
      <c r="R701" s="1">
        <f>IF(B701="", "", "Not applicable")</f>
        <v>0</v>
      </c>
    </row>
    <row r="702" spans="1:18">
      <c r="A702">
        <f>IF(COUNTBLANK(B702:R702)&lt;&gt;COLUMNS(B702:R702),701,"")</f>
        <v>0</v>
      </c>
      <c r="C702" s="1">
        <f>IF(B702="", "", "Host-associated")</f>
        <v>0</v>
      </c>
      <c r="G702" s="1">
        <f>IF(B702="", "", "host-associated")</f>
        <v>0</v>
      </c>
      <c r="I702" s="1">
        <f>IF(B702="", "", "years")</f>
        <v>0</v>
      </c>
      <c r="L702" s="1">
        <f>IF(B702="", "", "cm")</f>
        <v>0</v>
      </c>
      <c r="P702" s="1">
        <f>IF(B702="", "", "kg")</f>
        <v>0</v>
      </c>
      <c r="R702" s="1">
        <f>IF(B702="", "", "Not applicable")</f>
        <v>0</v>
      </c>
    </row>
    <row r="703" spans="1:18">
      <c r="A703">
        <f>IF(COUNTBLANK(B703:R703)&lt;&gt;COLUMNS(B703:R703),702,"")</f>
        <v>0</v>
      </c>
      <c r="C703" s="1">
        <f>IF(B703="", "", "Host-associated")</f>
        <v>0</v>
      </c>
      <c r="G703" s="1">
        <f>IF(B703="", "", "host-associated")</f>
        <v>0</v>
      </c>
      <c r="I703" s="1">
        <f>IF(B703="", "", "years")</f>
        <v>0</v>
      </c>
      <c r="L703" s="1">
        <f>IF(B703="", "", "cm")</f>
        <v>0</v>
      </c>
      <c r="P703" s="1">
        <f>IF(B703="", "", "kg")</f>
        <v>0</v>
      </c>
      <c r="R703" s="1">
        <f>IF(B703="", "", "Not applicable")</f>
        <v>0</v>
      </c>
    </row>
    <row r="704" spans="1:18">
      <c r="A704">
        <f>IF(COUNTBLANK(B704:R704)&lt;&gt;COLUMNS(B704:R704),703,"")</f>
        <v>0</v>
      </c>
      <c r="C704" s="1">
        <f>IF(B704="", "", "Host-associated")</f>
        <v>0</v>
      </c>
      <c r="G704" s="1">
        <f>IF(B704="", "", "host-associated")</f>
        <v>0</v>
      </c>
      <c r="I704" s="1">
        <f>IF(B704="", "", "years")</f>
        <v>0</v>
      </c>
      <c r="L704" s="1">
        <f>IF(B704="", "", "cm")</f>
        <v>0</v>
      </c>
      <c r="P704" s="1">
        <f>IF(B704="", "", "kg")</f>
        <v>0</v>
      </c>
      <c r="R704" s="1">
        <f>IF(B704="", "", "Not applicable")</f>
        <v>0</v>
      </c>
    </row>
    <row r="705" spans="1:18">
      <c r="A705">
        <f>IF(COUNTBLANK(B705:R705)&lt;&gt;COLUMNS(B705:R705),704,"")</f>
        <v>0</v>
      </c>
      <c r="C705" s="1">
        <f>IF(B705="", "", "Host-associated")</f>
        <v>0</v>
      </c>
      <c r="G705" s="1">
        <f>IF(B705="", "", "host-associated")</f>
        <v>0</v>
      </c>
      <c r="I705" s="1">
        <f>IF(B705="", "", "years")</f>
        <v>0</v>
      </c>
      <c r="L705" s="1">
        <f>IF(B705="", "", "cm")</f>
        <v>0</v>
      </c>
      <c r="P705" s="1">
        <f>IF(B705="", "", "kg")</f>
        <v>0</v>
      </c>
      <c r="R705" s="1">
        <f>IF(B705="", "", "Not applicable")</f>
        <v>0</v>
      </c>
    </row>
    <row r="706" spans="1:18">
      <c r="A706">
        <f>IF(COUNTBLANK(B706:R706)&lt;&gt;COLUMNS(B706:R706),705,"")</f>
        <v>0</v>
      </c>
      <c r="C706" s="1">
        <f>IF(B706="", "", "Host-associated")</f>
        <v>0</v>
      </c>
      <c r="G706" s="1">
        <f>IF(B706="", "", "host-associated")</f>
        <v>0</v>
      </c>
      <c r="I706" s="1">
        <f>IF(B706="", "", "years")</f>
        <v>0</v>
      </c>
      <c r="L706" s="1">
        <f>IF(B706="", "", "cm")</f>
        <v>0</v>
      </c>
      <c r="P706" s="1">
        <f>IF(B706="", "", "kg")</f>
        <v>0</v>
      </c>
      <c r="R706" s="1">
        <f>IF(B706="", "", "Not applicable")</f>
        <v>0</v>
      </c>
    </row>
    <row r="707" spans="1:18">
      <c r="A707">
        <f>IF(COUNTBLANK(B707:R707)&lt;&gt;COLUMNS(B707:R707),706,"")</f>
        <v>0</v>
      </c>
      <c r="C707" s="1">
        <f>IF(B707="", "", "Host-associated")</f>
        <v>0</v>
      </c>
      <c r="G707" s="1">
        <f>IF(B707="", "", "host-associated")</f>
        <v>0</v>
      </c>
      <c r="I707" s="1">
        <f>IF(B707="", "", "years")</f>
        <v>0</v>
      </c>
      <c r="L707" s="1">
        <f>IF(B707="", "", "cm")</f>
        <v>0</v>
      </c>
      <c r="P707" s="1">
        <f>IF(B707="", "", "kg")</f>
        <v>0</v>
      </c>
      <c r="R707" s="1">
        <f>IF(B707="", "", "Not applicable")</f>
        <v>0</v>
      </c>
    </row>
    <row r="708" spans="1:18">
      <c r="A708">
        <f>IF(COUNTBLANK(B708:R708)&lt;&gt;COLUMNS(B708:R708),707,"")</f>
        <v>0</v>
      </c>
      <c r="C708" s="1">
        <f>IF(B708="", "", "Host-associated")</f>
        <v>0</v>
      </c>
      <c r="G708" s="1">
        <f>IF(B708="", "", "host-associated")</f>
        <v>0</v>
      </c>
      <c r="I708" s="1">
        <f>IF(B708="", "", "years")</f>
        <v>0</v>
      </c>
      <c r="L708" s="1">
        <f>IF(B708="", "", "cm")</f>
        <v>0</v>
      </c>
      <c r="P708" s="1">
        <f>IF(B708="", "", "kg")</f>
        <v>0</v>
      </c>
      <c r="R708" s="1">
        <f>IF(B708="", "", "Not applicable")</f>
        <v>0</v>
      </c>
    </row>
    <row r="709" spans="1:18">
      <c r="A709">
        <f>IF(COUNTBLANK(B709:R709)&lt;&gt;COLUMNS(B709:R709),708,"")</f>
        <v>0</v>
      </c>
      <c r="C709" s="1">
        <f>IF(B709="", "", "Host-associated")</f>
        <v>0</v>
      </c>
      <c r="G709" s="1">
        <f>IF(B709="", "", "host-associated")</f>
        <v>0</v>
      </c>
      <c r="I709" s="1">
        <f>IF(B709="", "", "years")</f>
        <v>0</v>
      </c>
      <c r="L709" s="1">
        <f>IF(B709="", "", "cm")</f>
        <v>0</v>
      </c>
      <c r="P709" s="1">
        <f>IF(B709="", "", "kg")</f>
        <v>0</v>
      </c>
      <c r="R709" s="1">
        <f>IF(B709="", "", "Not applicable")</f>
        <v>0</v>
      </c>
    </row>
    <row r="710" spans="1:18">
      <c r="A710">
        <f>IF(COUNTBLANK(B710:R710)&lt;&gt;COLUMNS(B710:R710),709,"")</f>
        <v>0</v>
      </c>
      <c r="C710" s="1">
        <f>IF(B710="", "", "Host-associated")</f>
        <v>0</v>
      </c>
      <c r="G710" s="1">
        <f>IF(B710="", "", "host-associated")</f>
        <v>0</v>
      </c>
      <c r="I710" s="1">
        <f>IF(B710="", "", "years")</f>
        <v>0</v>
      </c>
      <c r="L710" s="1">
        <f>IF(B710="", "", "cm")</f>
        <v>0</v>
      </c>
      <c r="P710" s="1">
        <f>IF(B710="", "", "kg")</f>
        <v>0</v>
      </c>
      <c r="R710" s="1">
        <f>IF(B710="", "", "Not applicable")</f>
        <v>0</v>
      </c>
    </row>
    <row r="711" spans="1:18">
      <c r="A711">
        <f>IF(COUNTBLANK(B711:R711)&lt;&gt;COLUMNS(B711:R711),710,"")</f>
        <v>0</v>
      </c>
      <c r="C711" s="1">
        <f>IF(B711="", "", "Host-associated")</f>
        <v>0</v>
      </c>
      <c r="G711" s="1">
        <f>IF(B711="", "", "host-associated")</f>
        <v>0</v>
      </c>
      <c r="I711" s="1">
        <f>IF(B711="", "", "years")</f>
        <v>0</v>
      </c>
      <c r="L711" s="1">
        <f>IF(B711="", "", "cm")</f>
        <v>0</v>
      </c>
      <c r="P711" s="1">
        <f>IF(B711="", "", "kg")</f>
        <v>0</v>
      </c>
      <c r="R711" s="1">
        <f>IF(B711="", "", "Not applicable")</f>
        <v>0</v>
      </c>
    </row>
    <row r="712" spans="1:18">
      <c r="A712">
        <f>IF(COUNTBLANK(B712:R712)&lt;&gt;COLUMNS(B712:R712),711,"")</f>
        <v>0</v>
      </c>
      <c r="C712" s="1">
        <f>IF(B712="", "", "Host-associated")</f>
        <v>0</v>
      </c>
      <c r="G712" s="1">
        <f>IF(B712="", "", "host-associated")</f>
        <v>0</v>
      </c>
      <c r="I712" s="1">
        <f>IF(B712="", "", "years")</f>
        <v>0</v>
      </c>
      <c r="L712" s="1">
        <f>IF(B712="", "", "cm")</f>
        <v>0</v>
      </c>
      <c r="P712" s="1">
        <f>IF(B712="", "", "kg")</f>
        <v>0</v>
      </c>
      <c r="R712" s="1">
        <f>IF(B712="", "", "Not applicable")</f>
        <v>0</v>
      </c>
    </row>
    <row r="713" spans="1:18">
      <c r="A713">
        <f>IF(COUNTBLANK(B713:R713)&lt;&gt;COLUMNS(B713:R713),712,"")</f>
        <v>0</v>
      </c>
      <c r="C713" s="1">
        <f>IF(B713="", "", "Host-associated")</f>
        <v>0</v>
      </c>
      <c r="G713" s="1">
        <f>IF(B713="", "", "host-associated")</f>
        <v>0</v>
      </c>
      <c r="I713" s="1">
        <f>IF(B713="", "", "years")</f>
        <v>0</v>
      </c>
      <c r="L713" s="1">
        <f>IF(B713="", "", "cm")</f>
        <v>0</v>
      </c>
      <c r="P713" s="1">
        <f>IF(B713="", "", "kg")</f>
        <v>0</v>
      </c>
      <c r="R713" s="1">
        <f>IF(B713="", "", "Not applicable")</f>
        <v>0</v>
      </c>
    </row>
    <row r="714" spans="1:18">
      <c r="A714">
        <f>IF(COUNTBLANK(B714:R714)&lt;&gt;COLUMNS(B714:R714),713,"")</f>
        <v>0</v>
      </c>
      <c r="C714" s="1">
        <f>IF(B714="", "", "Host-associated")</f>
        <v>0</v>
      </c>
      <c r="G714" s="1">
        <f>IF(B714="", "", "host-associated")</f>
        <v>0</v>
      </c>
      <c r="I714" s="1">
        <f>IF(B714="", "", "years")</f>
        <v>0</v>
      </c>
      <c r="L714" s="1">
        <f>IF(B714="", "", "cm")</f>
        <v>0</v>
      </c>
      <c r="P714" s="1">
        <f>IF(B714="", "", "kg")</f>
        <v>0</v>
      </c>
      <c r="R714" s="1">
        <f>IF(B714="", "", "Not applicable")</f>
        <v>0</v>
      </c>
    </row>
    <row r="715" spans="1:18">
      <c r="A715">
        <f>IF(COUNTBLANK(B715:R715)&lt;&gt;COLUMNS(B715:R715),714,"")</f>
        <v>0</v>
      </c>
      <c r="C715" s="1">
        <f>IF(B715="", "", "Host-associated")</f>
        <v>0</v>
      </c>
      <c r="G715" s="1">
        <f>IF(B715="", "", "host-associated")</f>
        <v>0</v>
      </c>
      <c r="I715" s="1">
        <f>IF(B715="", "", "years")</f>
        <v>0</v>
      </c>
      <c r="L715" s="1">
        <f>IF(B715="", "", "cm")</f>
        <v>0</v>
      </c>
      <c r="P715" s="1">
        <f>IF(B715="", "", "kg")</f>
        <v>0</v>
      </c>
      <c r="R715" s="1">
        <f>IF(B715="", "", "Not applicable")</f>
        <v>0</v>
      </c>
    </row>
    <row r="716" spans="1:18">
      <c r="A716">
        <f>IF(COUNTBLANK(B716:R716)&lt;&gt;COLUMNS(B716:R716),715,"")</f>
        <v>0</v>
      </c>
      <c r="C716" s="1">
        <f>IF(B716="", "", "Host-associated")</f>
        <v>0</v>
      </c>
      <c r="G716" s="1">
        <f>IF(B716="", "", "host-associated")</f>
        <v>0</v>
      </c>
      <c r="I716" s="1">
        <f>IF(B716="", "", "years")</f>
        <v>0</v>
      </c>
      <c r="L716" s="1">
        <f>IF(B716="", "", "cm")</f>
        <v>0</v>
      </c>
      <c r="P716" s="1">
        <f>IF(B716="", "", "kg")</f>
        <v>0</v>
      </c>
      <c r="R716" s="1">
        <f>IF(B716="", "", "Not applicable")</f>
        <v>0</v>
      </c>
    </row>
    <row r="717" spans="1:18">
      <c r="A717">
        <f>IF(COUNTBLANK(B717:R717)&lt;&gt;COLUMNS(B717:R717),716,"")</f>
        <v>0</v>
      </c>
      <c r="C717" s="1">
        <f>IF(B717="", "", "Host-associated")</f>
        <v>0</v>
      </c>
      <c r="G717" s="1">
        <f>IF(B717="", "", "host-associated")</f>
        <v>0</v>
      </c>
      <c r="I717" s="1">
        <f>IF(B717="", "", "years")</f>
        <v>0</v>
      </c>
      <c r="L717" s="1">
        <f>IF(B717="", "", "cm")</f>
        <v>0</v>
      </c>
      <c r="P717" s="1">
        <f>IF(B717="", "", "kg")</f>
        <v>0</v>
      </c>
      <c r="R717" s="1">
        <f>IF(B717="", "", "Not applicable")</f>
        <v>0</v>
      </c>
    </row>
    <row r="718" spans="1:18">
      <c r="A718">
        <f>IF(COUNTBLANK(B718:R718)&lt;&gt;COLUMNS(B718:R718),717,"")</f>
        <v>0</v>
      </c>
      <c r="C718" s="1">
        <f>IF(B718="", "", "Host-associated")</f>
        <v>0</v>
      </c>
      <c r="G718" s="1">
        <f>IF(B718="", "", "host-associated")</f>
        <v>0</v>
      </c>
      <c r="I718" s="1">
        <f>IF(B718="", "", "years")</f>
        <v>0</v>
      </c>
      <c r="L718" s="1">
        <f>IF(B718="", "", "cm")</f>
        <v>0</v>
      </c>
      <c r="P718" s="1">
        <f>IF(B718="", "", "kg")</f>
        <v>0</v>
      </c>
      <c r="R718" s="1">
        <f>IF(B718="", "", "Not applicable")</f>
        <v>0</v>
      </c>
    </row>
    <row r="719" spans="1:18">
      <c r="A719">
        <f>IF(COUNTBLANK(B719:R719)&lt;&gt;COLUMNS(B719:R719),718,"")</f>
        <v>0</v>
      </c>
      <c r="C719" s="1">
        <f>IF(B719="", "", "Host-associated")</f>
        <v>0</v>
      </c>
      <c r="G719" s="1">
        <f>IF(B719="", "", "host-associated")</f>
        <v>0</v>
      </c>
      <c r="I719" s="1">
        <f>IF(B719="", "", "years")</f>
        <v>0</v>
      </c>
      <c r="L719" s="1">
        <f>IF(B719="", "", "cm")</f>
        <v>0</v>
      </c>
      <c r="P719" s="1">
        <f>IF(B719="", "", "kg")</f>
        <v>0</v>
      </c>
      <c r="R719" s="1">
        <f>IF(B719="", "", "Not applicable")</f>
        <v>0</v>
      </c>
    </row>
    <row r="720" spans="1:18">
      <c r="A720">
        <f>IF(COUNTBLANK(B720:R720)&lt;&gt;COLUMNS(B720:R720),719,"")</f>
        <v>0</v>
      </c>
      <c r="C720" s="1">
        <f>IF(B720="", "", "Host-associated")</f>
        <v>0</v>
      </c>
      <c r="G720" s="1">
        <f>IF(B720="", "", "host-associated")</f>
        <v>0</v>
      </c>
      <c r="I720" s="1">
        <f>IF(B720="", "", "years")</f>
        <v>0</v>
      </c>
      <c r="L720" s="1">
        <f>IF(B720="", "", "cm")</f>
        <v>0</v>
      </c>
      <c r="P720" s="1">
        <f>IF(B720="", "", "kg")</f>
        <v>0</v>
      </c>
      <c r="R720" s="1">
        <f>IF(B720="", "", "Not applicable")</f>
        <v>0</v>
      </c>
    </row>
    <row r="721" spans="1:18">
      <c r="A721">
        <f>IF(COUNTBLANK(B721:R721)&lt;&gt;COLUMNS(B721:R721),720,"")</f>
        <v>0</v>
      </c>
      <c r="C721" s="1">
        <f>IF(B721="", "", "Host-associated")</f>
        <v>0</v>
      </c>
      <c r="G721" s="1">
        <f>IF(B721="", "", "host-associated")</f>
        <v>0</v>
      </c>
      <c r="I721" s="1">
        <f>IF(B721="", "", "years")</f>
        <v>0</v>
      </c>
      <c r="L721" s="1">
        <f>IF(B721="", "", "cm")</f>
        <v>0</v>
      </c>
      <c r="P721" s="1">
        <f>IF(B721="", "", "kg")</f>
        <v>0</v>
      </c>
      <c r="R721" s="1">
        <f>IF(B721="", "", "Not applicable")</f>
        <v>0</v>
      </c>
    </row>
    <row r="722" spans="1:18">
      <c r="A722">
        <f>IF(COUNTBLANK(B722:R722)&lt;&gt;COLUMNS(B722:R722),721,"")</f>
        <v>0</v>
      </c>
      <c r="C722" s="1">
        <f>IF(B722="", "", "Host-associated")</f>
        <v>0</v>
      </c>
      <c r="G722" s="1">
        <f>IF(B722="", "", "host-associated")</f>
        <v>0</v>
      </c>
      <c r="I722" s="1">
        <f>IF(B722="", "", "years")</f>
        <v>0</v>
      </c>
      <c r="L722" s="1">
        <f>IF(B722="", "", "cm")</f>
        <v>0</v>
      </c>
      <c r="P722" s="1">
        <f>IF(B722="", "", "kg")</f>
        <v>0</v>
      </c>
      <c r="R722" s="1">
        <f>IF(B722="", "", "Not applicable")</f>
        <v>0</v>
      </c>
    </row>
    <row r="723" spans="1:18">
      <c r="A723">
        <f>IF(COUNTBLANK(B723:R723)&lt;&gt;COLUMNS(B723:R723),722,"")</f>
        <v>0</v>
      </c>
      <c r="C723" s="1">
        <f>IF(B723="", "", "Host-associated")</f>
        <v>0</v>
      </c>
      <c r="G723" s="1">
        <f>IF(B723="", "", "host-associated")</f>
        <v>0</v>
      </c>
      <c r="I723" s="1">
        <f>IF(B723="", "", "years")</f>
        <v>0</v>
      </c>
      <c r="L723" s="1">
        <f>IF(B723="", "", "cm")</f>
        <v>0</v>
      </c>
      <c r="P723" s="1">
        <f>IF(B723="", "", "kg")</f>
        <v>0</v>
      </c>
      <c r="R723" s="1">
        <f>IF(B723="", "", "Not applicable")</f>
        <v>0</v>
      </c>
    </row>
    <row r="724" spans="1:18">
      <c r="A724">
        <f>IF(COUNTBLANK(B724:R724)&lt;&gt;COLUMNS(B724:R724),723,"")</f>
        <v>0</v>
      </c>
      <c r="C724" s="1">
        <f>IF(B724="", "", "Host-associated")</f>
        <v>0</v>
      </c>
      <c r="G724" s="1">
        <f>IF(B724="", "", "host-associated")</f>
        <v>0</v>
      </c>
      <c r="I724" s="1">
        <f>IF(B724="", "", "years")</f>
        <v>0</v>
      </c>
      <c r="L724" s="1">
        <f>IF(B724="", "", "cm")</f>
        <v>0</v>
      </c>
      <c r="P724" s="1">
        <f>IF(B724="", "", "kg")</f>
        <v>0</v>
      </c>
      <c r="R724" s="1">
        <f>IF(B724="", "", "Not applicable")</f>
        <v>0</v>
      </c>
    </row>
    <row r="725" spans="1:18">
      <c r="A725">
        <f>IF(COUNTBLANK(B725:R725)&lt;&gt;COLUMNS(B725:R725),724,"")</f>
        <v>0</v>
      </c>
      <c r="C725" s="1">
        <f>IF(B725="", "", "Host-associated")</f>
        <v>0</v>
      </c>
      <c r="G725" s="1">
        <f>IF(B725="", "", "host-associated")</f>
        <v>0</v>
      </c>
      <c r="I725" s="1">
        <f>IF(B725="", "", "years")</f>
        <v>0</v>
      </c>
      <c r="L725" s="1">
        <f>IF(B725="", "", "cm")</f>
        <v>0</v>
      </c>
      <c r="P725" s="1">
        <f>IF(B725="", "", "kg")</f>
        <v>0</v>
      </c>
      <c r="R725" s="1">
        <f>IF(B725="", "", "Not applicable")</f>
        <v>0</v>
      </c>
    </row>
    <row r="726" spans="1:18">
      <c r="A726">
        <f>IF(COUNTBLANK(B726:R726)&lt;&gt;COLUMNS(B726:R726),725,"")</f>
        <v>0</v>
      </c>
      <c r="C726" s="1">
        <f>IF(B726="", "", "Host-associated")</f>
        <v>0</v>
      </c>
      <c r="G726" s="1">
        <f>IF(B726="", "", "host-associated")</f>
        <v>0</v>
      </c>
      <c r="I726" s="1">
        <f>IF(B726="", "", "years")</f>
        <v>0</v>
      </c>
      <c r="L726" s="1">
        <f>IF(B726="", "", "cm")</f>
        <v>0</v>
      </c>
      <c r="P726" s="1">
        <f>IF(B726="", "", "kg")</f>
        <v>0</v>
      </c>
      <c r="R726" s="1">
        <f>IF(B726="", "", "Not applicable")</f>
        <v>0</v>
      </c>
    </row>
    <row r="727" spans="1:18">
      <c r="A727">
        <f>IF(COUNTBLANK(B727:R727)&lt;&gt;COLUMNS(B727:R727),726,"")</f>
        <v>0</v>
      </c>
      <c r="C727" s="1">
        <f>IF(B727="", "", "Host-associated")</f>
        <v>0</v>
      </c>
      <c r="G727" s="1">
        <f>IF(B727="", "", "host-associated")</f>
        <v>0</v>
      </c>
      <c r="I727" s="1">
        <f>IF(B727="", "", "years")</f>
        <v>0</v>
      </c>
      <c r="L727" s="1">
        <f>IF(B727="", "", "cm")</f>
        <v>0</v>
      </c>
      <c r="P727" s="1">
        <f>IF(B727="", "", "kg")</f>
        <v>0</v>
      </c>
      <c r="R727" s="1">
        <f>IF(B727="", "", "Not applicable")</f>
        <v>0</v>
      </c>
    </row>
    <row r="728" spans="1:18">
      <c r="A728">
        <f>IF(COUNTBLANK(B728:R728)&lt;&gt;COLUMNS(B728:R728),727,"")</f>
        <v>0</v>
      </c>
      <c r="C728" s="1">
        <f>IF(B728="", "", "Host-associated")</f>
        <v>0</v>
      </c>
      <c r="G728" s="1">
        <f>IF(B728="", "", "host-associated")</f>
        <v>0</v>
      </c>
      <c r="I728" s="1">
        <f>IF(B728="", "", "years")</f>
        <v>0</v>
      </c>
      <c r="L728" s="1">
        <f>IF(B728="", "", "cm")</f>
        <v>0</v>
      </c>
      <c r="P728" s="1">
        <f>IF(B728="", "", "kg")</f>
        <v>0</v>
      </c>
      <c r="R728" s="1">
        <f>IF(B728="", "", "Not applicable")</f>
        <v>0</v>
      </c>
    </row>
    <row r="729" spans="1:18">
      <c r="A729">
        <f>IF(COUNTBLANK(B729:R729)&lt;&gt;COLUMNS(B729:R729),728,"")</f>
        <v>0</v>
      </c>
      <c r="C729" s="1">
        <f>IF(B729="", "", "Host-associated")</f>
        <v>0</v>
      </c>
      <c r="G729" s="1">
        <f>IF(B729="", "", "host-associated")</f>
        <v>0</v>
      </c>
      <c r="I729" s="1">
        <f>IF(B729="", "", "years")</f>
        <v>0</v>
      </c>
      <c r="L729" s="1">
        <f>IF(B729="", "", "cm")</f>
        <v>0</v>
      </c>
      <c r="P729" s="1">
        <f>IF(B729="", "", "kg")</f>
        <v>0</v>
      </c>
      <c r="R729" s="1">
        <f>IF(B729="", "", "Not applicable")</f>
        <v>0</v>
      </c>
    </row>
    <row r="730" spans="1:18">
      <c r="A730">
        <f>IF(COUNTBLANK(B730:R730)&lt;&gt;COLUMNS(B730:R730),729,"")</f>
        <v>0</v>
      </c>
      <c r="C730" s="1">
        <f>IF(B730="", "", "Host-associated")</f>
        <v>0</v>
      </c>
      <c r="G730" s="1">
        <f>IF(B730="", "", "host-associated")</f>
        <v>0</v>
      </c>
      <c r="I730" s="1">
        <f>IF(B730="", "", "years")</f>
        <v>0</v>
      </c>
      <c r="L730" s="1">
        <f>IF(B730="", "", "cm")</f>
        <v>0</v>
      </c>
      <c r="P730" s="1">
        <f>IF(B730="", "", "kg")</f>
        <v>0</v>
      </c>
      <c r="R730" s="1">
        <f>IF(B730="", "", "Not applicable")</f>
        <v>0</v>
      </c>
    </row>
    <row r="731" spans="1:18">
      <c r="A731">
        <f>IF(COUNTBLANK(B731:R731)&lt;&gt;COLUMNS(B731:R731),730,"")</f>
        <v>0</v>
      </c>
      <c r="C731" s="1">
        <f>IF(B731="", "", "Host-associated")</f>
        <v>0</v>
      </c>
      <c r="G731" s="1">
        <f>IF(B731="", "", "host-associated")</f>
        <v>0</v>
      </c>
      <c r="I731" s="1">
        <f>IF(B731="", "", "years")</f>
        <v>0</v>
      </c>
      <c r="L731" s="1">
        <f>IF(B731="", "", "cm")</f>
        <v>0</v>
      </c>
      <c r="P731" s="1">
        <f>IF(B731="", "", "kg")</f>
        <v>0</v>
      </c>
      <c r="R731" s="1">
        <f>IF(B731="", "", "Not applicable")</f>
        <v>0</v>
      </c>
    </row>
    <row r="732" spans="1:18">
      <c r="A732">
        <f>IF(COUNTBLANK(B732:R732)&lt;&gt;COLUMNS(B732:R732),731,"")</f>
        <v>0</v>
      </c>
      <c r="C732" s="1">
        <f>IF(B732="", "", "Host-associated")</f>
        <v>0</v>
      </c>
      <c r="G732" s="1">
        <f>IF(B732="", "", "host-associated")</f>
        <v>0</v>
      </c>
      <c r="I732" s="1">
        <f>IF(B732="", "", "years")</f>
        <v>0</v>
      </c>
      <c r="L732" s="1">
        <f>IF(B732="", "", "cm")</f>
        <v>0</v>
      </c>
      <c r="P732" s="1">
        <f>IF(B732="", "", "kg")</f>
        <v>0</v>
      </c>
      <c r="R732" s="1">
        <f>IF(B732="", "", "Not applicable")</f>
        <v>0</v>
      </c>
    </row>
    <row r="733" spans="1:18">
      <c r="A733">
        <f>IF(COUNTBLANK(B733:R733)&lt;&gt;COLUMNS(B733:R733),732,"")</f>
        <v>0</v>
      </c>
      <c r="C733" s="1">
        <f>IF(B733="", "", "Host-associated")</f>
        <v>0</v>
      </c>
      <c r="G733" s="1">
        <f>IF(B733="", "", "host-associated")</f>
        <v>0</v>
      </c>
      <c r="I733" s="1">
        <f>IF(B733="", "", "years")</f>
        <v>0</v>
      </c>
      <c r="L733" s="1">
        <f>IF(B733="", "", "cm")</f>
        <v>0</v>
      </c>
      <c r="P733" s="1">
        <f>IF(B733="", "", "kg")</f>
        <v>0</v>
      </c>
      <c r="R733" s="1">
        <f>IF(B733="", "", "Not applicable")</f>
        <v>0</v>
      </c>
    </row>
    <row r="734" spans="1:18">
      <c r="A734">
        <f>IF(COUNTBLANK(B734:R734)&lt;&gt;COLUMNS(B734:R734),733,"")</f>
        <v>0</v>
      </c>
      <c r="C734" s="1">
        <f>IF(B734="", "", "Host-associated")</f>
        <v>0</v>
      </c>
      <c r="G734" s="1">
        <f>IF(B734="", "", "host-associated")</f>
        <v>0</v>
      </c>
      <c r="I734" s="1">
        <f>IF(B734="", "", "years")</f>
        <v>0</v>
      </c>
      <c r="L734" s="1">
        <f>IF(B734="", "", "cm")</f>
        <v>0</v>
      </c>
      <c r="P734" s="1">
        <f>IF(B734="", "", "kg")</f>
        <v>0</v>
      </c>
      <c r="R734" s="1">
        <f>IF(B734="", "", "Not applicable")</f>
        <v>0</v>
      </c>
    </row>
    <row r="735" spans="1:18">
      <c r="A735">
        <f>IF(COUNTBLANK(B735:R735)&lt;&gt;COLUMNS(B735:R735),734,"")</f>
        <v>0</v>
      </c>
      <c r="C735" s="1">
        <f>IF(B735="", "", "Host-associated")</f>
        <v>0</v>
      </c>
      <c r="G735" s="1">
        <f>IF(B735="", "", "host-associated")</f>
        <v>0</v>
      </c>
      <c r="I735" s="1">
        <f>IF(B735="", "", "years")</f>
        <v>0</v>
      </c>
      <c r="L735" s="1">
        <f>IF(B735="", "", "cm")</f>
        <v>0</v>
      </c>
      <c r="P735" s="1">
        <f>IF(B735="", "", "kg")</f>
        <v>0</v>
      </c>
      <c r="R735" s="1">
        <f>IF(B735="", "", "Not applicable")</f>
        <v>0</v>
      </c>
    </row>
    <row r="736" spans="1:18">
      <c r="A736">
        <f>IF(COUNTBLANK(B736:R736)&lt;&gt;COLUMNS(B736:R736),735,"")</f>
        <v>0</v>
      </c>
      <c r="C736" s="1">
        <f>IF(B736="", "", "Host-associated")</f>
        <v>0</v>
      </c>
      <c r="G736" s="1">
        <f>IF(B736="", "", "host-associated")</f>
        <v>0</v>
      </c>
      <c r="I736" s="1">
        <f>IF(B736="", "", "years")</f>
        <v>0</v>
      </c>
      <c r="L736" s="1">
        <f>IF(B736="", "", "cm")</f>
        <v>0</v>
      </c>
      <c r="P736" s="1">
        <f>IF(B736="", "", "kg")</f>
        <v>0</v>
      </c>
      <c r="R736" s="1">
        <f>IF(B736="", "", "Not applicable")</f>
        <v>0</v>
      </c>
    </row>
    <row r="737" spans="1:18">
      <c r="A737">
        <f>IF(COUNTBLANK(B737:R737)&lt;&gt;COLUMNS(B737:R737),736,"")</f>
        <v>0</v>
      </c>
      <c r="C737" s="1">
        <f>IF(B737="", "", "Host-associated")</f>
        <v>0</v>
      </c>
      <c r="G737" s="1">
        <f>IF(B737="", "", "host-associated")</f>
        <v>0</v>
      </c>
      <c r="I737" s="1">
        <f>IF(B737="", "", "years")</f>
        <v>0</v>
      </c>
      <c r="L737" s="1">
        <f>IF(B737="", "", "cm")</f>
        <v>0</v>
      </c>
      <c r="P737" s="1">
        <f>IF(B737="", "", "kg")</f>
        <v>0</v>
      </c>
      <c r="R737" s="1">
        <f>IF(B737="", "", "Not applicable")</f>
        <v>0</v>
      </c>
    </row>
    <row r="738" spans="1:18">
      <c r="A738">
        <f>IF(COUNTBLANK(B738:R738)&lt;&gt;COLUMNS(B738:R738),737,"")</f>
        <v>0</v>
      </c>
      <c r="C738" s="1">
        <f>IF(B738="", "", "Host-associated")</f>
        <v>0</v>
      </c>
      <c r="G738" s="1">
        <f>IF(B738="", "", "host-associated")</f>
        <v>0</v>
      </c>
      <c r="I738" s="1">
        <f>IF(B738="", "", "years")</f>
        <v>0</v>
      </c>
      <c r="L738" s="1">
        <f>IF(B738="", "", "cm")</f>
        <v>0</v>
      </c>
      <c r="P738" s="1">
        <f>IF(B738="", "", "kg")</f>
        <v>0</v>
      </c>
      <c r="R738" s="1">
        <f>IF(B738="", "", "Not applicable")</f>
        <v>0</v>
      </c>
    </row>
    <row r="739" spans="1:18">
      <c r="A739">
        <f>IF(COUNTBLANK(B739:R739)&lt;&gt;COLUMNS(B739:R739),738,"")</f>
        <v>0</v>
      </c>
      <c r="C739" s="1">
        <f>IF(B739="", "", "Host-associated")</f>
        <v>0</v>
      </c>
      <c r="G739" s="1">
        <f>IF(B739="", "", "host-associated")</f>
        <v>0</v>
      </c>
      <c r="I739" s="1">
        <f>IF(B739="", "", "years")</f>
        <v>0</v>
      </c>
      <c r="L739" s="1">
        <f>IF(B739="", "", "cm")</f>
        <v>0</v>
      </c>
      <c r="P739" s="1">
        <f>IF(B739="", "", "kg")</f>
        <v>0</v>
      </c>
      <c r="R739" s="1">
        <f>IF(B739="", "", "Not applicable")</f>
        <v>0</v>
      </c>
    </row>
    <row r="740" spans="1:18">
      <c r="A740">
        <f>IF(COUNTBLANK(B740:R740)&lt;&gt;COLUMNS(B740:R740),739,"")</f>
        <v>0</v>
      </c>
      <c r="C740" s="1">
        <f>IF(B740="", "", "Host-associated")</f>
        <v>0</v>
      </c>
      <c r="G740" s="1">
        <f>IF(B740="", "", "host-associated")</f>
        <v>0</v>
      </c>
      <c r="I740" s="1">
        <f>IF(B740="", "", "years")</f>
        <v>0</v>
      </c>
      <c r="L740" s="1">
        <f>IF(B740="", "", "cm")</f>
        <v>0</v>
      </c>
      <c r="P740" s="1">
        <f>IF(B740="", "", "kg")</f>
        <v>0</v>
      </c>
      <c r="R740" s="1">
        <f>IF(B740="", "", "Not applicable")</f>
        <v>0</v>
      </c>
    </row>
    <row r="741" spans="1:18">
      <c r="A741">
        <f>IF(COUNTBLANK(B741:R741)&lt;&gt;COLUMNS(B741:R741),740,"")</f>
        <v>0</v>
      </c>
      <c r="C741" s="1">
        <f>IF(B741="", "", "Host-associated")</f>
        <v>0</v>
      </c>
      <c r="G741" s="1">
        <f>IF(B741="", "", "host-associated")</f>
        <v>0</v>
      </c>
      <c r="I741" s="1">
        <f>IF(B741="", "", "years")</f>
        <v>0</v>
      </c>
      <c r="L741" s="1">
        <f>IF(B741="", "", "cm")</f>
        <v>0</v>
      </c>
      <c r="P741" s="1">
        <f>IF(B741="", "", "kg")</f>
        <v>0</v>
      </c>
      <c r="R741" s="1">
        <f>IF(B741="", "", "Not applicable")</f>
        <v>0</v>
      </c>
    </row>
    <row r="742" spans="1:18">
      <c r="A742">
        <f>IF(COUNTBLANK(B742:R742)&lt;&gt;COLUMNS(B742:R742),741,"")</f>
        <v>0</v>
      </c>
      <c r="C742" s="1">
        <f>IF(B742="", "", "Host-associated")</f>
        <v>0</v>
      </c>
      <c r="G742" s="1">
        <f>IF(B742="", "", "host-associated")</f>
        <v>0</v>
      </c>
      <c r="I742" s="1">
        <f>IF(B742="", "", "years")</f>
        <v>0</v>
      </c>
      <c r="L742" s="1">
        <f>IF(B742="", "", "cm")</f>
        <v>0</v>
      </c>
      <c r="P742" s="1">
        <f>IF(B742="", "", "kg")</f>
        <v>0</v>
      </c>
      <c r="R742" s="1">
        <f>IF(B742="", "", "Not applicable")</f>
        <v>0</v>
      </c>
    </row>
    <row r="743" spans="1:18">
      <c r="A743">
        <f>IF(COUNTBLANK(B743:R743)&lt;&gt;COLUMNS(B743:R743),742,"")</f>
        <v>0</v>
      </c>
      <c r="C743" s="1">
        <f>IF(B743="", "", "Host-associated")</f>
        <v>0</v>
      </c>
      <c r="G743" s="1">
        <f>IF(B743="", "", "host-associated")</f>
        <v>0</v>
      </c>
      <c r="I743" s="1">
        <f>IF(B743="", "", "years")</f>
        <v>0</v>
      </c>
      <c r="L743" s="1">
        <f>IF(B743="", "", "cm")</f>
        <v>0</v>
      </c>
      <c r="P743" s="1">
        <f>IF(B743="", "", "kg")</f>
        <v>0</v>
      </c>
      <c r="R743" s="1">
        <f>IF(B743="", "", "Not applicable")</f>
        <v>0</v>
      </c>
    </row>
    <row r="744" spans="1:18">
      <c r="A744">
        <f>IF(COUNTBLANK(B744:R744)&lt;&gt;COLUMNS(B744:R744),743,"")</f>
        <v>0</v>
      </c>
      <c r="C744" s="1">
        <f>IF(B744="", "", "Host-associated")</f>
        <v>0</v>
      </c>
      <c r="G744" s="1">
        <f>IF(B744="", "", "host-associated")</f>
        <v>0</v>
      </c>
      <c r="I744" s="1">
        <f>IF(B744="", "", "years")</f>
        <v>0</v>
      </c>
      <c r="L744" s="1">
        <f>IF(B744="", "", "cm")</f>
        <v>0</v>
      </c>
      <c r="P744" s="1">
        <f>IF(B744="", "", "kg")</f>
        <v>0</v>
      </c>
      <c r="R744" s="1">
        <f>IF(B744="", "", "Not applicable")</f>
        <v>0</v>
      </c>
    </row>
    <row r="745" spans="1:18">
      <c r="A745">
        <f>IF(COUNTBLANK(B745:R745)&lt;&gt;COLUMNS(B745:R745),744,"")</f>
        <v>0</v>
      </c>
      <c r="C745" s="1">
        <f>IF(B745="", "", "Host-associated")</f>
        <v>0</v>
      </c>
      <c r="G745" s="1">
        <f>IF(B745="", "", "host-associated")</f>
        <v>0</v>
      </c>
      <c r="I745" s="1">
        <f>IF(B745="", "", "years")</f>
        <v>0</v>
      </c>
      <c r="L745" s="1">
        <f>IF(B745="", "", "cm")</f>
        <v>0</v>
      </c>
      <c r="P745" s="1">
        <f>IF(B745="", "", "kg")</f>
        <v>0</v>
      </c>
      <c r="R745" s="1">
        <f>IF(B745="", "", "Not applicable")</f>
        <v>0</v>
      </c>
    </row>
    <row r="746" spans="1:18">
      <c r="A746">
        <f>IF(COUNTBLANK(B746:R746)&lt;&gt;COLUMNS(B746:R746),745,"")</f>
        <v>0</v>
      </c>
      <c r="C746" s="1">
        <f>IF(B746="", "", "Host-associated")</f>
        <v>0</v>
      </c>
      <c r="G746" s="1">
        <f>IF(B746="", "", "host-associated")</f>
        <v>0</v>
      </c>
      <c r="I746" s="1">
        <f>IF(B746="", "", "years")</f>
        <v>0</v>
      </c>
      <c r="L746" s="1">
        <f>IF(B746="", "", "cm")</f>
        <v>0</v>
      </c>
      <c r="P746" s="1">
        <f>IF(B746="", "", "kg")</f>
        <v>0</v>
      </c>
      <c r="R746" s="1">
        <f>IF(B746="", "", "Not applicable")</f>
        <v>0</v>
      </c>
    </row>
    <row r="747" spans="1:18">
      <c r="A747">
        <f>IF(COUNTBLANK(B747:R747)&lt;&gt;COLUMNS(B747:R747),746,"")</f>
        <v>0</v>
      </c>
      <c r="C747" s="1">
        <f>IF(B747="", "", "Host-associated")</f>
        <v>0</v>
      </c>
      <c r="G747" s="1">
        <f>IF(B747="", "", "host-associated")</f>
        <v>0</v>
      </c>
      <c r="I747" s="1">
        <f>IF(B747="", "", "years")</f>
        <v>0</v>
      </c>
      <c r="L747" s="1">
        <f>IF(B747="", "", "cm")</f>
        <v>0</v>
      </c>
      <c r="P747" s="1">
        <f>IF(B747="", "", "kg")</f>
        <v>0</v>
      </c>
      <c r="R747" s="1">
        <f>IF(B747="", "", "Not applicable")</f>
        <v>0</v>
      </c>
    </row>
    <row r="748" spans="1:18">
      <c r="A748">
        <f>IF(COUNTBLANK(B748:R748)&lt;&gt;COLUMNS(B748:R748),747,"")</f>
        <v>0</v>
      </c>
      <c r="C748" s="1">
        <f>IF(B748="", "", "Host-associated")</f>
        <v>0</v>
      </c>
      <c r="G748" s="1">
        <f>IF(B748="", "", "host-associated")</f>
        <v>0</v>
      </c>
      <c r="I748" s="1">
        <f>IF(B748="", "", "years")</f>
        <v>0</v>
      </c>
      <c r="L748" s="1">
        <f>IF(B748="", "", "cm")</f>
        <v>0</v>
      </c>
      <c r="P748" s="1">
        <f>IF(B748="", "", "kg")</f>
        <v>0</v>
      </c>
      <c r="R748" s="1">
        <f>IF(B748="", "", "Not applicable")</f>
        <v>0</v>
      </c>
    </row>
    <row r="749" spans="1:18">
      <c r="A749">
        <f>IF(COUNTBLANK(B749:R749)&lt;&gt;COLUMNS(B749:R749),748,"")</f>
        <v>0</v>
      </c>
      <c r="C749" s="1">
        <f>IF(B749="", "", "Host-associated")</f>
        <v>0</v>
      </c>
      <c r="G749" s="1">
        <f>IF(B749="", "", "host-associated")</f>
        <v>0</v>
      </c>
      <c r="I749" s="1">
        <f>IF(B749="", "", "years")</f>
        <v>0</v>
      </c>
      <c r="L749" s="1">
        <f>IF(B749="", "", "cm")</f>
        <v>0</v>
      </c>
      <c r="P749" s="1">
        <f>IF(B749="", "", "kg")</f>
        <v>0</v>
      </c>
      <c r="R749" s="1">
        <f>IF(B749="", "", "Not applicable")</f>
        <v>0</v>
      </c>
    </row>
    <row r="750" spans="1:18">
      <c r="A750">
        <f>IF(COUNTBLANK(B750:R750)&lt;&gt;COLUMNS(B750:R750),749,"")</f>
        <v>0</v>
      </c>
      <c r="C750" s="1">
        <f>IF(B750="", "", "Host-associated")</f>
        <v>0</v>
      </c>
      <c r="G750" s="1">
        <f>IF(B750="", "", "host-associated")</f>
        <v>0</v>
      </c>
      <c r="I750" s="1">
        <f>IF(B750="", "", "years")</f>
        <v>0</v>
      </c>
      <c r="L750" s="1">
        <f>IF(B750="", "", "cm")</f>
        <v>0</v>
      </c>
      <c r="P750" s="1">
        <f>IF(B750="", "", "kg")</f>
        <v>0</v>
      </c>
      <c r="R750" s="1">
        <f>IF(B750="", "", "Not applicable")</f>
        <v>0</v>
      </c>
    </row>
    <row r="751" spans="1:18">
      <c r="A751">
        <f>IF(COUNTBLANK(B751:R751)&lt;&gt;COLUMNS(B751:R751),750,"")</f>
        <v>0</v>
      </c>
      <c r="C751" s="1">
        <f>IF(B751="", "", "Host-associated")</f>
        <v>0</v>
      </c>
      <c r="G751" s="1">
        <f>IF(B751="", "", "host-associated")</f>
        <v>0</v>
      </c>
      <c r="I751" s="1">
        <f>IF(B751="", "", "years")</f>
        <v>0</v>
      </c>
      <c r="L751" s="1">
        <f>IF(B751="", "", "cm")</f>
        <v>0</v>
      </c>
      <c r="P751" s="1">
        <f>IF(B751="", "", "kg")</f>
        <v>0</v>
      </c>
      <c r="R751" s="1">
        <f>IF(B751="", "", "Not applicable")</f>
        <v>0</v>
      </c>
    </row>
    <row r="752" spans="1:18">
      <c r="A752">
        <f>IF(COUNTBLANK(B752:R752)&lt;&gt;COLUMNS(B752:R752),751,"")</f>
        <v>0</v>
      </c>
      <c r="C752" s="1">
        <f>IF(B752="", "", "Host-associated")</f>
        <v>0</v>
      </c>
      <c r="G752" s="1">
        <f>IF(B752="", "", "host-associated")</f>
        <v>0</v>
      </c>
      <c r="I752" s="1">
        <f>IF(B752="", "", "years")</f>
        <v>0</v>
      </c>
      <c r="L752" s="1">
        <f>IF(B752="", "", "cm")</f>
        <v>0</v>
      </c>
      <c r="P752" s="1">
        <f>IF(B752="", "", "kg")</f>
        <v>0</v>
      </c>
      <c r="R752" s="1">
        <f>IF(B752="", "", "Not applicable")</f>
        <v>0</v>
      </c>
    </row>
    <row r="753" spans="1:18">
      <c r="A753">
        <f>IF(COUNTBLANK(B753:R753)&lt;&gt;COLUMNS(B753:R753),752,"")</f>
        <v>0</v>
      </c>
      <c r="C753" s="1">
        <f>IF(B753="", "", "Host-associated")</f>
        <v>0</v>
      </c>
      <c r="G753" s="1">
        <f>IF(B753="", "", "host-associated")</f>
        <v>0</v>
      </c>
      <c r="I753" s="1">
        <f>IF(B753="", "", "years")</f>
        <v>0</v>
      </c>
      <c r="L753" s="1">
        <f>IF(B753="", "", "cm")</f>
        <v>0</v>
      </c>
      <c r="P753" s="1">
        <f>IF(B753="", "", "kg")</f>
        <v>0</v>
      </c>
      <c r="R753" s="1">
        <f>IF(B753="", "", "Not applicable")</f>
        <v>0</v>
      </c>
    </row>
    <row r="754" spans="1:18">
      <c r="A754">
        <f>IF(COUNTBLANK(B754:R754)&lt;&gt;COLUMNS(B754:R754),753,"")</f>
        <v>0</v>
      </c>
      <c r="C754" s="1">
        <f>IF(B754="", "", "Host-associated")</f>
        <v>0</v>
      </c>
      <c r="G754" s="1">
        <f>IF(B754="", "", "host-associated")</f>
        <v>0</v>
      </c>
      <c r="I754" s="1">
        <f>IF(B754="", "", "years")</f>
        <v>0</v>
      </c>
      <c r="L754" s="1">
        <f>IF(B754="", "", "cm")</f>
        <v>0</v>
      </c>
      <c r="P754" s="1">
        <f>IF(B754="", "", "kg")</f>
        <v>0</v>
      </c>
      <c r="R754" s="1">
        <f>IF(B754="", "", "Not applicable")</f>
        <v>0</v>
      </c>
    </row>
    <row r="755" spans="1:18">
      <c r="A755">
        <f>IF(COUNTBLANK(B755:R755)&lt;&gt;COLUMNS(B755:R755),754,"")</f>
        <v>0</v>
      </c>
      <c r="C755" s="1">
        <f>IF(B755="", "", "Host-associated")</f>
        <v>0</v>
      </c>
      <c r="G755" s="1">
        <f>IF(B755="", "", "host-associated")</f>
        <v>0</v>
      </c>
      <c r="I755" s="1">
        <f>IF(B755="", "", "years")</f>
        <v>0</v>
      </c>
      <c r="L755" s="1">
        <f>IF(B755="", "", "cm")</f>
        <v>0</v>
      </c>
      <c r="P755" s="1">
        <f>IF(B755="", "", "kg")</f>
        <v>0</v>
      </c>
      <c r="R755" s="1">
        <f>IF(B755="", "", "Not applicable")</f>
        <v>0</v>
      </c>
    </row>
    <row r="756" spans="1:18">
      <c r="A756">
        <f>IF(COUNTBLANK(B756:R756)&lt;&gt;COLUMNS(B756:R756),755,"")</f>
        <v>0</v>
      </c>
      <c r="C756" s="1">
        <f>IF(B756="", "", "Host-associated")</f>
        <v>0</v>
      </c>
      <c r="G756" s="1">
        <f>IF(B756="", "", "host-associated")</f>
        <v>0</v>
      </c>
      <c r="I756" s="1">
        <f>IF(B756="", "", "years")</f>
        <v>0</v>
      </c>
      <c r="L756" s="1">
        <f>IF(B756="", "", "cm")</f>
        <v>0</v>
      </c>
      <c r="P756" s="1">
        <f>IF(B756="", "", "kg")</f>
        <v>0</v>
      </c>
      <c r="R756" s="1">
        <f>IF(B756="", "", "Not applicable")</f>
        <v>0</v>
      </c>
    </row>
    <row r="757" spans="1:18">
      <c r="A757">
        <f>IF(COUNTBLANK(B757:R757)&lt;&gt;COLUMNS(B757:R757),756,"")</f>
        <v>0</v>
      </c>
      <c r="C757" s="1">
        <f>IF(B757="", "", "Host-associated")</f>
        <v>0</v>
      </c>
      <c r="G757" s="1">
        <f>IF(B757="", "", "host-associated")</f>
        <v>0</v>
      </c>
      <c r="I757" s="1">
        <f>IF(B757="", "", "years")</f>
        <v>0</v>
      </c>
      <c r="L757" s="1">
        <f>IF(B757="", "", "cm")</f>
        <v>0</v>
      </c>
      <c r="P757" s="1">
        <f>IF(B757="", "", "kg")</f>
        <v>0</v>
      </c>
      <c r="R757" s="1">
        <f>IF(B757="", "", "Not applicable")</f>
        <v>0</v>
      </c>
    </row>
    <row r="758" spans="1:18">
      <c r="A758">
        <f>IF(COUNTBLANK(B758:R758)&lt;&gt;COLUMNS(B758:R758),757,"")</f>
        <v>0</v>
      </c>
      <c r="C758" s="1">
        <f>IF(B758="", "", "Host-associated")</f>
        <v>0</v>
      </c>
      <c r="G758" s="1">
        <f>IF(B758="", "", "host-associated")</f>
        <v>0</v>
      </c>
      <c r="I758" s="1">
        <f>IF(B758="", "", "years")</f>
        <v>0</v>
      </c>
      <c r="L758" s="1">
        <f>IF(B758="", "", "cm")</f>
        <v>0</v>
      </c>
      <c r="P758" s="1">
        <f>IF(B758="", "", "kg")</f>
        <v>0</v>
      </c>
      <c r="R758" s="1">
        <f>IF(B758="", "", "Not applicable")</f>
        <v>0</v>
      </c>
    </row>
    <row r="759" spans="1:18">
      <c r="A759">
        <f>IF(COUNTBLANK(B759:R759)&lt;&gt;COLUMNS(B759:R759),758,"")</f>
        <v>0</v>
      </c>
      <c r="C759" s="1">
        <f>IF(B759="", "", "Host-associated")</f>
        <v>0</v>
      </c>
      <c r="G759" s="1">
        <f>IF(B759="", "", "host-associated")</f>
        <v>0</v>
      </c>
      <c r="I759" s="1">
        <f>IF(B759="", "", "years")</f>
        <v>0</v>
      </c>
      <c r="L759" s="1">
        <f>IF(B759="", "", "cm")</f>
        <v>0</v>
      </c>
      <c r="P759" s="1">
        <f>IF(B759="", "", "kg")</f>
        <v>0</v>
      </c>
      <c r="R759" s="1">
        <f>IF(B759="", "", "Not applicable")</f>
        <v>0</v>
      </c>
    </row>
    <row r="760" spans="1:18">
      <c r="A760">
        <f>IF(COUNTBLANK(B760:R760)&lt;&gt;COLUMNS(B760:R760),759,"")</f>
        <v>0</v>
      </c>
      <c r="C760" s="1">
        <f>IF(B760="", "", "Host-associated")</f>
        <v>0</v>
      </c>
      <c r="G760" s="1">
        <f>IF(B760="", "", "host-associated")</f>
        <v>0</v>
      </c>
      <c r="I760" s="1">
        <f>IF(B760="", "", "years")</f>
        <v>0</v>
      </c>
      <c r="L760" s="1">
        <f>IF(B760="", "", "cm")</f>
        <v>0</v>
      </c>
      <c r="P760" s="1">
        <f>IF(B760="", "", "kg")</f>
        <v>0</v>
      </c>
      <c r="R760" s="1">
        <f>IF(B760="", "", "Not applicable")</f>
        <v>0</v>
      </c>
    </row>
    <row r="761" spans="1:18">
      <c r="A761">
        <f>IF(COUNTBLANK(B761:R761)&lt;&gt;COLUMNS(B761:R761),760,"")</f>
        <v>0</v>
      </c>
      <c r="C761" s="1">
        <f>IF(B761="", "", "Host-associated")</f>
        <v>0</v>
      </c>
      <c r="G761" s="1">
        <f>IF(B761="", "", "host-associated")</f>
        <v>0</v>
      </c>
      <c r="I761" s="1">
        <f>IF(B761="", "", "years")</f>
        <v>0</v>
      </c>
      <c r="L761" s="1">
        <f>IF(B761="", "", "cm")</f>
        <v>0</v>
      </c>
      <c r="P761" s="1">
        <f>IF(B761="", "", "kg")</f>
        <v>0</v>
      </c>
      <c r="R761" s="1">
        <f>IF(B761="", "", "Not applicable")</f>
        <v>0</v>
      </c>
    </row>
    <row r="762" spans="1:18">
      <c r="A762">
        <f>IF(COUNTBLANK(B762:R762)&lt;&gt;COLUMNS(B762:R762),761,"")</f>
        <v>0</v>
      </c>
      <c r="C762" s="1">
        <f>IF(B762="", "", "Host-associated")</f>
        <v>0</v>
      </c>
      <c r="G762" s="1">
        <f>IF(B762="", "", "host-associated")</f>
        <v>0</v>
      </c>
      <c r="I762" s="1">
        <f>IF(B762="", "", "years")</f>
        <v>0</v>
      </c>
      <c r="L762" s="1">
        <f>IF(B762="", "", "cm")</f>
        <v>0</v>
      </c>
      <c r="P762" s="1">
        <f>IF(B762="", "", "kg")</f>
        <v>0</v>
      </c>
      <c r="R762" s="1">
        <f>IF(B762="", "", "Not applicable")</f>
        <v>0</v>
      </c>
    </row>
    <row r="763" spans="1:18">
      <c r="A763">
        <f>IF(COUNTBLANK(B763:R763)&lt;&gt;COLUMNS(B763:R763),762,"")</f>
        <v>0</v>
      </c>
      <c r="C763" s="1">
        <f>IF(B763="", "", "Host-associated")</f>
        <v>0</v>
      </c>
      <c r="G763" s="1">
        <f>IF(B763="", "", "host-associated")</f>
        <v>0</v>
      </c>
      <c r="I763" s="1">
        <f>IF(B763="", "", "years")</f>
        <v>0</v>
      </c>
      <c r="L763" s="1">
        <f>IF(B763="", "", "cm")</f>
        <v>0</v>
      </c>
      <c r="P763" s="1">
        <f>IF(B763="", "", "kg")</f>
        <v>0</v>
      </c>
      <c r="R763" s="1">
        <f>IF(B763="", "", "Not applicable")</f>
        <v>0</v>
      </c>
    </row>
    <row r="764" spans="1:18">
      <c r="A764">
        <f>IF(COUNTBLANK(B764:R764)&lt;&gt;COLUMNS(B764:R764),763,"")</f>
        <v>0</v>
      </c>
      <c r="C764" s="1">
        <f>IF(B764="", "", "Host-associated")</f>
        <v>0</v>
      </c>
      <c r="G764" s="1">
        <f>IF(B764="", "", "host-associated")</f>
        <v>0</v>
      </c>
      <c r="I764" s="1">
        <f>IF(B764="", "", "years")</f>
        <v>0</v>
      </c>
      <c r="L764" s="1">
        <f>IF(B764="", "", "cm")</f>
        <v>0</v>
      </c>
      <c r="P764" s="1">
        <f>IF(B764="", "", "kg")</f>
        <v>0</v>
      </c>
      <c r="R764" s="1">
        <f>IF(B764="", "", "Not applicable")</f>
        <v>0</v>
      </c>
    </row>
    <row r="765" spans="1:18">
      <c r="A765">
        <f>IF(COUNTBLANK(B765:R765)&lt;&gt;COLUMNS(B765:R765),764,"")</f>
        <v>0</v>
      </c>
      <c r="C765" s="1">
        <f>IF(B765="", "", "Host-associated")</f>
        <v>0</v>
      </c>
      <c r="G765" s="1">
        <f>IF(B765="", "", "host-associated")</f>
        <v>0</v>
      </c>
      <c r="I765" s="1">
        <f>IF(B765="", "", "years")</f>
        <v>0</v>
      </c>
      <c r="L765" s="1">
        <f>IF(B765="", "", "cm")</f>
        <v>0</v>
      </c>
      <c r="P765" s="1">
        <f>IF(B765="", "", "kg")</f>
        <v>0</v>
      </c>
      <c r="R765" s="1">
        <f>IF(B765="", "", "Not applicable")</f>
        <v>0</v>
      </c>
    </row>
    <row r="766" spans="1:18">
      <c r="A766">
        <f>IF(COUNTBLANK(B766:R766)&lt;&gt;COLUMNS(B766:R766),765,"")</f>
        <v>0</v>
      </c>
      <c r="C766" s="1">
        <f>IF(B766="", "", "Host-associated")</f>
        <v>0</v>
      </c>
      <c r="G766" s="1">
        <f>IF(B766="", "", "host-associated")</f>
        <v>0</v>
      </c>
      <c r="I766" s="1">
        <f>IF(B766="", "", "years")</f>
        <v>0</v>
      </c>
      <c r="L766" s="1">
        <f>IF(B766="", "", "cm")</f>
        <v>0</v>
      </c>
      <c r="P766" s="1">
        <f>IF(B766="", "", "kg")</f>
        <v>0</v>
      </c>
      <c r="R766" s="1">
        <f>IF(B766="", "", "Not applicable")</f>
        <v>0</v>
      </c>
    </row>
    <row r="767" spans="1:18">
      <c r="A767">
        <f>IF(COUNTBLANK(B767:R767)&lt;&gt;COLUMNS(B767:R767),766,"")</f>
        <v>0</v>
      </c>
      <c r="C767" s="1">
        <f>IF(B767="", "", "Host-associated")</f>
        <v>0</v>
      </c>
      <c r="G767" s="1">
        <f>IF(B767="", "", "host-associated")</f>
        <v>0</v>
      </c>
      <c r="I767" s="1">
        <f>IF(B767="", "", "years")</f>
        <v>0</v>
      </c>
      <c r="L767" s="1">
        <f>IF(B767="", "", "cm")</f>
        <v>0</v>
      </c>
      <c r="P767" s="1">
        <f>IF(B767="", "", "kg")</f>
        <v>0</v>
      </c>
      <c r="R767" s="1">
        <f>IF(B767="", "", "Not applicable")</f>
        <v>0</v>
      </c>
    </row>
    <row r="768" spans="1:18">
      <c r="A768">
        <f>IF(COUNTBLANK(B768:R768)&lt;&gt;COLUMNS(B768:R768),767,"")</f>
        <v>0</v>
      </c>
      <c r="C768" s="1">
        <f>IF(B768="", "", "Host-associated")</f>
        <v>0</v>
      </c>
      <c r="G768" s="1">
        <f>IF(B768="", "", "host-associated")</f>
        <v>0</v>
      </c>
      <c r="I768" s="1">
        <f>IF(B768="", "", "years")</f>
        <v>0</v>
      </c>
      <c r="L768" s="1">
        <f>IF(B768="", "", "cm")</f>
        <v>0</v>
      </c>
      <c r="P768" s="1">
        <f>IF(B768="", "", "kg")</f>
        <v>0</v>
      </c>
      <c r="R768" s="1">
        <f>IF(B768="", "", "Not applicable")</f>
        <v>0</v>
      </c>
    </row>
    <row r="769" spans="1:18">
      <c r="A769">
        <f>IF(COUNTBLANK(B769:R769)&lt;&gt;COLUMNS(B769:R769),768,"")</f>
        <v>0</v>
      </c>
      <c r="C769" s="1">
        <f>IF(B769="", "", "Host-associated")</f>
        <v>0</v>
      </c>
      <c r="G769" s="1">
        <f>IF(B769="", "", "host-associated")</f>
        <v>0</v>
      </c>
      <c r="I769" s="1">
        <f>IF(B769="", "", "years")</f>
        <v>0</v>
      </c>
      <c r="L769" s="1">
        <f>IF(B769="", "", "cm")</f>
        <v>0</v>
      </c>
      <c r="P769" s="1">
        <f>IF(B769="", "", "kg")</f>
        <v>0</v>
      </c>
      <c r="R769" s="1">
        <f>IF(B769="", "", "Not applicable")</f>
        <v>0</v>
      </c>
    </row>
    <row r="770" spans="1:18">
      <c r="A770">
        <f>IF(COUNTBLANK(B770:R770)&lt;&gt;COLUMNS(B770:R770),769,"")</f>
        <v>0</v>
      </c>
      <c r="C770" s="1">
        <f>IF(B770="", "", "Host-associated")</f>
        <v>0</v>
      </c>
      <c r="G770" s="1">
        <f>IF(B770="", "", "host-associated")</f>
        <v>0</v>
      </c>
      <c r="I770" s="1">
        <f>IF(B770="", "", "years")</f>
        <v>0</v>
      </c>
      <c r="L770" s="1">
        <f>IF(B770="", "", "cm")</f>
        <v>0</v>
      </c>
      <c r="P770" s="1">
        <f>IF(B770="", "", "kg")</f>
        <v>0</v>
      </c>
      <c r="R770" s="1">
        <f>IF(B770="", "", "Not applicable")</f>
        <v>0</v>
      </c>
    </row>
    <row r="771" spans="1:18">
      <c r="A771">
        <f>IF(COUNTBLANK(B771:R771)&lt;&gt;COLUMNS(B771:R771),770,"")</f>
        <v>0</v>
      </c>
      <c r="C771" s="1">
        <f>IF(B771="", "", "Host-associated")</f>
        <v>0</v>
      </c>
      <c r="G771" s="1">
        <f>IF(B771="", "", "host-associated")</f>
        <v>0</v>
      </c>
      <c r="I771" s="1">
        <f>IF(B771="", "", "years")</f>
        <v>0</v>
      </c>
      <c r="L771" s="1">
        <f>IF(B771="", "", "cm")</f>
        <v>0</v>
      </c>
      <c r="P771" s="1">
        <f>IF(B771="", "", "kg")</f>
        <v>0</v>
      </c>
      <c r="R771" s="1">
        <f>IF(B771="", "", "Not applicable")</f>
        <v>0</v>
      </c>
    </row>
    <row r="772" spans="1:18">
      <c r="A772">
        <f>IF(COUNTBLANK(B772:R772)&lt;&gt;COLUMNS(B772:R772),771,"")</f>
        <v>0</v>
      </c>
      <c r="C772" s="1">
        <f>IF(B772="", "", "Host-associated")</f>
        <v>0</v>
      </c>
      <c r="G772" s="1">
        <f>IF(B772="", "", "host-associated")</f>
        <v>0</v>
      </c>
      <c r="I772" s="1">
        <f>IF(B772="", "", "years")</f>
        <v>0</v>
      </c>
      <c r="L772" s="1">
        <f>IF(B772="", "", "cm")</f>
        <v>0</v>
      </c>
      <c r="P772" s="1">
        <f>IF(B772="", "", "kg")</f>
        <v>0</v>
      </c>
      <c r="R772" s="1">
        <f>IF(B772="", "", "Not applicable")</f>
        <v>0</v>
      </c>
    </row>
    <row r="773" spans="1:18">
      <c r="A773">
        <f>IF(COUNTBLANK(B773:R773)&lt;&gt;COLUMNS(B773:R773),772,"")</f>
        <v>0</v>
      </c>
      <c r="C773" s="1">
        <f>IF(B773="", "", "Host-associated")</f>
        <v>0</v>
      </c>
      <c r="G773" s="1">
        <f>IF(B773="", "", "host-associated")</f>
        <v>0</v>
      </c>
      <c r="I773" s="1">
        <f>IF(B773="", "", "years")</f>
        <v>0</v>
      </c>
      <c r="L773" s="1">
        <f>IF(B773="", "", "cm")</f>
        <v>0</v>
      </c>
      <c r="P773" s="1">
        <f>IF(B773="", "", "kg")</f>
        <v>0</v>
      </c>
      <c r="R773" s="1">
        <f>IF(B773="", "", "Not applicable")</f>
        <v>0</v>
      </c>
    </row>
    <row r="774" spans="1:18">
      <c r="A774">
        <f>IF(COUNTBLANK(B774:R774)&lt;&gt;COLUMNS(B774:R774),773,"")</f>
        <v>0</v>
      </c>
      <c r="C774" s="1">
        <f>IF(B774="", "", "Host-associated")</f>
        <v>0</v>
      </c>
      <c r="G774" s="1">
        <f>IF(B774="", "", "host-associated")</f>
        <v>0</v>
      </c>
      <c r="I774" s="1">
        <f>IF(B774="", "", "years")</f>
        <v>0</v>
      </c>
      <c r="L774" s="1">
        <f>IF(B774="", "", "cm")</f>
        <v>0</v>
      </c>
      <c r="P774" s="1">
        <f>IF(B774="", "", "kg")</f>
        <v>0</v>
      </c>
      <c r="R774" s="1">
        <f>IF(B774="", "", "Not applicable")</f>
        <v>0</v>
      </c>
    </row>
    <row r="775" spans="1:18">
      <c r="A775">
        <f>IF(COUNTBLANK(B775:R775)&lt;&gt;COLUMNS(B775:R775),774,"")</f>
        <v>0</v>
      </c>
      <c r="C775" s="1">
        <f>IF(B775="", "", "Host-associated")</f>
        <v>0</v>
      </c>
      <c r="G775" s="1">
        <f>IF(B775="", "", "host-associated")</f>
        <v>0</v>
      </c>
      <c r="I775" s="1">
        <f>IF(B775="", "", "years")</f>
        <v>0</v>
      </c>
      <c r="L775" s="1">
        <f>IF(B775="", "", "cm")</f>
        <v>0</v>
      </c>
      <c r="P775" s="1">
        <f>IF(B775="", "", "kg")</f>
        <v>0</v>
      </c>
      <c r="R775" s="1">
        <f>IF(B775="", "", "Not applicable")</f>
        <v>0</v>
      </c>
    </row>
    <row r="776" spans="1:18">
      <c r="A776">
        <f>IF(COUNTBLANK(B776:R776)&lt;&gt;COLUMNS(B776:R776),775,"")</f>
        <v>0</v>
      </c>
      <c r="C776" s="1">
        <f>IF(B776="", "", "Host-associated")</f>
        <v>0</v>
      </c>
      <c r="G776" s="1">
        <f>IF(B776="", "", "host-associated")</f>
        <v>0</v>
      </c>
      <c r="I776" s="1">
        <f>IF(B776="", "", "years")</f>
        <v>0</v>
      </c>
      <c r="L776" s="1">
        <f>IF(B776="", "", "cm")</f>
        <v>0</v>
      </c>
      <c r="P776" s="1">
        <f>IF(B776="", "", "kg")</f>
        <v>0</v>
      </c>
      <c r="R776" s="1">
        <f>IF(B776="", "", "Not applicable")</f>
        <v>0</v>
      </c>
    </row>
    <row r="777" spans="1:18">
      <c r="A777">
        <f>IF(COUNTBLANK(B777:R777)&lt;&gt;COLUMNS(B777:R777),776,"")</f>
        <v>0</v>
      </c>
      <c r="C777" s="1">
        <f>IF(B777="", "", "Host-associated")</f>
        <v>0</v>
      </c>
      <c r="G777" s="1">
        <f>IF(B777="", "", "host-associated")</f>
        <v>0</v>
      </c>
      <c r="I777" s="1">
        <f>IF(B777="", "", "years")</f>
        <v>0</v>
      </c>
      <c r="L777" s="1">
        <f>IF(B777="", "", "cm")</f>
        <v>0</v>
      </c>
      <c r="P777" s="1">
        <f>IF(B777="", "", "kg")</f>
        <v>0</v>
      </c>
      <c r="R777" s="1">
        <f>IF(B777="", "", "Not applicable")</f>
        <v>0</v>
      </c>
    </row>
    <row r="778" spans="1:18">
      <c r="A778">
        <f>IF(COUNTBLANK(B778:R778)&lt;&gt;COLUMNS(B778:R778),777,"")</f>
        <v>0</v>
      </c>
      <c r="C778" s="1">
        <f>IF(B778="", "", "Host-associated")</f>
        <v>0</v>
      </c>
      <c r="G778" s="1">
        <f>IF(B778="", "", "host-associated")</f>
        <v>0</v>
      </c>
      <c r="I778" s="1">
        <f>IF(B778="", "", "years")</f>
        <v>0</v>
      </c>
      <c r="L778" s="1">
        <f>IF(B778="", "", "cm")</f>
        <v>0</v>
      </c>
      <c r="P778" s="1">
        <f>IF(B778="", "", "kg")</f>
        <v>0</v>
      </c>
      <c r="R778" s="1">
        <f>IF(B778="", "", "Not applicable")</f>
        <v>0</v>
      </c>
    </row>
    <row r="779" spans="1:18">
      <c r="A779">
        <f>IF(COUNTBLANK(B779:R779)&lt;&gt;COLUMNS(B779:R779),778,"")</f>
        <v>0</v>
      </c>
      <c r="C779" s="1">
        <f>IF(B779="", "", "Host-associated")</f>
        <v>0</v>
      </c>
      <c r="G779" s="1">
        <f>IF(B779="", "", "host-associated")</f>
        <v>0</v>
      </c>
      <c r="I779" s="1">
        <f>IF(B779="", "", "years")</f>
        <v>0</v>
      </c>
      <c r="L779" s="1">
        <f>IF(B779="", "", "cm")</f>
        <v>0</v>
      </c>
      <c r="P779" s="1">
        <f>IF(B779="", "", "kg")</f>
        <v>0</v>
      </c>
      <c r="R779" s="1">
        <f>IF(B779="", "", "Not applicable")</f>
        <v>0</v>
      </c>
    </row>
    <row r="780" spans="1:18">
      <c r="A780">
        <f>IF(COUNTBLANK(B780:R780)&lt;&gt;COLUMNS(B780:R780),779,"")</f>
        <v>0</v>
      </c>
      <c r="C780" s="1">
        <f>IF(B780="", "", "Host-associated")</f>
        <v>0</v>
      </c>
      <c r="G780" s="1">
        <f>IF(B780="", "", "host-associated")</f>
        <v>0</v>
      </c>
      <c r="I780" s="1">
        <f>IF(B780="", "", "years")</f>
        <v>0</v>
      </c>
      <c r="L780" s="1">
        <f>IF(B780="", "", "cm")</f>
        <v>0</v>
      </c>
      <c r="P780" s="1">
        <f>IF(B780="", "", "kg")</f>
        <v>0</v>
      </c>
      <c r="R780" s="1">
        <f>IF(B780="", "", "Not applicable")</f>
        <v>0</v>
      </c>
    </row>
    <row r="781" spans="1:18">
      <c r="A781">
        <f>IF(COUNTBLANK(B781:R781)&lt;&gt;COLUMNS(B781:R781),780,"")</f>
        <v>0</v>
      </c>
      <c r="C781" s="1">
        <f>IF(B781="", "", "Host-associated")</f>
        <v>0</v>
      </c>
      <c r="G781" s="1">
        <f>IF(B781="", "", "host-associated")</f>
        <v>0</v>
      </c>
      <c r="I781" s="1">
        <f>IF(B781="", "", "years")</f>
        <v>0</v>
      </c>
      <c r="L781" s="1">
        <f>IF(B781="", "", "cm")</f>
        <v>0</v>
      </c>
      <c r="P781" s="1">
        <f>IF(B781="", "", "kg")</f>
        <v>0</v>
      </c>
      <c r="R781" s="1">
        <f>IF(B781="", "", "Not applicable")</f>
        <v>0</v>
      </c>
    </row>
    <row r="782" spans="1:18">
      <c r="A782">
        <f>IF(COUNTBLANK(B782:R782)&lt;&gt;COLUMNS(B782:R782),781,"")</f>
        <v>0</v>
      </c>
      <c r="C782" s="1">
        <f>IF(B782="", "", "Host-associated")</f>
        <v>0</v>
      </c>
      <c r="G782" s="1">
        <f>IF(B782="", "", "host-associated")</f>
        <v>0</v>
      </c>
      <c r="I782" s="1">
        <f>IF(B782="", "", "years")</f>
        <v>0</v>
      </c>
      <c r="L782" s="1">
        <f>IF(B782="", "", "cm")</f>
        <v>0</v>
      </c>
      <c r="P782" s="1">
        <f>IF(B782="", "", "kg")</f>
        <v>0</v>
      </c>
      <c r="R782" s="1">
        <f>IF(B782="", "", "Not applicable")</f>
        <v>0</v>
      </c>
    </row>
    <row r="783" spans="1:18">
      <c r="A783">
        <f>IF(COUNTBLANK(B783:R783)&lt;&gt;COLUMNS(B783:R783),782,"")</f>
        <v>0</v>
      </c>
      <c r="C783" s="1">
        <f>IF(B783="", "", "Host-associated")</f>
        <v>0</v>
      </c>
      <c r="G783" s="1">
        <f>IF(B783="", "", "host-associated")</f>
        <v>0</v>
      </c>
      <c r="I783" s="1">
        <f>IF(B783="", "", "years")</f>
        <v>0</v>
      </c>
      <c r="L783" s="1">
        <f>IF(B783="", "", "cm")</f>
        <v>0</v>
      </c>
      <c r="P783" s="1">
        <f>IF(B783="", "", "kg")</f>
        <v>0</v>
      </c>
      <c r="R783" s="1">
        <f>IF(B783="", "", "Not applicable")</f>
        <v>0</v>
      </c>
    </row>
    <row r="784" spans="1:18">
      <c r="A784">
        <f>IF(COUNTBLANK(B784:R784)&lt;&gt;COLUMNS(B784:R784),783,"")</f>
        <v>0</v>
      </c>
      <c r="C784" s="1">
        <f>IF(B784="", "", "Host-associated")</f>
        <v>0</v>
      </c>
      <c r="G784" s="1">
        <f>IF(B784="", "", "host-associated")</f>
        <v>0</v>
      </c>
      <c r="I784" s="1">
        <f>IF(B784="", "", "years")</f>
        <v>0</v>
      </c>
      <c r="L784" s="1">
        <f>IF(B784="", "", "cm")</f>
        <v>0</v>
      </c>
      <c r="P784" s="1">
        <f>IF(B784="", "", "kg")</f>
        <v>0</v>
      </c>
      <c r="R784" s="1">
        <f>IF(B784="", "", "Not applicable")</f>
        <v>0</v>
      </c>
    </row>
    <row r="785" spans="1:18">
      <c r="A785">
        <f>IF(COUNTBLANK(B785:R785)&lt;&gt;COLUMNS(B785:R785),784,"")</f>
        <v>0</v>
      </c>
      <c r="C785" s="1">
        <f>IF(B785="", "", "Host-associated")</f>
        <v>0</v>
      </c>
      <c r="G785" s="1">
        <f>IF(B785="", "", "host-associated")</f>
        <v>0</v>
      </c>
      <c r="I785" s="1">
        <f>IF(B785="", "", "years")</f>
        <v>0</v>
      </c>
      <c r="L785" s="1">
        <f>IF(B785="", "", "cm")</f>
        <v>0</v>
      </c>
      <c r="P785" s="1">
        <f>IF(B785="", "", "kg")</f>
        <v>0</v>
      </c>
      <c r="R785" s="1">
        <f>IF(B785="", "", "Not applicable")</f>
        <v>0</v>
      </c>
    </row>
    <row r="786" spans="1:18">
      <c r="A786">
        <f>IF(COUNTBLANK(B786:R786)&lt;&gt;COLUMNS(B786:R786),785,"")</f>
        <v>0</v>
      </c>
      <c r="C786" s="1">
        <f>IF(B786="", "", "Host-associated")</f>
        <v>0</v>
      </c>
      <c r="G786" s="1">
        <f>IF(B786="", "", "host-associated")</f>
        <v>0</v>
      </c>
      <c r="I786" s="1">
        <f>IF(B786="", "", "years")</f>
        <v>0</v>
      </c>
      <c r="L786" s="1">
        <f>IF(B786="", "", "cm")</f>
        <v>0</v>
      </c>
      <c r="P786" s="1">
        <f>IF(B786="", "", "kg")</f>
        <v>0</v>
      </c>
      <c r="R786" s="1">
        <f>IF(B786="", "", "Not applicable")</f>
        <v>0</v>
      </c>
    </row>
    <row r="787" spans="1:18">
      <c r="A787">
        <f>IF(COUNTBLANK(B787:R787)&lt;&gt;COLUMNS(B787:R787),786,"")</f>
        <v>0</v>
      </c>
      <c r="C787" s="1">
        <f>IF(B787="", "", "Host-associated")</f>
        <v>0</v>
      </c>
      <c r="G787" s="1">
        <f>IF(B787="", "", "host-associated")</f>
        <v>0</v>
      </c>
      <c r="I787" s="1">
        <f>IF(B787="", "", "years")</f>
        <v>0</v>
      </c>
      <c r="L787" s="1">
        <f>IF(B787="", "", "cm")</f>
        <v>0</v>
      </c>
      <c r="P787" s="1">
        <f>IF(B787="", "", "kg")</f>
        <v>0</v>
      </c>
      <c r="R787" s="1">
        <f>IF(B787="", "", "Not applicable")</f>
        <v>0</v>
      </c>
    </row>
    <row r="788" spans="1:18">
      <c r="A788">
        <f>IF(COUNTBLANK(B788:R788)&lt;&gt;COLUMNS(B788:R788),787,"")</f>
        <v>0</v>
      </c>
      <c r="C788" s="1">
        <f>IF(B788="", "", "Host-associated")</f>
        <v>0</v>
      </c>
      <c r="G788" s="1">
        <f>IF(B788="", "", "host-associated")</f>
        <v>0</v>
      </c>
      <c r="I788" s="1">
        <f>IF(B788="", "", "years")</f>
        <v>0</v>
      </c>
      <c r="L788" s="1">
        <f>IF(B788="", "", "cm")</f>
        <v>0</v>
      </c>
      <c r="P788" s="1">
        <f>IF(B788="", "", "kg")</f>
        <v>0</v>
      </c>
      <c r="R788" s="1">
        <f>IF(B788="", "", "Not applicable")</f>
        <v>0</v>
      </c>
    </row>
    <row r="789" spans="1:18">
      <c r="A789">
        <f>IF(COUNTBLANK(B789:R789)&lt;&gt;COLUMNS(B789:R789),788,"")</f>
        <v>0</v>
      </c>
      <c r="C789" s="1">
        <f>IF(B789="", "", "Host-associated")</f>
        <v>0</v>
      </c>
      <c r="G789" s="1">
        <f>IF(B789="", "", "host-associated")</f>
        <v>0</v>
      </c>
      <c r="I789" s="1">
        <f>IF(B789="", "", "years")</f>
        <v>0</v>
      </c>
      <c r="L789" s="1">
        <f>IF(B789="", "", "cm")</f>
        <v>0</v>
      </c>
      <c r="P789" s="1">
        <f>IF(B789="", "", "kg")</f>
        <v>0</v>
      </c>
      <c r="R789" s="1">
        <f>IF(B789="", "", "Not applicable")</f>
        <v>0</v>
      </c>
    </row>
    <row r="790" spans="1:18">
      <c r="A790">
        <f>IF(COUNTBLANK(B790:R790)&lt;&gt;COLUMNS(B790:R790),789,"")</f>
        <v>0</v>
      </c>
      <c r="C790" s="1">
        <f>IF(B790="", "", "Host-associated")</f>
        <v>0</v>
      </c>
      <c r="G790" s="1">
        <f>IF(B790="", "", "host-associated")</f>
        <v>0</v>
      </c>
      <c r="I790" s="1">
        <f>IF(B790="", "", "years")</f>
        <v>0</v>
      </c>
      <c r="L790" s="1">
        <f>IF(B790="", "", "cm")</f>
        <v>0</v>
      </c>
      <c r="P790" s="1">
        <f>IF(B790="", "", "kg")</f>
        <v>0</v>
      </c>
      <c r="R790" s="1">
        <f>IF(B790="", "", "Not applicable")</f>
        <v>0</v>
      </c>
    </row>
    <row r="791" spans="1:18">
      <c r="A791">
        <f>IF(COUNTBLANK(B791:R791)&lt;&gt;COLUMNS(B791:R791),790,"")</f>
        <v>0</v>
      </c>
      <c r="C791" s="1">
        <f>IF(B791="", "", "Host-associated")</f>
        <v>0</v>
      </c>
      <c r="G791" s="1">
        <f>IF(B791="", "", "host-associated")</f>
        <v>0</v>
      </c>
      <c r="I791" s="1">
        <f>IF(B791="", "", "years")</f>
        <v>0</v>
      </c>
      <c r="L791" s="1">
        <f>IF(B791="", "", "cm")</f>
        <v>0</v>
      </c>
      <c r="P791" s="1">
        <f>IF(B791="", "", "kg")</f>
        <v>0</v>
      </c>
      <c r="R791" s="1">
        <f>IF(B791="", "", "Not applicable")</f>
        <v>0</v>
      </c>
    </row>
    <row r="792" spans="1:18">
      <c r="A792">
        <f>IF(COUNTBLANK(B792:R792)&lt;&gt;COLUMNS(B792:R792),791,"")</f>
        <v>0</v>
      </c>
      <c r="C792" s="1">
        <f>IF(B792="", "", "Host-associated")</f>
        <v>0</v>
      </c>
      <c r="G792" s="1">
        <f>IF(B792="", "", "host-associated")</f>
        <v>0</v>
      </c>
      <c r="I792" s="1">
        <f>IF(B792="", "", "years")</f>
        <v>0</v>
      </c>
      <c r="L792" s="1">
        <f>IF(B792="", "", "cm")</f>
        <v>0</v>
      </c>
      <c r="P792" s="1">
        <f>IF(B792="", "", "kg")</f>
        <v>0</v>
      </c>
      <c r="R792" s="1">
        <f>IF(B792="", "", "Not applicable")</f>
        <v>0</v>
      </c>
    </row>
    <row r="793" spans="1:18">
      <c r="A793">
        <f>IF(COUNTBLANK(B793:R793)&lt;&gt;COLUMNS(B793:R793),792,"")</f>
        <v>0</v>
      </c>
      <c r="C793" s="1">
        <f>IF(B793="", "", "Host-associated")</f>
        <v>0</v>
      </c>
      <c r="G793" s="1">
        <f>IF(B793="", "", "host-associated")</f>
        <v>0</v>
      </c>
      <c r="I793" s="1">
        <f>IF(B793="", "", "years")</f>
        <v>0</v>
      </c>
      <c r="L793" s="1">
        <f>IF(B793="", "", "cm")</f>
        <v>0</v>
      </c>
      <c r="P793" s="1">
        <f>IF(B793="", "", "kg")</f>
        <v>0</v>
      </c>
      <c r="R793" s="1">
        <f>IF(B793="", "", "Not applicable")</f>
        <v>0</v>
      </c>
    </row>
    <row r="794" spans="1:18">
      <c r="A794">
        <f>IF(COUNTBLANK(B794:R794)&lt;&gt;COLUMNS(B794:R794),793,"")</f>
        <v>0</v>
      </c>
      <c r="C794" s="1">
        <f>IF(B794="", "", "Host-associated")</f>
        <v>0</v>
      </c>
      <c r="G794" s="1">
        <f>IF(B794="", "", "host-associated")</f>
        <v>0</v>
      </c>
      <c r="I794" s="1">
        <f>IF(B794="", "", "years")</f>
        <v>0</v>
      </c>
      <c r="L794" s="1">
        <f>IF(B794="", "", "cm")</f>
        <v>0</v>
      </c>
      <c r="P794" s="1">
        <f>IF(B794="", "", "kg")</f>
        <v>0</v>
      </c>
      <c r="R794" s="1">
        <f>IF(B794="", "", "Not applicable")</f>
        <v>0</v>
      </c>
    </row>
    <row r="795" spans="1:18">
      <c r="A795">
        <f>IF(COUNTBLANK(B795:R795)&lt;&gt;COLUMNS(B795:R795),794,"")</f>
        <v>0</v>
      </c>
      <c r="C795" s="1">
        <f>IF(B795="", "", "Host-associated")</f>
        <v>0</v>
      </c>
      <c r="G795" s="1">
        <f>IF(B795="", "", "host-associated")</f>
        <v>0</v>
      </c>
      <c r="I795" s="1">
        <f>IF(B795="", "", "years")</f>
        <v>0</v>
      </c>
      <c r="L795" s="1">
        <f>IF(B795="", "", "cm")</f>
        <v>0</v>
      </c>
      <c r="P795" s="1">
        <f>IF(B795="", "", "kg")</f>
        <v>0</v>
      </c>
      <c r="R795" s="1">
        <f>IF(B795="", "", "Not applicable")</f>
        <v>0</v>
      </c>
    </row>
    <row r="796" spans="1:18">
      <c r="A796">
        <f>IF(COUNTBLANK(B796:R796)&lt;&gt;COLUMNS(B796:R796),795,"")</f>
        <v>0</v>
      </c>
      <c r="C796" s="1">
        <f>IF(B796="", "", "Host-associated")</f>
        <v>0</v>
      </c>
      <c r="G796" s="1">
        <f>IF(B796="", "", "host-associated")</f>
        <v>0</v>
      </c>
      <c r="I796" s="1">
        <f>IF(B796="", "", "years")</f>
        <v>0</v>
      </c>
      <c r="L796" s="1">
        <f>IF(B796="", "", "cm")</f>
        <v>0</v>
      </c>
      <c r="P796" s="1">
        <f>IF(B796="", "", "kg")</f>
        <v>0</v>
      </c>
      <c r="R796" s="1">
        <f>IF(B796="", "", "Not applicable")</f>
        <v>0</v>
      </c>
    </row>
    <row r="797" spans="1:18">
      <c r="A797">
        <f>IF(COUNTBLANK(B797:R797)&lt;&gt;COLUMNS(B797:R797),796,"")</f>
        <v>0</v>
      </c>
      <c r="C797" s="1">
        <f>IF(B797="", "", "Host-associated")</f>
        <v>0</v>
      </c>
      <c r="G797" s="1">
        <f>IF(B797="", "", "host-associated")</f>
        <v>0</v>
      </c>
      <c r="I797" s="1">
        <f>IF(B797="", "", "years")</f>
        <v>0</v>
      </c>
      <c r="L797" s="1">
        <f>IF(B797="", "", "cm")</f>
        <v>0</v>
      </c>
      <c r="P797" s="1">
        <f>IF(B797="", "", "kg")</f>
        <v>0</v>
      </c>
      <c r="R797" s="1">
        <f>IF(B797="", "", "Not applicable")</f>
        <v>0</v>
      </c>
    </row>
    <row r="798" spans="1:18">
      <c r="A798">
        <f>IF(COUNTBLANK(B798:R798)&lt;&gt;COLUMNS(B798:R798),797,"")</f>
        <v>0</v>
      </c>
      <c r="C798" s="1">
        <f>IF(B798="", "", "Host-associated")</f>
        <v>0</v>
      </c>
      <c r="G798" s="1">
        <f>IF(B798="", "", "host-associated")</f>
        <v>0</v>
      </c>
      <c r="I798" s="1">
        <f>IF(B798="", "", "years")</f>
        <v>0</v>
      </c>
      <c r="L798" s="1">
        <f>IF(B798="", "", "cm")</f>
        <v>0</v>
      </c>
      <c r="P798" s="1">
        <f>IF(B798="", "", "kg")</f>
        <v>0</v>
      </c>
      <c r="R798" s="1">
        <f>IF(B798="", "", "Not applicable")</f>
        <v>0</v>
      </c>
    </row>
    <row r="799" spans="1:18">
      <c r="A799">
        <f>IF(COUNTBLANK(B799:R799)&lt;&gt;COLUMNS(B799:R799),798,"")</f>
        <v>0</v>
      </c>
      <c r="C799" s="1">
        <f>IF(B799="", "", "Host-associated")</f>
        <v>0</v>
      </c>
      <c r="G799" s="1">
        <f>IF(B799="", "", "host-associated")</f>
        <v>0</v>
      </c>
      <c r="I799" s="1">
        <f>IF(B799="", "", "years")</f>
        <v>0</v>
      </c>
      <c r="L799" s="1">
        <f>IF(B799="", "", "cm")</f>
        <v>0</v>
      </c>
      <c r="P799" s="1">
        <f>IF(B799="", "", "kg")</f>
        <v>0</v>
      </c>
      <c r="R799" s="1">
        <f>IF(B799="", "", "Not applicable")</f>
        <v>0</v>
      </c>
    </row>
    <row r="800" spans="1:18">
      <c r="A800">
        <f>IF(COUNTBLANK(B800:R800)&lt;&gt;COLUMNS(B800:R800),799,"")</f>
        <v>0</v>
      </c>
      <c r="C800" s="1">
        <f>IF(B800="", "", "Host-associated")</f>
        <v>0</v>
      </c>
      <c r="G800" s="1">
        <f>IF(B800="", "", "host-associated")</f>
        <v>0</v>
      </c>
      <c r="I800" s="1">
        <f>IF(B800="", "", "years")</f>
        <v>0</v>
      </c>
      <c r="L800" s="1">
        <f>IF(B800="", "", "cm")</f>
        <v>0</v>
      </c>
      <c r="P800" s="1">
        <f>IF(B800="", "", "kg")</f>
        <v>0</v>
      </c>
      <c r="R800" s="1">
        <f>IF(B800="", "", "Not applicable")</f>
        <v>0</v>
      </c>
    </row>
    <row r="801" spans="1:18">
      <c r="A801">
        <f>IF(COUNTBLANK(B801:R801)&lt;&gt;COLUMNS(B801:R801),800,"")</f>
        <v>0</v>
      </c>
      <c r="C801" s="1">
        <f>IF(B801="", "", "Host-associated")</f>
        <v>0</v>
      </c>
      <c r="G801" s="1">
        <f>IF(B801="", "", "host-associated")</f>
        <v>0</v>
      </c>
      <c r="I801" s="1">
        <f>IF(B801="", "", "years")</f>
        <v>0</v>
      </c>
      <c r="L801" s="1">
        <f>IF(B801="", "", "cm")</f>
        <v>0</v>
      </c>
      <c r="P801" s="1">
        <f>IF(B801="", "", "kg")</f>
        <v>0</v>
      </c>
      <c r="R801" s="1">
        <f>IF(B801="", "", "Not applicable")</f>
        <v>0</v>
      </c>
    </row>
    <row r="802" spans="1:18">
      <c r="A802">
        <f>IF(COUNTBLANK(B802:R802)&lt;&gt;COLUMNS(B802:R802),801,"")</f>
        <v>0</v>
      </c>
      <c r="C802" s="1">
        <f>IF(B802="", "", "Host-associated")</f>
        <v>0</v>
      </c>
      <c r="G802" s="1">
        <f>IF(B802="", "", "host-associated")</f>
        <v>0</v>
      </c>
      <c r="I802" s="1">
        <f>IF(B802="", "", "years")</f>
        <v>0</v>
      </c>
      <c r="L802" s="1">
        <f>IF(B802="", "", "cm")</f>
        <v>0</v>
      </c>
      <c r="P802" s="1">
        <f>IF(B802="", "", "kg")</f>
        <v>0</v>
      </c>
      <c r="R802" s="1">
        <f>IF(B802="", "", "Not applicable")</f>
        <v>0</v>
      </c>
    </row>
    <row r="803" spans="1:18">
      <c r="A803">
        <f>IF(COUNTBLANK(B803:R803)&lt;&gt;COLUMNS(B803:R803),802,"")</f>
        <v>0</v>
      </c>
      <c r="C803" s="1">
        <f>IF(B803="", "", "Host-associated")</f>
        <v>0</v>
      </c>
      <c r="G803" s="1">
        <f>IF(B803="", "", "host-associated")</f>
        <v>0</v>
      </c>
      <c r="I803" s="1">
        <f>IF(B803="", "", "years")</f>
        <v>0</v>
      </c>
      <c r="L803" s="1">
        <f>IF(B803="", "", "cm")</f>
        <v>0</v>
      </c>
      <c r="P803" s="1">
        <f>IF(B803="", "", "kg")</f>
        <v>0</v>
      </c>
      <c r="R803" s="1">
        <f>IF(B803="", "", "Not applicable")</f>
        <v>0</v>
      </c>
    </row>
    <row r="804" spans="1:18">
      <c r="A804">
        <f>IF(COUNTBLANK(B804:R804)&lt;&gt;COLUMNS(B804:R804),803,"")</f>
        <v>0</v>
      </c>
      <c r="C804" s="1">
        <f>IF(B804="", "", "Host-associated")</f>
        <v>0</v>
      </c>
      <c r="G804" s="1">
        <f>IF(B804="", "", "host-associated")</f>
        <v>0</v>
      </c>
      <c r="I804" s="1">
        <f>IF(B804="", "", "years")</f>
        <v>0</v>
      </c>
      <c r="L804" s="1">
        <f>IF(B804="", "", "cm")</f>
        <v>0</v>
      </c>
      <c r="P804" s="1">
        <f>IF(B804="", "", "kg")</f>
        <v>0</v>
      </c>
      <c r="R804" s="1">
        <f>IF(B804="", "", "Not applicable")</f>
        <v>0</v>
      </c>
    </row>
    <row r="805" spans="1:18">
      <c r="A805">
        <f>IF(COUNTBLANK(B805:R805)&lt;&gt;COLUMNS(B805:R805),804,"")</f>
        <v>0</v>
      </c>
      <c r="C805" s="1">
        <f>IF(B805="", "", "Host-associated")</f>
        <v>0</v>
      </c>
      <c r="G805" s="1">
        <f>IF(B805="", "", "host-associated")</f>
        <v>0</v>
      </c>
      <c r="I805" s="1">
        <f>IF(B805="", "", "years")</f>
        <v>0</v>
      </c>
      <c r="L805" s="1">
        <f>IF(B805="", "", "cm")</f>
        <v>0</v>
      </c>
      <c r="P805" s="1">
        <f>IF(B805="", "", "kg")</f>
        <v>0</v>
      </c>
      <c r="R805" s="1">
        <f>IF(B805="", "", "Not applicable")</f>
        <v>0</v>
      </c>
    </row>
    <row r="806" spans="1:18">
      <c r="A806">
        <f>IF(COUNTBLANK(B806:R806)&lt;&gt;COLUMNS(B806:R806),805,"")</f>
        <v>0</v>
      </c>
      <c r="C806" s="1">
        <f>IF(B806="", "", "Host-associated")</f>
        <v>0</v>
      </c>
      <c r="G806" s="1">
        <f>IF(B806="", "", "host-associated")</f>
        <v>0</v>
      </c>
      <c r="I806" s="1">
        <f>IF(B806="", "", "years")</f>
        <v>0</v>
      </c>
      <c r="L806" s="1">
        <f>IF(B806="", "", "cm")</f>
        <v>0</v>
      </c>
      <c r="P806" s="1">
        <f>IF(B806="", "", "kg")</f>
        <v>0</v>
      </c>
      <c r="R806" s="1">
        <f>IF(B806="", "", "Not applicable")</f>
        <v>0</v>
      </c>
    </row>
    <row r="807" spans="1:18">
      <c r="A807">
        <f>IF(COUNTBLANK(B807:R807)&lt;&gt;COLUMNS(B807:R807),806,"")</f>
        <v>0</v>
      </c>
      <c r="C807" s="1">
        <f>IF(B807="", "", "Host-associated")</f>
        <v>0</v>
      </c>
      <c r="G807" s="1">
        <f>IF(B807="", "", "host-associated")</f>
        <v>0</v>
      </c>
      <c r="I807" s="1">
        <f>IF(B807="", "", "years")</f>
        <v>0</v>
      </c>
      <c r="L807" s="1">
        <f>IF(B807="", "", "cm")</f>
        <v>0</v>
      </c>
      <c r="P807" s="1">
        <f>IF(B807="", "", "kg")</f>
        <v>0</v>
      </c>
      <c r="R807" s="1">
        <f>IF(B807="", "", "Not applicable")</f>
        <v>0</v>
      </c>
    </row>
    <row r="808" spans="1:18">
      <c r="A808">
        <f>IF(COUNTBLANK(B808:R808)&lt;&gt;COLUMNS(B808:R808),807,"")</f>
        <v>0</v>
      </c>
      <c r="C808" s="1">
        <f>IF(B808="", "", "Host-associated")</f>
        <v>0</v>
      </c>
      <c r="G808" s="1">
        <f>IF(B808="", "", "host-associated")</f>
        <v>0</v>
      </c>
      <c r="I808" s="1">
        <f>IF(B808="", "", "years")</f>
        <v>0</v>
      </c>
      <c r="L808" s="1">
        <f>IF(B808="", "", "cm")</f>
        <v>0</v>
      </c>
      <c r="P808" s="1">
        <f>IF(B808="", "", "kg")</f>
        <v>0</v>
      </c>
      <c r="R808" s="1">
        <f>IF(B808="", "", "Not applicable")</f>
        <v>0</v>
      </c>
    </row>
    <row r="809" spans="1:18">
      <c r="A809">
        <f>IF(COUNTBLANK(B809:R809)&lt;&gt;COLUMNS(B809:R809),808,"")</f>
        <v>0</v>
      </c>
      <c r="C809" s="1">
        <f>IF(B809="", "", "Host-associated")</f>
        <v>0</v>
      </c>
      <c r="G809" s="1">
        <f>IF(B809="", "", "host-associated")</f>
        <v>0</v>
      </c>
      <c r="I809" s="1">
        <f>IF(B809="", "", "years")</f>
        <v>0</v>
      </c>
      <c r="L809" s="1">
        <f>IF(B809="", "", "cm")</f>
        <v>0</v>
      </c>
      <c r="P809" s="1">
        <f>IF(B809="", "", "kg")</f>
        <v>0</v>
      </c>
      <c r="R809" s="1">
        <f>IF(B809="", "", "Not applicable")</f>
        <v>0</v>
      </c>
    </row>
    <row r="810" spans="1:18">
      <c r="A810">
        <f>IF(COUNTBLANK(B810:R810)&lt;&gt;COLUMNS(B810:R810),809,"")</f>
        <v>0</v>
      </c>
      <c r="C810" s="1">
        <f>IF(B810="", "", "Host-associated")</f>
        <v>0</v>
      </c>
      <c r="G810" s="1">
        <f>IF(B810="", "", "host-associated")</f>
        <v>0</v>
      </c>
      <c r="I810" s="1">
        <f>IF(B810="", "", "years")</f>
        <v>0</v>
      </c>
      <c r="L810" s="1">
        <f>IF(B810="", "", "cm")</f>
        <v>0</v>
      </c>
      <c r="P810" s="1">
        <f>IF(B810="", "", "kg")</f>
        <v>0</v>
      </c>
      <c r="R810" s="1">
        <f>IF(B810="", "", "Not applicable")</f>
        <v>0</v>
      </c>
    </row>
    <row r="811" spans="1:18">
      <c r="A811">
        <f>IF(COUNTBLANK(B811:R811)&lt;&gt;COLUMNS(B811:R811),810,"")</f>
        <v>0</v>
      </c>
      <c r="C811" s="1">
        <f>IF(B811="", "", "Host-associated")</f>
        <v>0</v>
      </c>
      <c r="G811" s="1">
        <f>IF(B811="", "", "host-associated")</f>
        <v>0</v>
      </c>
      <c r="I811" s="1">
        <f>IF(B811="", "", "years")</f>
        <v>0</v>
      </c>
      <c r="L811" s="1">
        <f>IF(B811="", "", "cm")</f>
        <v>0</v>
      </c>
      <c r="P811" s="1">
        <f>IF(B811="", "", "kg")</f>
        <v>0</v>
      </c>
      <c r="R811" s="1">
        <f>IF(B811="", "", "Not applicable")</f>
        <v>0</v>
      </c>
    </row>
    <row r="812" spans="1:18">
      <c r="A812">
        <f>IF(COUNTBLANK(B812:R812)&lt;&gt;COLUMNS(B812:R812),811,"")</f>
        <v>0</v>
      </c>
      <c r="C812" s="1">
        <f>IF(B812="", "", "Host-associated")</f>
        <v>0</v>
      </c>
      <c r="G812" s="1">
        <f>IF(B812="", "", "host-associated")</f>
        <v>0</v>
      </c>
      <c r="I812" s="1">
        <f>IF(B812="", "", "years")</f>
        <v>0</v>
      </c>
      <c r="L812" s="1">
        <f>IF(B812="", "", "cm")</f>
        <v>0</v>
      </c>
      <c r="P812" s="1">
        <f>IF(B812="", "", "kg")</f>
        <v>0</v>
      </c>
      <c r="R812" s="1">
        <f>IF(B812="", "", "Not applicable")</f>
        <v>0</v>
      </c>
    </row>
    <row r="813" spans="1:18">
      <c r="A813">
        <f>IF(COUNTBLANK(B813:R813)&lt;&gt;COLUMNS(B813:R813),812,"")</f>
        <v>0</v>
      </c>
      <c r="C813" s="1">
        <f>IF(B813="", "", "Host-associated")</f>
        <v>0</v>
      </c>
      <c r="G813" s="1">
        <f>IF(B813="", "", "host-associated")</f>
        <v>0</v>
      </c>
      <c r="I813" s="1">
        <f>IF(B813="", "", "years")</f>
        <v>0</v>
      </c>
      <c r="L813" s="1">
        <f>IF(B813="", "", "cm")</f>
        <v>0</v>
      </c>
      <c r="P813" s="1">
        <f>IF(B813="", "", "kg")</f>
        <v>0</v>
      </c>
      <c r="R813" s="1">
        <f>IF(B813="", "", "Not applicable")</f>
        <v>0</v>
      </c>
    </row>
    <row r="814" spans="1:18">
      <c r="A814">
        <f>IF(COUNTBLANK(B814:R814)&lt;&gt;COLUMNS(B814:R814),813,"")</f>
        <v>0</v>
      </c>
      <c r="C814" s="1">
        <f>IF(B814="", "", "Host-associated")</f>
        <v>0</v>
      </c>
      <c r="G814" s="1">
        <f>IF(B814="", "", "host-associated")</f>
        <v>0</v>
      </c>
      <c r="I814" s="1">
        <f>IF(B814="", "", "years")</f>
        <v>0</v>
      </c>
      <c r="L814" s="1">
        <f>IF(B814="", "", "cm")</f>
        <v>0</v>
      </c>
      <c r="P814" s="1">
        <f>IF(B814="", "", "kg")</f>
        <v>0</v>
      </c>
      <c r="R814" s="1">
        <f>IF(B814="", "", "Not applicable")</f>
        <v>0</v>
      </c>
    </row>
    <row r="815" spans="1:18">
      <c r="A815">
        <f>IF(COUNTBLANK(B815:R815)&lt;&gt;COLUMNS(B815:R815),814,"")</f>
        <v>0</v>
      </c>
      <c r="C815" s="1">
        <f>IF(B815="", "", "Host-associated")</f>
        <v>0</v>
      </c>
      <c r="G815" s="1">
        <f>IF(B815="", "", "host-associated")</f>
        <v>0</v>
      </c>
      <c r="I815" s="1">
        <f>IF(B815="", "", "years")</f>
        <v>0</v>
      </c>
      <c r="L815" s="1">
        <f>IF(B815="", "", "cm")</f>
        <v>0</v>
      </c>
      <c r="P815" s="1">
        <f>IF(B815="", "", "kg")</f>
        <v>0</v>
      </c>
      <c r="R815" s="1">
        <f>IF(B815="", "", "Not applicable")</f>
        <v>0</v>
      </c>
    </row>
    <row r="816" spans="1:18">
      <c r="A816">
        <f>IF(COUNTBLANK(B816:R816)&lt;&gt;COLUMNS(B816:R816),815,"")</f>
        <v>0</v>
      </c>
      <c r="C816" s="1">
        <f>IF(B816="", "", "Host-associated")</f>
        <v>0</v>
      </c>
      <c r="G816" s="1">
        <f>IF(B816="", "", "host-associated")</f>
        <v>0</v>
      </c>
      <c r="I816" s="1">
        <f>IF(B816="", "", "years")</f>
        <v>0</v>
      </c>
      <c r="L816" s="1">
        <f>IF(B816="", "", "cm")</f>
        <v>0</v>
      </c>
      <c r="P816" s="1">
        <f>IF(B816="", "", "kg")</f>
        <v>0</v>
      </c>
      <c r="R816" s="1">
        <f>IF(B816="", "", "Not applicable")</f>
        <v>0</v>
      </c>
    </row>
    <row r="817" spans="1:18">
      <c r="A817">
        <f>IF(COUNTBLANK(B817:R817)&lt;&gt;COLUMNS(B817:R817),816,"")</f>
        <v>0</v>
      </c>
      <c r="C817" s="1">
        <f>IF(B817="", "", "Host-associated")</f>
        <v>0</v>
      </c>
      <c r="G817" s="1">
        <f>IF(B817="", "", "host-associated")</f>
        <v>0</v>
      </c>
      <c r="I817" s="1">
        <f>IF(B817="", "", "years")</f>
        <v>0</v>
      </c>
      <c r="L817" s="1">
        <f>IF(B817="", "", "cm")</f>
        <v>0</v>
      </c>
      <c r="P817" s="1">
        <f>IF(B817="", "", "kg")</f>
        <v>0</v>
      </c>
      <c r="R817" s="1">
        <f>IF(B817="", "", "Not applicable")</f>
        <v>0</v>
      </c>
    </row>
    <row r="818" spans="1:18">
      <c r="A818">
        <f>IF(COUNTBLANK(B818:R818)&lt;&gt;COLUMNS(B818:R818),817,"")</f>
        <v>0</v>
      </c>
      <c r="C818" s="1">
        <f>IF(B818="", "", "Host-associated")</f>
        <v>0</v>
      </c>
      <c r="G818" s="1">
        <f>IF(B818="", "", "host-associated")</f>
        <v>0</v>
      </c>
      <c r="I818" s="1">
        <f>IF(B818="", "", "years")</f>
        <v>0</v>
      </c>
      <c r="L818" s="1">
        <f>IF(B818="", "", "cm")</f>
        <v>0</v>
      </c>
      <c r="P818" s="1">
        <f>IF(B818="", "", "kg")</f>
        <v>0</v>
      </c>
      <c r="R818" s="1">
        <f>IF(B818="", "", "Not applicable")</f>
        <v>0</v>
      </c>
    </row>
    <row r="819" spans="1:18">
      <c r="A819">
        <f>IF(COUNTBLANK(B819:R819)&lt;&gt;COLUMNS(B819:R819),818,"")</f>
        <v>0</v>
      </c>
      <c r="C819" s="1">
        <f>IF(B819="", "", "Host-associated")</f>
        <v>0</v>
      </c>
      <c r="G819" s="1">
        <f>IF(B819="", "", "host-associated")</f>
        <v>0</v>
      </c>
      <c r="I819" s="1">
        <f>IF(B819="", "", "years")</f>
        <v>0</v>
      </c>
      <c r="L819" s="1">
        <f>IF(B819="", "", "cm")</f>
        <v>0</v>
      </c>
      <c r="P819" s="1">
        <f>IF(B819="", "", "kg")</f>
        <v>0</v>
      </c>
      <c r="R819" s="1">
        <f>IF(B819="", "", "Not applicable")</f>
        <v>0</v>
      </c>
    </row>
    <row r="820" spans="1:18">
      <c r="A820">
        <f>IF(COUNTBLANK(B820:R820)&lt;&gt;COLUMNS(B820:R820),819,"")</f>
        <v>0</v>
      </c>
      <c r="C820" s="1">
        <f>IF(B820="", "", "Host-associated")</f>
        <v>0</v>
      </c>
      <c r="G820" s="1">
        <f>IF(B820="", "", "host-associated")</f>
        <v>0</v>
      </c>
      <c r="I820" s="1">
        <f>IF(B820="", "", "years")</f>
        <v>0</v>
      </c>
      <c r="L820" s="1">
        <f>IF(B820="", "", "cm")</f>
        <v>0</v>
      </c>
      <c r="P820" s="1">
        <f>IF(B820="", "", "kg")</f>
        <v>0</v>
      </c>
      <c r="R820" s="1">
        <f>IF(B820="", "", "Not applicable")</f>
        <v>0</v>
      </c>
    </row>
    <row r="821" spans="1:18">
      <c r="A821">
        <f>IF(COUNTBLANK(B821:R821)&lt;&gt;COLUMNS(B821:R821),820,"")</f>
        <v>0</v>
      </c>
      <c r="C821" s="1">
        <f>IF(B821="", "", "Host-associated")</f>
        <v>0</v>
      </c>
      <c r="G821" s="1">
        <f>IF(B821="", "", "host-associated")</f>
        <v>0</v>
      </c>
      <c r="I821" s="1">
        <f>IF(B821="", "", "years")</f>
        <v>0</v>
      </c>
      <c r="L821" s="1">
        <f>IF(B821="", "", "cm")</f>
        <v>0</v>
      </c>
      <c r="P821" s="1">
        <f>IF(B821="", "", "kg")</f>
        <v>0</v>
      </c>
      <c r="R821" s="1">
        <f>IF(B821="", "", "Not applicable")</f>
        <v>0</v>
      </c>
    </row>
    <row r="822" spans="1:18">
      <c r="A822">
        <f>IF(COUNTBLANK(B822:R822)&lt;&gt;COLUMNS(B822:R822),821,"")</f>
        <v>0</v>
      </c>
      <c r="C822" s="1">
        <f>IF(B822="", "", "Host-associated")</f>
        <v>0</v>
      </c>
      <c r="G822" s="1">
        <f>IF(B822="", "", "host-associated")</f>
        <v>0</v>
      </c>
      <c r="I822" s="1">
        <f>IF(B822="", "", "years")</f>
        <v>0</v>
      </c>
      <c r="L822" s="1">
        <f>IF(B822="", "", "cm")</f>
        <v>0</v>
      </c>
      <c r="P822" s="1">
        <f>IF(B822="", "", "kg")</f>
        <v>0</v>
      </c>
      <c r="R822" s="1">
        <f>IF(B822="", "", "Not applicable")</f>
        <v>0</v>
      </c>
    </row>
    <row r="823" spans="1:18">
      <c r="A823">
        <f>IF(COUNTBLANK(B823:R823)&lt;&gt;COLUMNS(B823:R823),822,"")</f>
        <v>0</v>
      </c>
      <c r="C823" s="1">
        <f>IF(B823="", "", "Host-associated")</f>
        <v>0</v>
      </c>
      <c r="G823" s="1">
        <f>IF(B823="", "", "host-associated")</f>
        <v>0</v>
      </c>
      <c r="I823" s="1">
        <f>IF(B823="", "", "years")</f>
        <v>0</v>
      </c>
      <c r="L823" s="1">
        <f>IF(B823="", "", "cm")</f>
        <v>0</v>
      </c>
      <c r="P823" s="1">
        <f>IF(B823="", "", "kg")</f>
        <v>0</v>
      </c>
      <c r="R823" s="1">
        <f>IF(B823="", "", "Not applicable")</f>
        <v>0</v>
      </c>
    </row>
    <row r="824" spans="1:18">
      <c r="A824">
        <f>IF(COUNTBLANK(B824:R824)&lt;&gt;COLUMNS(B824:R824),823,"")</f>
        <v>0</v>
      </c>
      <c r="C824" s="1">
        <f>IF(B824="", "", "Host-associated")</f>
        <v>0</v>
      </c>
      <c r="G824" s="1">
        <f>IF(B824="", "", "host-associated")</f>
        <v>0</v>
      </c>
      <c r="I824" s="1">
        <f>IF(B824="", "", "years")</f>
        <v>0</v>
      </c>
      <c r="L824" s="1">
        <f>IF(B824="", "", "cm")</f>
        <v>0</v>
      </c>
      <c r="P824" s="1">
        <f>IF(B824="", "", "kg")</f>
        <v>0</v>
      </c>
      <c r="R824" s="1">
        <f>IF(B824="", "", "Not applicable")</f>
        <v>0</v>
      </c>
    </row>
    <row r="825" spans="1:18">
      <c r="A825">
        <f>IF(COUNTBLANK(B825:R825)&lt;&gt;COLUMNS(B825:R825),824,"")</f>
        <v>0</v>
      </c>
      <c r="C825" s="1">
        <f>IF(B825="", "", "Host-associated")</f>
        <v>0</v>
      </c>
      <c r="G825" s="1">
        <f>IF(B825="", "", "host-associated")</f>
        <v>0</v>
      </c>
      <c r="I825" s="1">
        <f>IF(B825="", "", "years")</f>
        <v>0</v>
      </c>
      <c r="L825" s="1">
        <f>IF(B825="", "", "cm")</f>
        <v>0</v>
      </c>
      <c r="P825" s="1">
        <f>IF(B825="", "", "kg")</f>
        <v>0</v>
      </c>
      <c r="R825" s="1">
        <f>IF(B825="", "", "Not applicable")</f>
        <v>0</v>
      </c>
    </row>
    <row r="826" spans="1:18">
      <c r="A826">
        <f>IF(COUNTBLANK(B826:R826)&lt;&gt;COLUMNS(B826:R826),825,"")</f>
        <v>0</v>
      </c>
      <c r="C826" s="1">
        <f>IF(B826="", "", "Host-associated")</f>
        <v>0</v>
      </c>
      <c r="G826" s="1">
        <f>IF(B826="", "", "host-associated")</f>
        <v>0</v>
      </c>
      <c r="I826" s="1">
        <f>IF(B826="", "", "years")</f>
        <v>0</v>
      </c>
      <c r="L826" s="1">
        <f>IF(B826="", "", "cm")</f>
        <v>0</v>
      </c>
      <c r="P826" s="1">
        <f>IF(B826="", "", "kg")</f>
        <v>0</v>
      </c>
      <c r="R826" s="1">
        <f>IF(B826="", "", "Not applicable")</f>
        <v>0</v>
      </c>
    </row>
    <row r="827" spans="1:18">
      <c r="A827">
        <f>IF(COUNTBLANK(B827:R827)&lt;&gt;COLUMNS(B827:R827),826,"")</f>
        <v>0</v>
      </c>
      <c r="C827" s="1">
        <f>IF(B827="", "", "Host-associated")</f>
        <v>0</v>
      </c>
      <c r="G827" s="1">
        <f>IF(B827="", "", "host-associated")</f>
        <v>0</v>
      </c>
      <c r="I827" s="1">
        <f>IF(B827="", "", "years")</f>
        <v>0</v>
      </c>
      <c r="L827" s="1">
        <f>IF(B827="", "", "cm")</f>
        <v>0</v>
      </c>
      <c r="P827" s="1">
        <f>IF(B827="", "", "kg")</f>
        <v>0</v>
      </c>
      <c r="R827" s="1">
        <f>IF(B827="", "", "Not applicable")</f>
        <v>0</v>
      </c>
    </row>
    <row r="828" spans="1:18">
      <c r="A828">
        <f>IF(COUNTBLANK(B828:R828)&lt;&gt;COLUMNS(B828:R828),827,"")</f>
        <v>0</v>
      </c>
      <c r="C828" s="1">
        <f>IF(B828="", "", "Host-associated")</f>
        <v>0</v>
      </c>
      <c r="G828" s="1">
        <f>IF(B828="", "", "host-associated")</f>
        <v>0</v>
      </c>
      <c r="I828" s="1">
        <f>IF(B828="", "", "years")</f>
        <v>0</v>
      </c>
      <c r="L828" s="1">
        <f>IF(B828="", "", "cm")</f>
        <v>0</v>
      </c>
      <c r="P828" s="1">
        <f>IF(B828="", "", "kg")</f>
        <v>0</v>
      </c>
      <c r="R828" s="1">
        <f>IF(B828="", "", "Not applicable")</f>
        <v>0</v>
      </c>
    </row>
    <row r="829" spans="1:18">
      <c r="A829">
        <f>IF(COUNTBLANK(B829:R829)&lt;&gt;COLUMNS(B829:R829),828,"")</f>
        <v>0</v>
      </c>
      <c r="C829" s="1">
        <f>IF(B829="", "", "Host-associated")</f>
        <v>0</v>
      </c>
      <c r="G829" s="1">
        <f>IF(B829="", "", "host-associated")</f>
        <v>0</v>
      </c>
      <c r="I829" s="1">
        <f>IF(B829="", "", "years")</f>
        <v>0</v>
      </c>
      <c r="L829" s="1">
        <f>IF(B829="", "", "cm")</f>
        <v>0</v>
      </c>
      <c r="P829" s="1">
        <f>IF(B829="", "", "kg")</f>
        <v>0</v>
      </c>
      <c r="R829" s="1">
        <f>IF(B829="", "", "Not applicable")</f>
        <v>0</v>
      </c>
    </row>
    <row r="830" spans="1:18">
      <c r="A830">
        <f>IF(COUNTBLANK(B830:R830)&lt;&gt;COLUMNS(B830:R830),829,"")</f>
        <v>0</v>
      </c>
      <c r="C830" s="1">
        <f>IF(B830="", "", "Host-associated")</f>
        <v>0</v>
      </c>
      <c r="G830" s="1">
        <f>IF(B830="", "", "host-associated")</f>
        <v>0</v>
      </c>
      <c r="I830" s="1">
        <f>IF(B830="", "", "years")</f>
        <v>0</v>
      </c>
      <c r="L830" s="1">
        <f>IF(B830="", "", "cm")</f>
        <v>0</v>
      </c>
      <c r="P830" s="1">
        <f>IF(B830="", "", "kg")</f>
        <v>0</v>
      </c>
      <c r="R830" s="1">
        <f>IF(B830="", "", "Not applicable")</f>
        <v>0</v>
      </c>
    </row>
    <row r="831" spans="1:18">
      <c r="A831">
        <f>IF(COUNTBLANK(B831:R831)&lt;&gt;COLUMNS(B831:R831),830,"")</f>
        <v>0</v>
      </c>
      <c r="C831" s="1">
        <f>IF(B831="", "", "Host-associated")</f>
        <v>0</v>
      </c>
      <c r="G831" s="1">
        <f>IF(B831="", "", "host-associated")</f>
        <v>0</v>
      </c>
      <c r="I831" s="1">
        <f>IF(B831="", "", "years")</f>
        <v>0</v>
      </c>
      <c r="L831" s="1">
        <f>IF(B831="", "", "cm")</f>
        <v>0</v>
      </c>
      <c r="P831" s="1">
        <f>IF(B831="", "", "kg")</f>
        <v>0</v>
      </c>
      <c r="R831" s="1">
        <f>IF(B831="", "", "Not applicable")</f>
        <v>0</v>
      </c>
    </row>
    <row r="832" spans="1:18">
      <c r="A832">
        <f>IF(COUNTBLANK(B832:R832)&lt;&gt;COLUMNS(B832:R832),831,"")</f>
        <v>0</v>
      </c>
      <c r="C832" s="1">
        <f>IF(B832="", "", "Host-associated")</f>
        <v>0</v>
      </c>
      <c r="G832" s="1">
        <f>IF(B832="", "", "host-associated")</f>
        <v>0</v>
      </c>
      <c r="I832" s="1">
        <f>IF(B832="", "", "years")</f>
        <v>0</v>
      </c>
      <c r="L832" s="1">
        <f>IF(B832="", "", "cm")</f>
        <v>0</v>
      </c>
      <c r="P832" s="1">
        <f>IF(B832="", "", "kg")</f>
        <v>0</v>
      </c>
      <c r="R832" s="1">
        <f>IF(B832="", "", "Not applicable")</f>
        <v>0</v>
      </c>
    </row>
    <row r="833" spans="1:18">
      <c r="A833">
        <f>IF(COUNTBLANK(B833:R833)&lt;&gt;COLUMNS(B833:R833),832,"")</f>
        <v>0</v>
      </c>
      <c r="C833" s="1">
        <f>IF(B833="", "", "Host-associated")</f>
        <v>0</v>
      </c>
      <c r="G833" s="1">
        <f>IF(B833="", "", "host-associated")</f>
        <v>0</v>
      </c>
      <c r="I833" s="1">
        <f>IF(B833="", "", "years")</f>
        <v>0</v>
      </c>
      <c r="L833" s="1">
        <f>IF(B833="", "", "cm")</f>
        <v>0</v>
      </c>
      <c r="P833" s="1">
        <f>IF(B833="", "", "kg")</f>
        <v>0</v>
      </c>
      <c r="R833" s="1">
        <f>IF(B833="", "", "Not applicable")</f>
        <v>0</v>
      </c>
    </row>
    <row r="834" spans="1:18">
      <c r="A834">
        <f>IF(COUNTBLANK(B834:R834)&lt;&gt;COLUMNS(B834:R834),833,"")</f>
        <v>0</v>
      </c>
      <c r="C834" s="1">
        <f>IF(B834="", "", "Host-associated")</f>
        <v>0</v>
      </c>
      <c r="G834" s="1">
        <f>IF(B834="", "", "host-associated")</f>
        <v>0</v>
      </c>
      <c r="I834" s="1">
        <f>IF(B834="", "", "years")</f>
        <v>0</v>
      </c>
      <c r="L834" s="1">
        <f>IF(B834="", "", "cm")</f>
        <v>0</v>
      </c>
      <c r="P834" s="1">
        <f>IF(B834="", "", "kg")</f>
        <v>0</v>
      </c>
      <c r="R834" s="1">
        <f>IF(B834="", "", "Not applicable")</f>
        <v>0</v>
      </c>
    </row>
    <row r="835" spans="1:18">
      <c r="A835">
        <f>IF(COUNTBLANK(B835:R835)&lt;&gt;COLUMNS(B835:R835),834,"")</f>
        <v>0</v>
      </c>
      <c r="C835" s="1">
        <f>IF(B835="", "", "Host-associated")</f>
        <v>0</v>
      </c>
      <c r="G835" s="1">
        <f>IF(B835="", "", "host-associated")</f>
        <v>0</v>
      </c>
      <c r="I835" s="1">
        <f>IF(B835="", "", "years")</f>
        <v>0</v>
      </c>
      <c r="L835" s="1">
        <f>IF(B835="", "", "cm")</f>
        <v>0</v>
      </c>
      <c r="P835" s="1">
        <f>IF(B835="", "", "kg")</f>
        <v>0</v>
      </c>
      <c r="R835" s="1">
        <f>IF(B835="", "", "Not applicable")</f>
        <v>0</v>
      </c>
    </row>
    <row r="836" spans="1:18">
      <c r="A836">
        <f>IF(COUNTBLANK(B836:R836)&lt;&gt;COLUMNS(B836:R836),835,"")</f>
        <v>0</v>
      </c>
      <c r="C836" s="1">
        <f>IF(B836="", "", "Host-associated")</f>
        <v>0</v>
      </c>
      <c r="G836" s="1">
        <f>IF(B836="", "", "host-associated")</f>
        <v>0</v>
      </c>
      <c r="I836" s="1">
        <f>IF(B836="", "", "years")</f>
        <v>0</v>
      </c>
      <c r="L836" s="1">
        <f>IF(B836="", "", "cm")</f>
        <v>0</v>
      </c>
      <c r="P836" s="1">
        <f>IF(B836="", "", "kg")</f>
        <v>0</v>
      </c>
      <c r="R836" s="1">
        <f>IF(B836="", "", "Not applicable")</f>
        <v>0</v>
      </c>
    </row>
    <row r="837" spans="1:18">
      <c r="A837">
        <f>IF(COUNTBLANK(B837:R837)&lt;&gt;COLUMNS(B837:R837),836,"")</f>
        <v>0</v>
      </c>
      <c r="C837" s="1">
        <f>IF(B837="", "", "Host-associated")</f>
        <v>0</v>
      </c>
      <c r="G837" s="1">
        <f>IF(B837="", "", "host-associated")</f>
        <v>0</v>
      </c>
      <c r="I837" s="1">
        <f>IF(B837="", "", "years")</f>
        <v>0</v>
      </c>
      <c r="L837" s="1">
        <f>IF(B837="", "", "cm")</f>
        <v>0</v>
      </c>
      <c r="P837" s="1">
        <f>IF(B837="", "", "kg")</f>
        <v>0</v>
      </c>
      <c r="R837" s="1">
        <f>IF(B837="", "", "Not applicable")</f>
        <v>0</v>
      </c>
    </row>
    <row r="838" spans="1:18">
      <c r="A838">
        <f>IF(COUNTBLANK(B838:R838)&lt;&gt;COLUMNS(B838:R838),837,"")</f>
        <v>0</v>
      </c>
      <c r="C838" s="1">
        <f>IF(B838="", "", "Host-associated")</f>
        <v>0</v>
      </c>
      <c r="G838" s="1">
        <f>IF(B838="", "", "host-associated")</f>
        <v>0</v>
      </c>
      <c r="I838" s="1">
        <f>IF(B838="", "", "years")</f>
        <v>0</v>
      </c>
      <c r="L838" s="1">
        <f>IF(B838="", "", "cm")</f>
        <v>0</v>
      </c>
      <c r="P838" s="1">
        <f>IF(B838="", "", "kg")</f>
        <v>0</v>
      </c>
      <c r="R838" s="1">
        <f>IF(B838="", "", "Not applicable")</f>
        <v>0</v>
      </c>
    </row>
    <row r="839" spans="1:18">
      <c r="A839">
        <f>IF(COUNTBLANK(B839:R839)&lt;&gt;COLUMNS(B839:R839),838,"")</f>
        <v>0</v>
      </c>
      <c r="C839" s="1">
        <f>IF(B839="", "", "Host-associated")</f>
        <v>0</v>
      </c>
      <c r="G839" s="1">
        <f>IF(B839="", "", "host-associated")</f>
        <v>0</v>
      </c>
      <c r="I839" s="1">
        <f>IF(B839="", "", "years")</f>
        <v>0</v>
      </c>
      <c r="L839" s="1">
        <f>IF(B839="", "", "cm")</f>
        <v>0</v>
      </c>
      <c r="P839" s="1">
        <f>IF(B839="", "", "kg")</f>
        <v>0</v>
      </c>
      <c r="R839" s="1">
        <f>IF(B839="", "", "Not applicable")</f>
        <v>0</v>
      </c>
    </row>
    <row r="840" spans="1:18">
      <c r="A840">
        <f>IF(COUNTBLANK(B840:R840)&lt;&gt;COLUMNS(B840:R840),839,"")</f>
        <v>0</v>
      </c>
      <c r="C840" s="1">
        <f>IF(B840="", "", "Host-associated")</f>
        <v>0</v>
      </c>
      <c r="G840" s="1">
        <f>IF(B840="", "", "host-associated")</f>
        <v>0</v>
      </c>
      <c r="I840" s="1">
        <f>IF(B840="", "", "years")</f>
        <v>0</v>
      </c>
      <c r="L840" s="1">
        <f>IF(B840="", "", "cm")</f>
        <v>0</v>
      </c>
      <c r="P840" s="1">
        <f>IF(B840="", "", "kg")</f>
        <v>0</v>
      </c>
      <c r="R840" s="1">
        <f>IF(B840="", "", "Not applicable")</f>
        <v>0</v>
      </c>
    </row>
    <row r="841" spans="1:18">
      <c r="A841">
        <f>IF(COUNTBLANK(B841:R841)&lt;&gt;COLUMNS(B841:R841),840,"")</f>
        <v>0</v>
      </c>
      <c r="C841" s="1">
        <f>IF(B841="", "", "Host-associated")</f>
        <v>0</v>
      </c>
      <c r="G841" s="1">
        <f>IF(B841="", "", "host-associated")</f>
        <v>0</v>
      </c>
      <c r="I841" s="1">
        <f>IF(B841="", "", "years")</f>
        <v>0</v>
      </c>
      <c r="L841" s="1">
        <f>IF(B841="", "", "cm")</f>
        <v>0</v>
      </c>
      <c r="P841" s="1">
        <f>IF(B841="", "", "kg")</f>
        <v>0</v>
      </c>
      <c r="R841" s="1">
        <f>IF(B841="", "", "Not applicable")</f>
        <v>0</v>
      </c>
    </row>
    <row r="842" spans="1:18">
      <c r="A842">
        <f>IF(COUNTBLANK(B842:R842)&lt;&gt;COLUMNS(B842:R842),841,"")</f>
        <v>0</v>
      </c>
      <c r="C842" s="1">
        <f>IF(B842="", "", "Host-associated")</f>
        <v>0</v>
      </c>
      <c r="G842" s="1">
        <f>IF(B842="", "", "host-associated")</f>
        <v>0</v>
      </c>
      <c r="I842" s="1">
        <f>IF(B842="", "", "years")</f>
        <v>0</v>
      </c>
      <c r="L842" s="1">
        <f>IF(B842="", "", "cm")</f>
        <v>0</v>
      </c>
      <c r="P842" s="1">
        <f>IF(B842="", "", "kg")</f>
        <v>0</v>
      </c>
      <c r="R842" s="1">
        <f>IF(B842="", "", "Not applicable")</f>
        <v>0</v>
      </c>
    </row>
    <row r="843" spans="1:18">
      <c r="A843">
        <f>IF(COUNTBLANK(B843:R843)&lt;&gt;COLUMNS(B843:R843),842,"")</f>
        <v>0</v>
      </c>
      <c r="C843" s="1">
        <f>IF(B843="", "", "Host-associated")</f>
        <v>0</v>
      </c>
      <c r="G843" s="1">
        <f>IF(B843="", "", "host-associated")</f>
        <v>0</v>
      </c>
      <c r="I843" s="1">
        <f>IF(B843="", "", "years")</f>
        <v>0</v>
      </c>
      <c r="L843" s="1">
        <f>IF(B843="", "", "cm")</f>
        <v>0</v>
      </c>
      <c r="P843" s="1">
        <f>IF(B843="", "", "kg")</f>
        <v>0</v>
      </c>
      <c r="R843" s="1">
        <f>IF(B843="", "", "Not applicable")</f>
        <v>0</v>
      </c>
    </row>
    <row r="844" spans="1:18">
      <c r="A844">
        <f>IF(COUNTBLANK(B844:R844)&lt;&gt;COLUMNS(B844:R844),843,"")</f>
        <v>0</v>
      </c>
      <c r="C844" s="1">
        <f>IF(B844="", "", "Host-associated")</f>
        <v>0</v>
      </c>
      <c r="G844" s="1">
        <f>IF(B844="", "", "host-associated")</f>
        <v>0</v>
      </c>
      <c r="I844" s="1">
        <f>IF(B844="", "", "years")</f>
        <v>0</v>
      </c>
      <c r="L844" s="1">
        <f>IF(B844="", "", "cm")</f>
        <v>0</v>
      </c>
      <c r="P844" s="1">
        <f>IF(B844="", "", "kg")</f>
        <v>0</v>
      </c>
      <c r="R844" s="1">
        <f>IF(B844="", "", "Not applicable")</f>
        <v>0</v>
      </c>
    </row>
    <row r="845" spans="1:18">
      <c r="A845">
        <f>IF(COUNTBLANK(B845:R845)&lt;&gt;COLUMNS(B845:R845),844,"")</f>
        <v>0</v>
      </c>
      <c r="C845" s="1">
        <f>IF(B845="", "", "Host-associated")</f>
        <v>0</v>
      </c>
      <c r="G845" s="1">
        <f>IF(B845="", "", "host-associated")</f>
        <v>0</v>
      </c>
      <c r="I845" s="1">
        <f>IF(B845="", "", "years")</f>
        <v>0</v>
      </c>
      <c r="L845" s="1">
        <f>IF(B845="", "", "cm")</f>
        <v>0</v>
      </c>
      <c r="P845" s="1">
        <f>IF(B845="", "", "kg")</f>
        <v>0</v>
      </c>
      <c r="R845" s="1">
        <f>IF(B845="", "", "Not applicable")</f>
        <v>0</v>
      </c>
    </row>
    <row r="846" spans="1:18">
      <c r="A846">
        <f>IF(COUNTBLANK(B846:R846)&lt;&gt;COLUMNS(B846:R846),845,"")</f>
        <v>0</v>
      </c>
      <c r="C846" s="1">
        <f>IF(B846="", "", "Host-associated")</f>
        <v>0</v>
      </c>
      <c r="G846" s="1">
        <f>IF(B846="", "", "host-associated")</f>
        <v>0</v>
      </c>
      <c r="I846" s="1">
        <f>IF(B846="", "", "years")</f>
        <v>0</v>
      </c>
      <c r="L846" s="1">
        <f>IF(B846="", "", "cm")</f>
        <v>0</v>
      </c>
      <c r="P846" s="1">
        <f>IF(B846="", "", "kg")</f>
        <v>0</v>
      </c>
      <c r="R846" s="1">
        <f>IF(B846="", "", "Not applicable")</f>
        <v>0</v>
      </c>
    </row>
    <row r="847" spans="1:18">
      <c r="A847">
        <f>IF(COUNTBLANK(B847:R847)&lt;&gt;COLUMNS(B847:R847),846,"")</f>
        <v>0</v>
      </c>
      <c r="C847" s="1">
        <f>IF(B847="", "", "Host-associated")</f>
        <v>0</v>
      </c>
      <c r="G847" s="1">
        <f>IF(B847="", "", "host-associated")</f>
        <v>0</v>
      </c>
      <c r="I847" s="1">
        <f>IF(B847="", "", "years")</f>
        <v>0</v>
      </c>
      <c r="L847" s="1">
        <f>IF(B847="", "", "cm")</f>
        <v>0</v>
      </c>
      <c r="P847" s="1">
        <f>IF(B847="", "", "kg")</f>
        <v>0</v>
      </c>
      <c r="R847" s="1">
        <f>IF(B847="", "", "Not applicable")</f>
        <v>0</v>
      </c>
    </row>
    <row r="848" spans="1:18">
      <c r="A848">
        <f>IF(COUNTBLANK(B848:R848)&lt;&gt;COLUMNS(B848:R848),847,"")</f>
        <v>0</v>
      </c>
      <c r="C848" s="1">
        <f>IF(B848="", "", "Host-associated")</f>
        <v>0</v>
      </c>
      <c r="G848" s="1">
        <f>IF(B848="", "", "host-associated")</f>
        <v>0</v>
      </c>
      <c r="I848" s="1">
        <f>IF(B848="", "", "years")</f>
        <v>0</v>
      </c>
      <c r="L848" s="1">
        <f>IF(B848="", "", "cm")</f>
        <v>0</v>
      </c>
      <c r="P848" s="1">
        <f>IF(B848="", "", "kg")</f>
        <v>0</v>
      </c>
      <c r="R848" s="1">
        <f>IF(B848="", "", "Not applicable")</f>
        <v>0</v>
      </c>
    </row>
    <row r="849" spans="1:18">
      <c r="A849">
        <f>IF(COUNTBLANK(B849:R849)&lt;&gt;COLUMNS(B849:R849),848,"")</f>
        <v>0</v>
      </c>
      <c r="C849" s="1">
        <f>IF(B849="", "", "Host-associated")</f>
        <v>0</v>
      </c>
      <c r="G849" s="1">
        <f>IF(B849="", "", "host-associated")</f>
        <v>0</v>
      </c>
      <c r="I849" s="1">
        <f>IF(B849="", "", "years")</f>
        <v>0</v>
      </c>
      <c r="L849" s="1">
        <f>IF(B849="", "", "cm")</f>
        <v>0</v>
      </c>
      <c r="P849" s="1">
        <f>IF(B849="", "", "kg")</f>
        <v>0</v>
      </c>
      <c r="R849" s="1">
        <f>IF(B849="", "", "Not applicable")</f>
        <v>0</v>
      </c>
    </row>
    <row r="850" spans="1:18">
      <c r="A850">
        <f>IF(COUNTBLANK(B850:R850)&lt;&gt;COLUMNS(B850:R850),849,"")</f>
        <v>0</v>
      </c>
      <c r="C850" s="1">
        <f>IF(B850="", "", "Host-associated")</f>
        <v>0</v>
      </c>
      <c r="G850" s="1">
        <f>IF(B850="", "", "host-associated")</f>
        <v>0</v>
      </c>
      <c r="I850" s="1">
        <f>IF(B850="", "", "years")</f>
        <v>0</v>
      </c>
      <c r="L850" s="1">
        <f>IF(B850="", "", "cm")</f>
        <v>0</v>
      </c>
      <c r="P850" s="1">
        <f>IF(B850="", "", "kg")</f>
        <v>0</v>
      </c>
      <c r="R850" s="1">
        <f>IF(B850="", "", "Not applicable")</f>
        <v>0</v>
      </c>
    </row>
    <row r="851" spans="1:18">
      <c r="A851">
        <f>IF(COUNTBLANK(B851:R851)&lt;&gt;COLUMNS(B851:R851),850,"")</f>
        <v>0</v>
      </c>
      <c r="C851" s="1">
        <f>IF(B851="", "", "Host-associated")</f>
        <v>0</v>
      </c>
      <c r="G851" s="1">
        <f>IF(B851="", "", "host-associated")</f>
        <v>0</v>
      </c>
      <c r="I851" s="1">
        <f>IF(B851="", "", "years")</f>
        <v>0</v>
      </c>
      <c r="L851" s="1">
        <f>IF(B851="", "", "cm")</f>
        <v>0</v>
      </c>
      <c r="P851" s="1">
        <f>IF(B851="", "", "kg")</f>
        <v>0</v>
      </c>
      <c r="R851" s="1">
        <f>IF(B851="", "", "Not applicable")</f>
        <v>0</v>
      </c>
    </row>
    <row r="852" spans="1:18">
      <c r="A852">
        <f>IF(COUNTBLANK(B852:R852)&lt;&gt;COLUMNS(B852:R852),851,"")</f>
        <v>0</v>
      </c>
      <c r="C852" s="1">
        <f>IF(B852="", "", "Host-associated")</f>
        <v>0</v>
      </c>
      <c r="G852" s="1">
        <f>IF(B852="", "", "host-associated")</f>
        <v>0</v>
      </c>
      <c r="I852" s="1">
        <f>IF(B852="", "", "years")</f>
        <v>0</v>
      </c>
      <c r="L852" s="1">
        <f>IF(B852="", "", "cm")</f>
        <v>0</v>
      </c>
      <c r="P852" s="1">
        <f>IF(B852="", "", "kg")</f>
        <v>0</v>
      </c>
      <c r="R852" s="1">
        <f>IF(B852="", "", "Not applicable")</f>
        <v>0</v>
      </c>
    </row>
    <row r="853" spans="1:18">
      <c r="A853">
        <f>IF(COUNTBLANK(B853:R853)&lt;&gt;COLUMNS(B853:R853),852,"")</f>
        <v>0</v>
      </c>
      <c r="C853" s="1">
        <f>IF(B853="", "", "Host-associated")</f>
        <v>0</v>
      </c>
      <c r="G853" s="1">
        <f>IF(B853="", "", "host-associated")</f>
        <v>0</v>
      </c>
      <c r="I853" s="1">
        <f>IF(B853="", "", "years")</f>
        <v>0</v>
      </c>
      <c r="L853" s="1">
        <f>IF(B853="", "", "cm")</f>
        <v>0</v>
      </c>
      <c r="P853" s="1">
        <f>IF(B853="", "", "kg")</f>
        <v>0</v>
      </c>
      <c r="R853" s="1">
        <f>IF(B853="", "", "Not applicable")</f>
        <v>0</v>
      </c>
    </row>
    <row r="854" spans="1:18">
      <c r="A854">
        <f>IF(COUNTBLANK(B854:R854)&lt;&gt;COLUMNS(B854:R854),853,"")</f>
        <v>0</v>
      </c>
      <c r="C854" s="1">
        <f>IF(B854="", "", "Host-associated")</f>
        <v>0</v>
      </c>
      <c r="G854" s="1">
        <f>IF(B854="", "", "host-associated")</f>
        <v>0</v>
      </c>
      <c r="I854" s="1">
        <f>IF(B854="", "", "years")</f>
        <v>0</v>
      </c>
      <c r="L854" s="1">
        <f>IF(B854="", "", "cm")</f>
        <v>0</v>
      </c>
      <c r="P854" s="1">
        <f>IF(B854="", "", "kg")</f>
        <v>0</v>
      </c>
      <c r="R854" s="1">
        <f>IF(B854="", "", "Not applicable")</f>
        <v>0</v>
      </c>
    </row>
    <row r="855" spans="1:18">
      <c r="A855">
        <f>IF(COUNTBLANK(B855:R855)&lt;&gt;COLUMNS(B855:R855),854,"")</f>
        <v>0</v>
      </c>
      <c r="C855" s="1">
        <f>IF(B855="", "", "Host-associated")</f>
        <v>0</v>
      </c>
      <c r="G855" s="1">
        <f>IF(B855="", "", "host-associated")</f>
        <v>0</v>
      </c>
      <c r="I855" s="1">
        <f>IF(B855="", "", "years")</f>
        <v>0</v>
      </c>
      <c r="L855" s="1">
        <f>IF(B855="", "", "cm")</f>
        <v>0</v>
      </c>
      <c r="P855" s="1">
        <f>IF(B855="", "", "kg")</f>
        <v>0</v>
      </c>
      <c r="R855" s="1">
        <f>IF(B855="", "", "Not applicable")</f>
        <v>0</v>
      </c>
    </row>
    <row r="856" spans="1:18">
      <c r="A856">
        <f>IF(COUNTBLANK(B856:R856)&lt;&gt;COLUMNS(B856:R856),855,"")</f>
        <v>0</v>
      </c>
      <c r="C856" s="1">
        <f>IF(B856="", "", "Host-associated")</f>
        <v>0</v>
      </c>
      <c r="G856" s="1">
        <f>IF(B856="", "", "host-associated")</f>
        <v>0</v>
      </c>
      <c r="I856" s="1">
        <f>IF(B856="", "", "years")</f>
        <v>0</v>
      </c>
      <c r="L856" s="1">
        <f>IF(B856="", "", "cm")</f>
        <v>0</v>
      </c>
      <c r="P856" s="1">
        <f>IF(B856="", "", "kg")</f>
        <v>0</v>
      </c>
      <c r="R856" s="1">
        <f>IF(B856="", "", "Not applicable")</f>
        <v>0</v>
      </c>
    </row>
    <row r="857" spans="1:18">
      <c r="A857">
        <f>IF(COUNTBLANK(B857:R857)&lt;&gt;COLUMNS(B857:R857),856,"")</f>
        <v>0</v>
      </c>
      <c r="C857" s="1">
        <f>IF(B857="", "", "Host-associated")</f>
        <v>0</v>
      </c>
      <c r="G857" s="1">
        <f>IF(B857="", "", "host-associated")</f>
        <v>0</v>
      </c>
      <c r="I857" s="1">
        <f>IF(B857="", "", "years")</f>
        <v>0</v>
      </c>
      <c r="L857" s="1">
        <f>IF(B857="", "", "cm")</f>
        <v>0</v>
      </c>
      <c r="P857" s="1">
        <f>IF(B857="", "", "kg")</f>
        <v>0</v>
      </c>
      <c r="R857" s="1">
        <f>IF(B857="", "", "Not applicable")</f>
        <v>0</v>
      </c>
    </row>
    <row r="858" spans="1:18">
      <c r="A858">
        <f>IF(COUNTBLANK(B858:R858)&lt;&gt;COLUMNS(B858:R858),857,"")</f>
        <v>0</v>
      </c>
      <c r="C858" s="1">
        <f>IF(B858="", "", "Host-associated")</f>
        <v>0</v>
      </c>
      <c r="G858" s="1">
        <f>IF(B858="", "", "host-associated")</f>
        <v>0</v>
      </c>
      <c r="I858" s="1">
        <f>IF(B858="", "", "years")</f>
        <v>0</v>
      </c>
      <c r="L858" s="1">
        <f>IF(B858="", "", "cm")</f>
        <v>0</v>
      </c>
      <c r="P858" s="1">
        <f>IF(B858="", "", "kg")</f>
        <v>0</v>
      </c>
      <c r="R858" s="1">
        <f>IF(B858="", "", "Not applicable")</f>
        <v>0</v>
      </c>
    </row>
    <row r="859" spans="1:18">
      <c r="A859">
        <f>IF(COUNTBLANK(B859:R859)&lt;&gt;COLUMNS(B859:R859),858,"")</f>
        <v>0</v>
      </c>
      <c r="C859" s="1">
        <f>IF(B859="", "", "Host-associated")</f>
        <v>0</v>
      </c>
      <c r="G859" s="1">
        <f>IF(B859="", "", "host-associated")</f>
        <v>0</v>
      </c>
      <c r="I859" s="1">
        <f>IF(B859="", "", "years")</f>
        <v>0</v>
      </c>
      <c r="L859" s="1">
        <f>IF(B859="", "", "cm")</f>
        <v>0</v>
      </c>
      <c r="P859" s="1">
        <f>IF(B859="", "", "kg")</f>
        <v>0</v>
      </c>
      <c r="R859" s="1">
        <f>IF(B859="", "", "Not applicable")</f>
        <v>0</v>
      </c>
    </row>
    <row r="860" spans="1:18">
      <c r="A860">
        <f>IF(COUNTBLANK(B860:R860)&lt;&gt;COLUMNS(B860:R860),859,"")</f>
        <v>0</v>
      </c>
      <c r="C860" s="1">
        <f>IF(B860="", "", "Host-associated")</f>
        <v>0</v>
      </c>
      <c r="G860" s="1">
        <f>IF(B860="", "", "host-associated")</f>
        <v>0</v>
      </c>
      <c r="I860" s="1">
        <f>IF(B860="", "", "years")</f>
        <v>0</v>
      </c>
      <c r="L860" s="1">
        <f>IF(B860="", "", "cm")</f>
        <v>0</v>
      </c>
      <c r="P860" s="1">
        <f>IF(B860="", "", "kg")</f>
        <v>0</v>
      </c>
      <c r="R860" s="1">
        <f>IF(B860="", "", "Not applicable")</f>
        <v>0</v>
      </c>
    </row>
    <row r="861" spans="1:18">
      <c r="A861">
        <f>IF(COUNTBLANK(B861:R861)&lt;&gt;COLUMNS(B861:R861),860,"")</f>
        <v>0</v>
      </c>
      <c r="C861" s="1">
        <f>IF(B861="", "", "Host-associated")</f>
        <v>0</v>
      </c>
      <c r="G861" s="1">
        <f>IF(B861="", "", "host-associated")</f>
        <v>0</v>
      </c>
      <c r="I861" s="1">
        <f>IF(B861="", "", "years")</f>
        <v>0</v>
      </c>
      <c r="L861" s="1">
        <f>IF(B861="", "", "cm")</f>
        <v>0</v>
      </c>
      <c r="P861" s="1">
        <f>IF(B861="", "", "kg")</f>
        <v>0</v>
      </c>
      <c r="R861" s="1">
        <f>IF(B861="", "", "Not applicable")</f>
        <v>0</v>
      </c>
    </row>
    <row r="862" spans="1:18">
      <c r="A862">
        <f>IF(COUNTBLANK(B862:R862)&lt;&gt;COLUMNS(B862:R862),861,"")</f>
        <v>0</v>
      </c>
      <c r="C862" s="1">
        <f>IF(B862="", "", "Host-associated")</f>
        <v>0</v>
      </c>
      <c r="G862" s="1">
        <f>IF(B862="", "", "host-associated")</f>
        <v>0</v>
      </c>
      <c r="I862" s="1">
        <f>IF(B862="", "", "years")</f>
        <v>0</v>
      </c>
      <c r="L862" s="1">
        <f>IF(B862="", "", "cm")</f>
        <v>0</v>
      </c>
      <c r="P862" s="1">
        <f>IF(B862="", "", "kg")</f>
        <v>0</v>
      </c>
      <c r="R862" s="1">
        <f>IF(B862="", "", "Not applicable")</f>
        <v>0</v>
      </c>
    </row>
    <row r="863" spans="1:18">
      <c r="A863">
        <f>IF(COUNTBLANK(B863:R863)&lt;&gt;COLUMNS(B863:R863),862,"")</f>
        <v>0</v>
      </c>
      <c r="C863" s="1">
        <f>IF(B863="", "", "Host-associated")</f>
        <v>0</v>
      </c>
      <c r="G863" s="1">
        <f>IF(B863="", "", "host-associated")</f>
        <v>0</v>
      </c>
      <c r="I863" s="1">
        <f>IF(B863="", "", "years")</f>
        <v>0</v>
      </c>
      <c r="L863" s="1">
        <f>IF(B863="", "", "cm")</f>
        <v>0</v>
      </c>
      <c r="P863" s="1">
        <f>IF(B863="", "", "kg")</f>
        <v>0</v>
      </c>
      <c r="R863" s="1">
        <f>IF(B863="", "", "Not applicable")</f>
        <v>0</v>
      </c>
    </row>
    <row r="864" spans="1:18">
      <c r="A864">
        <f>IF(COUNTBLANK(B864:R864)&lt;&gt;COLUMNS(B864:R864),863,"")</f>
        <v>0</v>
      </c>
      <c r="C864" s="1">
        <f>IF(B864="", "", "Host-associated")</f>
        <v>0</v>
      </c>
      <c r="G864" s="1">
        <f>IF(B864="", "", "host-associated")</f>
        <v>0</v>
      </c>
      <c r="I864" s="1">
        <f>IF(B864="", "", "years")</f>
        <v>0</v>
      </c>
      <c r="L864" s="1">
        <f>IF(B864="", "", "cm")</f>
        <v>0</v>
      </c>
      <c r="P864" s="1">
        <f>IF(B864="", "", "kg")</f>
        <v>0</v>
      </c>
      <c r="R864" s="1">
        <f>IF(B864="", "", "Not applicable")</f>
        <v>0</v>
      </c>
    </row>
    <row r="865" spans="1:18">
      <c r="A865">
        <f>IF(COUNTBLANK(B865:R865)&lt;&gt;COLUMNS(B865:R865),864,"")</f>
        <v>0</v>
      </c>
      <c r="C865" s="1">
        <f>IF(B865="", "", "Host-associated")</f>
        <v>0</v>
      </c>
      <c r="G865" s="1">
        <f>IF(B865="", "", "host-associated")</f>
        <v>0</v>
      </c>
      <c r="I865" s="1">
        <f>IF(B865="", "", "years")</f>
        <v>0</v>
      </c>
      <c r="L865" s="1">
        <f>IF(B865="", "", "cm")</f>
        <v>0</v>
      </c>
      <c r="P865" s="1">
        <f>IF(B865="", "", "kg")</f>
        <v>0</v>
      </c>
      <c r="R865" s="1">
        <f>IF(B865="", "", "Not applicable")</f>
        <v>0</v>
      </c>
    </row>
    <row r="866" spans="1:18">
      <c r="A866">
        <f>IF(COUNTBLANK(B866:R866)&lt;&gt;COLUMNS(B866:R866),865,"")</f>
        <v>0</v>
      </c>
      <c r="C866" s="1">
        <f>IF(B866="", "", "Host-associated")</f>
        <v>0</v>
      </c>
      <c r="G866" s="1">
        <f>IF(B866="", "", "host-associated")</f>
        <v>0</v>
      </c>
      <c r="I866" s="1">
        <f>IF(B866="", "", "years")</f>
        <v>0</v>
      </c>
      <c r="L866" s="1">
        <f>IF(B866="", "", "cm")</f>
        <v>0</v>
      </c>
      <c r="P866" s="1">
        <f>IF(B866="", "", "kg")</f>
        <v>0</v>
      </c>
      <c r="R866" s="1">
        <f>IF(B866="", "", "Not applicable")</f>
        <v>0</v>
      </c>
    </row>
    <row r="867" spans="1:18">
      <c r="A867">
        <f>IF(COUNTBLANK(B867:R867)&lt;&gt;COLUMNS(B867:R867),866,"")</f>
        <v>0</v>
      </c>
      <c r="C867" s="1">
        <f>IF(B867="", "", "Host-associated")</f>
        <v>0</v>
      </c>
      <c r="G867" s="1">
        <f>IF(B867="", "", "host-associated")</f>
        <v>0</v>
      </c>
      <c r="I867" s="1">
        <f>IF(B867="", "", "years")</f>
        <v>0</v>
      </c>
      <c r="L867" s="1">
        <f>IF(B867="", "", "cm")</f>
        <v>0</v>
      </c>
      <c r="P867" s="1">
        <f>IF(B867="", "", "kg")</f>
        <v>0</v>
      </c>
      <c r="R867" s="1">
        <f>IF(B867="", "", "Not applicable")</f>
        <v>0</v>
      </c>
    </row>
    <row r="868" spans="1:18">
      <c r="A868">
        <f>IF(COUNTBLANK(B868:R868)&lt;&gt;COLUMNS(B868:R868),867,"")</f>
        <v>0</v>
      </c>
      <c r="C868" s="1">
        <f>IF(B868="", "", "Host-associated")</f>
        <v>0</v>
      </c>
      <c r="G868" s="1">
        <f>IF(B868="", "", "host-associated")</f>
        <v>0</v>
      </c>
      <c r="I868" s="1">
        <f>IF(B868="", "", "years")</f>
        <v>0</v>
      </c>
      <c r="L868" s="1">
        <f>IF(B868="", "", "cm")</f>
        <v>0</v>
      </c>
      <c r="P868" s="1">
        <f>IF(B868="", "", "kg")</f>
        <v>0</v>
      </c>
      <c r="R868" s="1">
        <f>IF(B868="", "", "Not applicable")</f>
        <v>0</v>
      </c>
    </row>
    <row r="869" spans="1:18">
      <c r="A869">
        <f>IF(COUNTBLANK(B869:R869)&lt;&gt;COLUMNS(B869:R869),868,"")</f>
        <v>0</v>
      </c>
      <c r="C869" s="1">
        <f>IF(B869="", "", "Host-associated")</f>
        <v>0</v>
      </c>
      <c r="G869" s="1">
        <f>IF(B869="", "", "host-associated")</f>
        <v>0</v>
      </c>
      <c r="I869" s="1">
        <f>IF(B869="", "", "years")</f>
        <v>0</v>
      </c>
      <c r="L869" s="1">
        <f>IF(B869="", "", "cm")</f>
        <v>0</v>
      </c>
      <c r="P869" s="1">
        <f>IF(B869="", "", "kg")</f>
        <v>0</v>
      </c>
      <c r="R869" s="1">
        <f>IF(B869="", "", "Not applicable")</f>
        <v>0</v>
      </c>
    </row>
    <row r="870" spans="1:18">
      <c r="A870">
        <f>IF(COUNTBLANK(B870:R870)&lt;&gt;COLUMNS(B870:R870),869,"")</f>
        <v>0</v>
      </c>
      <c r="C870" s="1">
        <f>IF(B870="", "", "Host-associated")</f>
        <v>0</v>
      </c>
      <c r="G870" s="1">
        <f>IF(B870="", "", "host-associated")</f>
        <v>0</v>
      </c>
      <c r="I870" s="1">
        <f>IF(B870="", "", "years")</f>
        <v>0</v>
      </c>
      <c r="L870" s="1">
        <f>IF(B870="", "", "cm")</f>
        <v>0</v>
      </c>
      <c r="P870" s="1">
        <f>IF(B870="", "", "kg")</f>
        <v>0</v>
      </c>
      <c r="R870" s="1">
        <f>IF(B870="", "", "Not applicable")</f>
        <v>0</v>
      </c>
    </row>
    <row r="871" spans="1:18">
      <c r="A871">
        <f>IF(COUNTBLANK(B871:R871)&lt;&gt;COLUMNS(B871:R871),870,"")</f>
        <v>0</v>
      </c>
      <c r="C871" s="1">
        <f>IF(B871="", "", "Host-associated")</f>
        <v>0</v>
      </c>
      <c r="G871" s="1">
        <f>IF(B871="", "", "host-associated")</f>
        <v>0</v>
      </c>
      <c r="I871" s="1">
        <f>IF(B871="", "", "years")</f>
        <v>0</v>
      </c>
      <c r="L871" s="1">
        <f>IF(B871="", "", "cm")</f>
        <v>0</v>
      </c>
      <c r="P871" s="1">
        <f>IF(B871="", "", "kg")</f>
        <v>0</v>
      </c>
      <c r="R871" s="1">
        <f>IF(B871="", "", "Not applicable")</f>
        <v>0</v>
      </c>
    </row>
    <row r="872" spans="1:18">
      <c r="A872">
        <f>IF(COUNTBLANK(B872:R872)&lt;&gt;COLUMNS(B872:R872),871,"")</f>
        <v>0</v>
      </c>
      <c r="C872" s="1">
        <f>IF(B872="", "", "Host-associated")</f>
        <v>0</v>
      </c>
      <c r="G872" s="1">
        <f>IF(B872="", "", "host-associated")</f>
        <v>0</v>
      </c>
      <c r="I872" s="1">
        <f>IF(B872="", "", "years")</f>
        <v>0</v>
      </c>
      <c r="L872" s="1">
        <f>IF(B872="", "", "cm")</f>
        <v>0</v>
      </c>
      <c r="P872" s="1">
        <f>IF(B872="", "", "kg")</f>
        <v>0</v>
      </c>
      <c r="R872" s="1">
        <f>IF(B872="", "", "Not applicable")</f>
        <v>0</v>
      </c>
    </row>
    <row r="873" spans="1:18">
      <c r="A873">
        <f>IF(COUNTBLANK(B873:R873)&lt;&gt;COLUMNS(B873:R873),872,"")</f>
        <v>0</v>
      </c>
      <c r="C873" s="1">
        <f>IF(B873="", "", "Host-associated")</f>
        <v>0</v>
      </c>
      <c r="G873" s="1">
        <f>IF(B873="", "", "host-associated")</f>
        <v>0</v>
      </c>
      <c r="I873" s="1">
        <f>IF(B873="", "", "years")</f>
        <v>0</v>
      </c>
      <c r="L873" s="1">
        <f>IF(B873="", "", "cm")</f>
        <v>0</v>
      </c>
      <c r="P873" s="1">
        <f>IF(B873="", "", "kg")</f>
        <v>0</v>
      </c>
      <c r="R873" s="1">
        <f>IF(B873="", "", "Not applicable")</f>
        <v>0</v>
      </c>
    </row>
    <row r="874" spans="1:18">
      <c r="A874">
        <f>IF(COUNTBLANK(B874:R874)&lt;&gt;COLUMNS(B874:R874),873,"")</f>
        <v>0</v>
      </c>
      <c r="C874" s="1">
        <f>IF(B874="", "", "Host-associated")</f>
        <v>0</v>
      </c>
      <c r="G874" s="1">
        <f>IF(B874="", "", "host-associated")</f>
        <v>0</v>
      </c>
      <c r="I874" s="1">
        <f>IF(B874="", "", "years")</f>
        <v>0</v>
      </c>
      <c r="L874" s="1">
        <f>IF(B874="", "", "cm")</f>
        <v>0</v>
      </c>
      <c r="P874" s="1">
        <f>IF(B874="", "", "kg")</f>
        <v>0</v>
      </c>
      <c r="R874" s="1">
        <f>IF(B874="", "", "Not applicable")</f>
        <v>0</v>
      </c>
    </row>
    <row r="875" spans="1:18">
      <c r="A875">
        <f>IF(COUNTBLANK(B875:R875)&lt;&gt;COLUMNS(B875:R875),874,"")</f>
        <v>0</v>
      </c>
      <c r="C875" s="1">
        <f>IF(B875="", "", "Host-associated")</f>
        <v>0</v>
      </c>
      <c r="G875" s="1">
        <f>IF(B875="", "", "host-associated")</f>
        <v>0</v>
      </c>
      <c r="I875" s="1">
        <f>IF(B875="", "", "years")</f>
        <v>0</v>
      </c>
      <c r="L875" s="1">
        <f>IF(B875="", "", "cm")</f>
        <v>0</v>
      </c>
      <c r="P875" s="1">
        <f>IF(B875="", "", "kg")</f>
        <v>0</v>
      </c>
      <c r="R875" s="1">
        <f>IF(B875="", "", "Not applicable")</f>
        <v>0</v>
      </c>
    </row>
    <row r="876" spans="1:18">
      <c r="A876">
        <f>IF(COUNTBLANK(B876:R876)&lt;&gt;COLUMNS(B876:R876),875,"")</f>
        <v>0</v>
      </c>
      <c r="C876" s="1">
        <f>IF(B876="", "", "Host-associated")</f>
        <v>0</v>
      </c>
      <c r="G876" s="1">
        <f>IF(B876="", "", "host-associated")</f>
        <v>0</v>
      </c>
      <c r="I876" s="1">
        <f>IF(B876="", "", "years")</f>
        <v>0</v>
      </c>
      <c r="L876" s="1">
        <f>IF(B876="", "", "cm")</f>
        <v>0</v>
      </c>
      <c r="P876" s="1">
        <f>IF(B876="", "", "kg")</f>
        <v>0</v>
      </c>
      <c r="R876" s="1">
        <f>IF(B876="", "", "Not applicable")</f>
        <v>0</v>
      </c>
    </row>
    <row r="877" spans="1:18">
      <c r="A877">
        <f>IF(COUNTBLANK(B877:R877)&lt;&gt;COLUMNS(B877:R877),876,"")</f>
        <v>0</v>
      </c>
      <c r="C877" s="1">
        <f>IF(B877="", "", "Host-associated")</f>
        <v>0</v>
      </c>
      <c r="G877" s="1">
        <f>IF(B877="", "", "host-associated")</f>
        <v>0</v>
      </c>
      <c r="I877" s="1">
        <f>IF(B877="", "", "years")</f>
        <v>0</v>
      </c>
      <c r="L877" s="1">
        <f>IF(B877="", "", "cm")</f>
        <v>0</v>
      </c>
      <c r="P877" s="1">
        <f>IF(B877="", "", "kg")</f>
        <v>0</v>
      </c>
      <c r="R877" s="1">
        <f>IF(B877="", "", "Not applicable")</f>
        <v>0</v>
      </c>
    </row>
    <row r="878" spans="1:18">
      <c r="A878">
        <f>IF(COUNTBLANK(B878:R878)&lt;&gt;COLUMNS(B878:R878),877,"")</f>
        <v>0</v>
      </c>
      <c r="C878" s="1">
        <f>IF(B878="", "", "Host-associated")</f>
        <v>0</v>
      </c>
      <c r="G878" s="1">
        <f>IF(B878="", "", "host-associated")</f>
        <v>0</v>
      </c>
      <c r="I878" s="1">
        <f>IF(B878="", "", "years")</f>
        <v>0</v>
      </c>
      <c r="L878" s="1">
        <f>IF(B878="", "", "cm")</f>
        <v>0</v>
      </c>
      <c r="P878" s="1">
        <f>IF(B878="", "", "kg")</f>
        <v>0</v>
      </c>
      <c r="R878" s="1">
        <f>IF(B878="", "", "Not applicable")</f>
        <v>0</v>
      </c>
    </row>
    <row r="879" spans="1:18">
      <c r="A879">
        <f>IF(COUNTBLANK(B879:R879)&lt;&gt;COLUMNS(B879:R879),878,"")</f>
        <v>0</v>
      </c>
      <c r="C879" s="1">
        <f>IF(B879="", "", "Host-associated")</f>
        <v>0</v>
      </c>
      <c r="G879" s="1">
        <f>IF(B879="", "", "host-associated")</f>
        <v>0</v>
      </c>
      <c r="I879" s="1">
        <f>IF(B879="", "", "years")</f>
        <v>0</v>
      </c>
      <c r="L879" s="1">
        <f>IF(B879="", "", "cm")</f>
        <v>0</v>
      </c>
      <c r="P879" s="1">
        <f>IF(B879="", "", "kg")</f>
        <v>0</v>
      </c>
      <c r="R879" s="1">
        <f>IF(B879="", "", "Not applicable")</f>
        <v>0</v>
      </c>
    </row>
    <row r="880" spans="1:18">
      <c r="A880">
        <f>IF(COUNTBLANK(B880:R880)&lt;&gt;COLUMNS(B880:R880),879,"")</f>
        <v>0</v>
      </c>
      <c r="C880" s="1">
        <f>IF(B880="", "", "Host-associated")</f>
        <v>0</v>
      </c>
      <c r="G880" s="1">
        <f>IF(B880="", "", "host-associated")</f>
        <v>0</v>
      </c>
      <c r="I880" s="1">
        <f>IF(B880="", "", "years")</f>
        <v>0</v>
      </c>
      <c r="L880" s="1">
        <f>IF(B880="", "", "cm")</f>
        <v>0</v>
      </c>
      <c r="P880" s="1">
        <f>IF(B880="", "", "kg")</f>
        <v>0</v>
      </c>
      <c r="R880" s="1">
        <f>IF(B880="", "", "Not applicable")</f>
        <v>0</v>
      </c>
    </row>
    <row r="881" spans="1:18">
      <c r="A881">
        <f>IF(COUNTBLANK(B881:R881)&lt;&gt;COLUMNS(B881:R881),880,"")</f>
        <v>0</v>
      </c>
      <c r="C881" s="1">
        <f>IF(B881="", "", "Host-associated")</f>
        <v>0</v>
      </c>
      <c r="G881" s="1">
        <f>IF(B881="", "", "host-associated")</f>
        <v>0</v>
      </c>
      <c r="I881" s="1">
        <f>IF(B881="", "", "years")</f>
        <v>0</v>
      </c>
      <c r="L881" s="1">
        <f>IF(B881="", "", "cm")</f>
        <v>0</v>
      </c>
      <c r="P881" s="1">
        <f>IF(B881="", "", "kg")</f>
        <v>0</v>
      </c>
      <c r="R881" s="1">
        <f>IF(B881="", "", "Not applicable")</f>
        <v>0</v>
      </c>
    </row>
    <row r="882" spans="1:18">
      <c r="A882">
        <f>IF(COUNTBLANK(B882:R882)&lt;&gt;COLUMNS(B882:R882),881,"")</f>
        <v>0</v>
      </c>
      <c r="C882" s="1">
        <f>IF(B882="", "", "Host-associated")</f>
        <v>0</v>
      </c>
      <c r="G882" s="1">
        <f>IF(B882="", "", "host-associated")</f>
        <v>0</v>
      </c>
      <c r="I882" s="1">
        <f>IF(B882="", "", "years")</f>
        <v>0</v>
      </c>
      <c r="L882" s="1">
        <f>IF(B882="", "", "cm")</f>
        <v>0</v>
      </c>
      <c r="P882" s="1">
        <f>IF(B882="", "", "kg")</f>
        <v>0</v>
      </c>
      <c r="R882" s="1">
        <f>IF(B882="", "", "Not applicable")</f>
        <v>0</v>
      </c>
    </row>
    <row r="883" spans="1:18">
      <c r="A883">
        <f>IF(COUNTBLANK(B883:R883)&lt;&gt;COLUMNS(B883:R883),882,"")</f>
        <v>0</v>
      </c>
      <c r="C883" s="1">
        <f>IF(B883="", "", "Host-associated")</f>
        <v>0</v>
      </c>
      <c r="G883" s="1">
        <f>IF(B883="", "", "host-associated")</f>
        <v>0</v>
      </c>
      <c r="I883" s="1">
        <f>IF(B883="", "", "years")</f>
        <v>0</v>
      </c>
      <c r="L883" s="1">
        <f>IF(B883="", "", "cm")</f>
        <v>0</v>
      </c>
      <c r="P883" s="1">
        <f>IF(B883="", "", "kg")</f>
        <v>0</v>
      </c>
      <c r="R883" s="1">
        <f>IF(B883="", "", "Not applicable")</f>
        <v>0</v>
      </c>
    </row>
    <row r="884" spans="1:18">
      <c r="A884">
        <f>IF(COUNTBLANK(B884:R884)&lt;&gt;COLUMNS(B884:R884),883,"")</f>
        <v>0</v>
      </c>
      <c r="C884" s="1">
        <f>IF(B884="", "", "Host-associated")</f>
        <v>0</v>
      </c>
      <c r="G884" s="1">
        <f>IF(B884="", "", "host-associated")</f>
        <v>0</v>
      </c>
      <c r="I884" s="1">
        <f>IF(B884="", "", "years")</f>
        <v>0</v>
      </c>
      <c r="L884" s="1">
        <f>IF(B884="", "", "cm")</f>
        <v>0</v>
      </c>
      <c r="P884" s="1">
        <f>IF(B884="", "", "kg")</f>
        <v>0</v>
      </c>
      <c r="R884" s="1">
        <f>IF(B884="", "", "Not applicable")</f>
        <v>0</v>
      </c>
    </row>
    <row r="885" spans="1:18">
      <c r="A885">
        <f>IF(COUNTBLANK(B885:R885)&lt;&gt;COLUMNS(B885:R885),884,"")</f>
        <v>0</v>
      </c>
      <c r="C885" s="1">
        <f>IF(B885="", "", "Host-associated")</f>
        <v>0</v>
      </c>
      <c r="G885" s="1">
        <f>IF(B885="", "", "host-associated")</f>
        <v>0</v>
      </c>
      <c r="I885" s="1">
        <f>IF(B885="", "", "years")</f>
        <v>0</v>
      </c>
      <c r="L885" s="1">
        <f>IF(B885="", "", "cm")</f>
        <v>0</v>
      </c>
      <c r="P885" s="1">
        <f>IF(B885="", "", "kg")</f>
        <v>0</v>
      </c>
      <c r="R885" s="1">
        <f>IF(B885="", "", "Not applicable")</f>
        <v>0</v>
      </c>
    </row>
    <row r="886" spans="1:18">
      <c r="A886">
        <f>IF(COUNTBLANK(B886:R886)&lt;&gt;COLUMNS(B886:R886),885,"")</f>
        <v>0</v>
      </c>
      <c r="C886" s="1">
        <f>IF(B886="", "", "Host-associated")</f>
        <v>0</v>
      </c>
      <c r="G886" s="1">
        <f>IF(B886="", "", "host-associated")</f>
        <v>0</v>
      </c>
      <c r="I886" s="1">
        <f>IF(B886="", "", "years")</f>
        <v>0</v>
      </c>
      <c r="L886" s="1">
        <f>IF(B886="", "", "cm")</f>
        <v>0</v>
      </c>
      <c r="P886" s="1">
        <f>IF(B886="", "", "kg")</f>
        <v>0</v>
      </c>
      <c r="R886" s="1">
        <f>IF(B886="", "", "Not applicable")</f>
        <v>0</v>
      </c>
    </row>
    <row r="887" spans="1:18">
      <c r="A887">
        <f>IF(COUNTBLANK(B887:R887)&lt;&gt;COLUMNS(B887:R887),886,"")</f>
        <v>0</v>
      </c>
      <c r="C887" s="1">
        <f>IF(B887="", "", "Host-associated")</f>
        <v>0</v>
      </c>
      <c r="G887" s="1">
        <f>IF(B887="", "", "host-associated")</f>
        <v>0</v>
      </c>
      <c r="I887" s="1">
        <f>IF(B887="", "", "years")</f>
        <v>0</v>
      </c>
      <c r="L887" s="1">
        <f>IF(B887="", "", "cm")</f>
        <v>0</v>
      </c>
      <c r="P887" s="1">
        <f>IF(B887="", "", "kg")</f>
        <v>0</v>
      </c>
      <c r="R887" s="1">
        <f>IF(B887="", "", "Not applicable")</f>
        <v>0</v>
      </c>
    </row>
    <row r="888" spans="1:18">
      <c r="A888">
        <f>IF(COUNTBLANK(B888:R888)&lt;&gt;COLUMNS(B888:R888),887,"")</f>
        <v>0</v>
      </c>
      <c r="C888" s="1">
        <f>IF(B888="", "", "Host-associated")</f>
        <v>0</v>
      </c>
      <c r="G888" s="1">
        <f>IF(B888="", "", "host-associated")</f>
        <v>0</v>
      </c>
      <c r="I888" s="1">
        <f>IF(B888="", "", "years")</f>
        <v>0</v>
      </c>
      <c r="L888" s="1">
        <f>IF(B888="", "", "cm")</f>
        <v>0</v>
      </c>
      <c r="P888" s="1">
        <f>IF(B888="", "", "kg")</f>
        <v>0</v>
      </c>
      <c r="R888" s="1">
        <f>IF(B888="", "", "Not applicable")</f>
        <v>0</v>
      </c>
    </row>
    <row r="889" spans="1:18">
      <c r="A889">
        <f>IF(COUNTBLANK(B889:R889)&lt;&gt;COLUMNS(B889:R889),888,"")</f>
        <v>0</v>
      </c>
      <c r="C889" s="1">
        <f>IF(B889="", "", "Host-associated")</f>
        <v>0</v>
      </c>
      <c r="G889" s="1">
        <f>IF(B889="", "", "host-associated")</f>
        <v>0</v>
      </c>
      <c r="I889" s="1">
        <f>IF(B889="", "", "years")</f>
        <v>0</v>
      </c>
      <c r="L889" s="1">
        <f>IF(B889="", "", "cm")</f>
        <v>0</v>
      </c>
      <c r="P889" s="1">
        <f>IF(B889="", "", "kg")</f>
        <v>0</v>
      </c>
      <c r="R889" s="1">
        <f>IF(B889="", "", "Not applicable")</f>
        <v>0</v>
      </c>
    </row>
    <row r="890" spans="1:18">
      <c r="A890">
        <f>IF(COUNTBLANK(B890:R890)&lt;&gt;COLUMNS(B890:R890),889,"")</f>
        <v>0</v>
      </c>
      <c r="C890" s="1">
        <f>IF(B890="", "", "Host-associated")</f>
        <v>0</v>
      </c>
      <c r="G890" s="1">
        <f>IF(B890="", "", "host-associated")</f>
        <v>0</v>
      </c>
      <c r="I890" s="1">
        <f>IF(B890="", "", "years")</f>
        <v>0</v>
      </c>
      <c r="L890" s="1">
        <f>IF(B890="", "", "cm")</f>
        <v>0</v>
      </c>
      <c r="P890" s="1">
        <f>IF(B890="", "", "kg")</f>
        <v>0</v>
      </c>
      <c r="R890" s="1">
        <f>IF(B890="", "", "Not applicable")</f>
        <v>0</v>
      </c>
    </row>
    <row r="891" spans="1:18">
      <c r="A891">
        <f>IF(COUNTBLANK(B891:R891)&lt;&gt;COLUMNS(B891:R891),890,"")</f>
        <v>0</v>
      </c>
      <c r="C891" s="1">
        <f>IF(B891="", "", "Host-associated")</f>
        <v>0</v>
      </c>
      <c r="G891" s="1">
        <f>IF(B891="", "", "host-associated")</f>
        <v>0</v>
      </c>
      <c r="I891" s="1">
        <f>IF(B891="", "", "years")</f>
        <v>0</v>
      </c>
      <c r="L891" s="1">
        <f>IF(B891="", "", "cm")</f>
        <v>0</v>
      </c>
      <c r="P891" s="1">
        <f>IF(B891="", "", "kg")</f>
        <v>0</v>
      </c>
      <c r="R891" s="1">
        <f>IF(B891="", "", "Not applicable")</f>
        <v>0</v>
      </c>
    </row>
    <row r="892" spans="1:18">
      <c r="A892">
        <f>IF(COUNTBLANK(B892:R892)&lt;&gt;COLUMNS(B892:R892),891,"")</f>
        <v>0</v>
      </c>
      <c r="C892" s="1">
        <f>IF(B892="", "", "Host-associated")</f>
        <v>0</v>
      </c>
      <c r="G892" s="1">
        <f>IF(B892="", "", "host-associated")</f>
        <v>0</v>
      </c>
      <c r="I892" s="1">
        <f>IF(B892="", "", "years")</f>
        <v>0</v>
      </c>
      <c r="L892" s="1">
        <f>IF(B892="", "", "cm")</f>
        <v>0</v>
      </c>
      <c r="P892" s="1">
        <f>IF(B892="", "", "kg")</f>
        <v>0</v>
      </c>
      <c r="R892" s="1">
        <f>IF(B892="", "", "Not applicable")</f>
        <v>0</v>
      </c>
    </row>
    <row r="893" spans="1:18">
      <c r="A893">
        <f>IF(COUNTBLANK(B893:R893)&lt;&gt;COLUMNS(B893:R893),892,"")</f>
        <v>0</v>
      </c>
      <c r="C893" s="1">
        <f>IF(B893="", "", "Host-associated")</f>
        <v>0</v>
      </c>
      <c r="G893" s="1">
        <f>IF(B893="", "", "host-associated")</f>
        <v>0</v>
      </c>
      <c r="I893" s="1">
        <f>IF(B893="", "", "years")</f>
        <v>0</v>
      </c>
      <c r="L893" s="1">
        <f>IF(B893="", "", "cm")</f>
        <v>0</v>
      </c>
      <c r="P893" s="1">
        <f>IF(B893="", "", "kg")</f>
        <v>0</v>
      </c>
      <c r="R893" s="1">
        <f>IF(B893="", "", "Not applicable")</f>
        <v>0</v>
      </c>
    </row>
    <row r="894" spans="1:18">
      <c r="A894">
        <f>IF(COUNTBLANK(B894:R894)&lt;&gt;COLUMNS(B894:R894),893,"")</f>
        <v>0</v>
      </c>
      <c r="C894" s="1">
        <f>IF(B894="", "", "Host-associated")</f>
        <v>0</v>
      </c>
      <c r="G894" s="1">
        <f>IF(B894="", "", "host-associated")</f>
        <v>0</v>
      </c>
      <c r="I894" s="1">
        <f>IF(B894="", "", "years")</f>
        <v>0</v>
      </c>
      <c r="L894" s="1">
        <f>IF(B894="", "", "cm")</f>
        <v>0</v>
      </c>
      <c r="P894" s="1">
        <f>IF(B894="", "", "kg")</f>
        <v>0</v>
      </c>
      <c r="R894" s="1">
        <f>IF(B894="", "", "Not applicable")</f>
        <v>0</v>
      </c>
    </row>
    <row r="895" spans="1:18">
      <c r="A895">
        <f>IF(COUNTBLANK(B895:R895)&lt;&gt;COLUMNS(B895:R895),894,"")</f>
        <v>0</v>
      </c>
      <c r="C895" s="1">
        <f>IF(B895="", "", "Host-associated")</f>
        <v>0</v>
      </c>
      <c r="G895" s="1">
        <f>IF(B895="", "", "host-associated")</f>
        <v>0</v>
      </c>
      <c r="I895" s="1">
        <f>IF(B895="", "", "years")</f>
        <v>0</v>
      </c>
      <c r="L895" s="1">
        <f>IF(B895="", "", "cm")</f>
        <v>0</v>
      </c>
      <c r="P895" s="1">
        <f>IF(B895="", "", "kg")</f>
        <v>0</v>
      </c>
      <c r="R895" s="1">
        <f>IF(B895="", "", "Not applicable")</f>
        <v>0</v>
      </c>
    </row>
    <row r="896" spans="1:18">
      <c r="A896">
        <f>IF(COUNTBLANK(B896:R896)&lt;&gt;COLUMNS(B896:R896),895,"")</f>
        <v>0</v>
      </c>
      <c r="C896" s="1">
        <f>IF(B896="", "", "Host-associated")</f>
        <v>0</v>
      </c>
      <c r="G896" s="1">
        <f>IF(B896="", "", "host-associated")</f>
        <v>0</v>
      </c>
      <c r="I896" s="1">
        <f>IF(B896="", "", "years")</f>
        <v>0</v>
      </c>
      <c r="L896" s="1">
        <f>IF(B896="", "", "cm")</f>
        <v>0</v>
      </c>
      <c r="P896" s="1">
        <f>IF(B896="", "", "kg")</f>
        <v>0</v>
      </c>
      <c r="R896" s="1">
        <f>IF(B896="", "", "Not applicable")</f>
        <v>0</v>
      </c>
    </row>
    <row r="897" spans="1:18">
      <c r="A897">
        <f>IF(COUNTBLANK(B897:R897)&lt;&gt;COLUMNS(B897:R897),896,"")</f>
        <v>0</v>
      </c>
      <c r="C897" s="1">
        <f>IF(B897="", "", "Host-associated")</f>
        <v>0</v>
      </c>
      <c r="G897" s="1">
        <f>IF(B897="", "", "host-associated")</f>
        <v>0</v>
      </c>
      <c r="I897" s="1">
        <f>IF(B897="", "", "years")</f>
        <v>0</v>
      </c>
      <c r="L897" s="1">
        <f>IF(B897="", "", "cm")</f>
        <v>0</v>
      </c>
      <c r="P897" s="1">
        <f>IF(B897="", "", "kg")</f>
        <v>0</v>
      </c>
      <c r="R897" s="1">
        <f>IF(B897="", "", "Not applicable")</f>
        <v>0</v>
      </c>
    </row>
    <row r="898" spans="1:18">
      <c r="A898">
        <f>IF(COUNTBLANK(B898:R898)&lt;&gt;COLUMNS(B898:R898),897,"")</f>
        <v>0</v>
      </c>
      <c r="C898" s="1">
        <f>IF(B898="", "", "Host-associated")</f>
        <v>0</v>
      </c>
      <c r="G898" s="1">
        <f>IF(B898="", "", "host-associated")</f>
        <v>0</v>
      </c>
      <c r="I898" s="1">
        <f>IF(B898="", "", "years")</f>
        <v>0</v>
      </c>
      <c r="L898" s="1">
        <f>IF(B898="", "", "cm")</f>
        <v>0</v>
      </c>
      <c r="P898" s="1">
        <f>IF(B898="", "", "kg")</f>
        <v>0</v>
      </c>
      <c r="R898" s="1">
        <f>IF(B898="", "", "Not applicable")</f>
        <v>0</v>
      </c>
    </row>
    <row r="899" spans="1:18">
      <c r="A899">
        <f>IF(COUNTBLANK(B899:R899)&lt;&gt;COLUMNS(B899:R899),898,"")</f>
        <v>0</v>
      </c>
      <c r="C899" s="1">
        <f>IF(B899="", "", "Host-associated")</f>
        <v>0</v>
      </c>
      <c r="G899" s="1">
        <f>IF(B899="", "", "host-associated")</f>
        <v>0</v>
      </c>
      <c r="I899" s="1">
        <f>IF(B899="", "", "years")</f>
        <v>0</v>
      </c>
      <c r="L899" s="1">
        <f>IF(B899="", "", "cm")</f>
        <v>0</v>
      </c>
      <c r="P899" s="1">
        <f>IF(B899="", "", "kg")</f>
        <v>0</v>
      </c>
      <c r="R899" s="1">
        <f>IF(B899="", "", "Not applicable")</f>
        <v>0</v>
      </c>
    </row>
    <row r="900" spans="1:18">
      <c r="A900">
        <f>IF(COUNTBLANK(B900:R900)&lt;&gt;COLUMNS(B900:R900),899,"")</f>
        <v>0</v>
      </c>
      <c r="C900" s="1">
        <f>IF(B900="", "", "Host-associated")</f>
        <v>0</v>
      </c>
      <c r="G900" s="1">
        <f>IF(B900="", "", "host-associated")</f>
        <v>0</v>
      </c>
      <c r="I900" s="1">
        <f>IF(B900="", "", "years")</f>
        <v>0</v>
      </c>
      <c r="L900" s="1">
        <f>IF(B900="", "", "cm")</f>
        <v>0</v>
      </c>
      <c r="P900" s="1">
        <f>IF(B900="", "", "kg")</f>
        <v>0</v>
      </c>
      <c r="R900" s="1">
        <f>IF(B900="", "", "Not applicable")</f>
        <v>0</v>
      </c>
    </row>
    <row r="901" spans="1:18">
      <c r="A901">
        <f>IF(COUNTBLANK(B901:R901)&lt;&gt;COLUMNS(B901:R901),900,"")</f>
        <v>0</v>
      </c>
      <c r="C901" s="1">
        <f>IF(B901="", "", "Host-associated")</f>
        <v>0</v>
      </c>
      <c r="G901" s="1">
        <f>IF(B901="", "", "host-associated")</f>
        <v>0</v>
      </c>
      <c r="I901" s="1">
        <f>IF(B901="", "", "years")</f>
        <v>0</v>
      </c>
      <c r="L901" s="1">
        <f>IF(B901="", "", "cm")</f>
        <v>0</v>
      </c>
      <c r="P901" s="1">
        <f>IF(B901="", "", "kg")</f>
        <v>0</v>
      </c>
      <c r="R901" s="1">
        <f>IF(B901="", "", "Not applicable")</f>
        <v>0</v>
      </c>
    </row>
    <row r="902" spans="1:18">
      <c r="A902">
        <f>IF(COUNTBLANK(B902:R902)&lt;&gt;COLUMNS(B902:R902),901,"")</f>
        <v>0</v>
      </c>
      <c r="C902" s="1">
        <f>IF(B902="", "", "Host-associated")</f>
        <v>0</v>
      </c>
      <c r="G902" s="1">
        <f>IF(B902="", "", "host-associated")</f>
        <v>0</v>
      </c>
      <c r="I902" s="1">
        <f>IF(B902="", "", "years")</f>
        <v>0</v>
      </c>
      <c r="L902" s="1">
        <f>IF(B902="", "", "cm")</f>
        <v>0</v>
      </c>
      <c r="P902" s="1">
        <f>IF(B902="", "", "kg")</f>
        <v>0</v>
      </c>
      <c r="R902" s="1">
        <f>IF(B902="", "", "Not applicable")</f>
        <v>0</v>
      </c>
    </row>
    <row r="903" spans="1:18">
      <c r="A903">
        <f>IF(COUNTBLANK(B903:R903)&lt;&gt;COLUMNS(B903:R903),902,"")</f>
        <v>0</v>
      </c>
      <c r="C903" s="1">
        <f>IF(B903="", "", "Host-associated")</f>
        <v>0</v>
      </c>
      <c r="G903" s="1">
        <f>IF(B903="", "", "host-associated")</f>
        <v>0</v>
      </c>
      <c r="I903" s="1">
        <f>IF(B903="", "", "years")</f>
        <v>0</v>
      </c>
      <c r="L903" s="1">
        <f>IF(B903="", "", "cm")</f>
        <v>0</v>
      </c>
      <c r="P903" s="1">
        <f>IF(B903="", "", "kg")</f>
        <v>0</v>
      </c>
      <c r="R903" s="1">
        <f>IF(B903="", "", "Not applicable")</f>
        <v>0</v>
      </c>
    </row>
    <row r="904" spans="1:18">
      <c r="A904">
        <f>IF(COUNTBLANK(B904:R904)&lt;&gt;COLUMNS(B904:R904),903,"")</f>
        <v>0</v>
      </c>
      <c r="C904" s="1">
        <f>IF(B904="", "", "Host-associated")</f>
        <v>0</v>
      </c>
      <c r="G904" s="1">
        <f>IF(B904="", "", "host-associated")</f>
        <v>0</v>
      </c>
      <c r="I904" s="1">
        <f>IF(B904="", "", "years")</f>
        <v>0</v>
      </c>
      <c r="L904" s="1">
        <f>IF(B904="", "", "cm")</f>
        <v>0</v>
      </c>
      <c r="P904" s="1">
        <f>IF(B904="", "", "kg")</f>
        <v>0</v>
      </c>
      <c r="R904" s="1">
        <f>IF(B904="", "", "Not applicable")</f>
        <v>0</v>
      </c>
    </row>
    <row r="905" spans="1:18">
      <c r="A905">
        <f>IF(COUNTBLANK(B905:R905)&lt;&gt;COLUMNS(B905:R905),904,"")</f>
        <v>0</v>
      </c>
      <c r="C905" s="1">
        <f>IF(B905="", "", "Host-associated")</f>
        <v>0</v>
      </c>
      <c r="G905" s="1">
        <f>IF(B905="", "", "host-associated")</f>
        <v>0</v>
      </c>
      <c r="I905" s="1">
        <f>IF(B905="", "", "years")</f>
        <v>0</v>
      </c>
      <c r="L905" s="1">
        <f>IF(B905="", "", "cm")</f>
        <v>0</v>
      </c>
      <c r="P905" s="1">
        <f>IF(B905="", "", "kg")</f>
        <v>0</v>
      </c>
      <c r="R905" s="1">
        <f>IF(B905="", "", "Not applicable")</f>
        <v>0</v>
      </c>
    </row>
    <row r="906" spans="1:18">
      <c r="A906">
        <f>IF(COUNTBLANK(B906:R906)&lt;&gt;COLUMNS(B906:R906),905,"")</f>
        <v>0</v>
      </c>
      <c r="C906" s="1">
        <f>IF(B906="", "", "Host-associated")</f>
        <v>0</v>
      </c>
      <c r="G906" s="1">
        <f>IF(B906="", "", "host-associated")</f>
        <v>0</v>
      </c>
      <c r="I906" s="1">
        <f>IF(B906="", "", "years")</f>
        <v>0</v>
      </c>
      <c r="L906" s="1">
        <f>IF(B906="", "", "cm")</f>
        <v>0</v>
      </c>
      <c r="P906" s="1">
        <f>IF(B906="", "", "kg")</f>
        <v>0</v>
      </c>
      <c r="R906" s="1">
        <f>IF(B906="", "", "Not applicable")</f>
        <v>0</v>
      </c>
    </row>
    <row r="907" spans="1:18">
      <c r="A907">
        <f>IF(COUNTBLANK(B907:R907)&lt;&gt;COLUMNS(B907:R907),906,"")</f>
        <v>0</v>
      </c>
      <c r="C907" s="1">
        <f>IF(B907="", "", "Host-associated")</f>
        <v>0</v>
      </c>
      <c r="G907" s="1">
        <f>IF(B907="", "", "host-associated")</f>
        <v>0</v>
      </c>
      <c r="I907" s="1">
        <f>IF(B907="", "", "years")</f>
        <v>0</v>
      </c>
      <c r="L907" s="1">
        <f>IF(B907="", "", "cm")</f>
        <v>0</v>
      </c>
      <c r="P907" s="1">
        <f>IF(B907="", "", "kg")</f>
        <v>0</v>
      </c>
      <c r="R907" s="1">
        <f>IF(B907="", "", "Not applicable")</f>
        <v>0</v>
      </c>
    </row>
    <row r="908" spans="1:18">
      <c r="A908">
        <f>IF(COUNTBLANK(B908:R908)&lt;&gt;COLUMNS(B908:R908),907,"")</f>
        <v>0</v>
      </c>
      <c r="C908" s="1">
        <f>IF(B908="", "", "Host-associated")</f>
        <v>0</v>
      </c>
      <c r="G908" s="1">
        <f>IF(B908="", "", "host-associated")</f>
        <v>0</v>
      </c>
      <c r="I908" s="1">
        <f>IF(B908="", "", "years")</f>
        <v>0</v>
      </c>
      <c r="L908" s="1">
        <f>IF(B908="", "", "cm")</f>
        <v>0</v>
      </c>
      <c r="P908" s="1">
        <f>IF(B908="", "", "kg")</f>
        <v>0</v>
      </c>
      <c r="R908" s="1">
        <f>IF(B908="", "", "Not applicable")</f>
        <v>0</v>
      </c>
    </row>
    <row r="909" spans="1:18">
      <c r="A909">
        <f>IF(COUNTBLANK(B909:R909)&lt;&gt;COLUMNS(B909:R909),908,"")</f>
        <v>0</v>
      </c>
      <c r="C909" s="1">
        <f>IF(B909="", "", "Host-associated")</f>
        <v>0</v>
      </c>
      <c r="G909" s="1">
        <f>IF(B909="", "", "host-associated")</f>
        <v>0</v>
      </c>
      <c r="I909" s="1">
        <f>IF(B909="", "", "years")</f>
        <v>0</v>
      </c>
      <c r="L909" s="1">
        <f>IF(B909="", "", "cm")</f>
        <v>0</v>
      </c>
      <c r="P909" s="1">
        <f>IF(B909="", "", "kg")</f>
        <v>0</v>
      </c>
      <c r="R909" s="1">
        <f>IF(B909="", "", "Not applicable")</f>
        <v>0</v>
      </c>
    </row>
    <row r="910" spans="1:18">
      <c r="A910">
        <f>IF(COUNTBLANK(B910:R910)&lt;&gt;COLUMNS(B910:R910),909,"")</f>
        <v>0</v>
      </c>
      <c r="C910" s="1">
        <f>IF(B910="", "", "Host-associated")</f>
        <v>0</v>
      </c>
      <c r="G910" s="1">
        <f>IF(B910="", "", "host-associated")</f>
        <v>0</v>
      </c>
      <c r="I910" s="1">
        <f>IF(B910="", "", "years")</f>
        <v>0</v>
      </c>
      <c r="L910" s="1">
        <f>IF(B910="", "", "cm")</f>
        <v>0</v>
      </c>
      <c r="P910" s="1">
        <f>IF(B910="", "", "kg")</f>
        <v>0</v>
      </c>
      <c r="R910" s="1">
        <f>IF(B910="", "", "Not applicable")</f>
        <v>0</v>
      </c>
    </row>
    <row r="911" spans="1:18">
      <c r="A911">
        <f>IF(COUNTBLANK(B911:R911)&lt;&gt;COLUMNS(B911:R911),910,"")</f>
        <v>0</v>
      </c>
      <c r="C911" s="1">
        <f>IF(B911="", "", "Host-associated")</f>
        <v>0</v>
      </c>
      <c r="G911" s="1">
        <f>IF(B911="", "", "host-associated")</f>
        <v>0</v>
      </c>
      <c r="I911" s="1">
        <f>IF(B911="", "", "years")</f>
        <v>0</v>
      </c>
      <c r="L911" s="1">
        <f>IF(B911="", "", "cm")</f>
        <v>0</v>
      </c>
      <c r="P911" s="1">
        <f>IF(B911="", "", "kg")</f>
        <v>0</v>
      </c>
      <c r="R911" s="1">
        <f>IF(B911="", "", "Not applicable")</f>
        <v>0</v>
      </c>
    </row>
    <row r="912" spans="1:18">
      <c r="A912">
        <f>IF(COUNTBLANK(B912:R912)&lt;&gt;COLUMNS(B912:R912),911,"")</f>
        <v>0</v>
      </c>
      <c r="C912" s="1">
        <f>IF(B912="", "", "Host-associated")</f>
        <v>0</v>
      </c>
      <c r="G912" s="1">
        <f>IF(B912="", "", "host-associated")</f>
        <v>0</v>
      </c>
      <c r="I912" s="1">
        <f>IF(B912="", "", "years")</f>
        <v>0</v>
      </c>
      <c r="L912" s="1">
        <f>IF(B912="", "", "cm")</f>
        <v>0</v>
      </c>
      <c r="P912" s="1">
        <f>IF(B912="", "", "kg")</f>
        <v>0</v>
      </c>
      <c r="R912" s="1">
        <f>IF(B912="", "", "Not applicable")</f>
        <v>0</v>
      </c>
    </row>
    <row r="913" spans="1:18">
      <c r="A913">
        <f>IF(COUNTBLANK(B913:R913)&lt;&gt;COLUMNS(B913:R913),912,"")</f>
        <v>0</v>
      </c>
      <c r="C913" s="1">
        <f>IF(B913="", "", "Host-associated")</f>
        <v>0</v>
      </c>
      <c r="G913" s="1">
        <f>IF(B913="", "", "host-associated")</f>
        <v>0</v>
      </c>
      <c r="I913" s="1">
        <f>IF(B913="", "", "years")</f>
        <v>0</v>
      </c>
      <c r="L913" s="1">
        <f>IF(B913="", "", "cm")</f>
        <v>0</v>
      </c>
      <c r="P913" s="1">
        <f>IF(B913="", "", "kg")</f>
        <v>0</v>
      </c>
      <c r="R913" s="1">
        <f>IF(B913="", "", "Not applicable")</f>
        <v>0</v>
      </c>
    </row>
    <row r="914" spans="1:18">
      <c r="A914">
        <f>IF(COUNTBLANK(B914:R914)&lt;&gt;COLUMNS(B914:R914),913,"")</f>
        <v>0</v>
      </c>
      <c r="C914" s="1">
        <f>IF(B914="", "", "Host-associated")</f>
        <v>0</v>
      </c>
      <c r="G914" s="1">
        <f>IF(B914="", "", "host-associated")</f>
        <v>0</v>
      </c>
      <c r="I914" s="1">
        <f>IF(B914="", "", "years")</f>
        <v>0</v>
      </c>
      <c r="L914" s="1">
        <f>IF(B914="", "", "cm")</f>
        <v>0</v>
      </c>
      <c r="P914" s="1">
        <f>IF(B914="", "", "kg")</f>
        <v>0</v>
      </c>
      <c r="R914" s="1">
        <f>IF(B914="", "", "Not applicable")</f>
        <v>0</v>
      </c>
    </row>
    <row r="915" spans="1:18">
      <c r="A915">
        <f>IF(COUNTBLANK(B915:R915)&lt;&gt;COLUMNS(B915:R915),914,"")</f>
        <v>0</v>
      </c>
      <c r="C915" s="1">
        <f>IF(B915="", "", "Host-associated")</f>
        <v>0</v>
      </c>
      <c r="G915" s="1">
        <f>IF(B915="", "", "host-associated")</f>
        <v>0</v>
      </c>
      <c r="I915" s="1">
        <f>IF(B915="", "", "years")</f>
        <v>0</v>
      </c>
      <c r="L915" s="1">
        <f>IF(B915="", "", "cm")</f>
        <v>0</v>
      </c>
      <c r="P915" s="1">
        <f>IF(B915="", "", "kg")</f>
        <v>0</v>
      </c>
      <c r="R915" s="1">
        <f>IF(B915="", "", "Not applicable")</f>
        <v>0</v>
      </c>
    </row>
    <row r="916" spans="1:18">
      <c r="A916">
        <f>IF(COUNTBLANK(B916:R916)&lt;&gt;COLUMNS(B916:R916),915,"")</f>
        <v>0</v>
      </c>
      <c r="C916" s="1">
        <f>IF(B916="", "", "Host-associated")</f>
        <v>0</v>
      </c>
      <c r="G916" s="1">
        <f>IF(B916="", "", "host-associated")</f>
        <v>0</v>
      </c>
      <c r="I916" s="1">
        <f>IF(B916="", "", "years")</f>
        <v>0</v>
      </c>
      <c r="L916" s="1">
        <f>IF(B916="", "", "cm")</f>
        <v>0</v>
      </c>
      <c r="P916" s="1">
        <f>IF(B916="", "", "kg")</f>
        <v>0</v>
      </c>
      <c r="R916" s="1">
        <f>IF(B916="", "", "Not applicable")</f>
        <v>0</v>
      </c>
    </row>
    <row r="917" spans="1:18">
      <c r="A917">
        <f>IF(COUNTBLANK(B917:R917)&lt;&gt;COLUMNS(B917:R917),916,"")</f>
        <v>0</v>
      </c>
      <c r="C917" s="1">
        <f>IF(B917="", "", "Host-associated")</f>
        <v>0</v>
      </c>
      <c r="G917" s="1">
        <f>IF(B917="", "", "host-associated")</f>
        <v>0</v>
      </c>
      <c r="I917" s="1">
        <f>IF(B917="", "", "years")</f>
        <v>0</v>
      </c>
      <c r="L917" s="1">
        <f>IF(B917="", "", "cm")</f>
        <v>0</v>
      </c>
      <c r="P917" s="1">
        <f>IF(B917="", "", "kg")</f>
        <v>0</v>
      </c>
      <c r="R917" s="1">
        <f>IF(B917="", "", "Not applicable")</f>
        <v>0</v>
      </c>
    </row>
    <row r="918" spans="1:18">
      <c r="A918">
        <f>IF(COUNTBLANK(B918:R918)&lt;&gt;COLUMNS(B918:R918),917,"")</f>
        <v>0</v>
      </c>
      <c r="C918" s="1">
        <f>IF(B918="", "", "Host-associated")</f>
        <v>0</v>
      </c>
      <c r="G918" s="1">
        <f>IF(B918="", "", "host-associated")</f>
        <v>0</v>
      </c>
      <c r="I918" s="1">
        <f>IF(B918="", "", "years")</f>
        <v>0</v>
      </c>
      <c r="L918" s="1">
        <f>IF(B918="", "", "cm")</f>
        <v>0</v>
      </c>
      <c r="P918" s="1">
        <f>IF(B918="", "", "kg")</f>
        <v>0</v>
      </c>
      <c r="R918" s="1">
        <f>IF(B918="", "", "Not applicable")</f>
        <v>0</v>
      </c>
    </row>
    <row r="919" spans="1:18">
      <c r="A919">
        <f>IF(COUNTBLANK(B919:R919)&lt;&gt;COLUMNS(B919:R919),918,"")</f>
        <v>0</v>
      </c>
      <c r="C919" s="1">
        <f>IF(B919="", "", "Host-associated")</f>
        <v>0</v>
      </c>
      <c r="G919" s="1">
        <f>IF(B919="", "", "host-associated")</f>
        <v>0</v>
      </c>
      <c r="I919" s="1">
        <f>IF(B919="", "", "years")</f>
        <v>0</v>
      </c>
      <c r="L919" s="1">
        <f>IF(B919="", "", "cm")</f>
        <v>0</v>
      </c>
      <c r="P919" s="1">
        <f>IF(B919="", "", "kg")</f>
        <v>0</v>
      </c>
      <c r="R919" s="1">
        <f>IF(B919="", "", "Not applicable")</f>
        <v>0</v>
      </c>
    </row>
    <row r="920" spans="1:18">
      <c r="A920">
        <f>IF(COUNTBLANK(B920:R920)&lt;&gt;COLUMNS(B920:R920),919,"")</f>
        <v>0</v>
      </c>
      <c r="C920" s="1">
        <f>IF(B920="", "", "Host-associated")</f>
        <v>0</v>
      </c>
      <c r="G920" s="1">
        <f>IF(B920="", "", "host-associated")</f>
        <v>0</v>
      </c>
      <c r="I920" s="1">
        <f>IF(B920="", "", "years")</f>
        <v>0</v>
      </c>
      <c r="L920" s="1">
        <f>IF(B920="", "", "cm")</f>
        <v>0</v>
      </c>
      <c r="P920" s="1">
        <f>IF(B920="", "", "kg")</f>
        <v>0</v>
      </c>
      <c r="R920" s="1">
        <f>IF(B920="", "", "Not applicable")</f>
        <v>0</v>
      </c>
    </row>
    <row r="921" spans="1:18">
      <c r="A921">
        <f>IF(COUNTBLANK(B921:R921)&lt;&gt;COLUMNS(B921:R921),920,"")</f>
        <v>0</v>
      </c>
      <c r="C921" s="1">
        <f>IF(B921="", "", "Host-associated")</f>
        <v>0</v>
      </c>
      <c r="G921" s="1">
        <f>IF(B921="", "", "host-associated")</f>
        <v>0</v>
      </c>
      <c r="I921" s="1">
        <f>IF(B921="", "", "years")</f>
        <v>0</v>
      </c>
      <c r="L921" s="1">
        <f>IF(B921="", "", "cm")</f>
        <v>0</v>
      </c>
      <c r="P921" s="1">
        <f>IF(B921="", "", "kg")</f>
        <v>0</v>
      </c>
      <c r="R921" s="1">
        <f>IF(B921="", "", "Not applicable")</f>
        <v>0</v>
      </c>
    </row>
    <row r="922" spans="1:18">
      <c r="A922">
        <f>IF(COUNTBLANK(B922:R922)&lt;&gt;COLUMNS(B922:R922),921,"")</f>
        <v>0</v>
      </c>
      <c r="C922" s="1">
        <f>IF(B922="", "", "Host-associated")</f>
        <v>0</v>
      </c>
      <c r="G922" s="1">
        <f>IF(B922="", "", "host-associated")</f>
        <v>0</v>
      </c>
      <c r="I922" s="1">
        <f>IF(B922="", "", "years")</f>
        <v>0</v>
      </c>
      <c r="L922" s="1">
        <f>IF(B922="", "", "cm")</f>
        <v>0</v>
      </c>
      <c r="P922" s="1">
        <f>IF(B922="", "", "kg")</f>
        <v>0</v>
      </c>
      <c r="R922" s="1">
        <f>IF(B922="", "", "Not applicable")</f>
        <v>0</v>
      </c>
    </row>
    <row r="923" spans="1:18">
      <c r="A923">
        <f>IF(COUNTBLANK(B923:R923)&lt;&gt;COLUMNS(B923:R923),922,"")</f>
        <v>0</v>
      </c>
      <c r="C923" s="1">
        <f>IF(B923="", "", "Host-associated")</f>
        <v>0</v>
      </c>
      <c r="G923" s="1">
        <f>IF(B923="", "", "host-associated")</f>
        <v>0</v>
      </c>
      <c r="I923" s="1">
        <f>IF(B923="", "", "years")</f>
        <v>0</v>
      </c>
      <c r="L923" s="1">
        <f>IF(B923="", "", "cm")</f>
        <v>0</v>
      </c>
      <c r="P923" s="1">
        <f>IF(B923="", "", "kg")</f>
        <v>0</v>
      </c>
      <c r="R923" s="1">
        <f>IF(B923="", "", "Not applicable")</f>
        <v>0</v>
      </c>
    </row>
    <row r="924" spans="1:18">
      <c r="A924">
        <f>IF(COUNTBLANK(B924:R924)&lt;&gt;COLUMNS(B924:R924),923,"")</f>
        <v>0</v>
      </c>
      <c r="C924" s="1">
        <f>IF(B924="", "", "Host-associated")</f>
        <v>0</v>
      </c>
      <c r="G924" s="1">
        <f>IF(B924="", "", "host-associated")</f>
        <v>0</v>
      </c>
      <c r="I924" s="1">
        <f>IF(B924="", "", "years")</f>
        <v>0</v>
      </c>
      <c r="L924" s="1">
        <f>IF(B924="", "", "cm")</f>
        <v>0</v>
      </c>
      <c r="P924" s="1">
        <f>IF(B924="", "", "kg")</f>
        <v>0</v>
      </c>
      <c r="R924" s="1">
        <f>IF(B924="", "", "Not applicable")</f>
        <v>0</v>
      </c>
    </row>
    <row r="925" spans="1:18">
      <c r="A925">
        <f>IF(COUNTBLANK(B925:R925)&lt;&gt;COLUMNS(B925:R925),924,"")</f>
        <v>0</v>
      </c>
      <c r="C925" s="1">
        <f>IF(B925="", "", "Host-associated")</f>
        <v>0</v>
      </c>
      <c r="G925" s="1">
        <f>IF(B925="", "", "host-associated")</f>
        <v>0</v>
      </c>
      <c r="I925" s="1">
        <f>IF(B925="", "", "years")</f>
        <v>0</v>
      </c>
      <c r="L925" s="1">
        <f>IF(B925="", "", "cm")</f>
        <v>0</v>
      </c>
      <c r="P925" s="1">
        <f>IF(B925="", "", "kg")</f>
        <v>0</v>
      </c>
      <c r="R925" s="1">
        <f>IF(B925="", "", "Not applicable")</f>
        <v>0</v>
      </c>
    </row>
    <row r="926" spans="1:18">
      <c r="A926">
        <f>IF(COUNTBLANK(B926:R926)&lt;&gt;COLUMNS(B926:R926),925,"")</f>
        <v>0</v>
      </c>
      <c r="C926" s="1">
        <f>IF(B926="", "", "Host-associated")</f>
        <v>0</v>
      </c>
      <c r="G926" s="1">
        <f>IF(B926="", "", "host-associated")</f>
        <v>0</v>
      </c>
      <c r="I926" s="1">
        <f>IF(B926="", "", "years")</f>
        <v>0</v>
      </c>
      <c r="L926" s="1">
        <f>IF(B926="", "", "cm")</f>
        <v>0</v>
      </c>
      <c r="P926" s="1">
        <f>IF(B926="", "", "kg")</f>
        <v>0</v>
      </c>
      <c r="R926" s="1">
        <f>IF(B926="", "", "Not applicable")</f>
        <v>0</v>
      </c>
    </row>
    <row r="927" spans="1:18">
      <c r="A927">
        <f>IF(COUNTBLANK(B927:R927)&lt;&gt;COLUMNS(B927:R927),926,"")</f>
        <v>0</v>
      </c>
      <c r="C927" s="1">
        <f>IF(B927="", "", "Host-associated")</f>
        <v>0</v>
      </c>
      <c r="G927" s="1">
        <f>IF(B927="", "", "host-associated")</f>
        <v>0</v>
      </c>
      <c r="I927" s="1">
        <f>IF(B927="", "", "years")</f>
        <v>0</v>
      </c>
      <c r="L927" s="1">
        <f>IF(B927="", "", "cm")</f>
        <v>0</v>
      </c>
      <c r="P927" s="1">
        <f>IF(B927="", "", "kg")</f>
        <v>0</v>
      </c>
      <c r="R927" s="1">
        <f>IF(B927="", "", "Not applicable")</f>
        <v>0</v>
      </c>
    </row>
    <row r="928" spans="1:18">
      <c r="A928">
        <f>IF(COUNTBLANK(B928:R928)&lt;&gt;COLUMNS(B928:R928),927,"")</f>
        <v>0</v>
      </c>
      <c r="C928" s="1">
        <f>IF(B928="", "", "Host-associated")</f>
        <v>0</v>
      </c>
      <c r="G928" s="1">
        <f>IF(B928="", "", "host-associated")</f>
        <v>0</v>
      </c>
      <c r="I928" s="1">
        <f>IF(B928="", "", "years")</f>
        <v>0</v>
      </c>
      <c r="L928" s="1">
        <f>IF(B928="", "", "cm")</f>
        <v>0</v>
      </c>
      <c r="P928" s="1">
        <f>IF(B928="", "", "kg")</f>
        <v>0</v>
      </c>
      <c r="R928" s="1">
        <f>IF(B928="", "", "Not applicable")</f>
        <v>0</v>
      </c>
    </row>
    <row r="929" spans="1:18">
      <c r="A929">
        <f>IF(COUNTBLANK(B929:R929)&lt;&gt;COLUMNS(B929:R929),928,"")</f>
        <v>0</v>
      </c>
      <c r="C929" s="1">
        <f>IF(B929="", "", "Host-associated")</f>
        <v>0</v>
      </c>
      <c r="G929" s="1">
        <f>IF(B929="", "", "host-associated")</f>
        <v>0</v>
      </c>
      <c r="I929" s="1">
        <f>IF(B929="", "", "years")</f>
        <v>0</v>
      </c>
      <c r="L929" s="1">
        <f>IF(B929="", "", "cm")</f>
        <v>0</v>
      </c>
      <c r="P929" s="1">
        <f>IF(B929="", "", "kg")</f>
        <v>0</v>
      </c>
      <c r="R929" s="1">
        <f>IF(B929="", "", "Not applicable")</f>
        <v>0</v>
      </c>
    </row>
    <row r="930" spans="1:18">
      <c r="A930">
        <f>IF(COUNTBLANK(B930:R930)&lt;&gt;COLUMNS(B930:R930),929,"")</f>
        <v>0</v>
      </c>
      <c r="C930" s="1">
        <f>IF(B930="", "", "Host-associated")</f>
        <v>0</v>
      </c>
      <c r="G930" s="1">
        <f>IF(B930="", "", "host-associated")</f>
        <v>0</v>
      </c>
      <c r="I930" s="1">
        <f>IF(B930="", "", "years")</f>
        <v>0</v>
      </c>
      <c r="L930" s="1">
        <f>IF(B930="", "", "cm")</f>
        <v>0</v>
      </c>
      <c r="P930" s="1">
        <f>IF(B930="", "", "kg")</f>
        <v>0</v>
      </c>
      <c r="R930" s="1">
        <f>IF(B930="", "", "Not applicable")</f>
        <v>0</v>
      </c>
    </row>
    <row r="931" spans="1:18">
      <c r="A931">
        <f>IF(COUNTBLANK(B931:R931)&lt;&gt;COLUMNS(B931:R931),930,"")</f>
        <v>0</v>
      </c>
      <c r="C931" s="1">
        <f>IF(B931="", "", "Host-associated")</f>
        <v>0</v>
      </c>
      <c r="G931" s="1">
        <f>IF(B931="", "", "host-associated")</f>
        <v>0</v>
      </c>
      <c r="I931" s="1">
        <f>IF(B931="", "", "years")</f>
        <v>0</v>
      </c>
      <c r="L931" s="1">
        <f>IF(B931="", "", "cm")</f>
        <v>0</v>
      </c>
      <c r="P931" s="1">
        <f>IF(B931="", "", "kg")</f>
        <v>0</v>
      </c>
      <c r="R931" s="1">
        <f>IF(B931="", "", "Not applicable")</f>
        <v>0</v>
      </c>
    </row>
    <row r="932" spans="1:18">
      <c r="A932">
        <f>IF(COUNTBLANK(B932:R932)&lt;&gt;COLUMNS(B932:R932),931,"")</f>
        <v>0</v>
      </c>
      <c r="C932" s="1">
        <f>IF(B932="", "", "Host-associated")</f>
        <v>0</v>
      </c>
      <c r="G932" s="1">
        <f>IF(B932="", "", "host-associated")</f>
        <v>0</v>
      </c>
      <c r="I932" s="1">
        <f>IF(B932="", "", "years")</f>
        <v>0</v>
      </c>
      <c r="L932" s="1">
        <f>IF(B932="", "", "cm")</f>
        <v>0</v>
      </c>
      <c r="P932" s="1">
        <f>IF(B932="", "", "kg")</f>
        <v>0</v>
      </c>
      <c r="R932" s="1">
        <f>IF(B932="", "", "Not applicable")</f>
        <v>0</v>
      </c>
    </row>
    <row r="933" spans="1:18">
      <c r="A933">
        <f>IF(COUNTBLANK(B933:R933)&lt;&gt;COLUMNS(B933:R933),932,"")</f>
        <v>0</v>
      </c>
      <c r="C933" s="1">
        <f>IF(B933="", "", "Host-associated")</f>
        <v>0</v>
      </c>
      <c r="G933" s="1">
        <f>IF(B933="", "", "host-associated")</f>
        <v>0</v>
      </c>
      <c r="I933" s="1">
        <f>IF(B933="", "", "years")</f>
        <v>0</v>
      </c>
      <c r="L933" s="1">
        <f>IF(B933="", "", "cm")</f>
        <v>0</v>
      </c>
      <c r="P933" s="1">
        <f>IF(B933="", "", "kg")</f>
        <v>0</v>
      </c>
      <c r="R933" s="1">
        <f>IF(B933="", "", "Not applicable")</f>
        <v>0</v>
      </c>
    </row>
    <row r="934" spans="1:18">
      <c r="A934">
        <f>IF(COUNTBLANK(B934:R934)&lt;&gt;COLUMNS(B934:R934),933,"")</f>
        <v>0</v>
      </c>
      <c r="C934" s="1">
        <f>IF(B934="", "", "Host-associated")</f>
        <v>0</v>
      </c>
      <c r="G934" s="1">
        <f>IF(B934="", "", "host-associated")</f>
        <v>0</v>
      </c>
      <c r="I934" s="1">
        <f>IF(B934="", "", "years")</f>
        <v>0</v>
      </c>
      <c r="L934" s="1">
        <f>IF(B934="", "", "cm")</f>
        <v>0</v>
      </c>
      <c r="P934" s="1">
        <f>IF(B934="", "", "kg")</f>
        <v>0</v>
      </c>
      <c r="R934" s="1">
        <f>IF(B934="", "", "Not applicable")</f>
        <v>0</v>
      </c>
    </row>
    <row r="935" spans="1:18">
      <c r="A935">
        <f>IF(COUNTBLANK(B935:R935)&lt;&gt;COLUMNS(B935:R935),934,"")</f>
        <v>0</v>
      </c>
      <c r="C935" s="1">
        <f>IF(B935="", "", "Host-associated")</f>
        <v>0</v>
      </c>
      <c r="G935" s="1">
        <f>IF(B935="", "", "host-associated")</f>
        <v>0</v>
      </c>
      <c r="I935" s="1">
        <f>IF(B935="", "", "years")</f>
        <v>0</v>
      </c>
      <c r="L935" s="1">
        <f>IF(B935="", "", "cm")</f>
        <v>0</v>
      </c>
      <c r="P935" s="1">
        <f>IF(B935="", "", "kg")</f>
        <v>0</v>
      </c>
      <c r="R935" s="1">
        <f>IF(B935="", "", "Not applicable")</f>
        <v>0</v>
      </c>
    </row>
    <row r="936" spans="1:18">
      <c r="A936">
        <f>IF(COUNTBLANK(B936:R936)&lt;&gt;COLUMNS(B936:R936),935,"")</f>
        <v>0</v>
      </c>
      <c r="C936" s="1">
        <f>IF(B936="", "", "Host-associated")</f>
        <v>0</v>
      </c>
      <c r="G936" s="1">
        <f>IF(B936="", "", "host-associated")</f>
        <v>0</v>
      </c>
      <c r="I936" s="1">
        <f>IF(B936="", "", "years")</f>
        <v>0</v>
      </c>
      <c r="L936" s="1">
        <f>IF(B936="", "", "cm")</f>
        <v>0</v>
      </c>
      <c r="P936" s="1">
        <f>IF(B936="", "", "kg")</f>
        <v>0</v>
      </c>
      <c r="R936" s="1">
        <f>IF(B936="", "", "Not applicable")</f>
        <v>0</v>
      </c>
    </row>
    <row r="937" spans="1:18">
      <c r="A937">
        <f>IF(COUNTBLANK(B937:R937)&lt;&gt;COLUMNS(B937:R937),936,"")</f>
        <v>0</v>
      </c>
      <c r="C937" s="1">
        <f>IF(B937="", "", "Host-associated")</f>
        <v>0</v>
      </c>
      <c r="G937" s="1">
        <f>IF(B937="", "", "host-associated")</f>
        <v>0</v>
      </c>
      <c r="I937" s="1">
        <f>IF(B937="", "", "years")</f>
        <v>0</v>
      </c>
      <c r="L937" s="1">
        <f>IF(B937="", "", "cm")</f>
        <v>0</v>
      </c>
      <c r="P937" s="1">
        <f>IF(B937="", "", "kg")</f>
        <v>0</v>
      </c>
      <c r="R937" s="1">
        <f>IF(B937="", "", "Not applicable")</f>
        <v>0</v>
      </c>
    </row>
    <row r="938" spans="1:18">
      <c r="A938">
        <f>IF(COUNTBLANK(B938:R938)&lt;&gt;COLUMNS(B938:R938),937,"")</f>
        <v>0</v>
      </c>
      <c r="C938" s="1">
        <f>IF(B938="", "", "Host-associated")</f>
        <v>0</v>
      </c>
      <c r="G938" s="1">
        <f>IF(B938="", "", "host-associated")</f>
        <v>0</v>
      </c>
      <c r="I938" s="1">
        <f>IF(B938="", "", "years")</f>
        <v>0</v>
      </c>
      <c r="L938" s="1">
        <f>IF(B938="", "", "cm")</f>
        <v>0</v>
      </c>
      <c r="P938" s="1">
        <f>IF(B938="", "", "kg")</f>
        <v>0</v>
      </c>
      <c r="R938" s="1">
        <f>IF(B938="", "", "Not applicable")</f>
        <v>0</v>
      </c>
    </row>
    <row r="939" spans="1:18">
      <c r="A939">
        <f>IF(COUNTBLANK(B939:R939)&lt;&gt;COLUMNS(B939:R939),938,"")</f>
        <v>0</v>
      </c>
      <c r="C939" s="1">
        <f>IF(B939="", "", "Host-associated")</f>
        <v>0</v>
      </c>
      <c r="G939" s="1">
        <f>IF(B939="", "", "host-associated")</f>
        <v>0</v>
      </c>
      <c r="I939" s="1">
        <f>IF(B939="", "", "years")</f>
        <v>0</v>
      </c>
      <c r="L939" s="1">
        <f>IF(B939="", "", "cm")</f>
        <v>0</v>
      </c>
      <c r="P939" s="1">
        <f>IF(B939="", "", "kg")</f>
        <v>0</v>
      </c>
      <c r="R939" s="1">
        <f>IF(B939="", "", "Not applicable")</f>
        <v>0</v>
      </c>
    </row>
    <row r="940" spans="1:18">
      <c r="A940">
        <f>IF(COUNTBLANK(B940:R940)&lt;&gt;COLUMNS(B940:R940),939,"")</f>
        <v>0</v>
      </c>
      <c r="C940" s="1">
        <f>IF(B940="", "", "Host-associated")</f>
        <v>0</v>
      </c>
      <c r="G940" s="1">
        <f>IF(B940="", "", "host-associated")</f>
        <v>0</v>
      </c>
      <c r="I940" s="1">
        <f>IF(B940="", "", "years")</f>
        <v>0</v>
      </c>
      <c r="L940" s="1">
        <f>IF(B940="", "", "cm")</f>
        <v>0</v>
      </c>
      <c r="P940" s="1">
        <f>IF(B940="", "", "kg")</f>
        <v>0</v>
      </c>
      <c r="R940" s="1">
        <f>IF(B940="", "", "Not applicable")</f>
        <v>0</v>
      </c>
    </row>
    <row r="941" spans="1:18">
      <c r="A941">
        <f>IF(COUNTBLANK(B941:R941)&lt;&gt;COLUMNS(B941:R941),940,"")</f>
        <v>0</v>
      </c>
      <c r="C941" s="1">
        <f>IF(B941="", "", "Host-associated")</f>
        <v>0</v>
      </c>
      <c r="G941" s="1">
        <f>IF(B941="", "", "host-associated")</f>
        <v>0</v>
      </c>
      <c r="I941" s="1">
        <f>IF(B941="", "", "years")</f>
        <v>0</v>
      </c>
      <c r="L941" s="1">
        <f>IF(B941="", "", "cm")</f>
        <v>0</v>
      </c>
      <c r="P941" s="1">
        <f>IF(B941="", "", "kg")</f>
        <v>0</v>
      </c>
      <c r="R941" s="1">
        <f>IF(B941="", "", "Not applicable")</f>
        <v>0</v>
      </c>
    </row>
    <row r="942" spans="1:18">
      <c r="A942">
        <f>IF(COUNTBLANK(B942:R942)&lt;&gt;COLUMNS(B942:R942),941,"")</f>
        <v>0</v>
      </c>
      <c r="C942" s="1">
        <f>IF(B942="", "", "Host-associated")</f>
        <v>0</v>
      </c>
      <c r="G942" s="1">
        <f>IF(B942="", "", "host-associated")</f>
        <v>0</v>
      </c>
      <c r="I942" s="1">
        <f>IF(B942="", "", "years")</f>
        <v>0</v>
      </c>
      <c r="L942" s="1">
        <f>IF(B942="", "", "cm")</f>
        <v>0</v>
      </c>
      <c r="P942" s="1">
        <f>IF(B942="", "", "kg")</f>
        <v>0</v>
      </c>
      <c r="R942" s="1">
        <f>IF(B942="", "", "Not applicable")</f>
        <v>0</v>
      </c>
    </row>
    <row r="943" spans="1:18">
      <c r="A943">
        <f>IF(COUNTBLANK(B943:R943)&lt;&gt;COLUMNS(B943:R943),942,"")</f>
        <v>0</v>
      </c>
      <c r="C943" s="1">
        <f>IF(B943="", "", "Host-associated")</f>
        <v>0</v>
      </c>
      <c r="G943" s="1">
        <f>IF(B943="", "", "host-associated")</f>
        <v>0</v>
      </c>
      <c r="I943" s="1">
        <f>IF(B943="", "", "years")</f>
        <v>0</v>
      </c>
      <c r="L943" s="1">
        <f>IF(B943="", "", "cm")</f>
        <v>0</v>
      </c>
      <c r="P943" s="1">
        <f>IF(B943="", "", "kg")</f>
        <v>0</v>
      </c>
      <c r="R943" s="1">
        <f>IF(B943="", "", "Not applicable")</f>
        <v>0</v>
      </c>
    </row>
    <row r="944" spans="1:18">
      <c r="A944">
        <f>IF(COUNTBLANK(B944:R944)&lt;&gt;COLUMNS(B944:R944),943,"")</f>
        <v>0</v>
      </c>
      <c r="C944" s="1">
        <f>IF(B944="", "", "Host-associated")</f>
        <v>0</v>
      </c>
      <c r="G944" s="1">
        <f>IF(B944="", "", "host-associated")</f>
        <v>0</v>
      </c>
      <c r="I944" s="1">
        <f>IF(B944="", "", "years")</f>
        <v>0</v>
      </c>
      <c r="L944" s="1">
        <f>IF(B944="", "", "cm")</f>
        <v>0</v>
      </c>
      <c r="P944" s="1">
        <f>IF(B944="", "", "kg")</f>
        <v>0</v>
      </c>
      <c r="R944" s="1">
        <f>IF(B944="", "", "Not applicable")</f>
        <v>0</v>
      </c>
    </row>
    <row r="945" spans="1:18">
      <c r="A945">
        <f>IF(COUNTBLANK(B945:R945)&lt;&gt;COLUMNS(B945:R945),944,"")</f>
        <v>0</v>
      </c>
      <c r="C945" s="1">
        <f>IF(B945="", "", "Host-associated")</f>
        <v>0</v>
      </c>
      <c r="G945" s="1">
        <f>IF(B945="", "", "host-associated")</f>
        <v>0</v>
      </c>
      <c r="I945" s="1">
        <f>IF(B945="", "", "years")</f>
        <v>0</v>
      </c>
      <c r="L945" s="1">
        <f>IF(B945="", "", "cm")</f>
        <v>0</v>
      </c>
      <c r="P945" s="1">
        <f>IF(B945="", "", "kg")</f>
        <v>0</v>
      </c>
      <c r="R945" s="1">
        <f>IF(B945="", "", "Not applicable")</f>
        <v>0</v>
      </c>
    </row>
    <row r="946" spans="1:18">
      <c r="A946">
        <f>IF(COUNTBLANK(B946:R946)&lt;&gt;COLUMNS(B946:R946),945,"")</f>
        <v>0</v>
      </c>
      <c r="C946" s="1">
        <f>IF(B946="", "", "Host-associated")</f>
        <v>0</v>
      </c>
      <c r="G946" s="1">
        <f>IF(B946="", "", "host-associated")</f>
        <v>0</v>
      </c>
      <c r="I946" s="1">
        <f>IF(B946="", "", "years")</f>
        <v>0</v>
      </c>
      <c r="L946" s="1">
        <f>IF(B946="", "", "cm")</f>
        <v>0</v>
      </c>
      <c r="P946" s="1">
        <f>IF(B946="", "", "kg")</f>
        <v>0</v>
      </c>
      <c r="R946" s="1">
        <f>IF(B946="", "", "Not applicable")</f>
        <v>0</v>
      </c>
    </row>
    <row r="947" spans="1:18">
      <c r="A947">
        <f>IF(COUNTBLANK(B947:R947)&lt;&gt;COLUMNS(B947:R947),946,"")</f>
        <v>0</v>
      </c>
      <c r="C947" s="1">
        <f>IF(B947="", "", "Host-associated")</f>
        <v>0</v>
      </c>
      <c r="G947" s="1">
        <f>IF(B947="", "", "host-associated")</f>
        <v>0</v>
      </c>
      <c r="I947" s="1">
        <f>IF(B947="", "", "years")</f>
        <v>0</v>
      </c>
      <c r="L947" s="1">
        <f>IF(B947="", "", "cm")</f>
        <v>0</v>
      </c>
      <c r="P947" s="1">
        <f>IF(B947="", "", "kg")</f>
        <v>0</v>
      </c>
      <c r="R947" s="1">
        <f>IF(B947="", "", "Not applicable")</f>
        <v>0</v>
      </c>
    </row>
    <row r="948" spans="1:18">
      <c r="A948">
        <f>IF(COUNTBLANK(B948:R948)&lt;&gt;COLUMNS(B948:R948),947,"")</f>
        <v>0</v>
      </c>
      <c r="C948" s="1">
        <f>IF(B948="", "", "Host-associated")</f>
        <v>0</v>
      </c>
      <c r="G948" s="1">
        <f>IF(B948="", "", "host-associated")</f>
        <v>0</v>
      </c>
      <c r="I948" s="1">
        <f>IF(B948="", "", "years")</f>
        <v>0</v>
      </c>
      <c r="L948" s="1">
        <f>IF(B948="", "", "cm")</f>
        <v>0</v>
      </c>
      <c r="P948" s="1">
        <f>IF(B948="", "", "kg")</f>
        <v>0</v>
      </c>
      <c r="R948" s="1">
        <f>IF(B948="", "", "Not applicable")</f>
        <v>0</v>
      </c>
    </row>
    <row r="949" spans="1:18">
      <c r="A949">
        <f>IF(COUNTBLANK(B949:R949)&lt;&gt;COLUMNS(B949:R949),948,"")</f>
        <v>0</v>
      </c>
      <c r="C949" s="1">
        <f>IF(B949="", "", "Host-associated")</f>
        <v>0</v>
      </c>
      <c r="G949" s="1">
        <f>IF(B949="", "", "host-associated")</f>
        <v>0</v>
      </c>
      <c r="I949" s="1">
        <f>IF(B949="", "", "years")</f>
        <v>0</v>
      </c>
      <c r="L949" s="1">
        <f>IF(B949="", "", "cm")</f>
        <v>0</v>
      </c>
      <c r="P949" s="1">
        <f>IF(B949="", "", "kg")</f>
        <v>0</v>
      </c>
      <c r="R949" s="1">
        <f>IF(B949="", "", "Not applicable")</f>
        <v>0</v>
      </c>
    </row>
    <row r="950" spans="1:18">
      <c r="A950">
        <f>IF(COUNTBLANK(B950:R950)&lt;&gt;COLUMNS(B950:R950),949,"")</f>
        <v>0</v>
      </c>
      <c r="C950" s="1">
        <f>IF(B950="", "", "Host-associated")</f>
        <v>0</v>
      </c>
      <c r="G950" s="1">
        <f>IF(B950="", "", "host-associated")</f>
        <v>0</v>
      </c>
      <c r="I950" s="1">
        <f>IF(B950="", "", "years")</f>
        <v>0</v>
      </c>
      <c r="L950" s="1">
        <f>IF(B950="", "", "cm")</f>
        <v>0</v>
      </c>
      <c r="P950" s="1">
        <f>IF(B950="", "", "kg")</f>
        <v>0</v>
      </c>
      <c r="R950" s="1">
        <f>IF(B950="", "", "Not applicable")</f>
        <v>0</v>
      </c>
    </row>
    <row r="951" spans="1:18">
      <c r="A951">
        <f>IF(COUNTBLANK(B951:R951)&lt;&gt;COLUMNS(B951:R951),950,"")</f>
        <v>0</v>
      </c>
      <c r="C951" s="1">
        <f>IF(B951="", "", "Host-associated")</f>
        <v>0</v>
      </c>
      <c r="G951" s="1">
        <f>IF(B951="", "", "host-associated")</f>
        <v>0</v>
      </c>
      <c r="I951" s="1">
        <f>IF(B951="", "", "years")</f>
        <v>0</v>
      </c>
      <c r="L951" s="1">
        <f>IF(B951="", "", "cm")</f>
        <v>0</v>
      </c>
      <c r="P951" s="1">
        <f>IF(B951="", "", "kg")</f>
        <v>0</v>
      </c>
      <c r="R951" s="1">
        <f>IF(B951="", "", "Not applicable")</f>
        <v>0</v>
      </c>
    </row>
    <row r="952" spans="1:18">
      <c r="A952">
        <f>IF(COUNTBLANK(B952:R952)&lt;&gt;COLUMNS(B952:R952),951,"")</f>
        <v>0</v>
      </c>
      <c r="C952" s="1">
        <f>IF(B952="", "", "Host-associated")</f>
        <v>0</v>
      </c>
      <c r="G952" s="1">
        <f>IF(B952="", "", "host-associated")</f>
        <v>0</v>
      </c>
      <c r="I952" s="1">
        <f>IF(B952="", "", "years")</f>
        <v>0</v>
      </c>
      <c r="L952" s="1">
        <f>IF(B952="", "", "cm")</f>
        <v>0</v>
      </c>
      <c r="P952" s="1">
        <f>IF(B952="", "", "kg")</f>
        <v>0</v>
      </c>
      <c r="R952" s="1">
        <f>IF(B952="", "", "Not applicable")</f>
        <v>0</v>
      </c>
    </row>
    <row r="953" spans="1:18">
      <c r="A953">
        <f>IF(COUNTBLANK(B953:R953)&lt;&gt;COLUMNS(B953:R953),952,"")</f>
        <v>0</v>
      </c>
      <c r="C953" s="1">
        <f>IF(B953="", "", "Host-associated")</f>
        <v>0</v>
      </c>
      <c r="G953" s="1">
        <f>IF(B953="", "", "host-associated")</f>
        <v>0</v>
      </c>
      <c r="I953" s="1">
        <f>IF(B953="", "", "years")</f>
        <v>0</v>
      </c>
      <c r="L953" s="1">
        <f>IF(B953="", "", "cm")</f>
        <v>0</v>
      </c>
      <c r="P953" s="1">
        <f>IF(B953="", "", "kg")</f>
        <v>0</v>
      </c>
      <c r="R953" s="1">
        <f>IF(B953="", "", "Not applicable")</f>
        <v>0</v>
      </c>
    </row>
    <row r="954" spans="1:18">
      <c r="A954">
        <f>IF(COUNTBLANK(B954:R954)&lt;&gt;COLUMNS(B954:R954),953,"")</f>
        <v>0</v>
      </c>
      <c r="C954" s="1">
        <f>IF(B954="", "", "Host-associated")</f>
        <v>0</v>
      </c>
      <c r="G954" s="1">
        <f>IF(B954="", "", "host-associated")</f>
        <v>0</v>
      </c>
      <c r="I954" s="1">
        <f>IF(B954="", "", "years")</f>
        <v>0</v>
      </c>
      <c r="L954" s="1">
        <f>IF(B954="", "", "cm")</f>
        <v>0</v>
      </c>
      <c r="P954" s="1">
        <f>IF(B954="", "", "kg")</f>
        <v>0</v>
      </c>
      <c r="R954" s="1">
        <f>IF(B954="", "", "Not applicable")</f>
        <v>0</v>
      </c>
    </row>
    <row r="955" spans="1:18">
      <c r="A955">
        <f>IF(COUNTBLANK(B955:R955)&lt;&gt;COLUMNS(B955:R955),954,"")</f>
        <v>0</v>
      </c>
      <c r="C955" s="1">
        <f>IF(B955="", "", "Host-associated")</f>
        <v>0</v>
      </c>
      <c r="G955" s="1">
        <f>IF(B955="", "", "host-associated")</f>
        <v>0</v>
      </c>
      <c r="I955" s="1">
        <f>IF(B955="", "", "years")</f>
        <v>0</v>
      </c>
      <c r="L955" s="1">
        <f>IF(B955="", "", "cm")</f>
        <v>0</v>
      </c>
      <c r="P955" s="1">
        <f>IF(B955="", "", "kg")</f>
        <v>0</v>
      </c>
      <c r="R955" s="1">
        <f>IF(B955="", "", "Not applicable")</f>
        <v>0</v>
      </c>
    </row>
    <row r="956" spans="1:18">
      <c r="A956">
        <f>IF(COUNTBLANK(B956:R956)&lt;&gt;COLUMNS(B956:R956),955,"")</f>
        <v>0</v>
      </c>
      <c r="C956" s="1">
        <f>IF(B956="", "", "Host-associated")</f>
        <v>0</v>
      </c>
      <c r="G956" s="1">
        <f>IF(B956="", "", "host-associated")</f>
        <v>0</v>
      </c>
      <c r="I956" s="1">
        <f>IF(B956="", "", "years")</f>
        <v>0</v>
      </c>
      <c r="L956" s="1">
        <f>IF(B956="", "", "cm")</f>
        <v>0</v>
      </c>
      <c r="P956" s="1">
        <f>IF(B956="", "", "kg")</f>
        <v>0</v>
      </c>
      <c r="R956" s="1">
        <f>IF(B956="", "", "Not applicable")</f>
        <v>0</v>
      </c>
    </row>
    <row r="957" spans="1:18">
      <c r="A957">
        <f>IF(COUNTBLANK(B957:R957)&lt;&gt;COLUMNS(B957:R957),956,"")</f>
        <v>0</v>
      </c>
      <c r="C957" s="1">
        <f>IF(B957="", "", "Host-associated")</f>
        <v>0</v>
      </c>
      <c r="G957" s="1">
        <f>IF(B957="", "", "host-associated")</f>
        <v>0</v>
      </c>
      <c r="I957" s="1">
        <f>IF(B957="", "", "years")</f>
        <v>0</v>
      </c>
      <c r="L957" s="1">
        <f>IF(B957="", "", "cm")</f>
        <v>0</v>
      </c>
      <c r="P957" s="1">
        <f>IF(B957="", "", "kg")</f>
        <v>0</v>
      </c>
      <c r="R957" s="1">
        <f>IF(B957="", "", "Not applicable")</f>
        <v>0</v>
      </c>
    </row>
    <row r="958" spans="1:18">
      <c r="A958">
        <f>IF(COUNTBLANK(B958:R958)&lt;&gt;COLUMNS(B958:R958),957,"")</f>
        <v>0</v>
      </c>
      <c r="C958" s="1">
        <f>IF(B958="", "", "Host-associated")</f>
        <v>0</v>
      </c>
      <c r="G958" s="1">
        <f>IF(B958="", "", "host-associated")</f>
        <v>0</v>
      </c>
      <c r="I958" s="1">
        <f>IF(B958="", "", "years")</f>
        <v>0</v>
      </c>
      <c r="L958" s="1">
        <f>IF(B958="", "", "cm")</f>
        <v>0</v>
      </c>
      <c r="P958" s="1">
        <f>IF(B958="", "", "kg")</f>
        <v>0</v>
      </c>
      <c r="R958" s="1">
        <f>IF(B958="", "", "Not applicable")</f>
        <v>0</v>
      </c>
    </row>
    <row r="959" spans="1:18">
      <c r="A959">
        <f>IF(COUNTBLANK(B959:R959)&lt;&gt;COLUMNS(B959:R959),958,"")</f>
        <v>0</v>
      </c>
      <c r="C959" s="1">
        <f>IF(B959="", "", "Host-associated")</f>
        <v>0</v>
      </c>
      <c r="G959" s="1">
        <f>IF(B959="", "", "host-associated")</f>
        <v>0</v>
      </c>
      <c r="I959" s="1">
        <f>IF(B959="", "", "years")</f>
        <v>0</v>
      </c>
      <c r="L959" s="1">
        <f>IF(B959="", "", "cm")</f>
        <v>0</v>
      </c>
      <c r="P959" s="1">
        <f>IF(B959="", "", "kg")</f>
        <v>0</v>
      </c>
      <c r="R959" s="1">
        <f>IF(B959="", "", "Not applicable")</f>
        <v>0</v>
      </c>
    </row>
    <row r="960" spans="1:18">
      <c r="A960">
        <f>IF(COUNTBLANK(B960:R960)&lt;&gt;COLUMNS(B960:R960),959,"")</f>
        <v>0</v>
      </c>
      <c r="C960" s="1">
        <f>IF(B960="", "", "Host-associated")</f>
        <v>0</v>
      </c>
      <c r="G960" s="1">
        <f>IF(B960="", "", "host-associated")</f>
        <v>0</v>
      </c>
      <c r="I960" s="1">
        <f>IF(B960="", "", "years")</f>
        <v>0</v>
      </c>
      <c r="L960" s="1">
        <f>IF(B960="", "", "cm")</f>
        <v>0</v>
      </c>
      <c r="P960" s="1">
        <f>IF(B960="", "", "kg")</f>
        <v>0</v>
      </c>
      <c r="R960" s="1">
        <f>IF(B960="", "", "Not applicable")</f>
        <v>0</v>
      </c>
    </row>
    <row r="961" spans="1:18">
      <c r="A961">
        <f>IF(COUNTBLANK(B961:R961)&lt;&gt;COLUMNS(B961:R961),960,"")</f>
        <v>0</v>
      </c>
      <c r="C961" s="1">
        <f>IF(B961="", "", "Host-associated")</f>
        <v>0</v>
      </c>
      <c r="G961" s="1">
        <f>IF(B961="", "", "host-associated")</f>
        <v>0</v>
      </c>
      <c r="I961" s="1">
        <f>IF(B961="", "", "years")</f>
        <v>0</v>
      </c>
      <c r="L961" s="1">
        <f>IF(B961="", "", "cm")</f>
        <v>0</v>
      </c>
      <c r="P961" s="1">
        <f>IF(B961="", "", "kg")</f>
        <v>0</v>
      </c>
      <c r="R961" s="1">
        <f>IF(B961="", "", "Not applicable")</f>
        <v>0</v>
      </c>
    </row>
    <row r="962" spans="1:18">
      <c r="A962">
        <f>IF(COUNTBLANK(B962:R962)&lt;&gt;COLUMNS(B962:R962),961,"")</f>
        <v>0</v>
      </c>
      <c r="C962" s="1">
        <f>IF(B962="", "", "Host-associated")</f>
        <v>0</v>
      </c>
      <c r="G962" s="1">
        <f>IF(B962="", "", "host-associated")</f>
        <v>0</v>
      </c>
      <c r="I962" s="1">
        <f>IF(B962="", "", "years")</f>
        <v>0</v>
      </c>
      <c r="L962" s="1">
        <f>IF(B962="", "", "cm")</f>
        <v>0</v>
      </c>
      <c r="P962" s="1">
        <f>IF(B962="", "", "kg")</f>
        <v>0</v>
      </c>
      <c r="R962" s="1">
        <f>IF(B962="", "", "Not applicable")</f>
        <v>0</v>
      </c>
    </row>
    <row r="963" spans="1:18">
      <c r="A963">
        <f>IF(COUNTBLANK(B963:R963)&lt;&gt;COLUMNS(B963:R963),962,"")</f>
        <v>0</v>
      </c>
      <c r="C963" s="1">
        <f>IF(B963="", "", "Host-associated")</f>
        <v>0</v>
      </c>
      <c r="G963" s="1">
        <f>IF(B963="", "", "host-associated")</f>
        <v>0</v>
      </c>
      <c r="I963" s="1">
        <f>IF(B963="", "", "years")</f>
        <v>0</v>
      </c>
      <c r="L963" s="1">
        <f>IF(B963="", "", "cm")</f>
        <v>0</v>
      </c>
      <c r="P963" s="1">
        <f>IF(B963="", "", "kg")</f>
        <v>0</v>
      </c>
      <c r="R963" s="1">
        <f>IF(B963="", "", "Not applicable")</f>
        <v>0</v>
      </c>
    </row>
    <row r="964" spans="1:18">
      <c r="A964">
        <f>IF(COUNTBLANK(B964:R964)&lt;&gt;COLUMNS(B964:R964),963,"")</f>
        <v>0</v>
      </c>
      <c r="C964" s="1">
        <f>IF(B964="", "", "Host-associated")</f>
        <v>0</v>
      </c>
      <c r="G964" s="1">
        <f>IF(B964="", "", "host-associated")</f>
        <v>0</v>
      </c>
      <c r="I964" s="1">
        <f>IF(B964="", "", "years")</f>
        <v>0</v>
      </c>
      <c r="L964" s="1">
        <f>IF(B964="", "", "cm")</f>
        <v>0</v>
      </c>
      <c r="P964" s="1">
        <f>IF(B964="", "", "kg")</f>
        <v>0</v>
      </c>
      <c r="R964" s="1">
        <f>IF(B964="", "", "Not applicable")</f>
        <v>0</v>
      </c>
    </row>
    <row r="965" spans="1:18">
      <c r="A965">
        <f>IF(COUNTBLANK(B965:R965)&lt;&gt;COLUMNS(B965:R965),964,"")</f>
        <v>0</v>
      </c>
      <c r="C965" s="1">
        <f>IF(B965="", "", "Host-associated")</f>
        <v>0</v>
      </c>
      <c r="G965" s="1">
        <f>IF(B965="", "", "host-associated")</f>
        <v>0</v>
      </c>
      <c r="I965" s="1">
        <f>IF(B965="", "", "years")</f>
        <v>0</v>
      </c>
      <c r="L965" s="1">
        <f>IF(B965="", "", "cm")</f>
        <v>0</v>
      </c>
      <c r="P965" s="1">
        <f>IF(B965="", "", "kg")</f>
        <v>0</v>
      </c>
      <c r="R965" s="1">
        <f>IF(B965="", "", "Not applicable")</f>
        <v>0</v>
      </c>
    </row>
    <row r="966" spans="1:18">
      <c r="A966">
        <f>IF(COUNTBLANK(B966:R966)&lt;&gt;COLUMNS(B966:R966),965,"")</f>
        <v>0</v>
      </c>
      <c r="C966" s="1">
        <f>IF(B966="", "", "Host-associated")</f>
        <v>0</v>
      </c>
      <c r="G966" s="1">
        <f>IF(B966="", "", "host-associated")</f>
        <v>0</v>
      </c>
      <c r="I966" s="1">
        <f>IF(B966="", "", "years")</f>
        <v>0</v>
      </c>
      <c r="L966" s="1">
        <f>IF(B966="", "", "cm")</f>
        <v>0</v>
      </c>
      <c r="P966" s="1">
        <f>IF(B966="", "", "kg")</f>
        <v>0</v>
      </c>
      <c r="R966" s="1">
        <f>IF(B966="", "", "Not applicable")</f>
        <v>0</v>
      </c>
    </row>
    <row r="967" spans="1:18">
      <c r="A967">
        <f>IF(COUNTBLANK(B967:R967)&lt;&gt;COLUMNS(B967:R967),966,"")</f>
        <v>0</v>
      </c>
      <c r="C967" s="1">
        <f>IF(B967="", "", "Host-associated")</f>
        <v>0</v>
      </c>
      <c r="G967" s="1">
        <f>IF(B967="", "", "host-associated")</f>
        <v>0</v>
      </c>
      <c r="I967" s="1">
        <f>IF(B967="", "", "years")</f>
        <v>0</v>
      </c>
      <c r="L967" s="1">
        <f>IF(B967="", "", "cm")</f>
        <v>0</v>
      </c>
      <c r="P967" s="1">
        <f>IF(B967="", "", "kg")</f>
        <v>0</v>
      </c>
      <c r="R967" s="1">
        <f>IF(B967="", "", "Not applicable")</f>
        <v>0</v>
      </c>
    </row>
    <row r="968" spans="1:18">
      <c r="A968">
        <f>IF(COUNTBLANK(B968:R968)&lt;&gt;COLUMNS(B968:R968),967,"")</f>
        <v>0</v>
      </c>
      <c r="C968" s="1">
        <f>IF(B968="", "", "Host-associated")</f>
        <v>0</v>
      </c>
      <c r="G968" s="1">
        <f>IF(B968="", "", "host-associated")</f>
        <v>0</v>
      </c>
      <c r="I968" s="1">
        <f>IF(B968="", "", "years")</f>
        <v>0</v>
      </c>
      <c r="L968" s="1">
        <f>IF(B968="", "", "cm")</f>
        <v>0</v>
      </c>
      <c r="P968" s="1">
        <f>IF(B968="", "", "kg")</f>
        <v>0</v>
      </c>
      <c r="R968" s="1">
        <f>IF(B968="", "", "Not applicable")</f>
        <v>0</v>
      </c>
    </row>
    <row r="969" spans="1:18">
      <c r="A969">
        <f>IF(COUNTBLANK(B969:R969)&lt;&gt;COLUMNS(B969:R969),968,"")</f>
        <v>0</v>
      </c>
      <c r="C969" s="1">
        <f>IF(B969="", "", "Host-associated")</f>
        <v>0</v>
      </c>
      <c r="G969" s="1">
        <f>IF(B969="", "", "host-associated")</f>
        <v>0</v>
      </c>
      <c r="I969" s="1">
        <f>IF(B969="", "", "years")</f>
        <v>0</v>
      </c>
      <c r="L969" s="1">
        <f>IF(B969="", "", "cm")</f>
        <v>0</v>
      </c>
      <c r="P969" s="1">
        <f>IF(B969="", "", "kg")</f>
        <v>0</v>
      </c>
      <c r="R969" s="1">
        <f>IF(B969="", "", "Not applicable")</f>
        <v>0</v>
      </c>
    </row>
    <row r="970" spans="1:18">
      <c r="A970">
        <f>IF(COUNTBLANK(B970:R970)&lt;&gt;COLUMNS(B970:R970),969,"")</f>
        <v>0</v>
      </c>
      <c r="C970" s="1">
        <f>IF(B970="", "", "Host-associated")</f>
        <v>0</v>
      </c>
      <c r="G970" s="1">
        <f>IF(B970="", "", "host-associated")</f>
        <v>0</v>
      </c>
      <c r="I970" s="1">
        <f>IF(B970="", "", "years")</f>
        <v>0</v>
      </c>
      <c r="L970" s="1">
        <f>IF(B970="", "", "cm")</f>
        <v>0</v>
      </c>
      <c r="P970" s="1">
        <f>IF(B970="", "", "kg")</f>
        <v>0</v>
      </c>
      <c r="R970" s="1">
        <f>IF(B970="", "", "Not applicable")</f>
        <v>0</v>
      </c>
    </row>
    <row r="971" spans="1:18">
      <c r="A971">
        <f>IF(COUNTBLANK(B971:R971)&lt;&gt;COLUMNS(B971:R971),970,"")</f>
        <v>0</v>
      </c>
      <c r="C971" s="1">
        <f>IF(B971="", "", "Host-associated")</f>
        <v>0</v>
      </c>
      <c r="G971" s="1">
        <f>IF(B971="", "", "host-associated")</f>
        <v>0</v>
      </c>
      <c r="I971" s="1">
        <f>IF(B971="", "", "years")</f>
        <v>0</v>
      </c>
      <c r="L971" s="1">
        <f>IF(B971="", "", "cm")</f>
        <v>0</v>
      </c>
      <c r="P971" s="1">
        <f>IF(B971="", "", "kg")</f>
        <v>0</v>
      </c>
      <c r="R971" s="1">
        <f>IF(B971="", "", "Not applicable")</f>
        <v>0</v>
      </c>
    </row>
    <row r="972" spans="1:18">
      <c r="A972">
        <f>IF(COUNTBLANK(B972:R972)&lt;&gt;COLUMNS(B972:R972),971,"")</f>
        <v>0</v>
      </c>
      <c r="C972" s="1">
        <f>IF(B972="", "", "Host-associated")</f>
        <v>0</v>
      </c>
      <c r="G972" s="1">
        <f>IF(B972="", "", "host-associated")</f>
        <v>0</v>
      </c>
      <c r="I972" s="1">
        <f>IF(B972="", "", "years")</f>
        <v>0</v>
      </c>
      <c r="L972" s="1">
        <f>IF(B972="", "", "cm")</f>
        <v>0</v>
      </c>
      <c r="P972" s="1">
        <f>IF(B972="", "", "kg")</f>
        <v>0</v>
      </c>
      <c r="R972" s="1">
        <f>IF(B972="", "", "Not applicable")</f>
        <v>0</v>
      </c>
    </row>
    <row r="973" spans="1:18">
      <c r="A973">
        <f>IF(COUNTBLANK(B973:R973)&lt;&gt;COLUMNS(B973:R973),972,"")</f>
        <v>0</v>
      </c>
      <c r="C973" s="1">
        <f>IF(B973="", "", "Host-associated")</f>
        <v>0</v>
      </c>
      <c r="G973" s="1">
        <f>IF(B973="", "", "host-associated")</f>
        <v>0</v>
      </c>
      <c r="I973" s="1">
        <f>IF(B973="", "", "years")</f>
        <v>0</v>
      </c>
      <c r="L973" s="1">
        <f>IF(B973="", "", "cm")</f>
        <v>0</v>
      </c>
      <c r="P973" s="1">
        <f>IF(B973="", "", "kg")</f>
        <v>0</v>
      </c>
      <c r="R973" s="1">
        <f>IF(B973="", "", "Not applicable")</f>
        <v>0</v>
      </c>
    </row>
    <row r="974" spans="1:18">
      <c r="A974">
        <f>IF(COUNTBLANK(B974:R974)&lt;&gt;COLUMNS(B974:R974),973,"")</f>
        <v>0</v>
      </c>
      <c r="C974" s="1">
        <f>IF(B974="", "", "Host-associated")</f>
        <v>0</v>
      </c>
      <c r="G974" s="1">
        <f>IF(B974="", "", "host-associated")</f>
        <v>0</v>
      </c>
      <c r="I974" s="1">
        <f>IF(B974="", "", "years")</f>
        <v>0</v>
      </c>
      <c r="L974" s="1">
        <f>IF(B974="", "", "cm")</f>
        <v>0</v>
      </c>
      <c r="P974" s="1">
        <f>IF(B974="", "", "kg")</f>
        <v>0</v>
      </c>
      <c r="R974" s="1">
        <f>IF(B974="", "", "Not applicable")</f>
        <v>0</v>
      </c>
    </row>
    <row r="975" spans="1:18">
      <c r="A975">
        <f>IF(COUNTBLANK(B975:R975)&lt;&gt;COLUMNS(B975:R975),974,"")</f>
        <v>0</v>
      </c>
      <c r="C975" s="1">
        <f>IF(B975="", "", "Host-associated")</f>
        <v>0</v>
      </c>
      <c r="G975" s="1">
        <f>IF(B975="", "", "host-associated")</f>
        <v>0</v>
      </c>
      <c r="I975" s="1">
        <f>IF(B975="", "", "years")</f>
        <v>0</v>
      </c>
      <c r="L975" s="1">
        <f>IF(B975="", "", "cm")</f>
        <v>0</v>
      </c>
      <c r="P975" s="1">
        <f>IF(B975="", "", "kg")</f>
        <v>0</v>
      </c>
      <c r="R975" s="1">
        <f>IF(B975="", "", "Not applicable")</f>
        <v>0</v>
      </c>
    </row>
    <row r="976" spans="1:18">
      <c r="A976">
        <f>IF(COUNTBLANK(B976:R976)&lt;&gt;COLUMNS(B976:R976),975,"")</f>
        <v>0</v>
      </c>
      <c r="C976" s="1">
        <f>IF(B976="", "", "Host-associated")</f>
        <v>0</v>
      </c>
      <c r="G976" s="1">
        <f>IF(B976="", "", "host-associated")</f>
        <v>0</v>
      </c>
      <c r="I976" s="1">
        <f>IF(B976="", "", "years")</f>
        <v>0</v>
      </c>
      <c r="L976" s="1">
        <f>IF(B976="", "", "cm")</f>
        <v>0</v>
      </c>
      <c r="P976" s="1">
        <f>IF(B976="", "", "kg")</f>
        <v>0</v>
      </c>
      <c r="R976" s="1">
        <f>IF(B976="", "", "Not applicable")</f>
        <v>0</v>
      </c>
    </row>
    <row r="977" spans="1:18">
      <c r="A977">
        <f>IF(COUNTBLANK(B977:R977)&lt;&gt;COLUMNS(B977:R977),976,"")</f>
        <v>0</v>
      </c>
      <c r="C977" s="1">
        <f>IF(B977="", "", "Host-associated")</f>
        <v>0</v>
      </c>
      <c r="G977" s="1">
        <f>IF(B977="", "", "host-associated")</f>
        <v>0</v>
      </c>
      <c r="I977" s="1">
        <f>IF(B977="", "", "years")</f>
        <v>0</v>
      </c>
      <c r="L977" s="1">
        <f>IF(B977="", "", "cm")</f>
        <v>0</v>
      </c>
      <c r="P977" s="1">
        <f>IF(B977="", "", "kg")</f>
        <v>0</v>
      </c>
      <c r="R977" s="1">
        <f>IF(B977="", "", "Not applicable")</f>
        <v>0</v>
      </c>
    </row>
    <row r="978" spans="1:18">
      <c r="A978">
        <f>IF(COUNTBLANK(B978:R978)&lt;&gt;COLUMNS(B978:R978),977,"")</f>
        <v>0</v>
      </c>
      <c r="C978" s="1">
        <f>IF(B978="", "", "Host-associated")</f>
        <v>0</v>
      </c>
      <c r="G978" s="1">
        <f>IF(B978="", "", "host-associated")</f>
        <v>0</v>
      </c>
      <c r="I978" s="1">
        <f>IF(B978="", "", "years")</f>
        <v>0</v>
      </c>
      <c r="L978" s="1">
        <f>IF(B978="", "", "cm")</f>
        <v>0</v>
      </c>
      <c r="P978" s="1">
        <f>IF(B978="", "", "kg")</f>
        <v>0</v>
      </c>
      <c r="R978" s="1">
        <f>IF(B978="", "", "Not applicable")</f>
        <v>0</v>
      </c>
    </row>
    <row r="979" spans="1:18">
      <c r="A979">
        <f>IF(COUNTBLANK(B979:R979)&lt;&gt;COLUMNS(B979:R979),978,"")</f>
        <v>0</v>
      </c>
      <c r="C979" s="1">
        <f>IF(B979="", "", "Host-associated")</f>
        <v>0</v>
      </c>
      <c r="G979" s="1">
        <f>IF(B979="", "", "host-associated")</f>
        <v>0</v>
      </c>
      <c r="I979" s="1">
        <f>IF(B979="", "", "years")</f>
        <v>0</v>
      </c>
      <c r="L979" s="1">
        <f>IF(B979="", "", "cm")</f>
        <v>0</v>
      </c>
      <c r="P979" s="1">
        <f>IF(B979="", "", "kg")</f>
        <v>0</v>
      </c>
      <c r="R979" s="1">
        <f>IF(B979="", "", "Not applicable")</f>
        <v>0</v>
      </c>
    </row>
    <row r="980" spans="1:18">
      <c r="A980">
        <f>IF(COUNTBLANK(B980:R980)&lt;&gt;COLUMNS(B980:R980),979,"")</f>
        <v>0</v>
      </c>
      <c r="C980" s="1">
        <f>IF(B980="", "", "Host-associated")</f>
        <v>0</v>
      </c>
      <c r="G980" s="1">
        <f>IF(B980="", "", "host-associated")</f>
        <v>0</v>
      </c>
      <c r="I980" s="1">
        <f>IF(B980="", "", "years")</f>
        <v>0</v>
      </c>
      <c r="L980" s="1">
        <f>IF(B980="", "", "cm")</f>
        <v>0</v>
      </c>
      <c r="P980" s="1">
        <f>IF(B980="", "", "kg")</f>
        <v>0</v>
      </c>
      <c r="R980" s="1">
        <f>IF(B980="", "", "Not applicable")</f>
        <v>0</v>
      </c>
    </row>
    <row r="981" spans="1:18">
      <c r="A981">
        <f>IF(COUNTBLANK(B981:R981)&lt;&gt;COLUMNS(B981:R981),980,"")</f>
        <v>0</v>
      </c>
      <c r="C981" s="1">
        <f>IF(B981="", "", "Host-associated")</f>
        <v>0</v>
      </c>
      <c r="G981" s="1">
        <f>IF(B981="", "", "host-associated")</f>
        <v>0</v>
      </c>
      <c r="I981" s="1">
        <f>IF(B981="", "", "years")</f>
        <v>0</v>
      </c>
      <c r="L981" s="1">
        <f>IF(B981="", "", "cm")</f>
        <v>0</v>
      </c>
      <c r="P981" s="1">
        <f>IF(B981="", "", "kg")</f>
        <v>0</v>
      </c>
      <c r="R981" s="1">
        <f>IF(B981="", "", "Not applicable")</f>
        <v>0</v>
      </c>
    </row>
    <row r="982" spans="1:18">
      <c r="A982">
        <f>IF(COUNTBLANK(B982:R982)&lt;&gt;COLUMNS(B982:R982),981,"")</f>
        <v>0</v>
      </c>
      <c r="C982" s="1">
        <f>IF(B982="", "", "Host-associated")</f>
        <v>0</v>
      </c>
      <c r="G982" s="1">
        <f>IF(B982="", "", "host-associated")</f>
        <v>0</v>
      </c>
      <c r="I982" s="1">
        <f>IF(B982="", "", "years")</f>
        <v>0</v>
      </c>
      <c r="L982" s="1">
        <f>IF(B982="", "", "cm")</f>
        <v>0</v>
      </c>
      <c r="P982" s="1">
        <f>IF(B982="", "", "kg")</f>
        <v>0</v>
      </c>
      <c r="R982" s="1">
        <f>IF(B982="", "", "Not applicable")</f>
        <v>0</v>
      </c>
    </row>
    <row r="983" spans="1:18">
      <c r="A983">
        <f>IF(COUNTBLANK(B983:R983)&lt;&gt;COLUMNS(B983:R983),982,"")</f>
        <v>0</v>
      </c>
      <c r="C983" s="1">
        <f>IF(B983="", "", "Host-associated")</f>
        <v>0</v>
      </c>
      <c r="G983" s="1">
        <f>IF(B983="", "", "host-associated")</f>
        <v>0</v>
      </c>
      <c r="I983" s="1">
        <f>IF(B983="", "", "years")</f>
        <v>0</v>
      </c>
      <c r="L983" s="1">
        <f>IF(B983="", "", "cm")</f>
        <v>0</v>
      </c>
      <c r="P983" s="1">
        <f>IF(B983="", "", "kg")</f>
        <v>0</v>
      </c>
      <c r="R983" s="1">
        <f>IF(B983="", "", "Not applicable")</f>
        <v>0</v>
      </c>
    </row>
    <row r="984" spans="1:18">
      <c r="A984">
        <f>IF(COUNTBLANK(B984:R984)&lt;&gt;COLUMNS(B984:R984),983,"")</f>
        <v>0</v>
      </c>
      <c r="C984" s="1">
        <f>IF(B984="", "", "Host-associated")</f>
        <v>0</v>
      </c>
      <c r="G984" s="1">
        <f>IF(B984="", "", "host-associated")</f>
        <v>0</v>
      </c>
      <c r="I984" s="1">
        <f>IF(B984="", "", "years")</f>
        <v>0</v>
      </c>
      <c r="L984" s="1">
        <f>IF(B984="", "", "cm")</f>
        <v>0</v>
      </c>
      <c r="P984" s="1">
        <f>IF(B984="", "", "kg")</f>
        <v>0</v>
      </c>
      <c r="R984" s="1">
        <f>IF(B984="", "", "Not applicable")</f>
        <v>0</v>
      </c>
    </row>
    <row r="985" spans="1:18">
      <c r="A985">
        <f>IF(COUNTBLANK(B985:R985)&lt;&gt;COLUMNS(B985:R985),984,"")</f>
        <v>0</v>
      </c>
      <c r="C985" s="1">
        <f>IF(B985="", "", "Host-associated")</f>
        <v>0</v>
      </c>
      <c r="G985" s="1">
        <f>IF(B985="", "", "host-associated")</f>
        <v>0</v>
      </c>
      <c r="I985" s="1">
        <f>IF(B985="", "", "years")</f>
        <v>0</v>
      </c>
      <c r="L985" s="1">
        <f>IF(B985="", "", "cm")</f>
        <v>0</v>
      </c>
      <c r="P985" s="1">
        <f>IF(B985="", "", "kg")</f>
        <v>0</v>
      </c>
      <c r="R985" s="1">
        <f>IF(B985="", "", "Not applicable")</f>
        <v>0</v>
      </c>
    </row>
    <row r="986" spans="1:18">
      <c r="A986">
        <f>IF(COUNTBLANK(B986:R986)&lt;&gt;COLUMNS(B986:R986),985,"")</f>
        <v>0</v>
      </c>
      <c r="C986" s="1">
        <f>IF(B986="", "", "Host-associated")</f>
        <v>0</v>
      </c>
      <c r="G986" s="1">
        <f>IF(B986="", "", "host-associated")</f>
        <v>0</v>
      </c>
      <c r="I986" s="1">
        <f>IF(B986="", "", "years")</f>
        <v>0</v>
      </c>
      <c r="L986" s="1">
        <f>IF(B986="", "", "cm")</f>
        <v>0</v>
      </c>
      <c r="P986" s="1">
        <f>IF(B986="", "", "kg")</f>
        <v>0</v>
      </c>
      <c r="R986" s="1">
        <f>IF(B986="", "", "Not applicable")</f>
        <v>0</v>
      </c>
    </row>
    <row r="987" spans="1:18">
      <c r="A987">
        <f>IF(COUNTBLANK(B987:R987)&lt;&gt;COLUMNS(B987:R987),986,"")</f>
        <v>0</v>
      </c>
      <c r="C987" s="1">
        <f>IF(B987="", "", "Host-associated")</f>
        <v>0</v>
      </c>
      <c r="G987" s="1">
        <f>IF(B987="", "", "host-associated")</f>
        <v>0</v>
      </c>
      <c r="I987" s="1">
        <f>IF(B987="", "", "years")</f>
        <v>0</v>
      </c>
      <c r="L987" s="1">
        <f>IF(B987="", "", "cm")</f>
        <v>0</v>
      </c>
      <c r="P987" s="1">
        <f>IF(B987="", "", "kg")</f>
        <v>0</v>
      </c>
      <c r="R987" s="1">
        <f>IF(B987="", "", "Not applicable")</f>
        <v>0</v>
      </c>
    </row>
    <row r="988" spans="1:18">
      <c r="A988">
        <f>IF(COUNTBLANK(B988:R988)&lt;&gt;COLUMNS(B988:R988),987,"")</f>
        <v>0</v>
      </c>
      <c r="C988" s="1">
        <f>IF(B988="", "", "Host-associated")</f>
        <v>0</v>
      </c>
      <c r="G988" s="1">
        <f>IF(B988="", "", "host-associated")</f>
        <v>0</v>
      </c>
      <c r="I988" s="1">
        <f>IF(B988="", "", "years")</f>
        <v>0</v>
      </c>
      <c r="L988" s="1">
        <f>IF(B988="", "", "cm")</f>
        <v>0</v>
      </c>
      <c r="P988" s="1">
        <f>IF(B988="", "", "kg")</f>
        <v>0</v>
      </c>
      <c r="R988" s="1">
        <f>IF(B988="", "", "Not applicable")</f>
        <v>0</v>
      </c>
    </row>
    <row r="989" spans="1:18">
      <c r="A989">
        <f>IF(COUNTBLANK(B989:R989)&lt;&gt;COLUMNS(B989:R989),988,"")</f>
        <v>0</v>
      </c>
      <c r="C989" s="1">
        <f>IF(B989="", "", "Host-associated")</f>
        <v>0</v>
      </c>
      <c r="G989" s="1">
        <f>IF(B989="", "", "host-associated")</f>
        <v>0</v>
      </c>
      <c r="I989" s="1">
        <f>IF(B989="", "", "years")</f>
        <v>0</v>
      </c>
      <c r="L989" s="1">
        <f>IF(B989="", "", "cm")</f>
        <v>0</v>
      </c>
      <c r="P989" s="1">
        <f>IF(B989="", "", "kg")</f>
        <v>0</v>
      </c>
      <c r="R989" s="1">
        <f>IF(B989="", "", "Not applicable")</f>
        <v>0</v>
      </c>
    </row>
    <row r="990" spans="1:18">
      <c r="A990">
        <f>IF(COUNTBLANK(B990:R990)&lt;&gt;COLUMNS(B990:R990),989,"")</f>
        <v>0</v>
      </c>
      <c r="C990" s="1">
        <f>IF(B990="", "", "Host-associated")</f>
        <v>0</v>
      </c>
      <c r="G990" s="1">
        <f>IF(B990="", "", "host-associated")</f>
        <v>0</v>
      </c>
      <c r="I990" s="1">
        <f>IF(B990="", "", "years")</f>
        <v>0</v>
      </c>
      <c r="L990" s="1">
        <f>IF(B990="", "", "cm")</f>
        <v>0</v>
      </c>
      <c r="P990" s="1">
        <f>IF(B990="", "", "kg")</f>
        <v>0</v>
      </c>
      <c r="R990" s="1">
        <f>IF(B990="", "", "Not applicable")</f>
        <v>0</v>
      </c>
    </row>
    <row r="991" spans="1:18">
      <c r="A991">
        <f>IF(COUNTBLANK(B991:R991)&lt;&gt;COLUMNS(B991:R991),990,"")</f>
        <v>0</v>
      </c>
      <c r="C991" s="1">
        <f>IF(B991="", "", "Host-associated")</f>
        <v>0</v>
      </c>
      <c r="G991" s="1">
        <f>IF(B991="", "", "host-associated")</f>
        <v>0</v>
      </c>
      <c r="I991" s="1">
        <f>IF(B991="", "", "years")</f>
        <v>0</v>
      </c>
      <c r="L991" s="1">
        <f>IF(B991="", "", "cm")</f>
        <v>0</v>
      </c>
      <c r="P991" s="1">
        <f>IF(B991="", "", "kg")</f>
        <v>0</v>
      </c>
      <c r="R991" s="1">
        <f>IF(B991="", "", "Not applicable")</f>
        <v>0</v>
      </c>
    </row>
    <row r="992" spans="1:18">
      <c r="A992">
        <f>IF(COUNTBLANK(B992:R992)&lt;&gt;COLUMNS(B992:R992),991,"")</f>
        <v>0</v>
      </c>
      <c r="C992" s="1">
        <f>IF(B992="", "", "Host-associated")</f>
        <v>0</v>
      </c>
      <c r="G992" s="1">
        <f>IF(B992="", "", "host-associated")</f>
        <v>0</v>
      </c>
      <c r="I992" s="1">
        <f>IF(B992="", "", "years")</f>
        <v>0</v>
      </c>
      <c r="L992" s="1">
        <f>IF(B992="", "", "cm")</f>
        <v>0</v>
      </c>
      <c r="P992" s="1">
        <f>IF(B992="", "", "kg")</f>
        <v>0</v>
      </c>
      <c r="R992" s="1">
        <f>IF(B992="", "", "Not applicable")</f>
        <v>0</v>
      </c>
    </row>
    <row r="993" spans="1:18">
      <c r="A993">
        <f>IF(COUNTBLANK(B993:R993)&lt;&gt;COLUMNS(B993:R993),992,"")</f>
        <v>0</v>
      </c>
      <c r="C993" s="1">
        <f>IF(B993="", "", "Host-associated")</f>
        <v>0</v>
      </c>
      <c r="G993" s="1">
        <f>IF(B993="", "", "host-associated")</f>
        <v>0</v>
      </c>
      <c r="I993" s="1">
        <f>IF(B993="", "", "years")</f>
        <v>0</v>
      </c>
      <c r="L993" s="1">
        <f>IF(B993="", "", "cm")</f>
        <v>0</v>
      </c>
      <c r="P993" s="1">
        <f>IF(B993="", "", "kg")</f>
        <v>0</v>
      </c>
      <c r="R993" s="1">
        <f>IF(B993="", "", "Not applicable")</f>
        <v>0</v>
      </c>
    </row>
    <row r="994" spans="1:18">
      <c r="A994">
        <f>IF(COUNTBLANK(B994:R994)&lt;&gt;COLUMNS(B994:R994),993,"")</f>
        <v>0</v>
      </c>
      <c r="C994" s="1">
        <f>IF(B994="", "", "Host-associated")</f>
        <v>0</v>
      </c>
      <c r="G994" s="1">
        <f>IF(B994="", "", "host-associated")</f>
        <v>0</v>
      </c>
      <c r="I994" s="1">
        <f>IF(B994="", "", "years")</f>
        <v>0</v>
      </c>
      <c r="L994" s="1">
        <f>IF(B994="", "", "cm")</f>
        <v>0</v>
      </c>
      <c r="P994" s="1">
        <f>IF(B994="", "", "kg")</f>
        <v>0</v>
      </c>
      <c r="R994" s="1">
        <f>IF(B994="", "", "Not applicable")</f>
        <v>0</v>
      </c>
    </row>
    <row r="995" spans="1:18">
      <c r="A995">
        <f>IF(COUNTBLANK(B995:R995)&lt;&gt;COLUMNS(B995:R995),994,"")</f>
        <v>0</v>
      </c>
      <c r="C995" s="1">
        <f>IF(B995="", "", "Host-associated")</f>
        <v>0</v>
      </c>
      <c r="G995" s="1">
        <f>IF(B995="", "", "host-associated")</f>
        <v>0</v>
      </c>
      <c r="I995" s="1">
        <f>IF(B995="", "", "years")</f>
        <v>0</v>
      </c>
      <c r="L995" s="1">
        <f>IF(B995="", "", "cm")</f>
        <v>0</v>
      </c>
      <c r="P995" s="1">
        <f>IF(B995="", "", "kg")</f>
        <v>0</v>
      </c>
      <c r="R995" s="1">
        <f>IF(B995="", "", "Not applicable")</f>
        <v>0</v>
      </c>
    </row>
    <row r="996" spans="1:18">
      <c r="A996">
        <f>IF(COUNTBLANK(B996:R996)&lt;&gt;COLUMNS(B996:R996),995,"")</f>
        <v>0</v>
      </c>
      <c r="C996" s="1">
        <f>IF(B996="", "", "Host-associated")</f>
        <v>0</v>
      </c>
      <c r="G996" s="1">
        <f>IF(B996="", "", "host-associated")</f>
        <v>0</v>
      </c>
      <c r="I996" s="1">
        <f>IF(B996="", "", "years")</f>
        <v>0</v>
      </c>
      <c r="L996" s="1">
        <f>IF(B996="", "", "cm")</f>
        <v>0</v>
      </c>
      <c r="P996" s="1">
        <f>IF(B996="", "", "kg")</f>
        <v>0</v>
      </c>
      <c r="R996" s="1">
        <f>IF(B996="", "", "Not applicable")</f>
        <v>0</v>
      </c>
    </row>
    <row r="997" spans="1:18">
      <c r="A997">
        <f>IF(COUNTBLANK(B997:R997)&lt;&gt;COLUMNS(B997:R997),996,"")</f>
        <v>0</v>
      </c>
      <c r="C997" s="1">
        <f>IF(B997="", "", "Host-associated")</f>
        <v>0</v>
      </c>
      <c r="G997" s="1">
        <f>IF(B997="", "", "host-associated")</f>
        <v>0</v>
      </c>
      <c r="I997" s="1">
        <f>IF(B997="", "", "years")</f>
        <v>0</v>
      </c>
      <c r="L997" s="1">
        <f>IF(B997="", "", "cm")</f>
        <v>0</v>
      </c>
      <c r="P997" s="1">
        <f>IF(B997="", "", "kg")</f>
        <v>0</v>
      </c>
      <c r="R997" s="1">
        <f>IF(B997="", "", "Not applicable")</f>
        <v>0</v>
      </c>
    </row>
    <row r="998" spans="1:18">
      <c r="A998">
        <f>IF(COUNTBLANK(B998:R998)&lt;&gt;COLUMNS(B998:R998),997,"")</f>
        <v>0</v>
      </c>
      <c r="C998" s="1">
        <f>IF(B998="", "", "Host-associated")</f>
        <v>0</v>
      </c>
      <c r="G998" s="1">
        <f>IF(B998="", "", "host-associated")</f>
        <v>0</v>
      </c>
      <c r="I998" s="1">
        <f>IF(B998="", "", "years")</f>
        <v>0</v>
      </c>
      <c r="L998" s="1">
        <f>IF(B998="", "", "cm")</f>
        <v>0</v>
      </c>
      <c r="P998" s="1">
        <f>IF(B998="", "", "kg")</f>
        <v>0</v>
      </c>
      <c r="R998" s="1">
        <f>IF(B998="", "", "Not applicable")</f>
        <v>0</v>
      </c>
    </row>
    <row r="999" spans="1:18">
      <c r="A999">
        <f>IF(COUNTBLANK(B999:R999)&lt;&gt;COLUMNS(B999:R999),998,"")</f>
        <v>0</v>
      </c>
      <c r="C999" s="1">
        <f>IF(B999="", "", "Host-associated")</f>
        <v>0</v>
      </c>
      <c r="G999" s="1">
        <f>IF(B999="", "", "host-associated")</f>
        <v>0</v>
      </c>
      <c r="I999" s="1">
        <f>IF(B999="", "", "years")</f>
        <v>0</v>
      </c>
      <c r="L999" s="1">
        <f>IF(B999="", "", "cm")</f>
        <v>0</v>
      </c>
      <c r="P999" s="1">
        <f>IF(B999="", "", "kg")</f>
        <v>0</v>
      </c>
      <c r="R999" s="1">
        <f>IF(B999="", "", "Not applicable")</f>
        <v>0</v>
      </c>
    </row>
    <row r="1000" spans="1:18">
      <c r="A1000">
        <f>IF(COUNTBLANK(B1000:R1000)&lt;&gt;COLUMNS(B1000:R1000),999,"")</f>
        <v>0</v>
      </c>
      <c r="C1000" s="1">
        <f>IF(B1000="", "", "Host-associated")</f>
        <v>0</v>
      </c>
      <c r="G1000" s="1">
        <f>IF(B1000="", "", "host-associated")</f>
        <v>0</v>
      </c>
      <c r="I1000" s="1">
        <f>IF(B1000="", "", "years")</f>
        <v>0</v>
      </c>
      <c r="L1000" s="1">
        <f>IF(B1000="", "", "cm")</f>
        <v>0</v>
      </c>
      <c r="P1000" s="1">
        <f>IF(B1000="", "", "kg")</f>
        <v>0</v>
      </c>
      <c r="R1000" s="1">
        <f>IF(B1000="", "", "Not applicable")</f>
        <v>0</v>
      </c>
    </row>
    <row r="1001" spans="1:18">
      <c r="A1001">
        <f>IF(COUNTBLANK(B1001:R1001)&lt;&gt;COLUMNS(B1001:R1001),1000,"")</f>
        <v>0</v>
      </c>
      <c r="C1001" s="1">
        <f>IF(B1001="", "", "Host-associated")</f>
        <v>0</v>
      </c>
      <c r="G1001" s="1">
        <f>IF(B1001="", "", "host-associated")</f>
        <v>0</v>
      </c>
      <c r="I1001" s="1">
        <f>IF(B1001="", "", "years")</f>
        <v>0</v>
      </c>
      <c r="L1001" s="1">
        <f>IF(B1001="", "", "cm")</f>
        <v>0</v>
      </c>
      <c r="P1001" s="1">
        <f>IF(B1001="", "", "kg")</f>
        <v>0</v>
      </c>
      <c r="R1001" s="1">
        <f>IF(B1001="", "", "Not applicable")</f>
        <v>0</v>
      </c>
    </row>
    <row r="1002" spans="1:18">
      <c r="B1002" s="3" t="s">
        <v>2</v>
      </c>
    </row>
  </sheetData>
  <sheetProtection password="EE32" sheet="1" objects="1" scenarios="1" formatCells="0" formatColumns="0" formatRows="0"/>
  <dataValidations count="17">
    <dataValidation type="custom" allowBlank="1" showInputMessage="1" showErrorMessage="1" errorTitle="Invalid sample_name" error="The sample_name value entered is not valid. The value must be a string and must be unique and the value must contain only alphanumeric characters and/or periods." promptTitle="Enter sample_name" prompt="The value must be a string and must be unique and the value must contain only alphanumeric characters and/or periods." sqref="B2:B1001">
      <formula1>(AND(IF(B2="",FALSE,TRUE),COUNTIF(B:B, B2) = 1,NOT(ISERROR(SUMPRODUCT(SEARCH(MID(B2,ROW(INDIRECT("1:"&amp;LEN(B2))), 1),"0123456789abcdefghijklmnopqrstuvwxyzABCDEFGHIJKLMNOPQRSTUVWXYZ."))))))</formula1>
    </dataValidation>
    <dataValidation type="list" allowBlank="1" showInputMessage="1" showErrorMessage="1" errorTitle="Invalid empo_1" error="The empo_1 value entered is not valid. The value must be a string and must equal &quot;Host-associated&quot;. The default value is Host-associated." promptTitle="Enter empo_1" prompt="The value must be a string and must equal &quot;Host-associated&quot;. The default value is Host-associated." sqref="C2:C1001">
      <formula1>"Host-associated"</formula1>
    </dataValidation>
    <dataValidation type="list" allowBlank="1" showInputMessage="1" showErrorMessage="1" errorTitle="Invalid empo_2" error="The empo_2 value entered is not valid. The value must be a string and must equal &quot;Animal&quot; or must equal &quot;Fungus&quot; or must equal &quot;Plant&quot;." promptTitle="Enter empo_2" prompt="The value must be a string and must equal &quot;Animal&quot; or must equal &quot;Fungus&quot; or must equal &quot;Plant&quot;." sqref="D2:D1001">
      <formula1>"Animal,Fungus,Plant"</formula1>
    </dataValidation>
    <dataValidation type="list" allowBlank="1" showInputMessage="1" showErrorMessage="1" errorTitle="Invalid empo_3" error="The empo_3 value entered is not valid. The value must be a string and must equal &quot;Plant secretion&quot; or must equal &quot;Plant rhizosphere&quot; or must equal &quot;Plant surface&quot; or must equal [text truncated: please refer to Data Dictionary sheet for full requirements]." promptTitle="Enter empo_3" prompt="The value must be a string and must equal &quot;Plant secretion&quot; or must equal &quot;Plant rhizosphere&quot; or must equal &quot;Plant surface&quot; or must equal &quot;Plant corpus&quot; or must equal &quot;Fungus su[text truncated: please refer to Data Dictionary sheet for full requirements]." sqref="E2:E1001">
      <formula1>"Plant secretion,Plant rhizosphere,Plant surface,Plant corpus,Fungus surface,Fungus corpus,Animal surface,Animal proximal gut,Animal corpus,Animal distal gut,Animal secretion"</formula1>
    </dataValidation>
    <dataValidation type="list" allowBlank="1" showInputMessage="1" showErrorMessage="1" errorTitle="Invalid env_feature" error="The env_feature value entered is not valid. The value must be a string and must equal &quot;not collected&quot; or must equal &quot;not provided&quot; or must equal &quot;restricted access&quot; or the value[text truncated: please refer to Data Dictionary sheet for full requirements]." promptTitle="Enter env_feature" prompt="The value must be a string and must equal &quot;not collected&quot; or must equal &quot;not provided&quot; or must equal &quot;restricted access&quot; or the value must be a string and must equal &quot;organism-a[text truncated: please refer to Data Dictionary sheet for full requirements]." sqref="F2:F1001">
      <formula1>"not collected,not provided,restricted access,organism-associated habitat,plant-associated habitat,animal-associated habitat,insecta-associated habitat,mammalia-associated habitat,human-associated habitat,livestock-associated habitat"</formula1>
    </dataValidation>
    <dataValidation type="list" allowBlank="1" showInputMessage="1" showErrorMessage="1" errorTitle="Invalid env_package" error="The env_package value entered is not valid. The value must be a string and must equal &quot;host-associated&quot;. The default value is host-associated." promptTitle="Enter env_package" prompt="The value must be a string and must equal &quot;host-associated&quot;. The default value is host-associated." sqref="G2:G1001">
      <formula1>"host-associated"</formula1>
    </dataValidation>
    <dataValidation type="custom" allowBlank="1" showInputMessage="1" showErrorMessage="1" errorTitle="Invalid host_age" error="The host_age value entered is not valid. Host age in appropriate units. The value must be a string and must equal &quot;not collected&quot; or must equal &quot;not provided&quot; or the value must be a number and &gt;0." promptTitle="Enter host_age" prompt="Host age in appropriate units. The value must be a string and must equal &quot;not collected&quot; or must equal &quot;not provided&quot; or the value must be a number and &gt;0." sqref="H2:H1001">
      <formula1>(OR(AND(IF(H2="",FALSE,TRUE),OR(exact(H2,"not collected"),exact(H2,"not provided"))),AND(IF(H2="",FALSE,ISNUMBER(VALUE(H2))),H2&gt;0)))</formula1>
    </dataValidation>
    <dataValidation type="list" allowBlank="1" showInputMessage="1" showErrorMessage="1" errorTitle="Invalid host_age_units" error="The host_age_units value entered is not valid. The value must be a string and must equal &quot;years&quot;. The default value is years." promptTitle="Enter host_age_units" prompt="The value must be a string and must equal &quot;years&quot;. The default value is years." sqref="I2:I1001">
      <formula1>"years"</formula1>
    </dataValidation>
    <dataValidation type="custom" allowBlank="1" showInputMessage="1" showErrorMessage="1" errorTitle="Invalid host_common_name" error="The host_common_name value entered is not valid. Common usage term for host e.g. human. The value must be a string." promptTitle="Enter host_common_name" prompt="Common usage term for host e.g. human. The value must be a string." sqref="J2:J1001">
      <formula1>(IF(J2="",FALSE,TRUE))</formula1>
    </dataValidation>
    <dataValidation type="custom" allowBlank="1" showInputMessage="1" showErrorMessage="1" errorTitle="Invalid host_height" error="The host_height value entered is not valid. Height (or length) of host in cm preferred. The value must be a string and must equal &quot;not collected&quot; or must equal &quot;not provided&quot; or the value must be a number and &gt;0." promptTitle="Enter host_height" prompt="Height (or length) of host in cm preferred. The value must be a string and must equal &quot;not collected&quot; or must equal &quot;not provided&quot; or the value must be a number and &gt;0." sqref="K2:K1001">
      <formula1>(OR(AND(IF(K2="",FALSE,TRUE),OR(exact(K2,"not collected"),exact(K2,"not provided"))),AND(IF(K2="",FALSE,ISNUMBER(VALUE(K2))),K2&gt;0)))</formula1>
    </dataValidation>
    <dataValidation type="list" allowBlank="1" showInputMessage="1" showErrorMessage="1" errorTitle="Invalid host_height_units" error="The host_height_units value entered is not valid. The value must be a string and must equal &quot;cm&quot;. The default value is cm." promptTitle="Enter host_height_units" prompt="The value must be a string and must equal &quot;cm&quot;. The default value is cm." sqref="L2:L1001">
      <formula1>"cm"</formula1>
    </dataValidation>
    <dataValidation type="custom" allowBlank="1" showInputMessage="1" showErrorMessage="1" errorTitle="Invalid host_scientific_name" error="The host_scientific_name value entered is not valid. Host scientific name e.g. Homo sapiens. The value must be a string." promptTitle="Enter host_scientific_name" prompt="Host scientific name e.g. Homo sapiens. The value must be a string." sqref="M2:M1001">
      <formula1>(IF(M2="",FALSE,TRUE))</formula1>
    </dataValidation>
    <dataValidation type="custom" allowBlank="1" showInputMessage="1" showErrorMessage="1" errorTitle="Invalid host_taxid" error="The host_taxid value entered is not valid. Taxonomy id of host e.g. human is 9606. The value must be a string and must equal &quot;not applicable&quot; or must equal &quot;not collected&quot; or must equal &quot;not provided&quot; or the value must be a integer and &gt;0." promptTitle="Enter host_taxid" prompt="Taxonomy id of host e.g. human is 9606. The value must be a string and must equal &quot;not applicable&quot; or must equal &quot;not collected&quot; or must equal &quot;not provided&quot; or the value must be a integer and &gt;0." sqref="N2:N1001">
      <formula1>(OR(AND(IF(N2="",FALSE,TRUE),OR(exact(N2,"not applicable"),exact(N2,"not collected"),exact(N2,"not provided"))),AND(IF(N2="",FALSE,IF(ISERROR(INT(N2)),FALSE,INT(N2)=N2)),N2&gt;0)))</formula1>
    </dataValidation>
    <dataValidation type="custom" allowBlank="1" showInputMessage="1" showErrorMessage="1" errorTitle="Invalid host_weight" error="The host_weight value entered is not valid. In kilograms preferred. The value must be a string and must equal &quot;not collected&quot; or must equal &quot;not provided&quot; or the value must be a number and &gt;0." promptTitle="Enter host_weight" prompt="In kilograms preferred. The value must be a string and must equal &quot;not collected&quot; or must equal &quot;not provided&quot; or the value must be a number and &gt;0." sqref="O2:O1001">
      <formula1>(OR(AND(IF(O2="",FALSE,TRUE),OR(exact(O2,"not collected"),exact(O2,"not provided"))),AND(IF(O2="",FALSE,ISNUMBER(VALUE(O2))),O2&gt;0)))</formula1>
    </dataValidation>
    <dataValidation type="list" allowBlank="1" showInputMessage="1" showErrorMessage="1" errorTitle="Invalid host_weight_units" error="The host_weight_units value entered is not valid. The value must be a string and must equal &quot;kg&quot;. The default value is kg." promptTitle="Enter host_weight_units" prompt="The value must be a string and must equal &quot;kg&quot;. The default value is kg." sqref="P2:P1001">
      <formula1>"kg"</formula1>
    </dataValidation>
    <dataValidation type="custom" allowBlank="1" showInputMessage="1" showErrorMessage="1" errorTitle="Invalid time_point" error="The time_point value entered is not valid. A numeric ID to indicate order of linked samples. The value must be a string and must equal &quot;not applicable&quot; or must equal &quot;not collec[text truncated: please refer to Data Dictionary sheet for full requirements]." promptTitle="Enter time_point" prompt="A numeric ID to indicate order of linked samples. The value must be a string and must equal &quot;not applicable&quot; or must equal &quot;not collected&quot; or must equal &quot;not provided&quot; or must equal &quot;restricted access&quot; or the value must be a integer." sqref="Q2:Q1001">
      <formula1>(OR(AND(IF(Q2="",FALSE,TRUE),OR(exact(Q2,"not applicable"),exact(Q2,"not collected"),exact(Q2,"not provided"),exact(Q2,"restricted access"))),IF(Q2="",FALSE,IF(ISERROR(INT(Q2)),FALSE,INT(Q2)=Q2))))</formula1>
    </dataValidation>
    <dataValidation type="list" allowBlank="1" showInputMessage="1" showErrorMessage="1" errorTitle="Invalid time_point_units" error="The time_point_units value entered is not valid. The value must be a string and must equal &quot;Not applicable&quot;. The default value is Not applicable." promptTitle="Enter time_point_units" prompt="The value must be a string and must equal &quot;Not applicable&quot;. The default value is Not applicable." sqref="R2:R1001">
      <formula1>"Not applicable"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S1006"/>
  <sheetViews>
    <sheetView workbookViewId="0">
      <pane xSplit="1" ySplit="1" topLeftCell="B2" activePane="bottomRight" state="frozen"/>
      <selection pane="topRight" activeCell="B1" sqref="B1"/>
      <selection pane="bottomLeft" activeCell="A2" sqref="A2"/>
      <selection pane="bottomRight"/>
    </sheetView>
  </sheetViews>
  <sheetFormatPr defaultRowHeight="15" zeroHeight="1"/>
  <cols>
    <col min="1" max="1" width="25.7109375" customWidth="1"/>
    <col min="2" max="2" width="25.7109375" customWidth="1"/>
    <col min="3" max="3" width="25.7109375" customWidth="1"/>
    <col min="4" max="4" width="25.7109375" customWidth="1"/>
    <col min="5" max="5" width="25.7109375" customWidth="1"/>
    <col min="6" max="6" width="25.7109375" customWidth="1"/>
    <col min="7" max="7" width="25.7109375" customWidth="1"/>
    <col min="8" max="8" width="25.7109375" customWidth="1"/>
    <col min="9" max="9" width="25.7109375" customWidth="1"/>
    <col min="10" max="10" width="25.7109375" customWidth="1"/>
    <col min="11" max="11" width="25.7109375" customWidth="1"/>
    <col min="12" max="12" width="25.7109375" customWidth="1"/>
    <col min="13" max="13" width="25.7109375" customWidth="1"/>
    <col min="14" max="14" width="25.7109375" customWidth="1"/>
    <col min="15" max="15" width="25.7109375" customWidth="1"/>
    <col min="16" max="16" width="25.7109375" customWidth="1"/>
    <col min="17" max="17" width="25.7109375" customWidth="1"/>
    <col min="18" max="18" width="25.7109375" customWidth="1"/>
    <col min="22" max="28" width="0" hidden="1" customWidth="1"/>
    <col min="29" max="45" width="0" hidden="1" customWidth="1"/>
  </cols>
  <sheetData>
    <row r="1" spans="1:45">
      <c r="A1" s="3" t="s">
        <v>1</v>
      </c>
      <c r="B1" s="3">
        <f>IF(B2=" ", " ", INDEX($AC$1:$AS$1, 1, MATCH(COLUMNS($AC$1006:AC1006),$AC$1006:$AS$1006,0)))</f>
        <v>0</v>
      </c>
      <c r="C1" s="3">
        <f>IF(C2=" ", " ", INDEX($AC$1:$AS$1, 1, MATCH(COLUMNS($AC$1006:AD1006),$AC$1006:$AS$1006,0)))</f>
        <v>0</v>
      </c>
      <c r="D1" s="3">
        <f>IF(D2=" ", " ", INDEX($AC$1:$AS$1, 1, MATCH(COLUMNS($AC$1006:AE1006),$AC$1006:$AS$1006,0)))</f>
        <v>0</v>
      </c>
      <c r="E1" s="3">
        <f>IF(E2=" ", " ", INDEX($AC$1:$AS$1, 1, MATCH(COLUMNS($AC$1006:AF1006),$AC$1006:$AS$1006,0)))</f>
        <v>0</v>
      </c>
      <c r="F1" s="3">
        <f>IF(F2=" ", " ", INDEX($AC$1:$AS$1, 1, MATCH(COLUMNS($AC$1006:AG1006),$AC$1006:$AS$1006,0)))</f>
        <v>0</v>
      </c>
      <c r="G1" s="3">
        <f>IF(G2=" ", " ", INDEX($AC$1:$AS$1, 1, MATCH(COLUMNS($AC$1006:AH1006),$AC$1006:$AS$1006,0)))</f>
        <v>0</v>
      </c>
      <c r="H1" s="3">
        <f>IF(H2=" ", " ", INDEX($AC$1:$AS$1, 1, MATCH(COLUMNS($AC$1006:AI1006),$AC$1006:$AS$1006,0)))</f>
        <v>0</v>
      </c>
      <c r="I1" s="3">
        <f>IF(I2=" ", " ", INDEX($AC$1:$AS$1, 1, MATCH(COLUMNS($AC$1006:AJ1006),$AC$1006:$AS$1006,0)))</f>
        <v>0</v>
      </c>
      <c r="J1" s="3">
        <f>IF(J2=" ", " ", INDEX($AC$1:$AS$1, 1, MATCH(COLUMNS($AC$1006:AK1006),$AC$1006:$AS$1006,0)))</f>
        <v>0</v>
      </c>
      <c r="K1" s="3">
        <f>IF(K2=" ", " ", INDEX($AC$1:$AS$1, 1, MATCH(COLUMNS($AC$1006:AL1006),$AC$1006:$AS$1006,0)))</f>
        <v>0</v>
      </c>
      <c r="L1" s="3">
        <f>IF(L2=" ", " ", INDEX($AC$1:$AS$1, 1, MATCH(COLUMNS($AC$1006:AM1006),$AC$1006:$AS$1006,0)))</f>
        <v>0</v>
      </c>
      <c r="M1" s="3">
        <f>IF(M2=" ", " ", INDEX($AC$1:$AS$1, 1, MATCH(COLUMNS($AC$1006:AN1006),$AC$1006:$AS$1006,0)))</f>
        <v>0</v>
      </c>
      <c r="N1" s="3">
        <f>IF(N2=" ", " ", INDEX($AC$1:$AS$1, 1, MATCH(COLUMNS($AC$1006:AO1006),$AC$1006:$AS$1006,0)))</f>
        <v>0</v>
      </c>
      <c r="O1" s="3">
        <f>IF(O2=" ", " ", INDEX($AC$1:$AS$1, 1, MATCH(COLUMNS($AC$1006:AP1006),$AC$1006:$AS$1006,0)))</f>
        <v>0</v>
      </c>
      <c r="P1" s="3">
        <f>IF(P2=" ", " ", INDEX($AC$1:$AS$1, 1, MATCH(COLUMNS($AC$1006:AQ1006),$AC$1006:$AS$1006,0)))</f>
        <v>0</v>
      </c>
      <c r="Q1" s="3">
        <f>IF(Q2=" ", " ", INDEX($AC$1:$AS$1, 1, MATCH(COLUMNS($AC$1006:AR1006),$AC$1006:$AS$1006,0)))</f>
        <v>0</v>
      </c>
      <c r="R1" s="3">
        <f>IF(R2=" ", " ", INDEX($AC$1:$AS$1, 1, MATCH(COLUMNS($AC$1006:AS1006),$AC$1006:$AS$1006,0)))</f>
        <v>0</v>
      </c>
      <c r="V1" s="3" t="s">
        <v>23</v>
      </c>
      <c r="W1" s="3" t="s">
        <v>22</v>
      </c>
      <c r="X1" s="3" t="s">
        <v>21</v>
      </c>
      <c r="Y1" s="3" t="s">
        <v>20</v>
      </c>
      <c r="Z1" s="3" t="s">
        <v>19</v>
      </c>
      <c r="AA1" s="3" t="s">
        <v>1</v>
      </c>
      <c r="AC1" s="3" t="s">
        <v>1</v>
      </c>
      <c r="AD1" s="3" t="s">
        <v>3</v>
      </c>
      <c r="AE1" s="3" t="s">
        <v>4</v>
      </c>
      <c r="AF1" s="3" t="s">
        <v>5</v>
      </c>
      <c r="AG1" s="3" t="s">
        <v>6</v>
      </c>
      <c r="AH1" s="3" t="s">
        <v>7</v>
      </c>
      <c r="AI1" s="3" t="s">
        <v>8</v>
      </c>
      <c r="AJ1" s="3" t="s">
        <v>9</v>
      </c>
      <c r="AK1" s="3" t="s">
        <v>10</v>
      </c>
      <c r="AL1" s="3" t="s">
        <v>11</v>
      </c>
      <c r="AM1" s="3" t="s">
        <v>12</v>
      </c>
      <c r="AN1" s="3" t="s">
        <v>13</v>
      </c>
      <c r="AO1" s="3" t="s">
        <v>14</v>
      </c>
      <c r="AP1" s="3" t="s">
        <v>15</v>
      </c>
      <c r="AQ1" s="3" t="s">
        <v>16</v>
      </c>
      <c r="AR1" s="3" t="s">
        <v>17</v>
      </c>
      <c r="AS1" s="3" t="s">
        <v>18</v>
      </c>
    </row>
    <row r="2" spans="1:45">
      <c r="A2" s="4">
        <f>IF(B2=" "," ",HYPERLINK(CONCATENATE("#metadata!",ADDRESS(INDEX($X$2:$X$1001,MATCH(ROWS($V$2:V2),$V$2:$V$1001,0),0),2)),INDEX($AA$2:$AA$1001,MATCH(ROWS($V$2:V2),$V$2:$V$1001,0),0)))</f>
        <v>0</v>
      </c>
      <c r="B2" s="5">
        <f>IF(OR(INDEX($W$2:$W$1001,MATCH(ROWS($V$2:V2),$V$2:$V$1001,0),1)&gt;=100000,INDEX($AC$1005:$AS$1005,1,MATCH(COLUMNS($AC$1006:AC1006),$AC$1006:$AS$1006,0))&gt;=100000), " ",IF(INDEX($AC$2:$AS$1001,MATCH(ROWS($V$2:V2),$V$2:$V$1001,0),MATCH(COLUMNS($AC$1006:AC1006),$AC$1006:$AS$1006,0)), HYPERLINK("#",""), HYPERLINK(CONCATENATE("#Metadata!", ADDRESS(INDEX($X$2:$X$1001,MATCH(ROWS($V$2:V2),$V$2:$V$1001,0),0), INDEX($AC$1004:$AS$1004,1,MATCH(COLUMNS($AC$1006:AC1006),$AC$1006:$AS$1006,0)))),"Fix")))</f>
        <v>0</v>
      </c>
      <c r="C2" s="5">
        <f>IF(OR(INDEX($W$2:$W$1001,MATCH(ROWS($V$2:V2),$V$2:$V$1001,0),1)&gt;=100000,INDEX($AC$1005:$AS$1005,1,MATCH(COLUMNS($AC$1006:AD1006),$AC$1006:$AS$1006,0))&gt;=100000), " ",IF(INDEX($AC$2:$AS$1001,MATCH(ROWS($V$2:V2),$V$2:$V$1001,0),MATCH(COLUMNS($AC$1006:AD1006),$AC$1006:$AS$1006,0)), HYPERLINK("#",""), HYPERLINK(CONCATENATE("#Metadata!", ADDRESS(INDEX($X$2:$X$1001,MATCH(ROWS($V$2:V2),$V$2:$V$1001,0),0), INDEX($AC$1004:$AS$1004,1,MATCH(COLUMNS($AC$1006:AD1006),$AC$1006:$AS$1006,0)))),"Fix")))</f>
        <v>0</v>
      </c>
      <c r="D2" s="5">
        <f>IF(OR(INDEX($W$2:$W$1001,MATCH(ROWS($V$2:V2),$V$2:$V$1001,0),1)&gt;=100000,INDEX($AC$1005:$AS$1005,1,MATCH(COLUMNS($AC$1006:AE1006),$AC$1006:$AS$1006,0))&gt;=100000), " ",IF(INDEX($AC$2:$AS$1001,MATCH(ROWS($V$2:V2),$V$2:$V$1001,0),MATCH(COLUMNS($AC$1006:AE1006),$AC$1006:$AS$1006,0)), HYPERLINK("#",""), HYPERLINK(CONCATENATE("#Metadata!", ADDRESS(INDEX($X$2:$X$1001,MATCH(ROWS($V$2:V2),$V$2:$V$1001,0),0), INDEX($AC$1004:$AS$1004,1,MATCH(COLUMNS($AC$1006:AE1006),$AC$1006:$AS$1006,0)))),"Fix")))</f>
        <v>0</v>
      </c>
      <c r="E2" s="5">
        <f>IF(OR(INDEX($W$2:$W$1001,MATCH(ROWS($V$2:V2),$V$2:$V$1001,0),1)&gt;=100000,INDEX($AC$1005:$AS$1005,1,MATCH(COLUMNS($AC$1006:AF1006),$AC$1006:$AS$1006,0))&gt;=100000), " ",IF(INDEX($AC$2:$AS$1001,MATCH(ROWS($V$2:V2),$V$2:$V$1001,0),MATCH(COLUMNS($AC$1006:AF1006),$AC$1006:$AS$1006,0)), HYPERLINK("#",""), HYPERLINK(CONCATENATE("#Metadata!", ADDRESS(INDEX($X$2:$X$1001,MATCH(ROWS($V$2:V2),$V$2:$V$1001,0),0), INDEX($AC$1004:$AS$1004,1,MATCH(COLUMNS($AC$1006:AF1006),$AC$1006:$AS$1006,0)))),"Fix")))</f>
        <v>0</v>
      </c>
      <c r="F2" s="5">
        <f>IF(OR(INDEX($W$2:$W$1001,MATCH(ROWS($V$2:V2),$V$2:$V$1001,0),1)&gt;=100000,INDEX($AC$1005:$AS$1005,1,MATCH(COLUMNS($AC$1006:AG1006),$AC$1006:$AS$1006,0))&gt;=100000), " ",IF(INDEX($AC$2:$AS$1001,MATCH(ROWS($V$2:V2),$V$2:$V$1001,0),MATCH(COLUMNS($AC$1006:AG1006),$AC$1006:$AS$1006,0)), HYPERLINK("#",""), HYPERLINK(CONCATENATE("#Metadata!", ADDRESS(INDEX($X$2:$X$1001,MATCH(ROWS($V$2:V2),$V$2:$V$1001,0),0), INDEX($AC$1004:$AS$1004,1,MATCH(COLUMNS($AC$1006:AG1006),$AC$1006:$AS$1006,0)))),"Fix")))</f>
        <v>0</v>
      </c>
      <c r="G2" s="5">
        <f>IF(OR(INDEX($W$2:$W$1001,MATCH(ROWS($V$2:V2),$V$2:$V$1001,0),1)&gt;=100000,INDEX($AC$1005:$AS$1005,1,MATCH(COLUMNS($AC$1006:AH1006),$AC$1006:$AS$1006,0))&gt;=100000), " ",IF(INDEX($AC$2:$AS$1001,MATCH(ROWS($V$2:V2),$V$2:$V$1001,0),MATCH(COLUMNS($AC$1006:AH1006),$AC$1006:$AS$1006,0)), HYPERLINK("#",""), HYPERLINK(CONCATENATE("#Metadata!", ADDRESS(INDEX($X$2:$X$1001,MATCH(ROWS($V$2:V2),$V$2:$V$1001,0),0), INDEX($AC$1004:$AS$1004,1,MATCH(COLUMNS($AC$1006:AH1006),$AC$1006:$AS$1006,0)))),"Fix")))</f>
        <v>0</v>
      </c>
      <c r="H2" s="5">
        <f>IF(OR(INDEX($W$2:$W$1001,MATCH(ROWS($V$2:V2),$V$2:$V$1001,0),1)&gt;=100000,INDEX($AC$1005:$AS$1005,1,MATCH(COLUMNS($AC$1006:AI1006),$AC$1006:$AS$1006,0))&gt;=100000), " ",IF(INDEX($AC$2:$AS$1001,MATCH(ROWS($V$2:V2),$V$2:$V$1001,0),MATCH(COLUMNS($AC$1006:AI1006),$AC$1006:$AS$1006,0)), HYPERLINK("#",""), HYPERLINK(CONCATENATE("#Metadata!", ADDRESS(INDEX($X$2:$X$1001,MATCH(ROWS($V$2:V2),$V$2:$V$1001,0),0), INDEX($AC$1004:$AS$1004,1,MATCH(COLUMNS($AC$1006:AI1006),$AC$1006:$AS$1006,0)))),"Fix")))</f>
        <v>0</v>
      </c>
      <c r="I2" s="5">
        <f>IF(OR(INDEX($W$2:$W$1001,MATCH(ROWS($V$2:V2),$V$2:$V$1001,0),1)&gt;=100000,INDEX($AC$1005:$AS$1005,1,MATCH(COLUMNS($AC$1006:AJ1006),$AC$1006:$AS$1006,0))&gt;=100000), " ",IF(INDEX($AC$2:$AS$1001,MATCH(ROWS($V$2:V2),$V$2:$V$1001,0),MATCH(COLUMNS($AC$1006:AJ1006),$AC$1006:$AS$1006,0)), HYPERLINK("#",""), HYPERLINK(CONCATENATE("#Metadata!", ADDRESS(INDEX($X$2:$X$1001,MATCH(ROWS($V$2:V2),$V$2:$V$1001,0),0), INDEX($AC$1004:$AS$1004,1,MATCH(COLUMNS($AC$1006:AJ1006),$AC$1006:$AS$1006,0)))),"Fix")))</f>
        <v>0</v>
      </c>
      <c r="J2" s="5">
        <f>IF(OR(INDEX($W$2:$W$1001,MATCH(ROWS($V$2:V2),$V$2:$V$1001,0),1)&gt;=100000,INDEX($AC$1005:$AS$1005,1,MATCH(COLUMNS($AC$1006:AK1006),$AC$1006:$AS$1006,0))&gt;=100000), " ",IF(INDEX($AC$2:$AS$1001,MATCH(ROWS($V$2:V2),$V$2:$V$1001,0),MATCH(COLUMNS($AC$1006:AK1006),$AC$1006:$AS$1006,0)), HYPERLINK("#",""), HYPERLINK(CONCATENATE("#Metadata!", ADDRESS(INDEX($X$2:$X$1001,MATCH(ROWS($V$2:V2),$V$2:$V$1001,0),0), INDEX($AC$1004:$AS$1004,1,MATCH(COLUMNS($AC$1006:AK1006),$AC$1006:$AS$1006,0)))),"Fix")))</f>
        <v>0</v>
      </c>
      <c r="K2" s="5">
        <f>IF(OR(INDEX($W$2:$W$1001,MATCH(ROWS($V$2:V2),$V$2:$V$1001,0),1)&gt;=100000,INDEX($AC$1005:$AS$1005,1,MATCH(COLUMNS($AC$1006:AL1006),$AC$1006:$AS$1006,0))&gt;=100000), " ",IF(INDEX($AC$2:$AS$1001,MATCH(ROWS($V$2:V2),$V$2:$V$1001,0),MATCH(COLUMNS($AC$1006:AL1006),$AC$1006:$AS$1006,0)), HYPERLINK("#",""), HYPERLINK(CONCATENATE("#Metadata!", ADDRESS(INDEX($X$2:$X$1001,MATCH(ROWS($V$2:V2),$V$2:$V$1001,0),0), INDEX($AC$1004:$AS$1004,1,MATCH(COLUMNS($AC$1006:AL1006),$AC$1006:$AS$1006,0)))),"Fix")))</f>
        <v>0</v>
      </c>
      <c r="L2" s="5">
        <f>IF(OR(INDEX($W$2:$W$1001,MATCH(ROWS($V$2:V2),$V$2:$V$1001,0),1)&gt;=100000,INDEX($AC$1005:$AS$1005,1,MATCH(COLUMNS($AC$1006:AM1006),$AC$1006:$AS$1006,0))&gt;=100000), " ",IF(INDEX($AC$2:$AS$1001,MATCH(ROWS($V$2:V2),$V$2:$V$1001,0),MATCH(COLUMNS($AC$1006:AM1006),$AC$1006:$AS$1006,0)), HYPERLINK("#",""), HYPERLINK(CONCATENATE("#Metadata!", ADDRESS(INDEX($X$2:$X$1001,MATCH(ROWS($V$2:V2),$V$2:$V$1001,0),0), INDEX($AC$1004:$AS$1004,1,MATCH(COLUMNS($AC$1006:AM1006),$AC$1006:$AS$1006,0)))),"Fix")))</f>
        <v>0</v>
      </c>
      <c r="M2" s="5">
        <f>IF(OR(INDEX($W$2:$W$1001,MATCH(ROWS($V$2:V2),$V$2:$V$1001,0),1)&gt;=100000,INDEX($AC$1005:$AS$1005,1,MATCH(COLUMNS($AC$1006:AN1006),$AC$1006:$AS$1006,0))&gt;=100000), " ",IF(INDEX($AC$2:$AS$1001,MATCH(ROWS($V$2:V2),$V$2:$V$1001,0),MATCH(COLUMNS($AC$1006:AN1006),$AC$1006:$AS$1006,0)), HYPERLINK("#",""), HYPERLINK(CONCATENATE("#Metadata!", ADDRESS(INDEX($X$2:$X$1001,MATCH(ROWS($V$2:V2),$V$2:$V$1001,0),0), INDEX($AC$1004:$AS$1004,1,MATCH(COLUMNS($AC$1006:AN1006),$AC$1006:$AS$1006,0)))),"Fix")))</f>
        <v>0</v>
      </c>
      <c r="N2" s="5">
        <f>IF(OR(INDEX($W$2:$W$1001,MATCH(ROWS($V$2:V2),$V$2:$V$1001,0),1)&gt;=100000,INDEX($AC$1005:$AS$1005,1,MATCH(COLUMNS($AC$1006:AO1006),$AC$1006:$AS$1006,0))&gt;=100000), " ",IF(INDEX($AC$2:$AS$1001,MATCH(ROWS($V$2:V2),$V$2:$V$1001,0),MATCH(COLUMNS($AC$1006:AO1006),$AC$1006:$AS$1006,0)), HYPERLINK("#",""), HYPERLINK(CONCATENATE("#Metadata!", ADDRESS(INDEX($X$2:$X$1001,MATCH(ROWS($V$2:V2),$V$2:$V$1001,0),0), INDEX($AC$1004:$AS$1004,1,MATCH(COLUMNS($AC$1006:AO1006),$AC$1006:$AS$1006,0)))),"Fix")))</f>
        <v>0</v>
      </c>
      <c r="O2" s="5">
        <f>IF(OR(INDEX($W$2:$W$1001,MATCH(ROWS($V$2:V2),$V$2:$V$1001,0),1)&gt;=100000,INDEX($AC$1005:$AS$1005,1,MATCH(COLUMNS($AC$1006:AP1006),$AC$1006:$AS$1006,0))&gt;=100000), " ",IF(INDEX($AC$2:$AS$1001,MATCH(ROWS($V$2:V2),$V$2:$V$1001,0),MATCH(COLUMNS($AC$1006:AP1006),$AC$1006:$AS$1006,0)), HYPERLINK("#",""), HYPERLINK(CONCATENATE("#Metadata!", ADDRESS(INDEX($X$2:$X$1001,MATCH(ROWS($V$2:V2),$V$2:$V$1001,0),0), INDEX($AC$1004:$AS$1004,1,MATCH(COLUMNS($AC$1006:AP1006),$AC$1006:$AS$1006,0)))),"Fix")))</f>
        <v>0</v>
      </c>
      <c r="P2" s="5">
        <f>IF(OR(INDEX($W$2:$W$1001,MATCH(ROWS($V$2:V2),$V$2:$V$1001,0),1)&gt;=100000,INDEX($AC$1005:$AS$1005,1,MATCH(COLUMNS($AC$1006:AQ1006),$AC$1006:$AS$1006,0))&gt;=100000), " ",IF(INDEX($AC$2:$AS$1001,MATCH(ROWS($V$2:V2),$V$2:$V$1001,0),MATCH(COLUMNS($AC$1006:AQ1006),$AC$1006:$AS$1006,0)), HYPERLINK("#",""), HYPERLINK(CONCATENATE("#Metadata!", ADDRESS(INDEX($X$2:$X$1001,MATCH(ROWS($V$2:V2),$V$2:$V$1001,0),0), INDEX($AC$1004:$AS$1004,1,MATCH(COLUMNS($AC$1006:AQ1006),$AC$1006:$AS$1006,0)))),"Fix")))</f>
        <v>0</v>
      </c>
      <c r="Q2" s="5">
        <f>IF(OR(INDEX($W$2:$W$1001,MATCH(ROWS($V$2:V2),$V$2:$V$1001,0),1)&gt;=100000,INDEX($AC$1005:$AS$1005,1,MATCH(COLUMNS($AC$1006:AR1006),$AC$1006:$AS$1006,0))&gt;=100000), " ",IF(INDEX($AC$2:$AS$1001,MATCH(ROWS($V$2:V2),$V$2:$V$1001,0),MATCH(COLUMNS($AC$1006:AR1006),$AC$1006:$AS$1006,0)), HYPERLINK("#",""), HYPERLINK(CONCATENATE("#Metadata!", ADDRESS(INDEX($X$2:$X$1001,MATCH(ROWS($V$2:V2),$V$2:$V$1001,0),0), INDEX($AC$1004:$AS$1004,1,MATCH(COLUMNS($AC$1006:AR1006),$AC$1006:$AS$1006,0)))),"Fix")))</f>
        <v>0</v>
      </c>
      <c r="R2" s="5">
        <f>IF(OR(INDEX($W$2:$W$1001,MATCH(ROWS($V$2:V2),$V$2:$V$1001,0),1)&gt;=100000,INDEX($AC$1005:$AS$1005,1,MATCH(COLUMNS($AC$1006:AS1006),$AC$1006:$AS$1006,0))&gt;=100000), " ",IF(INDEX($AC$2:$AS$1001,MATCH(ROWS($V$2:V2),$V$2:$V$1001,0),MATCH(COLUMNS($AC$1006:AS1006),$AC$1006:$AS$1006,0)), HYPERLINK("#",""), HYPERLINK(CONCATENATE("#Metadata!", ADDRESS(INDEX($X$2:$X$1001,MATCH(ROWS($V$2:V2),$V$2:$V$1001,0),0), INDEX($AC$1004:$AS$1004,1,MATCH(COLUMNS($AC$1006:AS1006),$AC$1006:$AS$1006,0)))),"Fix")))</f>
        <v>0</v>
      </c>
      <c r="V2">
        <f t="array" ref="V2:V1001">COUNTIF(W$2:W$1001,"&lt;="&amp;$W2:$W1001)</f>
        <v>0</v>
      </c>
      <c r="W2">
        <f t="array" ref="W2:W1001">INT(Y2:Y1001)*100000+$X$2:$X$1001</f>
        <v>0</v>
      </c>
      <c r="X2">
        <f t="array" ref="X2:X1001">ROW(Metadata!B2:B1001)</f>
        <v>0</v>
      </c>
      <c r="Y2">
        <f>IF(Z2,TRUE,AND(AC2:AS2))</f>
        <v>0</v>
      </c>
      <c r="Z2">
        <f>COUNTBLANK(Metadata!B2:R2)=COLUMNS(Metadata!B2:R2)</f>
        <v>0</v>
      </c>
      <c r="AA2">
        <f t="array" ref="AA2:AA1001">IF(Metadata!B2:B1001="","",Metadata!B2:B1001)</f>
        <v>0</v>
      </c>
      <c r="AC2">
        <f>AND(IF(Metadata!B2="",FALSE,TRUE),COUNTIF(Metadata!B:B, Metadata!B2) = 1,NOT(ISERROR(SUMPRODUCT(SEARCH(MID(Metadata!B2,ROW(INDIRECT("1:"&amp;LEN(Metadata!B2))), 1),"0123456789abcdefghijklmnopqrstuvwxyzABCDEFGHIJKLMNOPQRSTUVWXYZ.")))))</f>
        <v>0</v>
      </c>
      <c r="AD2">
        <f>AND(IF(Metadata!C2="",FALSE,TRUE),exact(Metadata!C2,"Host-associated"))</f>
        <v>0</v>
      </c>
      <c r="AE2">
        <f>AND(IF(Metadata!D2="",FALSE,TRUE),OR(exact(Metadata!D2,"Animal"),exact(Metadata!D2,"Fungus"),exact(Metadata!D2,"Plant")))</f>
        <v>0</v>
      </c>
      <c r="AF2">
        <f>AND(IF(Metadata!E2="",FALSE,TRUE),OR(exact(Metadata!E2,"Plant secretion"),exact(Metadata!E2,"Plant rhizosphere"),exact(Metadata!E2,"Plant surface"),exact(Metadata!E2,"Plant corpus"),exact(Metadata!E2,"Fungus surface"),exact(Metadata!E2,"Fungus corpus"),exact(Metadata!E2,"Animal surface"),exact(Metadata!E2,"Animal proximal gut"),exact(Metadata!E2,"Animal corpus"),exact(Metadata!E2,"Animal distal gut"),exact(Metadata!E2,"Animal secretion")))</f>
        <v>0</v>
      </c>
      <c r="AG2">
        <f>OR(AND(IF(Metadata!F2="",FALSE,TRUE),OR(exact(Metadata!F2,"not collected"),exact(Metadata!F2,"not provided"),exact(Metadata!F2,"restricted access"))),AND(IF(Metadata!F2="",FALSE,TRUE),OR(exact(Metadata!F2,"organism-associated habitat"),exact(Metadata!F2,"plant-associated habitat"),exact(Metadata!F2,"animal-associated habitat"),exact(Metadata!F2,"insecta-associated habitat"),exact(Metadata!F2,"mammalia-associated habitat"),exact(Metadata!F2,"human-associated habitat"),exact(Metadata!F2,"livestock-associated habitat"))))</f>
        <v>0</v>
      </c>
      <c r="AH2">
        <f>AND(IF(Metadata!G2="",FALSE,TRUE),exact(Metadata!G2,"host-associated"))</f>
        <v>0</v>
      </c>
      <c r="AI2">
        <f>OR(AND(IF(Metadata!H2="",FALSE,TRUE),OR(exact(Metadata!H2,"not collected"),exact(Metadata!H2,"not provided"))),AND(IF(Metadata!H2="",FALSE,ISNUMBER(VALUE(Metadata!H2))),Metadata!H2&gt;0))</f>
        <v>0</v>
      </c>
      <c r="AJ2">
        <f>AND(IF(Metadata!I2="",FALSE,TRUE),exact(Metadata!I2,"years"))</f>
        <v>0</v>
      </c>
      <c r="AK2">
        <f>IF(Metadata!J2="",FALSE,TRUE)</f>
        <v>0</v>
      </c>
      <c r="AL2">
        <f>OR(AND(IF(Metadata!K2="",FALSE,TRUE),OR(exact(Metadata!K2,"not collected"),exact(Metadata!K2,"not provided"))),AND(IF(Metadata!K2="",FALSE,ISNUMBER(VALUE(Metadata!K2))),Metadata!K2&gt;0))</f>
        <v>0</v>
      </c>
      <c r="AM2">
        <f>AND(IF(Metadata!L2="",FALSE,TRUE),exact(Metadata!L2,"cm"))</f>
        <v>0</v>
      </c>
      <c r="AN2">
        <f>IF(Metadata!M2="",FALSE,TRUE)</f>
        <v>0</v>
      </c>
      <c r="AO2">
        <f>OR(AND(IF(Metadata!N2="",FALSE,TRUE),OR(exact(Metadata!N2,"not applicable"),exact(Metadata!N2,"not collected"),exact(Metadata!N2,"not provided"))),AND(IF(Metadata!N2="",FALSE,IF(ISERROR(INT(Metadata!N2)),FALSE,INT(Metadata!N2)=Metadata!N2)),Metadata!N2&gt;0))</f>
        <v>0</v>
      </c>
      <c r="AP2">
        <f>OR(AND(IF(Metadata!O2="",FALSE,TRUE),OR(exact(Metadata!O2,"not collected"),exact(Metadata!O2,"not provided"))),AND(IF(Metadata!O2="",FALSE,ISNUMBER(VALUE(Metadata!O2))),Metadata!O2&gt;0))</f>
        <v>0</v>
      </c>
      <c r="AQ2">
        <f>AND(IF(Metadata!P2="",FALSE,TRUE),exact(Metadata!P2,"kg"))</f>
        <v>0</v>
      </c>
      <c r="AR2">
        <f>OR(AND(IF(Metadata!Q2="",FALSE,TRUE),OR(exact(Metadata!Q2,"not applicable"),exact(Metadata!Q2,"not collected"),exact(Metadata!Q2,"not provided"),exact(Metadata!Q2,"restricted access"))),IF(Metadata!Q2="",FALSE,IF(ISERROR(INT(Metadata!Q2)),FALSE,INT(Metadata!Q2)=Metadata!Q2)))</f>
        <v>0</v>
      </c>
      <c r="AS2">
        <f>AND(IF(Metadata!R2="",FALSE,TRUE),exact(Metadata!R2,"Not applicable"))</f>
        <v>0</v>
      </c>
    </row>
    <row r="3" spans="1:45">
      <c r="A3" s="4">
        <f>IF(B3=" "," ",HYPERLINK(CONCATENATE("#metadata!",ADDRESS(INDEX($X$2:$X$1001,MATCH(ROWS($V$2:V3),$V$2:$V$1001,0),0),2)),INDEX($AA$2:$AA$1001,MATCH(ROWS($V$2:V3),$V$2:$V$1001,0),0)))</f>
        <v>0</v>
      </c>
      <c r="B3" s="5">
        <f>IF(OR(INDEX($W$2:$W$1001,MATCH(ROWS($V$2:V3),$V$2:$V$1001,0),1)&gt;=100000,INDEX($AC$1005:$AS$1005,1,MATCH(COLUMNS($AC$1006:AC1006),$AC$1006:$AS$1006,0))&gt;=100000), " ",IF(INDEX($AC$2:$AS$1001,MATCH(ROWS($V$2:V3),$V$2:$V$1001,0),MATCH(COLUMNS($AC$1006:AC1006),$AC$1006:$AS$1006,0)), HYPERLINK("#",""), HYPERLINK(CONCATENATE("#Metadata!", ADDRESS(INDEX($X$2:$X$1001,MATCH(ROWS($V$2:V3),$V$2:$V$1001,0),0), INDEX($AC$1004:$AS$1004,1,MATCH(COLUMNS($AC$1006:AC1006),$AC$1006:$AS$1006,0)))),"Fix")))</f>
        <v>0</v>
      </c>
      <c r="C3" s="5">
        <f>IF(OR(INDEX($W$2:$W$1001,MATCH(ROWS($V$2:V3),$V$2:$V$1001,0),1)&gt;=100000,INDEX($AC$1005:$AS$1005,1,MATCH(COLUMNS($AC$1006:AD1006),$AC$1006:$AS$1006,0))&gt;=100000), " ",IF(INDEX($AC$2:$AS$1001,MATCH(ROWS($V$2:V3),$V$2:$V$1001,0),MATCH(COLUMNS($AC$1006:AD1006),$AC$1006:$AS$1006,0)), HYPERLINK("#",""), HYPERLINK(CONCATENATE("#Metadata!", ADDRESS(INDEX($X$2:$X$1001,MATCH(ROWS($V$2:V3),$V$2:$V$1001,0),0), INDEX($AC$1004:$AS$1004,1,MATCH(COLUMNS($AC$1006:AD1006),$AC$1006:$AS$1006,0)))),"Fix")))</f>
        <v>0</v>
      </c>
      <c r="D3" s="5">
        <f>IF(OR(INDEX($W$2:$W$1001,MATCH(ROWS($V$2:V3),$V$2:$V$1001,0),1)&gt;=100000,INDEX($AC$1005:$AS$1005,1,MATCH(COLUMNS($AC$1006:AE1006),$AC$1006:$AS$1006,0))&gt;=100000), " ",IF(INDEX($AC$2:$AS$1001,MATCH(ROWS($V$2:V3),$V$2:$V$1001,0),MATCH(COLUMNS($AC$1006:AE1006),$AC$1006:$AS$1006,0)), HYPERLINK("#",""), HYPERLINK(CONCATENATE("#Metadata!", ADDRESS(INDEX($X$2:$X$1001,MATCH(ROWS($V$2:V3),$V$2:$V$1001,0),0), INDEX($AC$1004:$AS$1004,1,MATCH(COLUMNS($AC$1006:AE1006),$AC$1006:$AS$1006,0)))),"Fix")))</f>
        <v>0</v>
      </c>
      <c r="E3" s="5">
        <f>IF(OR(INDEX($W$2:$W$1001,MATCH(ROWS($V$2:V3),$V$2:$V$1001,0),1)&gt;=100000,INDEX($AC$1005:$AS$1005,1,MATCH(COLUMNS($AC$1006:AF1006),$AC$1006:$AS$1006,0))&gt;=100000), " ",IF(INDEX($AC$2:$AS$1001,MATCH(ROWS($V$2:V3),$V$2:$V$1001,0),MATCH(COLUMNS($AC$1006:AF1006),$AC$1006:$AS$1006,0)), HYPERLINK("#",""), HYPERLINK(CONCATENATE("#Metadata!", ADDRESS(INDEX($X$2:$X$1001,MATCH(ROWS($V$2:V3),$V$2:$V$1001,0),0), INDEX($AC$1004:$AS$1004,1,MATCH(COLUMNS($AC$1006:AF1006),$AC$1006:$AS$1006,0)))),"Fix")))</f>
        <v>0</v>
      </c>
      <c r="F3" s="5">
        <f>IF(OR(INDEX($W$2:$W$1001,MATCH(ROWS($V$2:V3),$V$2:$V$1001,0),1)&gt;=100000,INDEX($AC$1005:$AS$1005,1,MATCH(COLUMNS($AC$1006:AG1006),$AC$1006:$AS$1006,0))&gt;=100000), " ",IF(INDEX($AC$2:$AS$1001,MATCH(ROWS($V$2:V3),$V$2:$V$1001,0),MATCH(COLUMNS($AC$1006:AG1006),$AC$1006:$AS$1006,0)), HYPERLINK("#",""), HYPERLINK(CONCATENATE("#Metadata!", ADDRESS(INDEX($X$2:$X$1001,MATCH(ROWS($V$2:V3),$V$2:$V$1001,0),0), INDEX($AC$1004:$AS$1004,1,MATCH(COLUMNS($AC$1006:AG1006),$AC$1006:$AS$1006,0)))),"Fix")))</f>
        <v>0</v>
      </c>
      <c r="G3" s="5">
        <f>IF(OR(INDEX($W$2:$W$1001,MATCH(ROWS($V$2:V3),$V$2:$V$1001,0),1)&gt;=100000,INDEX($AC$1005:$AS$1005,1,MATCH(COLUMNS($AC$1006:AH1006),$AC$1006:$AS$1006,0))&gt;=100000), " ",IF(INDEX($AC$2:$AS$1001,MATCH(ROWS($V$2:V3),$V$2:$V$1001,0),MATCH(COLUMNS($AC$1006:AH1006),$AC$1006:$AS$1006,0)), HYPERLINK("#",""), HYPERLINK(CONCATENATE("#Metadata!", ADDRESS(INDEX($X$2:$X$1001,MATCH(ROWS($V$2:V3),$V$2:$V$1001,0),0), INDEX($AC$1004:$AS$1004,1,MATCH(COLUMNS($AC$1006:AH1006),$AC$1006:$AS$1006,0)))),"Fix")))</f>
        <v>0</v>
      </c>
      <c r="H3" s="5">
        <f>IF(OR(INDEX($W$2:$W$1001,MATCH(ROWS($V$2:V3),$V$2:$V$1001,0),1)&gt;=100000,INDEX($AC$1005:$AS$1005,1,MATCH(COLUMNS($AC$1006:AI1006),$AC$1006:$AS$1006,0))&gt;=100000), " ",IF(INDEX($AC$2:$AS$1001,MATCH(ROWS($V$2:V3),$V$2:$V$1001,0),MATCH(COLUMNS($AC$1006:AI1006),$AC$1006:$AS$1006,0)), HYPERLINK("#",""), HYPERLINK(CONCATENATE("#Metadata!", ADDRESS(INDEX($X$2:$X$1001,MATCH(ROWS($V$2:V3),$V$2:$V$1001,0),0), INDEX($AC$1004:$AS$1004,1,MATCH(COLUMNS($AC$1006:AI1006),$AC$1006:$AS$1006,0)))),"Fix")))</f>
        <v>0</v>
      </c>
      <c r="I3" s="5">
        <f>IF(OR(INDEX($W$2:$W$1001,MATCH(ROWS($V$2:V3),$V$2:$V$1001,0),1)&gt;=100000,INDEX($AC$1005:$AS$1005,1,MATCH(COLUMNS($AC$1006:AJ1006),$AC$1006:$AS$1006,0))&gt;=100000), " ",IF(INDEX($AC$2:$AS$1001,MATCH(ROWS($V$2:V3),$V$2:$V$1001,0),MATCH(COLUMNS($AC$1006:AJ1006),$AC$1006:$AS$1006,0)), HYPERLINK("#",""), HYPERLINK(CONCATENATE("#Metadata!", ADDRESS(INDEX($X$2:$X$1001,MATCH(ROWS($V$2:V3),$V$2:$V$1001,0),0), INDEX($AC$1004:$AS$1004,1,MATCH(COLUMNS($AC$1006:AJ1006),$AC$1006:$AS$1006,0)))),"Fix")))</f>
        <v>0</v>
      </c>
      <c r="J3" s="5">
        <f>IF(OR(INDEX($W$2:$W$1001,MATCH(ROWS($V$2:V3),$V$2:$V$1001,0),1)&gt;=100000,INDEX($AC$1005:$AS$1005,1,MATCH(COLUMNS($AC$1006:AK1006),$AC$1006:$AS$1006,0))&gt;=100000), " ",IF(INDEX($AC$2:$AS$1001,MATCH(ROWS($V$2:V3),$V$2:$V$1001,0),MATCH(COLUMNS($AC$1006:AK1006),$AC$1006:$AS$1006,0)), HYPERLINK("#",""), HYPERLINK(CONCATENATE("#Metadata!", ADDRESS(INDEX($X$2:$X$1001,MATCH(ROWS($V$2:V3),$V$2:$V$1001,0),0), INDEX($AC$1004:$AS$1004,1,MATCH(COLUMNS($AC$1006:AK1006),$AC$1006:$AS$1006,0)))),"Fix")))</f>
        <v>0</v>
      </c>
      <c r="K3" s="5">
        <f>IF(OR(INDEX($W$2:$W$1001,MATCH(ROWS($V$2:V3),$V$2:$V$1001,0),1)&gt;=100000,INDEX($AC$1005:$AS$1005,1,MATCH(COLUMNS($AC$1006:AL1006),$AC$1006:$AS$1006,0))&gt;=100000), " ",IF(INDEX($AC$2:$AS$1001,MATCH(ROWS($V$2:V3),$V$2:$V$1001,0),MATCH(COLUMNS($AC$1006:AL1006),$AC$1006:$AS$1006,0)), HYPERLINK("#",""), HYPERLINK(CONCATENATE("#Metadata!", ADDRESS(INDEX($X$2:$X$1001,MATCH(ROWS($V$2:V3),$V$2:$V$1001,0),0), INDEX($AC$1004:$AS$1004,1,MATCH(COLUMNS($AC$1006:AL1006),$AC$1006:$AS$1006,0)))),"Fix")))</f>
        <v>0</v>
      </c>
      <c r="L3" s="5">
        <f>IF(OR(INDEX($W$2:$W$1001,MATCH(ROWS($V$2:V3),$V$2:$V$1001,0),1)&gt;=100000,INDEX($AC$1005:$AS$1005,1,MATCH(COLUMNS($AC$1006:AM1006),$AC$1006:$AS$1006,0))&gt;=100000), " ",IF(INDEX($AC$2:$AS$1001,MATCH(ROWS($V$2:V3),$V$2:$V$1001,0),MATCH(COLUMNS($AC$1006:AM1006),$AC$1006:$AS$1006,0)), HYPERLINK("#",""), HYPERLINK(CONCATENATE("#Metadata!", ADDRESS(INDEX($X$2:$X$1001,MATCH(ROWS($V$2:V3),$V$2:$V$1001,0),0), INDEX($AC$1004:$AS$1004,1,MATCH(COLUMNS($AC$1006:AM1006),$AC$1006:$AS$1006,0)))),"Fix")))</f>
        <v>0</v>
      </c>
      <c r="M3" s="5">
        <f>IF(OR(INDEX($W$2:$W$1001,MATCH(ROWS($V$2:V3),$V$2:$V$1001,0),1)&gt;=100000,INDEX($AC$1005:$AS$1005,1,MATCH(COLUMNS($AC$1006:AN1006),$AC$1006:$AS$1006,0))&gt;=100000), " ",IF(INDEX($AC$2:$AS$1001,MATCH(ROWS($V$2:V3),$V$2:$V$1001,0),MATCH(COLUMNS($AC$1006:AN1006),$AC$1006:$AS$1006,0)), HYPERLINK("#",""), HYPERLINK(CONCATENATE("#Metadata!", ADDRESS(INDEX($X$2:$X$1001,MATCH(ROWS($V$2:V3),$V$2:$V$1001,0),0), INDEX($AC$1004:$AS$1004,1,MATCH(COLUMNS($AC$1006:AN1006),$AC$1006:$AS$1006,0)))),"Fix")))</f>
        <v>0</v>
      </c>
      <c r="N3" s="5">
        <f>IF(OR(INDEX($W$2:$W$1001,MATCH(ROWS($V$2:V3),$V$2:$V$1001,0),1)&gt;=100000,INDEX($AC$1005:$AS$1005,1,MATCH(COLUMNS($AC$1006:AO1006),$AC$1006:$AS$1006,0))&gt;=100000), " ",IF(INDEX($AC$2:$AS$1001,MATCH(ROWS($V$2:V3),$V$2:$V$1001,0),MATCH(COLUMNS($AC$1006:AO1006),$AC$1006:$AS$1006,0)), HYPERLINK("#",""), HYPERLINK(CONCATENATE("#Metadata!", ADDRESS(INDEX($X$2:$X$1001,MATCH(ROWS($V$2:V3),$V$2:$V$1001,0),0), INDEX($AC$1004:$AS$1004,1,MATCH(COLUMNS($AC$1006:AO1006),$AC$1006:$AS$1006,0)))),"Fix")))</f>
        <v>0</v>
      </c>
      <c r="O3" s="5">
        <f>IF(OR(INDEX($W$2:$W$1001,MATCH(ROWS($V$2:V3),$V$2:$V$1001,0),1)&gt;=100000,INDEX($AC$1005:$AS$1005,1,MATCH(COLUMNS($AC$1006:AP1006),$AC$1006:$AS$1006,0))&gt;=100000), " ",IF(INDEX($AC$2:$AS$1001,MATCH(ROWS($V$2:V3),$V$2:$V$1001,0),MATCH(COLUMNS($AC$1006:AP1006),$AC$1006:$AS$1006,0)), HYPERLINK("#",""), HYPERLINK(CONCATENATE("#Metadata!", ADDRESS(INDEX($X$2:$X$1001,MATCH(ROWS($V$2:V3),$V$2:$V$1001,0),0), INDEX($AC$1004:$AS$1004,1,MATCH(COLUMNS($AC$1006:AP1006),$AC$1006:$AS$1006,0)))),"Fix")))</f>
        <v>0</v>
      </c>
      <c r="P3" s="5">
        <f>IF(OR(INDEX($W$2:$W$1001,MATCH(ROWS($V$2:V3),$V$2:$V$1001,0),1)&gt;=100000,INDEX($AC$1005:$AS$1005,1,MATCH(COLUMNS($AC$1006:AQ1006),$AC$1006:$AS$1006,0))&gt;=100000), " ",IF(INDEX($AC$2:$AS$1001,MATCH(ROWS($V$2:V3),$V$2:$V$1001,0),MATCH(COLUMNS($AC$1006:AQ1006),$AC$1006:$AS$1006,0)), HYPERLINK("#",""), HYPERLINK(CONCATENATE("#Metadata!", ADDRESS(INDEX($X$2:$X$1001,MATCH(ROWS($V$2:V3),$V$2:$V$1001,0),0), INDEX($AC$1004:$AS$1004,1,MATCH(COLUMNS($AC$1006:AQ1006),$AC$1006:$AS$1006,0)))),"Fix")))</f>
        <v>0</v>
      </c>
      <c r="Q3" s="5">
        <f>IF(OR(INDEX($W$2:$W$1001,MATCH(ROWS($V$2:V3),$V$2:$V$1001,0),1)&gt;=100000,INDEX($AC$1005:$AS$1005,1,MATCH(COLUMNS($AC$1006:AR1006),$AC$1006:$AS$1006,0))&gt;=100000), " ",IF(INDEX($AC$2:$AS$1001,MATCH(ROWS($V$2:V3),$V$2:$V$1001,0),MATCH(COLUMNS($AC$1006:AR1006),$AC$1006:$AS$1006,0)), HYPERLINK("#",""), HYPERLINK(CONCATENATE("#Metadata!", ADDRESS(INDEX($X$2:$X$1001,MATCH(ROWS($V$2:V3),$V$2:$V$1001,0),0), INDEX($AC$1004:$AS$1004,1,MATCH(COLUMNS($AC$1006:AR1006),$AC$1006:$AS$1006,0)))),"Fix")))</f>
        <v>0</v>
      </c>
      <c r="R3" s="5">
        <f>IF(OR(INDEX($W$2:$W$1001,MATCH(ROWS($V$2:V3),$V$2:$V$1001,0),1)&gt;=100000,INDEX($AC$1005:$AS$1005,1,MATCH(COLUMNS($AC$1006:AS1006),$AC$1006:$AS$1006,0))&gt;=100000), " ",IF(INDEX($AC$2:$AS$1001,MATCH(ROWS($V$2:V3),$V$2:$V$1001,0),MATCH(COLUMNS($AC$1006:AS1006),$AC$1006:$AS$1006,0)), HYPERLINK("#",""), HYPERLINK(CONCATENATE("#Metadata!", ADDRESS(INDEX($X$2:$X$1001,MATCH(ROWS($V$2:V3),$V$2:$V$1001,0),0), INDEX($AC$1004:$AS$1004,1,MATCH(COLUMNS($AC$1006:AS1006),$AC$1006:$AS$1006,0)))),"Fix")))</f>
        <v>0</v>
      </c>
      <c r="V3">
        <v>0</v>
      </c>
      <c r="W3">
        <v>0</v>
      </c>
      <c r="X3">
        <v>0</v>
      </c>
      <c r="Y3">
        <f>IF(Z3,TRUE,AND(AC3:AS3))</f>
        <v>0</v>
      </c>
      <c r="Z3">
        <f>COUNTBLANK(Metadata!B3:R3)=COLUMNS(Metadata!B3:R3)</f>
        <v>0</v>
      </c>
      <c r="AA3">
        <v>0</v>
      </c>
      <c r="AC3">
        <f>AND(IF(Metadata!B3="",FALSE,TRUE),COUNTIF(Metadata!B:B, Metadata!B3) = 1,NOT(ISERROR(SUMPRODUCT(SEARCH(MID(Metadata!B3,ROW(INDIRECT("1:"&amp;LEN(Metadata!B3))), 1),"0123456789abcdefghijklmnopqrstuvwxyzABCDEFGHIJKLMNOPQRSTUVWXYZ.")))))</f>
        <v>0</v>
      </c>
      <c r="AD3">
        <f>AND(IF(Metadata!C3="",FALSE,TRUE),exact(Metadata!C3,"Host-associated"))</f>
        <v>0</v>
      </c>
      <c r="AE3">
        <f>AND(IF(Metadata!D3="",FALSE,TRUE),OR(exact(Metadata!D3,"Animal"),exact(Metadata!D3,"Fungus"),exact(Metadata!D3,"Plant")))</f>
        <v>0</v>
      </c>
      <c r="AF3">
        <f>AND(IF(Metadata!E3="",FALSE,TRUE),OR(exact(Metadata!E3,"Plant secretion"),exact(Metadata!E3,"Plant rhizosphere"),exact(Metadata!E3,"Plant surface"),exact(Metadata!E3,"Plant corpus"),exact(Metadata!E3,"Fungus surface"),exact(Metadata!E3,"Fungus corpus"),exact(Metadata!E3,"Animal surface"),exact(Metadata!E3,"Animal proximal gut"),exact(Metadata!E3,"Animal corpus"),exact(Metadata!E3,"Animal distal gut"),exact(Metadata!E3,"Animal secretion")))</f>
        <v>0</v>
      </c>
      <c r="AG3">
        <f>OR(AND(IF(Metadata!F3="",FALSE,TRUE),OR(exact(Metadata!F3,"not collected"),exact(Metadata!F3,"not provided"),exact(Metadata!F3,"restricted access"))),AND(IF(Metadata!F3="",FALSE,TRUE),OR(exact(Metadata!F3,"organism-associated habitat"),exact(Metadata!F3,"plant-associated habitat"),exact(Metadata!F3,"animal-associated habitat"),exact(Metadata!F3,"insecta-associated habitat"),exact(Metadata!F3,"mammalia-associated habitat"),exact(Metadata!F3,"human-associated habitat"),exact(Metadata!F3,"livestock-associated habitat"))))</f>
        <v>0</v>
      </c>
      <c r="AH3">
        <f>AND(IF(Metadata!G3="",FALSE,TRUE),exact(Metadata!G3,"host-associated"))</f>
        <v>0</v>
      </c>
      <c r="AI3">
        <f>OR(AND(IF(Metadata!H3="",FALSE,TRUE),OR(exact(Metadata!H3,"not collected"),exact(Metadata!H3,"not provided"))),AND(IF(Metadata!H3="",FALSE,ISNUMBER(VALUE(Metadata!H3))),Metadata!H3&gt;0))</f>
        <v>0</v>
      </c>
      <c r="AJ3">
        <f>AND(IF(Metadata!I3="",FALSE,TRUE),exact(Metadata!I3,"years"))</f>
        <v>0</v>
      </c>
      <c r="AK3">
        <f>IF(Metadata!J3="",FALSE,TRUE)</f>
        <v>0</v>
      </c>
      <c r="AL3">
        <f>OR(AND(IF(Metadata!K3="",FALSE,TRUE),OR(exact(Metadata!K3,"not collected"),exact(Metadata!K3,"not provided"))),AND(IF(Metadata!K3="",FALSE,ISNUMBER(VALUE(Metadata!K3))),Metadata!K3&gt;0))</f>
        <v>0</v>
      </c>
      <c r="AM3">
        <f>AND(IF(Metadata!L3="",FALSE,TRUE),exact(Metadata!L3,"cm"))</f>
        <v>0</v>
      </c>
      <c r="AN3">
        <f>IF(Metadata!M3="",FALSE,TRUE)</f>
        <v>0</v>
      </c>
      <c r="AO3">
        <f>OR(AND(IF(Metadata!N3="",FALSE,TRUE),OR(exact(Metadata!N3,"not applicable"),exact(Metadata!N3,"not collected"),exact(Metadata!N3,"not provided"))),AND(IF(Metadata!N3="",FALSE,IF(ISERROR(INT(Metadata!N3)),FALSE,INT(Metadata!N3)=Metadata!N3)),Metadata!N3&gt;0))</f>
        <v>0</v>
      </c>
      <c r="AP3">
        <f>OR(AND(IF(Metadata!O3="",FALSE,TRUE),OR(exact(Metadata!O3,"not collected"),exact(Metadata!O3,"not provided"))),AND(IF(Metadata!O3="",FALSE,ISNUMBER(VALUE(Metadata!O3))),Metadata!O3&gt;0))</f>
        <v>0</v>
      </c>
      <c r="AQ3">
        <f>AND(IF(Metadata!P3="",FALSE,TRUE),exact(Metadata!P3,"kg"))</f>
        <v>0</v>
      </c>
      <c r="AR3">
        <f>OR(AND(IF(Metadata!Q3="",FALSE,TRUE),OR(exact(Metadata!Q3,"not applicable"),exact(Metadata!Q3,"not collected"),exact(Metadata!Q3,"not provided"),exact(Metadata!Q3,"restricted access"))),IF(Metadata!Q3="",FALSE,IF(ISERROR(INT(Metadata!Q3)),FALSE,INT(Metadata!Q3)=Metadata!Q3)))</f>
        <v>0</v>
      </c>
      <c r="AS3">
        <f>AND(IF(Metadata!R3="",FALSE,TRUE),exact(Metadata!R3,"Not applicable"))</f>
        <v>0</v>
      </c>
    </row>
    <row r="4" spans="1:45">
      <c r="A4" s="4">
        <f>IF(B4=" "," ",HYPERLINK(CONCATENATE("#metadata!",ADDRESS(INDEX($X$2:$X$1001,MATCH(ROWS($V$2:V4),$V$2:$V$1001,0),0),2)),INDEX($AA$2:$AA$1001,MATCH(ROWS($V$2:V4),$V$2:$V$1001,0),0)))</f>
        <v>0</v>
      </c>
      <c r="B4" s="5">
        <f>IF(OR(INDEX($W$2:$W$1001,MATCH(ROWS($V$2:V4),$V$2:$V$1001,0),1)&gt;=100000,INDEX($AC$1005:$AS$1005,1,MATCH(COLUMNS($AC$1006:AC1006),$AC$1006:$AS$1006,0))&gt;=100000), " ",IF(INDEX($AC$2:$AS$1001,MATCH(ROWS($V$2:V4),$V$2:$V$1001,0),MATCH(COLUMNS($AC$1006:AC1006),$AC$1006:$AS$1006,0)), HYPERLINK("#",""), HYPERLINK(CONCATENATE("#Metadata!", ADDRESS(INDEX($X$2:$X$1001,MATCH(ROWS($V$2:V4),$V$2:$V$1001,0),0), INDEX($AC$1004:$AS$1004,1,MATCH(COLUMNS($AC$1006:AC1006),$AC$1006:$AS$1006,0)))),"Fix")))</f>
        <v>0</v>
      </c>
      <c r="C4" s="5">
        <f>IF(OR(INDEX($W$2:$W$1001,MATCH(ROWS($V$2:V4),$V$2:$V$1001,0),1)&gt;=100000,INDEX($AC$1005:$AS$1005,1,MATCH(COLUMNS($AC$1006:AD1006),$AC$1006:$AS$1006,0))&gt;=100000), " ",IF(INDEX($AC$2:$AS$1001,MATCH(ROWS($V$2:V4),$V$2:$V$1001,0),MATCH(COLUMNS($AC$1006:AD1006),$AC$1006:$AS$1006,0)), HYPERLINK("#",""), HYPERLINK(CONCATENATE("#Metadata!", ADDRESS(INDEX($X$2:$X$1001,MATCH(ROWS($V$2:V4),$V$2:$V$1001,0),0), INDEX($AC$1004:$AS$1004,1,MATCH(COLUMNS($AC$1006:AD1006),$AC$1006:$AS$1006,0)))),"Fix")))</f>
        <v>0</v>
      </c>
      <c r="D4" s="5">
        <f>IF(OR(INDEX($W$2:$W$1001,MATCH(ROWS($V$2:V4),$V$2:$V$1001,0),1)&gt;=100000,INDEX($AC$1005:$AS$1005,1,MATCH(COLUMNS($AC$1006:AE1006),$AC$1006:$AS$1006,0))&gt;=100000), " ",IF(INDEX($AC$2:$AS$1001,MATCH(ROWS($V$2:V4),$V$2:$V$1001,0),MATCH(COLUMNS($AC$1006:AE1006),$AC$1006:$AS$1006,0)), HYPERLINK("#",""), HYPERLINK(CONCATENATE("#Metadata!", ADDRESS(INDEX($X$2:$X$1001,MATCH(ROWS($V$2:V4),$V$2:$V$1001,0),0), INDEX($AC$1004:$AS$1004,1,MATCH(COLUMNS($AC$1006:AE1006),$AC$1006:$AS$1006,0)))),"Fix")))</f>
        <v>0</v>
      </c>
      <c r="E4" s="5">
        <f>IF(OR(INDEX($W$2:$W$1001,MATCH(ROWS($V$2:V4),$V$2:$V$1001,0),1)&gt;=100000,INDEX($AC$1005:$AS$1005,1,MATCH(COLUMNS($AC$1006:AF1006),$AC$1006:$AS$1006,0))&gt;=100000), " ",IF(INDEX($AC$2:$AS$1001,MATCH(ROWS($V$2:V4),$V$2:$V$1001,0),MATCH(COLUMNS($AC$1006:AF1006),$AC$1006:$AS$1006,0)), HYPERLINK("#",""), HYPERLINK(CONCATENATE("#Metadata!", ADDRESS(INDEX($X$2:$X$1001,MATCH(ROWS($V$2:V4),$V$2:$V$1001,0),0), INDEX($AC$1004:$AS$1004,1,MATCH(COLUMNS($AC$1006:AF1006),$AC$1006:$AS$1006,0)))),"Fix")))</f>
        <v>0</v>
      </c>
      <c r="F4" s="5">
        <f>IF(OR(INDEX($W$2:$W$1001,MATCH(ROWS($V$2:V4),$V$2:$V$1001,0),1)&gt;=100000,INDEX($AC$1005:$AS$1005,1,MATCH(COLUMNS($AC$1006:AG1006),$AC$1006:$AS$1006,0))&gt;=100000), " ",IF(INDEX($AC$2:$AS$1001,MATCH(ROWS($V$2:V4),$V$2:$V$1001,0),MATCH(COLUMNS($AC$1006:AG1006),$AC$1006:$AS$1006,0)), HYPERLINK("#",""), HYPERLINK(CONCATENATE("#Metadata!", ADDRESS(INDEX($X$2:$X$1001,MATCH(ROWS($V$2:V4),$V$2:$V$1001,0),0), INDEX($AC$1004:$AS$1004,1,MATCH(COLUMNS($AC$1006:AG1006),$AC$1006:$AS$1006,0)))),"Fix")))</f>
        <v>0</v>
      </c>
      <c r="G4" s="5">
        <f>IF(OR(INDEX($W$2:$W$1001,MATCH(ROWS($V$2:V4),$V$2:$V$1001,0),1)&gt;=100000,INDEX($AC$1005:$AS$1005,1,MATCH(COLUMNS($AC$1006:AH1006),$AC$1006:$AS$1006,0))&gt;=100000), " ",IF(INDEX($AC$2:$AS$1001,MATCH(ROWS($V$2:V4),$V$2:$V$1001,0),MATCH(COLUMNS($AC$1006:AH1006),$AC$1006:$AS$1006,0)), HYPERLINK("#",""), HYPERLINK(CONCATENATE("#Metadata!", ADDRESS(INDEX($X$2:$X$1001,MATCH(ROWS($V$2:V4),$V$2:$V$1001,0),0), INDEX($AC$1004:$AS$1004,1,MATCH(COLUMNS($AC$1006:AH1006),$AC$1006:$AS$1006,0)))),"Fix")))</f>
        <v>0</v>
      </c>
      <c r="H4" s="5">
        <f>IF(OR(INDEX($W$2:$W$1001,MATCH(ROWS($V$2:V4),$V$2:$V$1001,0),1)&gt;=100000,INDEX($AC$1005:$AS$1005,1,MATCH(COLUMNS($AC$1006:AI1006),$AC$1006:$AS$1006,0))&gt;=100000), " ",IF(INDEX($AC$2:$AS$1001,MATCH(ROWS($V$2:V4),$V$2:$V$1001,0),MATCH(COLUMNS($AC$1006:AI1006),$AC$1006:$AS$1006,0)), HYPERLINK("#",""), HYPERLINK(CONCATENATE("#Metadata!", ADDRESS(INDEX($X$2:$X$1001,MATCH(ROWS($V$2:V4),$V$2:$V$1001,0),0), INDEX($AC$1004:$AS$1004,1,MATCH(COLUMNS($AC$1006:AI1006),$AC$1006:$AS$1006,0)))),"Fix")))</f>
        <v>0</v>
      </c>
      <c r="I4" s="5">
        <f>IF(OR(INDEX($W$2:$W$1001,MATCH(ROWS($V$2:V4),$V$2:$V$1001,0),1)&gt;=100000,INDEX($AC$1005:$AS$1005,1,MATCH(COLUMNS($AC$1006:AJ1006),$AC$1006:$AS$1006,0))&gt;=100000), " ",IF(INDEX($AC$2:$AS$1001,MATCH(ROWS($V$2:V4),$V$2:$V$1001,0),MATCH(COLUMNS($AC$1006:AJ1006),$AC$1006:$AS$1006,0)), HYPERLINK("#",""), HYPERLINK(CONCATENATE("#Metadata!", ADDRESS(INDEX($X$2:$X$1001,MATCH(ROWS($V$2:V4),$V$2:$V$1001,0),0), INDEX($AC$1004:$AS$1004,1,MATCH(COLUMNS($AC$1006:AJ1006),$AC$1006:$AS$1006,0)))),"Fix")))</f>
        <v>0</v>
      </c>
      <c r="J4" s="5">
        <f>IF(OR(INDEX($W$2:$W$1001,MATCH(ROWS($V$2:V4),$V$2:$V$1001,0),1)&gt;=100000,INDEX($AC$1005:$AS$1005,1,MATCH(COLUMNS($AC$1006:AK1006),$AC$1006:$AS$1006,0))&gt;=100000), " ",IF(INDEX($AC$2:$AS$1001,MATCH(ROWS($V$2:V4),$V$2:$V$1001,0),MATCH(COLUMNS($AC$1006:AK1006),$AC$1006:$AS$1006,0)), HYPERLINK("#",""), HYPERLINK(CONCATENATE("#Metadata!", ADDRESS(INDEX($X$2:$X$1001,MATCH(ROWS($V$2:V4),$V$2:$V$1001,0),0), INDEX($AC$1004:$AS$1004,1,MATCH(COLUMNS($AC$1006:AK1006),$AC$1006:$AS$1006,0)))),"Fix")))</f>
        <v>0</v>
      </c>
      <c r="K4" s="5">
        <f>IF(OR(INDEX($W$2:$W$1001,MATCH(ROWS($V$2:V4),$V$2:$V$1001,0),1)&gt;=100000,INDEX($AC$1005:$AS$1005,1,MATCH(COLUMNS($AC$1006:AL1006),$AC$1006:$AS$1006,0))&gt;=100000), " ",IF(INDEX($AC$2:$AS$1001,MATCH(ROWS($V$2:V4),$V$2:$V$1001,0),MATCH(COLUMNS($AC$1006:AL1006),$AC$1006:$AS$1006,0)), HYPERLINK("#",""), HYPERLINK(CONCATENATE("#Metadata!", ADDRESS(INDEX($X$2:$X$1001,MATCH(ROWS($V$2:V4),$V$2:$V$1001,0),0), INDEX($AC$1004:$AS$1004,1,MATCH(COLUMNS($AC$1006:AL1006),$AC$1006:$AS$1006,0)))),"Fix")))</f>
        <v>0</v>
      </c>
      <c r="L4" s="5">
        <f>IF(OR(INDEX($W$2:$W$1001,MATCH(ROWS($V$2:V4),$V$2:$V$1001,0),1)&gt;=100000,INDEX($AC$1005:$AS$1005,1,MATCH(COLUMNS($AC$1006:AM1006),$AC$1006:$AS$1006,0))&gt;=100000), " ",IF(INDEX($AC$2:$AS$1001,MATCH(ROWS($V$2:V4),$V$2:$V$1001,0),MATCH(COLUMNS($AC$1006:AM1006),$AC$1006:$AS$1006,0)), HYPERLINK("#",""), HYPERLINK(CONCATENATE("#Metadata!", ADDRESS(INDEX($X$2:$X$1001,MATCH(ROWS($V$2:V4),$V$2:$V$1001,0),0), INDEX($AC$1004:$AS$1004,1,MATCH(COLUMNS($AC$1006:AM1006),$AC$1006:$AS$1006,0)))),"Fix")))</f>
        <v>0</v>
      </c>
      <c r="M4" s="5">
        <f>IF(OR(INDEX($W$2:$W$1001,MATCH(ROWS($V$2:V4),$V$2:$V$1001,0),1)&gt;=100000,INDEX($AC$1005:$AS$1005,1,MATCH(COLUMNS($AC$1006:AN1006),$AC$1006:$AS$1006,0))&gt;=100000), " ",IF(INDEX($AC$2:$AS$1001,MATCH(ROWS($V$2:V4),$V$2:$V$1001,0),MATCH(COLUMNS($AC$1006:AN1006),$AC$1006:$AS$1006,0)), HYPERLINK("#",""), HYPERLINK(CONCATENATE("#Metadata!", ADDRESS(INDEX($X$2:$X$1001,MATCH(ROWS($V$2:V4),$V$2:$V$1001,0),0), INDEX($AC$1004:$AS$1004,1,MATCH(COLUMNS($AC$1006:AN1006),$AC$1006:$AS$1006,0)))),"Fix")))</f>
        <v>0</v>
      </c>
      <c r="N4" s="5">
        <f>IF(OR(INDEX($W$2:$W$1001,MATCH(ROWS($V$2:V4),$V$2:$V$1001,0),1)&gt;=100000,INDEX($AC$1005:$AS$1005,1,MATCH(COLUMNS($AC$1006:AO1006),$AC$1006:$AS$1006,0))&gt;=100000), " ",IF(INDEX($AC$2:$AS$1001,MATCH(ROWS($V$2:V4),$V$2:$V$1001,0),MATCH(COLUMNS($AC$1006:AO1006),$AC$1006:$AS$1006,0)), HYPERLINK("#",""), HYPERLINK(CONCATENATE("#Metadata!", ADDRESS(INDEX($X$2:$X$1001,MATCH(ROWS($V$2:V4),$V$2:$V$1001,0),0), INDEX($AC$1004:$AS$1004,1,MATCH(COLUMNS($AC$1006:AO1006),$AC$1006:$AS$1006,0)))),"Fix")))</f>
        <v>0</v>
      </c>
      <c r="O4" s="5">
        <f>IF(OR(INDEX($W$2:$W$1001,MATCH(ROWS($V$2:V4),$V$2:$V$1001,0),1)&gt;=100000,INDEX($AC$1005:$AS$1005,1,MATCH(COLUMNS($AC$1006:AP1006),$AC$1006:$AS$1006,0))&gt;=100000), " ",IF(INDEX($AC$2:$AS$1001,MATCH(ROWS($V$2:V4),$V$2:$V$1001,0),MATCH(COLUMNS($AC$1006:AP1006),$AC$1006:$AS$1006,0)), HYPERLINK("#",""), HYPERLINK(CONCATENATE("#Metadata!", ADDRESS(INDEX($X$2:$X$1001,MATCH(ROWS($V$2:V4),$V$2:$V$1001,0),0), INDEX($AC$1004:$AS$1004,1,MATCH(COLUMNS($AC$1006:AP1006),$AC$1006:$AS$1006,0)))),"Fix")))</f>
        <v>0</v>
      </c>
      <c r="P4" s="5">
        <f>IF(OR(INDEX($W$2:$W$1001,MATCH(ROWS($V$2:V4),$V$2:$V$1001,0),1)&gt;=100000,INDEX($AC$1005:$AS$1005,1,MATCH(COLUMNS($AC$1006:AQ1006),$AC$1006:$AS$1006,0))&gt;=100000), " ",IF(INDEX($AC$2:$AS$1001,MATCH(ROWS($V$2:V4),$V$2:$V$1001,0),MATCH(COLUMNS($AC$1006:AQ1006),$AC$1006:$AS$1006,0)), HYPERLINK("#",""), HYPERLINK(CONCATENATE("#Metadata!", ADDRESS(INDEX($X$2:$X$1001,MATCH(ROWS($V$2:V4),$V$2:$V$1001,0),0), INDEX($AC$1004:$AS$1004,1,MATCH(COLUMNS($AC$1006:AQ1006),$AC$1006:$AS$1006,0)))),"Fix")))</f>
        <v>0</v>
      </c>
      <c r="Q4" s="5">
        <f>IF(OR(INDEX($W$2:$W$1001,MATCH(ROWS($V$2:V4),$V$2:$V$1001,0),1)&gt;=100000,INDEX($AC$1005:$AS$1005,1,MATCH(COLUMNS($AC$1006:AR1006),$AC$1006:$AS$1006,0))&gt;=100000), " ",IF(INDEX($AC$2:$AS$1001,MATCH(ROWS($V$2:V4),$V$2:$V$1001,0),MATCH(COLUMNS($AC$1006:AR1006),$AC$1006:$AS$1006,0)), HYPERLINK("#",""), HYPERLINK(CONCATENATE("#Metadata!", ADDRESS(INDEX($X$2:$X$1001,MATCH(ROWS($V$2:V4),$V$2:$V$1001,0),0), INDEX($AC$1004:$AS$1004,1,MATCH(COLUMNS($AC$1006:AR1006),$AC$1006:$AS$1006,0)))),"Fix")))</f>
        <v>0</v>
      </c>
      <c r="R4" s="5">
        <f>IF(OR(INDEX($W$2:$W$1001,MATCH(ROWS($V$2:V4),$V$2:$V$1001,0),1)&gt;=100000,INDEX($AC$1005:$AS$1005,1,MATCH(COLUMNS($AC$1006:AS1006),$AC$1006:$AS$1006,0))&gt;=100000), " ",IF(INDEX($AC$2:$AS$1001,MATCH(ROWS($V$2:V4),$V$2:$V$1001,0),MATCH(COLUMNS($AC$1006:AS1006),$AC$1006:$AS$1006,0)), HYPERLINK("#",""), HYPERLINK(CONCATENATE("#Metadata!", ADDRESS(INDEX($X$2:$X$1001,MATCH(ROWS($V$2:V4),$V$2:$V$1001,0),0), INDEX($AC$1004:$AS$1004,1,MATCH(COLUMNS($AC$1006:AS1006),$AC$1006:$AS$1006,0)))),"Fix")))</f>
        <v>0</v>
      </c>
      <c r="V4">
        <v>0</v>
      </c>
      <c r="W4">
        <v>0</v>
      </c>
      <c r="X4">
        <v>0</v>
      </c>
      <c r="Y4">
        <f>IF(Z4,TRUE,AND(AC4:AS4))</f>
        <v>0</v>
      </c>
      <c r="Z4">
        <f>COUNTBLANK(Metadata!B4:R4)=COLUMNS(Metadata!B4:R4)</f>
        <v>0</v>
      </c>
      <c r="AA4">
        <v>0</v>
      </c>
      <c r="AC4">
        <f>AND(IF(Metadata!B4="",FALSE,TRUE),COUNTIF(Metadata!B:B, Metadata!B4) = 1,NOT(ISERROR(SUMPRODUCT(SEARCH(MID(Metadata!B4,ROW(INDIRECT("1:"&amp;LEN(Metadata!B4))), 1),"0123456789abcdefghijklmnopqrstuvwxyzABCDEFGHIJKLMNOPQRSTUVWXYZ.")))))</f>
        <v>0</v>
      </c>
      <c r="AD4">
        <f>AND(IF(Metadata!C4="",FALSE,TRUE),exact(Metadata!C4,"Host-associated"))</f>
        <v>0</v>
      </c>
      <c r="AE4">
        <f>AND(IF(Metadata!D4="",FALSE,TRUE),OR(exact(Metadata!D4,"Animal"),exact(Metadata!D4,"Fungus"),exact(Metadata!D4,"Plant")))</f>
        <v>0</v>
      </c>
      <c r="AF4">
        <f>AND(IF(Metadata!E4="",FALSE,TRUE),OR(exact(Metadata!E4,"Plant secretion"),exact(Metadata!E4,"Plant rhizosphere"),exact(Metadata!E4,"Plant surface"),exact(Metadata!E4,"Plant corpus"),exact(Metadata!E4,"Fungus surface"),exact(Metadata!E4,"Fungus corpus"),exact(Metadata!E4,"Animal surface"),exact(Metadata!E4,"Animal proximal gut"),exact(Metadata!E4,"Animal corpus"),exact(Metadata!E4,"Animal distal gut"),exact(Metadata!E4,"Animal secretion")))</f>
        <v>0</v>
      </c>
      <c r="AG4">
        <f>OR(AND(IF(Metadata!F4="",FALSE,TRUE),OR(exact(Metadata!F4,"not collected"),exact(Metadata!F4,"not provided"),exact(Metadata!F4,"restricted access"))),AND(IF(Metadata!F4="",FALSE,TRUE),OR(exact(Metadata!F4,"organism-associated habitat"),exact(Metadata!F4,"plant-associated habitat"),exact(Metadata!F4,"animal-associated habitat"),exact(Metadata!F4,"insecta-associated habitat"),exact(Metadata!F4,"mammalia-associated habitat"),exact(Metadata!F4,"human-associated habitat"),exact(Metadata!F4,"livestock-associated habitat"))))</f>
        <v>0</v>
      </c>
      <c r="AH4">
        <f>AND(IF(Metadata!G4="",FALSE,TRUE),exact(Metadata!G4,"host-associated"))</f>
        <v>0</v>
      </c>
      <c r="AI4">
        <f>OR(AND(IF(Metadata!H4="",FALSE,TRUE),OR(exact(Metadata!H4,"not collected"),exact(Metadata!H4,"not provided"))),AND(IF(Metadata!H4="",FALSE,ISNUMBER(VALUE(Metadata!H4))),Metadata!H4&gt;0))</f>
        <v>0</v>
      </c>
      <c r="AJ4">
        <f>AND(IF(Metadata!I4="",FALSE,TRUE),exact(Metadata!I4,"years"))</f>
        <v>0</v>
      </c>
      <c r="AK4">
        <f>IF(Metadata!J4="",FALSE,TRUE)</f>
        <v>0</v>
      </c>
      <c r="AL4">
        <f>OR(AND(IF(Metadata!K4="",FALSE,TRUE),OR(exact(Metadata!K4,"not collected"),exact(Metadata!K4,"not provided"))),AND(IF(Metadata!K4="",FALSE,ISNUMBER(VALUE(Metadata!K4))),Metadata!K4&gt;0))</f>
        <v>0</v>
      </c>
      <c r="AM4">
        <f>AND(IF(Metadata!L4="",FALSE,TRUE),exact(Metadata!L4,"cm"))</f>
        <v>0</v>
      </c>
      <c r="AN4">
        <f>IF(Metadata!M4="",FALSE,TRUE)</f>
        <v>0</v>
      </c>
      <c r="AO4">
        <f>OR(AND(IF(Metadata!N4="",FALSE,TRUE),OR(exact(Metadata!N4,"not applicable"),exact(Metadata!N4,"not collected"),exact(Metadata!N4,"not provided"))),AND(IF(Metadata!N4="",FALSE,IF(ISERROR(INT(Metadata!N4)),FALSE,INT(Metadata!N4)=Metadata!N4)),Metadata!N4&gt;0))</f>
        <v>0</v>
      </c>
      <c r="AP4">
        <f>OR(AND(IF(Metadata!O4="",FALSE,TRUE),OR(exact(Metadata!O4,"not collected"),exact(Metadata!O4,"not provided"))),AND(IF(Metadata!O4="",FALSE,ISNUMBER(VALUE(Metadata!O4))),Metadata!O4&gt;0))</f>
        <v>0</v>
      </c>
      <c r="AQ4">
        <f>AND(IF(Metadata!P4="",FALSE,TRUE),exact(Metadata!P4,"kg"))</f>
        <v>0</v>
      </c>
      <c r="AR4">
        <f>OR(AND(IF(Metadata!Q4="",FALSE,TRUE),OR(exact(Metadata!Q4,"not applicable"),exact(Metadata!Q4,"not collected"),exact(Metadata!Q4,"not provided"),exact(Metadata!Q4,"restricted access"))),IF(Metadata!Q4="",FALSE,IF(ISERROR(INT(Metadata!Q4)),FALSE,INT(Metadata!Q4)=Metadata!Q4)))</f>
        <v>0</v>
      </c>
      <c r="AS4">
        <f>AND(IF(Metadata!R4="",FALSE,TRUE),exact(Metadata!R4,"Not applicable"))</f>
        <v>0</v>
      </c>
    </row>
    <row r="5" spans="1:45">
      <c r="A5" s="4">
        <f>IF(B5=" "," ",HYPERLINK(CONCATENATE("#metadata!",ADDRESS(INDEX($X$2:$X$1001,MATCH(ROWS($V$2:V5),$V$2:$V$1001,0),0),2)),INDEX($AA$2:$AA$1001,MATCH(ROWS($V$2:V5),$V$2:$V$1001,0),0)))</f>
        <v>0</v>
      </c>
      <c r="B5" s="5">
        <f>IF(OR(INDEX($W$2:$W$1001,MATCH(ROWS($V$2:V5),$V$2:$V$1001,0),1)&gt;=100000,INDEX($AC$1005:$AS$1005,1,MATCH(COLUMNS($AC$1006:AC1006),$AC$1006:$AS$1006,0))&gt;=100000), " ",IF(INDEX($AC$2:$AS$1001,MATCH(ROWS($V$2:V5),$V$2:$V$1001,0),MATCH(COLUMNS($AC$1006:AC1006),$AC$1006:$AS$1006,0)), HYPERLINK("#",""), HYPERLINK(CONCATENATE("#Metadata!", ADDRESS(INDEX($X$2:$X$1001,MATCH(ROWS($V$2:V5),$V$2:$V$1001,0),0), INDEX($AC$1004:$AS$1004,1,MATCH(COLUMNS($AC$1006:AC1006),$AC$1006:$AS$1006,0)))),"Fix")))</f>
        <v>0</v>
      </c>
      <c r="C5" s="5">
        <f>IF(OR(INDEX($W$2:$W$1001,MATCH(ROWS($V$2:V5),$V$2:$V$1001,0),1)&gt;=100000,INDEX($AC$1005:$AS$1005,1,MATCH(COLUMNS($AC$1006:AD1006),$AC$1006:$AS$1006,0))&gt;=100000), " ",IF(INDEX($AC$2:$AS$1001,MATCH(ROWS($V$2:V5),$V$2:$V$1001,0),MATCH(COLUMNS($AC$1006:AD1006),$AC$1006:$AS$1006,0)), HYPERLINK("#",""), HYPERLINK(CONCATENATE("#Metadata!", ADDRESS(INDEX($X$2:$X$1001,MATCH(ROWS($V$2:V5),$V$2:$V$1001,0),0), INDEX($AC$1004:$AS$1004,1,MATCH(COLUMNS($AC$1006:AD1006),$AC$1006:$AS$1006,0)))),"Fix")))</f>
        <v>0</v>
      </c>
      <c r="D5" s="5">
        <f>IF(OR(INDEX($W$2:$W$1001,MATCH(ROWS($V$2:V5),$V$2:$V$1001,0),1)&gt;=100000,INDEX($AC$1005:$AS$1005,1,MATCH(COLUMNS($AC$1006:AE1006),$AC$1006:$AS$1006,0))&gt;=100000), " ",IF(INDEX($AC$2:$AS$1001,MATCH(ROWS($V$2:V5),$V$2:$V$1001,0),MATCH(COLUMNS($AC$1006:AE1006),$AC$1006:$AS$1006,0)), HYPERLINK("#",""), HYPERLINK(CONCATENATE("#Metadata!", ADDRESS(INDEX($X$2:$X$1001,MATCH(ROWS($V$2:V5),$V$2:$V$1001,0),0), INDEX($AC$1004:$AS$1004,1,MATCH(COLUMNS($AC$1006:AE1006),$AC$1006:$AS$1006,0)))),"Fix")))</f>
        <v>0</v>
      </c>
      <c r="E5" s="5">
        <f>IF(OR(INDEX($W$2:$W$1001,MATCH(ROWS($V$2:V5),$V$2:$V$1001,0),1)&gt;=100000,INDEX($AC$1005:$AS$1005,1,MATCH(COLUMNS($AC$1006:AF1006),$AC$1006:$AS$1006,0))&gt;=100000), " ",IF(INDEX($AC$2:$AS$1001,MATCH(ROWS($V$2:V5),$V$2:$V$1001,0),MATCH(COLUMNS($AC$1006:AF1006),$AC$1006:$AS$1006,0)), HYPERLINK("#",""), HYPERLINK(CONCATENATE("#Metadata!", ADDRESS(INDEX($X$2:$X$1001,MATCH(ROWS($V$2:V5),$V$2:$V$1001,0),0), INDEX($AC$1004:$AS$1004,1,MATCH(COLUMNS($AC$1006:AF1006),$AC$1006:$AS$1006,0)))),"Fix")))</f>
        <v>0</v>
      </c>
      <c r="F5" s="5">
        <f>IF(OR(INDEX($W$2:$W$1001,MATCH(ROWS($V$2:V5),$V$2:$V$1001,0),1)&gt;=100000,INDEX($AC$1005:$AS$1005,1,MATCH(COLUMNS($AC$1006:AG1006),$AC$1006:$AS$1006,0))&gt;=100000), " ",IF(INDEX($AC$2:$AS$1001,MATCH(ROWS($V$2:V5),$V$2:$V$1001,0),MATCH(COLUMNS($AC$1006:AG1006),$AC$1006:$AS$1006,0)), HYPERLINK("#",""), HYPERLINK(CONCATENATE("#Metadata!", ADDRESS(INDEX($X$2:$X$1001,MATCH(ROWS($V$2:V5),$V$2:$V$1001,0),0), INDEX($AC$1004:$AS$1004,1,MATCH(COLUMNS($AC$1006:AG1006),$AC$1006:$AS$1006,0)))),"Fix")))</f>
        <v>0</v>
      </c>
      <c r="G5" s="5">
        <f>IF(OR(INDEX($W$2:$W$1001,MATCH(ROWS($V$2:V5),$V$2:$V$1001,0),1)&gt;=100000,INDEX($AC$1005:$AS$1005,1,MATCH(COLUMNS($AC$1006:AH1006),$AC$1006:$AS$1006,0))&gt;=100000), " ",IF(INDEX($AC$2:$AS$1001,MATCH(ROWS($V$2:V5),$V$2:$V$1001,0),MATCH(COLUMNS($AC$1006:AH1006),$AC$1006:$AS$1006,0)), HYPERLINK("#",""), HYPERLINK(CONCATENATE("#Metadata!", ADDRESS(INDEX($X$2:$X$1001,MATCH(ROWS($V$2:V5),$V$2:$V$1001,0),0), INDEX($AC$1004:$AS$1004,1,MATCH(COLUMNS($AC$1006:AH1006),$AC$1006:$AS$1006,0)))),"Fix")))</f>
        <v>0</v>
      </c>
      <c r="H5" s="5">
        <f>IF(OR(INDEX($W$2:$W$1001,MATCH(ROWS($V$2:V5),$V$2:$V$1001,0),1)&gt;=100000,INDEX($AC$1005:$AS$1005,1,MATCH(COLUMNS($AC$1006:AI1006),$AC$1006:$AS$1006,0))&gt;=100000), " ",IF(INDEX($AC$2:$AS$1001,MATCH(ROWS($V$2:V5),$V$2:$V$1001,0),MATCH(COLUMNS($AC$1006:AI1006),$AC$1006:$AS$1006,0)), HYPERLINK("#",""), HYPERLINK(CONCATENATE("#Metadata!", ADDRESS(INDEX($X$2:$X$1001,MATCH(ROWS($V$2:V5),$V$2:$V$1001,0),0), INDEX($AC$1004:$AS$1004,1,MATCH(COLUMNS($AC$1006:AI1006),$AC$1006:$AS$1006,0)))),"Fix")))</f>
        <v>0</v>
      </c>
      <c r="I5" s="5">
        <f>IF(OR(INDEX($W$2:$W$1001,MATCH(ROWS($V$2:V5),$V$2:$V$1001,0),1)&gt;=100000,INDEX($AC$1005:$AS$1005,1,MATCH(COLUMNS($AC$1006:AJ1006),$AC$1006:$AS$1006,0))&gt;=100000), " ",IF(INDEX($AC$2:$AS$1001,MATCH(ROWS($V$2:V5),$V$2:$V$1001,0),MATCH(COLUMNS($AC$1006:AJ1006),$AC$1006:$AS$1006,0)), HYPERLINK("#",""), HYPERLINK(CONCATENATE("#Metadata!", ADDRESS(INDEX($X$2:$X$1001,MATCH(ROWS($V$2:V5),$V$2:$V$1001,0),0), INDEX($AC$1004:$AS$1004,1,MATCH(COLUMNS($AC$1006:AJ1006),$AC$1006:$AS$1006,0)))),"Fix")))</f>
        <v>0</v>
      </c>
      <c r="J5" s="5">
        <f>IF(OR(INDEX($W$2:$W$1001,MATCH(ROWS($V$2:V5),$V$2:$V$1001,0),1)&gt;=100000,INDEX($AC$1005:$AS$1005,1,MATCH(COLUMNS($AC$1006:AK1006),$AC$1006:$AS$1006,0))&gt;=100000), " ",IF(INDEX($AC$2:$AS$1001,MATCH(ROWS($V$2:V5),$V$2:$V$1001,0),MATCH(COLUMNS($AC$1006:AK1006),$AC$1006:$AS$1006,0)), HYPERLINK("#",""), HYPERLINK(CONCATENATE("#Metadata!", ADDRESS(INDEX($X$2:$X$1001,MATCH(ROWS($V$2:V5),$V$2:$V$1001,0),0), INDEX($AC$1004:$AS$1004,1,MATCH(COLUMNS($AC$1006:AK1006),$AC$1006:$AS$1006,0)))),"Fix")))</f>
        <v>0</v>
      </c>
      <c r="K5" s="5">
        <f>IF(OR(INDEX($W$2:$W$1001,MATCH(ROWS($V$2:V5),$V$2:$V$1001,0),1)&gt;=100000,INDEX($AC$1005:$AS$1005,1,MATCH(COLUMNS($AC$1006:AL1006),$AC$1006:$AS$1006,0))&gt;=100000), " ",IF(INDEX($AC$2:$AS$1001,MATCH(ROWS($V$2:V5),$V$2:$V$1001,0),MATCH(COLUMNS($AC$1006:AL1006),$AC$1006:$AS$1006,0)), HYPERLINK("#",""), HYPERLINK(CONCATENATE("#Metadata!", ADDRESS(INDEX($X$2:$X$1001,MATCH(ROWS($V$2:V5),$V$2:$V$1001,0),0), INDEX($AC$1004:$AS$1004,1,MATCH(COLUMNS($AC$1006:AL1006),$AC$1006:$AS$1006,0)))),"Fix")))</f>
        <v>0</v>
      </c>
      <c r="L5" s="5">
        <f>IF(OR(INDEX($W$2:$W$1001,MATCH(ROWS($V$2:V5),$V$2:$V$1001,0),1)&gt;=100000,INDEX($AC$1005:$AS$1005,1,MATCH(COLUMNS($AC$1006:AM1006),$AC$1006:$AS$1006,0))&gt;=100000), " ",IF(INDEX($AC$2:$AS$1001,MATCH(ROWS($V$2:V5),$V$2:$V$1001,0),MATCH(COLUMNS($AC$1006:AM1006),$AC$1006:$AS$1006,0)), HYPERLINK("#",""), HYPERLINK(CONCATENATE("#Metadata!", ADDRESS(INDEX($X$2:$X$1001,MATCH(ROWS($V$2:V5),$V$2:$V$1001,0),0), INDEX($AC$1004:$AS$1004,1,MATCH(COLUMNS($AC$1006:AM1006),$AC$1006:$AS$1006,0)))),"Fix")))</f>
        <v>0</v>
      </c>
      <c r="M5" s="5">
        <f>IF(OR(INDEX($W$2:$W$1001,MATCH(ROWS($V$2:V5),$V$2:$V$1001,0),1)&gt;=100000,INDEX($AC$1005:$AS$1005,1,MATCH(COLUMNS($AC$1006:AN1006),$AC$1006:$AS$1006,0))&gt;=100000), " ",IF(INDEX($AC$2:$AS$1001,MATCH(ROWS($V$2:V5),$V$2:$V$1001,0),MATCH(COLUMNS($AC$1006:AN1006),$AC$1006:$AS$1006,0)), HYPERLINK("#",""), HYPERLINK(CONCATENATE("#Metadata!", ADDRESS(INDEX($X$2:$X$1001,MATCH(ROWS($V$2:V5),$V$2:$V$1001,0),0), INDEX($AC$1004:$AS$1004,1,MATCH(COLUMNS($AC$1006:AN1006),$AC$1006:$AS$1006,0)))),"Fix")))</f>
        <v>0</v>
      </c>
      <c r="N5" s="5">
        <f>IF(OR(INDEX($W$2:$W$1001,MATCH(ROWS($V$2:V5),$V$2:$V$1001,0),1)&gt;=100000,INDEX($AC$1005:$AS$1005,1,MATCH(COLUMNS($AC$1006:AO1006),$AC$1006:$AS$1006,0))&gt;=100000), " ",IF(INDEX($AC$2:$AS$1001,MATCH(ROWS($V$2:V5),$V$2:$V$1001,0),MATCH(COLUMNS($AC$1006:AO1006),$AC$1006:$AS$1006,0)), HYPERLINK("#",""), HYPERLINK(CONCATENATE("#Metadata!", ADDRESS(INDEX($X$2:$X$1001,MATCH(ROWS($V$2:V5),$V$2:$V$1001,0),0), INDEX($AC$1004:$AS$1004,1,MATCH(COLUMNS($AC$1006:AO1006),$AC$1006:$AS$1006,0)))),"Fix")))</f>
        <v>0</v>
      </c>
      <c r="O5" s="5">
        <f>IF(OR(INDEX($W$2:$W$1001,MATCH(ROWS($V$2:V5),$V$2:$V$1001,0),1)&gt;=100000,INDEX($AC$1005:$AS$1005,1,MATCH(COLUMNS($AC$1006:AP1006),$AC$1006:$AS$1006,0))&gt;=100000), " ",IF(INDEX($AC$2:$AS$1001,MATCH(ROWS($V$2:V5),$V$2:$V$1001,0),MATCH(COLUMNS($AC$1006:AP1006),$AC$1006:$AS$1006,0)), HYPERLINK("#",""), HYPERLINK(CONCATENATE("#Metadata!", ADDRESS(INDEX($X$2:$X$1001,MATCH(ROWS($V$2:V5),$V$2:$V$1001,0),0), INDEX($AC$1004:$AS$1004,1,MATCH(COLUMNS($AC$1006:AP1006),$AC$1006:$AS$1006,0)))),"Fix")))</f>
        <v>0</v>
      </c>
      <c r="P5" s="5">
        <f>IF(OR(INDEX($W$2:$W$1001,MATCH(ROWS($V$2:V5),$V$2:$V$1001,0),1)&gt;=100000,INDEX($AC$1005:$AS$1005,1,MATCH(COLUMNS($AC$1006:AQ1006),$AC$1006:$AS$1006,0))&gt;=100000), " ",IF(INDEX($AC$2:$AS$1001,MATCH(ROWS($V$2:V5),$V$2:$V$1001,0),MATCH(COLUMNS($AC$1006:AQ1006),$AC$1006:$AS$1006,0)), HYPERLINK("#",""), HYPERLINK(CONCATENATE("#Metadata!", ADDRESS(INDEX($X$2:$X$1001,MATCH(ROWS($V$2:V5),$V$2:$V$1001,0),0), INDEX($AC$1004:$AS$1004,1,MATCH(COLUMNS($AC$1006:AQ1006),$AC$1006:$AS$1006,0)))),"Fix")))</f>
        <v>0</v>
      </c>
      <c r="Q5" s="5">
        <f>IF(OR(INDEX($W$2:$W$1001,MATCH(ROWS($V$2:V5),$V$2:$V$1001,0),1)&gt;=100000,INDEX($AC$1005:$AS$1005,1,MATCH(COLUMNS($AC$1006:AR1006),$AC$1006:$AS$1006,0))&gt;=100000), " ",IF(INDEX($AC$2:$AS$1001,MATCH(ROWS($V$2:V5),$V$2:$V$1001,0),MATCH(COLUMNS($AC$1006:AR1006),$AC$1006:$AS$1006,0)), HYPERLINK("#",""), HYPERLINK(CONCATENATE("#Metadata!", ADDRESS(INDEX($X$2:$X$1001,MATCH(ROWS($V$2:V5),$V$2:$V$1001,0),0), INDEX($AC$1004:$AS$1004,1,MATCH(COLUMNS($AC$1006:AR1006),$AC$1006:$AS$1006,0)))),"Fix")))</f>
        <v>0</v>
      </c>
      <c r="R5" s="5">
        <f>IF(OR(INDEX($W$2:$W$1001,MATCH(ROWS($V$2:V5),$V$2:$V$1001,0),1)&gt;=100000,INDEX($AC$1005:$AS$1005,1,MATCH(COLUMNS($AC$1006:AS1006),$AC$1006:$AS$1006,0))&gt;=100000), " ",IF(INDEX($AC$2:$AS$1001,MATCH(ROWS($V$2:V5),$V$2:$V$1001,0),MATCH(COLUMNS($AC$1006:AS1006),$AC$1006:$AS$1006,0)), HYPERLINK("#",""), HYPERLINK(CONCATENATE("#Metadata!", ADDRESS(INDEX($X$2:$X$1001,MATCH(ROWS($V$2:V5),$V$2:$V$1001,0),0), INDEX($AC$1004:$AS$1004,1,MATCH(COLUMNS($AC$1006:AS1006),$AC$1006:$AS$1006,0)))),"Fix")))</f>
        <v>0</v>
      </c>
      <c r="V5">
        <v>0</v>
      </c>
      <c r="W5">
        <v>0</v>
      </c>
      <c r="X5">
        <v>0</v>
      </c>
      <c r="Y5">
        <f>IF(Z5,TRUE,AND(AC5:AS5))</f>
        <v>0</v>
      </c>
      <c r="Z5">
        <f>COUNTBLANK(Metadata!B5:R5)=COLUMNS(Metadata!B5:R5)</f>
        <v>0</v>
      </c>
      <c r="AA5">
        <v>0</v>
      </c>
      <c r="AC5">
        <f>AND(IF(Metadata!B5="",FALSE,TRUE),COUNTIF(Metadata!B:B, Metadata!B5) = 1,NOT(ISERROR(SUMPRODUCT(SEARCH(MID(Metadata!B5,ROW(INDIRECT("1:"&amp;LEN(Metadata!B5))), 1),"0123456789abcdefghijklmnopqrstuvwxyzABCDEFGHIJKLMNOPQRSTUVWXYZ.")))))</f>
        <v>0</v>
      </c>
      <c r="AD5">
        <f>AND(IF(Metadata!C5="",FALSE,TRUE),exact(Metadata!C5,"Host-associated"))</f>
        <v>0</v>
      </c>
      <c r="AE5">
        <f>AND(IF(Metadata!D5="",FALSE,TRUE),OR(exact(Metadata!D5,"Animal"),exact(Metadata!D5,"Fungus"),exact(Metadata!D5,"Plant")))</f>
        <v>0</v>
      </c>
      <c r="AF5">
        <f>AND(IF(Metadata!E5="",FALSE,TRUE),OR(exact(Metadata!E5,"Plant secretion"),exact(Metadata!E5,"Plant rhizosphere"),exact(Metadata!E5,"Plant surface"),exact(Metadata!E5,"Plant corpus"),exact(Metadata!E5,"Fungus surface"),exact(Metadata!E5,"Fungus corpus"),exact(Metadata!E5,"Animal surface"),exact(Metadata!E5,"Animal proximal gut"),exact(Metadata!E5,"Animal corpus"),exact(Metadata!E5,"Animal distal gut"),exact(Metadata!E5,"Animal secretion")))</f>
        <v>0</v>
      </c>
      <c r="AG5">
        <f>OR(AND(IF(Metadata!F5="",FALSE,TRUE),OR(exact(Metadata!F5,"not collected"),exact(Metadata!F5,"not provided"),exact(Metadata!F5,"restricted access"))),AND(IF(Metadata!F5="",FALSE,TRUE),OR(exact(Metadata!F5,"organism-associated habitat"),exact(Metadata!F5,"plant-associated habitat"),exact(Metadata!F5,"animal-associated habitat"),exact(Metadata!F5,"insecta-associated habitat"),exact(Metadata!F5,"mammalia-associated habitat"),exact(Metadata!F5,"human-associated habitat"),exact(Metadata!F5,"livestock-associated habitat"))))</f>
        <v>0</v>
      </c>
      <c r="AH5">
        <f>AND(IF(Metadata!G5="",FALSE,TRUE),exact(Metadata!G5,"host-associated"))</f>
        <v>0</v>
      </c>
      <c r="AI5">
        <f>OR(AND(IF(Metadata!H5="",FALSE,TRUE),OR(exact(Metadata!H5,"not collected"),exact(Metadata!H5,"not provided"))),AND(IF(Metadata!H5="",FALSE,ISNUMBER(VALUE(Metadata!H5))),Metadata!H5&gt;0))</f>
        <v>0</v>
      </c>
      <c r="AJ5">
        <f>AND(IF(Metadata!I5="",FALSE,TRUE),exact(Metadata!I5,"years"))</f>
        <v>0</v>
      </c>
      <c r="AK5">
        <f>IF(Metadata!J5="",FALSE,TRUE)</f>
        <v>0</v>
      </c>
      <c r="AL5">
        <f>OR(AND(IF(Metadata!K5="",FALSE,TRUE),OR(exact(Metadata!K5,"not collected"),exact(Metadata!K5,"not provided"))),AND(IF(Metadata!K5="",FALSE,ISNUMBER(VALUE(Metadata!K5))),Metadata!K5&gt;0))</f>
        <v>0</v>
      </c>
      <c r="AM5">
        <f>AND(IF(Metadata!L5="",FALSE,TRUE),exact(Metadata!L5,"cm"))</f>
        <v>0</v>
      </c>
      <c r="AN5">
        <f>IF(Metadata!M5="",FALSE,TRUE)</f>
        <v>0</v>
      </c>
      <c r="AO5">
        <f>OR(AND(IF(Metadata!N5="",FALSE,TRUE),OR(exact(Metadata!N5,"not applicable"),exact(Metadata!N5,"not collected"),exact(Metadata!N5,"not provided"))),AND(IF(Metadata!N5="",FALSE,IF(ISERROR(INT(Metadata!N5)),FALSE,INT(Metadata!N5)=Metadata!N5)),Metadata!N5&gt;0))</f>
        <v>0</v>
      </c>
      <c r="AP5">
        <f>OR(AND(IF(Metadata!O5="",FALSE,TRUE),OR(exact(Metadata!O5,"not collected"),exact(Metadata!O5,"not provided"))),AND(IF(Metadata!O5="",FALSE,ISNUMBER(VALUE(Metadata!O5))),Metadata!O5&gt;0))</f>
        <v>0</v>
      </c>
      <c r="AQ5">
        <f>AND(IF(Metadata!P5="",FALSE,TRUE),exact(Metadata!P5,"kg"))</f>
        <v>0</v>
      </c>
      <c r="AR5">
        <f>OR(AND(IF(Metadata!Q5="",FALSE,TRUE),OR(exact(Metadata!Q5,"not applicable"),exact(Metadata!Q5,"not collected"),exact(Metadata!Q5,"not provided"),exact(Metadata!Q5,"restricted access"))),IF(Metadata!Q5="",FALSE,IF(ISERROR(INT(Metadata!Q5)),FALSE,INT(Metadata!Q5)=Metadata!Q5)))</f>
        <v>0</v>
      </c>
      <c r="AS5">
        <f>AND(IF(Metadata!R5="",FALSE,TRUE),exact(Metadata!R5,"Not applicable"))</f>
        <v>0</v>
      </c>
    </row>
    <row r="6" spans="1:45">
      <c r="A6" s="4">
        <f>IF(B6=" "," ",HYPERLINK(CONCATENATE("#metadata!",ADDRESS(INDEX($X$2:$X$1001,MATCH(ROWS($V$2:V6),$V$2:$V$1001,0),0),2)),INDEX($AA$2:$AA$1001,MATCH(ROWS($V$2:V6),$V$2:$V$1001,0),0)))</f>
        <v>0</v>
      </c>
      <c r="B6" s="5">
        <f>IF(OR(INDEX($W$2:$W$1001,MATCH(ROWS($V$2:V6),$V$2:$V$1001,0),1)&gt;=100000,INDEX($AC$1005:$AS$1005,1,MATCH(COLUMNS($AC$1006:AC1006),$AC$1006:$AS$1006,0))&gt;=100000), " ",IF(INDEX($AC$2:$AS$1001,MATCH(ROWS($V$2:V6),$V$2:$V$1001,0),MATCH(COLUMNS($AC$1006:AC1006),$AC$1006:$AS$1006,0)), HYPERLINK("#",""), HYPERLINK(CONCATENATE("#Metadata!", ADDRESS(INDEX($X$2:$X$1001,MATCH(ROWS($V$2:V6),$V$2:$V$1001,0),0), INDEX($AC$1004:$AS$1004,1,MATCH(COLUMNS($AC$1006:AC1006),$AC$1006:$AS$1006,0)))),"Fix")))</f>
        <v>0</v>
      </c>
      <c r="C6" s="5">
        <f>IF(OR(INDEX($W$2:$W$1001,MATCH(ROWS($V$2:V6),$V$2:$V$1001,0),1)&gt;=100000,INDEX($AC$1005:$AS$1005,1,MATCH(COLUMNS($AC$1006:AD1006),$AC$1006:$AS$1006,0))&gt;=100000), " ",IF(INDEX($AC$2:$AS$1001,MATCH(ROWS($V$2:V6),$V$2:$V$1001,0),MATCH(COLUMNS($AC$1006:AD1006),$AC$1006:$AS$1006,0)), HYPERLINK("#",""), HYPERLINK(CONCATENATE("#Metadata!", ADDRESS(INDEX($X$2:$X$1001,MATCH(ROWS($V$2:V6),$V$2:$V$1001,0),0), INDEX($AC$1004:$AS$1004,1,MATCH(COLUMNS($AC$1006:AD1006),$AC$1006:$AS$1006,0)))),"Fix")))</f>
        <v>0</v>
      </c>
      <c r="D6" s="5">
        <f>IF(OR(INDEX($W$2:$W$1001,MATCH(ROWS($V$2:V6),$V$2:$V$1001,0),1)&gt;=100000,INDEX($AC$1005:$AS$1005,1,MATCH(COLUMNS($AC$1006:AE1006),$AC$1006:$AS$1006,0))&gt;=100000), " ",IF(INDEX($AC$2:$AS$1001,MATCH(ROWS($V$2:V6),$V$2:$V$1001,0),MATCH(COLUMNS($AC$1006:AE1006),$AC$1006:$AS$1006,0)), HYPERLINK("#",""), HYPERLINK(CONCATENATE("#Metadata!", ADDRESS(INDEX($X$2:$X$1001,MATCH(ROWS($V$2:V6),$V$2:$V$1001,0),0), INDEX($AC$1004:$AS$1004,1,MATCH(COLUMNS($AC$1006:AE1006),$AC$1006:$AS$1006,0)))),"Fix")))</f>
        <v>0</v>
      </c>
      <c r="E6" s="5">
        <f>IF(OR(INDEX($W$2:$W$1001,MATCH(ROWS($V$2:V6),$V$2:$V$1001,0),1)&gt;=100000,INDEX($AC$1005:$AS$1005,1,MATCH(COLUMNS($AC$1006:AF1006),$AC$1006:$AS$1006,0))&gt;=100000), " ",IF(INDEX($AC$2:$AS$1001,MATCH(ROWS($V$2:V6),$V$2:$V$1001,0),MATCH(COLUMNS($AC$1006:AF1006),$AC$1006:$AS$1006,0)), HYPERLINK("#",""), HYPERLINK(CONCATENATE("#Metadata!", ADDRESS(INDEX($X$2:$X$1001,MATCH(ROWS($V$2:V6),$V$2:$V$1001,0),0), INDEX($AC$1004:$AS$1004,1,MATCH(COLUMNS($AC$1006:AF1006),$AC$1006:$AS$1006,0)))),"Fix")))</f>
        <v>0</v>
      </c>
      <c r="F6" s="5">
        <f>IF(OR(INDEX($W$2:$W$1001,MATCH(ROWS($V$2:V6),$V$2:$V$1001,0),1)&gt;=100000,INDEX($AC$1005:$AS$1005,1,MATCH(COLUMNS($AC$1006:AG1006),$AC$1006:$AS$1006,0))&gt;=100000), " ",IF(INDEX($AC$2:$AS$1001,MATCH(ROWS($V$2:V6),$V$2:$V$1001,0),MATCH(COLUMNS($AC$1006:AG1006),$AC$1006:$AS$1006,0)), HYPERLINK("#",""), HYPERLINK(CONCATENATE("#Metadata!", ADDRESS(INDEX($X$2:$X$1001,MATCH(ROWS($V$2:V6),$V$2:$V$1001,0),0), INDEX($AC$1004:$AS$1004,1,MATCH(COLUMNS($AC$1006:AG1006),$AC$1006:$AS$1006,0)))),"Fix")))</f>
        <v>0</v>
      </c>
      <c r="G6" s="5">
        <f>IF(OR(INDEX($W$2:$W$1001,MATCH(ROWS($V$2:V6),$V$2:$V$1001,0),1)&gt;=100000,INDEX($AC$1005:$AS$1005,1,MATCH(COLUMNS($AC$1006:AH1006),$AC$1006:$AS$1006,0))&gt;=100000), " ",IF(INDEX($AC$2:$AS$1001,MATCH(ROWS($V$2:V6),$V$2:$V$1001,0),MATCH(COLUMNS($AC$1006:AH1006),$AC$1006:$AS$1006,0)), HYPERLINK("#",""), HYPERLINK(CONCATENATE("#Metadata!", ADDRESS(INDEX($X$2:$X$1001,MATCH(ROWS($V$2:V6),$V$2:$V$1001,0),0), INDEX($AC$1004:$AS$1004,1,MATCH(COLUMNS($AC$1006:AH1006),$AC$1006:$AS$1006,0)))),"Fix")))</f>
        <v>0</v>
      </c>
      <c r="H6" s="5">
        <f>IF(OR(INDEX($W$2:$W$1001,MATCH(ROWS($V$2:V6),$V$2:$V$1001,0),1)&gt;=100000,INDEX($AC$1005:$AS$1005,1,MATCH(COLUMNS($AC$1006:AI1006),$AC$1006:$AS$1006,0))&gt;=100000), " ",IF(INDEX($AC$2:$AS$1001,MATCH(ROWS($V$2:V6),$V$2:$V$1001,0),MATCH(COLUMNS($AC$1006:AI1006),$AC$1006:$AS$1006,0)), HYPERLINK("#",""), HYPERLINK(CONCATENATE("#Metadata!", ADDRESS(INDEX($X$2:$X$1001,MATCH(ROWS($V$2:V6),$V$2:$V$1001,0),0), INDEX($AC$1004:$AS$1004,1,MATCH(COLUMNS($AC$1006:AI1006),$AC$1006:$AS$1006,0)))),"Fix")))</f>
        <v>0</v>
      </c>
      <c r="I6" s="5">
        <f>IF(OR(INDEX($W$2:$W$1001,MATCH(ROWS($V$2:V6),$V$2:$V$1001,0),1)&gt;=100000,INDEX($AC$1005:$AS$1005,1,MATCH(COLUMNS($AC$1006:AJ1006),$AC$1006:$AS$1006,0))&gt;=100000), " ",IF(INDEX($AC$2:$AS$1001,MATCH(ROWS($V$2:V6),$V$2:$V$1001,0),MATCH(COLUMNS($AC$1006:AJ1006),$AC$1006:$AS$1006,0)), HYPERLINK("#",""), HYPERLINK(CONCATENATE("#Metadata!", ADDRESS(INDEX($X$2:$X$1001,MATCH(ROWS($V$2:V6),$V$2:$V$1001,0),0), INDEX($AC$1004:$AS$1004,1,MATCH(COLUMNS($AC$1006:AJ1006),$AC$1006:$AS$1006,0)))),"Fix")))</f>
        <v>0</v>
      </c>
      <c r="J6" s="5">
        <f>IF(OR(INDEX($W$2:$W$1001,MATCH(ROWS($V$2:V6),$V$2:$V$1001,0),1)&gt;=100000,INDEX($AC$1005:$AS$1005,1,MATCH(COLUMNS($AC$1006:AK1006),$AC$1006:$AS$1006,0))&gt;=100000), " ",IF(INDEX($AC$2:$AS$1001,MATCH(ROWS($V$2:V6),$V$2:$V$1001,0),MATCH(COLUMNS($AC$1006:AK1006),$AC$1006:$AS$1006,0)), HYPERLINK("#",""), HYPERLINK(CONCATENATE("#Metadata!", ADDRESS(INDEX($X$2:$X$1001,MATCH(ROWS($V$2:V6),$V$2:$V$1001,0),0), INDEX($AC$1004:$AS$1004,1,MATCH(COLUMNS($AC$1006:AK1006),$AC$1006:$AS$1006,0)))),"Fix")))</f>
        <v>0</v>
      </c>
      <c r="K6" s="5">
        <f>IF(OR(INDEX($W$2:$W$1001,MATCH(ROWS($V$2:V6),$V$2:$V$1001,0),1)&gt;=100000,INDEX($AC$1005:$AS$1005,1,MATCH(COLUMNS($AC$1006:AL1006),$AC$1006:$AS$1006,0))&gt;=100000), " ",IF(INDEX($AC$2:$AS$1001,MATCH(ROWS($V$2:V6),$V$2:$V$1001,0),MATCH(COLUMNS($AC$1006:AL1006),$AC$1006:$AS$1006,0)), HYPERLINK("#",""), HYPERLINK(CONCATENATE("#Metadata!", ADDRESS(INDEX($X$2:$X$1001,MATCH(ROWS($V$2:V6),$V$2:$V$1001,0),0), INDEX($AC$1004:$AS$1004,1,MATCH(COLUMNS($AC$1006:AL1006),$AC$1006:$AS$1006,0)))),"Fix")))</f>
        <v>0</v>
      </c>
      <c r="L6" s="5">
        <f>IF(OR(INDEX($W$2:$W$1001,MATCH(ROWS($V$2:V6),$V$2:$V$1001,0),1)&gt;=100000,INDEX($AC$1005:$AS$1005,1,MATCH(COLUMNS($AC$1006:AM1006),$AC$1006:$AS$1006,0))&gt;=100000), " ",IF(INDEX($AC$2:$AS$1001,MATCH(ROWS($V$2:V6),$V$2:$V$1001,0),MATCH(COLUMNS($AC$1006:AM1006),$AC$1006:$AS$1006,0)), HYPERLINK("#",""), HYPERLINK(CONCATENATE("#Metadata!", ADDRESS(INDEX($X$2:$X$1001,MATCH(ROWS($V$2:V6),$V$2:$V$1001,0),0), INDEX($AC$1004:$AS$1004,1,MATCH(COLUMNS($AC$1006:AM1006),$AC$1006:$AS$1006,0)))),"Fix")))</f>
        <v>0</v>
      </c>
      <c r="M6" s="5">
        <f>IF(OR(INDEX($W$2:$W$1001,MATCH(ROWS($V$2:V6),$V$2:$V$1001,0),1)&gt;=100000,INDEX($AC$1005:$AS$1005,1,MATCH(COLUMNS($AC$1006:AN1006),$AC$1006:$AS$1006,0))&gt;=100000), " ",IF(INDEX($AC$2:$AS$1001,MATCH(ROWS($V$2:V6),$V$2:$V$1001,0),MATCH(COLUMNS($AC$1006:AN1006),$AC$1006:$AS$1006,0)), HYPERLINK("#",""), HYPERLINK(CONCATENATE("#Metadata!", ADDRESS(INDEX($X$2:$X$1001,MATCH(ROWS($V$2:V6),$V$2:$V$1001,0),0), INDEX($AC$1004:$AS$1004,1,MATCH(COLUMNS($AC$1006:AN1006),$AC$1006:$AS$1006,0)))),"Fix")))</f>
        <v>0</v>
      </c>
      <c r="N6" s="5">
        <f>IF(OR(INDEX($W$2:$W$1001,MATCH(ROWS($V$2:V6),$V$2:$V$1001,0),1)&gt;=100000,INDEX($AC$1005:$AS$1005,1,MATCH(COLUMNS($AC$1006:AO1006),$AC$1006:$AS$1006,0))&gt;=100000), " ",IF(INDEX($AC$2:$AS$1001,MATCH(ROWS($V$2:V6),$V$2:$V$1001,0),MATCH(COLUMNS($AC$1006:AO1006),$AC$1006:$AS$1006,0)), HYPERLINK("#",""), HYPERLINK(CONCATENATE("#Metadata!", ADDRESS(INDEX($X$2:$X$1001,MATCH(ROWS($V$2:V6),$V$2:$V$1001,0),0), INDEX($AC$1004:$AS$1004,1,MATCH(COLUMNS($AC$1006:AO1006),$AC$1006:$AS$1006,0)))),"Fix")))</f>
        <v>0</v>
      </c>
      <c r="O6" s="5">
        <f>IF(OR(INDEX($W$2:$W$1001,MATCH(ROWS($V$2:V6),$V$2:$V$1001,0),1)&gt;=100000,INDEX($AC$1005:$AS$1005,1,MATCH(COLUMNS($AC$1006:AP1006),$AC$1006:$AS$1006,0))&gt;=100000), " ",IF(INDEX($AC$2:$AS$1001,MATCH(ROWS($V$2:V6),$V$2:$V$1001,0),MATCH(COLUMNS($AC$1006:AP1006),$AC$1006:$AS$1006,0)), HYPERLINK("#",""), HYPERLINK(CONCATENATE("#Metadata!", ADDRESS(INDEX($X$2:$X$1001,MATCH(ROWS($V$2:V6),$V$2:$V$1001,0),0), INDEX($AC$1004:$AS$1004,1,MATCH(COLUMNS($AC$1006:AP1006),$AC$1006:$AS$1006,0)))),"Fix")))</f>
        <v>0</v>
      </c>
      <c r="P6" s="5">
        <f>IF(OR(INDEX($W$2:$W$1001,MATCH(ROWS($V$2:V6),$V$2:$V$1001,0),1)&gt;=100000,INDEX($AC$1005:$AS$1005,1,MATCH(COLUMNS($AC$1006:AQ1006),$AC$1006:$AS$1006,0))&gt;=100000), " ",IF(INDEX($AC$2:$AS$1001,MATCH(ROWS($V$2:V6),$V$2:$V$1001,0),MATCH(COLUMNS($AC$1006:AQ1006),$AC$1006:$AS$1006,0)), HYPERLINK("#",""), HYPERLINK(CONCATENATE("#Metadata!", ADDRESS(INDEX($X$2:$X$1001,MATCH(ROWS($V$2:V6),$V$2:$V$1001,0),0), INDEX($AC$1004:$AS$1004,1,MATCH(COLUMNS($AC$1006:AQ1006),$AC$1006:$AS$1006,0)))),"Fix")))</f>
        <v>0</v>
      </c>
      <c r="Q6" s="5">
        <f>IF(OR(INDEX($W$2:$W$1001,MATCH(ROWS($V$2:V6),$V$2:$V$1001,0),1)&gt;=100000,INDEX($AC$1005:$AS$1005,1,MATCH(COLUMNS($AC$1006:AR1006),$AC$1006:$AS$1006,0))&gt;=100000), " ",IF(INDEX($AC$2:$AS$1001,MATCH(ROWS($V$2:V6),$V$2:$V$1001,0),MATCH(COLUMNS($AC$1006:AR1006),$AC$1006:$AS$1006,0)), HYPERLINK("#",""), HYPERLINK(CONCATENATE("#Metadata!", ADDRESS(INDEX($X$2:$X$1001,MATCH(ROWS($V$2:V6),$V$2:$V$1001,0),0), INDEX($AC$1004:$AS$1004,1,MATCH(COLUMNS($AC$1006:AR1006),$AC$1006:$AS$1006,0)))),"Fix")))</f>
        <v>0</v>
      </c>
      <c r="R6" s="5">
        <f>IF(OR(INDEX($W$2:$W$1001,MATCH(ROWS($V$2:V6),$V$2:$V$1001,0),1)&gt;=100000,INDEX($AC$1005:$AS$1005,1,MATCH(COLUMNS($AC$1006:AS1006),$AC$1006:$AS$1006,0))&gt;=100000), " ",IF(INDEX($AC$2:$AS$1001,MATCH(ROWS($V$2:V6),$V$2:$V$1001,0),MATCH(COLUMNS($AC$1006:AS1006),$AC$1006:$AS$1006,0)), HYPERLINK("#",""), HYPERLINK(CONCATENATE("#Metadata!", ADDRESS(INDEX($X$2:$X$1001,MATCH(ROWS($V$2:V6),$V$2:$V$1001,0),0), INDEX($AC$1004:$AS$1004,1,MATCH(COLUMNS($AC$1006:AS1006),$AC$1006:$AS$1006,0)))),"Fix")))</f>
        <v>0</v>
      </c>
      <c r="V6">
        <v>0</v>
      </c>
      <c r="W6">
        <v>0</v>
      </c>
      <c r="X6">
        <v>0</v>
      </c>
      <c r="Y6">
        <f>IF(Z6,TRUE,AND(AC6:AS6))</f>
        <v>0</v>
      </c>
      <c r="Z6">
        <f>COUNTBLANK(Metadata!B6:R6)=COLUMNS(Metadata!B6:R6)</f>
        <v>0</v>
      </c>
      <c r="AA6">
        <v>0</v>
      </c>
      <c r="AC6">
        <f>AND(IF(Metadata!B6="",FALSE,TRUE),COUNTIF(Metadata!B:B, Metadata!B6) = 1,NOT(ISERROR(SUMPRODUCT(SEARCH(MID(Metadata!B6,ROW(INDIRECT("1:"&amp;LEN(Metadata!B6))), 1),"0123456789abcdefghijklmnopqrstuvwxyzABCDEFGHIJKLMNOPQRSTUVWXYZ.")))))</f>
        <v>0</v>
      </c>
      <c r="AD6">
        <f>AND(IF(Metadata!C6="",FALSE,TRUE),exact(Metadata!C6,"Host-associated"))</f>
        <v>0</v>
      </c>
      <c r="AE6">
        <f>AND(IF(Metadata!D6="",FALSE,TRUE),OR(exact(Metadata!D6,"Animal"),exact(Metadata!D6,"Fungus"),exact(Metadata!D6,"Plant")))</f>
        <v>0</v>
      </c>
      <c r="AF6">
        <f>AND(IF(Metadata!E6="",FALSE,TRUE),OR(exact(Metadata!E6,"Plant secretion"),exact(Metadata!E6,"Plant rhizosphere"),exact(Metadata!E6,"Plant surface"),exact(Metadata!E6,"Plant corpus"),exact(Metadata!E6,"Fungus surface"),exact(Metadata!E6,"Fungus corpus"),exact(Metadata!E6,"Animal surface"),exact(Metadata!E6,"Animal proximal gut"),exact(Metadata!E6,"Animal corpus"),exact(Metadata!E6,"Animal distal gut"),exact(Metadata!E6,"Animal secretion")))</f>
        <v>0</v>
      </c>
      <c r="AG6">
        <f>OR(AND(IF(Metadata!F6="",FALSE,TRUE),OR(exact(Metadata!F6,"not collected"),exact(Metadata!F6,"not provided"),exact(Metadata!F6,"restricted access"))),AND(IF(Metadata!F6="",FALSE,TRUE),OR(exact(Metadata!F6,"organism-associated habitat"),exact(Metadata!F6,"plant-associated habitat"),exact(Metadata!F6,"animal-associated habitat"),exact(Metadata!F6,"insecta-associated habitat"),exact(Metadata!F6,"mammalia-associated habitat"),exact(Metadata!F6,"human-associated habitat"),exact(Metadata!F6,"livestock-associated habitat"))))</f>
        <v>0</v>
      </c>
      <c r="AH6">
        <f>AND(IF(Metadata!G6="",FALSE,TRUE),exact(Metadata!G6,"host-associated"))</f>
        <v>0</v>
      </c>
      <c r="AI6">
        <f>OR(AND(IF(Metadata!H6="",FALSE,TRUE),OR(exact(Metadata!H6,"not collected"),exact(Metadata!H6,"not provided"))),AND(IF(Metadata!H6="",FALSE,ISNUMBER(VALUE(Metadata!H6))),Metadata!H6&gt;0))</f>
        <v>0</v>
      </c>
      <c r="AJ6">
        <f>AND(IF(Metadata!I6="",FALSE,TRUE),exact(Metadata!I6,"years"))</f>
        <v>0</v>
      </c>
      <c r="AK6">
        <f>IF(Metadata!J6="",FALSE,TRUE)</f>
        <v>0</v>
      </c>
      <c r="AL6">
        <f>OR(AND(IF(Metadata!K6="",FALSE,TRUE),OR(exact(Metadata!K6,"not collected"),exact(Metadata!K6,"not provided"))),AND(IF(Metadata!K6="",FALSE,ISNUMBER(VALUE(Metadata!K6))),Metadata!K6&gt;0))</f>
        <v>0</v>
      </c>
      <c r="AM6">
        <f>AND(IF(Metadata!L6="",FALSE,TRUE),exact(Metadata!L6,"cm"))</f>
        <v>0</v>
      </c>
      <c r="AN6">
        <f>IF(Metadata!M6="",FALSE,TRUE)</f>
        <v>0</v>
      </c>
      <c r="AO6">
        <f>OR(AND(IF(Metadata!N6="",FALSE,TRUE),OR(exact(Metadata!N6,"not applicable"),exact(Metadata!N6,"not collected"),exact(Metadata!N6,"not provided"))),AND(IF(Metadata!N6="",FALSE,IF(ISERROR(INT(Metadata!N6)),FALSE,INT(Metadata!N6)=Metadata!N6)),Metadata!N6&gt;0))</f>
        <v>0</v>
      </c>
      <c r="AP6">
        <f>OR(AND(IF(Metadata!O6="",FALSE,TRUE),OR(exact(Metadata!O6,"not collected"),exact(Metadata!O6,"not provided"))),AND(IF(Metadata!O6="",FALSE,ISNUMBER(VALUE(Metadata!O6))),Metadata!O6&gt;0))</f>
        <v>0</v>
      </c>
      <c r="AQ6">
        <f>AND(IF(Metadata!P6="",FALSE,TRUE),exact(Metadata!P6,"kg"))</f>
        <v>0</v>
      </c>
      <c r="AR6">
        <f>OR(AND(IF(Metadata!Q6="",FALSE,TRUE),OR(exact(Metadata!Q6,"not applicable"),exact(Metadata!Q6,"not collected"),exact(Metadata!Q6,"not provided"),exact(Metadata!Q6,"restricted access"))),IF(Metadata!Q6="",FALSE,IF(ISERROR(INT(Metadata!Q6)),FALSE,INT(Metadata!Q6)=Metadata!Q6)))</f>
        <v>0</v>
      </c>
      <c r="AS6">
        <f>AND(IF(Metadata!R6="",FALSE,TRUE),exact(Metadata!R6,"Not applicable"))</f>
        <v>0</v>
      </c>
    </row>
    <row r="7" spans="1:45">
      <c r="A7" s="4">
        <f>IF(B7=" "," ",HYPERLINK(CONCATENATE("#metadata!",ADDRESS(INDEX($X$2:$X$1001,MATCH(ROWS($V$2:V7),$V$2:$V$1001,0),0),2)),INDEX($AA$2:$AA$1001,MATCH(ROWS($V$2:V7),$V$2:$V$1001,0),0)))</f>
        <v>0</v>
      </c>
      <c r="B7" s="5">
        <f>IF(OR(INDEX($W$2:$W$1001,MATCH(ROWS($V$2:V7),$V$2:$V$1001,0),1)&gt;=100000,INDEX($AC$1005:$AS$1005,1,MATCH(COLUMNS($AC$1006:AC1006),$AC$1006:$AS$1006,0))&gt;=100000), " ",IF(INDEX($AC$2:$AS$1001,MATCH(ROWS($V$2:V7),$V$2:$V$1001,0),MATCH(COLUMNS($AC$1006:AC1006),$AC$1006:$AS$1006,0)), HYPERLINK("#",""), HYPERLINK(CONCATENATE("#Metadata!", ADDRESS(INDEX($X$2:$X$1001,MATCH(ROWS($V$2:V7),$V$2:$V$1001,0),0), INDEX($AC$1004:$AS$1004,1,MATCH(COLUMNS($AC$1006:AC1006),$AC$1006:$AS$1006,0)))),"Fix")))</f>
        <v>0</v>
      </c>
      <c r="C7" s="5">
        <f>IF(OR(INDEX($W$2:$W$1001,MATCH(ROWS($V$2:V7),$V$2:$V$1001,0),1)&gt;=100000,INDEX($AC$1005:$AS$1005,1,MATCH(COLUMNS($AC$1006:AD1006),$AC$1006:$AS$1006,0))&gt;=100000), " ",IF(INDEX($AC$2:$AS$1001,MATCH(ROWS($V$2:V7),$V$2:$V$1001,0),MATCH(COLUMNS($AC$1006:AD1006),$AC$1006:$AS$1006,0)), HYPERLINK("#",""), HYPERLINK(CONCATENATE("#Metadata!", ADDRESS(INDEX($X$2:$X$1001,MATCH(ROWS($V$2:V7),$V$2:$V$1001,0),0), INDEX($AC$1004:$AS$1004,1,MATCH(COLUMNS($AC$1006:AD1006),$AC$1006:$AS$1006,0)))),"Fix")))</f>
        <v>0</v>
      </c>
      <c r="D7" s="5">
        <f>IF(OR(INDEX($W$2:$W$1001,MATCH(ROWS($V$2:V7),$V$2:$V$1001,0),1)&gt;=100000,INDEX($AC$1005:$AS$1005,1,MATCH(COLUMNS($AC$1006:AE1006),$AC$1006:$AS$1006,0))&gt;=100000), " ",IF(INDEX($AC$2:$AS$1001,MATCH(ROWS($V$2:V7),$V$2:$V$1001,0),MATCH(COLUMNS($AC$1006:AE1006),$AC$1006:$AS$1006,0)), HYPERLINK("#",""), HYPERLINK(CONCATENATE("#Metadata!", ADDRESS(INDEX($X$2:$X$1001,MATCH(ROWS($V$2:V7),$V$2:$V$1001,0),0), INDEX($AC$1004:$AS$1004,1,MATCH(COLUMNS($AC$1006:AE1006),$AC$1006:$AS$1006,0)))),"Fix")))</f>
        <v>0</v>
      </c>
      <c r="E7" s="5">
        <f>IF(OR(INDEX($W$2:$W$1001,MATCH(ROWS($V$2:V7),$V$2:$V$1001,0),1)&gt;=100000,INDEX($AC$1005:$AS$1005,1,MATCH(COLUMNS($AC$1006:AF1006),$AC$1006:$AS$1006,0))&gt;=100000), " ",IF(INDEX($AC$2:$AS$1001,MATCH(ROWS($V$2:V7),$V$2:$V$1001,0),MATCH(COLUMNS($AC$1006:AF1006),$AC$1006:$AS$1006,0)), HYPERLINK("#",""), HYPERLINK(CONCATENATE("#Metadata!", ADDRESS(INDEX($X$2:$X$1001,MATCH(ROWS($V$2:V7),$V$2:$V$1001,0),0), INDEX($AC$1004:$AS$1004,1,MATCH(COLUMNS($AC$1006:AF1006),$AC$1006:$AS$1006,0)))),"Fix")))</f>
        <v>0</v>
      </c>
      <c r="F7" s="5">
        <f>IF(OR(INDEX($W$2:$W$1001,MATCH(ROWS($V$2:V7),$V$2:$V$1001,0),1)&gt;=100000,INDEX($AC$1005:$AS$1005,1,MATCH(COLUMNS($AC$1006:AG1006),$AC$1006:$AS$1006,0))&gt;=100000), " ",IF(INDEX($AC$2:$AS$1001,MATCH(ROWS($V$2:V7),$V$2:$V$1001,0),MATCH(COLUMNS($AC$1006:AG1006),$AC$1006:$AS$1006,0)), HYPERLINK("#",""), HYPERLINK(CONCATENATE("#Metadata!", ADDRESS(INDEX($X$2:$X$1001,MATCH(ROWS($V$2:V7),$V$2:$V$1001,0),0), INDEX($AC$1004:$AS$1004,1,MATCH(COLUMNS($AC$1006:AG1006),$AC$1006:$AS$1006,0)))),"Fix")))</f>
        <v>0</v>
      </c>
      <c r="G7" s="5">
        <f>IF(OR(INDEX($W$2:$W$1001,MATCH(ROWS($V$2:V7),$V$2:$V$1001,0),1)&gt;=100000,INDEX($AC$1005:$AS$1005,1,MATCH(COLUMNS($AC$1006:AH1006),$AC$1006:$AS$1006,0))&gt;=100000), " ",IF(INDEX($AC$2:$AS$1001,MATCH(ROWS($V$2:V7),$V$2:$V$1001,0),MATCH(COLUMNS($AC$1006:AH1006),$AC$1006:$AS$1006,0)), HYPERLINK("#",""), HYPERLINK(CONCATENATE("#Metadata!", ADDRESS(INDEX($X$2:$X$1001,MATCH(ROWS($V$2:V7),$V$2:$V$1001,0),0), INDEX($AC$1004:$AS$1004,1,MATCH(COLUMNS($AC$1006:AH1006),$AC$1006:$AS$1006,0)))),"Fix")))</f>
        <v>0</v>
      </c>
      <c r="H7" s="5">
        <f>IF(OR(INDEX($W$2:$W$1001,MATCH(ROWS($V$2:V7),$V$2:$V$1001,0),1)&gt;=100000,INDEX($AC$1005:$AS$1005,1,MATCH(COLUMNS($AC$1006:AI1006),$AC$1006:$AS$1006,0))&gt;=100000), " ",IF(INDEX($AC$2:$AS$1001,MATCH(ROWS($V$2:V7),$V$2:$V$1001,0),MATCH(COLUMNS($AC$1006:AI1006),$AC$1006:$AS$1006,0)), HYPERLINK("#",""), HYPERLINK(CONCATENATE("#Metadata!", ADDRESS(INDEX($X$2:$X$1001,MATCH(ROWS($V$2:V7),$V$2:$V$1001,0),0), INDEX($AC$1004:$AS$1004,1,MATCH(COLUMNS($AC$1006:AI1006),$AC$1006:$AS$1006,0)))),"Fix")))</f>
        <v>0</v>
      </c>
      <c r="I7" s="5">
        <f>IF(OR(INDEX($W$2:$W$1001,MATCH(ROWS($V$2:V7),$V$2:$V$1001,0),1)&gt;=100000,INDEX($AC$1005:$AS$1005,1,MATCH(COLUMNS($AC$1006:AJ1006),$AC$1006:$AS$1006,0))&gt;=100000), " ",IF(INDEX($AC$2:$AS$1001,MATCH(ROWS($V$2:V7),$V$2:$V$1001,0),MATCH(COLUMNS($AC$1006:AJ1006),$AC$1006:$AS$1006,0)), HYPERLINK("#",""), HYPERLINK(CONCATENATE("#Metadata!", ADDRESS(INDEX($X$2:$X$1001,MATCH(ROWS($V$2:V7),$V$2:$V$1001,0),0), INDEX($AC$1004:$AS$1004,1,MATCH(COLUMNS($AC$1006:AJ1006),$AC$1006:$AS$1006,0)))),"Fix")))</f>
        <v>0</v>
      </c>
      <c r="J7" s="5">
        <f>IF(OR(INDEX($W$2:$W$1001,MATCH(ROWS($V$2:V7),$V$2:$V$1001,0),1)&gt;=100000,INDEX($AC$1005:$AS$1005,1,MATCH(COLUMNS($AC$1006:AK1006),$AC$1006:$AS$1006,0))&gt;=100000), " ",IF(INDEX($AC$2:$AS$1001,MATCH(ROWS($V$2:V7),$V$2:$V$1001,0),MATCH(COLUMNS($AC$1006:AK1006),$AC$1006:$AS$1006,0)), HYPERLINK("#",""), HYPERLINK(CONCATENATE("#Metadata!", ADDRESS(INDEX($X$2:$X$1001,MATCH(ROWS($V$2:V7),$V$2:$V$1001,0),0), INDEX($AC$1004:$AS$1004,1,MATCH(COLUMNS($AC$1006:AK1006),$AC$1006:$AS$1006,0)))),"Fix")))</f>
        <v>0</v>
      </c>
      <c r="K7" s="5">
        <f>IF(OR(INDEX($W$2:$W$1001,MATCH(ROWS($V$2:V7),$V$2:$V$1001,0),1)&gt;=100000,INDEX($AC$1005:$AS$1005,1,MATCH(COLUMNS($AC$1006:AL1006),$AC$1006:$AS$1006,0))&gt;=100000), " ",IF(INDEX($AC$2:$AS$1001,MATCH(ROWS($V$2:V7),$V$2:$V$1001,0),MATCH(COLUMNS($AC$1006:AL1006),$AC$1006:$AS$1006,0)), HYPERLINK("#",""), HYPERLINK(CONCATENATE("#Metadata!", ADDRESS(INDEX($X$2:$X$1001,MATCH(ROWS($V$2:V7),$V$2:$V$1001,0),0), INDEX($AC$1004:$AS$1004,1,MATCH(COLUMNS($AC$1006:AL1006),$AC$1006:$AS$1006,0)))),"Fix")))</f>
        <v>0</v>
      </c>
      <c r="L7" s="5">
        <f>IF(OR(INDEX($W$2:$W$1001,MATCH(ROWS($V$2:V7),$V$2:$V$1001,0),1)&gt;=100000,INDEX($AC$1005:$AS$1005,1,MATCH(COLUMNS($AC$1006:AM1006),$AC$1006:$AS$1006,0))&gt;=100000), " ",IF(INDEX($AC$2:$AS$1001,MATCH(ROWS($V$2:V7),$V$2:$V$1001,0),MATCH(COLUMNS($AC$1006:AM1006),$AC$1006:$AS$1006,0)), HYPERLINK("#",""), HYPERLINK(CONCATENATE("#Metadata!", ADDRESS(INDEX($X$2:$X$1001,MATCH(ROWS($V$2:V7),$V$2:$V$1001,0),0), INDEX($AC$1004:$AS$1004,1,MATCH(COLUMNS($AC$1006:AM1006),$AC$1006:$AS$1006,0)))),"Fix")))</f>
        <v>0</v>
      </c>
      <c r="M7" s="5">
        <f>IF(OR(INDEX($W$2:$W$1001,MATCH(ROWS($V$2:V7),$V$2:$V$1001,0),1)&gt;=100000,INDEX($AC$1005:$AS$1005,1,MATCH(COLUMNS($AC$1006:AN1006),$AC$1006:$AS$1006,0))&gt;=100000), " ",IF(INDEX($AC$2:$AS$1001,MATCH(ROWS($V$2:V7),$V$2:$V$1001,0),MATCH(COLUMNS($AC$1006:AN1006),$AC$1006:$AS$1006,0)), HYPERLINK("#",""), HYPERLINK(CONCATENATE("#Metadata!", ADDRESS(INDEX($X$2:$X$1001,MATCH(ROWS($V$2:V7),$V$2:$V$1001,0),0), INDEX($AC$1004:$AS$1004,1,MATCH(COLUMNS($AC$1006:AN1006),$AC$1006:$AS$1006,0)))),"Fix")))</f>
        <v>0</v>
      </c>
      <c r="N7" s="5">
        <f>IF(OR(INDEX($W$2:$W$1001,MATCH(ROWS($V$2:V7),$V$2:$V$1001,0),1)&gt;=100000,INDEX($AC$1005:$AS$1005,1,MATCH(COLUMNS($AC$1006:AO1006),$AC$1006:$AS$1006,0))&gt;=100000), " ",IF(INDEX($AC$2:$AS$1001,MATCH(ROWS($V$2:V7),$V$2:$V$1001,0),MATCH(COLUMNS($AC$1006:AO1006),$AC$1006:$AS$1006,0)), HYPERLINK("#",""), HYPERLINK(CONCATENATE("#Metadata!", ADDRESS(INDEX($X$2:$X$1001,MATCH(ROWS($V$2:V7),$V$2:$V$1001,0),0), INDEX($AC$1004:$AS$1004,1,MATCH(COLUMNS($AC$1006:AO1006),$AC$1006:$AS$1006,0)))),"Fix")))</f>
        <v>0</v>
      </c>
      <c r="O7" s="5">
        <f>IF(OR(INDEX($W$2:$W$1001,MATCH(ROWS($V$2:V7),$V$2:$V$1001,0),1)&gt;=100000,INDEX($AC$1005:$AS$1005,1,MATCH(COLUMNS($AC$1006:AP1006),$AC$1006:$AS$1006,0))&gt;=100000), " ",IF(INDEX($AC$2:$AS$1001,MATCH(ROWS($V$2:V7),$V$2:$V$1001,0),MATCH(COLUMNS($AC$1006:AP1006),$AC$1006:$AS$1006,0)), HYPERLINK("#",""), HYPERLINK(CONCATENATE("#Metadata!", ADDRESS(INDEX($X$2:$X$1001,MATCH(ROWS($V$2:V7),$V$2:$V$1001,0),0), INDEX($AC$1004:$AS$1004,1,MATCH(COLUMNS($AC$1006:AP1006),$AC$1006:$AS$1006,0)))),"Fix")))</f>
        <v>0</v>
      </c>
      <c r="P7" s="5">
        <f>IF(OR(INDEX($W$2:$W$1001,MATCH(ROWS($V$2:V7),$V$2:$V$1001,0),1)&gt;=100000,INDEX($AC$1005:$AS$1005,1,MATCH(COLUMNS($AC$1006:AQ1006),$AC$1006:$AS$1006,0))&gt;=100000), " ",IF(INDEX($AC$2:$AS$1001,MATCH(ROWS($V$2:V7),$V$2:$V$1001,0),MATCH(COLUMNS($AC$1006:AQ1006),$AC$1006:$AS$1006,0)), HYPERLINK("#",""), HYPERLINK(CONCATENATE("#Metadata!", ADDRESS(INDEX($X$2:$X$1001,MATCH(ROWS($V$2:V7),$V$2:$V$1001,0),0), INDEX($AC$1004:$AS$1004,1,MATCH(COLUMNS($AC$1006:AQ1006),$AC$1006:$AS$1006,0)))),"Fix")))</f>
        <v>0</v>
      </c>
      <c r="Q7" s="5">
        <f>IF(OR(INDEX($W$2:$W$1001,MATCH(ROWS($V$2:V7),$V$2:$V$1001,0),1)&gt;=100000,INDEX($AC$1005:$AS$1005,1,MATCH(COLUMNS($AC$1006:AR1006),$AC$1006:$AS$1006,0))&gt;=100000), " ",IF(INDEX($AC$2:$AS$1001,MATCH(ROWS($V$2:V7),$V$2:$V$1001,0),MATCH(COLUMNS($AC$1006:AR1006),$AC$1006:$AS$1006,0)), HYPERLINK("#",""), HYPERLINK(CONCATENATE("#Metadata!", ADDRESS(INDEX($X$2:$X$1001,MATCH(ROWS($V$2:V7),$V$2:$V$1001,0),0), INDEX($AC$1004:$AS$1004,1,MATCH(COLUMNS($AC$1006:AR1006),$AC$1006:$AS$1006,0)))),"Fix")))</f>
        <v>0</v>
      </c>
      <c r="R7" s="5">
        <f>IF(OR(INDEX($W$2:$W$1001,MATCH(ROWS($V$2:V7),$V$2:$V$1001,0),1)&gt;=100000,INDEX($AC$1005:$AS$1005,1,MATCH(COLUMNS($AC$1006:AS1006),$AC$1006:$AS$1006,0))&gt;=100000), " ",IF(INDEX($AC$2:$AS$1001,MATCH(ROWS($V$2:V7),$V$2:$V$1001,0),MATCH(COLUMNS($AC$1006:AS1006),$AC$1006:$AS$1006,0)), HYPERLINK("#",""), HYPERLINK(CONCATENATE("#Metadata!", ADDRESS(INDEX($X$2:$X$1001,MATCH(ROWS($V$2:V7),$V$2:$V$1001,0),0), INDEX($AC$1004:$AS$1004,1,MATCH(COLUMNS($AC$1006:AS1006),$AC$1006:$AS$1006,0)))),"Fix")))</f>
        <v>0</v>
      </c>
      <c r="V7">
        <v>0</v>
      </c>
      <c r="W7">
        <v>0</v>
      </c>
      <c r="X7">
        <v>0</v>
      </c>
      <c r="Y7">
        <f>IF(Z7,TRUE,AND(AC7:AS7))</f>
        <v>0</v>
      </c>
      <c r="Z7">
        <f>COUNTBLANK(Metadata!B7:R7)=COLUMNS(Metadata!B7:R7)</f>
        <v>0</v>
      </c>
      <c r="AA7">
        <v>0</v>
      </c>
      <c r="AC7">
        <f>AND(IF(Metadata!B7="",FALSE,TRUE),COUNTIF(Metadata!B:B, Metadata!B7) = 1,NOT(ISERROR(SUMPRODUCT(SEARCH(MID(Metadata!B7,ROW(INDIRECT("1:"&amp;LEN(Metadata!B7))), 1),"0123456789abcdefghijklmnopqrstuvwxyzABCDEFGHIJKLMNOPQRSTUVWXYZ.")))))</f>
        <v>0</v>
      </c>
      <c r="AD7">
        <f>AND(IF(Metadata!C7="",FALSE,TRUE),exact(Metadata!C7,"Host-associated"))</f>
        <v>0</v>
      </c>
      <c r="AE7">
        <f>AND(IF(Metadata!D7="",FALSE,TRUE),OR(exact(Metadata!D7,"Animal"),exact(Metadata!D7,"Fungus"),exact(Metadata!D7,"Plant")))</f>
        <v>0</v>
      </c>
      <c r="AF7">
        <f>AND(IF(Metadata!E7="",FALSE,TRUE),OR(exact(Metadata!E7,"Plant secretion"),exact(Metadata!E7,"Plant rhizosphere"),exact(Metadata!E7,"Plant surface"),exact(Metadata!E7,"Plant corpus"),exact(Metadata!E7,"Fungus surface"),exact(Metadata!E7,"Fungus corpus"),exact(Metadata!E7,"Animal surface"),exact(Metadata!E7,"Animal proximal gut"),exact(Metadata!E7,"Animal corpus"),exact(Metadata!E7,"Animal distal gut"),exact(Metadata!E7,"Animal secretion")))</f>
        <v>0</v>
      </c>
      <c r="AG7">
        <f>OR(AND(IF(Metadata!F7="",FALSE,TRUE),OR(exact(Metadata!F7,"not collected"),exact(Metadata!F7,"not provided"),exact(Metadata!F7,"restricted access"))),AND(IF(Metadata!F7="",FALSE,TRUE),OR(exact(Metadata!F7,"organism-associated habitat"),exact(Metadata!F7,"plant-associated habitat"),exact(Metadata!F7,"animal-associated habitat"),exact(Metadata!F7,"insecta-associated habitat"),exact(Metadata!F7,"mammalia-associated habitat"),exact(Metadata!F7,"human-associated habitat"),exact(Metadata!F7,"livestock-associated habitat"))))</f>
        <v>0</v>
      </c>
      <c r="AH7">
        <f>AND(IF(Metadata!G7="",FALSE,TRUE),exact(Metadata!G7,"host-associated"))</f>
        <v>0</v>
      </c>
      <c r="AI7">
        <f>OR(AND(IF(Metadata!H7="",FALSE,TRUE),OR(exact(Metadata!H7,"not collected"),exact(Metadata!H7,"not provided"))),AND(IF(Metadata!H7="",FALSE,ISNUMBER(VALUE(Metadata!H7))),Metadata!H7&gt;0))</f>
        <v>0</v>
      </c>
      <c r="AJ7">
        <f>AND(IF(Metadata!I7="",FALSE,TRUE),exact(Metadata!I7,"years"))</f>
        <v>0</v>
      </c>
      <c r="AK7">
        <f>IF(Metadata!J7="",FALSE,TRUE)</f>
        <v>0</v>
      </c>
      <c r="AL7">
        <f>OR(AND(IF(Metadata!K7="",FALSE,TRUE),OR(exact(Metadata!K7,"not collected"),exact(Metadata!K7,"not provided"))),AND(IF(Metadata!K7="",FALSE,ISNUMBER(VALUE(Metadata!K7))),Metadata!K7&gt;0))</f>
        <v>0</v>
      </c>
      <c r="AM7">
        <f>AND(IF(Metadata!L7="",FALSE,TRUE),exact(Metadata!L7,"cm"))</f>
        <v>0</v>
      </c>
      <c r="AN7">
        <f>IF(Metadata!M7="",FALSE,TRUE)</f>
        <v>0</v>
      </c>
      <c r="AO7">
        <f>OR(AND(IF(Metadata!N7="",FALSE,TRUE),OR(exact(Metadata!N7,"not applicable"),exact(Metadata!N7,"not collected"),exact(Metadata!N7,"not provided"))),AND(IF(Metadata!N7="",FALSE,IF(ISERROR(INT(Metadata!N7)),FALSE,INT(Metadata!N7)=Metadata!N7)),Metadata!N7&gt;0))</f>
        <v>0</v>
      </c>
      <c r="AP7">
        <f>OR(AND(IF(Metadata!O7="",FALSE,TRUE),OR(exact(Metadata!O7,"not collected"),exact(Metadata!O7,"not provided"))),AND(IF(Metadata!O7="",FALSE,ISNUMBER(VALUE(Metadata!O7))),Metadata!O7&gt;0))</f>
        <v>0</v>
      </c>
      <c r="AQ7">
        <f>AND(IF(Metadata!P7="",FALSE,TRUE),exact(Metadata!P7,"kg"))</f>
        <v>0</v>
      </c>
      <c r="AR7">
        <f>OR(AND(IF(Metadata!Q7="",FALSE,TRUE),OR(exact(Metadata!Q7,"not applicable"),exact(Metadata!Q7,"not collected"),exact(Metadata!Q7,"not provided"),exact(Metadata!Q7,"restricted access"))),IF(Metadata!Q7="",FALSE,IF(ISERROR(INT(Metadata!Q7)),FALSE,INT(Metadata!Q7)=Metadata!Q7)))</f>
        <v>0</v>
      </c>
      <c r="AS7">
        <f>AND(IF(Metadata!R7="",FALSE,TRUE),exact(Metadata!R7,"Not applicable"))</f>
        <v>0</v>
      </c>
    </row>
    <row r="8" spans="1:45">
      <c r="A8" s="4">
        <f>IF(B8=" "," ",HYPERLINK(CONCATENATE("#metadata!",ADDRESS(INDEX($X$2:$X$1001,MATCH(ROWS($V$2:V8),$V$2:$V$1001,0),0),2)),INDEX($AA$2:$AA$1001,MATCH(ROWS($V$2:V8),$V$2:$V$1001,0),0)))</f>
        <v>0</v>
      </c>
      <c r="B8" s="5">
        <f>IF(OR(INDEX($W$2:$W$1001,MATCH(ROWS($V$2:V8),$V$2:$V$1001,0),1)&gt;=100000,INDEX($AC$1005:$AS$1005,1,MATCH(COLUMNS($AC$1006:AC1006),$AC$1006:$AS$1006,0))&gt;=100000), " ",IF(INDEX($AC$2:$AS$1001,MATCH(ROWS($V$2:V8),$V$2:$V$1001,0),MATCH(COLUMNS($AC$1006:AC1006),$AC$1006:$AS$1006,0)), HYPERLINK("#",""), HYPERLINK(CONCATENATE("#Metadata!", ADDRESS(INDEX($X$2:$X$1001,MATCH(ROWS($V$2:V8),$V$2:$V$1001,0),0), INDEX($AC$1004:$AS$1004,1,MATCH(COLUMNS($AC$1006:AC1006),$AC$1006:$AS$1006,0)))),"Fix")))</f>
        <v>0</v>
      </c>
      <c r="C8" s="5">
        <f>IF(OR(INDEX($W$2:$W$1001,MATCH(ROWS($V$2:V8),$V$2:$V$1001,0),1)&gt;=100000,INDEX($AC$1005:$AS$1005,1,MATCH(COLUMNS($AC$1006:AD1006),$AC$1006:$AS$1006,0))&gt;=100000), " ",IF(INDEX($AC$2:$AS$1001,MATCH(ROWS($V$2:V8),$V$2:$V$1001,0),MATCH(COLUMNS($AC$1006:AD1006),$AC$1006:$AS$1006,0)), HYPERLINK("#",""), HYPERLINK(CONCATENATE("#Metadata!", ADDRESS(INDEX($X$2:$X$1001,MATCH(ROWS($V$2:V8),$V$2:$V$1001,0),0), INDEX($AC$1004:$AS$1004,1,MATCH(COLUMNS($AC$1006:AD1006),$AC$1006:$AS$1006,0)))),"Fix")))</f>
        <v>0</v>
      </c>
      <c r="D8" s="5">
        <f>IF(OR(INDEX($W$2:$W$1001,MATCH(ROWS($V$2:V8),$V$2:$V$1001,0),1)&gt;=100000,INDEX($AC$1005:$AS$1005,1,MATCH(COLUMNS($AC$1006:AE1006),$AC$1006:$AS$1006,0))&gt;=100000), " ",IF(INDEX($AC$2:$AS$1001,MATCH(ROWS($V$2:V8),$V$2:$V$1001,0),MATCH(COLUMNS($AC$1006:AE1006),$AC$1006:$AS$1006,0)), HYPERLINK("#",""), HYPERLINK(CONCATENATE("#Metadata!", ADDRESS(INDEX($X$2:$X$1001,MATCH(ROWS($V$2:V8),$V$2:$V$1001,0),0), INDEX($AC$1004:$AS$1004,1,MATCH(COLUMNS($AC$1006:AE1006),$AC$1006:$AS$1006,0)))),"Fix")))</f>
        <v>0</v>
      </c>
      <c r="E8" s="5">
        <f>IF(OR(INDEX($W$2:$W$1001,MATCH(ROWS($V$2:V8),$V$2:$V$1001,0),1)&gt;=100000,INDEX($AC$1005:$AS$1005,1,MATCH(COLUMNS($AC$1006:AF1006),$AC$1006:$AS$1006,0))&gt;=100000), " ",IF(INDEX($AC$2:$AS$1001,MATCH(ROWS($V$2:V8),$V$2:$V$1001,0),MATCH(COLUMNS($AC$1006:AF1006),$AC$1006:$AS$1006,0)), HYPERLINK("#",""), HYPERLINK(CONCATENATE("#Metadata!", ADDRESS(INDEX($X$2:$X$1001,MATCH(ROWS($V$2:V8),$V$2:$V$1001,0),0), INDEX($AC$1004:$AS$1004,1,MATCH(COLUMNS($AC$1006:AF1006),$AC$1006:$AS$1006,0)))),"Fix")))</f>
        <v>0</v>
      </c>
      <c r="F8" s="5">
        <f>IF(OR(INDEX($W$2:$W$1001,MATCH(ROWS($V$2:V8),$V$2:$V$1001,0),1)&gt;=100000,INDEX($AC$1005:$AS$1005,1,MATCH(COLUMNS($AC$1006:AG1006),$AC$1006:$AS$1006,0))&gt;=100000), " ",IF(INDEX($AC$2:$AS$1001,MATCH(ROWS($V$2:V8),$V$2:$V$1001,0),MATCH(COLUMNS($AC$1006:AG1006),$AC$1006:$AS$1006,0)), HYPERLINK("#",""), HYPERLINK(CONCATENATE("#Metadata!", ADDRESS(INDEX($X$2:$X$1001,MATCH(ROWS($V$2:V8),$V$2:$V$1001,0),0), INDEX($AC$1004:$AS$1004,1,MATCH(COLUMNS($AC$1006:AG1006),$AC$1006:$AS$1006,0)))),"Fix")))</f>
        <v>0</v>
      </c>
      <c r="G8" s="5">
        <f>IF(OR(INDEX($W$2:$W$1001,MATCH(ROWS($V$2:V8),$V$2:$V$1001,0),1)&gt;=100000,INDEX($AC$1005:$AS$1005,1,MATCH(COLUMNS($AC$1006:AH1006),$AC$1006:$AS$1006,0))&gt;=100000), " ",IF(INDEX($AC$2:$AS$1001,MATCH(ROWS($V$2:V8),$V$2:$V$1001,0),MATCH(COLUMNS($AC$1006:AH1006),$AC$1006:$AS$1006,0)), HYPERLINK("#",""), HYPERLINK(CONCATENATE("#Metadata!", ADDRESS(INDEX($X$2:$X$1001,MATCH(ROWS($V$2:V8),$V$2:$V$1001,0),0), INDEX($AC$1004:$AS$1004,1,MATCH(COLUMNS($AC$1006:AH1006),$AC$1006:$AS$1006,0)))),"Fix")))</f>
        <v>0</v>
      </c>
      <c r="H8" s="5">
        <f>IF(OR(INDEX($W$2:$W$1001,MATCH(ROWS($V$2:V8),$V$2:$V$1001,0),1)&gt;=100000,INDEX($AC$1005:$AS$1005,1,MATCH(COLUMNS($AC$1006:AI1006),$AC$1006:$AS$1006,0))&gt;=100000), " ",IF(INDEX($AC$2:$AS$1001,MATCH(ROWS($V$2:V8),$V$2:$V$1001,0),MATCH(COLUMNS($AC$1006:AI1006),$AC$1006:$AS$1006,0)), HYPERLINK("#",""), HYPERLINK(CONCATENATE("#Metadata!", ADDRESS(INDEX($X$2:$X$1001,MATCH(ROWS($V$2:V8),$V$2:$V$1001,0),0), INDEX($AC$1004:$AS$1004,1,MATCH(COLUMNS($AC$1006:AI1006),$AC$1006:$AS$1006,0)))),"Fix")))</f>
        <v>0</v>
      </c>
      <c r="I8" s="5">
        <f>IF(OR(INDEX($W$2:$W$1001,MATCH(ROWS($V$2:V8),$V$2:$V$1001,0),1)&gt;=100000,INDEX($AC$1005:$AS$1005,1,MATCH(COLUMNS($AC$1006:AJ1006),$AC$1006:$AS$1006,0))&gt;=100000), " ",IF(INDEX($AC$2:$AS$1001,MATCH(ROWS($V$2:V8),$V$2:$V$1001,0),MATCH(COLUMNS($AC$1006:AJ1006),$AC$1006:$AS$1006,0)), HYPERLINK("#",""), HYPERLINK(CONCATENATE("#Metadata!", ADDRESS(INDEX($X$2:$X$1001,MATCH(ROWS($V$2:V8),$V$2:$V$1001,0),0), INDEX($AC$1004:$AS$1004,1,MATCH(COLUMNS($AC$1006:AJ1006),$AC$1006:$AS$1006,0)))),"Fix")))</f>
        <v>0</v>
      </c>
      <c r="J8" s="5">
        <f>IF(OR(INDEX($W$2:$W$1001,MATCH(ROWS($V$2:V8),$V$2:$V$1001,0),1)&gt;=100000,INDEX($AC$1005:$AS$1005,1,MATCH(COLUMNS($AC$1006:AK1006),$AC$1006:$AS$1006,0))&gt;=100000), " ",IF(INDEX($AC$2:$AS$1001,MATCH(ROWS($V$2:V8),$V$2:$V$1001,0),MATCH(COLUMNS($AC$1006:AK1006),$AC$1006:$AS$1006,0)), HYPERLINK("#",""), HYPERLINK(CONCATENATE("#Metadata!", ADDRESS(INDEX($X$2:$X$1001,MATCH(ROWS($V$2:V8),$V$2:$V$1001,0),0), INDEX($AC$1004:$AS$1004,1,MATCH(COLUMNS($AC$1006:AK1006),$AC$1006:$AS$1006,0)))),"Fix")))</f>
        <v>0</v>
      </c>
      <c r="K8" s="5">
        <f>IF(OR(INDEX($W$2:$W$1001,MATCH(ROWS($V$2:V8),$V$2:$V$1001,0),1)&gt;=100000,INDEX($AC$1005:$AS$1005,1,MATCH(COLUMNS($AC$1006:AL1006),$AC$1006:$AS$1006,0))&gt;=100000), " ",IF(INDEX($AC$2:$AS$1001,MATCH(ROWS($V$2:V8),$V$2:$V$1001,0),MATCH(COLUMNS($AC$1006:AL1006),$AC$1006:$AS$1006,0)), HYPERLINK("#",""), HYPERLINK(CONCATENATE("#Metadata!", ADDRESS(INDEX($X$2:$X$1001,MATCH(ROWS($V$2:V8),$V$2:$V$1001,0),0), INDEX($AC$1004:$AS$1004,1,MATCH(COLUMNS($AC$1006:AL1006),$AC$1006:$AS$1006,0)))),"Fix")))</f>
        <v>0</v>
      </c>
      <c r="L8" s="5">
        <f>IF(OR(INDEX($W$2:$W$1001,MATCH(ROWS($V$2:V8),$V$2:$V$1001,0),1)&gt;=100000,INDEX($AC$1005:$AS$1005,1,MATCH(COLUMNS($AC$1006:AM1006),$AC$1006:$AS$1006,0))&gt;=100000), " ",IF(INDEX($AC$2:$AS$1001,MATCH(ROWS($V$2:V8),$V$2:$V$1001,0),MATCH(COLUMNS($AC$1006:AM1006),$AC$1006:$AS$1006,0)), HYPERLINK("#",""), HYPERLINK(CONCATENATE("#Metadata!", ADDRESS(INDEX($X$2:$X$1001,MATCH(ROWS($V$2:V8),$V$2:$V$1001,0),0), INDEX($AC$1004:$AS$1004,1,MATCH(COLUMNS($AC$1006:AM1006),$AC$1006:$AS$1006,0)))),"Fix")))</f>
        <v>0</v>
      </c>
      <c r="M8" s="5">
        <f>IF(OR(INDEX($W$2:$W$1001,MATCH(ROWS($V$2:V8),$V$2:$V$1001,0),1)&gt;=100000,INDEX($AC$1005:$AS$1005,1,MATCH(COLUMNS($AC$1006:AN1006),$AC$1006:$AS$1006,0))&gt;=100000), " ",IF(INDEX($AC$2:$AS$1001,MATCH(ROWS($V$2:V8),$V$2:$V$1001,0),MATCH(COLUMNS($AC$1006:AN1006),$AC$1006:$AS$1006,0)), HYPERLINK("#",""), HYPERLINK(CONCATENATE("#Metadata!", ADDRESS(INDEX($X$2:$X$1001,MATCH(ROWS($V$2:V8),$V$2:$V$1001,0),0), INDEX($AC$1004:$AS$1004,1,MATCH(COLUMNS($AC$1006:AN1006),$AC$1006:$AS$1006,0)))),"Fix")))</f>
        <v>0</v>
      </c>
      <c r="N8" s="5">
        <f>IF(OR(INDEX($W$2:$W$1001,MATCH(ROWS($V$2:V8),$V$2:$V$1001,0),1)&gt;=100000,INDEX($AC$1005:$AS$1005,1,MATCH(COLUMNS($AC$1006:AO1006),$AC$1006:$AS$1006,0))&gt;=100000), " ",IF(INDEX($AC$2:$AS$1001,MATCH(ROWS($V$2:V8),$V$2:$V$1001,0),MATCH(COLUMNS($AC$1006:AO1006),$AC$1006:$AS$1006,0)), HYPERLINK("#",""), HYPERLINK(CONCATENATE("#Metadata!", ADDRESS(INDEX($X$2:$X$1001,MATCH(ROWS($V$2:V8),$V$2:$V$1001,0),0), INDEX($AC$1004:$AS$1004,1,MATCH(COLUMNS($AC$1006:AO1006),$AC$1006:$AS$1006,0)))),"Fix")))</f>
        <v>0</v>
      </c>
      <c r="O8" s="5">
        <f>IF(OR(INDEX($W$2:$W$1001,MATCH(ROWS($V$2:V8),$V$2:$V$1001,0),1)&gt;=100000,INDEX($AC$1005:$AS$1005,1,MATCH(COLUMNS($AC$1006:AP1006),$AC$1006:$AS$1006,0))&gt;=100000), " ",IF(INDEX($AC$2:$AS$1001,MATCH(ROWS($V$2:V8),$V$2:$V$1001,0),MATCH(COLUMNS($AC$1006:AP1006),$AC$1006:$AS$1006,0)), HYPERLINK("#",""), HYPERLINK(CONCATENATE("#Metadata!", ADDRESS(INDEX($X$2:$X$1001,MATCH(ROWS($V$2:V8),$V$2:$V$1001,0),0), INDEX($AC$1004:$AS$1004,1,MATCH(COLUMNS($AC$1006:AP1006),$AC$1006:$AS$1006,0)))),"Fix")))</f>
        <v>0</v>
      </c>
      <c r="P8" s="5">
        <f>IF(OR(INDEX($W$2:$W$1001,MATCH(ROWS($V$2:V8),$V$2:$V$1001,0),1)&gt;=100000,INDEX($AC$1005:$AS$1005,1,MATCH(COLUMNS($AC$1006:AQ1006),$AC$1006:$AS$1006,0))&gt;=100000), " ",IF(INDEX($AC$2:$AS$1001,MATCH(ROWS($V$2:V8),$V$2:$V$1001,0),MATCH(COLUMNS($AC$1006:AQ1006),$AC$1006:$AS$1006,0)), HYPERLINK("#",""), HYPERLINK(CONCATENATE("#Metadata!", ADDRESS(INDEX($X$2:$X$1001,MATCH(ROWS($V$2:V8),$V$2:$V$1001,0),0), INDEX($AC$1004:$AS$1004,1,MATCH(COLUMNS($AC$1006:AQ1006),$AC$1006:$AS$1006,0)))),"Fix")))</f>
        <v>0</v>
      </c>
      <c r="Q8" s="5">
        <f>IF(OR(INDEX($W$2:$W$1001,MATCH(ROWS($V$2:V8),$V$2:$V$1001,0),1)&gt;=100000,INDEX($AC$1005:$AS$1005,1,MATCH(COLUMNS($AC$1006:AR1006),$AC$1006:$AS$1006,0))&gt;=100000), " ",IF(INDEX($AC$2:$AS$1001,MATCH(ROWS($V$2:V8),$V$2:$V$1001,0),MATCH(COLUMNS($AC$1006:AR1006),$AC$1006:$AS$1006,0)), HYPERLINK("#",""), HYPERLINK(CONCATENATE("#Metadata!", ADDRESS(INDEX($X$2:$X$1001,MATCH(ROWS($V$2:V8),$V$2:$V$1001,0),0), INDEX($AC$1004:$AS$1004,1,MATCH(COLUMNS($AC$1006:AR1006),$AC$1006:$AS$1006,0)))),"Fix")))</f>
        <v>0</v>
      </c>
      <c r="R8" s="5">
        <f>IF(OR(INDEX($W$2:$W$1001,MATCH(ROWS($V$2:V8),$V$2:$V$1001,0),1)&gt;=100000,INDEX($AC$1005:$AS$1005,1,MATCH(COLUMNS($AC$1006:AS1006),$AC$1006:$AS$1006,0))&gt;=100000), " ",IF(INDEX($AC$2:$AS$1001,MATCH(ROWS($V$2:V8),$V$2:$V$1001,0),MATCH(COLUMNS($AC$1006:AS1006),$AC$1006:$AS$1006,0)), HYPERLINK("#",""), HYPERLINK(CONCATENATE("#Metadata!", ADDRESS(INDEX($X$2:$X$1001,MATCH(ROWS($V$2:V8),$V$2:$V$1001,0),0), INDEX($AC$1004:$AS$1004,1,MATCH(COLUMNS($AC$1006:AS1006),$AC$1006:$AS$1006,0)))),"Fix")))</f>
        <v>0</v>
      </c>
      <c r="V8">
        <v>0</v>
      </c>
      <c r="W8">
        <v>0</v>
      </c>
      <c r="X8">
        <v>0</v>
      </c>
      <c r="Y8">
        <f>IF(Z8,TRUE,AND(AC8:AS8))</f>
        <v>0</v>
      </c>
      <c r="Z8">
        <f>COUNTBLANK(Metadata!B8:R8)=COLUMNS(Metadata!B8:R8)</f>
        <v>0</v>
      </c>
      <c r="AA8">
        <v>0</v>
      </c>
      <c r="AC8">
        <f>AND(IF(Metadata!B8="",FALSE,TRUE),COUNTIF(Metadata!B:B, Metadata!B8) = 1,NOT(ISERROR(SUMPRODUCT(SEARCH(MID(Metadata!B8,ROW(INDIRECT("1:"&amp;LEN(Metadata!B8))), 1),"0123456789abcdefghijklmnopqrstuvwxyzABCDEFGHIJKLMNOPQRSTUVWXYZ.")))))</f>
        <v>0</v>
      </c>
      <c r="AD8">
        <f>AND(IF(Metadata!C8="",FALSE,TRUE),exact(Metadata!C8,"Host-associated"))</f>
        <v>0</v>
      </c>
      <c r="AE8">
        <f>AND(IF(Metadata!D8="",FALSE,TRUE),OR(exact(Metadata!D8,"Animal"),exact(Metadata!D8,"Fungus"),exact(Metadata!D8,"Plant")))</f>
        <v>0</v>
      </c>
      <c r="AF8">
        <f>AND(IF(Metadata!E8="",FALSE,TRUE),OR(exact(Metadata!E8,"Plant secretion"),exact(Metadata!E8,"Plant rhizosphere"),exact(Metadata!E8,"Plant surface"),exact(Metadata!E8,"Plant corpus"),exact(Metadata!E8,"Fungus surface"),exact(Metadata!E8,"Fungus corpus"),exact(Metadata!E8,"Animal surface"),exact(Metadata!E8,"Animal proximal gut"),exact(Metadata!E8,"Animal corpus"),exact(Metadata!E8,"Animal distal gut"),exact(Metadata!E8,"Animal secretion")))</f>
        <v>0</v>
      </c>
      <c r="AG8">
        <f>OR(AND(IF(Metadata!F8="",FALSE,TRUE),OR(exact(Metadata!F8,"not collected"),exact(Metadata!F8,"not provided"),exact(Metadata!F8,"restricted access"))),AND(IF(Metadata!F8="",FALSE,TRUE),OR(exact(Metadata!F8,"organism-associated habitat"),exact(Metadata!F8,"plant-associated habitat"),exact(Metadata!F8,"animal-associated habitat"),exact(Metadata!F8,"insecta-associated habitat"),exact(Metadata!F8,"mammalia-associated habitat"),exact(Metadata!F8,"human-associated habitat"),exact(Metadata!F8,"livestock-associated habitat"))))</f>
        <v>0</v>
      </c>
      <c r="AH8">
        <f>AND(IF(Metadata!G8="",FALSE,TRUE),exact(Metadata!G8,"host-associated"))</f>
        <v>0</v>
      </c>
      <c r="AI8">
        <f>OR(AND(IF(Metadata!H8="",FALSE,TRUE),OR(exact(Metadata!H8,"not collected"),exact(Metadata!H8,"not provided"))),AND(IF(Metadata!H8="",FALSE,ISNUMBER(VALUE(Metadata!H8))),Metadata!H8&gt;0))</f>
        <v>0</v>
      </c>
      <c r="AJ8">
        <f>AND(IF(Metadata!I8="",FALSE,TRUE),exact(Metadata!I8,"years"))</f>
        <v>0</v>
      </c>
      <c r="AK8">
        <f>IF(Metadata!J8="",FALSE,TRUE)</f>
        <v>0</v>
      </c>
      <c r="AL8">
        <f>OR(AND(IF(Metadata!K8="",FALSE,TRUE),OR(exact(Metadata!K8,"not collected"),exact(Metadata!K8,"not provided"))),AND(IF(Metadata!K8="",FALSE,ISNUMBER(VALUE(Metadata!K8))),Metadata!K8&gt;0))</f>
        <v>0</v>
      </c>
      <c r="AM8">
        <f>AND(IF(Metadata!L8="",FALSE,TRUE),exact(Metadata!L8,"cm"))</f>
        <v>0</v>
      </c>
      <c r="AN8">
        <f>IF(Metadata!M8="",FALSE,TRUE)</f>
        <v>0</v>
      </c>
      <c r="AO8">
        <f>OR(AND(IF(Metadata!N8="",FALSE,TRUE),OR(exact(Metadata!N8,"not applicable"),exact(Metadata!N8,"not collected"),exact(Metadata!N8,"not provided"))),AND(IF(Metadata!N8="",FALSE,IF(ISERROR(INT(Metadata!N8)),FALSE,INT(Metadata!N8)=Metadata!N8)),Metadata!N8&gt;0))</f>
        <v>0</v>
      </c>
      <c r="AP8">
        <f>OR(AND(IF(Metadata!O8="",FALSE,TRUE),OR(exact(Metadata!O8,"not collected"),exact(Metadata!O8,"not provided"))),AND(IF(Metadata!O8="",FALSE,ISNUMBER(VALUE(Metadata!O8))),Metadata!O8&gt;0))</f>
        <v>0</v>
      </c>
      <c r="AQ8">
        <f>AND(IF(Metadata!P8="",FALSE,TRUE),exact(Metadata!P8,"kg"))</f>
        <v>0</v>
      </c>
      <c r="AR8">
        <f>OR(AND(IF(Metadata!Q8="",FALSE,TRUE),OR(exact(Metadata!Q8,"not applicable"),exact(Metadata!Q8,"not collected"),exact(Metadata!Q8,"not provided"),exact(Metadata!Q8,"restricted access"))),IF(Metadata!Q8="",FALSE,IF(ISERROR(INT(Metadata!Q8)),FALSE,INT(Metadata!Q8)=Metadata!Q8)))</f>
        <v>0</v>
      </c>
      <c r="AS8">
        <f>AND(IF(Metadata!R8="",FALSE,TRUE),exact(Metadata!R8,"Not applicable"))</f>
        <v>0</v>
      </c>
    </row>
    <row r="9" spans="1:45">
      <c r="A9" s="4">
        <f>IF(B9=" "," ",HYPERLINK(CONCATENATE("#metadata!",ADDRESS(INDEX($X$2:$X$1001,MATCH(ROWS($V$2:V9),$V$2:$V$1001,0),0),2)),INDEX($AA$2:$AA$1001,MATCH(ROWS($V$2:V9),$V$2:$V$1001,0),0)))</f>
        <v>0</v>
      </c>
      <c r="B9" s="5">
        <f>IF(OR(INDEX($W$2:$W$1001,MATCH(ROWS($V$2:V9),$V$2:$V$1001,0),1)&gt;=100000,INDEX($AC$1005:$AS$1005,1,MATCH(COLUMNS($AC$1006:AC1006),$AC$1006:$AS$1006,0))&gt;=100000), " ",IF(INDEX($AC$2:$AS$1001,MATCH(ROWS($V$2:V9),$V$2:$V$1001,0),MATCH(COLUMNS($AC$1006:AC1006),$AC$1006:$AS$1006,0)), HYPERLINK("#",""), HYPERLINK(CONCATENATE("#Metadata!", ADDRESS(INDEX($X$2:$X$1001,MATCH(ROWS($V$2:V9),$V$2:$V$1001,0),0), INDEX($AC$1004:$AS$1004,1,MATCH(COLUMNS($AC$1006:AC1006),$AC$1006:$AS$1006,0)))),"Fix")))</f>
        <v>0</v>
      </c>
      <c r="C9" s="5">
        <f>IF(OR(INDEX($W$2:$W$1001,MATCH(ROWS($V$2:V9),$V$2:$V$1001,0),1)&gt;=100000,INDEX($AC$1005:$AS$1005,1,MATCH(COLUMNS($AC$1006:AD1006),$AC$1006:$AS$1006,0))&gt;=100000), " ",IF(INDEX($AC$2:$AS$1001,MATCH(ROWS($V$2:V9),$V$2:$V$1001,0),MATCH(COLUMNS($AC$1006:AD1006),$AC$1006:$AS$1006,0)), HYPERLINK("#",""), HYPERLINK(CONCATENATE("#Metadata!", ADDRESS(INDEX($X$2:$X$1001,MATCH(ROWS($V$2:V9),$V$2:$V$1001,0),0), INDEX($AC$1004:$AS$1004,1,MATCH(COLUMNS($AC$1006:AD1006),$AC$1006:$AS$1006,0)))),"Fix")))</f>
        <v>0</v>
      </c>
      <c r="D9" s="5">
        <f>IF(OR(INDEX($W$2:$W$1001,MATCH(ROWS($V$2:V9),$V$2:$V$1001,0),1)&gt;=100000,INDEX($AC$1005:$AS$1005,1,MATCH(COLUMNS($AC$1006:AE1006),$AC$1006:$AS$1006,0))&gt;=100000), " ",IF(INDEX($AC$2:$AS$1001,MATCH(ROWS($V$2:V9),$V$2:$V$1001,0),MATCH(COLUMNS($AC$1006:AE1006),$AC$1006:$AS$1006,0)), HYPERLINK("#",""), HYPERLINK(CONCATENATE("#Metadata!", ADDRESS(INDEX($X$2:$X$1001,MATCH(ROWS($V$2:V9),$V$2:$V$1001,0),0), INDEX($AC$1004:$AS$1004,1,MATCH(COLUMNS($AC$1006:AE1006),$AC$1006:$AS$1006,0)))),"Fix")))</f>
        <v>0</v>
      </c>
      <c r="E9" s="5">
        <f>IF(OR(INDEX($W$2:$W$1001,MATCH(ROWS($V$2:V9),$V$2:$V$1001,0),1)&gt;=100000,INDEX($AC$1005:$AS$1005,1,MATCH(COLUMNS($AC$1006:AF1006),$AC$1006:$AS$1006,0))&gt;=100000), " ",IF(INDEX($AC$2:$AS$1001,MATCH(ROWS($V$2:V9),$V$2:$V$1001,0),MATCH(COLUMNS($AC$1006:AF1006),$AC$1006:$AS$1006,0)), HYPERLINK("#",""), HYPERLINK(CONCATENATE("#Metadata!", ADDRESS(INDEX($X$2:$X$1001,MATCH(ROWS($V$2:V9),$V$2:$V$1001,0),0), INDEX($AC$1004:$AS$1004,1,MATCH(COLUMNS($AC$1006:AF1006),$AC$1006:$AS$1006,0)))),"Fix")))</f>
        <v>0</v>
      </c>
      <c r="F9" s="5">
        <f>IF(OR(INDEX($W$2:$W$1001,MATCH(ROWS($V$2:V9),$V$2:$V$1001,0),1)&gt;=100000,INDEX($AC$1005:$AS$1005,1,MATCH(COLUMNS($AC$1006:AG1006),$AC$1006:$AS$1006,0))&gt;=100000), " ",IF(INDEX($AC$2:$AS$1001,MATCH(ROWS($V$2:V9),$V$2:$V$1001,0),MATCH(COLUMNS($AC$1006:AG1006),$AC$1006:$AS$1006,0)), HYPERLINK("#",""), HYPERLINK(CONCATENATE("#Metadata!", ADDRESS(INDEX($X$2:$X$1001,MATCH(ROWS($V$2:V9),$V$2:$V$1001,0),0), INDEX($AC$1004:$AS$1004,1,MATCH(COLUMNS($AC$1006:AG1006),$AC$1006:$AS$1006,0)))),"Fix")))</f>
        <v>0</v>
      </c>
      <c r="G9" s="5">
        <f>IF(OR(INDEX($W$2:$W$1001,MATCH(ROWS($V$2:V9),$V$2:$V$1001,0),1)&gt;=100000,INDEX($AC$1005:$AS$1005,1,MATCH(COLUMNS($AC$1006:AH1006),$AC$1006:$AS$1006,0))&gt;=100000), " ",IF(INDEX($AC$2:$AS$1001,MATCH(ROWS($V$2:V9),$V$2:$V$1001,0),MATCH(COLUMNS($AC$1006:AH1006),$AC$1006:$AS$1006,0)), HYPERLINK("#",""), HYPERLINK(CONCATENATE("#Metadata!", ADDRESS(INDEX($X$2:$X$1001,MATCH(ROWS($V$2:V9),$V$2:$V$1001,0),0), INDEX($AC$1004:$AS$1004,1,MATCH(COLUMNS($AC$1006:AH1006),$AC$1006:$AS$1006,0)))),"Fix")))</f>
        <v>0</v>
      </c>
      <c r="H9" s="5">
        <f>IF(OR(INDEX($W$2:$W$1001,MATCH(ROWS($V$2:V9),$V$2:$V$1001,0),1)&gt;=100000,INDEX($AC$1005:$AS$1005,1,MATCH(COLUMNS($AC$1006:AI1006),$AC$1006:$AS$1006,0))&gt;=100000), " ",IF(INDEX($AC$2:$AS$1001,MATCH(ROWS($V$2:V9),$V$2:$V$1001,0),MATCH(COLUMNS($AC$1006:AI1006),$AC$1006:$AS$1006,0)), HYPERLINK("#",""), HYPERLINK(CONCATENATE("#Metadata!", ADDRESS(INDEX($X$2:$X$1001,MATCH(ROWS($V$2:V9),$V$2:$V$1001,0),0), INDEX($AC$1004:$AS$1004,1,MATCH(COLUMNS($AC$1006:AI1006),$AC$1006:$AS$1006,0)))),"Fix")))</f>
        <v>0</v>
      </c>
      <c r="I9" s="5">
        <f>IF(OR(INDEX($W$2:$W$1001,MATCH(ROWS($V$2:V9),$V$2:$V$1001,0),1)&gt;=100000,INDEX($AC$1005:$AS$1005,1,MATCH(COLUMNS($AC$1006:AJ1006),$AC$1006:$AS$1006,0))&gt;=100000), " ",IF(INDEX($AC$2:$AS$1001,MATCH(ROWS($V$2:V9),$V$2:$V$1001,0),MATCH(COLUMNS($AC$1006:AJ1006),$AC$1006:$AS$1006,0)), HYPERLINK("#",""), HYPERLINK(CONCATENATE("#Metadata!", ADDRESS(INDEX($X$2:$X$1001,MATCH(ROWS($V$2:V9),$V$2:$V$1001,0),0), INDEX($AC$1004:$AS$1004,1,MATCH(COLUMNS($AC$1006:AJ1006),$AC$1006:$AS$1006,0)))),"Fix")))</f>
        <v>0</v>
      </c>
      <c r="J9" s="5">
        <f>IF(OR(INDEX($W$2:$W$1001,MATCH(ROWS($V$2:V9),$V$2:$V$1001,0),1)&gt;=100000,INDEX($AC$1005:$AS$1005,1,MATCH(COLUMNS($AC$1006:AK1006),$AC$1006:$AS$1006,0))&gt;=100000), " ",IF(INDEX($AC$2:$AS$1001,MATCH(ROWS($V$2:V9),$V$2:$V$1001,0),MATCH(COLUMNS($AC$1006:AK1006),$AC$1006:$AS$1006,0)), HYPERLINK("#",""), HYPERLINK(CONCATENATE("#Metadata!", ADDRESS(INDEX($X$2:$X$1001,MATCH(ROWS($V$2:V9),$V$2:$V$1001,0),0), INDEX($AC$1004:$AS$1004,1,MATCH(COLUMNS($AC$1006:AK1006),$AC$1006:$AS$1006,0)))),"Fix")))</f>
        <v>0</v>
      </c>
      <c r="K9" s="5">
        <f>IF(OR(INDEX($W$2:$W$1001,MATCH(ROWS($V$2:V9),$V$2:$V$1001,0),1)&gt;=100000,INDEX($AC$1005:$AS$1005,1,MATCH(COLUMNS($AC$1006:AL1006),$AC$1006:$AS$1006,0))&gt;=100000), " ",IF(INDEX($AC$2:$AS$1001,MATCH(ROWS($V$2:V9),$V$2:$V$1001,0),MATCH(COLUMNS($AC$1006:AL1006),$AC$1006:$AS$1006,0)), HYPERLINK("#",""), HYPERLINK(CONCATENATE("#Metadata!", ADDRESS(INDEX($X$2:$X$1001,MATCH(ROWS($V$2:V9),$V$2:$V$1001,0),0), INDEX($AC$1004:$AS$1004,1,MATCH(COLUMNS($AC$1006:AL1006),$AC$1006:$AS$1006,0)))),"Fix")))</f>
        <v>0</v>
      </c>
      <c r="L9" s="5">
        <f>IF(OR(INDEX($W$2:$W$1001,MATCH(ROWS($V$2:V9),$V$2:$V$1001,0),1)&gt;=100000,INDEX($AC$1005:$AS$1005,1,MATCH(COLUMNS($AC$1006:AM1006),$AC$1006:$AS$1006,0))&gt;=100000), " ",IF(INDEX($AC$2:$AS$1001,MATCH(ROWS($V$2:V9),$V$2:$V$1001,0),MATCH(COLUMNS($AC$1006:AM1006),$AC$1006:$AS$1006,0)), HYPERLINK("#",""), HYPERLINK(CONCATENATE("#Metadata!", ADDRESS(INDEX($X$2:$X$1001,MATCH(ROWS($V$2:V9),$V$2:$V$1001,0),0), INDEX($AC$1004:$AS$1004,1,MATCH(COLUMNS($AC$1006:AM1006),$AC$1006:$AS$1006,0)))),"Fix")))</f>
        <v>0</v>
      </c>
      <c r="M9" s="5">
        <f>IF(OR(INDEX($W$2:$W$1001,MATCH(ROWS($V$2:V9),$V$2:$V$1001,0),1)&gt;=100000,INDEX($AC$1005:$AS$1005,1,MATCH(COLUMNS($AC$1006:AN1006),$AC$1006:$AS$1006,0))&gt;=100000), " ",IF(INDEX($AC$2:$AS$1001,MATCH(ROWS($V$2:V9),$V$2:$V$1001,0),MATCH(COLUMNS($AC$1006:AN1006),$AC$1006:$AS$1006,0)), HYPERLINK("#",""), HYPERLINK(CONCATENATE("#Metadata!", ADDRESS(INDEX($X$2:$X$1001,MATCH(ROWS($V$2:V9),$V$2:$V$1001,0),0), INDEX($AC$1004:$AS$1004,1,MATCH(COLUMNS($AC$1006:AN1006),$AC$1006:$AS$1006,0)))),"Fix")))</f>
        <v>0</v>
      </c>
      <c r="N9" s="5">
        <f>IF(OR(INDEX($W$2:$W$1001,MATCH(ROWS($V$2:V9),$V$2:$V$1001,0),1)&gt;=100000,INDEX($AC$1005:$AS$1005,1,MATCH(COLUMNS($AC$1006:AO1006),$AC$1006:$AS$1006,0))&gt;=100000), " ",IF(INDEX($AC$2:$AS$1001,MATCH(ROWS($V$2:V9),$V$2:$V$1001,0),MATCH(COLUMNS($AC$1006:AO1006),$AC$1006:$AS$1006,0)), HYPERLINK("#",""), HYPERLINK(CONCATENATE("#Metadata!", ADDRESS(INDEX($X$2:$X$1001,MATCH(ROWS($V$2:V9),$V$2:$V$1001,0),0), INDEX($AC$1004:$AS$1004,1,MATCH(COLUMNS($AC$1006:AO1006),$AC$1006:$AS$1006,0)))),"Fix")))</f>
        <v>0</v>
      </c>
      <c r="O9" s="5">
        <f>IF(OR(INDEX($W$2:$W$1001,MATCH(ROWS($V$2:V9),$V$2:$V$1001,0),1)&gt;=100000,INDEX($AC$1005:$AS$1005,1,MATCH(COLUMNS($AC$1006:AP1006),$AC$1006:$AS$1006,0))&gt;=100000), " ",IF(INDEX($AC$2:$AS$1001,MATCH(ROWS($V$2:V9),$V$2:$V$1001,0),MATCH(COLUMNS($AC$1006:AP1006),$AC$1006:$AS$1006,0)), HYPERLINK("#",""), HYPERLINK(CONCATENATE("#Metadata!", ADDRESS(INDEX($X$2:$X$1001,MATCH(ROWS($V$2:V9),$V$2:$V$1001,0),0), INDEX($AC$1004:$AS$1004,1,MATCH(COLUMNS($AC$1006:AP1006),$AC$1006:$AS$1006,0)))),"Fix")))</f>
        <v>0</v>
      </c>
      <c r="P9" s="5">
        <f>IF(OR(INDEX($W$2:$W$1001,MATCH(ROWS($V$2:V9),$V$2:$V$1001,0),1)&gt;=100000,INDEX($AC$1005:$AS$1005,1,MATCH(COLUMNS($AC$1006:AQ1006),$AC$1006:$AS$1006,0))&gt;=100000), " ",IF(INDEX($AC$2:$AS$1001,MATCH(ROWS($V$2:V9),$V$2:$V$1001,0),MATCH(COLUMNS($AC$1006:AQ1006),$AC$1006:$AS$1006,0)), HYPERLINK("#",""), HYPERLINK(CONCATENATE("#Metadata!", ADDRESS(INDEX($X$2:$X$1001,MATCH(ROWS($V$2:V9),$V$2:$V$1001,0),0), INDEX($AC$1004:$AS$1004,1,MATCH(COLUMNS($AC$1006:AQ1006),$AC$1006:$AS$1006,0)))),"Fix")))</f>
        <v>0</v>
      </c>
      <c r="Q9" s="5">
        <f>IF(OR(INDEX($W$2:$W$1001,MATCH(ROWS($V$2:V9),$V$2:$V$1001,0),1)&gt;=100000,INDEX($AC$1005:$AS$1005,1,MATCH(COLUMNS($AC$1006:AR1006),$AC$1006:$AS$1006,0))&gt;=100000), " ",IF(INDEX($AC$2:$AS$1001,MATCH(ROWS($V$2:V9),$V$2:$V$1001,0),MATCH(COLUMNS($AC$1006:AR1006),$AC$1006:$AS$1006,0)), HYPERLINK("#",""), HYPERLINK(CONCATENATE("#Metadata!", ADDRESS(INDEX($X$2:$X$1001,MATCH(ROWS($V$2:V9),$V$2:$V$1001,0),0), INDEX($AC$1004:$AS$1004,1,MATCH(COLUMNS($AC$1006:AR1006),$AC$1006:$AS$1006,0)))),"Fix")))</f>
        <v>0</v>
      </c>
      <c r="R9" s="5">
        <f>IF(OR(INDEX($W$2:$W$1001,MATCH(ROWS($V$2:V9),$V$2:$V$1001,0),1)&gt;=100000,INDEX($AC$1005:$AS$1005,1,MATCH(COLUMNS($AC$1006:AS1006),$AC$1006:$AS$1006,0))&gt;=100000), " ",IF(INDEX($AC$2:$AS$1001,MATCH(ROWS($V$2:V9),$V$2:$V$1001,0),MATCH(COLUMNS($AC$1006:AS1006),$AC$1006:$AS$1006,0)), HYPERLINK("#",""), HYPERLINK(CONCATENATE("#Metadata!", ADDRESS(INDEX($X$2:$X$1001,MATCH(ROWS($V$2:V9),$V$2:$V$1001,0),0), INDEX($AC$1004:$AS$1004,1,MATCH(COLUMNS($AC$1006:AS1006),$AC$1006:$AS$1006,0)))),"Fix")))</f>
        <v>0</v>
      </c>
      <c r="V9">
        <v>0</v>
      </c>
      <c r="W9">
        <v>0</v>
      </c>
      <c r="X9">
        <v>0</v>
      </c>
      <c r="Y9">
        <f>IF(Z9,TRUE,AND(AC9:AS9))</f>
        <v>0</v>
      </c>
      <c r="Z9">
        <f>COUNTBLANK(Metadata!B9:R9)=COLUMNS(Metadata!B9:R9)</f>
        <v>0</v>
      </c>
      <c r="AA9">
        <v>0</v>
      </c>
      <c r="AC9">
        <f>AND(IF(Metadata!B9="",FALSE,TRUE),COUNTIF(Metadata!B:B, Metadata!B9) = 1,NOT(ISERROR(SUMPRODUCT(SEARCH(MID(Metadata!B9,ROW(INDIRECT("1:"&amp;LEN(Metadata!B9))), 1),"0123456789abcdefghijklmnopqrstuvwxyzABCDEFGHIJKLMNOPQRSTUVWXYZ.")))))</f>
        <v>0</v>
      </c>
      <c r="AD9">
        <f>AND(IF(Metadata!C9="",FALSE,TRUE),exact(Metadata!C9,"Host-associated"))</f>
        <v>0</v>
      </c>
      <c r="AE9">
        <f>AND(IF(Metadata!D9="",FALSE,TRUE),OR(exact(Metadata!D9,"Animal"),exact(Metadata!D9,"Fungus"),exact(Metadata!D9,"Plant")))</f>
        <v>0</v>
      </c>
      <c r="AF9">
        <f>AND(IF(Metadata!E9="",FALSE,TRUE),OR(exact(Metadata!E9,"Plant secretion"),exact(Metadata!E9,"Plant rhizosphere"),exact(Metadata!E9,"Plant surface"),exact(Metadata!E9,"Plant corpus"),exact(Metadata!E9,"Fungus surface"),exact(Metadata!E9,"Fungus corpus"),exact(Metadata!E9,"Animal surface"),exact(Metadata!E9,"Animal proximal gut"),exact(Metadata!E9,"Animal corpus"),exact(Metadata!E9,"Animal distal gut"),exact(Metadata!E9,"Animal secretion")))</f>
        <v>0</v>
      </c>
      <c r="AG9">
        <f>OR(AND(IF(Metadata!F9="",FALSE,TRUE),OR(exact(Metadata!F9,"not collected"),exact(Metadata!F9,"not provided"),exact(Metadata!F9,"restricted access"))),AND(IF(Metadata!F9="",FALSE,TRUE),OR(exact(Metadata!F9,"organism-associated habitat"),exact(Metadata!F9,"plant-associated habitat"),exact(Metadata!F9,"animal-associated habitat"),exact(Metadata!F9,"insecta-associated habitat"),exact(Metadata!F9,"mammalia-associated habitat"),exact(Metadata!F9,"human-associated habitat"),exact(Metadata!F9,"livestock-associated habitat"))))</f>
        <v>0</v>
      </c>
      <c r="AH9">
        <f>AND(IF(Metadata!G9="",FALSE,TRUE),exact(Metadata!G9,"host-associated"))</f>
        <v>0</v>
      </c>
      <c r="AI9">
        <f>OR(AND(IF(Metadata!H9="",FALSE,TRUE),OR(exact(Metadata!H9,"not collected"),exact(Metadata!H9,"not provided"))),AND(IF(Metadata!H9="",FALSE,ISNUMBER(VALUE(Metadata!H9))),Metadata!H9&gt;0))</f>
        <v>0</v>
      </c>
      <c r="AJ9">
        <f>AND(IF(Metadata!I9="",FALSE,TRUE),exact(Metadata!I9,"years"))</f>
        <v>0</v>
      </c>
      <c r="AK9">
        <f>IF(Metadata!J9="",FALSE,TRUE)</f>
        <v>0</v>
      </c>
      <c r="AL9">
        <f>OR(AND(IF(Metadata!K9="",FALSE,TRUE),OR(exact(Metadata!K9,"not collected"),exact(Metadata!K9,"not provided"))),AND(IF(Metadata!K9="",FALSE,ISNUMBER(VALUE(Metadata!K9))),Metadata!K9&gt;0))</f>
        <v>0</v>
      </c>
      <c r="AM9">
        <f>AND(IF(Metadata!L9="",FALSE,TRUE),exact(Metadata!L9,"cm"))</f>
        <v>0</v>
      </c>
      <c r="AN9">
        <f>IF(Metadata!M9="",FALSE,TRUE)</f>
        <v>0</v>
      </c>
      <c r="AO9">
        <f>OR(AND(IF(Metadata!N9="",FALSE,TRUE),OR(exact(Metadata!N9,"not applicable"),exact(Metadata!N9,"not collected"),exact(Metadata!N9,"not provided"))),AND(IF(Metadata!N9="",FALSE,IF(ISERROR(INT(Metadata!N9)),FALSE,INT(Metadata!N9)=Metadata!N9)),Metadata!N9&gt;0))</f>
        <v>0</v>
      </c>
      <c r="AP9">
        <f>OR(AND(IF(Metadata!O9="",FALSE,TRUE),OR(exact(Metadata!O9,"not collected"),exact(Metadata!O9,"not provided"))),AND(IF(Metadata!O9="",FALSE,ISNUMBER(VALUE(Metadata!O9))),Metadata!O9&gt;0))</f>
        <v>0</v>
      </c>
      <c r="AQ9">
        <f>AND(IF(Metadata!P9="",FALSE,TRUE),exact(Metadata!P9,"kg"))</f>
        <v>0</v>
      </c>
      <c r="AR9">
        <f>OR(AND(IF(Metadata!Q9="",FALSE,TRUE),OR(exact(Metadata!Q9,"not applicable"),exact(Metadata!Q9,"not collected"),exact(Metadata!Q9,"not provided"),exact(Metadata!Q9,"restricted access"))),IF(Metadata!Q9="",FALSE,IF(ISERROR(INT(Metadata!Q9)),FALSE,INT(Metadata!Q9)=Metadata!Q9)))</f>
        <v>0</v>
      </c>
      <c r="AS9">
        <f>AND(IF(Metadata!R9="",FALSE,TRUE),exact(Metadata!R9,"Not applicable"))</f>
        <v>0</v>
      </c>
    </row>
    <row r="10" spans="1:45">
      <c r="A10" s="4">
        <f>IF(B10=" "," ",HYPERLINK(CONCATENATE("#metadata!",ADDRESS(INDEX($X$2:$X$1001,MATCH(ROWS($V$2:V10),$V$2:$V$1001,0),0),2)),INDEX($AA$2:$AA$1001,MATCH(ROWS($V$2:V10),$V$2:$V$1001,0),0)))</f>
        <v>0</v>
      </c>
      <c r="B10" s="5">
        <f>IF(OR(INDEX($W$2:$W$1001,MATCH(ROWS($V$2:V10),$V$2:$V$1001,0),1)&gt;=100000,INDEX($AC$1005:$AS$1005,1,MATCH(COLUMNS($AC$1006:AC1006),$AC$1006:$AS$1006,0))&gt;=100000), " ",IF(INDEX($AC$2:$AS$1001,MATCH(ROWS($V$2:V10),$V$2:$V$1001,0),MATCH(COLUMNS($AC$1006:AC1006),$AC$1006:$AS$1006,0)), HYPERLINK("#",""), HYPERLINK(CONCATENATE("#Metadata!", ADDRESS(INDEX($X$2:$X$1001,MATCH(ROWS($V$2:V10),$V$2:$V$1001,0),0), INDEX($AC$1004:$AS$1004,1,MATCH(COLUMNS($AC$1006:AC1006),$AC$1006:$AS$1006,0)))),"Fix")))</f>
        <v>0</v>
      </c>
      <c r="C10" s="5">
        <f>IF(OR(INDEX($W$2:$W$1001,MATCH(ROWS($V$2:V10),$V$2:$V$1001,0),1)&gt;=100000,INDEX($AC$1005:$AS$1005,1,MATCH(COLUMNS($AC$1006:AD1006),$AC$1006:$AS$1006,0))&gt;=100000), " ",IF(INDEX($AC$2:$AS$1001,MATCH(ROWS($V$2:V10),$V$2:$V$1001,0),MATCH(COLUMNS($AC$1006:AD1006),$AC$1006:$AS$1006,0)), HYPERLINK("#",""), HYPERLINK(CONCATENATE("#Metadata!", ADDRESS(INDEX($X$2:$X$1001,MATCH(ROWS($V$2:V10),$V$2:$V$1001,0),0), INDEX($AC$1004:$AS$1004,1,MATCH(COLUMNS($AC$1006:AD1006),$AC$1006:$AS$1006,0)))),"Fix")))</f>
        <v>0</v>
      </c>
      <c r="D10" s="5">
        <f>IF(OR(INDEX($W$2:$W$1001,MATCH(ROWS($V$2:V10),$V$2:$V$1001,0),1)&gt;=100000,INDEX($AC$1005:$AS$1005,1,MATCH(COLUMNS($AC$1006:AE1006),$AC$1006:$AS$1006,0))&gt;=100000), " ",IF(INDEX($AC$2:$AS$1001,MATCH(ROWS($V$2:V10),$V$2:$V$1001,0),MATCH(COLUMNS($AC$1006:AE1006),$AC$1006:$AS$1006,0)), HYPERLINK("#",""), HYPERLINK(CONCATENATE("#Metadata!", ADDRESS(INDEX($X$2:$X$1001,MATCH(ROWS($V$2:V10),$V$2:$V$1001,0),0), INDEX($AC$1004:$AS$1004,1,MATCH(COLUMNS($AC$1006:AE1006),$AC$1006:$AS$1006,0)))),"Fix")))</f>
        <v>0</v>
      </c>
      <c r="E10" s="5">
        <f>IF(OR(INDEX($W$2:$W$1001,MATCH(ROWS($V$2:V10),$V$2:$V$1001,0),1)&gt;=100000,INDEX($AC$1005:$AS$1005,1,MATCH(COLUMNS($AC$1006:AF1006),$AC$1006:$AS$1006,0))&gt;=100000), " ",IF(INDEX($AC$2:$AS$1001,MATCH(ROWS($V$2:V10),$V$2:$V$1001,0),MATCH(COLUMNS($AC$1006:AF1006),$AC$1006:$AS$1006,0)), HYPERLINK("#",""), HYPERLINK(CONCATENATE("#Metadata!", ADDRESS(INDEX($X$2:$X$1001,MATCH(ROWS($V$2:V10),$V$2:$V$1001,0),0), INDEX($AC$1004:$AS$1004,1,MATCH(COLUMNS($AC$1006:AF1006),$AC$1006:$AS$1006,0)))),"Fix")))</f>
        <v>0</v>
      </c>
      <c r="F10" s="5">
        <f>IF(OR(INDEX($W$2:$W$1001,MATCH(ROWS($V$2:V10),$V$2:$V$1001,0),1)&gt;=100000,INDEX($AC$1005:$AS$1005,1,MATCH(COLUMNS($AC$1006:AG1006),$AC$1006:$AS$1006,0))&gt;=100000), " ",IF(INDEX($AC$2:$AS$1001,MATCH(ROWS($V$2:V10),$V$2:$V$1001,0),MATCH(COLUMNS($AC$1006:AG1006),$AC$1006:$AS$1006,0)), HYPERLINK("#",""), HYPERLINK(CONCATENATE("#Metadata!", ADDRESS(INDEX($X$2:$X$1001,MATCH(ROWS($V$2:V10),$V$2:$V$1001,0),0), INDEX($AC$1004:$AS$1004,1,MATCH(COLUMNS($AC$1006:AG1006),$AC$1006:$AS$1006,0)))),"Fix")))</f>
        <v>0</v>
      </c>
      <c r="G10" s="5">
        <f>IF(OR(INDEX($W$2:$W$1001,MATCH(ROWS($V$2:V10),$V$2:$V$1001,0),1)&gt;=100000,INDEX($AC$1005:$AS$1005,1,MATCH(COLUMNS($AC$1006:AH1006),$AC$1006:$AS$1006,0))&gt;=100000), " ",IF(INDEX($AC$2:$AS$1001,MATCH(ROWS($V$2:V10),$V$2:$V$1001,0),MATCH(COLUMNS($AC$1006:AH1006),$AC$1006:$AS$1006,0)), HYPERLINK("#",""), HYPERLINK(CONCATENATE("#Metadata!", ADDRESS(INDEX($X$2:$X$1001,MATCH(ROWS($V$2:V10),$V$2:$V$1001,0),0), INDEX($AC$1004:$AS$1004,1,MATCH(COLUMNS($AC$1006:AH1006),$AC$1006:$AS$1006,0)))),"Fix")))</f>
        <v>0</v>
      </c>
      <c r="H10" s="5">
        <f>IF(OR(INDEX($W$2:$W$1001,MATCH(ROWS($V$2:V10),$V$2:$V$1001,0),1)&gt;=100000,INDEX($AC$1005:$AS$1005,1,MATCH(COLUMNS($AC$1006:AI1006),$AC$1006:$AS$1006,0))&gt;=100000), " ",IF(INDEX($AC$2:$AS$1001,MATCH(ROWS($V$2:V10),$V$2:$V$1001,0),MATCH(COLUMNS($AC$1006:AI1006),$AC$1006:$AS$1006,0)), HYPERLINK("#",""), HYPERLINK(CONCATENATE("#Metadata!", ADDRESS(INDEX($X$2:$X$1001,MATCH(ROWS($V$2:V10),$V$2:$V$1001,0),0), INDEX($AC$1004:$AS$1004,1,MATCH(COLUMNS($AC$1006:AI1006),$AC$1006:$AS$1006,0)))),"Fix")))</f>
        <v>0</v>
      </c>
      <c r="I10" s="5">
        <f>IF(OR(INDEX($W$2:$W$1001,MATCH(ROWS($V$2:V10),$V$2:$V$1001,0),1)&gt;=100000,INDEX($AC$1005:$AS$1005,1,MATCH(COLUMNS($AC$1006:AJ1006),$AC$1006:$AS$1006,0))&gt;=100000), " ",IF(INDEX($AC$2:$AS$1001,MATCH(ROWS($V$2:V10),$V$2:$V$1001,0),MATCH(COLUMNS($AC$1006:AJ1006),$AC$1006:$AS$1006,0)), HYPERLINK("#",""), HYPERLINK(CONCATENATE("#Metadata!", ADDRESS(INDEX($X$2:$X$1001,MATCH(ROWS($V$2:V10),$V$2:$V$1001,0),0), INDEX($AC$1004:$AS$1004,1,MATCH(COLUMNS($AC$1006:AJ1006),$AC$1006:$AS$1006,0)))),"Fix")))</f>
        <v>0</v>
      </c>
      <c r="J10" s="5">
        <f>IF(OR(INDEX($W$2:$W$1001,MATCH(ROWS($V$2:V10),$V$2:$V$1001,0),1)&gt;=100000,INDEX($AC$1005:$AS$1005,1,MATCH(COLUMNS($AC$1006:AK1006),$AC$1006:$AS$1006,0))&gt;=100000), " ",IF(INDEX($AC$2:$AS$1001,MATCH(ROWS($V$2:V10),$V$2:$V$1001,0),MATCH(COLUMNS($AC$1006:AK1006),$AC$1006:$AS$1006,0)), HYPERLINK("#",""), HYPERLINK(CONCATENATE("#Metadata!", ADDRESS(INDEX($X$2:$X$1001,MATCH(ROWS($V$2:V10),$V$2:$V$1001,0),0), INDEX($AC$1004:$AS$1004,1,MATCH(COLUMNS($AC$1006:AK1006),$AC$1006:$AS$1006,0)))),"Fix")))</f>
        <v>0</v>
      </c>
      <c r="K10" s="5">
        <f>IF(OR(INDEX($W$2:$W$1001,MATCH(ROWS($V$2:V10),$V$2:$V$1001,0),1)&gt;=100000,INDEX($AC$1005:$AS$1005,1,MATCH(COLUMNS($AC$1006:AL1006),$AC$1006:$AS$1006,0))&gt;=100000), " ",IF(INDEX($AC$2:$AS$1001,MATCH(ROWS($V$2:V10),$V$2:$V$1001,0),MATCH(COLUMNS($AC$1006:AL1006),$AC$1006:$AS$1006,0)), HYPERLINK("#",""), HYPERLINK(CONCATENATE("#Metadata!", ADDRESS(INDEX($X$2:$X$1001,MATCH(ROWS($V$2:V10),$V$2:$V$1001,0),0), INDEX($AC$1004:$AS$1004,1,MATCH(COLUMNS($AC$1006:AL1006),$AC$1006:$AS$1006,0)))),"Fix")))</f>
        <v>0</v>
      </c>
      <c r="L10" s="5">
        <f>IF(OR(INDEX($W$2:$W$1001,MATCH(ROWS($V$2:V10),$V$2:$V$1001,0),1)&gt;=100000,INDEX($AC$1005:$AS$1005,1,MATCH(COLUMNS($AC$1006:AM1006),$AC$1006:$AS$1006,0))&gt;=100000), " ",IF(INDEX($AC$2:$AS$1001,MATCH(ROWS($V$2:V10),$V$2:$V$1001,0),MATCH(COLUMNS($AC$1006:AM1006),$AC$1006:$AS$1006,0)), HYPERLINK("#",""), HYPERLINK(CONCATENATE("#Metadata!", ADDRESS(INDEX($X$2:$X$1001,MATCH(ROWS($V$2:V10),$V$2:$V$1001,0),0), INDEX($AC$1004:$AS$1004,1,MATCH(COLUMNS($AC$1006:AM1006),$AC$1006:$AS$1006,0)))),"Fix")))</f>
        <v>0</v>
      </c>
      <c r="M10" s="5">
        <f>IF(OR(INDEX($W$2:$W$1001,MATCH(ROWS($V$2:V10),$V$2:$V$1001,0),1)&gt;=100000,INDEX($AC$1005:$AS$1005,1,MATCH(COLUMNS($AC$1006:AN1006),$AC$1006:$AS$1006,0))&gt;=100000), " ",IF(INDEX($AC$2:$AS$1001,MATCH(ROWS($V$2:V10),$V$2:$V$1001,0),MATCH(COLUMNS($AC$1006:AN1006),$AC$1006:$AS$1006,0)), HYPERLINK("#",""), HYPERLINK(CONCATENATE("#Metadata!", ADDRESS(INDEX($X$2:$X$1001,MATCH(ROWS($V$2:V10),$V$2:$V$1001,0),0), INDEX($AC$1004:$AS$1004,1,MATCH(COLUMNS($AC$1006:AN1006),$AC$1006:$AS$1006,0)))),"Fix")))</f>
        <v>0</v>
      </c>
      <c r="N10" s="5">
        <f>IF(OR(INDEX($W$2:$W$1001,MATCH(ROWS($V$2:V10),$V$2:$V$1001,0),1)&gt;=100000,INDEX($AC$1005:$AS$1005,1,MATCH(COLUMNS($AC$1006:AO1006),$AC$1006:$AS$1006,0))&gt;=100000), " ",IF(INDEX($AC$2:$AS$1001,MATCH(ROWS($V$2:V10),$V$2:$V$1001,0),MATCH(COLUMNS($AC$1006:AO1006),$AC$1006:$AS$1006,0)), HYPERLINK("#",""), HYPERLINK(CONCATENATE("#Metadata!", ADDRESS(INDEX($X$2:$X$1001,MATCH(ROWS($V$2:V10),$V$2:$V$1001,0),0), INDEX($AC$1004:$AS$1004,1,MATCH(COLUMNS($AC$1006:AO1006),$AC$1006:$AS$1006,0)))),"Fix")))</f>
        <v>0</v>
      </c>
      <c r="O10" s="5">
        <f>IF(OR(INDEX($W$2:$W$1001,MATCH(ROWS($V$2:V10),$V$2:$V$1001,0),1)&gt;=100000,INDEX($AC$1005:$AS$1005,1,MATCH(COLUMNS($AC$1006:AP1006),$AC$1006:$AS$1006,0))&gt;=100000), " ",IF(INDEX($AC$2:$AS$1001,MATCH(ROWS($V$2:V10),$V$2:$V$1001,0),MATCH(COLUMNS($AC$1006:AP1006),$AC$1006:$AS$1006,0)), HYPERLINK("#",""), HYPERLINK(CONCATENATE("#Metadata!", ADDRESS(INDEX($X$2:$X$1001,MATCH(ROWS($V$2:V10),$V$2:$V$1001,0),0), INDEX($AC$1004:$AS$1004,1,MATCH(COLUMNS($AC$1006:AP1006),$AC$1006:$AS$1006,0)))),"Fix")))</f>
        <v>0</v>
      </c>
      <c r="P10" s="5">
        <f>IF(OR(INDEX($W$2:$W$1001,MATCH(ROWS($V$2:V10),$V$2:$V$1001,0),1)&gt;=100000,INDEX($AC$1005:$AS$1005,1,MATCH(COLUMNS($AC$1006:AQ1006),$AC$1006:$AS$1006,0))&gt;=100000), " ",IF(INDEX($AC$2:$AS$1001,MATCH(ROWS($V$2:V10),$V$2:$V$1001,0),MATCH(COLUMNS($AC$1006:AQ1006),$AC$1006:$AS$1006,0)), HYPERLINK("#",""), HYPERLINK(CONCATENATE("#Metadata!", ADDRESS(INDEX($X$2:$X$1001,MATCH(ROWS($V$2:V10),$V$2:$V$1001,0),0), INDEX($AC$1004:$AS$1004,1,MATCH(COLUMNS($AC$1006:AQ1006),$AC$1006:$AS$1006,0)))),"Fix")))</f>
        <v>0</v>
      </c>
      <c r="Q10" s="5">
        <f>IF(OR(INDEX($W$2:$W$1001,MATCH(ROWS($V$2:V10),$V$2:$V$1001,0),1)&gt;=100000,INDEX($AC$1005:$AS$1005,1,MATCH(COLUMNS($AC$1006:AR1006),$AC$1006:$AS$1006,0))&gt;=100000), " ",IF(INDEX($AC$2:$AS$1001,MATCH(ROWS($V$2:V10),$V$2:$V$1001,0),MATCH(COLUMNS($AC$1006:AR1006),$AC$1006:$AS$1006,0)), HYPERLINK("#",""), HYPERLINK(CONCATENATE("#Metadata!", ADDRESS(INDEX($X$2:$X$1001,MATCH(ROWS($V$2:V10),$V$2:$V$1001,0),0), INDEX($AC$1004:$AS$1004,1,MATCH(COLUMNS($AC$1006:AR1006),$AC$1006:$AS$1006,0)))),"Fix")))</f>
        <v>0</v>
      </c>
      <c r="R10" s="5">
        <f>IF(OR(INDEX($W$2:$W$1001,MATCH(ROWS($V$2:V10),$V$2:$V$1001,0),1)&gt;=100000,INDEX($AC$1005:$AS$1005,1,MATCH(COLUMNS($AC$1006:AS1006),$AC$1006:$AS$1006,0))&gt;=100000), " ",IF(INDEX($AC$2:$AS$1001,MATCH(ROWS($V$2:V10),$V$2:$V$1001,0),MATCH(COLUMNS($AC$1006:AS1006),$AC$1006:$AS$1006,0)), HYPERLINK("#",""), HYPERLINK(CONCATENATE("#Metadata!", ADDRESS(INDEX($X$2:$X$1001,MATCH(ROWS($V$2:V10),$V$2:$V$1001,0),0), INDEX($AC$1004:$AS$1004,1,MATCH(COLUMNS($AC$1006:AS1006),$AC$1006:$AS$1006,0)))),"Fix")))</f>
        <v>0</v>
      </c>
      <c r="V10">
        <v>0</v>
      </c>
      <c r="W10">
        <v>0</v>
      </c>
      <c r="X10">
        <v>0</v>
      </c>
      <c r="Y10">
        <f>IF(Z10,TRUE,AND(AC10:AS10))</f>
        <v>0</v>
      </c>
      <c r="Z10">
        <f>COUNTBLANK(Metadata!B10:R10)=COLUMNS(Metadata!B10:R10)</f>
        <v>0</v>
      </c>
      <c r="AA10">
        <v>0</v>
      </c>
      <c r="AC10">
        <f>AND(IF(Metadata!B10="",FALSE,TRUE),COUNTIF(Metadata!B:B, Metadata!B10) = 1,NOT(ISERROR(SUMPRODUCT(SEARCH(MID(Metadata!B10,ROW(INDIRECT("1:"&amp;LEN(Metadata!B10))), 1),"0123456789abcdefghijklmnopqrstuvwxyzABCDEFGHIJKLMNOPQRSTUVWXYZ.")))))</f>
        <v>0</v>
      </c>
      <c r="AD10">
        <f>AND(IF(Metadata!C10="",FALSE,TRUE),exact(Metadata!C10,"Host-associated"))</f>
        <v>0</v>
      </c>
      <c r="AE10">
        <f>AND(IF(Metadata!D10="",FALSE,TRUE),OR(exact(Metadata!D10,"Animal"),exact(Metadata!D10,"Fungus"),exact(Metadata!D10,"Plant")))</f>
        <v>0</v>
      </c>
      <c r="AF10">
        <f>AND(IF(Metadata!E10="",FALSE,TRUE),OR(exact(Metadata!E10,"Plant secretion"),exact(Metadata!E10,"Plant rhizosphere"),exact(Metadata!E10,"Plant surface"),exact(Metadata!E10,"Plant corpus"),exact(Metadata!E10,"Fungus surface"),exact(Metadata!E10,"Fungus corpus"),exact(Metadata!E10,"Animal surface"),exact(Metadata!E10,"Animal proximal gut"),exact(Metadata!E10,"Animal corpus"),exact(Metadata!E10,"Animal distal gut"),exact(Metadata!E10,"Animal secretion")))</f>
        <v>0</v>
      </c>
      <c r="AG10">
        <f>OR(AND(IF(Metadata!F10="",FALSE,TRUE),OR(exact(Metadata!F10,"not collected"),exact(Metadata!F10,"not provided"),exact(Metadata!F10,"restricted access"))),AND(IF(Metadata!F10="",FALSE,TRUE),OR(exact(Metadata!F10,"organism-associated habitat"),exact(Metadata!F10,"plant-associated habitat"),exact(Metadata!F10,"animal-associated habitat"),exact(Metadata!F10,"insecta-associated habitat"),exact(Metadata!F10,"mammalia-associated habitat"),exact(Metadata!F10,"human-associated habitat"),exact(Metadata!F10,"livestock-associated habitat"))))</f>
        <v>0</v>
      </c>
      <c r="AH10">
        <f>AND(IF(Metadata!G10="",FALSE,TRUE),exact(Metadata!G10,"host-associated"))</f>
        <v>0</v>
      </c>
      <c r="AI10">
        <f>OR(AND(IF(Metadata!H10="",FALSE,TRUE),OR(exact(Metadata!H10,"not collected"),exact(Metadata!H10,"not provided"))),AND(IF(Metadata!H10="",FALSE,ISNUMBER(VALUE(Metadata!H10))),Metadata!H10&gt;0))</f>
        <v>0</v>
      </c>
      <c r="AJ10">
        <f>AND(IF(Metadata!I10="",FALSE,TRUE),exact(Metadata!I10,"years"))</f>
        <v>0</v>
      </c>
      <c r="AK10">
        <f>IF(Metadata!J10="",FALSE,TRUE)</f>
        <v>0</v>
      </c>
      <c r="AL10">
        <f>OR(AND(IF(Metadata!K10="",FALSE,TRUE),OR(exact(Metadata!K10,"not collected"),exact(Metadata!K10,"not provided"))),AND(IF(Metadata!K10="",FALSE,ISNUMBER(VALUE(Metadata!K10))),Metadata!K10&gt;0))</f>
        <v>0</v>
      </c>
      <c r="AM10">
        <f>AND(IF(Metadata!L10="",FALSE,TRUE),exact(Metadata!L10,"cm"))</f>
        <v>0</v>
      </c>
      <c r="AN10">
        <f>IF(Metadata!M10="",FALSE,TRUE)</f>
        <v>0</v>
      </c>
      <c r="AO10">
        <f>OR(AND(IF(Metadata!N10="",FALSE,TRUE),OR(exact(Metadata!N10,"not applicable"),exact(Metadata!N10,"not collected"),exact(Metadata!N10,"not provided"))),AND(IF(Metadata!N10="",FALSE,IF(ISERROR(INT(Metadata!N10)),FALSE,INT(Metadata!N10)=Metadata!N10)),Metadata!N10&gt;0))</f>
        <v>0</v>
      </c>
      <c r="AP10">
        <f>OR(AND(IF(Metadata!O10="",FALSE,TRUE),OR(exact(Metadata!O10,"not collected"),exact(Metadata!O10,"not provided"))),AND(IF(Metadata!O10="",FALSE,ISNUMBER(VALUE(Metadata!O10))),Metadata!O10&gt;0))</f>
        <v>0</v>
      </c>
      <c r="AQ10">
        <f>AND(IF(Metadata!P10="",FALSE,TRUE),exact(Metadata!P10,"kg"))</f>
        <v>0</v>
      </c>
      <c r="AR10">
        <f>OR(AND(IF(Metadata!Q10="",FALSE,TRUE),OR(exact(Metadata!Q10,"not applicable"),exact(Metadata!Q10,"not collected"),exact(Metadata!Q10,"not provided"),exact(Metadata!Q10,"restricted access"))),IF(Metadata!Q10="",FALSE,IF(ISERROR(INT(Metadata!Q10)),FALSE,INT(Metadata!Q10)=Metadata!Q10)))</f>
        <v>0</v>
      </c>
      <c r="AS10">
        <f>AND(IF(Metadata!R10="",FALSE,TRUE),exact(Metadata!R10,"Not applicable"))</f>
        <v>0</v>
      </c>
    </row>
    <row r="11" spans="1:45">
      <c r="A11" s="4">
        <f>IF(B11=" "," ",HYPERLINK(CONCATENATE("#metadata!",ADDRESS(INDEX($X$2:$X$1001,MATCH(ROWS($V$2:V11),$V$2:$V$1001,0),0),2)),INDEX($AA$2:$AA$1001,MATCH(ROWS($V$2:V11),$V$2:$V$1001,0),0)))</f>
        <v>0</v>
      </c>
      <c r="B11" s="5">
        <f>IF(OR(INDEX($W$2:$W$1001,MATCH(ROWS($V$2:V11),$V$2:$V$1001,0),1)&gt;=100000,INDEX($AC$1005:$AS$1005,1,MATCH(COLUMNS($AC$1006:AC1006),$AC$1006:$AS$1006,0))&gt;=100000), " ",IF(INDEX($AC$2:$AS$1001,MATCH(ROWS($V$2:V11),$V$2:$V$1001,0),MATCH(COLUMNS($AC$1006:AC1006),$AC$1006:$AS$1006,0)), HYPERLINK("#",""), HYPERLINK(CONCATENATE("#Metadata!", ADDRESS(INDEX($X$2:$X$1001,MATCH(ROWS($V$2:V11),$V$2:$V$1001,0),0), INDEX($AC$1004:$AS$1004,1,MATCH(COLUMNS($AC$1006:AC1006),$AC$1006:$AS$1006,0)))),"Fix")))</f>
        <v>0</v>
      </c>
      <c r="C11" s="5">
        <f>IF(OR(INDEX($W$2:$W$1001,MATCH(ROWS($V$2:V11),$V$2:$V$1001,0),1)&gt;=100000,INDEX($AC$1005:$AS$1005,1,MATCH(COLUMNS($AC$1006:AD1006),$AC$1006:$AS$1006,0))&gt;=100000), " ",IF(INDEX($AC$2:$AS$1001,MATCH(ROWS($V$2:V11),$V$2:$V$1001,0),MATCH(COLUMNS($AC$1006:AD1006),$AC$1006:$AS$1006,0)), HYPERLINK("#",""), HYPERLINK(CONCATENATE("#Metadata!", ADDRESS(INDEX($X$2:$X$1001,MATCH(ROWS($V$2:V11),$V$2:$V$1001,0),0), INDEX($AC$1004:$AS$1004,1,MATCH(COLUMNS($AC$1006:AD1006),$AC$1006:$AS$1006,0)))),"Fix")))</f>
        <v>0</v>
      </c>
      <c r="D11" s="5">
        <f>IF(OR(INDEX($W$2:$W$1001,MATCH(ROWS($V$2:V11),$V$2:$V$1001,0),1)&gt;=100000,INDEX($AC$1005:$AS$1005,1,MATCH(COLUMNS($AC$1006:AE1006),$AC$1006:$AS$1006,0))&gt;=100000), " ",IF(INDEX($AC$2:$AS$1001,MATCH(ROWS($V$2:V11),$V$2:$V$1001,0),MATCH(COLUMNS($AC$1006:AE1006),$AC$1006:$AS$1006,0)), HYPERLINK("#",""), HYPERLINK(CONCATENATE("#Metadata!", ADDRESS(INDEX($X$2:$X$1001,MATCH(ROWS($V$2:V11),$V$2:$V$1001,0),0), INDEX($AC$1004:$AS$1004,1,MATCH(COLUMNS($AC$1006:AE1006),$AC$1006:$AS$1006,0)))),"Fix")))</f>
        <v>0</v>
      </c>
      <c r="E11" s="5">
        <f>IF(OR(INDEX($W$2:$W$1001,MATCH(ROWS($V$2:V11),$V$2:$V$1001,0),1)&gt;=100000,INDEX($AC$1005:$AS$1005,1,MATCH(COLUMNS($AC$1006:AF1006),$AC$1006:$AS$1006,0))&gt;=100000), " ",IF(INDEX($AC$2:$AS$1001,MATCH(ROWS($V$2:V11),$V$2:$V$1001,0),MATCH(COLUMNS($AC$1006:AF1006),$AC$1006:$AS$1006,0)), HYPERLINK("#",""), HYPERLINK(CONCATENATE("#Metadata!", ADDRESS(INDEX($X$2:$X$1001,MATCH(ROWS($V$2:V11),$V$2:$V$1001,0),0), INDEX($AC$1004:$AS$1004,1,MATCH(COLUMNS($AC$1006:AF1006),$AC$1006:$AS$1006,0)))),"Fix")))</f>
        <v>0</v>
      </c>
      <c r="F11" s="5">
        <f>IF(OR(INDEX($W$2:$W$1001,MATCH(ROWS($V$2:V11),$V$2:$V$1001,0),1)&gt;=100000,INDEX($AC$1005:$AS$1005,1,MATCH(COLUMNS($AC$1006:AG1006),$AC$1006:$AS$1006,0))&gt;=100000), " ",IF(INDEX($AC$2:$AS$1001,MATCH(ROWS($V$2:V11),$V$2:$V$1001,0),MATCH(COLUMNS($AC$1006:AG1006),$AC$1006:$AS$1006,0)), HYPERLINK("#",""), HYPERLINK(CONCATENATE("#Metadata!", ADDRESS(INDEX($X$2:$X$1001,MATCH(ROWS($V$2:V11),$V$2:$V$1001,0),0), INDEX($AC$1004:$AS$1004,1,MATCH(COLUMNS($AC$1006:AG1006),$AC$1006:$AS$1006,0)))),"Fix")))</f>
        <v>0</v>
      </c>
      <c r="G11" s="5">
        <f>IF(OR(INDEX($W$2:$W$1001,MATCH(ROWS($V$2:V11),$V$2:$V$1001,0),1)&gt;=100000,INDEX($AC$1005:$AS$1005,1,MATCH(COLUMNS($AC$1006:AH1006),$AC$1006:$AS$1006,0))&gt;=100000), " ",IF(INDEX($AC$2:$AS$1001,MATCH(ROWS($V$2:V11),$V$2:$V$1001,0),MATCH(COLUMNS($AC$1006:AH1006),$AC$1006:$AS$1006,0)), HYPERLINK("#",""), HYPERLINK(CONCATENATE("#Metadata!", ADDRESS(INDEX($X$2:$X$1001,MATCH(ROWS($V$2:V11),$V$2:$V$1001,0),0), INDEX($AC$1004:$AS$1004,1,MATCH(COLUMNS($AC$1006:AH1006),$AC$1006:$AS$1006,0)))),"Fix")))</f>
        <v>0</v>
      </c>
      <c r="H11" s="5">
        <f>IF(OR(INDEX($W$2:$W$1001,MATCH(ROWS($V$2:V11),$V$2:$V$1001,0),1)&gt;=100000,INDEX($AC$1005:$AS$1005,1,MATCH(COLUMNS($AC$1006:AI1006),$AC$1006:$AS$1006,0))&gt;=100000), " ",IF(INDEX($AC$2:$AS$1001,MATCH(ROWS($V$2:V11),$V$2:$V$1001,0),MATCH(COLUMNS($AC$1006:AI1006),$AC$1006:$AS$1006,0)), HYPERLINK("#",""), HYPERLINK(CONCATENATE("#Metadata!", ADDRESS(INDEX($X$2:$X$1001,MATCH(ROWS($V$2:V11),$V$2:$V$1001,0),0), INDEX($AC$1004:$AS$1004,1,MATCH(COLUMNS($AC$1006:AI1006),$AC$1006:$AS$1006,0)))),"Fix")))</f>
        <v>0</v>
      </c>
      <c r="I11" s="5">
        <f>IF(OR(INDEX($W$2:$W$1001,MATCH(ROWS($V$2:V11),$V$2:$V$1001,0),1)&gt;=100000,INDEX($AC$1005:$AS$1005,1,MATCH(COLUMNS($AC$1006:AJ1006),$AC$1006:$AS$1006,0))&gt;=100000), " ",IF(INDEX($AC$2:$AS$1001,MATCH(ROWS($V$2:V11),$V$2:$V$1001,0),MATCH(COLUMNS($AC$1006:AJ1006),$AC$1006:$AS$1006,0)), HYPERLINK("#",""), HYPERLINK(CONCATENATE("#Metadata!", ADDRESS(INDEX($X$2:$X$1001,MATCH(ROWS($V$2:V11),$V$2:$V$1001,0),0), INDEX($AC$1004:$AS$1004,1,MATCH(COLUMNS($AC$1006:AJ1006),$AC$1006:$AS$1006,0)))),"Fix")))</f>
        <v>0</v>
      </c>
      <c r="J11" s="5">
        <f>IF(OR(INDEX($W$2:$W$1001,MATCH(ROWS($V$2:V11),$V$2:$V$1001,0),1)&gt;=100000,INDEX($AC$1005:$AS$1005,1,MATCH(COLUMNS($AC$1006:AK1006),$AC$1006:$AS$1006,0))&gt;=100000), " ",IF(INDEX($AC$2:$AS$1001,MATCH(ROWS($V$2:V11),$V$2:$V$1001,0),MATCH(COLUMNS($AC$1006:AK1006),$AC$1006:$AS$1006,0)), HYPERLINK("#",""), HYPERLINK(CONCATENATE("#Metadata!", ADDRESS(INDEX($X$2:$X$1001,MATCH(ROWS($V$2:V11),$V$2:$V$1001,0),0), INDEX($AC$1004:$AS$1004,1,MATCH(COLUMNS($AC$1006:AK1006),$AC$1006:$AS$1006,0)))),"Fix")))</f>
        <v>0</v>
      </c>
      <c r="K11" s="5">
        <f>IF(OR(INDEX($W$2:$W$1001,MATCH(ROWS($V$2:V11),$V$2:$V$1001,0),1)&gt;=100000,INDEX($AC$1005:$AS$1005,1,MATCH(COLUMNS($AC$1006:AL1006),$AC$1006:$AS$1006,0))&gt;=100000), " ",IF(INDEX($AC$2:$AS$1001,MATCH(ROWS($V$2:V11),$V$2:$V$1001,0),MATCH(COLUMNS($AC$1006:AL1006),$AC$1006:$AS$1006,0)), HYPERLINK("#",""), HYPERLINK(CONCATENATE("#Metadata!", ADDRESS(INDEX($X$2:$X$1001,MATCH(ROWS($V$2:V11),$V$2:$V$1001,0),0), INDEX($AC$1004:$AS$1004,1,MATCH(COLUMNS($AC$1006:AL1006),$AC$1006:$AS$1006,0)))),"Fix")))</f>
        <v>0</v>
      </c>
      <c r="L11" s="5">
        <f>IF(OR(INDEX($W$2:$W$1001,MATCH(ROWS($V$2:V11),$V$2:$V$1001,0),1)&gt;=100000,INDEX($AC$1005:$AS$1005,1,MATCH(COLUMNS($AC$1006:AM1006),$AC$1006:$AS$1006,0))&gt;=100000), " ",IF(INDEX($AC$2:$AS$1001,MATCH(ROWS($V$2:V11),$V$2:$V$1001,0),MATCH(COLUMNS($AC$1006:AM1006),$AC$1006:$AS$1006,0)), HYPERLINK("#",""), HYPERLINK(CONCATENATE("#Metadata!", ADDRESS(INDEX($X$2:$X$1001,MATCH(ROWS($V$2:V11),$V$2:$V$1001,0),0), INDEX($AC$1004:$AS$1004,1,MATCH(COLUMNS($AC$1006:AM1006),$AC$1006:$AS$1006,0)))),"Fix")))</f>
        <v>0</v>
      </c>
      <c r="M11" s="5">
        <f>IF(OR(INDEX($W$2:$W$1001,MATCH(ROWS($V$2:V11),$V$2:$V$1001,0),1)&gt;=100000,INDEX($AC$1005:$AS$1005,1,MATCH(COLUMNS($AC$1006:AN1006),$AC$1006:$AS$1006,0))&gt;=100000), " ",IF(INDEX($AC$2:$AS$1001,MATCH(ROWS($V$2:V11),$V$2:$V$1001,0),MATCH(COLUMNS($AC$1006:AN1006),$AC$1006:$AS$1006,0)), HYPERLINK("#",""), HYPERLINK(CONCATENATE("#Metadata!", ADDRESS(INDEX($X$2:$X$1001,MATCH(ROWS($V$2:V11),$V$2:$V$1001,0),0), INDEX($AC$1004:$AS$1004,1,MATCH(COLUMNS($AC$1006:AN1006),$AC$1006:$AS$1006,0)))),"Fix")))</f>
        <v>0</v>
      </c>
      <c r="N11" s="5">
        <f>IF(OR(INDEX($W$2:$W$1001,MATCH(ROWS($V$2:V11),$V$2:$V$1001,0),1)&gt;=100000,INDEX($AC$1005:$AS$1005,1,MATCH(COLUMNS($AC$1006:AO1006),$AC$1006:$AS$1006,0))&gt;=100000), " ",IF(INDEX($AC$2:$AS$1001,MATCH(ROWS($V$2:V11),$V$2:$V$1001,0),MATCH(COLUMNS($AC$1006:AO1006),$AC$1006:$AS$1006,0)), HYPERLINK("#",""), HYPERLINK(CONCATENATE("#Metadata!", ADDRESS(INDEX($X$2:$X$1001,MATCH(ROWS($V$2:V11),$V$2:$V$1001,0),0), INDEX($AC$1004:$AS$1004,1,MATCH(COLUMNS($AC$1006:AO1006),$AC$1006:$AS$1006,0)))),"Fix")))</f>
        <v>0</v>
      </c>
      <c r="O11" s="5">
        <f>IF(OR(INDEX($W$2:$W$1001,MATCH(ROWS($V$2:V11),$V$2:$V$1001,0),1)&gt;=100000,INDEX($AC$1005:$AS$1005,1,MATCH(COLUMNS($AC$1006:AP1006),$AC$1006:$AS$1006,0))&gt;=100000), " ",IF(INDEX($AC$2:$AS$1001,MATCH(ROWS($V$2:V11),$V$2:$V$1001,0),MATCH(COLUMNS($AC$1006:AP1006),$AC$1006:$AS$1006,0)), HYPERLINK("#",""), HYPERLINK(CONCATENATE("#Metadata!", ADDRESS(INDEX($X$2:$X$1001,MATCH(ROWS($V$2:V11),$V$2:$V$1001,0),0), INDEX($AC$1004:$AS$1004,1,MATCH(COLUMNS($AC$1006:AP1006),$AC$1006:$AS$1006,0)))),"Fix")))</f>
        <v>0</v>
      </c>
      <c r="P11" s="5">
        <f>IF(OR(INDEX($W$2:$W$1001,MATCH(ROWS($V$2:V11),$V$2:$V$1001,0),1)&gt;=100000,INDEX($AC$1005:$AS$1005,1,MATCH(COLUMNS($AC$1006:AQ1006),$AC$1006:$AS$1006,0))&gt;=100000), " ",IF(INDEX($AC$2:$AS$1001,MATCH(ROWS($V$2:V11),$V$2:$V$1001,0),MATCH(COLUMNS($AC$1006:AQ1006),$AC$1006:$AS$1006,0)), HYPERLINK("#",""), HYPERLINK(CONCATENATE("#Metadata!", ADDRESS(INDEX($X$2:$X$1001,MATCH(ROWS($V$2:V11),$V$2:$V$1001,0),0), INDEX($AC$1004:$AS$1004,1,MATCH(COLUMNS($AC$1006:AQ1006),$AC$1006:$AS$1006,0)))),"Fix")))</f>
        <v>0</v>
      </c>
      <c r="Q11" s="5">
        <f>IF(OR(INDEX($W$2:$W$1001,MATCH(ROWS($V$2:V11),$V$2:$V$1001,0),1)&gt;=100000,INDEX($AC$1005:$AS$1005,1,MATCH(COLUMNS($AC$1006:AR1006),$AC$1006:$AS$1006,0))&gt;=100000), " ",IF(INDEX($AC$2:$AS$1001,MATCH(ROWS($V$2:V11),$V$2:$V$1001,0),MATCH(COLUMNS($AC$1006:AR1006),$AC$1006:$AS$1006,0)), HYPERLINK("#",""), HYPERLINK(CONCATENATE("#Metadata!", ADDRESS(INDEX($X$2:$X$1001,MATCH(ROWS($V$2:V11),$V$2:$V$1001,0),0), INDEX($AC$1004:$AS$1004,1,MATCH(COLUMNS($AC$1006:AR1006),$AC$1006:$AS$1006,0)))),"Fix")))</f>
        <v>0</v>
      </c>
      <c r="R11" s="5">
        <f>IF(OR(INDEX($W$2:$W$1001,MATCH(ROWS($V$2:V11),$V$2:$V$1001,0),1)&gt;=100000,INDEX($AC$1005:$AS$1005,1,MATCH(COLUMNS($AC$1006:AS1006),$AC$1006:$AS$1006,0))&gt;=100000), " ",IF(INDEX($AC$2:$AS$1001,MATCH(ROWS($V$2:V11),$V$2:$V$1001,0),MATCH(COLUMNS($AC$1006:AS1006),$AC$1006:$AS$1006,0)), HYPERLINK("#",""), HYPERLINK(CONCATENATE("#Metadata!", ADDRESS(INDEX($X$2:$X$1001,MATCH(ROWS($V$2:V11),$V$2:$V$1001,0),0), INDEX($AC$1004:$AS$1004,1,MATCH(COLUMNS($AC$1006:AS1006),$AC$1006:$AS$1006,0)))),"Fix")))</f>
        <v>0</v>
      </c>
      <c r="V11">
        <v>0</v>
      </c>
      <c r="W11">
        <v>0</v>
      </c>
      <c r="X11">
        <v>0</v>
      </c>
      <c r="Y11">
        <f>IF(Z11,TRUE,AND(AC11:AS11))</f>
        <v>0</v>
      </c>
      <c r="Z11">
        <f>COUNTBLANK(Metadata!B11:R11)=COLUMNS(Metadata!B11:R11)</f>
        <v>0</v>
      </c>
      <c r="AA11">
        <v>0</v>
      </c>
      <c r="AC11">
        <f>AND(IF(Metadata!B11="",FALSE,TRUE),COUNTIF(Metadata!B:B, Metadata!B11) = 1,NOT(ISERROR(SUMPRODUCT(SEARCH(MID(Metadata!B11,ROW(INDIRECT("1:"&amp;LEN(Metadata!B11))), 1),"0123456789abcdefghijklmnopqrstuvwxyzABCDEFGHIJKLMNOPQRSTUVWXYZ.")))))</f>
        <v>0</v>
      </c>
      <c r="AD11">
        <f>AND(IF(Metadata!C11="",FALSE,TRUE),exact(Metadata!C11,"Host-associated"))</f>
        <v>0</v>
      </c>
      <c r="AE11">
        <f>AND(IF(Metadata!D11="",FALSE,TRUE),OR(exact(Metadata!D11,"Animal"),exact(Metadata!D11,"Fungus"),exact(Metadata!D11,"Plant")))</f>
        <v>0</v>
      </c>
      <c r="AF11">
        <f>AND(IF(Metadata!E11="",FALSE,TRUE),OR(exact(Metadata!E11,"Plant secretion"),exact(Metadata!E11,"Plant rhizosphere"),exact(Metadata!E11,"Plant surface"),exact(Metadata!E11,"Plant corpus"),exact(Metadata!E11,"Fungus surface"),exact(Metadata!E11,"Fungus corpus"),exact(Metadata!E11,"Animal surface"),exact(Metadata!E11,"Animal proximal gut"),exact(Metadata!E11,"Animal corpus"),exact(Metadata!E11,"Animal distal gut"),exact(Metadata!E11,"Animal secretion")))</f>
        <v>0</v>
      </c>
      <c r="AG11">
        <f>OR(AND(IF(Metadata!F11="",FALSE,TRUE),OR(exact(Metadata!F11,"not collected"),exact(Metadata!F11,"not provided"),exact(Metadata!F11,"restricted access"))),AND(IF(Metadata!F11="",FALSE,TRUE),OR(exact(Metadata!F11,"organism-associated habitat"),exact(Metadata!F11,"plant-associated habitat"),exact(Metadata!F11,"animal-associated habitat"),exact(Metadata!F11,"insecta-associated habitat"),exact(Metadata!F11,"mammalia-associated habitat"),exact(Metadata!F11,"human-associated habitat"),exact(Metadata!F11,"livestock-associated habitat"))))</f>
        <v>0</v>
      </c>
      <c r="AH11">
        <f>AND(IF(Metadata!G11="",FALSE,TRUE),exact(Metadata!G11,"host-associated"))</f>
        <v>0</v>
      </c>
      <c r="AI11">
        <f>OR(AND(IF(Metadata!H11="",FALSE,TRUE),OR(exact(Metadata!H11,"not collected"),exact(Metadata!H11,"not provided"))),AND(IF(Metadata!H11="",FALSE,ISNUMBER(VALUE(Metadata!H11))),Metadata!H11&gt;0))</f>
        <v>0</v>
      </c>
      <c r="AJ11">
        <f>AND(IF(Metadata!I11="",FALSE,TRUE),exact(Metadata!I11,"years"))</f>
        <v>0</v>
      </c>
      <c r="AK11">
        <f>IF(Metadata!J11="",FALSE,TRUE)</f>
        <v>0</v>
      </c>
      <c r="AL11">
        <f>OR(AND(IF(Metadata!K11="",FALSE,TRUE),OR(exact(Metadata!K11,"not collected"),exact(Metadata!K11,"not provided"))),AND(IF(Metadata!K11="",FALSE,ISNUMBER(VALUE(Metadata!K11))),Metadata!K11&gt;0))</f>
        <v>0</v>
      </c>
      <c r="AM11">
        <f>AND(IF(Metadata!L11="",FALSE,TRUE),exact(Metadata!L11,"cm"))</f>
        <v>0</v>
      </c>
      <c r="AN11">
        <f>IF(Metadata!M11="",FALSE,TRUE)</f>
        <v>0</v>
      </c>
      <c r="AO11">
        <f>OR(AND(IF(Metadata!N11="",FALSE,TRUE),OR(exact(Metadata!N11,"not applicable"),exact(Metadata!N11,"not collected"),exact(Metadata!N11,"not provided"))),AND(IF(Metadata!N11="",FALSE,IF(ISERROR(INT(Metadata!N11)),FALSE,INT(Metadata!N11)=Metadata!N11)),Metadata!N11&gt;0))</f>
        <v>0</v>
      </c>
      <c r="AP11">
        <f>OR(AND(IF(Metadata!O11="",FALSE,TRUE),OR(exact(Metadata!O11,"not collected"),exact(Metadata!O11,"not provided"))),AND(IF(Metadata!O11="",FALSE,ISNUMBER(VALUE(Metadata!O11))),Metadata!O11&gt;0))</f>
        <v>0</v>
      </c>
      <c r="AQ11">
        <f>AND(IF(Metadata!P11="",FALSE,TRUE),exact(Metadata!P11,"kg"))</f>
        <v>0</v>
      </c>
      <c r="AR11">
        <f>OR(AND(IF(Metadata!Q11="",FALSE,TRUE),OR(exact(Metadata!Q11,"not applicable"),exact(Metadata!Q11,"not collected"),exact(Metadata!Q11,"not provided"),exact(Metadata!Q11,"restricted access"))),IF(Metadata!Q11="",FALSE,IF(ISERROR(INT(Metadata!Q11)),FALSE,INT(Metadata!Q11)=Metadata!Q11)))</f>
        <v>0</v>
      </c>
      <c r="AS11">
        <f>AND(IF(Metadata!R11="",FALSE,TRUE),exact(Metadata!R11,"Not applicable"))</f>
        <v>0</v>
      </c>
    </row>
    <row r="12" spans="1:45">
      <c r="A12" s="4">
        <f>IF(B12=" "," ",HYPERLINK(CONCATENATE("#metadata!",ADDRESS(INDEX($X$2:$X$1001,MATCH(ROWS($V$2:V12),$V$2:$V$1001,0),0),2)),INDEX($AA$2:$AA$1001,MATCH(ROWS($V$2:V12),$V$2:$V$1001,0),0)))</f>
        <v>0</v>
      </c>
      <c r="B12" s="5">
        <f>IF(OR(INDEX($W$2:$W$1001,MATCH(ROWS($V$2:V12),$V$2:$V$1001,0),1)&gt;=100000,INDEX($AC$1005:$AS$1005,1,MATCH(COLUMNS($AC$1006:AC1006),$AC$1006:$AS$1006,0))&gt;=100000), " ",IF(INDEX($AC$2:$AS$1001,MATCH(ROWS($V$2:V12),$V$2:$V$1001,0),MATCH(COLUMNS($AC$1006:AC1006),$AC$1006:$AS$1006,0)), HYPERLINK("#",""), HYPERLINK(CONCATENATE("#Metadata!", ADDRESS(INDEX($X$2:$X$1001,MATCH(ROWS($V$2:V12),$V$2:$V$1001,0),0), INDEX($AC$1004:$AS$1004,1,MATCH(COLUMNS($AC$1006:AC1006),$AC$1006:$AS$1006,0)))),"Fix")))</f>
        <v>0</v>
      </c>
      <c r="C12" s="5">
        <f>IF(OR(INDEX($W$2:$W$1001,MATCH(ROWS($V$2:V12),$V$2:$V$1001,0),1)&gt;=100000,INDEX($AC$1005:$AS$1005,1,MATCH(COLUMNS($AC$1006:AD1006),$AC$1006:$AS$1006,0))&gt;=100000), " ",IF(INDEX($AC$2:$AS$1001,MATCH(ROWS($V$2:V12),$V$2:$V$1001,0),MATCH(COLUMNS($AC$1006:AD1006),$AC$1006:$AS$1006,0)), HYPERLINK("#",""), HYPERLINK(CONCATENATE("#Metadata!", ADDRESS(INDEX($X$2:$X$1001,MATCH(ROWS($V$2:V12),$V$2:$V$1001,0),0), INDEX($AC$1004:$AS$1004,1,MATCH(COLUMNS($AC$1006:AD1006),$AC$1006:$AS$1006,0)))),"Fix")))</f>
        <v>0</v>
      </c>
      <c r="D12" s="5">
        <f>IF(OR(INDEX($W$2:$W$1001,MATCH(ROWS($V$2:V12),$V$2:$V$1001,0),1)&gt;=100000,INDEX($AC$1005:$AS$1005,1,MATCH(COLUMNS($AC$1006:AE1006),$AC$1006:$AS$1006,0))&gt;=100000), " ",IF(INDEX($AC$2:$AS$1001,MATCH(ROWS($V$2:V12),$V$2:$V$1001,0),MATCH(COLUMNS($AC$1006:AE1006),$AC$1006:$AS$1006,0)), HYPERLINK("#",""), HYPERLINK(CONCATENATE("#Metadata!", ADDRESS(INDEX($X$2:$X$1001,MATCH(ROWS($V$2:V12),$V$2:$V$1001,0),0), INDEX($AC$1004:$AS$1004,1,MATCH(COLUMNS($AC$1006:AE1006),$AC$1006:$AS$1006,0)))),"Fix")))</f>
        <v>0</v>
      </c>
      <c r="E12" s="5">
        <f>IF(OR(INDEX($W$2:$W$1001,MATCH(ROWS($V$2:V12),$V$2:$V$1001,0),1)&gt;=100000,INDEX($AC$1005:$AS$1005,1,MATCH(COLUMNS($AC$1006:AF1006),$AC$1006:$AS$1006,0))&gt;=100000), " ",IF(INDEX($AC$2:$AS$1001,MATCH(ROWS($V$2:V12),$V$2:$V$1001,0),MATCH(COLUMNS($AC$1006:AF1006),$AC$1006:$AS$1006,0)), HYPERLINK("#",""), HYPERLINK(CONCATENATE("#Metadata!", ADDRESS(INDEX($X$2:$X$1001,MATCH(ROWS($V$2:V12),$V$2:$V$1001,0),0), INDEX($AC$1004:$AS$1004,1,MATCH(COLUMNS($AC$1006:AF1006),$AC$1006:$AS$1006,0)))),"Fix")))</f>
        <v>0</v>
      </c>
      <c r="F12" s="5">
        <f>IF(OR(INDEX($W$2:$W$1001,MATCH(ROWS($V$2:V12),$V$2:$V$1001,0),1)&gt;=100000,INDEX($AC$1005:$AS$1005,1,MATCH(COLUMNS($AC$1006:AG1006),$AC$1006:$AS$1006,0))&gt;=100000), " ",IF(INDEX($AC$2:$AS$1001,MATCH(ROWS($V$2:V12),$V$2:$V$1001,0),MATCH(COLUMNS($AC$1006:AG1006),$AC$1006:$AS$1006,0)), HYPERLINK("#",""), HYPERLINK(CONCATENATE("#Metadata!", ADDRESS(INDEX($X$2:$X$1001,MATCH(ROWS($V$2:V12),$V$2:$V$1001,0),0), INDEX($AC$1004:$AS$1004,1,MATCH(COLUMNS($AC$1006:AG1006),$AC$1006:$AS$1006,0)))),"Fix")))</f>
        <v>0</v>
      </c>
      <c r="G12" s="5">
        <f>IF(OR(INDEX($W$2:$W$1001,MATCH(ROWS($V$2:V12),$V$2:$V$1001,0),1)&gt;=100000,INDEX($AC$1005:$AS$1005,1,MATCH(COLUMNS($AC$1006:AH1006),$AC$1006:$AS$1006,0))&gt;=100000), " ",IF(INDEX($AC$2:$AS$1001,MATCH(ROWS($V$2:V12),$V$2:$V$1001,0),MATCH(COLUMNS($AC$1006:AH1006),$AC$1006:$AS$1006,0)), HYPERLINK("#",""), HYPERLINK(CONCATENATE("#Metadata!", ADDRESS(INDEX($X$2:$X$1001,MATCH(ROWS($V$2:V12),$V$2:$V$1001,0),0), INDEX($AC$1004:$AS$1004,1,MATCH(COLUMNS($AC$1006:AH1006),$AC$1006:$AS$1006,0)))),"Fix")))</f>
        <v>0</v>
      </c>
      <c r="H12" s="5">
        <f>IF(OR(INDEX($W$2:$W$1001,MATCH(ROWS($V$2:V12),$V$2:$V$1001,0),1)&gt;=100000,INDEX($AC$1005:$AS$1005,1,MATCH(COLUMNS($AC$1006:AI1006),$AC$1006:$AS$1006,0))&gt;=100000), " ",IF(INDEX($AC$2:$AS$1001,MATCH(ROWS($V$2:V12),$V$2:$V$1001,0),MATCH(COLUMNS($AC$1006:AI1006),$AC$1006:$AS$1006,0)), HYPERLINK("#",""), HYPERLINK(CONCATENATE("#Metadata!", ADDRESS(INDEX($X$2:$X$1001,MATCH(ROWS($V$2:V12),$V$2:$V$1001,0),0), INDEX($AC$1004:$AS$1004,1,MATCH(COLUMNS($AC$1006:AI1006),$AC$1006:$AS$1006,0)))),"Fix")))</f>
        <v>0</v>
      </c>
      <c r="I12" s="5">
        <f>IF(OR(INDEX($W$2:$W$1001,MATCH(ROWS($V$2:V12),$V$2:$V$1001,0),1)&gt;=100000,INDEX($AC$1005:$AS$1005,1,MATCH(COLUMNS($AC$1006:AJ1006),$AC$1006:$AS$1006,0))&gt;=100000), " ",IF(INDEX($AC$2:$AS$1001,MATCH(ROWS($V$2:V12),$V$2:$V$1001,0),MATCH(COLUMNS($AC$1006:AJ1006),$AC$1006:$AS$1006,0)), HYPERLINK("#",""), HYPERLINK(CONCATENATE("#Metadata!", ADDRESS(INDEX($X$2:$X$1001,MATCH(ROWS($V$2:V12),$V$2:$V$1001,0),0), INDEX($AC$1004:$AS$1004,1,MATCH(COLUMNS($AC$1006:AJ1006),$AC$1006:$AS$1006,0)))),"Fix")))</f>
        <v>0</v>
      </c>
      <c r="J12" s="5">
        <f>IF(OR(INDEX($W$2:$W$1001,MATCH(ROWS($V$2:V12),$V$2:$V$1001,0),1)&gt;=100000,INDEX($AC$1005:$AS$1005,1,MATCH(COLUMNS($AC$1006:AK1006),$AC$1006:$AS$1006,0))&gt;=100000), " ",IF(INDEX($AC$2:$AS$1001,MATCH(ROWS($V$2:V12),$V$2:$V$1001,0),MATCH(COLUMNS($AC$1006:AK1006),$AC$1006:$AS$1006,0)), HYPERLINK("#",""), HYPERLINK(CONCATENATE("#Metadata!", ADDRESS(INDEX($X$2:$X$1001,MATCH(ROWS($V$2:V12),$V$2:$V$1001,0),0), INDEX($AC$1004:$AS$1004,1,MATCH(COLUMNS($AC$1006:AK1006),$AC$1006:$AS$1006,0)))),"Fix")))</f>
        <v>0</v>
      </c>
      <c r="K12" s="5">
        <f>IF(OR(INDEX($W$2:$W$1001,MATCH(ROWS($V$2:V12),$V$2:$V$1001,0),1)&gt;=100000,INDEX($AC$1005:$AS$1005,1,MATCH(COLUMNS($AC$1006:AL1006),$AC$1006:$AS$1006,0))&gt;=100000), " ",IF(INDEX($AC$2:$AS$1001,MATCH(ROWS($V$2:V12),$V$2:$V$1001,0),MATCH(COLUMNS($AC$1006:AL1006),$AC$1006:$AS$1006,0)), HYPERLINK("#",""), HYPERLINK(CONCATENATE("#Metadata!", ADDRESS(INDEX($X$2:$X$1001,MATCH(ROWS($V$2:V12),$V$2:$V$1001,0),0), INDEX($AC$1004:$AS$1004,1,MATCH(COLUMNS($AC$1006:AL1006),$AC$1006:$AS$1006,0)))),"Fix")))</f>
        <v>0</v>
      </c>
      <c r="L12" s="5">
        <f>IF(OR(INDEX($W$2:$W$1001,MATCH(ROWS($V$2:V12),$V$2:$V$1001,0),1)&gt;=100000,INDEX($AC$1005:$AS$1005,1,MATCH(COLUMNS($AC$1006:AM1006),$AC$1006:$AS$1006,0))&gt;=100000), " ",IF(INDEX($AC$2:$AS$1001,MATCH(ROWS($V$2:V12),$V$2:$V$1001,0),MATCH(COLUMNS($AC$1006:AM1006),$AC$1006:$AS$1006,0)), HYPERLINK("#",""), HYPERLINK(CONCATENATE("#Metadata!", ADDRESS(INDEX($X$2:$X$1001,MATCH(ROWS($V$2:V12),$V$2:$V$1001,0),0), INDEX($AC$1004:$AS$1004,1,MATCH(COLUMNS($AC$1006:AM1006),$AC$1006:$AS$1006,0)))),"Fix")))</f>
        <v>0</v>
      </c>
      <c r="M12" s="5">
        <f>IF(OR(INDEX($W$2:$W$1001,MATCH(ROWS($V$2:V12),$V$2:$V$1001,0),1)&gt;=100000,INDEX($AC$1005:$AS$1005,1,MATCH(COLUMNS($AC$1006:AN1006),$AC$1006:$AS$1006,0))&gt;=100000), " ",IF(INDEX($AC$2:$AS$1001,MATCH(ROWS($V$2:V12),$V$2:$V$1001,0),MATCH(COLUMNS($AC$1006:AN1006),$AC$1006:$AS$1006,0)), HYPERLINK("#",""), HYPERLINK(CONCATENATE("#Metadata!", ADDRESS(INDEX($X$2:$X$1001,MATCH(ROWS($V$2:V12),$V$2:$V$1001,0),0), INDEX($AC$1004:$AS$1004,1,MATCH(COLUMNS($AC$1006:AN1006),$AC$1006:$AS$1006,0)))),"Fix")))</f>
        <v>0</v>
      </c>
      <c r="N12" s="5">
        <f>IF(OR(INDEX($W$2:$W$1001,MATCH(ROWS($V$2:V12),$V$2:$V$1001,0),1)&gt;=100000,INDEX($AC$1005:$AS$1005,1,MATCH(COLUMNS($AC$1006:AO1006),$AC$1006:$AS$1006,0))&gt;=100000), " ",IF(INDEX($AC$2:$AS$1001,MATCH(ROWS($V$2:V12),$V$2:$V$1001,0),MATCH(COLUMNS($AC$1006:AO1006),$AC$1006:$AS$1006,0)), HYPERLINK("#",""), HYPERLINK(CONCATENATE("#Metadata!", ADDRESS(INDEX($X$2:$X$1001,MATCH(ROWS($V$2:V12),$V$2:$V$1001,0),0), INDEX($AC$1004:$AS$1004,1,MATCH(COLUMNS($AC$1006:AO1006),$AC$1006:$AS$1006,0)))),"Fix")))</f>
        <v>0</v>
      </c>
      <c r="O12" s="5">
        <f>IF(OR(INDEX($W$2:$W$1001,MATCH(ROWS($V$2:V12),$V$2:$V$1001,0),1)&gt;=100000,INDEX($AC$1005:$AS$1005,1,MATCH(COLUMNS($AC$1006:AP1006),$AC$1006:$AS$1006,0))&gt;=100000), " ",IF(INDEX($AC$2:$AS$1001,MATCH(ROWS($V$2:V12),$V$2:$V$1001,0),MATCH(COLUMNS($AC$1006:AP1006),$AC$1006:$AS$1006,0)), HYPERLINK("#",""), HYPERLINK(CONCATENATE("#Metadata!", ADDRESS(INDEX($X$2:$X$1001,MATCH(ROWS($V$2:V12),$V$2:$V$1001,0),0), INDEX($AC$1004:$AS$1004,1,MATCH(COLUMNS($AC$1006:AP1006),$AC$1006:$AS$1006,0)))),"Fix")))</f>
        <v>0</v>
      </c>
      <c r="P12" s="5">
        <f>IF(OR(INDEX($W$2:$W$1001,MATCH(ROWS($V$2:V12),$V$2:$V$1001,0),1)&gt;=100000,INDEX($AC$1005:$AS$1005,1,MATCH(COLUMNS($AC$1006:AQ1006),$AC$1006:$AS$1006,0))&gt;=100000), " ",IF(INDEX($AC$2:$AS$1001,MATCH(ROWS($V$2:V12),$V$2:$V$1001,0),MATCH(COLUMNS($AC$1006:AQ1006),$AC$1006:$AS$1006,0)), HYPERLINK("#",""), HYPERLINK(CONCATENATE("#Metadata!", ADDRESS(INDEX($X$2:$X$1001,MATCH(ROWS($V$2:V12),$V$2:$V$1001,0),0), INDEX($AC$1004:$AS$1004,1,MATCH(COLUMNS($AC$1006:AQ1006),$AC$1006:$AS$1006,0)))),"Fix")))</f>
        <v>0</v>
      </c>
      <c r="Q12" s="5">
        <f>IF(OR(INDEX($W$2:$W$1001,MATCH(ROWS($V$2:V12),$V$2:$V$1001,0),1)&gt;=100000,INDEX($AC$1005:$AS$1005,1,MATCH(COLUMNS($AC$1006:AR1006),$AC$1006:$AS$1006,0))&gt;=100000), " ",IF(INDEX($AC$2:$AS$1001,MATCH(ROWS($V$2:V12),$V$2:$V$1001,0),MATCH(COLUMNS($AC$1006:AR1006),$AC$1006:$AS$1006,0)), HYPERLINK("#",""), HYPERLINK(CONCATENATE("#Metadata!", ADDRESS(INDEX($X$2:$X$1001,MATCH(ROWS($V$2:V12),$V$2:$V$1001,0),0), INDEX($AC$1004:$AS$1004,1,MATCH(COLUMNS($AC$1006:AR1006),$AC$1006:$AS$1006,0)))),"Fix")))</f>
        <v>0</v>
      </c>
      <c r="R12" s="5">
        <f>IF(OR(INDEX($W$2:$W$1001,MATCH(ROWS($V$2:V12),$V$2:$V$1001,0),1)&gt;=100000,INDEX($AC$1005:$AS$1005,1,MATCH(COLUMNS($AC$1006:AS1006),$AC$1006:$AS$1006,0))&gt;=100000), " ",IF(INDEX($AC$2:$AS$1001,MATCH(ROWS($V$2:V12),$V$2:$V$1001,0),MATCH(COLUMNS($AC$1006:AS1006),$AC$1006:$AS$1006,0)), HYPERLINK("#",""), HYPERLINK(CONCATENATE("#Metadata!", ADDRESS(INDEX($X$2:$X$1001,MATCH(ROWS($V$2:V12),$V$2:$V$1001,0),0), INDEX($AC$1004:$AS$1004,1,MATCH(COLUMNS($AC$1006:AS1006),$AC$1006:$AS$1006,0)))),"Fix")))</f>
        <v>0</v>
      </c>
      <c r="V12">
        <v>0</v>
      </c>
      <c r="W12">
        <v>0</v>
      </c>
      <c r="X12">
        <v>0</v>
      </c>
      <c r="Y12">
        <f>IF(Z12,TRUE,AND(AC12:AS12))</f>
        <v>0</v>
      </c>
      <c r="Z12">
        <f>COUNTBLANK(Metadata!B12:R12)=COLUMNS(Metadata!B12:R12)</f>
        <v>0</v>
      </c>
      <c r="AA12">
        <v>0</v>
      </c>
      <c r="AC12">
        <f>AND(IF(Metadata!B12="",FALSE,TRUE),COUNTIF(Metadata!B:B, Metadata!B12) = 1,NOT(ISERROR(SUMPRODUCT(SEARCH(MID(Metadata!B12,ROW(INDIRECT("1:"&amp;LEN(Metadata!B12))), 1),"0123456789abcdefghijklmnopqrstuvwxyzABCDEFGHIJKLMNOPQRSTUVWXYZ.")))))</f>
        <v>0</v>
      </c>
      <c r="AD12">
        <f>AND(IF(Metadata!C12="",FALSE,TRUE),exact(Metadata!C12,"Host-associated"))</f>
        <v>0</v>
      </c>
      <c r="AE12">
        <f>AND(IF(Metadata!D12="",FALSE,TRUE),OR(exact(Metadata!D12,"Animal"),exact(Metadata!D12,"Fungus"),exact(Metadata!D12,"Plant")))</f>
        <v>0</v>
      </c>
      <c r="AF12">
        <f>AND(IF(Metadata!E12="",FALSE,TRUE),OR(exact(Metadata!E12,"Plant secretion"),exact(Metadata!E12,"Plant rhizosphere"),exact(Metadata!E12,"Plant surface"),exact(Metadata!E12,"Plant corpus"),exact(Metadata!E12,"Fungus surface"),exact(Metadata!E12,"Fungus corpus"),exact(Metadata!E12,"Animal surface"),exact(Metadata!E12,"Animal proximal gut"),exact(Metadata!E12,"Animal corpus"),exact(Metadata!E12,"Animal distal gut"),exact(Metadata!E12,"Animal secretion")))</f>
        <v>0</v>
      </c>
      <c r="AG12">
        <f>OR(AND(IF(Metadata!F12="",FALSE,TRUE),OR(exact(Metadata!F12,"not collected"),exact(Metadata!F12,"not provided"),exact(Metadata!F12,"restricted access"))),AND(IF(Metadata!F12="",FALSE,TRUE),OR(exact(Metadata!F12,"organism-associated habitat"),exact(Metadata!F12,"plant-associated habitat"),exact(Metadata!F12,"animal-associated habitat"),exact(Metadata!F12,"insecta-associated habitat"),exact(Metadata!F12,"mammalia-associated habitat"),exact(Metadata!F12,"human-associated habitat"),exact(Metadata!F12,"livestock-associated habitat"))))</f>
        <v>0</v>
      </c>
      <c r="AH12">
        <f>AND(IF(Metadata!G12="",FALSE,TRUE),exact(Metadata!G12,"host-associated"))</f>
        <v>0</v>
      </c>
      <c r="AI12">
        <f>OR(AND(IF(Metadata!H12="",FALSE,TRUE),OR(exact(Metadata!H12,"not collected"),exact(Metadata!H12,"not provided"))),AND(IF(Metadata!H12="",FALSE,ISNUMBER(VALUE(Metadata!H12))),Metadata!H12&gt;0))</f>
        <v>0</v>
      </c>
      <c r="AJ12">
        <f>AND(IF(Metadata!I12="",FALSE,TRUE),exact(Metadata!I12,"years"))</f>
        <v>0</v>
      </c>
      <c r="AK12">
        <f>IF(Metadata!J12="",FALSE,TRUE)</f>
        <v>0</v>
      </c>
      <c r="AL12">
        <f>OR(AND(IF(Metadata!K12="",FALSE,TRUE),OR(exact(Metadata!K12,"not collected"),exact(Metadata!K12,"not provided"))),AND(IF(Metadata!K12="",FALSE,ISNUMBER(VALUE(Metadata!K12))),Metadata!K12&gt;0))</f>
        <v>0</v>
      </c>
      <c r="AM12">
        <f>AND(IF(Metadata!L12="",FALSE,TRUE),exact(Metadata!L12,"cm"))</f>
        <v>0</v>
      </c>
      <c r="AN12">
        <f>IF(Metadata!M12="",FALSE,TRUE)</f>
        <v>0</v>
      </c>
      <c r="AO12">
        <f>OR(AND(IF(Metadata!N12="",FALSE,TRUE),OR(exact(Metadata!N12,"not applicable"),exact(Metadata!N12,"not collected"),exact(Metadata!N12,"not provided"))),AND(IF(Metadata!N12="",FALSE,IF(ISERROR(INT(Metadata!N12)),FALSE,INT(Metadata!N12)=Metadata!N12)),Metadata!N12&gt;0))</f>
        <v>0</v>
      </c>
      <c r="AP12">
        <f>OR(AND(IF(Metadata!O12="",FALSE,TRUE),OR(exact(Metadata!O12,"not collected"),exact(Metadata!O12,"not provided"))),AND(IF(Metadata!O12="",FALSE,ISNUMBER(VALUE(Metadata!O12))),Metadata!O12&gt;0))</f>
        <v>0</v>
      </c>
      <c r="AQ12">
        <f>AND(IF(Metadata!P12="",FALSE,TRUE),exact(Metadata!P12,"kg"))</f>
        <v>0</v>
      </c>
      <c r="AR12">
        <f>OR(AND(IF(Metadata!Q12="",FALSE,TRUE),OR(exact(Metadata!Q12,"not applicable"),exact(Metadata!Q12,"not collected"),exact(Metadata!Q12,"not provided"),exact(Metadata!Q12,"restricted access"))),IF(Metadata!Q12="",FALSE,IF(ISERROR(INT(Metadata!Q12)),FALSE,INT(Metadata!Q12)=Metadata!Q12)))</f>
        <v>0</v>
      </c>
      <c r="AS12">
        <f>AND(IF(Metadata!R12="",FALSE,TRUE),exact(Metadata!R12,"Not applicable"))</f>
        <v>0</v>
      </c>
    </row>
    <row r="13" spans="1:45">
      <c r="A13" s="4">
        <f>IF(B13=" "," ",HYPERLINK(CONCATENATE("#metadata!",ADDRESS(INDEX($X$2:$X$1001,MATCH(ROWS($V$2:V13),$V$2:$V$1001,0),0),2)),INDEX($AA$2:$AA$1001,MATCH(ROWS($V$2:V13),$V$2:$V$1001,0),0)))</f>
        <v>0</v>
      </c>
      <c r="B13" s="5">
        <f>IF(OR(INDEX($W$2:$W$1001,MATCH(ROWS($V$2:V13),$V$2:$V$1001,0),1)&gt;=100000,INDEX($AC$1005:$AS$1005,1,MATCH(COLUMNS($AC$1006:AC1006),$AC$1006:$AS$1006,0))&gt;=100000), " ",IF(INDEX($AC$2:$AS$1001,MATCH(ROWS($V$2:V13),$V$2:$V$1001,0),MATCH(COLUMNS($AC$1006:AC1006),$AC$1006:$AS$1006,0)), HYPERLINK("#",""), HYPERLINK(CONCATENATE("#Metadata!", ADDRESS(INDEX($X$2:$X$1001,MATCH(ROWS($V$2:V13),$V$2:$V$1001,0),0), INDEX($AC$1004:$AS$1004,1,MATCH(COLUMNS($AC$1006:AC1006),$AC$1006:$AS$1006,0)))),"Fix")))</f>
        <v>0</v>
      </c>
      <c r="C13" s="5">
        <f>IF(OR(INDEX($W$2:$W$1001,MATCH(ROWS($V$2:V13),$V$2:$V$1001,0),1)&gt;=100000,INDEX($AC$1005:$AS$1005,1,MATCH(COLUMNS($AC$1006:AD1006),$AC$1006:$AS$1006,0))&gt;=100000), " ",IF(INDEX($AC$2:$AS$1001,MATCH(ROWS($V$2:V13),$V$2:$V$1001,0),MATCH(COLUMNS($AC$1006:AD1006),$AC$1006:$AS$1006,0)), HYPERLINK("#",""), HYPERLINK(CONCATENATE("#Metadata!", ADDRESS(INDEX($X$2:$X$1001,MATCH(ROWS($V$2:V13),$V$2:$V$1001,0),0), INDEX($AC$1004:$AS$1004,1,MATCH(COLUMNS($AC$1006:AD1006),$AC$1006:$AS$1006,0)))),"Fix")))</f>
        <v>0</v>
      </c>
      <c r="D13" s="5">
        <f>IF(OR(INDEX($W$2:$W$1001,MATCH(ROWS($V$2:V13),$V$2:$V$1001,0),1)&gt;=100000,INDEX($AC$1005:$AS$1005,1,MATCH(COLUMNS($AC$1006:AE1006),$AC$1006:$AS$1006,0))&gt;=100000), " ",IF(INDEX($AC$2:$AS$1001,MATCH(ROWS($V$2:V13),$V$2:$V$1001,0),MATCH(COLUMNS($AC$1006:AE1006),$AC$1006:$AS$1006,0)), HYPERLINK("#",""), HYPERLINK(CONCATENATE("#Metadata!", ADDRESS(INDEX($X$2:$X$1001,MATCH(ROWS($V$2:V13),$V$2:$V$1001,0),0), INDEX($AC$1004:$AS$1004,1,MATCH(COLUMNS($AC$1006:AE1006),$AC$1006:$AS$1006,0)))),"Fix")))</f>
        <v>0</v>
      </c>
      <c r="E13" s="5">
        <f>IF(OR(INDEX($W$2:$W$1001,MATCH(ROWS($V$2:V13),$V$2:$V$1001,0),1)&gt;=100000,INDEX($AC$1005:$AS$1005,1,MATCH(COLUMNS($AC$1006:AF1006),$AC$1006:$AS$1006,0))&gt;=100000), " ",IF(INDEX($AC$2:$AS$1001,MATCH(ROWS($V$2:V13),$V$2:$V$1001,0),MATCH(COLUMNS($AC$1006:AF1006),$AC$1006:$AS$1006,0)), HYPERLINK("#",""), HYPERLINK(CONCATENATE("#Metadata!", ADDRESS(INDEX($X$2:$X$1001,MATCH(ROWS($V$2:V13),$V$2:$V$1001,0),0), INDEX($AC$1004:$AS$1004,1,MATCH(COLUMNS($AC$1006:AF1006),$AC$1006:$AS$1006,0)))),"Fix")))</f>
        <v>0</v>
      </c>
      <c r="F13" s="5">
        <f>IF(OR(INDEX($W$2:$W$1001,MATCH(ROWS($V$2:V13),$V$2:$V$1001,0),1)&gt;=100000,INDEX($AC$1005:$AS$1005,1,MATCH(COLUMNS($AC$1006:AG1006),$AC$1006:$AS$1006,0))&gt;=100000), " ",IF(INDEX($AC$2:$AS$1001,MATCH(ROWS($V$2:V13),$V$2:$V$1001,0),MATCH(COLUMNS($AC$1006:AG1006),$AC$1006:$AS$1006,0)), HYPERLINK("#",""), HYPERLINK(CONCATENATE("#Metadata!", ADDRESS(INDEX($X$2:$X$1001,MATCH(ROWS($V$2:V13),$V$2:$V$1001,0),0), INDEX($AC$1004:$AS$1004,1,MATCH(COLUMNS($AC$1006:AG1006),$AC$1006:$AS$1006,0)))),"Fix")))</f>
        <v>0</v>
      </c>
      <c r="G13" s="5">
        <f>IF(OR(INDEX($W$2:$W$1001,MATCH(ROWS($V$2:V13),$V$2:$V$1001,0),1)&gt;=100000,INDEX($AC$1005:$AS$1005,1,MATCH(COLUMNS($AC$1006:AH1006),$AC$1006:$AS$1006,0))&gt;=100000), " ",IF(INDEX($AC$2:$AS$1001,MATCH(ROWS($V$2:V13),$V$2:$V$1001,0),MATCH(COLUMNS($AC$1006:AH1006),$AC$1006:$AS$1006,0)), HYPERLINK("#",""), HYPERLINK(CONCATENATE("#Metadata!", ADDRESS(INDEX($X$2:$X$1001,MATCH(ROWS($V$2:V13),$V$2:$V$1001,0),0), INDEX($AC$1004:$AS$1004,1,MATCH(COLUMNS($AC$1006:AH1006),$AC$1006:$AS$1006,0)))),"Fix")))</f>
        <v>0</v>
      </c>
      <c r="H13" s="5">
        <f>IF(OR(INDEX($W$2:$W$1001,MATCH(ROWS($V$2:V13),$V$2:$V$1001,0),1)&gt;=100000,INDEX($AC$1005:$AS$1005,1,MATCH(COLUMNS($AC$1006:AI1006),$AC$1006:$AS$1006,0))&gt;=100000), " ",IF(INDEX($AC$2:$AS$1001,MATCH(ROWS($V$2:V13),$V$2:$V$1001,0),MATCH(COLUMNS($AC$1006:AI1006),$AC$1006:$AS$1006,0)), HYPERLINK("#",""), HYPERLINK(CONCATENATE("#Metadata!", ADDRESS(INDEX($X$2:$X$1001,MATCH(ROWS($V$2:V13),$V$2:$V$1001,0),0), INDEX($AC$1004:$AS$1004,1,MATCH(COLUMNS($AC$1006:AI1006),$AC$1006:$AS$1006,0)))),"Fix")))</f>
        <v>0</v>
      </c>
      <c r="I13" s="5">
        <f>IF(OR(INDEX($W$2:$W$1001,MATCH(ROWS($V$2:V13),$V$2:$V$1001,0),1)&gt;=100000,INDEX($AC$1005:$AS$1005,1,MATCH(COLUMNS($AC$1006:AJ1006),$AC$1006:$AS$1006,0))&gt;=100000), " ",IF(INDEX($AC$2:$AS$1001,MATCH(ROWS($V$2:V13),$V$2:$V$1001,0),MATCH(COLUMNS($AC$1006:AJ1006),$AC$1006:$AS$1006,0)), HYPERLINK("#",""), HYPERLINK(CONCATENATE("#Metadata!", ADDRESS(INDEX($X$2:$X$1001,MATCH(ROWS($V$2:V13),$V$2:$V$1001,0),0), INDEX($AC$1004:$AS$1004,1,MATCH(COLUMNS($AC$1006:AJ1006),$AC$1006:$AS$1006,0)))),"Fix")))</f>
        <v>0</v>
      </c>
      <c r="J13" s="5">
        <f>IF(OR(INDEX($W$2:$W$1001,MATCH(ROWS($V$2:V13),$V$2:$V$1001,0),1)&gt;=100000,INDEX($AC$1005:$AS$1005,1,MATCH(COLUMNS($AC$1006:AK1006),$AC$1006:$AS$1006,0))&gt;=100000), " ",IF(INDEX($AC$2:$AS$1001,MATCH(ROWS($V$2:V13),$V$2:$V$1001,0),MATCH(COLUMNS($AC$1006:AK1006),$AC$1006:$AS$1006,0)), HYPERLINK("#",""), HYPERLINK(CONCATENATE("#Metadata!", ADDRESS(INDEX($X$2:$X$1001,MATCH(ROWS($V$2:V13),$V$2:$V$1001,0),0), INDEX($AC$1004:$AS$1004,1,MATCH(COLUMNS($AC$1006:AK1006),$AC$1006:$AS$1006,0)))),"Fix")))</f>
        <v>0</v>
      </c>
      <c r="K13" s="5">
        <f>IF(OR(INDEX($W$2:$W$1001,MATCH(ROWS($V$2:V13),$V$2:$V$1001,0),1)&gt;=100000,INDEX($AC$1005:$AS$1005,1,MATCH(COLUMNS($AC$1006:AL1006),$AC$1006:$AS$1006,0))&gt;=100000), " ",IF(INDEX($AC$2:$AS$1001,MATCH(ROWS($V$2:V13),$V$2:$V$1001,0),MATCH(COLUMNS($AC$1006:AL1006),$AC$1006:$AS$1006,0)), HYPERLINK("#",""), HYPERLINK(CONCATENATE("#Metadata!", ADDRESS(INDEX($X$2:$X$1001,MATCH(ROWS($V$2:V13),$V$2:$V$1001,0),0), INDEX($AC$1004:$AS$1004,1,MATCH(COLUMNS($AC$1006:AL1006),$AC$1006:$AS$1006,0)))),"Fix")))</f>
        <v>0</v>
      </c>
      <c r="L13" s="5">
        <f>IF(OR(INDEX($W$2:$W$1001,MATCH(ROWS($V$2:V13),$V$2:$V$1001,0),1)&gt;=100000,INDEX($AC$1005:$AS$1005,1,MATCH(COLUMNS($AC$1006:AM1006),$AC$1006:$AS$1006,0))&gt;=100000), " ",IF(INDEX($AC$2:$AS$1001,MATCH(ROWS($V$2:V13),$V$2:$V$1001,0),MATCH(COLUMNS($AC$1006:AM1006),$AC$1006:$AS$1006,0)), HYPERLINK("#",""), HYPERLINK(CONCATENATE("#Metadata!", ADDRESS(INDEX($X$2:$X$1001,MATCH(ROWS($V$2:V13),$V$2:$V$1001,0),0), INDEX($AC$1004:$AS$1004,1,MATCH(COLUMNS($AC$1006:AM1006),$AC$1006:$AS$1006,0)))),"Fix")))</f>
        <v>0</v>
      </c>
      <c r="M13" s="5">
        <f>IF(OR(INDEX($W$2:$W$1001,MATCH(ROWS($V$2:V13),$V$2:$V$1001,0),1)&gt;=100000,INDEX($AC$1005:$AS$1005,1,MATCH(COLUMNS($AC$1006:AN1006),$AC$1006:$AS$1006,0))&gt;=100000), " ",IF(INDEX($AC$2:$AS$1001,MATCH(ROWS($V$2:V13),$V$2:$V$1001,0),MATCH(COLUMNS($AC$1006:AN1006),$AC$1006:$AS$1006,0)), HYPERLINK("#",""), HYPERLINK(CONCATENATE("#Metadata!", ADDRESS(INDEX($X$2:$X$1001,MATCH(ROWS($V$2:V13),$V$2:$V$1001,0),0), INDEX($AC$1004:$AS$1004,1,MATCH(COLUMNS($AC$1006:AN1006),$AC$1006:$AS$1006,0)))),"Fix")))</f>
        <v>0</v>
      </c>
      <c r="N13" s="5">
        <f>IF(OR(INDEX($W$2:$W$1001,MATCH(ROWS($V$2:V13),$V$2:$V$1001,0),1)&gt;=100000,INDEX($AC$1005:$AS$1005,1,MATCH(COLUMNS($AC$1006:AO1006),$AC$1006:$AS$1006,0))&gt;=100000), " ",IF(INDEX($AC$2:$AS$1001,MATCH(ROWS($V$2:V13),$V$2:$V$1001,0),MATCH(COLUMNS($AC$1006:AO1006),$AC$1006:$AS$1006,0)), HYPERLINK("#",""), HYPERLINK(CONCATENATE("#Metadata!", ADDRESS(INDEX($X$2:$X$1001,MATCH(ROWS($V$2:V13),$V$2:$V$1001,0),0), INDEX($AC$1004:$AS$1004,1,MATCH(COLUMNS($AC$1006:AO1006),$AC$1006:$AS$1006,0)))),"Fix")))</f>
        <v>0</v>
      </c>
      <c r="O13" s="5">
        <f>IF(OR(INDEX($W$2:$W$1001,MATCH(ROWS($V$2:V13),$V$2:$V$1001,0),1)&gt;=100000,INDEX($AC$1005:$AS$1005,1,MATCH(COLUMNS($AC$1006:AP1006),$AC$1006:$AS$1006,0))&gt;=100000), " ",IF(INDEX($AC$2:$AS$1001,MATCH(ROWS($V$2:V13),$V$2:$V$1001,0),MATCH(COLUMNS($AC$1006:AP1006),$AC$1006:$AS$1006,0)), HYPERLINK("#",""), HYPERLINK(CONCATENATE("#Metadata!", ADDRESS(INDEX($X$2:$X$1001,MATCH(ROWS($V$2:V13),$V$2:$V$1001,0),0), INDEX($AC$1004:$AS$1004,1,MATCH(COLUMNS($AC$1006:AP1006),$AC$1006:$AS$1006,0)))),"Fix")))</f>
        <v>0</v>
      </c>
      <c r="P13" s="5">
        <f>IF(OR(INDEX($W$2:$W$1001,MATCH(ROWS($V$2:V13),$V$2:$V$1001,0),1)&gt;=100000,INDEX($AC$1005:$AS$1005,1,MATCH(COLUMNS($AC$1006:AQ1006),$AC$1006:$AS$1006,0))&gt;=100000), " ",IF(INDEX($AC$2:$AS$1001,MATCH(ROWS($V$2:V13),$V$2:$V$1001,0),MATCH(COLUMNS($AC$1006:AQ1006),$AC$1006:$AS$1006,0)), HYPERLINK("#",""), HYPERLINK(CONCATENATE("#Metadata!", ADDRESS(INDEX($X$2:$X$1001,MATCH(ROWS($V$2:V13),$V$2:$V$1001,0),0), INDEX($AC$1004:$AS$1004,1,MATCH(COLUMNS($AC$1006:AQ1006),$AC$1006:$AS$1006,0)))),"Fix")))</f>
        <v>0</v>
      </c>
      <c r="Q13" s="5">
        <f>IF(OR(INDEX($W$2:$W$1001,MATCH(ROWS($V$2:V13),$V$2:$V$1001,0),1)&gt;=100000,INDEX($AC$1005:$AS$1005,1,MATCH(COLUMNS($AC$1006:AR1006),$AC$1006:$AS$1006,0))&gt;=100000), " ",IF(INDEX($AC$2:$AS$1001,MATCH(ROWS($V$2:V13),$V$2:$V$1001,0),MATCH(COLUMNS($AC$1006:AR1006),$AC$1006:$AS$1006,0)), HYPERLINK("#",""), HYPERLINK(CONCATENATE("#Metadata!", ADDRESS(INDEX($X$2:$X$1001,MATCH(ROWS($V$2:V13),$V$2:$V$1001,0),0), INDEX($AC$1004:$AS$1004,1,MATCH(COLUMNS($AC$1006:AR1006),$AC$1006:$AS$1006,0)))),"Fix")))</f>
        <v>0</v>
      </c>
      <c r="R13" s="5">
        <f>IF(OR(INDEX($W$2:$W$1001,MATCH(ROWS($V$2:V13),$V$2:$V$1001,0),1)&gt;=100000,INDEX($AC$1005:$AS$1005,1,MATCH(COLUMNS($AC$1006:AS1006),$AC$1006:$AS$1006,0))&gt;=100000), " ",IF(INDEX($AC$2:$AS$1001,MATCH(ROWS($V$2:V13),$V$2:$V$1001,0),MATCH(COLUMNS($AC$1006:AS1006),$AC$1006:$AS$1006,0)), HYPERLINK("#",""), HYPERLINK(CONCATENATE("#Metadata!", ADDRESS(INDEX($X$2:$X$1001,MATCH(ROWS($V$2:V13),$V$2:$V$1001,0),0), INDEX($AC$1004:$AS$1004,1,MATCH(COLUMNS($AC$1006:AS1006),$AC$1006:$AS$1006,0)))),"Fix")))</f>
        <v>0</v>
      </c>
      <c r="V13">
        <v>0</v>
      </c>
      <c r="W13">
        <v>0</v>
      </c>
      <c r="X13">
        <v>0</v>
      </c>
      <c r="Y13">
        <f>IF(Z13,TRUE,AND(AC13:AS13))</f>
        <v>0</v>
      </c>
      <c r="Z13">
        <f>COUNTBLANK(Metadata!B13:R13)=COLUMNS(Metadata!B13:R13)</f>
        <v>0</v>
      </c>
      <c r="AA13">
        <v>0</v>
      </c>
      <c r="AC13">
        <f>AND(IF(Metadata!B13="",FALSE,TRUE),COUNTIF(Metadata!B:B, Metadata!B13) = 1,NOT(ISERROR(SUMPRODUCT(SEARCH(MID(Metadata!B13,ROW(INDIRECT("1:"&amp;LEN(Metadata!B13))), 1),"0123456789abcdefghijklmnopqrstuvwxyzABCDEFGHIJKLMNOPQRSTUVWXYZ.")))))</f>
        <v>0</v>
      </c>
      <c r="AD13">
        <f>AND(IF(Metadata!C13="",FALSE,TRUE),exact(Metadata!C13,"Host-associated"))</f>
        <v>0</v>
      </c>
      <c r="AE13">
        <f>AND(IF(Metadata!D13="",FALSE,TRUE),OR(exact(Metadata!D13,"Animal"),exact(Metadata!D13,"Fungus"),exact(Metadata!D13,"Plant")))</f>
        <v>0</v>
      </c>
      <c r="AF13">
        <f>AND(IF(Metadata!E13="",FALSE,TRUE),OR(exact(Metadata!E13,"Plant secretion"),exact(Metadata!E13,"Plant rhizosphere"),exact(Metadata!E13,"Plant surface"),exact(Metadata!E13,"Plant corpus"),exact(Metadata!E13,"Fungus surface"),exact(Metadata!E13,"Fungus corpus"),exact(Metadata!E13,"Animal surface"),exact(Metadata!E13,"Animal proximal gut"),exact(Metadata!E13,"Animal corpus"),exact(Metadata!E13,"Animal distal gut"),exact(Metadata!E13,"Animal secretion")))</f>
        <v>0</v>
      </c>
      <c r="AG13">
        <f>OR(AND(IF(Metadata!F13="",FALSE,TRUE),OR(exact(Metadata!F13,"not collected"),exact(Metadata!F13,"not provided"),exact(Metadata!F13,"restricted access"))),AND(IF(Metadata!F13="",FALSE,TRUE),OR(exact(Metadata!F13,"organism-associated habitat"),exact(Metadata!F13,"plant-associated habitat"),exact(Metadata!F13,"animal-associated habitat"),exact(Metadata!F13,"insecta-associated habitat"),exact(Metadata!F13,"mammalia-associated habitat"),exact(Metadata!F13,"human-associated habitat"),exact(Metadata!F13,"livestock-associated habitat"))))</f>
        <v>0</v>
      </c>
      <c r="AH13">
        <f>AND(IF(Metadata!G13="",FALSE,TRUE),exact(Metadata!G13,"host-associated"))</f>
        <v>0</v>
      </c>
      <c r="AI13">
        <f>OR(AND(IF(Metadata!H13="",FALSE,TRUE),OR(exact(Metadata!H13,"not collected"),exact(Metadata!H13,"not provided"))),AND(IF(Metadata!H13="",FALSE,ISNUMBER(VALUE(Metadata!H13))),Metadata!H13&gt;0))</f>
        <v>0</v>
      </c>
      <c r="AJ13">
        <f>AND(IF(Metadata!I13="",FALSE,TRUE),exact(Metadata!I13,"years"))</f>
        <v>0</v>
      </c>
      <c r="AK13">
        <f>IF(Metadata!J13="",FALSE,TRUE)</f>
        <v>0</v>
      </c>
      <c r="AL13">
        <f>OR(AND(IF(Metadata!K13="",FALSE,TRUE),OR(exact(Metadata!K13,"not collected"),exact(Metadata!K13,"not provided"))),AND(IF(Metadata!K13="",FALSE,ISNUMBER(VALUE(Metadata!K13))),Metadata!K13&gt;0))</f>
        <v>0</v>
      </c>
      <c r="AM13">
        <f>AND(IF(Metadata!L13="",FALSE,TRUE),exact(Metadata!L13,"cm"))</f>
        <v>0</v>
      </c>
      <c r="AN13">
        <f>IF(Metadata!M13="",FALSE,TRUE)</f>
        <v>0</v>
      </c>
      <c r="AO13">
        <f>OR(AND(IF(Metadata!N13="",FALSE,TRUE),OR(exact(Metadata!N13,"not applicable"),exact(Metadata!N13,"not collected"),exact(Metadata!N13,"not provided"))),AND(IF(Metadata!N13="",FALSE,IF(ISERROR(INT(Metadata!N13)),FALSE,INT(Metadata!N13)=Metadata!N13)),Metadata!N13&gt;0))</f>
        <v>0</v>
      </c>
      <c r="AP13">
        <f>OR(AND(IF(Metadata!O13="",FALSE,TRUE),OR(exact(Metadata!O13,"not collected"),exact(Metadata!O13,"not provided"))),AND(IF(Metadata!O13="",FALSE,ISNUMBER(VALUE(Metadata!O13))),Metadata!O13&gt;0))</f>
        <v>0</v>
      </c>
      <c r="AQ13">
        <f>AND(IF(Metadata!P13="",FALSE,TRUE),exact(Metadata!P13,"kg"))</f>
        <v>0</v>
      </c>
      <c r="AR13">
        <f>OR(AND(IF(Metadata!Q13="",FALSE,TRUE),OR(exact(Metadata!Q13,"not applicable"),exact(Metadata!Q13,"not collected"),exact(Metadata!Q13,"not provided"),exact(Metadata!Q13,"restricted access"))),IF(Metadata!Q13="",FALSE,IF(ISERROR(INT(Metadata!Q13)),FALSE,INT(Metadata!Q13)=Metadata!Q13)))</f>
        <v>0</v>
      </c>
      <c r="AS13">
        <f>AND(IF(Metadata!R13="",FALSE,TRUE),exact(Metadata!R13,"Not applicable"))</f>
        <v>0</v>
      </c>
    </row>
    <row r="14" spans="1:45">
      <c r="A14" s="4">
        <f>IF(B14=" "," ",HYPERLINK(CONCATENATE("#metadata!",ADDRESS(INDEX($X$2:$X$1001,MATCH(ROWS($V$2:V14),$V$2:$V$1001,0),0),2)),INDEX($AA$2:$AA$1001,MATCH(ROWS($V$2:V14),$V$2:$V$1001,0),0)))</f>
        <v>0</v>
      </c>
      <c r="B14" s="5">
        <f>IF(OR(INDEX($W$2:$W$1001,MATCH(ROWS($V$2:V14),$V$2:$V$1001,0),1)&gt;=100000,INDEX($AC$1005:$AS$1005,1,MATCH(COLUMNS($AC$1006:AC1006),$AC$1006:$AS$1006,0))&gt;=100000), " ",IF(INDEX($AC$2:$AS$1001,MATCH(ROWS($V$2:V14),$V$2:$V$1001,0),MATCH(COLUMNS($AC$1006:AC1006),$AC$1006:$AS$1006,0)), HYPERLINK("#",""), HYPERLINK(CONCATENATE("#Metadata!", ADDRESS(INDEX($X$2:$X$1001,MATCH(ROWS($V$2:V14),$V$2:$V$1001,0),0), INDEX($AC$1004:$AS$1004,1,MATCH(COLUMNS($AC$1006:AC1006),$AC$1006:$AS$1006,0)))),"Fix")))</f>
        <v>0</v>
      </c>
      <c r="C14" s="5">
        <f>IF(OR(INDEX($W$2:$W$1001,MATCH(ROWS($V$2:V14),$V$2:$V$1001,0),1)&gt;=100000,INDEX($AC$1005:$AS$1005,1,MATCH(COLUMNS($AC$1006:AD1006),$AC$1006:$AS$1006,0))&gt;=100000), " ",IF(INDEX($AC$2:$AS$1001,MATCH(ROWS($V$2:V14),$V$2:$V$1001,0),MATCH(COLUMNS($AC$1006:AD1006),$AC$1006:$AS$1006,0)), HYPERLINK("#",""), HYPERLINK(CONCATENATE("#Metadata!", ADDRESS(INDEX($X$2:$X$1001,MATCH(ROWS($V$2:V14),$V$2:$V$1001,0),0), INDEX($AC$1004:$AS$1004,1,MATCH(COLUMNS($AC$1006:AD1006),$AC$1006:$AS$1006,0)))),"Fix")))</f>
        <v>0</v>
      </c>
      <c r="D14" s="5">
        <f>IF(OR(INDEX($W$2:$W$1001,MATCH(ROWS($V$2:V14),$V$2:$V$1001,0),1)&gt;=100000,INDEX($AC$1005:$AS$1005,1,MATCH(COLUMNS($AC$1006:AE1006),$AC$1006:$AS$1006,0))&gt;=100000), " ",IF(INDEX($AC$2:$AS$1001,MATCH(ROWS($V$2:V14),$V$2:$V$1001,0),MATCH(COLUMNS($AC$1006:AE1006),$AC$1006:$AS$1006,0)), HYPERLINK("#",""), HYPERLINK(CONCATENATE("#Metadata!", ADDRESS(INDEX($X$2:$X$1001,MATCH(ROWS($V$2:V14),$V$2:$V$1001,0),0), INDEX($AC$1004:$AS$1004,1,MATCH(COLUMNS($AC$1006:AE1006),$AC$1006:$AS$1006,0)))),"Fix")))</f>
        <v>0</v>
      </c>
      <c r="E14" s="5">
        <f>IF(OR(INDEX($W$2:$W$1001,MATCH(ROWS($V$2:V14),$V$2:$V$1001,0),1)&gt;=100000,INDEX($AC$1005:$AS$1005,1,MATCH(COLUMNS($AC$1006:AF1006),$AC$1006:$AS$1006,0))&gt;=100000), " ",IF(INDEX($AC$2:$AS$1001,MATCH(ROWS($V$2:V14),$V$2:$V$1001,0),MATCH(COLUMNS($AC$1006:AF1006),$AC$1006:$AS$1006,0)), HYPERLINK("#",""), HYPERLINK(CONCATENATE("#Metadata!", ADDRESS(INDEX($X$2:$X$1001,MATCH(ROWS($V$2:V14),$V$2:$V$1001,0),0), INDEX($AC$1004:$AS$1004,1,MATCH(COLUMNS($AC$1006:AF1006),$AC$1006:$AS$1006,0)))),"Fix")))</f>
        <v>0</v>
      </c>
      <c r="F14" s="5">
        <f>IF(OR(INDEX($W$2:$W$1001,MATCH(ROWS($V$2:V14),$V$2:$V$1001,0),1)&gt;=100000,INDEX($AC$1005:$AS$1005,1,MATCH(COLUMNS($AC$1006:AG1006),$AC$1006:$AS$1006,0))&gt;=100000), " ",IF(INDEX($AC$2:$AS$1001,MATCH(ROWS($V$2:V14),$V$2:$V$1001,0),MATCH(COLUMNS($AC$1006:AG1006),$AC$1006:$AS$1006,0)), HYPERLINK("#",""), HYPERLINK(CONCATENATE("#Metadata!", ADDRESS(INDEX($X$2:$X$1001,MATCH(ROWS($V$2:V14),$V$2:$V$1001,0),0), INDEX($AC$1004:$AS$1004,1,MATCH(COLUMNS($AC$1006:AG1006),$AC$1006:$AS$1006,0)))),"Fix")))</f>
        <v>0</v>
      </c>
      <c r="G14" s="5">
        <f>IF(OR(INDEX($W$2:$W$1001,MATCH(ROWS($V$2:V14),$V$2:$V$1001,0),1)&gt;=100000,INDEX($AC$1005:$AS$1005,1,MATCH(COLUMNS($AC$1006:AH1006),$AC$1006:$AS$1006,0))&gt;=100000), " ",IF(INDEX($AC$2:$AS$1001,MATCH(ROWS($V$2:V14),$V$2:$V$1001,0),MATCH(COLUMNS($AC$1006:AH1006),$AC$1006:$AS$1006,0)), HYPERLINK("#",""), HYPERLINK(CONCATENATE("#Metadata!", ADDRESS(INDEX($X$2:$X$1001,MATCH(ROWS($V$2:V14),$V$2:$V$1001,0),0), INDEX($AC$1004:$AS$1004,1,MATCH(COLUMNS($AC$1006:AH1006),$AC$1006:$AS$1006,0)))),"Fix")))</f>
        <v>0</v>
      </c>
      <c r="H14" s="5">
        <f>IF(OR(INDEX($W$2:$W$1001,MATCH(ROWS($V$2:V14),$V$2:$V$1001,0),1)&gt;=100000,INDEX($AC$1005:$AS$1005,1,MATCH(COLUMNS($AC$1006:AI1006),$AC$1006:$AS$1006,0))&gt;=100000), " ",IF(INDEX($AC$2:$AS$1001,MATCH(ROWS($V$2:V14),$V$2:$V$1001,0),MATCH(COLUMNS($AC$1006:AI1006),$AC$1006:$AS$1006,0)), HYPERLINK("#",""), HYPERLINK(CONCATENATE("#Metadata!", ADDRESS(INDEX($X$2:$X$1001,MATCH(ROWS($V$2:V14),$V$2:$V$1001,0),0), INDEX($AC$1004:$AS$1004,1,MATCH(COLUMNS($AC$1006:AI1006),$AC$1006:$AS$1006,0)))),"Fix")))</f>
        <v>0</v>
      </c>
      <c r="I14" s="5">
        <f>IF(OR(INDEX($W$2:$W$1001,MATCH(ROWS($V$2:V14),$V$2:$V$1001,0),1)&gt;=100000,INDEX($AC$1005:$AS$1005,1,MATCH(COLUMNS($AC$1006:AJ1006),$AC$1006:$AS$1006,0))&gt;=100000), " ",IF(INDEX($AC$2:$AS$1001,MATCH(ROWS($V$2:V14),$V$2:$V$1001,0),MATCH(COLUMNS($AC$1006:AJ1006),$AC$1006:$AS$1006,0)), HYPERLINK("#",""), HYPERLINK(CONCATENATE("#Metadata!", ADDRESS(INDEX($X$2:$X$1001,MATCH(ROWS($V$2:V14),$V$2:$V$1001,0),0), INDEX($AC$1004:$AS$1004,1,MATCH(COLUMNS($AC$1006:AJ1006),$AC$1006:$AS$1006,0)))),"Fix")))</f>
        <v>0</v>
      </c>
      <c r="J14" s="5">
        <f>IF(OR(INDEX($W$2:$W$1001,MATCH(ROWS($V$2:V14),$V$2:$V$1001,0),1)&gt;=100000,INDEX($AC$1005:$AS$1005,1,MATCH(COLUMNS($AC$1006:AK1006),$AC$1006:$AS$1006,0))&gt;=100000), " ",IF(INDEX($AC$2:$AS$1001,MATCH(ROWS($V$2:V14),$V$2:$V$1001,0),MATCH(COLUMNS($AC$1006:AK1006),$AC$1006:$AS$1006,0)), HYPERLINK("#",""), HYPERLINK(CONCATENATE("#Metadata!", ADDRESS(INDEX($X$2:$X$1001,MATCH(ROWS($V$2:V14),$V$2:$V$1001,0),0), INDEX($AC$1004:$AS$1004,1,MATCH(COLUMNS($AC$1006:AK1006),$AC$1006:$AS$1006,0)))),"Fix")))</f>
        <v>0</v>
      </c>
      <c r="K14" s="5">
        <f>IF(OR(INDEX($W$2:$W$1001,MATCH(ROWS($V$2:V14),$V$2:$V$1001,0),1)&gt;=100000,INDEX($AC$1005:$AS$1005,1,MATCH(COLUMNS($AC$1006:AL1006),$AC$1006:$AS$1006,0))&gt;=100000), " ",IF(INDEX($AC$2:$AS$1001,MATCH(ROWS($V$2:V14),$V$2:$V$1001,0),MATCH(COLUMNS($AC$1006:AL1006),$AC$1006:$AS$1006,0)), HYPERLINK("#",""), HYPERLINK(CONCATENATE("#Metadata!", ADDRESS(INDEX($X$2:$X$1001,MATCH(ROWS($V$2:V14),$V$2:$V$1001,0),0), INDEX($AC$1004:$AS$1004,1,MATCH(COLUMNS($AC$1006:AL1006),$AC$1006:$AS$1006,0)))),"Fix")))</f>
        <v>0</v>
      </c>
      <c r="L14" s="5">
        <f>IF(OR(INDEX($W$2:$W$1001,MATCH(ROWS($V$2:V14),$V$2:$V$1001,0),1)&gt;=100000,INDEX($AC$1005:$AS$1005,1,MATCH(COLUMNS($AC$1006:AM1006),$AC$1006:$AS$1006,0))&gt;=100000), " ",IF(INDEX($AC$2:$AS$1001,MATCH(ROWS($V$2:V14),$V$2:$V$1001,0),MATCH(COLUMNS($AC$1006:AM1006),$AC$1006:$AS$1006,0)), HYPERLINK("#",""), HYPERLINK(CONCATENATE("#Metadata!", ADDRESS(INDEX($X$2:$X$1001,MATCH(ROWS($V$2:V14),$V$2:$V$1001,0),0), INDEX($AC$1004:$AS$1004,1,MATCH(COLUMNS($AC$1006:AM1006),$AC$1006:$AS$1006,0)))),"Fix")))</f>
        <v>0</v>
      </c>
      <c r="M14" s="5">
        <f>IF(OR(INDEX($W$2:$W$1001,MATCH(ROWS($V$2:V14),$V$2:$V$1001,0),1)&gt;=100000,INDEX($AC$1005:$AS$1005,1,MATCH(COLUMNS($AC$1006:AN1006),$AC$1006:$AS$1006,0))&gt;=100000), " ",IF(INDEX($AC$2:$AS$1001,MATCH(ROWS($V$2:V14),$V$2:$V$1001,0),MATCH(COLUMNS($AC$1006:AN1006),$AC$1006:$AS$1006,0)), HYPERLINK("#",""), HYPERLINK(CONCATENATE("#Metadata!", ADDRESS(INDEX($X$2:$X$1001,MATCH(ROWS($V$2:V14),$V$2:$V$1001,0),0), INDEX($AC$1004:$AS$1004,1,MATCH(COLUMNS($AC$1006:AN1006),$AC$1006:$AS$1006,0)))),"Fix")))</f>
        <v>0</v>
      </c>
      <c r="N14" s="5">
        <f>IF(OR(INDEX($W$2:$W$1001,MATCH(ROWS($V$2:V14),$V$2:$V$1001,0),1)&gt;=100000,INDEX($AC$1005:$AS$1005,1,MATCH(COLUMNS($AC$1006:AO1006),$AC$1006:$AS$1006,0))&gt;=100000), " ",IF(INDEX($AC$2:$AS$1001,MATCH(ROWS($V$2:V14),$V$2:$V$1001,0),MATCH(COLUMNS($AC$1006:AO1006),$AC$1006:$AS$1006,0)), HYPERLINK("#",""), HYPERLINK(CONCATENATE("#Metadata!", ADDRESS(INDEX($X$2:$X$1001,MATCH(ROWS($V$2:V14),$V$2:$V$1001,0),0), INDEX($AC$1004:$AS$1004,1,MATCH(COLUMNS($AC$1006:AO1006),$AC$1006:$AS$1006,0)))),"Fix")))</f>
        <v>0</v>
      </c>
      <c r="O14" s="5">
        <f>IF(OR(INDEX($W$2:$W$1001,MATCH(ROWS($V$2:V14),$V$2:$V$1001,0),1)&gt;=100000,INDEX($AC$1005:$AS$1005,1,MATCH(COLUMNS($AC$1006:AP1006),$AC$1006:$AS$1006,0))&gt;=100000), " ",IF(INDEX($AC$2:$AS$1001,MATCH(ROWS($V$2:V14),$V$2:$V$1001,0),MATCH(COLUMNS($AC$1006:AP1006),$AC$1006:$AS$1006,0)), HYPERLINK("#",""), HYPERLINK(CONCATENATE("#Metadata!", ADDRESS(INDEX($X$2:$X$1001,MATCH(ROWS($V$2:V14),$V$2:$V$1001,0),0), INDEX($AC$1004:$AS$1004,1,MATCH(COLUMNS($AC$1006:AP1006),$AC$1006:$AS$1006,0)))),"Fix")))</f>
        <v>0</v>
      </c>
      <c r="P14" s="5">
        <f>IF(OR(INDEX($W$2:$W$1001,MATCH(ROWS($V$2:V14),$V$2:$V$1001,0),1)&gt;=100000,INDEX($AC$1005:$AS$1005,1,MATCH(COLUMNS($AC$1006:AQ1006),$AC$1006:$AS$1006,0))&gt;=100000), " ",IF(INDEX($AC$2:$AS$1001,MATCH(ROWS($V$2:V14),$V$2:$V$1001,0),MATCH(COLUMNS($AC$1006:AQ1006),$AC$1006:$AS$1006,0)), HYPERLINK("#",""), HYPERLINK(CONCATENATE("#Metadata!", ADDRESS(INDEX($X$2:$X$1001,MATCH(ROWS($V$2:V14),$V$2:$V$1001,0),0), INDEX($AC$1004:$AS$1004,1,MATCH(COLUMNS($AC$1006:AQ1006),$AC$1006:$AS$1006,0)))),"Fix")))</f>
        <v>0</v>
      </c>
      <c r="Q14" s="5">
        <f>IF(OR(INDEX($W$2:$W$1001,MATCH(ROWS($V$2:V14),$V$2:$V$1001,0),1)&gt;=100000,INDEX($AC$1005:$AS$1005,1,MATCH(COLUMNS($AC$1006:AR1006),$AC$1006:$AS$1006,0))&gt;=100000), " ",IF(INDEX($AC$2:$AS$1001,MATCH(ROWS($V$2:V14),$V$2:$V$1001,0),MATCH(COLUMNS($AC$1006:AR1006),$AC$1006:$AS$1006,0)), HYPERLINK("#",""), HYPERLINK(CONCATENATE("#Metadata!", ADDRESS(INDEX($X$2:$X$1001,MATCH(ROWS($V$2:V14),$V$2:$V$1001,0),0), INDEX($AC$1004:$AS$1004,1,MATCH(COLUMNS($AC$1006:AR1006),$AC$1006:$AS$1006,0)))),"Fix")))</f>
        <v>0</v>
      </c>
      <c r="R14" s="5">
        <f>IF(OR(INDEX($W$2:$W$1001,MATCH(ROWS($V$2:V14),$V$2:$V$1001,0),1)&gt;=100000,INDEX($AC$1005:$AS$1005,1,MATCH(COLUMNS($AC$1006:AS1006),$AC$1006:$AS$1006,0))&gt;=100000), " ",IF(INDEX($AC$2:$AS$1001,MATCH(ROWS($V$2:V14),$V$2:$V$1001,0),MATCH(COLUMNS($AC$1006:AS1006),$AC$1006:$AS$1006,0)), HYPERLINK("#",""), HYPERLINK(CONCATENATE("#Metadata!", ADDRESS(INDEX($X$2:$X$1001,MATCH(ROWS($V$2:V14),$V$2:$V$1001,0),0), INDEX($AC$1004:$AS$1004,1,MATCH(COLUMNS($AC$1006:AS1006),$AC$1006:$AS$1006,0)))),"Fix")))</f>
        <v>0</v>
      </c>
      <c r="V14">
        <v>0</v>
      </c>
      <c r="W14">
        <v>0</v>
      </c>
      <c r="X14">
        <v>0</v>
      </c>
      <c r="Y14">
        <f>IF(Z14,TRUE,AND(AC14:AS14))</f>
        <v>0</v>
      </c>
      <c r="Z14">
        <f>COUNTBLANK(Metadata!B14:R14)=COLUMNS(Metadata!B14:R14)</f>
        <v>0</v>
      </c>
      <c r="AA14">
        <v>0</v>
      </c>
      <c r="AC14">
        <f>AND(IF(Metadata!B14="",FALSE,TRUE),COUNTIF(Metadata!B:B, Metadata!B14) = 1,NOT(ISERROR(SUMPRODUCT(SEARCH(MID(Metadata!B14,ROW(INDIRECT("1:"&amp;LEN(Metadata!B14))), 1),"0123456789abcdefghijklmnopqrstuvwxyzABCDEFGHIJKLMNOPQRSTUVWXYZ.")))))</f>
        <v>0</v>
      </c>
      <c r="AD14">
        <f>AND(IF(Metadata!C14="",FALSE,TRUE),exact(Metadata!C14,"Host-associated"))</f>
        <v>0</v>
      </c>
      <c r="AE14">
        <f>AND(IF(Metadata!D14="",FALSE,TRUE),OR(exact(Metadata!D14,"Animal"),exact(Metadata!D14,"Fungus"),exact(Metadata!D14,"Plant")))</f>
        <v>0</v>
      </c>
      <c r="AF14">
        <f>AND(IF(Metadata!E14="",FALSE,TRUE),OR(exact(Metadata!E14,"Plant secretion"),exact(Metadata!E14,"Plant rhizosphere"),exact(Metadata!E14,"Plant surface"),exact(Metadata!E14,"Plant corpus"),exact(Metadata!E14,"Fungus surface"),exact(Metadata!E14,"Fungus corpus"),exact(Metadata!E14,"Animal surface"),exact(Metadata!E14,"Animal proximal gut"),exact(Metadata!E14,"Animal corpus"),exact(Metadata!E14,"Animal distal gut"),exact(Metadata!E14,"Animal secretion")))</f>
        <v>0</v>
      </c>
      <c r="AG14">
        <f>OR(AND(IF(Metadata!F14="",FALSE,TRUE),OR(exact(Metadata!F14,"not collected"),exact(Metadata!F14,"not provided"),exact(Metadata!F14,"restricted access"))),AND(IF(Metadata!F14="",FALSE,TRUE),OR(exact(Metadata!F14,"organism-associated habitat"),exact(Metadata!F14,"plant-associated habitat"),exact(Metadata!F14,"animal-associated habitat"),exact(Metadata!F14,"insecta-associated habitat"),exact(Metadata!F14,"mammalia-associated habitat"),exact(Metadata!F14,"human-associated habitat"),exact(Metadata!F14,"livestock-associated habitat"))))</f>
        <v>0</v>
      </c>
      <c r="AH14">
        <f>AND(IF(Metadata!G14="",FALSE,TRUE),exact(Metadata!G14,"host-associated"))</f>
        <v>0</v>
      </c>
      <c r="AI14">
        <f>OR(AND(IF(Metadata!H14="",FALSE,TRUE),OR(exact(Metadata!H14,"not collected"),exact(Metadata!H14,"not provided"))),AND(IF(Metadata!H14="",FALSE,ISNUMBER(VALUE(Metadata!H14))),Metadata!H14&gt;0))</f>
        <v>0</v>
      </c>
      <c r="AJ14">
        <f>AND(IF(Metadata!I14="",FALSE,TRUE),exact(Metadata!I14,"years"))</f>
        <v>0</v>
      </c>
      <c r="AK14">
        <f>IF(Metadata!J14="",FALSE,TRUE)</f>
        <v>0</v>
      </c>
      <c r="AL14">
        <f>OR(AND(IF(Metadata!K14="",FALSE,TRUE),OR(exact(Metadata!K14,"not collected"),exact(Metadata!K14,"not provided"))),AND(IF(Metadata!K14="",FALSE,ISNUMBER(VALUE(Metadata!K14))),Metadata!K14&gt;0))</f>
        <v>0</v>
      </c>
      <c r="AM14">
        <f>AND(IF(Metadata!L14="",FALSE,TRUE),exact(Metadata!L14,"cm"))</f>
        <v>0</v>
      </c>
      <c r="AN14">
        <f>IF(Metadata!M14="",FALSE,TRUE)</f>
        <v>0</v>
      </c>
      <c r="AO14">
        <f>OR(AND(IF(Metadata!N14="",FALSE,TRUE),OR(exact(Metadata!N14,"not applicable"),exact(Metadata!N14,"not collected"),exact(Metadata!N14,"not provided"))),AND(IF(Metadata!N14="",FALSE,IF(ISERROR(INT(Metadata!N14)),FALSE,INT(Metadata!N14)=Metadata!N14)),Metadata!N14&gt;0))</f>
        <v>0</v>
      </c>
      <c r="AP14">
        <f>OR(AND(IF(Metadata!O14="",FALSE,TRUE),OR(exact(Metadata!O14,"not collected"),exact(Metadata!O14,"not provided"))),AND(IF(Metadata!O14="",FALSE,ISNUMBER(VALUE(Metadata!O14))),Metadata!O14&gt;0))</f>
        <v>0</v>
      </c>
      <c r="AQ14">
        <f>AND(IF(Metadata!P14="",FALSE,TRUE),exact(Metadata!P14,"kg"))</f>
        <v>0</v>
      </c>
      <c r="AR14">
        <f>OR(AND(IF(Metadata!Q14="",FALSE,TRUE),OR(exact(Metadata!Q14,"not applicable"),exact(Metadata!Q14,"not collected"),exact(Metadata!Q14,"not provided"),exact(Metadata!Q14,"restricted access"))),IF(Metadata!Q14="",FALSE,IF(ISERROR(INT(Metadata!Q14)),FALSE,INT(Metadata!Q14)=Metadata!Q14)))</f>
        <v>0</v>
      </c>
      <c r="AS14">
        <f>AND(IF(Metadata!R14="",FALSE,TRUE),exact(Metadata!R14,"Not applicable"))</f>
        <v>0</v>
      </c>
    </row>
    <row r="15" spans="1:45">
      <c r="A15" s="4">
        <f>IF(B15=" "," ",HYPERLINK(CONCATENATE("#metadata!",ADDRESS(INDEX($X$2:$X$1001,MATCH(ROWS($V$2:V15),$V$2:$V$1001,0),0),2)),INDEX($AA$2:$AA$1001,MATCH(ROWS($V$2:V15),$V$2:$V$1001,0),0)))</f>
        <v>0</v>
      </c>
      <c r="B15" s="5">
        <f>IF(OR(INDEX($W$2:$W$1001,MATCH(ROWS($V$2:V15),$V$2:$V$1001,0),1)&gt;=100000,INDEX($AC$1005:$AS$1005,1,MATCH(COLUMNS($AC$1006:AC1006),$AC$1006:$AS$1006,0))&gt;=100000), " ",IF(INDEX($AC$2:$AS$1001,MATCH(ROWS($V$2:V15),$V$2:$V$1001,0),MATCH(COLUMNS($AC$1006:AC1006),$AC$1006:$AS$1006,0)), HYPERLINK("#",""), HYPERLINK(CONCATENATE("#Metadata!", ADDRESS(INDEX($X$2:$X$1001,MATCH(ROWS($V$2:V15),$V$2:$V$1001,0),0), INDEX($AC$1004:$AS$1004,1,MATCH(COLUMNS($AC$1006:AC1006),$AC$1006:$AS$1006,0)))),"Fix")))</f>
        <v>0</v>
      </c>
      <c r="C15" s="5">
        <f>IF(OR(INDEX($W$2:$W$1001,MATCH(ROWS($V$2:V15),$V$2:$V$1001,0),1)&gt;=100000,INDEX($AC$1005:$AS$1005,1,MATCH(COLUMNS($AC$1006:AD1006),$AC$1006:$AS$1006,0))&gt;=100000), " ",IF(INDEX($AC$2:$AS$1001,MATCH(ROWS($V$2:V15),$V$2:$V$1001,0),MATCH(COLUMNS($AC$1006:AD1006),$AC$1006:$AS$1006,0)), HYPERLINK("#",""), HYPERLINK(CONCATENATE("#Metadata!", ADDRESS(INDEX($X$2:$X$1001,MATCH(ROWS($V$2:V15),$V$2:$V$1001,0),0), INDEX($AC$1004:$AS$1004,1,MATCH(COLUMNS($AC$1006:AD1006),$AC$1006:$AS$1006,0)))),"Fix")))</f>
        <v>0</v>
      </c>
      <c r="D15" s="5">
        <f>IF(OR(INDEX($W$2:$W$1001,MATCH(ROWS($V$2:V15),$V$2:$V$1001,0),1)&gt;=100000,INDEX($AC$1005:$AS$1005,1,MATCH(COLUMNS($AC$1006:AE1006),$AC$1006:$AS$1006,0))&gt;=100000), " ",IF(INDEX($AC$2:$AS$1001,MATCH(ROWS($V$2:V15),$V$2:$V$1001,0),MATCH(COLUMNS($AC$1006:AE1006),$AC$1006:$AS$1006,0)), HYPERLINK("#",""), HYPERLINK(CONCATENATE("#Metadata!", ADDRESS(INDEX($X$2:$X$1001,MATCH(ROWS($V$2:V15),$V$2:$V$1001,0),0), INDEX($AC$1004:$AS$1004,1,MATCH(COLUMNS($AC$1006:AE1006),$AC$1006:$AS$1006,0)))),"Fix")))</f>
        <v>0</v>
      </c>
      <c r="E15" s="5">
        <f>IF(OR(INDEX($W$2:$W$1001,MATCH(ROWS($V$2:V15),$V$2:$V$1001,0),1)&gt;=100000,INDEX($AC$1005:$AS$1005,1,MATCH(COLUMNS($AC$1006:AF1006),$AC$1006:$AS$1006,0))&gt;=100000), " ",IF(INDEX($AC$2:$AS$1001,MATCH(ROWS($V$2:V15),$V$2:$V$1001,0),MATCH(COLUMNS($AC$1006:AF1006),$AC$1006:$AS$1006,0)), HYPERLINK("#",""), HYPERLINK(CONCATENATE("#Metadata!", ADDRESS(INDEX($X$2:$X$1001,MATCH(ROWS($V$2:V15),$V$2:$V$1001,0),0), INDEX($AC$1004:$AS$1004,1,MATCH(COLUMNS($AC$1006:AF1006),$AC$1006:$AS$1006,0)))),"Fix")))</f>
        <v>0</v>
      </c>
      <c r="F15" s="5">
        <f>IF(OR(INDEX($W$2:$W$1001,MATCH(ROWS($V$2:V15),$V$2:$V$1001,0),1)&gt;=100000,INDEX($AC$1005:$AS$1005,1,MATCH(COLUMNS($AC$1006:AG1006),$AC$1006:$AS$1006,0))&gt;=100000), " ",IF(INDEX($AC$2:$AS$1001,MATCH(ROWS($V$2:V15),$V$2:$V$1001,0),MATCH(COLUMNS($AC$1006:AG1006),$AC$1006:$AS$1006,0)), HYPERLINK("#",""), HYPERLINK(CONCATENATE("#Metadata!", ADDRESS(INDEX($X$2:$X$1001,MATCH(ROWS($V$2:V15),$V$2:$V$1001,0),0), INDEX($AC$1004:$AS$1004,1,MATCH(COLUMNS($AC$1006:AG1006),$AC$1006:$AS$1006,0)))),"Fix")))</f>
        <v>0</v>
      </c>
      <c r="G15" s="5">
        <f>IF(OR(INDEX($W$2:$W$1001,MATCH(ROWS($V$2:V15),$V$2:$V$1001,0),1)&gt;=100000,INDEX($AC$1005:$AS$1005,1,MATCH(COLUMNS($AC$1006:AH1006),$AC$1006:$AS$1006,0))&gt;=100000), " ",IF(INDEX($AC$2:$AS$1001,MATCH(ROWS($V$2:V15),$V$2:$V$1001,0),MATCH(COLUMNS($AC$1006:AH1006),$AC$1006:$AS$1006,0)), HYPERLINK("#",""), HYPERLINK(CONCATENATE("#Metadata!", ADDRESS(INDEX($X$2:$X$1001,MATCH(ROWS($V$2:V15),$V$2:$V$1001,0),0), INDEX($AC$1004:$AS$1004,1,MATCH(COLUMNS($AC$1006:AH1006),$AC$1006:$AS$1006,0)))),"Fix")))</f>
        <v>0</v>
      </c>
      <c r="H15" s="5">
        <f>IF(OR(INDEX($W$2:$W$1001,MATCH(ROWS($V$2:V15),$V$2:$V$1001,0),1)&gt;=100000,INDEX($AC$1005:$AS$1005,1,MATCH(COLUMNS($AC$1006:AI1006),$AC$1006:$AS$1006,0))&gt;=100000), " ",IF(INDEX($AC$2:$AS$1001,MATCH(ROWS($V$2:V15),$V$2:$V$1001,0),MATCH(COLUMNS($AC$1006:AI1006),$AC$1006:$AS$1006,0)), HYPERLINK("#",""), HYPERLINK(CONCATENATE("#Metadata!", ADDRESS(INDEX($X$2:$X$1001,MATCH(ROWS($V$2:V15),$V$2:$V$1001,0),0), INDEX($AC$1004:$AS$1004,1,MATCH(COLUMNS($AC$1006:AI1006),$AC$1006:$AS$1006,0)))),"Fix")))</f>
        <v>0</v>
      </c>
      <c r="I15" s="5">
        <f>IF(OR(INDEX($W$2:$W$1001,MATCH(ROWS($V$2:V15),$V$2:$V$1001,0),1)&gt;=100000,INDEX($AC$1005:$AS$1005,1,MATCH(COLUMNS($AC$1006:AJ1006),$AC$1006:$AS$1006,0))&gt;=100000), " ",IF(INDEX($AC$2:$AS$1001,MATCH(ROWS($V$2:V15),$V$2:$V$1001,0),MATCH(COLUMNS($AC$1006:AJ1006),$AC$1006:$AS$1006,0)), HYPERLINK("#",""), HYPERLINK(CONCATENATE("#Metadata!", ADDRESS(INDEX($X$2:$X$1001,MATCH(ROWS($V$2:V15),$V$2:$V$1001,0),0), INDEX($AC$1004:$AS$1004,1,MATCH(COLUMNS($AC$1006:AJ1006),$AC$1006:$AS$1006,0)))),"Fix")))</f>
        <v>0</v>
      </c>
      <c r="J15" s="5">
        <f>IF(OR(INDEX($W$2:$W$1001,MATCH(ROWS($V$2:V15),$V$2:$V$1001,0),1)&gt;=100000,INDEX($AC$1005:$AS$1005,1,MATCH(COLUMNS($AC$1006:AK1006),$AC$1006:$AS$1006,0))&gt;=100000), " ",IF(INDEX($AC$2:$AS$1001,MATCH(ROWS($V$2:V15),$V$2:$V$1001,0),MATCH(COLUMNS($AC$1006:AK1006),$AC$1006:$AS$1006,0)), HYPERLINK("#",""), HYPERLINK(CONCATENATE("#Metadata!", ADDRESS(INDEX($X$2:$X$1001,MATCH(ROWS($V$2:V15),$V$2:$V$1001,0),0), INDEX($AC$1004:$AS$1004,1,MATCH(COLUMNS($AC$1006:AK1006),$AC$1006:$AS$1006,0)))),"Fix")))</f>
        <v>0</v>
      </c>
      <c r="K15" s="5">
        <f>IF(OR(INDEX($W$2:$W$1001,MATCH(ROWS($V$2:V15),$V$2:$V$1001,0),1)&gt;=100000,INDEX($AC$1005:$AS$1005,1,MATCH(COLUMNS($AC$1006:AL1006),$AC$1006:$AS$1006,0))&gt;=100000), " ",IF(INDEX($AC$2:$AS$1001,MATCH(ROWS($V$2:V15),$V$2:$V$1001,0),MATCH(COLUMNS($AC$1006:AL1006),$AC$1006:$AS$1006,0)), HYPERLINK("#",""), HYPERLINK(CONCATENATE("#Metadata!", ADDRESS(INDEX($X$2:$X$1001,MATCH(ROWS($V$2:V15),$V$2:$V$1001,0),0), INDEX($AC$1004:$AS$1004,1,MATCH(COLUMNS($AC$1006:AL1006),$AC$1006:$AS$1006,0)))),"Fix")))</f>
        <v>0</v>
      </c>
      <c r="L15" s="5">
        <f>IF(OR(INDEX($W$2:$W$1001,MATCH(ROWS($V$2:V15),$V$2:$V$1001,0),1)&gt;=100000,INDEX($AC$1005:$AS$1005,1,MATCH(COLUMNS($AC$1006:AM1006),$AC$1006:$AS$1006,0))&gt;=100000), " ",IF(INDEX($AC$2:$AS$1001,MATCH(ROWS($V$2:V15),$V$2:$V$1001,0),MATCH(COLUMNS($AC$1006:AM1006),$AC$1006:$AS$1006,0)), HYPERLINK("#",""), HYPERLINK(CONCATENATE("#Metadata!", ADDRESS(INDEX($X$2:$X$1001,MATCH(ROWS($V$2:V15),$V$2:$V$1001,0),0), INDEX($AC$1004:$AS$1004,1,MATCH(COLUMNS($AC$1006:AM1006),$AC$1006:$AS$1006,0)))),"Fix")))</f>
        <v>0</v>
      </c>
      <c r="M15" s="5">
        <f>IF(OR(INDEX($W$2:$W$1001,MATCH(ROWS($V$2:V15),$V$2:$V$1001,0),1)&gt;=100000,INDEX($AC$1005:$AS$1005,1,MATCH(COLUMNS($AC$1006:AN1006),$AC$1006:$AS$1006,0))&gt;=100000), " ",IF(INDEX($AC$2:$AS$1001,MATCH(ROWS($V$2:V15),$V$2:$V$1001,0),MATCH(COLUMNS($AC$1006:AN1006),$AC$1006:$AS$1006,0)), HYPERLINK("#",""), HYPERLINK(CONCATENATE("#Metadata!", ADDRESS(INDEX($X$2:$X$1001,MATCH(ROWS($V$2:V15),$V$2:$V$1001,0),0), INDEX($AC$1004:$AS$1004,1,MATCH(COLUMNS($AC$1006:AN1006),$AC$1006:$AS$1006,0)))),"Fix")))</f>
        <v>0</v>
      </c>
      <c r="N15" s="5">
        <f>IF(OR(INDEX($W$2:$W$1001,MATCH(ROWS($V$2:V15),$V$2:$V$1001,0),1)&gt;=100000,INDEX($AC$1005:$AS$1005,1,MATCH(COLUMNS($AC$1006:AO1006),$AC$1006:$AS$1006,0))&gt;=100000), " ",IF(INDEX($AC$2:$AS$1001,MATCH(ROWS($V$2:V15),$V$2:$V$1001,0),MATCH(COLUMNS($AC$1006:AO1006),$AC$1006:$AS$1006,0)), HYPERLINK("#",""), HYPERLINK(CONCATENATE("#Metadata!", ADDRESS(INDEX($X$2:$X$1001,MATCH(ROWS($V$2:V15),$V$2:$V$1001,0),0), INDEX($AC$1004:$AS$1004,1,MATCH(COLUMNS($AC$1006:AO1006),$AC$1006:$AS$1006,0)))),"Fix")))</f>
        <v>0</v>
      </c>
      <c r="O15" s="5">
        <f>IF(OR(INDEX($W$2:$W$1001,MATCH(ROWS($V$2:V15),$V$2:$V$1001,0),1)&gt;=100000,INDEX($AC$1005:$AS$1005,1,MATCH(COLUMNS($AC$1006:AP1006),$AC$1006:$AS$1006,0))&gt;=100000), " ",IF(INDEX($AC$2:$AS$1001,MATCH(ROWS($V$2:V15),$V$2:$V$1001,0),MATCH(COLUMNS($AC$1006:AP1006),$AC$1006:$AS$1006,0)), HYPERLINK("#",""), HYPERLINK(CONCATENATE("#Metadata!", ADDRESS(INDEX($X$2:$X$1001,MATCH(ROWS($V$2:V15),$V$2:$V$1001,0),0), INDEX($AC$1004:$AS$1004,1,MATCH(COLUMNS($AC$1006:AP1006),$AC$1006:$AS$1006,0)))),"Fix")))</f>
        <v>0</v>
      </c>
      <c r="P15" s="5">
        <f>IF(OR(INDEX($W$2:$W$1001,MATCH(ROWS($V$2:V15),$V$2:$V$1001,0),1)&gt;=100000,INDEX($AC$1005:$AS$1005,1,MATCH(COLUMNS($AC$1006:AQ1006),$AC$1006:$AS$1006,0))&gt;=100000), " ",IF(INDEX($AC$2:$AS$1001,MATCH(ROWS($V$2:V15),$V$2:$V$1001,0),MATCH(COLUMNS($AC$1006:AQ1006),$AC$1006:$AS$1006,0)), HYPERLINK("#",""), HYPERLINK(CONCATENATE("#Metadata!", ADDRESS(INDEX($X$2:$X$1001,MATCH(ROWS($V$2:V15),$V$2:$V$1001,0),0), INDEX($AC$1004:$AS$1004,1,MATCH(COLUMNS($AC$1006:AQ1006),$AC$1006:$AS$1006,0)))),"Fix")))</f>
        <v>0</v>
      </c>
      <c r="Q15" s="5">
        <f>IF(OR(INDEX($W$2:$W$1001,MATCH(ROWS($V$2:V15),$V$2:$V$1001,0),1)&gt;=100000,INDEX($AC$1005:$AS$1005,1,MATCH(COLUMNS($AC$1006:AR1006),$AC$1006:$AS$1006,0))&gt;=100000), " ",IF(INDEX($AC$2:$AS$1001,MATCH(ROWS($V$2:V15),$V$2:$V$1001,0),MATCH(COLUMNS($AC$1006:AR1006),$AC$1006:$AS$1006,0)), HYPERLINK("#",""), HYPERLINK(CONCATENATE("#Metadata!", ADDRESS(INDEX($X$2:$X$1001,MATCH(ROWS($V$2:V15),$V$2:$V$1001,0),0), INDEX($AC$1004:$AS$1004,1,MATCH(COLUMNS($AC$1006:AR1006),$AC$1006:$AS$1006,0)))),"Fix")))</f>
        <v>0</v>
      </c>
      <c r="R15" s="5">
        <f>IF(OR(INDEX($W$2:$W$1001,MATCH(ROWS($V$2:V15),$V$2:$V$1001,0),1)&gt;=100000,INDEX($AC$1005:$AS$1005,1,MATCH(COLUMNS($AC$1006:AS1006),$AC$1006:$AS$1006,0))&gt;=100000), " ",IF(INDEX($AC$2:$AS$1001,MATCH(ROWS($V$2:V15),$V$2:$V$1001,0),MATCH(COLUMNS($AC$1006:AS1006),$AC$1006:$AS$1006,0)), HYPERLINK("#",""), HYPERLINK(CONCATENATE("#Metadata!", ADDRESS(INDEX($X$2:$X$1001,MATCH(ROWS($V$2:V15),$V$2:$V$1001,0),0), INDEX($AC$1004:$AS$1004,1,MATCH(COLUMNS($AC$1006:AS1006),$AC$1006:$AS$1006,0)))),"Fix")))</f>
        <v>0</v>
      </c>
      <c r="V15">
        <v>0</v>
      </c>
      <c r="W15">
        <v>0</v>
      </c>
      <c r="X15">
        <v>0</v>
      </c>
      <c r="Y15">
        <f>IF(Z15,TRUE,AND(AC15:AS15))</f>
        <v>0</v>
      </c>
      <c r="Z15">
        <f>COUNTBLANK(Metadata!B15:R15)=COLUMNS(Metadata!B15:R15)</f>
        <v>0</v>
      </c>
      <c r="AA15">
        <v>0</v>
      </c>
      <c r="AC15">
        <f>AND(IF(Metadata!B15="",FALSE,TRUE),COUNTIF(Metadata!B:B, Metadata!B15) = 1,NOT(ISERROR(SUMPRODUCT(SEARCH(MID(Metadata!B15,ROW(INDIRECT("1:"&amp;LEN(Metadata!B15))), 1),"0123456789abcdefghijklmnopqrstuvwxyzABCDEFGHIJKLMNOPQRSTUVWXYZ.")))))</f>
        <v>0</v>
      </c>
      <c r="AD15">
        <f>AND(IF(Metadata!C15="",FALSE,TRUE),exact(Metadata!C15,"Host-associated"))</f>
        <v>0</v>
      </c>
      <c r="AE15">
        <f>AND(IF(Metadata!D15="",FALSE,TRUE),OR(exact(Metadata!D15,"Animal"),exact(Metadata!D15,"Fungus"),exact(Metadata!D15,"Plant")))</f>
        <v>0</v>
      </c>
      <c r="AF15">
        <f>AND(IF(Metadata!E15="",FALSE,TRUE),OR(exact(Metadata!E15,"Plant secretion"),exact(Metadata!E15,"Plant rhizosphere"),exact(Metadata!E15,"Plant surface"),exact(Metadata!E15,"Plant corpus"),exact(Metadata!E15,"Fungus surface"),exact(Metadata!E15,"Fungus corpus"),exact(Metadata!E15,"Animal surface"),exact(Metadata!E15,"Animal proximal gut"),exact(Metadata!E15,"Animal corpus"),exact(Metadata!E15,"Animal distal gut"),exact(Metadata!E15,"Animal secretion")))</f>
        <v>0</v>
      </c>
      <c r="AG15">
        <f>OR(AND(IF(Metadata!F15="",FALSE,TRUE),OR(exact(Metadata!F15,"not collected"),exact(Metadata!F15,"not provided"),exact(Metadata!F15,"restricted access"))),AND(IF(Metadata!F15="",FALSE,TRUE),OR(exact(Metadata!F15,"organism-associated habitat"),exact(Metadata!F15,"plant-associated habitat"),exact(Metadata!F15,"animal-associated habitat"),exact(Metadata!F15,"insecta-associated habitat"),exact(Metadata!F15,"mammalia-associated habitat"),exact(Metadata!F15,"human-associated habitat"),exact(Metadata!F15,"livestock-associated habitat"))))</f>
        <v>0</v>
      </c>
      <c r="AH15">
        <f>AND(IF(Metadata!G15="",FALSE,TRUE),exact(Metadata!G15,"host-associated"))</f>
        <v>0</v>
      </c>
      <c r="AI15">
        <f>OR(AND(IF(Metadata!H15="",FALSE,TRUE),OR(exact(Metadata!H15,"not collected"),exact(Metadata!H15,"not provided"))),AND(IF(Metadata!H15="",FALSE,ISNUMBER(VALUE(Metadata!H15))),Metadata!H15&gt;0))</f>
        <v>0</v>
      </c>
      <c r="AJ15">
        <f>AND(IF(Metadata!I15="",FALSE,TRUE),exact(Metadata!I15,"years"))</f>
        <v>0</v>
      </c>
      <c r="AK15">
        <f>IF(Metadata!J15="",FALSE,TRUE)</f>
        <v>0</v>
      </c>
      <c r="AL15">
        <f>OR(AND(IF(Metadata!K15="",FALSE,TRUE),OR(exact(Metadata!K15,"not collected"),exact(Metadata!K15,"not provided"))),AND(IF(Metadata!K15="",FALSE,ISNUMBER(VALUE(Metadata!K15))),Metadata!K15&gt;0))</f>
        <v>0</v>
      </c>
      <c r="AM15">
        <f>AND(IF(Metadata!L15="",FALSE,TRUE),exact(Metadata!L15,"cm"))</f>
        <v>0</v>
      </c>
      <c r="AN15">
        <f>IF(Metadata!M15="",FALSE,TRUE)</f>
        <v>0</v>
      </c>
      <c r="AO15">
        <f>OR(AND(IF(Metadata!N15="",FALSE,TRUE),OR(exact(Metadata!N15,"not applicable"),exact(Metadata!N15,"not collected"),exact(Metadata!N15,"not provided"))),AND(IF(Metadata!N15="",FALSE,IF(ISERROR(INT(Metadata!N15)),FALSE,INT(Metadata!N15)=Metadata!N15)),Metadata!N15&gt;0))</f>
        <v>0</v>
      </c>
      <c r="AP15">
        <f>OR(AND(IF(Metadata!O15="",FALSE,TRUE),OR(exact(Metadata!O15,"not collected"),exact(Metadata!O15,"not provided"))),AND(IF(Metadata!O15="",FALSE,ISNUMBER(VALUE(Metadata!O15))),Metadata!O15&gt;0))</f>
        <v>0</v>
      </c>
      <c r="AQ15">
        <f>AND(IF(Metadata!P15="",FALSE,TRUE),exact(Metadata!P15,"kg"))</f>
        <v>0</v>
      </c>
      <c r="AR15">
        <f>OR(AND(IF(Metadata!Q15="",FALSE,TRUE),OR(exact(Metadata!Q15,"not applicable"),exact(Metadata!Q15,"not collected"),exact(Metadata!Q15,"not provided"),exact(Metadata!Q15,"restricted access"))),IF(Metadata!Q15="",FALSE,IF(ISERROR(INT(Metadata!Q15)),FALSE,INT(Metadata!Q15)=Metadata!Q15)))</f>
        <v>0</v>
      </c>
      <c r="AS15">
        <f>AND(IF(Metadata!R15="",FALSE,TRUE),exact(Metadata!R15,"Not applicable"))</f>
        <v>0</v>
      </c>
    </row>
    <row r="16" spans="1:45">
      <c r="A16" s="4">
        <f>IF(B16=" "," ",HYPERLINK(CONCATENATE("#metadata!",ADDRESS(INDEX($X$2:$X$1001,MATCH(ROWS($V$2:V16),$V$2:$V$1001,0),0),2)),INDEX($AA$2:$AA$1001,MATCH(ROWS($V$2:V16),$V$2:$V$1001,0),0)))</f>
        <v>0</v>
      </c>
      <c r="B16" s="5">
        <f>IF(OR(INDEX($W$2:$W$1001,MATCH(ROWS($V$2:V16),$V$2:$V$1001,0),1)&gt;=100000,INDEX($AC$1005:$AS$1005,1,MATCH(COLUMNS($AC$1006:AC1006),$AC$1006:$AS$1006,0))&gt;=100000), " ",IF(INDEX($AC$2:$AS$1001,MATCH(ROWS($V$2:V16),$V$2:$V$1001,0),MATCH(COLUMNS($AC$1006:AC1006),$AC$1006:$AS$1006,0)), HYPERLINK("#",""), HYPERLINK(CONCATENATE("#Metadata!", ADDRESS(INDEX($X$2:$X$1001,MATCH(ROWS($V$2:V16),$V$2:$V$1001,0),0), INDEX($AC$1004:$AS$1004,1,MATCH(COLUMNS($AC$1006:AC1006),$AC$1006:$AS$1006,0)))),"Fix")))</f>
        <v>0</v>
      </c>
      <c r="C16" s="5">
        <f>IF(OR(INDEX($W$2:$W$1001,MATCH(ROWS($V$2:V16),$V$2:$V$1001,0),1)&gt;=100000,INDEX($AC$1005:$AS$1005,1,MATCH(COLUMNS($AC$1006:AD1006),$AC$1006:$AS$1006,0))&gt;=100000), " ",IF(INDEX($AC$2:$AS$1001,MATCH(ROWS($V$2:V16),$V$2:$V$1001,0),MATCH(COLUMNS($AC$1006:AD1006),$AC$1006:$AS$1006,0)), HYPERLINK("#",""), HYPERLINK(CONCATENATE("#Metadata!", ADDRESS(INDEX($X$2:$X$1001,MATCH(ROWS($V$2:V16),$V$2:$V$1001,0),0), INDEX($AC$1004:$AS$1004,1,MATCH(COLUMNS($AC$1006:AD1006),$AC$1006:$AS$1006,0)))),"Fix")))</f>
        <v>0</v>
      </c>
      <c r="D16" s="5">
        <f>IF(OR(INDEX($W$2:$W$1001,MATCH(ROWS($V$2:V16),$V$2:$V$1001,0),1)&gt;=100000,INDEX($AC$1005:$AS$1005,1,MATCH(COLUMNS($AC$1006:AE1006),$AC$1006:$AS$1006,0))&gt;=100000), " ",IF(INDEX($AC$2:$AS$1001,MATCH(ROWS($V$2:V16),$V$2:$V$1001,0),MATCH(COLUMNS($AC$1006:AE1006),$AC$1006:$AS$1006,0)), HYPERLINK("#",""), HYPERLINK(CONCATENATE("#Metadata!", ADDRESS(INDEX($X$2:$X$1001,MATCH(ROWS($V$2:V16),$V$2:$V$1001,0),0), INDEX($AC$1004:$AS$1004,1,MATCH(COLUMNS($AC$1006:AE1006),$AC$1006:$AS$1006,0)))),"Fix")))</f>
        <v>0</v>
      </c>
      <c r="E16" s="5">
        <f>IF(OR(INDEX($W$2:$W$1001,MATCH(ROWS($V$2:V16),$V$2:$V$1001,0),1)&gt;=100000,INDEX($AC$1005:$AS$1005,1,MATCH(COLUMNS($AC$1006:AF1006),$AC$1006:$AS$1006,0))&gt;=100000), " ",IF(INDEX($AC$2:$AS$1001,MATCH(ROWS($V$2:V16),$V$2:$V$1001,0),MATCH(COLUMNS($AC$1006:AF1006),$AC$1006:$AS$1006,0)), HYPERLINK("#",""), HYPERLINK(CONCATENATE("#Metadata!", ADDRESS(INDEX($X$2:$X$1001,MATCH(ROWS($V$2:V16),$V$2:$V$1001,0),0), INDEX($AC$1004:$AS$1004,1,MATCH(COLUMNS($AC$1006:AF1006),$AC$1006:$AS$1006,0)))),"Fix")))</f>
        <v>0</v>
      </c>
      <c r="F16" s="5">
        <f>IF(OR(INDEX($W$2:$W$1001,MATCH(ROWS($V$2:V16),$V$2:$V$1001,0),1)&gt;=100000,INDEX($AC$1005:$AS$1005,1,MATCH(COLUMNS($AC$1006:AG1006),$AC$1006:$AS$1006,0))&gt;=100000), " ",IF(INDEX($AC$2:$AS$1001,MATCH(ROWS($V$2:V16),$V$2:$V$1001,0),MATCH(COLUMNS($AC$1006:AG1006),$AC$1006:$AS$1006,0)), HYPERLINK("#",""), HYPERLINK(CONCATENATE("#Metadata!", ADDRESS(INDEX($X$2:$X$1001,MATCH(ROWS($V$2:V16),$V$2:$V$1001,0),0), INDEX($AC$1004:$AS$1004,1,MATCH(COLUMNS($AC$1006:AG1006),$AC$1006:$AS$1006,0)))),"Fix")))</f>
        <v>0</v>
      </c>
      <c r="G16" s="5">
        <f>IF(OR(INDEX($W$2:$W$1001,MATCH(ROWS($V$2:V16),$V$2:$V$1001,0),1)&gt;=100000,INDEX($AC$1005:$AS$1005,1,MATCH(COLUMNS($AC$1006:AH1006),$AC$1006:$AS$1006,0))&gt;=100000), " ",IF(INDEX($AC$2:$AS$1001,MATCH(ROWS($V$2:V16),$V$2:$V$1001,0),MATCH(COLUMNS($AC$1006:AH1006),$AC$1006:$AS$1006,0)), HYPERLINK("#",""), HYPERLINK(CONCATENATE("#Metadata!", ADDRESS(INDEX($X$2:$X$1001,MATCH(ROWS($V$2:V16),$V$2:$V$1001,0),0), INDEX($AC$1004:$AS$1004,1,MATCH(COLUMNS($AC$1006:AH1006),$AC$1006:$AS$1006,0)))),"Fix")))</f>
        <v>0</v>
      </c>
      <c r="H16" s="5">
        <f>IF(OR(INDEX($W$2:$W$1001,MATCH(ROWS($V$2:V16),$V$2:$V$1001,0),1)&gt;=100000,INDEX($AC$1005:$AS$1005,1,MATCH(COLUMNS($AC$1006:AI1006),$AC$1006:$AS$1006,0))&gt;=100000), " ",IF(INDEX($AC$2:$AS$1001,MATCH(ROWS($V$2:V16),$V$2:$V$1001,0),MATCH(COLUMNS($AC$1006:AI1006),$AC$1006:$AS$1006,0)), HYPERLINK("#",""), HYPERLINK(CONCATENATE("#Metadata!", ADDRESS(INDEX($X$2:$X$1001,MATCH(ROWS($V$2:V16),$V$2:$V$1001,0),0), INDEX($AC$1004:$AS$1004,1,MATCH(COLUMNS($AC$1006:AI1006),$AC$1006:$AS$1006,0)))),"Fix")))</f>
        <v>0</v>
      </c>
      <c r="I16" s="5">
        <f>IF(OR(INDEX($W$2:$W$1001,MATCH(ROWS($V$2:V16),$V$2:$V$1001,0),1)&gt;=100000,INDEX($AC$1005:$AS$1005,1,MATCH(COLUMNS($AC$1006:AJ1006),$AC$1006:$AS$1006,0))&gt;=100000), " ",IF(INDEX($AC$2:$AS$1001,MATCH(ROWS($V$2:V16),$V$2:$V$1001,0),MATCH(COLUMNS($AC$1006:AJ1006),$AC$1006:$AS$1006,0)), HYPERLINK("#",""), HYPERLINK(CONCATENATE("#Metadata!", ADDRESS(INDEX($X$2:$X$1001,MATCH(ROWS($V$2:V16),$V$2:$V$1001,0),0), INDEX($AC$1004:$AS$1004,1,MATCH(COLUMNS($AC$1006:AJ1006),$AC$1006:$AS$1006,0)))),"Fix")))</f>
        <v>0</v>
      </c>
      <c r="J16" s="5">
        <f>IF(OR(INDEX($W$2:$W$1001,MATCH(ROWS($V$2:V16),$V$2:$V$1001,0),1)&gt;=100000,INDEX($AC$1005:$AS$1005,1,MATCH(COLUMNS($AC$1006:AK1006),$AC$1006:$AS$1006,0))&gt;=100000), " ",IF(INDEX($AC$2:$AS$1001,MATCH(ROWS($V$2:V16),$V$2:$V$1001,0),MATCH(COLUMNS($AC$1006:AK1006),$AC$1006:$AS$1006,0)), HYPERLINK("#",""), HYPERLINK(CONCATENATE("#Metadata!", ADDRESS(INDEX($X$2:$X$1001,MATCH(ROWS($V$2:V16),$V$2:$V$1001,0),0), INDEX($AC$1004:$AS$1004,1,MATCH(COLUMNS($AC$1006:AK1006),$AC$1006:$AS$1006,0)))),"Fix")))</f>
        <v>0</v>
      </c>
      <c r="K16" s="5">
        <f>IF(OR(INDEX($W$2:$W$1001,MATCH(ROWS($V$2:V16),$V$2:$V$1001,0),1)&gt;=100000,INDEX($AC$1005:$AS$1005,1,MATCH(COLUMNS($AC$1006:AL1006),$AC$1006:$AS$1006,0))&gt;=100000), " ",IF(INDEX($AC$2:$AS$1001,MATCH(ROWS($V$2:V16),$V$2:$V$1001,0),MATCH(COLUMNS($AC$1006:AL1006),$AC$1006:$AS$1006,0)), HYPERLINK("#",""), HYPERLINK(CONCATENATE("#Metadata!", ADDRESS(INDEX($X$2:$X$1001,MATCH(ROWS($V$2:V16),$V$2:$V$1001,0),0), INDEX($AC$1004:$AS$1004,1,MATCH(COLUMNS($AC$1006:AL1006),$AC$1006:$AS$1006,0)))),"Fix")))</f>
        <v>0</v>
      </c>
      <c r="L16" s="5">
        <f>IF(OR(INDEX($W$2:$W$1001,MATCH(ROWS($V$2:V16),$V$2:$V$1001,0),1)&gt;=100000,INDEX($AC$1005:$AS$1005,1,MATCH(COLUMNS($AC$1006:AM1006),$AC$1006:$AS$1006,0))&gt;=100000), " ",IF(INDEX($AC$2:$AS$1001,MATCH(ROWS($V$2:V16),$V$2:$V$1001,0),MATCH(COLUMNS($AC$1006:AM1006),$AC$1006:$AS$1006,0)), HYPERLINK("#",""), HYPERLINK(CONCATENATE("#Metadata!", ADDRESS(INDEX($X$2:$X$1001,MATCH(ROWS($V$2:V16),$V$2:$V$1001,0),0), INDEX($AC$1004:$AS$1004,1,MATCH(COLUMNS($AC$1006:AM1006),$AC$1006:$AS$1006,0)))),"Fix")))</f>
        <v>0</v>
      </c>
      <c r="M16" s="5">
        <f>IF(OR(INDEX($W$2:$W$1001,MATCH(ROWS($V$2:V16),$V$2:$V$1001,0),1)&gt;=100000,INDEX($AC$1005:$AS$1005,1,MATCH(COLUMNS($AC$1006:AN1006),$AC$1006:$AS$1006,0))&gt;=100000), " ",IF(INDEX($AC$2:$AS$1001,MATCH(ROWS($V$2:V16),$V$2:$V$1001,0),MATCH(COLUMNS($AC$1006:AN1006),$AC$1006:$AS$1006,0)), HYPERLINK("#",""), HYPERLINK(CONCATENATE("#Metadata!", ADDRESS(INDEX($X$2:$X$1001,MATCH(ROWS($V$2:V16),$V$2:$V$1001,0),0), INDEX($AC$1004:$AS$1004,1,MATCH(COLUMNS($AC$1006:AN1006),$AC$1006:$AS$1006,0)))),"Fix")))</f>
        <v>0</v>
      </c>
      <c r="N16" s="5">
        <f>IF(OR(INDEX($W$2:$W$1001,MATCH(ROWS($V$2:V16),$V$2:$V$1001,0),1)&gt;=100000,INDEX($AC$1005:$AS$1005,1,MATCH(COLUMNS($AC$1006:AO1006),$AC$1006:$AS$1006,0))&gt;=100000), " ",IF(INDEX($AC$2:$AS$1001,MATCH(ROWS($V$2:V16),$V$2:$V$1001,0),MATCH(COLUMNS($AC$1006:AO1006),$AC$1006:$AS$1006,0)), HYPERLINK("#",""), HYPERLINK(CONCATENATE("#Metadata!", ADDRESS(INDEX($X$2:$X$1001,MATCH(ROWS($V$2:V16),$V$2:$V$1001,0),0), INDEX($AC$1004:$AS$1004,1,MATCH(COLUMNS($AC$1006:AO1006),$AC$1006:$AS$1006,0)))),"Fix")))</f>
        <v>0</v>
      </c>
      <c r="O16" s="5">
        <f>IF(OR(INDEX($W$2:$W$1001,MATCH(ROWS($V$2:V16),$V$2:$V$1001,0),1)&gt;=100000,INDEX($AC$1005:$AS$1005,1,MATCH(COLUMNS($AC$1006:AP1006),$AC$1006:$AS$1006,0))&gt;=100000), " ",IF(INDEX($AC$2:$AS$1001,MATCH(ROWS($V$2:V16),$V$2:$V$1001,0),MATCH(COLUMNS($AC$1006:AP1006),$AC$1006:$AS$1006,0)), HYPERLINK("#",""), HYPERLINK(CONCATENATE("#Metadata!", ADDRESS(INDEX($X$2:$X$1001,MATCH(ROWS($V$2:V16),$V$2:$V$1001,0),0), INDEX($AC$1004:$AS$1004,1,MATCH(COLUMNS($AC$1006:AP1006),$AC$1006:$AS$1006,0)))),"Fix")))</f>
        <v>0</v>
      </c>
      <c r="P16" s="5">
        <f>IF(OR(INDEX($W$2:$W$1001,MATCH(ROWS($V$2:V16),$V$2:$V$1001,0),1)&gt;=100000,INDEX($AC$1005:$AS$1005,1,MATCH(COLUMNS($AC$1006:AQ1006),$AC$1006:$AS$1006,0))&gt;=100000), " ",IF(INDEX($AC$2:$AS$1001,MATCH(ROWS($V$2:V16),$V$2:$V$1001,0),MATCH(COLUMNS($AC$1006:AQ1006),$AC$1006:$AS$1006,0)), HYPERLINK("#",""), HYPERLINK(CONCATENATE("#Metadata!", ADDRESS(INDEX($X$2:$X$1001,MATCH(ROWS($V$2:V16),$V$2:$V$1001,0),0), INDEX($AC$1004:$AS$1004,1,MATCH(COLUMNS($AC$1006:AQ1006),$AC$1006:$AS$1006,0)))),"Fix")))</f>
        <v>0</v>
      </c>
      <c r="Q16" s="5">
        <f>IF(OR(INDEX($W$2:$W$1001,MATCH(ROWS($V$2:V16),$V$2:$V$1001,0),1)&gt;=100000,INDEX($AC$1005:$AS$1005,1,MATCH(COLUMNS($AC$1006:AR1006),$AC$1006:$AS$1006,0))&gt;=100000), " ",IF(INDEX($AC$2:$AS$1001,MATCH(ROWS($V$2:V16),$V$2:$V$1001,0),MATCH(COLUMNS($AC$1006:AR1006),$AC$1006:$AS$1006,0)), HYPERLINK("#",""), HYPERLINK(CONCATENATE("#Metadata!", ADDRESS(INDEX($X$2:$X$1001,MATCH(ROWS($V$2:V16),$V$2:$V$1001,0),0), INDEX($AC$1004:$AS$1004,1,MATCH(COLUMNS($AC$1006:AR1006),$AC$1006:$AS$1006,0)))),"Fix")))</f>
        <v>0</v>
      </c>
      <c r="R16" s="5">
        <f>IF(OR(INDEX($W$2:$W$1001,MATCH(ROWS($V$2:V16),$V$2:$V$1001,0),1)&gt;=100000,INDEX($AC$1005:$AS$1005,1,MATCH(COLUMNS($AC$1006:AS1006),$AC$1006:$AS$1006,0))&gt;=100000), " ",IF(INDEX($AC$2:$AS$1001,MATCH(ROWS($V$2:V16),$V$2:$V$1001,0),MATCH(COLUMNS($AC$1006:AS1006),$AC$1006:$AS$1006,0)), HYPERLINK("#",""), HYPERLINK(CONCATENATE("#Metadata!", ADDRESS(INDEX($X$2:$X$1001,MATCH(ROWS($V$2:V16),$V$2:$V$1001,0),0), INDEX($AC$1004:$AS$1004,1,MATCH(COLUMNS($AC$1006:AS1006),$AC$1006:$AS$1006,0)))),"Fix")))</f>
        <v>0</v>
      </c>
      <c r="V16">
        <v>0</v>
      </c>
      <c r="W16">
        <v>0</v>
      </c>
      <c r="X16">
        <v>0</v>
      </c>
      <c r="Y16">
        <f>IF(Z16,TRUE,AND(AC16:AS16))</f>
        <v>0</v>
      </c>
      <c r="Z16">
        <f>COUNTBLANK(Metadata!B16:R16)=COLUMNS(Metadata!B16:R16)</f>
        <v>0</v>
      </c>
      <c r="AA16">
        <v>0</v>
      </c>
      <c r="AC16">
        <f>AND(IF(Metadata!B16="",FALSE,TRUE),COUNTIF(Metadata!B:B, Metadata!B16) = 1,NOT(ISERROR(SUMPRODUCT(SEARCH(MID(Metadata!B16,ROW(INDIRECT("1:"&amp;LEN(Metadata!B16))), 1),"0123456789abcdefghijklmnopqrstuvwxyzABCDEFGHIJKLMNOPQRSTUVWXYZ.")))))</f>
        <v>0</v>
      </c>
      <c r="AD16">
        <f>AND(IF(Metadata!C16="",FALSE,TRUE),exact(Metadata!C16,"Host-associated"))</f>
        <v>0</v>
      </c>
      <c r="AE16">
        <f>AND(IF(Metadata!D16="",FALSE,TRUE),OR(exact(Metadata!D16,"Animal"),exact(Metadata!D16,"Fungus"),exact(Metadata!D16,"Plant")))</f>
        <v>0</v>
      </c>
      <c r="AF16">
        <f>AND(IF(Metadata!E16="",FALSE,TRUE),OR(exact(Metadata!E16,"Plant secretion"),exact(Metadata!E16,"Plant rhizosphere"),exact(Metadata!E16,"Plant surface"),exact(Metadata!E16,"Plant corpus"),exact(Metadata!E16,"Fungus surface"),exact(Metadata!E16,"Fungus corpus"),exact(Metadata!E16,"Animal surface"),exact(Metadata!E16,"Animal proximal gut"),exact(Metadata!E16,"Animal corpus"),exact(Metadata!E16,"Animal distal gut"),exact(Metadata!E16,"Animal secretion")))</f>
        <v>0</v>
      </c>
      <c r="AG16">
        <f>OR(AND(IF(Metadata!F16="",FALSE,TRUE),OR(exact(Metadata!F16,"not collected"),exact(Metadata!F16,"not provided"),exact(Metadata!F16,"restricted access"))),AND(IF(Metadata!F16="",FALSE,TRUE),OR(exact(Metadata!F16,"organism-associated habitat"),exact(Metadata!F16,"plant-associated habitat"),exact(Metadata!F16,"animal-associated habitat"),exact(Metadata!F16,"insecta-associated habitat"),exact(Metadata!F16,"mammalia-associated habitat"),exact(Metadata!F16,"human-associated habitat"),exact(Metadata!F16,"livestock-associated habitat"))))</f>
        <v>0</v>
      </c>
      <c r="AH16">
        <f>AND(IF(Metadata!G16="",FALSE,TRUE),exact(Metadata!G16,"host-associated"))</f>
        <v>0</v>
      </c>
      <c r="AI16">
        <f>OR(AND(IF(Metadata!H16="",FALSE,TRUE),OR(exact(Metadata!H16,"not collected"),exact(Metadata!H16,"not provided"))),AND(IF(Metadata!H16="",FALSE,ISNUMBER(VALUE(Metadata!H16))),Metadata!H16&gt;0))</f>
        <v>0</v>
      </c>
      <c r="AJ16">
        <f>AND(IF(Metadata!I16="",FALSE,TRUE),exact(Metadata!I16,"years"))</f>
        <v>0</v>
      </c>
      <c r="AK16">
        <f>IF(Metadata!J16="",FALSE,TRUE)</f>
        <v>0</v>
      </c>
      <c r="AL16">
        <f>OR(AND(IF(Metadata!K16="",FALSE,TRUE),OR(exact(Metadata!K16,"not collected"),exact(Metadata!K16,"not provided"))),AND(IF(Metadata!K16="",FALSE,ISNUMBER(VALUE(Metadata!K16))),Metadata!K16&gt;0))</f>
        <v>0</v>
      </c>
      <c r="AM16">
        <f>AND(IF(Metadata!L16="",FALSE,TRUE),exact(Metadata!L16,"cm"))</f>
        <v>0</v>
      </c>
      <c r="AN16">
        <f>IF(Metadata!M16="",FALSE,TRUE)</f>
        <v>0</v>
      </c>
      <c r="AO16">
        <f>OR(AND(IF(Metadata!N16="",FALSE,TRUE),OR(exact(Metadata!N16,"not applicable"),exact(Metadata!N16,"not collected"),exact(Metadata!N16,"not provided"))),AND(IF(Metadata!N16="",FALSE,IF(ISERROR(INT(Metadata!N16)),FALSE,INT(Metadata!N16)=Metadata!N16)),Metadata!N16&gt;0))</f>
        <v>0</v>
      </c>
      <c r="AP16">
        <f>OR(AND(IF(Metadata!O16="",FALSE,TRUE),OR(exact(Metadata!O16,"not collected"),exact(Metadata!O16,"not provided"))),AND(IF(Metadata!O16="",FALSE,ISNUMBER(VALUE(Metadata!O16))),Metadata!O16&gt;0))</f>
        <v>0</v>
      </c>
      <c r="AQ16">
        <f>AND(IF(Metadata!P16="",FALSE,TRUE),exact(Metadata!P16,"kg"))</f>
        <v>0</v>
      </c>
      <c r="AR16">
        <f>OR(AND(IF(Metadata!Q16="",FALSE,TRUE),OR(exact(Metadata!Q16,"not applicable"),exact(Metadata!Q16,"not collected"),exact(Metadata!Q16,"not provided"),exact(Metadata!Q16,"restricted access"))),IF(Metadata!Q16="",FALSE,IF(ISERROR(INT(Metadata!Q16)),FALSE,INT(Metadata!Q16)=Metadata!Q16)))</f>
        <v>0</v>
      </c>
      <c r="AS16">
        <f>AND(IF(Metadata!R16="",FALSE,TRUE),exact(Metadata!R16,"Not applicable"))</f>
        <v>0</v>
      </c>
    </row>
    <row r="17" spans="1:45">
      <c r="A17" s="4">
        <f>IF(B17=" "," ",HYPERLINK(CONCATENATE("#metadata!",ADDRESS(INDEX($X$2:$X$1001,MATCH(ROWS($V$2:V17),$V$2:$V$1001,0),0),2)),INDEX($AA$2:$AA$1001,MATCH(ROWS($V$2:V17),$V$2:$V$1001,0),0)))</f>
        <v>0</v>
      </c>
      <c r="B17" s="5">
        <f>IF(OR(INDEX($W$2:$W$1001,MATCH(ROWS($V$2:V17),$V$2:$V$1001,0),1)&gt;=100000,INDEX($AC$1005:$AS$1005,1,MATCH(COLUMNS($AC$1006:AC1006),$AC$1006:$AS$1006,0))&gt;=100000), " ",IF(INDEX($AC$2:$AS$1001,MATCH(ROWS($V$2:V17),$V$2:$V$1001,0),MATCH(COLUMNS($AC$1006:AC1006),$AC$1006:$AS$1006,0)), HYPERLINK("#",""), HYPERLINK(CONCATENATE("#Metadata!", ADDRESS(INDEX($X$2:$X$1001,MATCH(ROWS($V$2:V17),$V$2:$V$1001,0),0), INDEX($AC$1004:$AS$1004,1,MATCH(COLUMNS($AC$1006:AC1006),$AC$1006:$AS$1006,0)))),"Fix")))</f>
        <v>0</v>
      </c>
      <c r="C17" s="5">
        <f>IF(OR(INDEX($W$2:$W$1001,MATCH(ROWS($V$2:V17),$V$2:$V$1001,0),1)&gt;=100000,INDEX($AC$1005:$AS$1005,1,MATCH(COLUMNS($AC$1006:AD1006),$AC$1006:$AS$1006,0))&gt;=100000), " ",IF(INDEX($AC$2:$AS$1001,MATCH(ROWS($V$2:V17),$V$2:$V$1001,0),MATCH(COLUMNS($AC$1006:AD1006),$AC$1006:$AS$1006,0)), HYPERLINK("#",""), HYPERLINK(CONCATENATE("#Metadata!", ADDRESS(INDEX($X$2:$X$1001,MATCH(ROWS($V$2:V17),$V$2:$V$1001,0),0), INDEX($AC$1004:$AS$1004,1,MATCH(COLUMNS($AC$1006:AD1006),$AC$1006:$AS$1006,0)))),"Fix")))</f>
        <v>0</v>
      </c>
      <c r="D17" s="5">
        <f>IF(OR(INDEX($W$2:$W$1001,MATCH(ROWS($V$2:V17),$V$2:$V$1001,0),1)&gt;=100000,INDEX($AC$1005:$AS$1005,1,MATCH(COLUMNS($AC$1006:AE1006),$AC$1006:$AS$1006,0))&gt;=100000), " ",IF(INDEX($AC$2:$AS$1001,MATCH(ROWS($V$2:V17),$V$2:$V$1001,0),MATCH(COLUMNS($AC$1006:AE1006),$AC$1006:$AS$1006,0)), HYPERLINK("#",""), HYPERLINK(CONCATENATE("#Metadata!", ADDRESS(INDEX($X$2:$X$1001,MATCH(ROWS($V$2:V17),$V$2:$V$1001,0),0), INDEX($AC$1004:$AS$1004,1,MATCH(COLUMNS($AC$1006:AE1006),$AC$1006:$AS$1006,0)))),"Fix")))</f>
        <v>0</v>
      </c>
      <c r="E17" s="5">
        <f>IF(OR(INDEX($W$2:$W$1001,MATCH(ROWS($V$2:V17),$V$2:$V$1001,0),1)&gt;=100000,INDEX($AC$1005:$AS$1005,1,MATCH(COLUMNS($AC$1006:AF1006),$AC$1006:$AS$1006,0))&gt;=100000), " ",IF(INDEX($AC$2:$AS$1001,MATCH(ROWS($V$2:V17),$V$2:$V$1001,0),MATCH(COLUMNS($AC$1006:AF1006),$AC$1006:$AS$1006,0)), HYPERLINK("#",""), HYPERLINK(CONCATENATE("#Metadata!", ADDRESS(INDEX($X$2:$X$1001,MATCH(ROWS($V$2:V17),$V$2:$V$1001,0),0), INDEX($AC$1004:$AS$1004,1,MATCH(COLUMNS($AC$1006:AF1006),$AC$1006:$AS$1006,0)))),"Fix")))</f>
        <v>0</v>
      </c>
      <c r="F17" s="5">
        <f>IF(OR(INDEX($W$2:$W$1001,MATCH(ROWS($V$2:V17),$V$2:$V$1001,0),1)&gt;=100000,INDEX($AC$1005:$AS$1005,1,MATCH(COLUMNS($AC$1006:AG1006),$AC$1006:$AS$1006,0))&gt;=100000), " ",IF(INDEX($AC$2:$AS$1001,MATCH(ROWS($V$2:V17),$V$2:$V$1001,0),MATCH(COLUMNS($AC$1006:AG1006),$AC$1006:$AS$1006,0)), HYPERLINK("#",""), HYPERLINK(CONCATENATE("#Metadata!", ADDRESS(INDEX($X$2:$X$1001,MATCH(ROWS($V$2:V17),$V$2:$V$1001,0),0), INDEX($AC$1004:$AS$1004,1,MATCH(COLUMNS($AC$1006:AG1006),$AC$1006:$AS$1006,0)))),"Fix")))</f>
        <v>0</v>
      </c>
      <c r="G17" s="5">
        <f>IF(OR(INDEX($W$2:$W$1001,MATCH(ROWS($V$2:V17),$V$2:$V$1001,0),1)&gt;=100000,INDEX($AC$1005:$AS$1005,1,MATCH(COLUMNS($AC$1006:AH1006),$AC$1006:$AS$1006,0))&gt;=100000), " ",IF(INDEX($AC$2:$AS$1001,MATCH(ROWS($V$2:V17),$V$2:$V$1001,0),MATCH(COLUMNS($AC$1006:AH1006),$AC$1006:$AS$1006,0)), HYPERLINK("#",""), HYPERLINK(CONCATENATE("#Metadata!", ADDRESS(INDEX($X$2:$X$1001,MATCH(ROWS($V$2:V17),$V$2:$V$1001,0),0), INDEX($AC$1004:$AS$1004,1,MATCH(COLUMNS($AC$1006:AH1006),$AC$1006:$AS$1006,0)))),"Fix")))</f>
        <v>0</v>
      </c>
      <c r="H17" s="5">
        <f>IF(OR(INDEX($W$2:$W$1001,MATCH(ROWS($V$2:V17),$V$2:$V$1001,0),1)&gt;=100000,INDEX($AC$1005:$AS$1005,1,MATCH(COLUMNS($AC$1006:AI1006),$AC$1006:$AS$1006,0))&gt;=100000), " ",IF(INDEX($AC$2:$AS$1001,MATCH(ROWS($V$2:V17),$V$2:$V$1001,0),MATCH(COLUMNS($AC$1006:AI1006),$AC$1006:$AS$1006,0)), HYPERLINK("#",""), HYPERLINK(CONCATENATE("#Metadata!", ADDRESS(INDEX($X$2:$X$1001,MATCH(ROWS($V$2:V17),$V$2:$V$1001,0),0), INDEX($AC$1004:$AS$1004,1,MATCH(COLUMNS($AC$1006:AI1006),$AC$1006:$AS$1006,0)))),"Fix")))</f>
        <v>0</v>
      </c>
      <c r="I17" s="5">
        <f>IF(OR(INDEX($W$2:$W$1001,MATCH(ROWS($V$2:V17),$V$2:$V$1001,0),1)&gt;=100000,INDEX($AC$1005:$AS$1005,1,MATCH(COLUMNS($AC$1006:AJ1006),$AC$1006:$AS$1006,0))&gt;=100000), " ",IF(INDEX($AC$2:$AS$1001,MATCH(ROWS($V$2:V17),$V$2:$V$1001,0),MATCH(COLUMNS($AC$1006:AJ1006),$AC$1006:$AS$1006,0)), HYPERLINK("#",""), HYPERLINK(CONCATENATE("#Metadata!", ADDRESS(INDEX($X$2:$X$1001,MATCH(ROWS($V$2:V17),$V$2:$V$1001,0),0), INDEX($AC$1004:$AS$1004,1,MATCH(COLUMNS($AC$1006:AJ1006),$AC$1006:$AS$1006,0)))),"Fix")))</f>
        <v>0</v>
      </c>
      <c r="J17" s="5">
        <f>IF(OR(INDEX($W$2:$W$1001,MATCH(ROWS($V$2:V17),$V$2:$V$1001,0),1)&gt;=100000,INDEX($AC$1005:$AS$1005,1,MATCH(COLUMNS($AC$1006:AK1006),$AC$1006:$AS$1006,0))&gt;=100000), " ",IF(INDEX($AC$2:$AS$1001,MATCH(ROWS($V$2:V17),$V$2:$V$1001,0),MATCH(COLUMNS($AC$1006:AK1006),$AC$1006:$AS$1006,0)), HYPERLINK("#",""), HYPERLINK(CONCATENATE("#Metadata!", ADDRESS(INDEX($X$2:$X$1001,MATCH(ROWS($V$2:V17),$V$2:$V$1001,0),0), INDEX($AC$1004:$AS$1004,1,MATCH(COLUMNS($AC$1006:AK1006),$AC$1006:$AS$1006,0)))),"Fix")))</f>
        <v>0</v>
      </c>
      <c r="K17" s="5">
        <f>IF(OR(INDEX($W$2:$W$1001,MATCH(ROWS($V$2:V17),$V$2:$V$1001,0),1)&gt;=100000,INDEX($AC$1005:$AS$1005,1,MATCH(COLUMNS($AC$1006:AL1006),$AC$1006:$AS$1006,0))&gt;=100000), " ",IF(INDEX($AC$2:$AS$1001,MATCH(ROWS($V$2:V17),$V$2:$V$1001,0),MATCH(COLUMNS($AC$1006:AL1006),$AC$1006:$AS$1006,0)), HYPERLINK("#",""), HYPERLINK(CONCATENATE("#Metadata!", ADDRESS(INDEX($X$2:$X$1001,MATCH(ROWS($V$2:V17),$V$2:$V$1001,0),0), INDEX($AC$1004:$AS$1004,1,MATCH(COLUMNS($AC$1006:AL1006),$AC$1006:$AS$1006,0)))),"Fix")))</f>
        <v>0</v>
      </c>
      <c r="L17" s="5">
        <f>IF(OR(INDEX($W$2:$W$1001,MATCH(ROWS($V$2:V17),$V$2:$V$1001,0),1)&gt;=100000,INDEX($AC$1005:$AS$1005,1,MATCH(COLUMNS($AC$1006:AM1006),$AC$1006:$AS$1006,0))&gt;=100000), " ",IF(INDEX($AC$2:$AS$1001,MATCH(ROWS($V$2:V17),$V$2:$V$1001,0),MATCH(COLUMNS($AC$1006:AM1006),$AC$1006:$AS$1006,0)), HYPERLINK("#",""), HYPERLINK(CONCATENATE("#Metadata!", ADDRESS(INDEX($X$2:$X$1001,MATCH(ROWS($V$2:V17),$V$2:$V$1001,0),0), INDEX($AC$1004:$AS$1004,1,MATCH(COLUMNS($AC$1006:AM1006),$AC$1006:$AS$1006,0)))),"Fix")))</f>
        <v>0</v>
      </c>
      <c r="M17" s="5">
        <f>IF(OR(INDEX($W$2:$W$1001,MATCH(ROWS($V$2:V17),$V$2:$V$1001,0),1)&gt;=100000,INDEX($AC$1005:$AS$1005,1,MATCH(COLUMNS($AC$1006:AN1006),$AC$1006:$AS$1006,0))&gt;=100000), " ",IF(INDEX($AC$2:$AS$1001,MATCH(ROWS($V$2:V17),$V$2:$V$1001,0),MATCH(COLUMNS($AC$1006:AN1006),$AC$1006:$AS$1006,0)), HYPERLINK("#",""), HYPERLINK(CONCATENATE("#Metadata!", ADDRESS(INDEX($X$2:$X$1001,MATCH(ROWS($V$2:V17),$V$2:$V$1001,0),0), INDEX($AC$1004:$AS$1004,1,MATCH(COLUMNS($AC$1006:AN1006),$AC$1006:$AS$1006,0)))),"Fix")))</f>
        <v>0</v>
      </c>
      <c r="N17" s="5">
        <f>IF(OR(INDEX($W$2:$W$1001,MATCH(ROWS($V$2:V17),$V$2:$V$1001,0),1)&gt;=100000,INDEX($AC$1005:$AS$1005,1,MATCH(COLUMNS($AC$1006:AO1006),$AC$1006:$AS$1006,0))&gt;=100000), " ",IF(INDEX($AC$2:$AS$1001,MATCH(ROWS($V$2:V17),$V$2:$V$1001,0),MATCH(COLUMNS($AC$1006:AO1006),$AC$1006:$AS$1006,0)), HYPERLINK("#",""), HYPERLINK(CONCATENATE("#Metadata!", ADDRESS(INDEX($X$2:$X$1001,MATCH(ROWS($V$2:V17),$V$2:$V$1001,0),0), INDEX($AC$1004:$AS$1004,1,MATCH(COLUMNS($AC$1006:AO1006),$AC$1006:$AS$1006,0)))),"Fix")))</f>
        <v>0</v>
      </c>
      <c r="O17" s="5">
        <f>IF(OR(INDEX($W$2:$W$1001,MATCH(ROWS($V$2:V17),$V$2:$V$1001,0),1)&gt;=100000,INDEX($AC$1005:$AS$1005,1,MATCH(COLUMNS($AC$1006:AP1006),$AC$1006:$AS$1006,0))&gt;=100000), " ",IF(INDEX($AC$2:$AS$1001,MATCH(ROWS($V$2:V17),$V$2:$V$1001,0),MATCH(COLUMNS($AC$1006:AP1006),$AC$1006:$AS$1006,0)), HYPERLINK("#",""), HYPERLINK(CONCATENATE("#Metadata!", ADDRESS(INDEX($X$2:$X$1001,MATCH(ROWS($V$2:V17),$V$2:$V$1001,0),0), INDEX($AC$1004:$AS$1004,1,MATCH(COLUMNS($AC$1006:AP1006),$AC$1006:$AS$1006,0)))),"Fix")))</f>
        <v>0</v>
      </c>
      <c r="P17" s="5">
        <f>IF(OR(INDEX($W$2:$W$1001,MATCH(ROWS($V$2:V17),$V$2:$V$1001,0),1)&gt;=100000,INDEX($AC$1005:$AS$1005,1,MATCH(COLUMNS($AC$1006:AQ1006),$AC$1006:$AS$1006,0))&gt;=100000), " ",IF(INDEX($AC$2:$AS$1001,MATCH(ROWS($V$2:V17),$V$2:$V$1001,0),MATCH(COLUMNS($AC$1006:AQ1006),$AC$1006:$AS$1006,0)), HYPERLINK("#",""), HYPERLINK(CONCATENATE("#Metadata!", ADDRESS(INDEX($X$2:$X$1001,MATCH(ROWS($V$2:V17),$V$2:$V$1001,0),0), INDEX($AC$1004:$AS$1004,1,MATCH(COLUMNS($AC$1006:AQ1006),$AC$1006:$AS$1006,0)))),"Fix")))</f>
        <v>0</v>
      </c>
      <c r="Q17" s="5">
        <f>IF(OR(INDEX($W$2:$W$1001,MATCH(ROWS($V$2:V17),$V$2:$V$1001,0),1)&gt;=100000,INDEX($AC$1005:$AS$1005,1,MATCH(COLUMNS($AC$1006:AR1006),$AC$1006:$AS$1006,0))&gt;=100000), " ",IF(INDEX($AC$2:$AS$1001,MATCH(ROWS($V$2:V17),$V$2:$V$1001,0),MATCH(COLUMNS($AC$1006:AR1006),$AC$1006:$AS$1006,0)), HYPERLINK("#",""), HYPERLINK(CONCATENATE("#Metadata!", ADDRESS(INDEX($X$2:$X$1001,MATCH(ROWS($V$2:V17),$V$2:$V$1001,0),0), INDEX($AC$1004:$AS$1004,1,MATCH(COLUMNS($AC$1006:AR1006),$AC$1006:$AS$1006,0)))),"Fix")))</f>
        <v>0</v>
      </c>
      <c r="R17" s="5">
        <f>IF(OR(INDEX($W$2:$W$1001,MATCH(ROWS($V$2:V17),$V$2:$V$1001,0),1)&gt;=100000,INDEX($AC$1005:$AS$1005,1,MATCH(COLUMNS($AC$1006:AS1006),$AC$1006:$AS$1006,0))&gt;=100000), " ",IF(INDEX($AC$2:$AS$1001,MATCH(ROWS($V$2:V17),$V$2:$V$1001,0),MATCH(COLUMNS($AC$1006:AS1006),$AC$1006:$AS$1006,0)), HYPERLINK("#",""), HYPERLINK(CONCATENATE("#Metadata!", ADDRESS(INDEX($X$2:$X$1001,MATCH(ROWS($V$2:V17),$V$2:$V$1001,0),0), INDEX($AC$1004:$AS$1004,1,MATCH(COLUMNS($AC$1006:AS1006),$AC$1006:$AS$1006,0)))),"Fix")))</f>
        <v>0</v>
      </c>
      <c r="V17">
        <v>0</v>
      </c>
      <c r="W17">
        <v>0</v>
      </c>
      <c r="X17">
        <v>0</v>
      </c>
      <c r="Y17">
        <f>IF(Z17,TRUE,AND(AC17:AS17))</f>
        <v>0</v>
      </c>
      <c r="Z17">
        <f>COUNTBLANK(Metadata!B17:R17)=COLUMNS(Metadata!B17:R17)</f>
        <v>0</v>
      </c>
      <c r="AA17">
        <v>0</v>
      </c>
      <c r="AC17">
        <f>AND(IF(Metadata!B17="",FALSE,TRUE),COUNTIF(Metadata!B:B, Metadata!B17) = 1,NOT(ISERROR(SUMPRODUCT(SEARCH(MID(Metadata!B17,ROW(INDIRECT("1:"&amp;LEN(Metadata!B17))), 1),"0123456789abcdefghijklmnopqrstuvwxyzABCDEFGHIJKLMNOPQRSTUVWXYZ.")))))</f>
        <v>0</v>
      </c>
      <c r="AD17">
        <f>AND(IF(Metadata!C17="",FALSE,TRUE),exact(Metadata!C17,"Host-associated"))</f>
        <v>0</v>
      </c>
      <c r="AE17">
        <f>AND(IF(Metadata!D17="",FALSE,TRUE),OR(exact(Metadata!D17,"Animal"),exact(Metadata!D17,"Fungus"),exact(Metadata!D17,"Plant")))</f>
        <v>0</v>
      </c>
      <c r="AF17">
        <f>AND(IF(Metadata!E17="",FALSE,TRUE),OR(exact(Metadata!E17,"Plant secretion"),exact(Metadata!E17,"Plant rhizosphere"),exact(Metadata!E17,"Plant surface"),exact(Metadata!E17,"Plant corpus"),exact(Metadata!E17,"Fungus surface"),exact(Metadata!E17,"Fungus corpus"),exact(Metadata!E17,"Animal surface"),exact(Metadata!E17,"Animal proximal gut"),exact(Metadata!E17,"Animal corpus"),exact(Metadata!E17,"Animal distal gut"),exact(Metadata!E17,"Animal secretion")))</f>
        <v>0</v>
      </c>
      <c r="AG17">
        <f>OR(AND(IF(Metadata!F17="",FALSE,TRUE),OR(exact(Metadata!F17,"not collected"),exact(Metadata!F17,"not provided"),exact(Metadata!F17,"restricted access"))),AND(IF(Metadata!F17="",FALSE,TRUE),OR(exact(Metadata!F17,"organism-associated habitat"),exact(Metadata!F17,"plant-associated habitat"),exact(Metadata!F17,"animal-associated habitat"),exact(Metadata!F17,"insecta-associated habitat"),exact(Metadata!F17,"mammalia-associated habitat"),exact(Metadata!F17,"human-associated habitat"),exact(Metadata!F17,"livestock-associated habitat"))))</f>
        <v>0</v>
      </c>
      <c r="AH17">
        <f>AND(IF(Metadata!G17="",FALSE,TRUE),exact(Metadata!G17,"host-associated"))</f>
        <v>0</v>
      </c>
      <c r="AI17">
        <f>OR(AND(IF(Metadata!H17="",FALSE,TRUE),OR(exact(Metadata!H17,"not collected"),exact(Metadata!H17,"not provided"))),AND(IF(Metadata!H17="",FALSE,ISNUMBER(VALUE(Metadata!H17))),Metadata!H17&gt;0))</f>
        <v>0</v>
      </c>
      <c r="AJ17">
        <f>AND(IF(Metadata!I17="",FALSE,TRUE),exact(Metadata!I17,"years"))</f>
        <v>0</v>
      </c>
      <c r="AK17">
        <f>IF(Metadata!J17="",FALSE,TRUE)</f>
        <v>0</v>
      </c>
      <c r="AL17">
        <f>OR(AND(IF(Metadata!K17="",FALSE,TRUE),OR(exact(Metadata!K17,"not collected"),exact(Metadata!K17,"not provided"))),AND(IF(Metadata!K17="",FALSE,ISNUMBER(VALUE(Metadata!K17))),Metadata!K17&gt;0))</f>
        <v>0</v>
      </c>
      <c r="AM17">
        <f>AND(IF(Metadata!L17="",FALSE,TRUE),exact(Metadata!L17,"cm"))</f>
        <v>0</v>
      </c>
      <c r="AN17">
        <f>IF(Metadata!M17="",FALSE,TRUE)</f>
        <v>0</v>
      </c>
      <c r="AO17">
        <f>OR(AND(IF(Metadata!N17="",FALSE,TRUE),OR(exact(Metadata!N17,"not applicable"),exact(Metadata!N17,"not collected"),exact(Metadata!N17,"not provided"))),AND(IF(Metadata!N17="",FALSE,IF(ISERROR(INT(Metadata!N17)),FALSE,INT(Metadata!N17)=Metadata!N17)),Metadata!N17&gt;0))</f>
        <v>0</v>
      </c>
      <c r="AP17">
        <f>OR(AND(IF(Metadata!O17="",FALSE,TRUE),OR(exact(Metadata!O17,"not collected"),exact(Metadata!O17,"not provided"))),AND(IF(Metadata!O17="",FALSE,ISNUMBER(VALUE(Metadata!O17))),Metadata!O17&gt;0))</f>
        <v>0</v>
      </c>
      <c r="AQ17">
        <f>AND(IF(Metadata!P17="",FALSE,TRUE),exact(Metadata!P17,"kg"))</f>
        <v>0</v>
      </c>
      <c r="AR17">
        <f>OR(AND(IF(Metadata!Q17="",FALSE,TRUE),OR(exact(Metadata!Q17,"not applicable"),exact(Metadata!Q17,"not collected"),exact(Metadata!Q17,"not provided"),exact(Metadata!Q17,"restricted access"))),IF(Metadata!Q17="",FALSE,IF(ISERROR(INT(Metadata!Q17)),FALSE,INT(Metadata!Q17)=Metadata!Q17)))</f>
        <v>0</v>
      </c>
      <c r="AS17">
        <f>AND(IF(Metadata!R17="",FALSE,TRUE),exact(Metadata!R17,"Not applicable"))</f>
        <v>0</v>
      </c>
    </row>
    <row r="18" spans="1:45">
      <c r="A18" s="4">
        <f>IF(B18=" "," ",HYPERLINK(CONCATENATE("#metadata!",ADDRESS(INDEX($X$2:$X$1001,MATCH(ROWS($V$2:V18),$V$2:$V$1001,0),0),2)),INDEX($AA$2:$AA$1001,MATCH(ROWS($V$2:V18),$V$2:$V$1001,0),0)))</f>
        <v>0</v>
      </c>
      <c r="B18" s="5">
        <f>IF(OR(INDEX($W$2:$W$1001,MATCH(ROWS($V$2:V18),$V$2:$V$1001,0),1)&gt;=100000,INDEX($AC$1005:$AS$1005,1,MATCH(COLUMNS($AC$1006:AC1006),$AC$1006:$AS$1006,0))&gt;=100000), " ",IF(INDEX($AC$2:$AS$1001,MATCH(ROWS($V$2:V18),$V$2:$V$1001,0),MATCH(COLUMNS($AC$1006:AC1006),$AC$1006:$AS$1006,0)), HYPERLINK("#",""), HYPERLINK(CONCATENATE("#Metadata!", ADDRESS(INDEX($X$2:$X$1001,MATCH(ROWS($V$2:V18),$V$2:$V$1001,0),0), INDEX($AC$1004:$AS$1004,1,MATCH(COLUMNS($AC$1006:AC1006),$AC$1006:$AS$1006,0)))),"Fix")))</f>
        <v>0</v>
      </c>
      <c r="C18" s="5">
        <f>IF(OR(INDEX($W$2:$W$1001,MATCH(ROWS($V$2:V18),$V$2:$V$1001,0),1)&gt;=100000,INDEX($AC$1005:$AS$1005,1,MATCH(COLUMNS($AC$1006:AD1006),$AC$1006:$AS$1006,0))&gt;=100000), " ",IF(INDEX($AC$2:$AS$1001,MATCH(ROWS($V$2:V18),$V$2:$V$1001,0),MATCH(COLUMNS($AC$1006:AD1006),$AC$1006:$AS$1006,0)), HYPERLINK("#",""), HYPERLINK(CONCATENATE("#Metadata!", ADDRESS(INDEX($X$2:$X$1001,MATCH(ROWS($V$2:V18),$V$2:$V$1001,0),0), INDEX($AC$1004:$AS$1004,1,MATCH(COLUMNS($AC$1006:AD1006),$AC$1006:$AS$1006,0)))),"Fix")))</f>
        <v>0</v>
      </c>
      <c r="D18" s="5">
        <f>IF(OR(INDEX($W$2:$W$1001,MATCH(ROWS($V$2:V18),$V$2:$V$1001,0),1)&gt;=100000,INDEX($AC$1005:$AS$1005,1,MATCH(COLUMNS($AC$1006:AE1006),$AC$1006:$AS$1006,0))&gt;=100000), " ",IF(INDEX($AC$2:$AS$1001,MATCH(ROWS($V$2:V18),$V$2:$V$1001,0),MATCH(COLUMNS($AC$1006:AE1006),$AC$1006:$AS$1006,0)), HYPERLINK("#",""), HYPERLINK(CONCATENATE("#Metadata!", ADDRESS(INDEX($X$2:$X$1001,MATCH(ROWS($V$2:V18),$V$2:$V$1001,0),0), INDEX($AC$1004:$AS$1004,1,MATCH(COLUMNS($AC$1006:AE1006),$AC$1006:$AS$1006,0)))),"Fix")))</f>
        <v>0</v>
      </c>
      <c r="E18" s="5">
        <f>IF(OR(INDEX($W$2:$W$1001,MATCH(ROWS($V$2:V18),$V$2:$V$1001,0),1)&gt;=100000,INDEX($AC$1005:$AS$1005,1,MATCH(COLUMNS($AC$1006:AF1006),$AC$1006:$AS$1006,0))&gt;=100000), " ",IF(INDEX($AC$2:$AS$1001,MATCH(ROWS($V$2:V18),$V$2:$V$1001,0),MATCH(COLUMNS($AC$1006:AF1006),$AC$1006:$AS$1006,0)), HYPERLINK("#",""), HYPERLINK(CONCATENATE("#Metadata!", ADDRESS(INDEX($X$2:$X$1001,MATCH(ROWS($V$2:V18),$V$2:$V$1001,0),0), INDEX($AC$1004:$AS$1004,1,MATCH(COLUMNS($AC$1006:AF1006),$AC$1006:$AS$1006,0)))),"Fix")))</f>
        <v>0</v>
      </c>
      <c r="F18" s="5">
        <f>IF(OR(INDEX($W$2:$W$1001,MATCH(ROWS($V$2:V18),$V$2:$V$1001,0),1)&gt;=100000,INDEX($AC$1005:$AS$1005,1,MATCH(COLUMNS($AC$1006:AG1006),$AC$1006:$AS$1006,0))&gt;=100000), " ",IF(INDEX($AC$2:$AS$1001,MATCH(ROWS($V$2:V18),$V$2:$V$1001,0),MATCH(COLUMNS($AC$1006:AG1006),$AC$1006:$AS$1006,0)), HYPERLINK("#",""), HYPERLINK(CONCATENATE("#Metadata!", ADDRESS(INDEX($X$2:$X$1001,MATCH(ROWS($V$2:V18),$V$2:$V$1001,0),0), INDEX($AC$1004:$AS$1004,1,MATCH(COLUMNS($AC$1006:AG1006),$AC$1006:$AS$1006,0)))),"Fix")))</f>
        <v>0</v>
      </c>
      <c r="G18" s="5">
        <f>IF(OR(INDEX($W$2:$W$1001,MATCH(ROWS($V$2:V18),$V$2:$V$1001,0),1)&gt;=100000,INDEX($AC$1005:$AS$1005,1,MATCH(COLUMNS($AC$1006:AH1006),$AC$1006:$AS$1006,0))&gt;=100000), " ",IF(INDEX($AC$2:$AS$1001,MATCH(ROWS($V$2:V18),$V$2:$V$1001,0),MATCH(COLUMNS($AC$1006:AH1006),$AC$1006:$AS$1006,0)), HYPERLINK("#",""), HYPERLINK(CONCATENATE("#Metadata!", ADDRESS(INDEX($X$2:$X$1001,MATCH(ROWS($V$2:V18),$V$2:$V$1001,0),0), INDEX($AC$1004:$AS$1004,1,MATCH(COLUMNS($AC$1006:AH1006),$AC$1006:$AS$1006,0)))),"Fix")))</f>
        <v>0</v>
      </c>
      <c r="H18" s="5">
        <f>IF(OR(INDEX($W$2:$W$1001,MATCH(ROWS($V$2:V18),$V$2:$V$1001,0),1)&gt;=100000,INDEX($AC$1005:$AS$1005,1,MATCH(COLUMNS($AC$1006:AI1006),$AC$1006:$AS$1006,0))&gt;=100000), " ",IF(INDEX($AC$2:$AS$1001,MATCH(ROWS($V$2:V18),$V$2:$V$1001,0),MATCH(COLUMNS($AC$1006:AI1006),$AC$1006:$AS$1006,0)), HYPERLINK("#",""), HYPERLINK(CONCATENATE("#Metadata!", ADDRESS(INDEX($X$2:$X$1001,MATCH(ROWS($V$2:V18),$V$2:$V$1001,0),0), INDEX($AC$1004:$AS$1004,1,MATCH(COLUMNS($AC$1006:AI1006),$AC$1006:$AS$1006,0)))),"Fix")))</f>
        <v>0</v>
      </c>
      <c r="I18" s="5">
        <f>IF(OR(INDEX($W$2:$W$1001,MATCH(ROWS($V$2:V18),$V$2:$V$1001,0),1)&gt;=100000,INDEX($AC$1005:$AS$1005,1,MATCH(COLUMNS($AC$1006:AJ1006),$AC$1006:$AS$1006,0))&gt;=100000), " ",IF(INDEX($AC$2:$AS$1001,MATCH(ROWS($V$2:V18),$V$2:$V$1001,0),MATCH(COLUMNS($AC$1006:AJ1006),$AC$1006:$AS$1006,0)), HYPERLINK("#",""), HYPERLINK(CONCATENATE("#Metadata!", ADDRESS(INDEX($X$2:$X$1001,MATCH(ROWS($V$2:V18),$V$2:$V$1001,0),0), INDEX($AC$1004:$AS$1004,1,MATCH(COLUMNS($AC$1006:AJ1006),$AC$1006:$AS$1006,0)))),"Fix")))</f>
        <v>0</v>
      </c>
      <c r="J18" s="5">
        <f>IF(OR(INDEX($W$2:$W$1001,MATCH(ROWS($V$2:V18),$V$2:$V$1001,0),1)&gt;=100000,INDEX($AC$1005:$AS$1005,1,MATCH(COLUMNS($AC$1006:AK1006),$AC$1006:$AS$1006,0))&gt;=100000), " ",IF(INDEX($AC$2:$AS$1001,MATCH(ROWS($V$2:V18),$V$2:$V$1001,0),MATCH(COLUMNS($AC$1006:AK1006),$AC$1006:$AS$1006,0)), HYPERLINK("#",""), HYPERLINK(CONCATENATE("#Metadata!", ADDRESS(INDEX($X$2:$X$1001,MATCH(ROWS($V$2:V18),$V$2:$V$1001,0),0), INDEX($AC$1004:$AS$1004,1,MATCH(COLUMNS($AC$1006:AK1006),$AC$1006:$AS$1006,0)))),"Fix")))</f>
        <v>0</v>
      </c>
      <c r="K18" s="5">
        <f>IF(OR(INDEX($W$2:$W$1001,MATCH(ROWS($V$2:V18),$V$2:$V$1001,0),1)&gt;=100000,INDEX($AC$1005:$AS$1005,1,MATCH(COLUMNS($AC$1006:AL1006),$AC$1006:$AS$1006,0))&gt;=100000), " ",IF(INDEX($AC$2:$AS$1001,MATCH(ROWS($V$2:V18),$V$2:$V$1001,0),MATCH(COLUMNS($AC$1006:AL1006),$AC$1006:$AS$1006,0)), HYPERLINK("#",""), HYPERLINK(CONCATENATE("#Metadata!", ADDRESS(INDEX($X$2:$X$1001,MATCH(ROWS($V$2:V18),$V$2:$V$1001,0),0), INDEX($AC$1004:$AS$1004,1,MATCH(COLUMNS($AC$1006:AL1006),$AC$1006:$AS$1006,0)))),"Fix")))</f>
        <v>0</v>
      </c>
      <c r="L18" s="5">
        <f>IF(OR(INDEX($W$2:$W$1001,MATCH(ROWS($V$2:V18),$V$2:$V$1001,0),1)&gt;=100000,INDEX($AC$1005:$AS$1005,1,MATCH(COLUMNS($AC$1006:AM1006),$AC$1006:$AS$1006,0))&gt;=100000), " ",IF(INDEX($AC$2:$AS$1001,MATCH(ROWS($V$2:V18),$V$2:$V$1001,0),MATCH(COLUMNS($AC$1006:AM1006),$AC$1006:$AS$1006,0)), HYPERLINK("#",""), HYPERLINK(CONCATENATE("#Metadata!", ADDRESS(INDEX($X$2:$X$1001,MATCH(ROWS($V$2:V18),$V$2:$V$1001,0),0), INDEX($AC$1004:$AS$1004,1,MATCH(COLUMNS($AC$1006:AM1006),$AC$1006:$AS$1006,0)))),"Fix")))</f>
        <v>0</v>
      </c>
      <c r="M18" s="5">
        <f>IF(OR(INDEX($W$2:$W$1001,MATCH(ROWS($V$2:V18),$V$2:$V$1001,0),1)&gt;=100000,INDEX($AC$1005:$AS$1005,1,MATCH(COLUMNS($AC$1006:AN1006),$AC$1006:$AS$1006,0))&gt;=100000), " ",IF(INDEX($AC$2:$AS$1001,MATCH(ROWS($V$2:V18),$V$2:$V$1001,0),MATCH(COLUMNS($AC$1006:AN1006),$AC$1006:$AS$1006,0)), HYPERLINK("#",""), HYPERLINK(CONCATENATE("#Metadata!", ADDRESS(INDEX($X$2:$X$1001,MATCH(ROWS($V$2:V18),$V$2:$V$1001,0),0), INDEX($AC$1004:$AS$1004,1,MATCH(COLUMNS($AC$1006:AN1006),$AC$1006:$AS$1006,0)))),"Fix")))</f>
        <v>0</v>
      </c>
      <c r="N18" s="5">
        <f>IF(OR(INDEX($W$2:$W$1001,MATCH(ROWS($V$2:V18),$V$2:$V$1001,0),1)&gt;=100000,INDEX($AC$1005:$AS$1005,1,MATCH(COLUMNS($AC$1006:AO1006),$AC$1006:$AS$1006,0))&gt;=100000), " ",IF(INDEX($AC$2:$AS$1001,MATCH(ROWS($V$2:V18),$V$2:$V$1001,0),MATCH(COLUMNS($AC$1006:AO1006),$AC$1006:$AS$1006,0)), HYPERLINK("#",""), HYPERLINK(CONCATENATE("#Metadata!", ADDRESS(INDEX($X$2:$X$1001,MATCH(ROWS($V$2:V18),$V$2:$V$1001,0),0), INDEX($AC$1004:$AS$1004,1,MATCH(COLUMNS($AC$1006:AO1006),$AC$1006:$AS$1006,0)))),"Fix")))</f>
        <v>0</v>
      </c>
      <c r="O18" s="5">
        <f>IF(OR(INDEX($W$2:$W$1001,MATCH(ROWS($V$2:V18),$V$2:$V$1001,0),1)&gt;=100000,INDEX($AC$1005:$AS$1005,1,MATCH(COLUMNS($AC$1006:AP1006),$AC$1006:$AS$1006,0))&gt;=100000), " ",IF(INDEX($AC$2:$AS$1001,MATCH(ROWS($V$2:V18),$V$2:$V$1001,0),MATCH(COLUMNS($AC$1006:AP1006),$AC$1006:$AS$1006,0)), HYPERLINK("#",""), HYPERLINK(CONCATENATE("#Metadata!", ADDRESS(INDEX($X$2:$X$1001,MATCH(ROWS($V$2:V18),$V$2:$V$1001,0),0), INDEX($AC$1004:$AS$1004,1,MATCH(COLUMNS($AC$1006:AP1006),$AC$1006:$AS$1006,0)))),"Fix")))</f>
        <v>0</v>
      </c>
      <c r="P18" s="5">
        <f>IF(OR(INDEX($W$2:$W$1001,MATCH(ROWS($V$2:V18),$V$2:$V$1001,0),1)&gt;=100000,INDEX($AC$1005:$AS$1005,1,MATCH(COLUMNS($AC$1006:AQ1006),$AC$1006:$AS$1006,0))&gt;=100000), " ",IF(INDEX($AC$2:$AS$1001,MATCH(ROWS($V$2:V18),$V$2:$V$1001,0),MATCH(COLUMNS($AC$1006:AQ1006),$AC$1006:$AS$1006,0)), HYPERLINK("#",""), HYPERLINK(CONCATENATE("#Metadata!", ADDRESS(INDEX($X$2:$X$1001,MATCH(ROWS($V$2:V18),$V$2:$V$1001,0),0), INDEX($AC$1004:$AS$1004,1,MATCH(COLUMNS($AC$1006:AQ1006),$AC$1006:$AS$1006,0)))),"Fix")))</f>
        <v>0</v>
      </c>
      <c r="Q18" s="5">
        <f>IF(OR(INDEX($W$2:$W$1001,MATCH(ROWS($V$2:V18),$V$2:$V$1001,0),1)&gt;=100000,INDEX($AC$1005:$AS$1005,1,MATCH(COLUMNS($AC$1006:AR1006),$AC$1006:$AS$1006,0))&gt;=100000), " ",IF(INDEX($AC$2:$AS$1001,MATCH(ROWS($V$2:V18),$V$2:$V$1001,0),MATCH(COLUMNS($AC$1006:AR1006),$AC$1006:$AS$1006,0)), HYPERLINK("#",""), HYPERLINK(CONCATENATE("#Metadata!", ADDRESS(INDEX($X$2:$X$1001,MATCH(ROWS($V$2:V18),$V$2:$V$1001,0),0), INDEX($AC$1004:$AS$1004,1,MATCH(COLUMNS($AC$1006:AR1006),$AC$1006:$AS$1006,0)))),"Fix")))</f>
        <v>0</v>
      </c>
      <c r="R18" s="5">
        <f>IF(OR(INDEX($W$2:$W$1001,MATCH(ROWS($V$2:V18),$V$2:$V$1001,0),1)&gt;=100000,INDEX($AC$1005:$AS$1005,1,MATCH(COLUMNS($AC$1006:AS1006),$AC$1006:$AS$1006,0))&gt;=100000), " ",IF(INDEX($AC$2:$AS$1001,MATCH(ROWS($V$2:V18),$V$2:$V$1001,0),MATCH(COLUMNS($AC$1006:AS1006),$AC$1006:$AS$1006,0)), HYPERLINK("#",""), HYPERLINK(CONCATENATE("#Metadata!", ADDRESS(INDEX($X$2:$X$1001,MATCH(ROWS($V$2:V18),$V$2:$V$1001,0),0), INDEX($AC$1004:$AS$1004,1,MATCH(COLUMNS($AC$1006:AS1006),$AC$1006:$AS$1006,0)))),"Fix")))</f>
        <v>0</v>
      </c>
      <c r="V18">
        <v>0</v>
      </c>
      <c r="W18">
        <v>0</v>
      </c>
      <c r="X18">
        <v>0</v>
      </c>
      <c r="Y18">
        <f>IF(Z18,TRUE,AND(AC18:AS18))</f>
        <v>0</v>
      </c>
      <c r="Z18">
        <f>COUNTBLANK(Metadata!B18:R18)=COLUMNS(Metadata!B18:R18)</f>
        <v>0</v>
      </c>
      <c r="AA18">
        <v>0</v>
      </c>
      <c r="AC18">
        <f>AND(IF(Metadata!B18="",FALSE,TRUE),COUNTIF(Metadata!B:B, Metadata!B18) = 1,NOT(ISERROR(SUMPRODUCT(SEARCH(MID(Metadata!B18,ROW(INDIRECT("1:"&amp;LEN(Metadata!B18))), 1),"0123456789abcdefghijklmnopqrstuvwxyzABCDEFGHIJKLMNOPQRSTUVWXYZ.")))))</f>
        <v>0</v>
      </c>
      <c r="AD18">
        <f>AND(IF(Metadata!C18="",FALSE,TRUE),exact(Metadata!C18,"Host-associated"))</f>
        <v>0</v>
      </c>
      <c r="AE18">
        <f>AND(IF(Metadata!D18="",FALSE,TRUE),OR(exact(Metadata!D18,"Animal"),exact(Metadata!D18,"Fungus"),exact(Metadata!D18,"Plant")))</f>
        <v>0</v>
      </c>
      <c r="AF18">
        <f>AND(IF(Metadata!E18="",FALSE,TRUE),OR(exact(Metadata!E18,"Plant secretion"),exact(Metadata!E18,"Plant rhizosphere"),exact(Metadata!E18,"Plant surface"),exact(Metadata!E18,"Plant corpus"),exact(Metadata!E18,"Fungus surface"),exact(Metadata!E18,"Fungus corpus"),exact(Metadata!E18,"Animal surface"),exact(Metadata!E18,"Animal proximal gut"),exact(Metadata!E18,"Animal corpus"),exact(Metadata!E18,"Animal distal gut"),exact(Metadata!E18,"Animal secretion")))</f>
        <v>0</v>
      </c>
      <c r="AG18">
        <f>OR(AND(IF(Metadata!F18="",FALSE,TRUE),OR(exact(Metadata!F18,"not collected"),exact(Metadata!F18,"not provided"),exact(Metadata!F18,"restricted access"))),AND(IF(Metadata!F18="",FALSE,TRUE),OR(exact(Metadata!F18,"organism-associated habitat"),exact(Metadata!F18,"plant-associated habitat"),exact(Metadata!F18,"animal-associated habitat"),exact(Metadata!F18,"insecta-associated habitat"),exact(Metadata!F18,"mammalia-associated habitat"),exact(Metadata!F18,"human-associated habitat"),exact(Metadata!F18,"livestock-associated habitat"))))</f>
        <v>0</v>
      </c>
      <c r="AH18">
        <f>AND(IF(Metadata!G18="",FALSE,TRUE),exact(Metadata!G18,"host-associated"))</f>
        <v>0</v>
      </c>
      <c r="AI18">
        <f>OR(AND(IF(Metadata!H18="",FALSE,TRUE),OR(exact(Metadata!H18,"not collected"),exact(Metadata!H18,"not provided"))),AND(IF(Metadata!H18="",FALSE,ISNUMBER(VALUE(Metadata!H18))),Metadata!H18&gt;0))</f>
        <v>0</v>
      </c>
      <c r="AJ18">
        <f>AND(IF(Metadata!I18="",FALSE,TRUE),exact(Metadata!I18,"years"))</f>
        <v>0</v>
      </c>
      <c r="AK18">
        <f>IF(Metadata!J18="",FALSE,TRUE)</f>
        <v>0</v>
      </c>
      <c r="AL18">
        <f>OR(AND(IF(Metadata!K18="",FALSE,TRUE),OR(exact(Metadata!K18,"not collected"),exact(Metadata!K18,"not provided"))),AND(IF(Metadata!K18="",FALSE,ISNUMBER(VALUE(Metadata!K18))),Metadata!K18&gt;0))</f>
        <v>0</v>
      </c>
      <c r="AM18">
        <f>AND(IF(Metadata!L18="",FALSE,TRUE),exact(Metadata!L18,"cm"))</f>
        <v>0</v>
      </c>
      <c r="AN18">
        <f>IF(Metadata!M18="",FALSE,TRUE)</f>
        <v>0</v>
      </c>
      <c r="AO18">
        <f>OR(AND(IF(Metadata!N18="",FALSE,TRUE),OR(exact(Metadata!N18,"not applicable"),exact(Metadata!N18,"not collected"),exact(Metadata!N18,"not provided"))),AND(IF(Metadata!N18="",FALSE,IF(ISERROR(INT(Metadata!N18)),FALSE,INT(Metadata!N18)=Metadata!N18)),Metadata!N18&gt;0))</f>
        <v>0</v>
      </c>
      <c r="AP18">
        <f>OR(AND(IF(Metadata!O18="",FALSE,TRUE),OR(exact(Metadata!O18,"not collected"),exact(Metadata!O18,"not provided"))),AND(IF(Metadata!O18="",FALSE,ISNUMBER(VALUE(Metadata!O18))),Metadata!O18&gt;0))</f>
        <v>0</v>
      </c>
      <c r="AQ18">
        <f>AND(IF(Metadata!P18="",FALSE,TRUE),exact(Metadata!P18,"kg"))</f>
        <v>0</v>
      </c>
      <c r="AR18">
        <f>OR(AND(IF(Metadata!Q18="",FALSE,TRUE),OR(exact(Metadata!Q18,"not applicable"),exact(Metadata!Q18,"not collected"),exact(Metadata!Q18,"not provided"),exact(Metadata!Q18,"restricted access"))),IF(Metadata!Q18="",FALSE,IF(ISERROR(INT(Metadata!Q18)),FALSE,INT(Metadata!Q18)=Metadata!Q18)))</f>
        <v>0</v>
      </c>
      <c r="AS18">
        <f>AND(IF(Metadata!R18="",FALSE,TRUE),exact(Metadata!R18,"Not applicable"))</f>
        <v>0</v>
      </c>
    </row>
    <row r="19" spans="1:45">
      <c r="A19" s="4">
        <f>IF(B19=" "," ",HYPERLINK(CONCATENATE("#metadata!",ADDRESS(INDEX($X$2:$X$1001,MATCH(ROWS($V$2:V19),$V$2:$V$1001,0),0),2)),INDEX($AA$2:$AA$1001,MATCH(ROWS($V$2:V19),$V$2:$V$1001,0),0)))</f>
        <v>0</v>
      </c>
      <c r="B19" s="5">
        <f>IF(OR(INDEX($W$2:$W$1001,MATCH(ROWS($V$2:V19),$V$2:$V$1001,0),1)&gt;=100000,INDEX($AC$1005:$AS$1005,1,MATCH(COLUMNS($AC$1006:AC1006),$AC$1006:$AS$1006,0))&gt;=100000), " ",IF(INDEX($AC$2:$AS$1001,MATCH(ROWS($V$2:V19),$V$2:$V$1001,0),MATCH(COLUMNS($AC$1006:AC1006),$AC$1006:$AS$1006,0)), HYPERLINK("#",""), HYPERLINK(CONCATENATE("#Metadata!", ADDRESS(INDEX($X$2:$X$1001,MATCH(ROWS($V$2:V19),$V$2:$V$1001,0),0), INDEX($AC$1004:$AS$1004,1,MATCH(COLUMNS($AC$1006:AC1006),$AC$1006:$AS$1006,0)))),"Fix")))</f>
        <v>0</v>
      </c>
      <c r="C19" s="5">
        <f>IF(OR(INDEX($W$2:$W$1001,MATCH(ROWS($V$2:V19),$V$2:$V$1001,0),1)&gt;=100000,INDEX($AC$1005:$AS$1005,1,MATCH(COLUMNS($AC$1006:AD1006),$AC$1006:$AS$1006,0))&gt;=100000), " ",IF(INDEX($AC$2:$AS$1001,MATCH(ROWS($V$2:V19),$V$2:$V$1001,0),MATCH(COLUMNS($AC$1006:AD1006),$AC$1006:$AS$1006,0)), HYPERLINK("#",""), HYPERLINK(CONCATENATE("#Metadata!", ADDRESS(INDEX($X$2:$X$1001,MATCH(ROWS($V$2:V19),$V$2:$V$1001,0),0), INDEX($AC$1004:$AS$1004,1,MATCH(COLUMNS($AC$1006:AD1006),$AC$1006:$AS$1006,0)))),"Fix")))</f>
        <v>0</v>
      </c>
      <c r="D19" s="5">
        <f>IF(OR(INDEX($W$2:$W$1001,MATCH(ROWS($V$2:V19),$V$2:$V$1001,0),1)&gt;=100000,INDEX($AC$1005:$AS$1005,1,MATCH(COLUMNS($AC$1006:AE1006),$AC$1006:$AS$1006,0))&gt;=100000), " ",IF(INDEX($AC$2:$AS$1001,MATCH(ROWS($V$2:V19),$V$2:$V$1001,0),MATCH(COLUMNS($AC$1006:AE1006),$AC$1006:$AS$1006,0)), HYPERLINK("#",""), HYPERLINK(CONCATENATE("#Metadata!", ADDRESS(INDEX($X$2:$X$1001,MATCH(ROWS($V$2:V19),$V$2:$V$1001,0),0), INDEX($AC$1004:$AS$1004,1,MATCH(COLUMNS($AC$1006:AE1006),$AC$1006:$AS$1006,0)))),"Fix")))</f>
        <v>0</v>
      </c>
      <c r="E19" s="5">
        <f>IF(OR(INDEX($W$2:$W$1001,MATCH(ROWS($V$2:V19),$V$2:$V$1001,0),1)&gt;=100000,INDEX($AC$1005:$AS$1005,1,MATCH(COLUMNS($AC$1006:AF1006),$AC$1006:$AS$1006,0))&gt;=100000), " ",IF(INDEX($AC$2:$AS$1001,MATCH(ROWS($V$2:V19),$V$2:$V$1001,0),MATCH(COLUMNS($AC$1006:AF1006),$AC$1006:$AS$1006,0)), HYPERLINK("#",""), HYPERLINK(CONCATENATE("#Metadata!", ADDRESS(INDEX($X$2:$X$1001,MATCH(ROWS($V$2:V19),$V$2:$V$1001,0),0), INDEX($AC$1004:$AS$1004,1,MATCH(COLUMNS($AC$1006:AF1006),$AC$1006:$AS$1006,0)))),"Fix")))</f>
        <v>0</v>
      </c>
      <c r="F19" s="5">
        <f>IF(OR(INDEX($W$2:$W$1001,MATCH(ROWS($V$2:V19),$V$2:$V$1001,0),1)&gt;=100000,INDEX($AC$1005:$AS$1005,1,MATCH(COLUMNS($AC$1006:AG1006),$AC$1006:$AS$1006,0))&gt;=100000), " ",IF(INDEX($AC$2:$AS$1001,MATCH(ROWS($V$2:V19),$V$2:$V$1001,0),MATCH(COLUMNS($AC$1006:AG1006),$AC$1006:$AS$1006,0)), HYPERLINK("#",""), HYPERLINK(CONCATENATE("#Metadata!", ADDRESS(INDEX($X$2:$X$1001,MATCH(ROWS($V$2:V19),$V$2:$V$1001,0),0), INDEX($AC$1004:$AS$1004,1,MATCH(COLUMNS($AC$1006:AG1006),$AC$1006:$AS$1006,0)))),"Fix")))</f>
        <v>0</v>
      </c>
      <c r="G19" s="5">
        <f>IF(OR(INDEX($W$2:$W$1001,MATCH(ROWS($V$2:V19),$V$2:$V$1001,0),1)&gt;=100000,INDEX($AC$1005:$AS$1005,1,MATCH(COLUMNS($AC$1006:AH1006),$AC$1006:$AS$1006,0))&gt;=100000), " ",IF(INDEX($AC$2:$AS$1001,MATCH(ROWS($V$2:V19),$V$2:$V$1001,0),MATCH(COLUMNS($AC$1006:AH1006),$AC$1006:$AS$1006,0)), HYPERLINK("#",""), HYPERLINK(CONCATENATE("#Metadata!", ADDRESS(INDEX($X$2:$X$1001,MATCH(ROWS($V$2:V19),$V$2:$V$1001,0),0), INDEX($AC$1004:$AS$1004,1,MATCH(COLUMNS($AC$1006:AH1006),$AC$1006:$AS$1006,0)))),"Fix")))</f>
        <v>0</v>
      </c>
      <c r="H19" s="5">
        <f>IF(OR(INDEX($W$2:$W$1001,MATCH(ROWS($V$2:V19),$V$2:$V$1001,0),1)&gt;=100000,INDEX($AC$1005:$AS$1005,1,MATCH(COLUMNS($AC$1006:AI1006),$AC$1006:$AS$1006,0))&gt;=100000), " ",IF(INDEX($AC$2:$AS$1001,MATCH(ROWS($V$2:V19),$V$2:$V$1001,0),MATCH(COLUMNS($AC$1006:AI1006),$AC$1006:$AS$1006,0)), HYPERLINK("#",""), HYPERLINK(CONCATENATE("#Metadata!", ADDRESS(INDEX($X$2:$X$1001,MATCH(ROWS($V$2:V19),$V$2:$V$1001,0),0), INDEX($AC$1004:$AS$1004,1,MATCH(COLUMNS($AC$1006:AI1006),$AC$1006:$AS$1006,0)))),"Fix")))</f>
        <v>0</v>
      </c>
      <c r="I19" s="5">
        <f>IF(OR(INDEX($W$2:$W$1001,MATCH(ROWS($V$2:V19),$V$2:$V$1001,0),1)&gt;=100000,INDEX($AC$1005:$AS$1005,1,MATCH(COLUMNS($AC$1006:AJ1006),$AC$1006:$AS$1006,0))&gt;=100000), " ",IF(INDEX($AC$2:$AS$1001,MATCH(ROWS($V$2:V19),$V$2:$V$1001,0),MATCH(COLUMNS($AC$1006:AJ1006),$AC$1006:$AS$1006,0)), HYPERLINK("#",""), HYPERLINK(CONCATENATE("#Metadata!", ADDRESS(INDEX($X$2:$X$1001,MATCH(ROWS($V$2:V19),$V$2:$V$1001,0),0), INDEX($AC$1004:$AS$1004,1,MATCH(COLUMNS($AC$1006:AJ1006),$AC$1006:$AS$1006,0)))),"Fix")))</f>
        <v>0</v>
      </c>
      <c r="J19" s="5">
        <f>IF(OR(INDEX($W$2:$W$1001,MATCH(ROWS($V$2:V19),$V$2:$V$1001,0),1)&gt;=100000,INDEX($AC$1005:$AS$1005,1,MATCH(COLUMNS($AC$1006:AK1006),$AC$1006:$AS$1006,0))&gt;=100000), " ",IF(INDEX($AC$2:$AS$1001,MATCH(ROWS($V$2:V19),$V$2:$V$1001,0),MATCH(COLUMNS($AC$1006:AK1006),$AC$1006:$AS$1006,0)), HYPERLINK("#",""), HYPERLINK(CONCATENATE("#Metadata!", ADDRESS(INDEX($X$2:$X$1001,MATCH(ROWS($V$2:V19),$V$2:$V$1001,0),0), INDEX($AC$1004:$AS$1004,1,MATCH(COLUMNS($AC$1006:AK1006),$AC$1006:$AS$1006,0)))),"Fix")))</f>
        <v>0</v>
      </c>
      <c r="K19" s="5">
        <f>IF(OR(INDEX($W$2:$W$1001,MATCH(ROWS($V$2:V19),$V$2:$V$1001,0),1)&gt;=100000,INDEX($AC$1005:$AS$1005,1,MATCH(COLUMNS($AC$1006:AL1006),$AC$1006:$AS$1006,0))&gt;=100000), " ",IF(INDEX($AC$2:$AS$1001,MATCH(ROWS($V$2:V19),$V$2:$V$1001,0),MATCH(COLUMNS($AC$1006:AL1006),$AC$1006:$AS$1006,0)), HYPERLINK("#",""), HYPERLINK(CONCATENATE("#Metadata!", ADDRESS(INDEX($X$2:$X$1001,MATCH(ROWS($V$2:V19),$V$2:$V$1001,0),0), INDEX($AC$1004:$AS$1004,1,MATCH(COLUMNS($AC$1006:AL1006),$AC$1006:$AS$1006,0)))),"Fix")))</f>
        <v>0</v>
      </c>
      <c r="L19" s="5">
        <f>IF(OR(INDEX($W$2:$W$1001,MATCH(ROWS($V$2:V19),$V$2:$V$1001,0),1)&gt;=100000,INDEX($AC$1005:$AS$1005,1,MATCH(COLUMNS($AC$1006:AM1006),$AC$1006:$AS$1006,0))&gt;=100000), " ",IF(INDEX($AC$2:$AS$1001,MATCH(ROWS($V$2:V19),$V$2:$V$1001,0),MATCH(COLUMNS($AC$1006:AM1006),$AC$1006:$AS$1006,0)), HYPERLINK("#",""), HYPERLINK(CONCATENATE("#Metadata!", ADDRESS(INDEX($X$2:$X$1001,MATCH(ROWS($V$2:V19),$V$2:$V$1001,0),0), INDEX($AC$1004:$AS$1004,1,MATCH(COLUMNS($AC$1006:AM1006),$AC$1006:$AS$1006,0)))),"Fix")))</f>
        <v>0</v>
      </c>
      <c r="M19" s="5">
        <f>IF(OR(INDEX($W$2:$W$1001,MATCH(ROWS($V$2:V19),$V$2:$V$1001,0),1)&gt;=100000,INDEX($AC$1005:$AS$1005,1,MATCH(COLUMNS($AC$1006:AN1006),$AC$1006:$AS$1006,0))&gt;=100000), " ",IF(INDEX($AC$2:$AS$1001,MATCH(ROWS($V$2:V19),$V$2:$V$1001,0),MATCH(COLUMNS($AC$1006:AN1006),$AC$1006:$AS$1006,0)), HYPERLINK("#",""), HYPERLINK(CONCATENATE("#Metadata!", ADDRESS(INDEX($X$2:$X$1001,MATCH(ROWS($V$2:V19),$V$2:$V$1001,0),0), INDEX($AC$1004:$AS$1004,1,MATCH(COLUMNS($AC$1006:AN1006),$AC$1006:$AS$1006,0)))),"Fix")))</f>
        <v>0</v>
      </c>
      <c r="N19" s="5">
        <f>IF(OR(INDEX($W$2:$W$1001,MATCH(ROWS($V$2:V19),$V$2:$V$1001,0),1)&gt;=100000,INDEX($AC$1005:$AS$1005,1,MATCH(COLUMNS($AC$1006:AO1006),$AC$1006:$AS$1006,0))&gt;=100000), " ",IF(INDEX($AC$2:$AS$1001,MATCH(ROWS($V$2:V19),$V$2:$V$1001,0),MATCH(COLUMNS($AC$1006:AO1006),$AC$1006:$AS$1006,0)), HYPERLINK("#",""), HYPERLINK(CONCATENATE("#Metadata!", ADDRESS(INDEX($X$2:$X$1001,MATCH(ROWS($V$2:V19),$V$2:$V$1001,0),0), INDEX($AC$1004:$AS$1004,1,MATCH(COLUMNS($AC$1006:AO1006),$AC$1006:$AS$1006,0)))),"Fix")))</f>
        <v>0</v>
      </c>
      <c r="O19" s="5">
        <f>IF(OR(INDEX($W$2:$W$1001,MATCH(ROWS($V$2:V19),$V$2:$V$1001,0),1)&gt;=100000,INDEX($AC$1005:$AS$1005,1,MATCH(COLUMNS($AC$1006:AP1006),$AC$1006:$AS$1006,0))&gt;=100000), " ",IF(INDEX($AC$2:$AS$1001,MATCH(ROWS($V$2:V19),$V$2:$V$1001,0),MATCH(COLUMNS($AC$1006:AP1006),$AC$1006:$AS$1006,0)), HYPERLINK("#",""), HYPERLINK(CONCATENATE("#Metadata!", ADDRESS(INDEX($X$2:$X$1001,MATCH(ROWS($V$2:V19),$V$2:$V$1001,0),0), INDEX($AC$1004:$AS$1004,1,MATCH(COLUMNS($AC$1006:AP1006),$AC$1006:$AS$1006,0)))),"Fix")))</f>
        <v>0</v>
      </c>
      <c r="P19" s="5">
        <f>IF(OR(INDEX($W$2:$W$1001,MATCH(ROWS($V$2:V19),$V$2:$V$1001,0),1)&gt;=100000,INDEX($AC$1005:$AS$1005,1,MATCH(COLUMNS($AC$1006:AQ1006),$AC$1006:$AS$1006,0))&gt;=100000), " ",IF(INDEX($AC$2:$AS$1001,MATCH(ROWS($V$2:V19),$V$2:$V$1001,0),MATCH(COLUMNS($AC$1006:AQ1006),$AC$1006:$AS$1006,0)), HYPERLINK("#",""), HYPERLINK(CONCATENATE("#Metadata!", ADDRESS(INDEX($X$2:$X$1001,MATCH(ROWS($V$2:V19),$V$2:$V$1001,0),0), INDEX($AC$1004:$AS$1004,1,MATCH(COLUMNS($AC$1006:AQ1006),$AC$1006:$AS$1006,0)))),"Fix")))</f>
        <v>0</v>
      </c>
      <c r="Q19" s="5">
        <f>IF(OR(INDEX($W$2:$W$1001,MATCH(ROWS($V$2:V19),$V$2:$V$1001,0),1)&gt;=100000,INDEX($AC$1005:$AS$1005,1,MATCH(COLUMNS($AC$1006:AR1006),$AC$1006:$AS$1006,0))&gt;=100000), " ",IF(INDEX($AC$2:$AS$1001,MATCH(ROWS($V$2:V19),$V$2:$V$1001,0),MATCH(COLUMNS($AC$1006:AR1006),$AC$1006:$AS$1006,0)), HYPERLINK("#",""), HYPERLINK(CONCATENATE("#Metadata!", ADDRESS(INDEX($X$2:$X$1001,MATCH(ROWS($V$2:V19),$V$2:$V$1001,0),0), INDEX($AC$1004:$AS$1004,1,MATCH(COLUMNS($AC$1006:AR1006),$AC$1006:$AS$1006,0)))),"Fix")))</f>
        <v>0</v>
      </c>
      <c r="R19" s="5">
        <f>IF(OR(INDEX($W$2:$W$1001,MATCH(ROWS($V$2:V19),$V$2:$V$1001,0),1)&gt;=100000,INDEX($AC$1005:$AS$1005,1,MATCH(COLUMNS($AC$1006:AS1006),$AC$1006:$AS$1006,0))&gt;=100000), " ",IF(INDEX($AC$2:$AS$1001,MATCH(ROWS($V$2:V19),$V$2:$V$1001,0),MATCH(COLUMNS($AC$1006:AS1006),$AC$1006:$AS$1006,0)), HYPERLINK("#",""), HYPERLINK(CONCATENATE("#Metadata!", ADDRESS(INDEX($X$2:$X$1001,MATCH(ROWS($V$2:V19),$V$2:$V$1001,0),0), INDEX($AC$1004:$AS$1004,1,MATCH(COLUMNS($AC$1006:AS1006),$AC$1006:$AS$1006,0)))),"Fix")))</f>
        <v>0</v>
      </c>
      <c r="V19">
        <v>0</v>
      </c>
      <c r="W19">
        <v>0</v>
      </c>
      <c r="X19">
        <v>0</v>
      </c>
      <c r="Y19">
        <f>IF(Z19,TRUE,AND(AC19:AS19))</f>
        <v>0</v>
      </c>
      <c r="Z19">
        <f>COUNTBLANK(Metadata!B19:R19)=COLUMNS(Metadata!B19:R19)</f>
        <v>0</v>
      </c>
      <c r="AA19">
        <v>0</v>
      </c>
      <c r="AC19">
        <f>AND(IF(Metadata!B19="",FALSE,TRUE),COUNTIF(Metadata!B:B, Metadata!B19) = 1,NOT(ISERROR(SUMPRODUCT(SEARCH(MID(Metadata!B19,ROW(INDIRECT("1:"&amp;LEN(Metadata!B19))), 1),"0123456789abcdefghijklmnopqrstuvwxyzABCDEFGHIJKLMNOPQRSTUVWXYZ.")))))</f>
        <v>0</v>
      </c>
      <c r="AD19">
        <f>AND(IF(Metadata!C19="",FALSE,TRUE),exact(Metadata!C19,"Host-associated"))</f>
        <v>0</v>
      </c>
      <c r="AE19">
        <f>AND(IF(Metadata!D19="",FALSE,TRUE),OR(exact(Metadata!D19,"Animal"),exact(Metadata!D19,"Fungus"),exact(Metadata!D19,"Plant")))</f>
        <v>0</v>
      </c>
      <c r="AF19">
        <f>AND(IF(Metadata!E19="",FALSE,TRUE),OR(exact(Metadata!E19,"Plant secretion"),exact(Metadata!E19,"Plant rhizosphere"),exact(Metadata!E19,"Plant surface"),exact(Metadata!E19,"Plant corpus"),exact(Metadata!E19,"Fungus surface"),exact(Metadata!E19,"Fungus corpus"),exact(Metadata!E19,"Animal surface"),exact(Metadata!E19,"Animal proximal gut"),exact(Metadata!E19,"Animal corpus"),exact(Metadata!E19,"Animal distal gut"),exact(Metadata!E19,"Animal secretion")))</f>
        <v>0</v>
      </c>
      <c r="AG19">
        <f>OR(AND(IF(Metadata!F19="",FALSE,TRUE),OR(exact(Metadata!F19,"not collected"),exact(Metadata!F19,"not provided"),exact(Metadata!F19,"restricted access"))),AND(IF(Metadata!F19="",FALSE,TRUE),OR(exact(Metadata!F19,"organism-associated habitat"),exact(Metadata!F19,"plant-associated habitat"),exact(Metadata!F19,"animal-associated habitat"),exact(Metadata!F19,"insecta-associated habitat"),exact(Metadata!F19,"mammalia-associated habitat"),exact(Metadata!F19,"human-associated habitat"),exact(Metadata!F19,"livestock-associated habitat"))))</f>
        <v>0</v>
      </c>
      <c r="AH19">
        <f>AND(IF(Metadata!G19="",FALSE,TRUE),exact(Metadata!G19,"host-associated"))</f>
        <v>0</v>
      </c>
      <c r="AI19">
        <f>OR(AND(IF(Metadata!H19="",FALSE,TRUE),OR(exact(Metadata!H19,"not collected"),exact(Metadata!H19,"not provided"))),AND(IF(Metadata!H19="",FALSE,ISNUMBER(VALUE(Metadata!H19))),Metadata!H19&gt;0))</f>
        <v>0</v>
      </c>
      <c r="AJ19">
        <f>AND(IF(Metadata!I19="",FALSE,TRUE),exact(Metadata!I19,"years"))</f>
        <v>0</v>
      </c>
      <c r="AK19">
        <f>IF(Metadata!J19="",FALSE,TRUE)</f>
        <v>0</v>
      </c>
      <c r="AL19">
        <f>OR(AND(IF(Metadata!K19="",FALSE,TRUE),OR(exact(Metadata!K19,"not collected"),exact(Metadata!K19,"not provided"))),AND(IF(Metadata!K19="",FALSE,ISNUMBER(VALUE(Metadata!K19))),Metadata!K19&gt;0))</f>
        <v>0</v>
      </c>
      <c r="AM19">
        <f>AND(IF(Metadata!L19="",FALSE,TRUE),exact(Metadata!L19,"cm"))</f>
        <v>0</v>
      </c>
      <c r="AN19">
        <f>IF(Metadata!M19="",FALSE,TRUE)</f>
        <v>0</v>
      </c>
      <c r="AO19">
        <f>OR(AND(IF(Metadata!N19="",FALSE,TRUE),OR(exact(Metadata!N19,"not applicable"),exact(Metadata!N19,"not collected"),exact(Metadata!N19,"not provided"))),AND(IF(Metadata!N19="",FALSE,IF(ISERROR(INT(Metadata!N19)),FALSE,INT(Metadata!N19)=Metadata!N19)),Metadata!N19&gt;0))</f>
        <v>0</v>
      </c>
      <c r="AP19">
        <f>OR(AND(IF(Metadata!O19="",FALSE,TRUE),OR(exact(Metadata!O19,"not collected"),exact(Metadata!O19,"not provided"))),AND(IF(Metadata!O19="",FALSE,ISNUMBER(VALUE(Metadata!O19))),Metadata!O19&gt;0))</f>
        <v>0</v>
      </c>
      <c r="AQ19">
        <f>AND(IF(Metadata!P19="",FALSE,TRUE),exact(Metadata!P19,"kg"))</f>
        <v>0</v>
      </c>
      <c r="AR19">
        <f>OR(AND(IF(Metadata!Q19="",FALSE,TRUE),OR(exact(Metadata!Q19,"not applicable"),exact(Metadata!Q19,"not collected"),exact(Metadata!Q19,"not provided"),exact(Metadata!Q19,"restricted access"))),IF(Metadata!Q19="",FALSE,IF(ISERROR(INT(Metadata!Q19)),FALSE,INT(Metadata!Q19)=Metadata!Q19)))</f>
        <v>0</v>
      </c>
      <c r="AS19">
        <f>AND(IF(Metadata!R19="",FALSE,TRUE),exact(Metadata!R19,"Not applicable"))</f>
        <v>0</v>
      </c>
    </row>
    <row r="20" spans="1:45">
      <c r="A20" s="4">
        <f>IF(B20=" "," ",HYPERLINK(CONCATENATE("#metadata!",ADDRESS(INDEX($X$2:$X$1001,MATCH(ROWS($V$2:V20),$V$2:$V$1001,0),0),2)),INDEX($AA$2:$AA$1001,MATCH(ROWS($V$2:V20),$V$2:$V$1001,0),0)))</f>
        <v>0</v>
      </c>
      <c r="B20" s="5">
        <f>IF(OR(INDEX($W$2:$W$1001,MATCH(ROWS($V$2:V20),$V$2:$V$1001,0),1)&gt;=100000,INDEX($AC$1005:$AS$1005,1,MATCH(COLUMNS($AC$1006:AC1006),$AC$1006:$AS$1006,0))&gt;=100000), " ",IF(INDEX($AC$2:$AS$1001,MATCH(ROWS($V$2:V20),$V$2:$V$1001,0),MATCH(COLUMNS($AC$1006:AC1006),$AC$1006:$AS$1006,0)), HYPERLINK("#",""), HYPERLINK(CONCATENATE("#Metadata!", ADDRESS(INDEX($X$2:$X$1001,MATCH(ROWS($V$2:V20),$V$2:$V$1001,0),0), INDEX($AC$1004:$AS$1004,1,MATCH(COLUMNS($AC$1006:AC1006),$AC$1006:$AS$1006,0)))),"Fix")))</f>
        <v>0</v>
      </c>
      <c r="C20" s="5">
        <f>IF(OR(INDEX($W$2:$W$1001,MATCH(ROWS($V$2:V20),$V$2:$V$1001,0),1)&gt;=100000,INDEX($AC$1005:$AS$1005,1,MATCH(COLUMNS($AC$1006:AD1006),$AC$1006:$AS$1006,0))&gt;=100000), " ",IF(INDEX($AC$2:$AS$1001,MATCH(ROWS($V$2:V20),$V$2:$V$1001,0),MATCH(COLUMNS($AC$1006:AD1006),$AC$1006:$AS$1006,0)), HYPERLINK("#",""), HYPERLINK(CONCATENATE("#Metadata!", ADDRESS(INDEX($X$2:$X$1001,MATCH(ROWS($V$2:V20),$V$2:$V$1001,0),0), INDEX($AC$1004:$AS$1004,1,MATCH(COLUMNS($AC$1006:AD1006),$AC$1006:$AS$1006,0)))),"Fix")))</f>
        <v>0</v>
      </c>
      <c r="D20" s="5">
        <f>IF(OR(INDEX($W$2:$W$1001,MATCH(ROWS($V$2:V20),$V$2:$V$1001,0),1)&gt;=100000,INDEX($AC$1005:$AS$1005,1,MATCH(COLUMNS($AC$1006:AE1006),$AC$1006:$AS$1006,0))&gt;=100000), " ",IF(INDEX($AC$2:$AS$1001,MATCH(ROWS($V$2:V20),$V$2:$V$1001,0),MATCH(COLUMNS($AC$1006:AE1006),$AC$1006:$AS$1006,0)), HYPERLINK("#",""), HYPERLINK(CONCATENATE("#Metadata!", ADDRESS(INDEX($X$2:$X$1001,MATCH(ROWS($V$2:V20),$V$2:$V$1001,0),0), INDEX($AC$1004:$AS$1004,1,MATCH(COLUMNS($AC$1006:AE1006),$AC$1006:$AS$1006,0)))),"Fix")))</f>
        <v>0</v>
      </c>
      <c r="E20" s="5">
        <f>IF(OR(INDEX($W$2:$W$1001,MATCH(ROWS($V$2:V20),$V$2:$V$1001,0),1)&gt;=100000,INDEX($AC$1005:$AS$1005,1,MATCH(COLUMNS($AC$1006:AF1006),$AC$1006:$AS$1006,0))&gt;=100000), " ",IF(INDEX($AC$2:$AS$1001,MATCH(ROWS($V$2:V20),$V$2:$V$1001,0),MATCH(COLUMNS($AC$1006:AF1006),$AC$1006:$AS$1006,0)), HYPERLINK("#",""), HYPERLINK(CONCATENATE("#Metadata!", ADDRESS(INDEX($X$2:$X$1001,MATCH(ROWS($V$2:V20),$V$2:$V$1001,0),0), INDEX($AC$1004:$AS$1004,1,MATCH(COLUMNS($AC$1006:AF1006),$AC$1006:$AS$1006,0)))),"Fix")))</f>
        <v>0</v>
      </c>
      <c r="F20" s="5">
        <f>IF(OR(INDEX($W$2:$W$1001,MATCH(ROWS($V$2:V20),$V$2:$V$1001,0),1)&gt;=100000,INDEX($AC$1005:$AS$1005,1,MATCH(COLUMNS($AC$1006:AG1006),$AC$1006:$AS$1006,0))&gt;=100000), " ",IF(INDEX($AC$2:$AS$1001,MATCH(ROWS($V$2:V20),$V$2:$V$1001,0),MATCH(COLUMNS($AC$1006:AG1006),$AC$1006:$AS$1006,0)), HYPERLINK("#",""), HYPERLINK(CONCATENATE("#Metadata!", ADDRESS(INDEX($X$2:$X$1001,MATCH(ROWS($V$2:V20),$V$2:$V$1001,0),0), INDEX($AC$1004:$AS$1004,1,MATCH(COLUMNS($AC$1006:AG1006),$AC$1006:$AS$1006,0)))),"Fix")))</f>
        <v>0</v>
      </c>
      <c r="G20" s="5">
        <f>IF(OR(INDEX($W$2:$W$1001,MATCH(ROWS($V$2:V20),$V$2:$V$1001,0),1)&gt;=100000,INDEX($AC$1005:$AS$1005,1,MATCH(COLUMNS($AC$1006:AH1006),$AC$1006:$AS$1006,0))&gt;=100000), " ",IF(INDEX($AC$2:$AS$1001,MATCH(ROWS($V$2:V20),$V$2:$V$1001,0),MATCH(COLUMNS($AC$1006:AH1006),$AC$1006:$AS$1006,0)), HYPERLINK("#",""), HYPERLINK(CONCATENATE("#Metadata!", ADDRESS(INDEX($X$2:$X$1001,MATCH(ROWS($V$2:V20),$V$2:$V$1001,0),0), INDEX($AC$1004:$AS$1004,1,MATCH(COLUMNS($AC$1006:AH1006),$AC$1006:$AS$1006,0)))),"Fix")))</f>
        <v>0</v>
      </c>
      <c r="H20" s="5">
        <f>IF(OR(INDEX($W$2:$W$1001,MATCH(ROWS($V$2:V20),$V$2:$V$1001,0),1)&gt;=100000,INDEX($AC$1005:$AS$1005,1,MATCH(COLUMNS($AC$1006:AI1006),$AC$1006:$AS$1006,0))&gt;=100000), " ",IF(INDEX($AC$2:$AS$1001,MATCH(ROWS($V$2:V20),$V$2:$V$1001,0),MATCH(COLUMNS($AC$1006:AI1006),$AC$1006:$AS$1006,0)), HYPERLINK("#",""), HYPERLINK(CONCATENATE("#Metadata!", ADDRESS(INDEX($X$2:$X$1001,MATCH(ROWS($V$2:V20),$V$2:$V$1001,0),0), INDEX($AC$1004:$AS$1004,1,MATCH(COLUMNS($AC$1006:AI1006),$AC$1006:$AS$1006,0)))),"Fix")))</f>
        <v>0</v>
      </c>
      <c r="I20" s="5">
        <f>IF(OR(INDEX($W$2:$W$1001,MATCH(ROWS($V$2:V20),$V$2:$V$1001,0),1)&gt;=100000,INDEX($AC$1005:$AS$1005,1,MATCH(COLUMNS($AC$1006:AJ1006),$AC$1006:$AS$1006,0))&gt;=100000), " ",IF(INDEX($AC$2:$AS$1001,MATCH(ROWS($V$2:V20),$V$2:$V$1001,0),MATCH(COLUMNS($AC$1006:AJ1006),$AC$1006:$AS$1006,0)), HYPERLINK("#",""), HYPERLINK(CONCATENATE("#Metadata!", ADDRESS(INDEX($X$2:$X$1001,MATCH(ROWS($V$2:V20),$V$2:$V$1001,0),0), INDEX($AC$1004:$AS$1004,1,MATCH(COLUMNS($AC$1006:AJ1006),$AC$1006:$AS$1006,0)))),"Fix")))</f>
        <v>0</v>
      </c>
      <c r="J20" s="5">
        <f>IF(OR(INDEX($W$2:$W$1001,MATCH(ROWS($V$2:V20),$V$2:$V$1001,0),1)&gt;=100000,INDEX($AC$1005:$AS$1005,1,MATCH(COLUMNS($AC$1006:AK1006),$AC$1006:$AS$1006,0))&gt;=100000), " ",IF(INDEX($AC$2:$AS$1001,MATCH(ROWS($V$2:V20),$V$2:$V$1001,0),MATCH(COLUMNS($AC$1006:AK1006),$AC$1006:$AS$1006,0)), HYPERLINK("#",""), HYPERLINK(CONCATENATE("#Metadata!", ADDRESS(INDEX($X$2:$X$1001,MATCH(ROWS($V$2:V20),$V$2:$V$1001,0),0), INDEX($AC$1004:$AS$1004,1,MATCH(COLUMNS($AC$1006:AK1006),$AC$1006:$AS$1006,0)))),"Fix")))</f>
        <v>0</v>
      </c>
      <c r="K20" s="5">
        <f>IF(OR(INDEX($W$2:$W$1001,MATCH(ROWS($V$2:V20),$V$2:$V$1001,0),1)&gt;=100000,INDEX($AC$1005:$AS$1005,1,MATCH(COLUMNS($AC$1006:AL1006),$AC$1006:$AS$1006,0))&gt;=100000), " ",IF(INDEX($AC$2:$AS$1001,MATCH(ROWS($V$2:V20),$V$2:$V$1001,0),MATCH(COLUMNS($AC$1006:AL1006),$AC$1006:$AS$1006,0)), HYPERLINK("#",""), HYPERLINK(CONCATENATE("#Metadata!", ADDRESS(INDEX($X$2:$X$1001,MATCH(ROWS($V$2:V20),$V$2:$V$1001,0),0), INDEX($AC$1004:$AS$1004,1,MATCH(COLUMNS($AC$1006:AL1006),$AC$1006:$AS$1006,0)))),"Fix")))</f>
        <v>0</v>
      </c>
      <c r="L20" s="5">
        <f>IF(OR(INDEX($W$2:$W$1001,MATCH(ROWS($V$2:V20),$V$2:$V$1001,0),1)&gt;=100000,INDEX($AC$1005:$AS$1005,1,MATCH(COLUMNS($AC$1006:AM1006),$AC$1006:$AS$1006,0))&gt;=100000), " ",IF(INDEX($AC$2:$AS$1001,MATCH(ROWS($V$2:V20),$V$2:$V$1001,0),MATCH(COLUMNS($AC$1006:AM1006),$AC$1006:$AS$1006,0)), HYPERLINK("#",""), HYPERLINK(CONCATENATE("#Metadata!", ADDRESS(INDEX($X$2:$X$1001,MATCH(ROWS($V$2:V20),$V$2:$V$1001,0),0), INDEX($AC$1004:$AS$1004,1,MATCH(COLUMNS($AC$1006:AM1006),$AC$1006:$AS$1006,0)))),"Fix")))</f>
        <v>0</v>
      </c>
      <c r="M20" s="5">
        <f>IF(OR(INDEX($W$2:$W$1001,MATCH(ROWS($V$2:V20),$V$2:$V$1001,0),1)&gt;=100000,INDEX($AC$1005:$AS$1005,1,MATCH(COLUMNS($AC$1006:AN1006),$AC$1006:$AS$1006,0))&gt;=100000), " ",IF(INDEX($AC$2:$AS$1001,MATCH(ROWS($V$2:V20),$V$2:$V$1001,0),MATCH(COLUMNS($AC$1006:AN1006),$AC$1006:$AS$1006,0)), HYPERLINK("#",""), HYPERLINK(CONCATENATE("#Metadata!", ADDRESS(INDEX($X$2:$X$1001,MATCH(ROWS($V$2:V20),$V$2:$V$1001,0),0), INDEX($AC$1004:$AS$1004,1,MATCH(COLUMNS($AC$1006:AN1006),$AC$1006:$AS$1006,0)))),"Fix")))</f>
        <v>0</v>
      </c>
      <c r="N20" s="5">
        <f>IF(OR(INDEX($W$2:$W$1001,MATCH(ROWS($V$2:V20),$V$2:$V$1001,0),1)&gt;=100000,INDEX($AC$1005:$AS$1005,1,MATCH(COLUMNS($AC$1006:AO1006),$AC$1006:$AS$1006,0))&gt;=100000), " ",IF(INDEX($AC$2:$AS$1001,MATCH(ROWS($V$2:V20),$V$2:$V$1001,0),MATCH(COLUMNS($AC$1006:AO1006),$AC$1006:$AS$1006,0)), HYPERLINK("#",""), HYPERLINK(CONCATENATE("#Metadata!", ADDRESS(INDEX($X$2:$X$1001,MATCH(ROWS($V$2:V20),$V$2:$V$1001,0),0), INDEX($AC$1004:$AS$1004,1,MATCH(COLUMNS($AC$1006:AO1006),$AC$1006:$AS$1006,0)))),"Fix")))</f>
        <v>0</v>
      </c>
      <c r="O20" s="5">
        <f>IF(OR(INDEX($W$2:$W$1001,MATCH(ROWS($V$2:V20),$V$2:$V$1001,0),1)&gt;=100000,INDEX($AC$1005:$AS$1005,1,MATCH(COLUMNS($AC$1006:AP1006),$AC$1006:$AS$1006,0))&gt;=100000), " ",IF(INDEX($AC$2:$AS$1001,MATCH(ROWS($V$2:V20),$V$2:$V$1001,0),MATCH(COLUMNS($AC$1006:AP1006),$AC$1006:$AS$1006,0)), HYPERLINK("#",""), HYPERLINK(CONCATENATE("#Metadata!", ADDRESS(INDEX($X$2:$X$1001,MATCH(ROWS($V$2:V20),$V$2:$V$1001,0),0), INDEX($AC$1004:$AS$1004,1,MATCH(COLUMNS($AC$1006:AP1006),$AC$1006:$AS$1006,0)))),"Fix")))</f>
        <v>0</v>
      </c>
      <c r="P20" s="5">
        <f>IF(OR(INDEX($W$2:$W$1001,MATCH(ROWS($V$2:V20),$V$2:$V$1001,0),1)&gt;=100000,INDEX($AC$1005:$AS$1005,1,MATCH(COLUMNS($AC$1006:AQ1006),$AC$1006:$AS$1006,0))&gt;=100000), " ",IF(INDEX($AC$2:$AS$1001,MATCH(ROWS($V$2:V20),$V$2:$V$1001,0),MATCH(COLUMNS($AC$1006:AQ1006),$AC$1006:$AS$1006,0)), HYPERLINK("#",""), HYPERLINK(CONCATENATE("#Metadata!", ADDRESS(INDEX($X$2:$X$1001,MATCH(ROWS($V$2:V20),$V$2:$V$1001,0),0), INDEX($AC$1004:$AS$1004,1,MATCH(COLUMNS($AC$1006:AQ1006),$AC$1006:$AS$1006,0)))),"Fix")))</f>
        <v>0</v>
      </c>
      <c r="Q20" s="5">
        <f>IF(OR(INDEX($W$2:$W$1001,MATCH(ROWS($V$2:V20),$V$2:$V$1001,0),1)&gt;=100000,INDEX($AC$1005:$AS$1005,1,MATCH(COLUMNS($AC$1006:AR1006),$AC$1006:$AS$1006,0))&gt;=100000), " ",IF(INDEX($AC$2:$AS$1001,MATCH(ROWS($V$2:V20),$V$2:$V$1001,0),MATCH(COLUMNS($AC$1006:AR1006),$AC$1006:$AS$1006,0)), HYPERLINK("#",""), HYPERLINK(CONCATENATE("#Metadata!", ADDRESS(INDEX($X$2:$X$1001,MATCH(ROWS($V$2:V20),$V$2:$V$1001,0),0), INDEX($AC$1004:$AS$1004,1,MATCH(COLUMNS($AC$1006:AR1006),$AC$1006:$AS$1006,0)))),"Fix")))</f>
        <v>0</v>
      </c>
      <c r="R20" s="5">
        <f>IF(OR(INDEX($W$2:$W$1001,MATCH(ROWS($V$2:V20),$V$2:$V$1001,0),1)&gt;=100000,INDEX($AC$1005:$AS$1005,1,MATCH(COLUMNS($AC$1006:AS1006),$AC$1006:$AS$1006,0))&gt;=100000), " ",IF(INDEX($AC$2:$AS$1001,MATCH(ROWS($V$2:V20),$V$2:$V$1001,0),MATCH(COLUMNS($AC$1006:AS1006),$AC$1006:$AS$1006,0)), HYPERLINK("#",""), HYPERLINK(CONCATENATE("#Metadata!", ADDRESS(INDEX($X$2:$X$1001,MATCH(ROWS($V$2:V20),$V$2:$V$1001,0),0), INDEX($AC$1004:$AS$1004,1,MATCH(COLUMNS($AC$1006:AS1006),$AC$1006:$AS$1006,0)))),"Fix")))</f>
        <v>0</v>
      </c>
      <c r="V20">
        <v>0</v>
      </c>
      <c r="W20">
        <v>0</v>
      </c>
      <c r="X20">
        <v>0</v>
      </c>
      <c r="Y20">
        <f>IF(Z20,TRUE,AND(AC20:AS20))</f>
        <v>0</v>
      </c>
      <c r="Z20">
        <f>COUNTBLANK(Metadata!B20:R20)=COLUMNS(Metadata!B20:R20)</f>
        <v>0</v>
      </c>
      <c r="AA20">
        <v>0</v>
      </c>
      <c r="AC20">
        <f>AND(IF(Metadata!B20="",FALSE,TRUE),COUNTIF(Metadata!B:B, Metadata!B20) = 1,NOT(ISERROR(SUMPRODUCT(SEARCH(MID(Metadata!B20,ROW(INDIRECT("1:"&amp;LEN(Metadata!B20))), 1),"0123456789abcdefghijklmnopqrstuvwxyzABCDEFGHIJKLMNOPQRSTUVWXYZ.")))))</f>
        <v>0</v>
      </c>
      <c r="AD20">
        <f>AND(IF(Metadata!C20="",FALSE,TRUE),exact(Metadata!C20,"Host-associated"))</f>
        <v>0</v>
      </c>
      <c r="AE20">
        <f>AND(IF(Metadata!D20="",FALSE,TRUE),OR(exact(Metadata!D20,"Animal"),exact(Metadata!D20,"Fungus"),exact(Metadata!D20,"Plant")))</f>
        <v>0</v>
      </c>
      <c r="AF20">
        <f>AND(IF(Metadata!E20="",FALSE,TRUE),OR(exact(Metadata!E20,"Plant secretion"),exact(Metadata!E20,"Plant rhizosphere"),exact(Metadata!E20,"Plant surface"),exact(Metadata!E20,"Plant corpus"),exact(Metadata!E20,"Fungus surface"),exact(Metadata!E20,"Fungus corpus"),exact(Metadata!E20,"Animal surface"),exact(Metadata!E20,"Animal proximal gut"),exact(Metadata!E20,"Animal corpus"),exact(Metadata!E20,"Animal distal gut"),exact(Metadata!E20,"Animal secretion")))</f>
        <v>0</v>
      </c>
      <c r="AG20">
        <f>OR(AND(IF(Metadata!F20="",FALSE,TRUE),OR(exact(Metadata!F20,"not collected"),exact(Metadata!F20,"not provided"),exact(Metadata!F20,"restricted access"))),AND(IF(Metadata!F20="",FALSE,TRUE),OR(exact(Metadata!F20,"organism-associated habitat"),exact(Metadata!F20,"plant-associated habitat"),exact(Metadata!F20,"animal-associated habitat"),exact(Metadata!F20,"insecta-associated habitat"),exact(Metadata!F20,"mammalia-associated habitat"),exact(Metadata!F20,"human-associated habitat"),exact(Metadata!F20,"livestock-associated habitat"))))</f>
        <v>0</v>
      </c>
      <c r="AH20">
        <f>AND(IF(Metadata!G20="",FALSE,TRUE),exact(Metadata!G20,"host-associated"))</f>
        <v>0</v>
      </c>
      <c r="AI20">
        <f>OR(AND(IF(Metadata!H20="",FALSE,TRUE),OR(exact(Metadata!H20,"not collected"),exact(Metadata!H20,"not provided"))),AND(IF(Metadata!H20="",FALSE,ISNUMBER(VALUE(Metadata!H20))),Metadata!H20&gt;0))</f>
        <v>0</v>
      </c>
      <c r="AJ20">
        <f>AND(IF(Metadata!I20="",FALSE,TRUE),exact(Metadata!I20,"years"))</f>
        <v>0</v>
      </c>
      <c r="AK20">
        <f>IF(Metadata!J20="",FALSE,TRUE)</f>
        <v>0</v>
      </c>
      <c r="AL20">
        <f>OR(AND(IF(Metadata!K20="",FALSE,TRUE),OR(exact(Metadata!K20,"not collected"),exact(Metadata!K20,"not provided"))),AND(IF(Metadata!K20="",FALSE,ISNUMBER(VALUE(Metadata!K20))),Metadata!K20&gt;0))</f>
        <v>0</v>
      </c>
      <c r="AM20">
        <f>AND(IF(Metadata!L20="",FALSE,TRUE),exact(Metadata!L20,"cm"))</f>
        <v>0</v>
      </c>
      <c r="AN20">
        <f>IF(Metadata!M20="",FALSE,TRUE)</f>
        <v>0</v>
      </c>
      <c r="AO20">
        <f>OR(AND(IF(Metadata!N20="",FALSE,TRUE),OR(exact(Metadata!N20,"not applicable"),exact(Metadata!N20,"not collected"),exact(Metadata!N20,"not provided"))),AND(IF(Metadata!N20="",FALSE,IF(ISERROR(INT(Metadata!N20)),FALSE,INT(Metadata!N20)=Metadata!N20)),Metadata!N20&gt;0))</f>
        <v>0</v>
      </c>
      <c r="AP20">
        <f>OR(AND(IF(Metadata!O20="",FALSE,TRUE),OR(exact(Metadata!O20,"not collected"),exact(Metadata!O20,"not provided"))),AND(IF(Metadata!O20="",FALSE,ISNUMBER(VALUE(Metadata!O20))),Metadata!O20&gt;0))</f>
        <v>0</v>
      </c>
      <c r="AQ20">
        <f>AND(IF(Metadata!P20="",FALSE,TRUE),exact(Metadata!P20,"kg"))</f>
        <v>0</v>
      </c>
      <c r="AR20">
        <f>OR(AND(IF(Metadata!Q20="",FALSE,TRUE),OR(exact(Metadata!Q20,"not applicable"),exact(Metadata!Q20,"not collected"),exact(Metadata!Q20,"not provided"),exact(Metadata!Q20,"restricted access"))),IF(Metadata!Q20="",FALSE,IF(ISERROR(INT(Metadata!Q20)),FALSE,INT(Metadata!Q20)=Metadata!Q20)))</f>
        <v>0</v>
      </c>
      <c r="AS20">
        <f>AND(IF(Metadata!R20="",FALSE,TRUE),exact(Metadata!R20,"Not applicable"))</f>
        <v>0</v>
      </c>
    </row>
    <row r="21" spans="1:45">
      <c r="A21" s="4">
        <f>IF(B21=" "," ",HYPERLINK(CONCATENATE("#metadata!",ADDRESS(INDEX($X$2:$X$1001,MATCH(ROWS($V$2:V21),$V$2:$V$1001,0),0),2)),INDEX($AA$2:$AA$1001,MATCH(ROWS($V$2:V21),$V$2:$V$1001,0),0)))</f>
        <v>0</v>
      </c>
      <c r="B21" s="5">
        <f>IF(OR(INDEX($W$2:$W$1001,MATCH(ROWS($V$2:V21),$V$2:$V$1001,0),1)&gt;=100000,INDEX($AC$1005:$AS$1005,1,MATCH(COLUMNS($AC$1006:AC1006),$AC$1006:$AS$1006,0))&gt;=100000), " ",IF(INDEX($AC$2:$AS$1001,MATCH(ROWS($V$2:V21),$V$2:$V$1001,0),MATCH(COLUMNS($AC$1006:AC1006),$AC$1006:$AS$1006,0)), HYPERLINK("#",""), HYPERLINK(CONCATENATE("#Metadata!", ADDRESS(INDEX($X$2:$X$1001,MATCH(ROWS($V$2:V21),$V$2:$V$1001,0),0), INDEX($AC$1004:$AS$1004,1,MATCH(COLUMNS($AC$1006:AC1006),$AC$1006:$AS$1006,0)))),"Fix")))</f>
        <v>0</v>
      </c>
      <c r="C21" s="5">
        <f>IF(OR(INDEX($W$2:$W$1001,MATCH(ROWS($V$2:V21),$V$2:$V$1001,0),1)&gt;=100000,INDEX($AC$1005:$AS$1005,1,MATCH(COLUMNS($AC$1006:AD1006),$AC$1006:$AS$1006,0))&gt;=100000), " ",IF(INDEX($AC$2:$AS$1001,MATCH(ROWS($V$2:V21),$V$2:$V$1001,0),MATCH(COLUMNS($AC$1006:AD1006),$AC$1006:$AS$1006,0)), HYPERLINK("#",""), HYPERLINK(CONCATENATE("#Metadata!", ADDRESS(INDEX($X$2:$X$1001,MATCH(ROWS($V$2:V21),$V$2:$V$1001,0),0), INDEX($AC$1004:$AS$1004,1,MATCH(COLUMNS($AC$1006:AD1006),$AC$1006:$AS$1006,0)))),"Fix")))</f>
        <v>0</v>
      </c>
      <c r="D21" s="5">
        <f>IF(OR(INDEX($W$2:$W$1001,MATCH(ROWS($V$2:V21),$V$2:$V$1001,0),1)&gt;=100000,INDEX($AC$1005:$AS$1005,1,MATCH(COLUMNS($AC$1006:AE1006),$AC$1006:$AS$1006,0))&gt;=100000), " ",IF(INDEX($AC$2:$AS$1001,MATCH(ROWS($V$2:V21),$V$2:$V$1001,0),MATCH(COLUMNS($AC$1006:AE1006),$AC$1006:$AS$1006,0)), HYPERLINK("#",""), HYPERLINK(CONCATENATE("#Metadata!", ADDRESS(INDEX($X$2:$X$1001,MATCH(ROWS($V$2:V21),$V$2:$V$1001,0),0), INDEX($AC$1004:$AS$1004,1,MATCH(COLUMNS($AC$1006:AE1006),$AC$1006:$AS$1006,0)))),"Fix")))</f>
        <v>0</v>
      </c>
      <c r="E21" s="5">
        <f>IF(OR(INDEX($W$2:$W$1001,MATCH(ROWS($V$2:V21),$V$2:$V$1001,0),1)&gt;=100000,INDEX($AC$1005:$AS$1005,1,MATCH(COLUMNS($AC$1006:AF1006),$AC$1006:$AS$1006,0))&gt;=100000), " ",IF(INDEX($AC$2:$AS$1001,MATCH(ROWS($V$2:V21),$V$2:$V$1001,0),MATCH(COLUMNS($AC$1006:AF1006),$AC$1006:$AS$1006,0)), HYPERLINK("#",""), HYPERLINK(CONCATENATE("#Metadata!", ADDRESS(INDEX($X$2:$X$1001,MATCH(ROWS($V$2:V21),$V$2:$V$1001,0),0), INDEX($AC$1004:$AS$1004,1,MATCH(COLUMNS($AC$1006:AF1006),$AC$1006:$AS$1006,0)))),"Fix")))</f>
        <v>0</v>
      </c>
      <c r="F21" s="5">
        <f>IF(OR(INDEX($W$2:$W$1001,MATCH(ROWS($V$2:V21),$V$2:$V$1001,0),1)&gt;=100000,INDEX($AC$1005:$AS$1005,1,MATCH(COLUMNS($AC$1006:AG1006),$AC$1006:$AS$1006,0))&gt;=100000), " ",IF(INDEX($AC$2:$AS$1001,MATCH(ROWS($V$2:V21),$V$2:$V$1001,0),MATCH(COLUMNS($AC$1006:AG1006),$AC$1006:$AS$1006,0)), HYPERLINK("#",""), HYPERLINK(CONCATENATE("#Metadata!", ADDRESS(INDEX($X$2:$X$1001,MATCH(ROWS($V$2:V21),$V$2:$V$1001,0),0), INDEX($AC$1004:$AS$1004,1,MATCH(COLUMNS($AC$1006:AG1006),$AC$1006:$AS$1006,0)))),"Fix")))</f>
        <v>0</v>
      </c>
      <c r="G21" s="5">
        <f>IF(OR(INDEX($W$2:$W$1001,MATCH(ROWS($V$2:V21),$V$2:$V$1001,0),1)&gt;=100000,INDEX($AC$1005:$AS$1005,1,MATCH(COLUMNS($AC$1006:AH1006),$AC$1006:$AS$1006,0))&gt;=100000), " ",IF(INDEX($AC$2:$AS$1001,MATCH(ROWS($V$2:V21),$V$2:$V$1001,0),MATCH(COLUMNS($AC$1006:AH1006),$AC$1006:$AS$1006,0)), HYPERLINK("#",""), HYPERLINK(CONCATENATE("#Metadata!", ADDRESS(INDEX($X$2:$X$1001,MATCH(ROWS($V$2:V21),$V$2:$V$1001,0),0), INDEX($AC$1004:$AS$1004,1,MATCH(COLUMNS($AC$1006:AH1006),$AC$1006:$AS$1006,0)))),"Fix")))</f>
        <v>0</v>
      </c>
      <c r="H21" s="5">
        <f>IF(OR(INDEX($W$2:$W$1001,MATCH(ROWS($V$2:V21),$V$2:$V$1001,0),1)&gt;=100000,INDEX($AC$1005:$AS$1005,1,MATCH(COLUMNS($AC$1006:AI1006),$AC$1006:$AS$1006,0))&gt;=100000), " ",IF(INDEX($AC$2:$AS$1001,MATCH(ROWS($V$2:V21),$V$2:$V$1001,0),MATCH(COLUMNS($AC$1006:AI1006),$AC$1006:$AS$1006,0)), HYPERLINK("#",""), HYPERLINK(CONCATENATE("#Metadata!", ADDRESS(INDEX($X$2:$X$1001,MATCH(ROWS($V$2:V21),$V$2:$V$1001,0),0), INDEX($AC$1004:$AS$1004,1,MATCH(COLUMNS($AC$1006:AI1006),$AC$1006:$AS$1006,0)))),"Fix")))</f>
        <v>0</v>
      </c>
      <c r="I21" s="5">
        <f>IF(OR(INDEX($W$2:$W$1001,MATCH(ROWS($V$2:V21),$V$2:$V$1001,0),1)&gt;=100000,INDEX($AC$1005:$AS$1005,1,MATCH(COLUMNS($AC$1006:AJ1006),$AC$1006:$AS$1006,0))&gt;=100000), " ",IF(INDEX($AC$2:$AS$1001,MATCH(ROWS($V$2:V21),$V$2:$V$1001,0),MATCH(COLUMNS($AC$1006:AJ1006),$AC$1006:$AS$1006,0)), HYPERLINK("#",""), HYPERLINK(CONCATENATE("#Metadata!", ADDRESS(INDEX($X$2:$X$1001,MATCH(ROWS($V$2:V21),$V$2:$V$1001,0),0), INDEX($AC$1004:$AS$1004,1,MATCH(COLUMNS($AC$1006:AJ1006),$AC$1006:$AS$1006,0)))),"Fix")))</f>
        <v>0</v>
      </c>
      <c r="J21" s="5">
        <f>IF(OR(INDEX($W$2:$W$1001,MATCH(ROWS($V$2:V21),$V$2:$V$1001,0),1)&gt;=100000,INDEX($AC$1005:$AS$1005,1,MATCH(COLUMNS($AC$1006:AK1006),$AC$1006:$AS$1006,0))&gt;=100000), " ",IF(INDEX($AC$2:$AS$1001,MATCH(ROWS($V$2:V21),$V$2:$V$1001,0),MATCH(COLUMNS($AC$1006:AK1006),$AC$1006:$AS$1006,0)), HYPERLINK("#",""), HYPERLINK(CONCATENATE("#Metadata!", ADDRESS(INDEX($X$2:$X$1001,MATCH(ROWS($V$2:V21),$V$2:$V$1001,0),0), INDEX($AC$1004:$AS$1004,1,MATCH(COLUMNS($AC$1006:AK1006),$AC$1006:$AS$1006,0)))),"Fix")))</f>
        <v>0</v>
      </c>
      <c r="K21" s="5">
        <f>IF(OR(INDEX($W$2:$W$1001,MATCH(ROWS($V$2:V21),$V$2:$V$1001,0),1)&gt;=100000,INDEX($AC$1005:$AS$1005,1,MATCH(COLUMNS($AC$1006:AL1006),$AC$1006:$AS$1006,0))&gt;=100000), " ",IF(INDEX($AC$2:$AS$1001,MATCH(ROWS($V$2:V21),$V$2:$V$1001,0),MATCH(COLUMNS($AC$1006:AL1006),$AC$1006:$AS$1006,0)), HYPERLINK("#",""), HYPERLINK(CONCATENATE("#Metadata!", ADDRESS(INDEX($X$2:$X$1001,MATCH(ROWS($V$2:V21),$V$2:$V$1001,0),0), INDEX($AC$1004:$AS$1004,1,MATCH(COLUMNS($AC$1006:AL1006),$AC$1006:$AS$1006,0)))),"Fix")))</f>
        <v>0</v>
      </c>
      <c r="L21" s="5">
        <f>IF(OR(INDEX($W$2:$W$1001,MATCH(ROWS($V$2:V21),$V$2:$V$1001,0),1)&gt;=100000,INDEX($AC$1005:$AS$1005,1,MATCH(COLUMNS($AC$1006:AM1006),$AC$1006:$AS$1006,0))&gt;=100000), " ",IF(INDEX($AC$2:$AS$1001,MATCH(ROWS($V$2:V21),$V$2:$V$1001,0),MATCH(COLUMNS($AC$1006:AM1006),$AC$1006:$AS$1006,0)), HYPERLINK("#",""), HYPERLINK(CONCATENATE("#Metadata!", ADDRESS(INDEX($X$2:$X$1001,MATCH(ROWS($V$2:V21),$V$2:$V$1001,0),0), INDEX($AC$1004:$AS$1004,1,MATCH(COLUMNS($AC$1006:AM1006),$AC$1006:$AS$1006,0)))),"Fix")))</f>
        <v>0</v>
      </c>
      <c r="M21" s="5">
        <f>IF(OR(INDEX($W$2:$W$1001,MATCH(ROWS($V$2:V21),$V$2:$V$1001,0),1)&gt;=100000,INDEX($AC$1005:$AS$1005,1,MATCH(COLUMNS($AC$1006:AN1006),$AC$1006:$AS$1006,0))&gt;=100000), " ",IF(INDEX($AC$2:$AS$1001,MATCH(ROWS($V$2:V21),$V$2:$V$1001,0),MATCH(COLUMNS($AC$1006:AN1006),$AC$1006:$AS$1006,0)), HYPERLINK("#",""), HYPERLINK(CONCATENATE("#Metadata!", ADDRESS(INDEX($X$2:$X$1001,MATCH(ROWS($V$2:V21),$V$2:$V$1001,0),0), INDEX($AC$1004:$AS$1004,1,MATCH(COLUMNS($AC$1006:AN1006),$AC$1006:$AS$1006,0)))),"Fix")))</f>
        <v>0</v>
      </c>
      <c r="N21" s="5">
        <f>IF(OR(INDEX($W$2:$W$1001,MATCH(ROWS($V$2:V21),$V$2:$V$1001,0),1)&gt;=100000,INDEX($AC$1005:$AS$1005,1,MATCH(COLUMNS($AC$1006:AO1006),$AC$1006:$AS$1006,0))&gt;=100000), " ",IF(INDEX($AC$2:$AS$1001,MATCH(ROWS($V$2:V21),$V$2:$V$1001,0),MATCH(COLUMNS($AC$1006:AO1006),$AC$1006:$AS$1006,0)), HYPERLINK("#",""), HYPERLINK(CONCATENATE("#Metadata!", ADDRESS(INDEX($X$2:$X$1001,MATCH(ROWS($V$2:V21),$V$2:$V$1001,0),0), INDEX($AC$1004:$AS$1004,1,MATCH(COLUMNS($AC$1006:AO1006),$AC$1006:$AS$1006,0)))),"Fix")))</f>
        <v>0</v>
      </c>
      <c r="O21" s="5">
        <f>IF(OR(INDEX($W$2:$W$1001,MATCH(ROWS($V$2:V21),$V$2:$V$1001,0),1)&gt;=100000,INDEX($AC$1005:$AS$1005,1,MATCH(COLUMNS($AC$1006:AP1006),$AC$1006:$AS$1006,0))&gt;=100000), " ",IF(INDEX($AC$2:$AS$1001,MATCH(ROWS($V$2:V21),$V$2:$V$1001,0),MATCH(COLUMNS($AC$1006:AP1006),$AC$1006:$AS$1006,0)), HYPERLINK("#",""), HYPERLINK(CONCATENATE("#Metadata!", ADDRESS(INDEX($X$2:$X$1001,MATCH(ROWS($V$2:V21),$V$2:$V$1001,0),0), INDEX($AC$1004:$AS$1004,1,MATCH(COLUMNS($AC$1006:AP1006),$AC$1006:$AS$1006,0)))),"Fix")))</f>
        <v>0</v>
      </c>
      <c r="P21" s="5">
        <f>IF(OR(INDEX($W$2:$W$1001,MATCH(ROWS($V$2:V21),$V$2:$V$1001,0),1)&gt;=100000,INDEX($AC$1005:$AS$1005,1,MATCH(COLUMNS($AC$1006:AQ1006),$AC$1006:$AS$1006,0))&gt;=100000), " ",IF(INDEX($AC$2:$AS$1001,MATCH(ROWS($V$2:V21),$V$2:$V$1001,0),MATCH(COLUMNS($AC$1006:AQ1006),$AC$1006:$AS$1006,0)), HYPERLINK("#",""), HYPERLINK(CONCATENATE("#Metadata!", ADDRESS(INDEX($X$2:$X$1001,MATCH(ROWS($V$2:V21),$V$2:$V$1001,0),0), INDEX($AC$1004:$AS$1004,1,MATCH(COLUMNS($AC$1006:AQ1006),$AC$1006:$AS$1006,0)))),"Fix")))</f>
        <v>0</v>
      </c>
      <c r="Q21" s="5">
        <f>IF(OR(INDEX($W$2:$W$1001,MATCH(ROWS($V$2:V21),$V$2:$V$1001,0),1)&gt;=100000,INDEX($AC$1005:$AS$1005,1,MATCH(COLUMNS($AC$1006:AR1006),$AC$1006:$AS$1006,0))&gt;=100000), " ",IF(INDEX($AC$2:$AS$1001,MATCH(ROWS($V$2:V21),$V$2:$V$1001,0),MATCH(COLUMNS($AC$1006:AR1006),$AC$1006:$AS$1006,0)), HYPERLINK("#",""), HYPERLINK(CONCATENATE("#Metadata!", ADDRESS(INDEX($X$2:$X$1001,MATCH(ROWS($V$2:V21),$V$2:$V$1001,0),0), INDEX($AC$1004:$AS$1004,1,MATCH(COLUMNS($AC$1006:AR1006),$AC$1006:$AS$1006,0)))),"Fix")))</f>
        <v>0</v>
      </c>
      <c r="R21" s="5">
        <f>IF(OR(INDEX($W$2:$W$1001,MATCH(ROWS($V$2:V21),$V$2:$V$1001,0),1)&gt;=100000,INDEX($AC$1005:$AS$1005,1,MATCH(COLUMNS($AC$1006:AS1006),$AC$1006:$AS$1006,0))&gt;=100000), " ",IF(INDEX($AC$2:$AS$1001,MATCH(ROWS($V$2:V21),$V$2:$V$1001,0),MATCH(COLUMNS($AC$1006:AS1006),$AC$1006:$AS$1006,0)), HYPERLINK("#",""), HYPERLINK(CONCATENATE("#Metadata!", ADDRESS(INDEX($X$2:$X$1001,MATCH(ROWS($V$2:V21),$V$2:$V$1001,0),0), INDEX($AC$1004:$AS$1004,1,MATCH(COLUMNS($AC$1006:AS1006),$AC$1006:$AS$1006,0)))),"Fix")))</f>
        <v>0</v>
      </c>
      <c r="V21">
        <v>0</v>
      </c>
      <c r="W21">
        <v>0</v>
      </c>
      <c r="X21">
        <v>0</v>
      </c>
      <c r="Y21">
        <f>IF(Z21,TRUE,AND(AC21:AS21))</f>
        <v>0</v>
      </c>
      <c r="Z21">
        <f>COUNTBLANK(Metadata!B21:R21)=COLUMNS(Metadata!B21:R21)</f>
        <v>0</v>
      </c>
      <c r="AA21">
        <v>0</v>
      </c>
      <c r="AC21">
        <f>AND(IF(Metadata!B21="",FALSE,TRUE),COUNTIF(Metadata!B:B, Metadata!B21) = 1,NOT(ISERROR(SUMPRODUCT(SEARCH(MID(Metadata!B21,ROW(INDIRECT("1:"&amp;LEN(Metadata!B21))), 1),"0123456789abcdefghijklmnopqrstuvwxyzABCDEFGHIJKLMNOPQRSTUVWXYZ.")))))</f>
        <v>0</v>
      </c>
      <c r="AD21">
        <f>AND(IF(Metadata!C21="",FALSE,TRUE),exact(Metadata!C21,"Host-associated"))</f>
        <v>0</v>
      </c>
      <c r="AE21">
        <f>AND(IF(Metadata!D21="",FALSE,TRUE),OR(exact(Metadata!D21,"Animal"),exact(Metadata!D21,"Fungus"),exact(Metadata!D21,"Plant")))</f>
        <v>0</v>
      </c>
      <c r="AF21">
        <f>AND(IF(Metadata!E21="",FALSE,TRUE),OR(exact(Metadata!E21,"Plant secretion"),exact(Metadata!E21,"Plant rhizosphere"),exact(Metadata!E21,"Plant surface"),exact(Metadata!E21,"Plant corpus"),exact(Metadata!E21,"Fungus surface"),exact(Metadata!E21,"Fungus corpus"),exact(Metadata!E21,"Animal surface"),exact(Metadata!E21,"Animal proximal gut"),exact(Metadata!E21,"Animal corpus"),exact(Metadata!E21,"Animal distal gut"),exact(Metadata!E21,"Animal secretion")))</f>
        <v>0</v>
      </c>
      <c r="AG21">
        <f>OR(AND(IF(Metadata!F21="",FALSE,TRUE),OR(exact(Metadata!F21,"not collected"),exact(Metadata!F21,"not provided"),exact(Metadata!F21,"restricted access"))),AND(IF(Metadata!F21="",FALSE,TRUE),OR(exact(Metadata!F21,"organism-associated habitat"),exact(Metadata!F21,"plant-associated habitat"),exact(Metadata!F21,"animal-associated habitat"),exact(Metadata!F21,"insecta-associated habitat"),exact(Metadata!F21,"mammalia-associated habitat"),exact(Metadata!F21,"human-associated habitat"),exact(Metadata!F21,"livestock-associated habitat"))))</f>
        <v>0</v>
      </c>
      <c r="AH21">
        <f>AND(IF(Metadata!G21="",FALSE,TRUE),exact(Metadata!G21,"host-associated"))</f>
        <v>0</v>
      </c>
      <c r="AI21">
        <f>OR(AND(IF(Metadata!H21="",FALSE,TRUE),OR(exact(Metadata!H21,"not collected"),exact(Metadata!H21,"not provided"))),AND(IF(Metadata!H21="",FALSE,ISNUMBER(VALUE(Metadata!H21))),Metadata!H21&gt;0))</f>
        <v>0</v>
      </c>
      <c r="AJ21">
        <f>AND(IF(Metadata!I21="",FALSE,TRUE),exact(Metadata!I21,"years"))</f>
        <v>0</v>
      </c>
      <c r="AK21">
        <f>IF(Metadata!J21="",FALSE,TRUE)</f>
        <v>0</v>
      </c>
      <c r="AL21">
        <f>OR(AND(IF(Metadata!K21="",FALSE,TRUE),OR(exact(Metadata!K21,"not collected"),exact(Metadata!K21,"not provided"))),AND(IF(Metadata!K21="",FALSE,ISNUMBER(VALUE(Metadata!K21))),Metadata!K21&gt;0))</f>
        <v>0</v>
      </c>
      <c r="AM21">
        <f>AND(IF(Metadata!L21="",FALSE,TRUE),exact(Metadata!L21,"cm"))</f>
        <v>0</v>
      </c>
      <c r="AN21">
        <f>IF(Metadata!M21="",FALSE,TRUE)</f>
        <v>0</v>
      </c>
      <c r="AO21">
        <f>OR(AND(IF(Metadata!N21="",FALSE,TRUE),OR(exact(Metadata!N21,"not applicable"),exact(Metadata!N21,"not collected"),exact(Metadata!N21,"not provided"))),AND(IF(Metadata!N21="",FALSE,IF(ISERROR(INT(Metadata!N21)),FALSE,INT(Metadata!N21)=Metadata!N21)),Metadata!N21&gt;0))</f>
        <v>0</v>
      </c>
      <c r="AP21">
        <f>OR(AND(IF(Metadata!O21="",FALSE,TRUE),OR(exact(Metadata!O21,"not collected"),exact(Metadata!O21,"not provided"))),AND(IF(Metadata!O21="",FALSE,ISNUMBER(VALUE(Metadata!O21))),Metadata!O21&gt;0))</f>
        <v>0</v>
      </c>
      <c r="AQ21">
        <f>AND(IF(Metadata!P21="",FALSE,TRUE),exact(Metadata!P21,"kg"))</f>
        <v>0</v>
      </c>
      <c r="AR21">
        <f>OR(AND(IF(Metadata!Q21="",FALSE,TRUE),OR(exact(Metadata!Q21,"not applicable"),exact(Metadata!Q21,"not collected"),exact(Metadata!Q21,"not provided"),exact(Metadata!Q21,"restricted access"))),IF(Metadata!Q21="",FALSE,IF(ISERROR(INT(Metadata!Q21)),FALSE,INT(Metadata!Q21)=Metadata!Q21)))</f>
        <v>0</v>
      </c>
      <c r="AS21">
        <f>AND(IF(Metadata!R21="",FALSE,TRUE),exact(Metadata!R21,"Not applicable"))</f>
        <v>0</v>
      </c>
    </row>
    <row r="22" spans="1:45">
      <c r="A22" s="4">
        <f>IF(B22=" "," ",HYPERLINK(CONCATENATE("#metadata!",ADDRESS(INDEX($X$2:$X$1001,MATCH(ROWS($V$2:V22),$V$2:$V$1001,0),0),2)),INDEX($AA$2:$AA$1001,MATCH(ROWS($V$2:V22),$V$2:$V$1001,0),0)))</f>
        <v>0</v>
      </c>
      <c r="B22" s="5">
        <f>IF(OR(INDEX($W$2:$W$1001,MATCH(ROWS($V$2:V22),$V$2:$V$1001,0),1)&gt;=100000,INDEX($AC$1005:$AS$1005,1,MATCH(COLUMNS($AC$1006:AC1006),$AC$1006:$AS$1006,0))&gt;=100000), " ",IF(INDEX($AC$2:$AS$1001,MATCH(ROWS($V$2:V22),$V$2:$V$1001,0),MATCH(COLUMNS($AC$1006:AC1006),$AC$1006:$AS$1006,0)), HYPERLINK("#",""), HYPERLINK(CONCATENATE("#Metadata!", ADDRESS(INDEX($X$2:$X$1001,MATCH(ROWS($V$2:V22),$V$2:$V$1001,0),0), INDEX($AC$1004:$AS$1004,1,MATCH(COLUMNS($AC$1006:AC1006),$AC$1006:$AS$1006,0)))),"Fix")))</f>
        <v>0</v>
      </c>
      <c r="C22" s="5">
        <f>IF(OR(INDEX($W$2:$W$1001,MATCH(ROWS($V$2:V22),$V$2:$V$1001,0),1)&gt;=100000,INDEX($AC$1005:$AS$1005,1,MATCH(COLUMNS($AC$1006:AD1006),$AC$1006:$AS$1006,0))&gt;=100000), " ",IF(INDEX($AC$2:$AS$1001,MATCH(ROWS($V$2:V22),$V$2:$V$1001,0),MATCH(COLUMNS($AC$1006:AD1006),$AC$1006:$AS$1006,0)), HYPERLINK("#",""), HYPERLINK(CONCATENATE("#Metadata!", ADDRESS(INDEX($X$2:$X$1001,MATCH(ROWS($V$2:V22),$V$2:$V$1001,0),0), INDEX($AC$1004:$AS$1004,1,MATCH(COLUMNS($AC$1006:AD1006),$AC$1006:$AS$1006,0)))),"Fix")))</f>
        <v>0</v>
      </c>
      <c r="D22" s="5">
        <f>IF(OR(INDEX($W$2:$W$1001,MATCH(ROWS($V$2:V22),$V$2:$V$1001,0),1)&gt;=100000,INDEX($AC$1005:$AS$1005,1,MATCH(COLUMNS($AC$1006:AE1006),$AC$1006:$AS$1006,0))&gt;=100000), " ",IF(INDEX($AC$2:$AS$1001,MATCH(ROWS($V$2:V22),$V$2:$V$1001,0),MATCH(COLUMNS($AC$1006:AE1006),$AC$1006:$AS$1006,0)), HYPERLINK("#",""), HYPERLINK(CONCATENATE("#Metadata!", ADDRESS(INDEX($X$2:$X$1001,MATCH(ROWS($V$2:V22),$V$2:$V$1001,0),0), INDEX($AC$1004:$AS$1004,1,MATCH(COLUMNS($AC$1006:AE1006),$AC$1006:$AS$1006,0)))),"Fix")))</f>
        <v>0</v>
      </c>
      <c r="E22" s="5">
        <f>IF(OR(INDEX($W$2:$W$1001,MATCH(ROWS($V$2:V22),$V$2:$V$1001,0),1)&gt;=100000,INDEX($AC$1005:$AS$1005,1,MATCH(COLUMNS($AC$1006:AF1006),$AC$1006:$AS$1006,0))&gt;=100000), " ",IF(INDEX($AC$2:$AS$1001,MATCH(ROWS($V$2:V22),$V$2:$V$1001,0),MATCH(COLUMNS($AC$1006:AF1006),$AC$1006:$AS$1006,0)), HYPERLINK("#",""), HYPERLINK(CONCATENATE("#Metadata!", ADDRESS(INDEX($X$2:$X$1001,MATCH(ROWS($V$2:V22),$V$2:$V$1001,0),0), INDEX($AC$1004:$AS$1004,1,MATCH(COLUMNS($AC$1006:AF1006),$AC$1006:$AS$1006,0)))),"Fix")))</f>
        <v>0</v>
      </c>
      <c r="F22" s="5">
        <f>IF(OR(INDEX($W$2:$W$1001,MATCH(ROWS($V$2:V22),$V$2:$V$1001,0),1)&gt;=100000,INDEX($AC$1005:$AS$1005,1,MATCH(COLUMNS($AC$1006:AG1006),$AC$1006:$AS$1006,0))&gt;=100000), " ",IF(INDEX($AC$2:$AS$1001,MATCH(ROWS($V$2:V22),$V$2:$V$1001,0),MATCH(COLUMNS($AC$1006:AG1006),$AC$1006:$AS$1006,0)), HYPERLINK("#",""), HYPERLINK(CONCATENATE("#Metadata!", ADDRESS(INDEX($X$2:$X$1001,MATCH(ROWS($V$2:V22),$V$2:$V$1001,0),0), INDEX($AC$1004:$AS$1004,1,MATCH(COLUMNS($AC$1006:AG1006),$AC$1006:$AS$1006,0)))),"Fix")))</f>
        <v>0</v>
      </c>
      <c r="G22" s="5">
        <f>IF(OR(INDEX($W$2:$W$1001,MATCH(ROWS($V$2:V22),$V$2:$V$1001,0),1)&gt;=100000,INDEX($AC$1005:$AS$1005,1,MATCH(COLUMNS($AC$1006:AH1006),$AC$1006:$AS$1006,0))&gt;=100000), " ",IF(INDEX($AC$2:$AS$1001,MATCH(ROWS($V$2:V22),$V$2:$V$1001,0),MATCH(COLUMNS($AC$1006:AH1006),$AC$1006:$AS$1006,0)), HYPERLINK("#",""), HYPERLINK(CONCATENATE("#Metadata!", ADDRESS(INDEX($X$2:$X$1001,MATCH(ROWS($V$2:V22),$V$2:$V$1001,0),0), INDEX($AC$1004:$AS$1004,1,MATCH(COLUMNS($AC$1006:AH1006),$AC$1006:$AS$1006,0)))),"Fix")))</f>
        <v>0</v>
      </c>
      <c r="H22" s="5">
        <f>IF(OR(INDEX($W$2:$W$1001,MATCH(ROWS($V$2:V22),$V$2:$V$1001,0),1)&gt;=100000,INDEX($AC$1005:$AS$1005,1,MATCH(COLUMNS($AC$1006:AI1006),$AC$1006:$AS$1006,0))&gt;=100000), " ",IF(INDEX($AC$2:$AS$1001,MATCH(ROWS($V$2:V22),$V$2:$V$1001,0),MATCH(COLUMNS($AC$1006:AI1006),$AC$1006:$AS$1006,0)), HYPERLINK("#",""), HYPERLINK(CONCATENATE("#Metadata!", ADDRESS(INDEX($X$2:$X$1001,MATCH(ROWS($V$2:V22),$V$2:$V$1001,0),0), INDEX($AC$1004:$AS$1004,1,MATCH(COLUMNS($AC$1006:AI1006),$AC$1006:$AS$1006,0)))),"Fix")))</f>
        <v>0</v>
      </c>
      <c r="I22" s="5">
        <f>IF(OR(INDEX($W$2:$W$1001,MATCH(ROWS($V$2:V22),$V$2:$V$1001,0),1)&gt;=100000,INDEX($AC$1005:$AS$1005,1,MATCH(COLUMNS($AC$1006:AJ1006),$AC$1006:$AS$1006,0))&gt;=100000), " ",IF(INDEX($AC$2:$AS$1001,MATCH(ROWS($V$2:V22),$V$2:$V$1001,0),MATCH(COLUMNS($AC$1006:AJ1006),$AC$1006:$AS$1006,0)), HYPERLINK("#",""), HYPERLINK(CONCATENATE("#Metadata!", ADDRESS(INDEX($X$2:$X$1001,MATCH(ROWS($V$2:V22),$V$2:$V$1001,0),0), INDEX($AC$1004:$AS$1004,1,MATCH(COLUMNS($AC$1006:AJ1006),$AC$1006:$AS$1006,0)))),"Fix")))</f>
        <v>0</v>
      </c>
      <c r="J22" s="5">
        <f>IF(OR(INDEX($W$2:$W$1001,MATCH(ROWS($V$2:V22),$V$2:$V$1001,0),1)&gt;=100000,INDEX($AC$1005:$AS$1005,1,MATCH(COLUMNS($AC$1006:AK1006),$AC$1006:$AS$1006,0))&gt;=100000), " ",IF(INDEX($AC$2:$AS$1001,MATCH(ROWS($V$2:V22),$V$2:$V$1001,0),MATCH(COLUMNS($AC$1006:AK1006),$AC$1006:$AS$1006,0)), HYPERLINK("#",""), HYPERLINK(CONCATENATE("#Metadata!", ADDRESS(INDEX($X$2:$X$1001,MATCH(ROWS($V$2:V22),$V$2:$V$1001,0),0), INDEX($AC$1004:$AS$1004,1,MATCH(COLUMNS($AC$1006:AK1006),$AC$1006:$AS$1006,0)))),"Fix")))</f>
        <v>0</v>
      </c>
      <c r="K22" s="5">
        <f>IF(OR(INDEX($W$2:$W$1001,MATCH(ROWS($V$2:V22),$V$2:$V$1001,0),1)&gt;=100000,INDEX($AC$1005:$AS$1005,1,MATCH(COLUMNS($AC$1006:AL1006),$AC$1006:$AS$1006,0))&gt;=100000), " ",IF(INDEX($AC$2:$AS$1001,MATCH(ROWS($V$2:V22),$V$2:$V$1001,0),MATCH(COLUMNS($AC$1006:AL1006),$AC$1006:$AS$1006,0)), HYPERLINK("#",""), HYPERLINK(CONCATENATE("#Metadata!", ADDRESS(INDEX($X$2:$X$1001,MATCH(ROWS($V$2:V22),$V$2:$V$1001,0),0), INDEX($AC$1004:$AS$1004,1,MATCH(COLUMNS($AC$1006:AL1006),$AC$1006:$AS$1006,0)))),"Fix")))</f>
        <v>0</v>
      </c>
      <c r="L22" s="5">
        <f>IF(OR(INDEX($W$2:$W$1001,MATCH(ROWS($V$2:V22),$V$2:$V$1001,0),1)&gt;=100000,INDEX($AC$1005:$AS$1005,1,MATCH(COLUMNS($AC$1006:AM1006),$AC$1006:$AS$1006,0))&gt;=100000), " ",IF(INDEX($AC$2:$AS$1001,MATCH(ROWS($V$2:V22),$V$2:$V$1001,0),MATCH(COLUMNS($AC$1006:AM1006),$AC$1006:$AS$1006,0)), HYPERLINK("#",""), HYPERLINK(CONCATENATE("#Metadata!", ADDRESS(INDEX($X$2:$X$1001,MATCH(ROWS($V$2:V22),$V$2:$V$1001,0),0), INDEX($AC$1004:$AS$1004,1,MATCH(COLUMNS($AC$1006:AM1006),$AC$1006:$AS$1006,0)))),"Fix")))</f>
        <v>0</v>
      </c>
      <c r="M22" s="5">
        <f>IF(OR(INDEX($W$2:$W$1001,MATCH(ROWS($V$2:V22),$V$2:$V$1001,0),1)&gt;=100000,INDEX($AC$1005:$AS$1005,1,MATCH(COLUMNS($AC$1006:AN1006),$AC$1006:$AS$1006,0))&gt;=100000), " ",IF(INDEX($AC$2:$AS$1001,MATCH(ROWS($V$2:V22),$V$2:$V$1001,0),MATCH(COLUMNS($AC$1006:AN1006),$AC$1006:$AS$1006,0)), HYPERLINK("#",""), HYPERLINK(CONCATENATE("#Metadata!", ADDRESS(INDEX($X$2:$X$1001,MATCH(ROWS($V$2:V22),$V$2:$V$1001,0),0), INDEX($AC$1004:$AS$1004,1,MATCH(COLUMNS($AC$1006:AN1006),$AC$1006:$AS$1006,0)))),"Fix")))</f>
        <v>0</v>
      </c>
      <c r="N22" s="5">
        <f>IF(OR(INDEX($W$2:$W$1001,MATCH(ROWS($V$2:V22),$V$2:$V$1001,0),1)&gt;=100000,INDEX($AC$1005:$AS$1005,1,MATCH(COLUMNS($AC$1006:AO1006),$AC$1006:$AS$1006,0))&gt;=100000), " ",IF(INDEX($AC$2:$AS$1001,MATCH(ROWS($V$2:V22),$V$2:$V$1001,0),MATCH(COLUMNS($AC$1006:AO1006),$AC$1006:$AS$1006,0)), HYPERLINK("#",""), HYPERLINK(CONCATENATE("#Metadata!", ADDRESS(INDEX($X$2:$X$1001,MATCH(ROWS($V$2:V22),$V$2:$V$1001,0),0), INDEX($AC$1004:$AS$1004,1,MATCH(COLUMNS($AC$1006:AO1006),$AC$1006:$AS$1006,0)))),"Fix")))</f>
        <v>0</v>
      </c>
      <c r="O22" s="5">
        <f>IF(OR(INDEX($W$2:$W$1001,MATCH(ROWS($V$2:V22),$V$2:$V$1001,0),1)&gt;=100000,INDEX($AC$1005:$AS$1005,1,MATCH(COLUMNS($AC$1006:AP1006),$AC$1006:$AS$1006,0))&gt;=100000), " ",IF(INDEX($AC$2:$AS$1001,MATCH(ROWS($V$2:V22),$V$2:$V$1001,0),MATCH(COLUMNS($AC$1006:AP1006),$AC$1006:$AS$1006,0)), HYPERLINK("#",""), HYPERLINK(CONCATENATE("#Metadata!", ADDRESS(INDEX($X$2:$X$1001,MATCH(ROWS($V$2:V22),$V$2:$V$1001,0),0), INDEX($AC$1004:$AS$1004,1,MATCH(COLUMNS($AC$1006:AP1006),$AC$1006:$AS$1006,0)))),"Fix")))</f>
        <v>0</v>
      </c>
      <c r="P22" s="5">
        <f>IF(OR(INDEX($W$2:$W$1001,MATCH(ROWS($V$2:V22),$V$2:$V$1001,0),1)&gt;=100000,INDEX($AC$1005:$AS$1005,1,MATCH(COLUMNS($AC$1006:AQ1006),$AC$1006:$AS$1006,0))&gt;=100000), " ",IF(INDEX($AC$2:$AS$1001,MATCH(ROWS($V$2:V22),$V$2:$V$1001,0),MATCH(COLUMNS($AC$1006:AQ1006),$AC$1006:$AS$1006,0)), HYPERLINK("#",""), HYPERLINK(CONCATENATE("#Metadata!", ADDRESS(INDEX($X$2:$X$1001,MATCH(ROWS($V$2:V22),$V$2:$V$1001,0),0), INDEX($AC$1004:$AS$1004,1,MATCH(COLUMNS($AC$1006:AQ1006),$AC$1006:$AS$1006,0)))),"Fix")))</f>
        <v>0</v>
      </c>
      <c r="Q22" s="5">
        <f>IF(OR(INDEX($W$2:$W$1001,MATCH(ROWS($V$2:V22),$V$2:$V$1001,0),1)&gt;=100000,INDEX($AC$1005:$AS$1005,1,MATCH(COLUMNS($AC$1006:AR1006),$AC$1006:$AS$1006,0))&gt;=100000), " ",IF(INDEX($AC$2:$AS$1001,MATCH(ROWS($V$2:V22),$V$2:$V$1001,0),MATCH(COLUMNS($AC$1006:AR1006),$AC$1006:$AS$1006,0)), HYPERLINK("#",""), HYPERLINK(CONCATENATE("#Metadata!", ADDRESS(INDEX($X$2:$X$1001,MATCH(ROWS($V$2:V22),$V$2:$V$1001,0),0), INDEX($AC$1004:$AS$1004,1,MATCH(COLUMNS($AC$1006:AR1006),$AC$1006:$AS$1006,0)))),"Fix")))</f>
        <v>0</v>
      </c>
      <c r="R22" s="5">
        <f>IF(OR(INDEX($W$2:$W$1001,MATCH(ROWS($V$2:V22),$V$2:$V$1001,0),1)&gt;=100000,INDEX($AC$1005:$AS$1005,1,MATCH(COLUMNS($AC$1006:AS1006),$AC$1006:$AS$1006,0))&gt;=100000), " ",IF(INDEX($AC$2:$AS$1001,MATCH(ROWS($V$2:V22),$V$2:$V$1001,0),MATCH(COLUMNS($AC$1006:AS1006),$AC$1006:$AS$1006,0)), HYPERLINK("#",""), HYPERLINK(CONCATENATE("#Metadata!", ADDRESS(INDEX($X$2:$X$1001,MATCH(ROWS($V$2:V22),$V$2:$V$1001,0),0), INDEX($AC$1004:$AS$1004,1,MATCH(COLUMNS($AC$1006:AS1006),$AC$1006:$AS$1006,0)))),"Fix")))</f>
        <v>0</v>
      </c>
      <c r="V22">
        <v>0</v>
      </c>
      <c r="W22">
        <v>0</v>
      </c>
      <c r="X22">
        <v>0</v>
      </c>
      <c r="Y22">
        <f>IF(Z22,TRUE,AND(AC22:AS22))</f>
        <v>0</v>
      </c>
      <c r="Z22">
        <f>COUNTBLANK(Metadata!B22:R22)=COLUMNS(Metadata!B22:R22)</f>
        <v>0</v>
      </c>
      <c r="AA22">
        <v>0</v>
      </c>
      <c r="AC22">
        <f>AND(IF(Metadata!B22="",FALSE,TRUE),COUNTIF(Metadata!B:B, Metadata!B22) = 1,NOT(ISERROR(SUMPRODUCT(SEARCH(MID(Metadata!B22,ROW(INDIRECT("1:"&amp;LEN(Metadata!B22))), 1),"0123456789abcdefghijklmnopqrstuvwxyzABCDEFGHIJKLMNOPQRSTUVWXYZ.")))))</f>
        <v>0</v>
      </c>
      <c r="AD22">
        <f>AND(IF(Metadata!C22="",FALSE,TRUE),exact(Metadata!C22,"Host-associated"))</f>
        <v>0</v>
      </c>
      <c r="AE22">
        <f>AND(IF(Metadata!D22="",FALSE,TRUE),OR(exact(Metadata!D22,"Animal"),exact(Metadata!D22,"Fungus"),exact(Metadata!D22,"Plant")))</f>
        <v>0</v>
      </c>
      <c r="AF22">
        <f>AND(IF(Metadata!E22="",FALSE,TRUE),OR(exact(Metadata!E22,"Plant secretion"),exact(Metadata!E22,"Plant rhizosphere"),exact(Metadata!E22,"Plant surface"),exact(Metadata!E22,"Plant corpus"),exact(Metadata!E22,"Fungus surface"),exact(Metadata!E22,"Fungus corpus"),exact(Metadata!E22,"Animal surface"),exact(Metadata!E22,"Animal proximal gut"),exact(Metadata!E22,"Animal corpus"),exact(Metadata!E22,"Animal distal gut"),exact(Metadata!E22,"Animal secretion")))</f>
        <v>0</v>
      </c>
      <c r="AG22">
        <f>OR(AND(IF(Metadata!F22="",FALSE,TRUE),OR(exact(Metadata!F22,"not collected"),exact(Metadata!F22,"not provided"),exact(Metadata!F22,"restricted access"))),AND(IF(Metadata!F22="",FALSE,TRUE),OR(exact(Metadata!F22,"organism-associated habitat"),exact(Metadata!F22,"plant-associated habitat"),exact(Metadata!F22,"animal-associated habitat"),exact(Metadata!F22,"insecta-associated habitat"),exact(Metadata!F22,"mammalia-associated habitat"),exact(Metadata!F22,"human-associated habitat"),exact(Metadata!F22,"livestock-associated habitat"))))</f>
        <v>0</v>
      </c>
      <c r="AH22">
        <f>AND(IF(Metadata!G22="",FALSE,TRUE),exact(Metadata!G22,"host-associated"))</f>
        <v>0</v>
      </c>
      <c r="AI22">
        <f>OR(AND(IF(Metadata!H22="",FALSE,TRUE),OR(exact(Metadata!H22,"not collected"),exact(Metadata!H22,"not provided"))),AND(IF(Metadata!H22="",FALSE,ISNUMBER(VALUE(Metadata!H22))),Metadata!H22&gt;0))</f>
        <v>0</v>
      </c>
      <c r="AJ22">
        <f>AND(IF(Metadata!I22="",FALSE,TRUE),exact(Metadata!I22,"years"))</f>
        <v>0</v>
      </c>
      <c r="AK22">
        <f>IF(Metadata!J22="",FALSE,TRUE)</f>
        <v>0</v>
      </c>
      <c r="AL22">
        <f>OR(AND(IF(Metadata!K22="",FALSE,TRUE),OR(exact(Metadata!K22,"not collected"),exact(Metadata!K22,"not provided"))),AND(IF(Metadata!K22="",FALSE,ISNUMBER(VALUE(Metadata!K22))),Metadata!K22&gt;0))</f>
        <v>0</v>
      </c>
      <c r="AM22">
        <f>AND(IF(Metadata!L22="",FALSE,TRUE),exact(Metadata!L22,"cm"))</f>
        <v>0</v>
      </c>
      <c r="AN22">
        <f>IF(Metadata!M22="",FALSE,TRUE)</f>
        <v>0</v>
      </c>
      <c r="AO22">
        <f>OR(AND(IF(Metadata!N22="",FALSE,TRUE),OR(exact(Metadata!N22,"not applicable"),exact(Metadata!N22,"not collected"),exact(Metadata!N22,"not provided"))),AND(IF(Metadata!N22="",FALSE,IF(ISERROR(INT(Metadata!N22)),FALSE,INT(Metadata!N22)=Metadata!N22)),Metadata!N22&gt;0))</f>
        <v>0</v>
      </c>
      <c r="AP22">
        <f>OR(AND(IF(Metadata!O22="",FALSE,TRUE),OR(exact(Metadata!O22,"not collected"),exact(Metadata!O22,"not provided"))),AND(IF(Metadata!O22="",FALSE,ISNUMBER(VALUE(Metadata!O22))),Metadata!O22&gt;0))</f>
        <v>0</v>
      </c>
      <c r="AQ22">
        <f>AND(IF(Metadata!P22="",FALSE,TRUE),exact(Metadata!P22,"kg"))</f>
        <v>0</v>
      </c>
      <c r="AR22">
        <f>OR(AND(IF(Metadata!Q22="",FALSE,TRUE),OR(exact(Metadata!Q22,"not applicable"),exact(Metadata!Q22,"not collected"),exact(Metadata!Q22,"not provided"),exact(Metadata!Q22,"restricted access"))),IF(Metadata!Q22="",FALSE,IF(ISERROR(INT(Metadata!Q22)),FALSE,INT(Metadata!Q22)=Metadata!Q22)))</f>
        <v>0</v>
      </c>
      <c r="AS22">
        <f>AND(IF(Metadata!R22="",FALSE,TRUE),exact(Metadata!R22,"Not applicable"))</f>
        <v>0</v>
      </c>
    </row>
    <row r="23" spans="1:45">
      <c r="A23" s="4">
        <f>IF(B23=" "," ",HYPERLINK(CONCATENATE("#metadata!",ADDRESS(INDEX($X$2:$X$1001,MATCH(ROWS($V$2:V23),$V$2:$V$1001,0),0),2)),INDEX($AA$2:$AA$1001,MATCH(ROWS($V$2:V23),$V$2:$V$1001,0),0)))</f>
        <v>0</v>
      </c>
      <c r="B23" s="5">
        <f>IF(OR(INDEX($W$2:$W$1001,MATCH(ROWS($V$2:V23),$V$2:$V$1001,0),1)&gt;=100000,INDEX($AC$1005:$AS$1005,1,MATCH(COLUMNS($AC$1006:AC1006),$AC$1006:$AS$1006,0))&gt;=100000), " ",IF(INDEX($AC$2:$AS$1001,MATCH(ROWS($V$2:V23),$V$2:$V$1001,0),MATCH(COLUMNS($AC$1006:AC1006),$AC$1006:$AS$1006,0)), HYPERLINK("#",""), HYPERLINK(CONCATENATE("#Metadata!", ADDRESS(INDEX($X$2:$X$1001,MATCH(ROWS($V$2:V23),$V$2:$V$1001,0),0), INDEX($AC$1004:$AS$1004,1,MATCH(COLUMNS($AC$1006:AC1006),$AC$1006:$AS$1006,0)))),"Fix")))</f>
        <v>0</v>
      </c>
      <c r="C23" s="5">
        <f>IF(OR(INDEX($W$2:$W$1001,MATCH(ROWS($V$2:V23),$V$2:$V$1001,0),1)&gt;=100000,INDEX($AC$1005:$AS$1005,1,MATCH(COLUMNS($AC$1006:AD1006),$AC$1006:$AS$1006,0))&gt;=100000), " ",IF(INDEX($AC$2:$AS$1001,MATCH(ROWS($V$2:V23),$V$2:$V$1001,0),MATCH(COLUMNS($AC$1006:AD1006),$AC$1006:$AS$1006,0)), HYPERLINK("#",""), HYPERLINK(CONCATENATE("#Metadata!", ADDRESS(INDEX($X$2:$X$1001,MATCH(ROWS($V$2:V23),$V$2:$V$1001,0),0), INDEX($AC$1004:$AS$1004,1,MATCH(COLUMNS($AC$1006:AD1006),$AC$1006:$AS$1006,0)))),"Fix")))</f>
        <v>0</v>
      </c>
      <c r="D23" s="5">
        <f>IF(OR(INDEX($W$2:$W$1001,MATCH(ROWS($V$2:V23),$V$2:$V$1001,0),1)&gt;=100000,INDEX($AC$1005:$AS$1005,1,MATCH(COLUMNS($AC$1006:AE1006),$AC$1006:$AS$1006,0))&gt;=100000), " ",IF(INDEX($AC$2:$AS$1001,MATCH(ROWS($V$2:V23),$V$2:$V$1001,0),MATCH(COLUMNS($AC$1006:AE1006),$AC$1006:$AS$1006,0)), HYPERLINK("#",""), HYPERLINK(CONCATENATE("#Metadata!", ADDRESS(INDEX($X$2:$X$1001,MATCH(ROWS($V$2:V23),$V$2:$V$1001,0),0), INDEX($AC$1004:$AS$1004,1,MATCH(COLUMNS($AC$1006:AE1006),$AC$1006:$AS$1006,0)))),"Fix")))</f>
        <v>0</v>
      </c>
      <c r="E23" s="5">
        <f>IF(OR(INDEX($W$2:$W$1001,MATCH(ROWS($V$2:V23),$V$2:$V$1001,0),1)&gt;=100000,INDEX($AC$1005:$AS$1005,1,MATCH(COLUMNS($AC$1006:AF1006),$AC$1006:$AS$1006,0))&gt;=100000), " ",IF(INDEX($AC$2:$AS$1001,MATCH(ROWS($V$2:V23),$V$2:$V$1001,0),MATCH(COLUMNS($AC$1006:AF1006),$AC$1006:$AS$1006,0)), HYPERLINK("#",""), HYPERLINK(CONCATENATE("#Metadata!", ADDRESS(INDEX($X$2:$X$1001,MATCH(ROWS($V$2:V23),$V$2:$V$1001,0),0), INDEX($AC$1004:$AS$1004,1,MATCH(COLUMNS($AC$1006:AF1006),$AC$1006:$AS$1006,0)))),"Fix")))</f>
        <v>0</v>
      </c>
      <c r="F23" s="5">
        <f>IF(OR(INDEX($W$2:$W$1001,MATCH(ROWS($V$2:V23),$V$2:$V$1001,0),1)&gt;=100000,INDEX($AC$1005:$AS$1005,1,MATCH(COLUMNS($AC$1006:AG1006),$AC$1006:$AS$1006,0))&gt;=100000), " ",IF(INDEX($AC$2:$AS$1001,MATCH(ROWS($V$2:V23),$V$2:$V$1001,0),MATCH(COLUMNS($AC$1006:AG1006),$AC$1006:$AS$1006,0)), HYPERLINK("#",""), HYPERLINK(CONCATENATE("#Metadata!", ADDRESS(INDEX($X$2:$X$1001,MATCH(ROWS($V$2:V23),$V$2:$V$1001,0),0), INDEX($AC$1004:$AS$1004,1,MATCH(COLUMNS($AC$1006:AG1006),$AC$1006:$AS$1006,0)))),"Fix")))</f>
        <v>0</v>
      </c>
      <c r="G23" s="5">
        <f>IF(OR(INDEX($W$2:$W$1001,MATCH(ROWS($V$2:V23),$V$2:$V$1001,0),1)&gt;=100000,INDEX($AC$1005:$AS$1005,1,MATCH(COLUMNS($AC$1006:AH1006),$AC$1006:$AS$1006,0))&gt;=100000), " ",IF(INDEX($AC$2:$AS$1001,MATCH(ROWS($V$2:V23),$V$2:$V$1001,0),MATCH(COLUMNS($AC$1006:AH1006),$AC$1006:$AS$1006,0)), HYPERLINK("#",""), HYPERLINK(CONCATENATE("#Metadata!", ADDRESS(INDEX($X$2:$X$1001,MATCH(ROWS($V$2:V23),$V$2:$V$1001,0),0), INDEX($AC$1004:$AS$1004,1,MATCH(COLUMNS($AC$1006:AH1006),$AC$1006:$AS$1006,0)))),"Fix")))</f>
        <v>0</v>
      </c>
      <c r="H23" s="5">
        <f>IF(OR(INDEX($W$2:$W$1001,MATCH(ROWS($V$2:V23),$V$2:$V$1001,0),1)&gt;=100000,INDEX($AC$1005:$AS$1005,1,MATCH(COLUMNS($AC$1006:AI1006),$AC$1006:$AS$1006,0))&gt;=100000), " ",IF(INDEX($AC$2:$AS$1001,MATCH(ROWS($V$2:V23),$V$2:$V$1001,0),MATCH(COLUMNS($AC$1006:AI1006),$AC$1006:$AS$1006,0)), HYPERLINK("#",""), HYPERLINK(CONCATENATE("#Metadata!", ADDRESS(INDEX($X$2:$X$1001,MATCH(ROWS($V$2:V23),$V$2:$V$1001,0),0), INDEX($AC$1004:$AS$1004,1,MATCH(COLUMNS($AC$1006:AI1006),$AC$1006:$AS$1006,0)))),"Fix")))</f>
        <v>0</v>
      </c>
      <c r="I23" s="5">
        <f>IF(OR(INDEX($W$2:$W$1001,MATCH(ROWS($V$2:V23),$V$2:$V$1001,0),1)&gt;=100000,INDEX($AC$1005:$AS$1005,1,MATCH(COLUMNS($AC$1006:AJ1006),$AC$1006:$AS$1006,0))&gt;=100000), " ",IF(INDEX($AC$2:$AS$1001,MATCH(ROWS($V$2:V23),$V$2:$V$1001,0),MATCH(COLUMNS($AC$1006:AJ1006),$AC$1006:$AS$1006,0)), HYPERLINK("#",""), HYPERLINK(CONCATENATE("#Metadata!", ADDRESS(INDEX($X$2:$X$1001,MATCH(ROWS($V$2:V23),$V$2:$V$1001,0),0), INDEX($AC$1004:$AS$1004,1,MATCH(COLUMNS($AC$1006:AJ1006),$AC$1006:$AS$1006,0)))),"Fix")))</f>
        <v>0</v>
      </c>
      <c r="J23" s="5">
        <f>IF(OR(INDEX($W$2:$W$1001,MATCH(ROWS($V$2:V23),$V$2:$V$1001,0),1)&gt;=100000,INDEX($AC$1005:$AS$1005,1,MATCH(COLUMNS($AC$1006:AK1006),$AC$1006:$AS$1006,0))&gt;=100000), " ",IF(INDEX($AC$2:$AS$1001,MATCH(ROWS($V$2:V23),$V$2:$V$1001,0),MATCH(COLUMNS($AC$1006:AK1006),$AC$1006:$AS$1006,0)), HYPERLINK("#",""), HYPERLINK(CONCATENATE("#Metadata!", ADDRESS(INDEX($X$2:$X$1001,MATCH(ROWS($V$2:V23),$V$2:$V$1001,0),0), INDEX($AC$1004:$AS$1004,1,MATCH(COLUMNS($AC$1006:AK1006),$AC$1006:$AS$1006,0)))),"Fix")))</f>
        <v>0</v>
      </c>
      <c r="K23" s="5">
        <f>IF(OR(INDEX($W$2:$W$1001,MATCH(ROWS($V$2:V23),$V$2:$V$1001,0),1)&gt;=100000,INDEX($AC$1005:$AS$1005,1,MATCH(COLUMNS($AC$1006:AL1006),$AC$1006:$AS$1006,0))&gt;=100000), " ",IF(INDEX($AC$2:$AS$1001,MATCH(ROWS($V$2:V23),$V$2:$V$1001,0),MATCH(COLUMNS($AC$1006:AL1006),$AC$1006:$AS$1006,0)), HYPERLINK("#",""), HYPERLINK(CONCATENATE("#Metadata!", ADDRESS(INDEX($X$2:$X$1001,MATCH(ROWS($V$2:V23),$V$2:$V$1001,0),0), INDEX($AC$1004:$AS$1004,1,MATCH(COLUMNS($AC$1006:AL1006),$AC$1006:$AS$1006,0)))),"Fix")))</f>
        <v>0</v>
      </c>
      <c r="L23" s="5">
        <f>IF(OR(INDEX($W$2:$W$1001,MATCH(ROWS($V$2:V23),$V$2:$V$1001,0),1)&gt;=100000,INDEX($AC$1005:$AS$1005,1,MATCH(COLUMNS($AC$1006:AM1006),$AC$1006:$AS$1006,0))&gt;=100000), " ",IF(INDEX($AC$2:$AS$1001,MATCH(ROWS($V$2:V23),$V$2:$V$1001,0),MATCH(COLUMNS($AC$1006:AM1006),$AC$1006:$AS$1006,0)), HYPERLINK("#",""), HYPERLINK(CONCATENATE("#Metadata!", ADDRESS(INDEX($X$2:$X$1001,MATCH(ROWS($V$2:V23),$V$2:$V$1001,0),0), INDEX($AC$1004:$AS$1004,1,MATCH(COLUMNS($AC$1006:AM1006),$AC$1006:$AS$1006,0)))),"Fix")))</f>
        <v>0</v>
      </c>
      <c r="M23" s="5">
        <f>IF(OR(INDEX($W$2:$W$1001,MATCH(ROWS($V$2:V23),$V$2:$V$1001,0),1)&gt;=100000,INDEX($AC$1005:$AS$1005,1,MATCH(COLUMNS($AC$1006:AN1006),$AC$1006:$AS$1006,0))&gt;=100000), " ",IF(INDEX($AC$2:$AS$1001,MATCH(ROWS($V$2:V23),$V$2:$V$1001,0),MATCH(COLUMNS($AC$1006:AN1006),$AC$1006:$AS$1006,0)), HYPERLINK("#",""), HYPERLINK(CONCATENATE("#Metadata!", ADDRESS(INDEX($X$2:$X$1001,MATCH(ROWS($V$2:V23),$V$2:$V$1001,0),0), INDEX($AC$1004:$AS$1004,1,MATCH(COLUMNS($AC$1006:AN1006),$AC$1006:$AS$1006,0)))),"Fix")))</f>
        <v>0</v>
      </c>
      <c r="N23" s="5">
        <f>IF(OR(INDEX($W$2:$W$1001,MATCH(ROWS($V$2:V23),$V$2:$V$1001,0),1)&gt;=100000,INDEX($AC$1005:$AS$1005,1,MATCH(COLUMNS($AC$1006:AO1006),$AC$1006:$AS$1006,0))&gt;=100000), " ",IF(INDEX($AC$2:$AS$1001,MATCH(ROWS($V$2:V23),$V$2:$V$1001,0),MATCH(COLUMNS($AC$1006:AO1006),$AC$1006:$AS$1006,0)), HYPERLINK("#",""), HYPERLINK(CONCATENATE("#Metadata!", ADDRESS(INDEX($X$2:$X$1001,MATCH(ROWS($V$2:V23),$V$2:$V$1001,0),0), INDEX($AC$1004:$AS$1004,1,MATCH(COLUMNS($AC$1006:AO1006),$AC$1006:$AS$1006,0)))),"Fix")))</f>
        <v>0</v>
      </c>
      <c r="O23" s="5">
        <f>IF(OR(INDEX($W$2:$W$1001,MATCH(ROWS($V$2:V23),$V$2:$V$1001,0),1)&gt;=100000,INDEX($AC$1005:$AS$1005,1,MATCH(COLUMNS($AC$1006:AP1006),$AC$1006:$AS$1006,0))&gt;=100000), " ",IF(INDEX($AC$2:$AS$1001,MATCH(ROWS($V$2:V23),$V$2:$V$1001,0),MATCH(COLUMNS($AC$1006:AP1006),$AC$1006:$AS$1006,0)), HYPERLINK("#",""), HYPERLINK(CONCATENATE("#Metadata!", ADDRESS(INDEX($X$2:$X$1001,MATCH(ROWS($V$2:V23),$V$2:$V$1001,0),0), INDEX($AC$1004:$AS$1004,1,MATCH(COLUMNS($AC$1006:AP1006),$AC$1006:$AS$1006,0)))),"Fix")))</f>
        <v>0</v>
      </c>
      <c r="P23" s="5">
        <f>IF(OR(INDEX($W$2:$W$1001,MATCH(ROWS($V$2:V23),$V$2:$V$1001,0),1)&gt;=100000,INDEX($AC$1005:$AS$1005,1,MATCH(COLUMNS($AC$1006:AQ1006),$AC$1006:$AS$1006,0))&gt;=100000), " ",IF(INDEX($AC$2:$AS$1001,MATCH(ROWS($V$2:V23),$V$2:$V$1001,0),MATCH(COLUMNS($AC$1006:AQ1006),$AC$1006:$AS$1006,0)), HYPERLINK("#",""), HYPERLINK(CONCATENATE("#Metadata!", ADDRESS(INDEX($X$2:$X$1001,MATCH(ROWS($V$2:V23),$V$2:$V$1001,0),0), INDEX($AC$1004:$AS$1004,1,MATCH(COLUMNS($AC$1006:AQ1006),$AC$1006:$AS$1006,0)))),"Fix")))</f>
        <v>0</v>
      </c>
      <c r="Q23" s="5">
        <f>IF(OR(INDEX($W$2:$W$1001,MATCH(ROWS($V$2:V23),$V$2:$V$1001,0),1)&gt;=100000,INDEX($AC$1005:$AS$1005,1,MATCH(COLUMNS($AC$1006:AR1006),$AC$1006:$AS$1006,0))&gt;=100000), " ",IF(INDEX($AC$2:$AS$1001,MATCH(ROWS($V$2:V23),$V$2:$V$1001,0),MATCH(COLUMNS($AC$1006:AR1006),$AC$1006:$AS$1006,0)), HYPERLINK("#",""), HYPERLINK(CONCATENATE("#Metadata!", ADDRESS(INDEX($X$2:$X$1001,MATCH(ROWS($V$2:V23),$V$2:$V$1001,0),0), INDEX($AC$1004:$AS$1004,1,MATCH(COLUMNS($AC$1006:AR1006),$AC$1006:$AS$1006,0)))),"Fix")))</f>
        <v>0</v>
      </c>
      <c r="R23" s="5">
        <f>IF(OR(INDEX($W$2:$W$1001,MATCH(ROWS($V$2:V23),$V$2:$V$1001,0),1)&gt;=100000,INDEX($AC$1005:$AS$1005,1,MATCH(COLUMNS($AC$1006:AS1006),$AC$1006:$AS$1006,0))&gt;=100000), " ",IF(INDEX($AC$2:$AS$1001,MATCH(ROWS($V$2:V23),$V$2:$V$1001,0),MATCH(COLUMNS($AC$1006:AS1006),$AC$1006:$AS$1006,0)), HYPERLINK("#",""), HYPERLINK(CONCATENATE("#Metadata!", ADDRESS(INDEX($X$2:$X$1001,MATCH(ROWS($V$2:V23),$V$2:$V$1001,0),0), INDEX($AC$1004:$AS$1004,1,MATCH(COLUMNS($AC$1006:AS1006),$AC$1006:$AS$1006,0)))),"Fix")))</f>
        <v>0</v>
      </c>
      <c r="V23">
        <v>0</v>
      </c>
      <c r="W23">
        <v>0</v>
      </c>
      <c r="X23">
        <v>0</v>
      </c>
      <c r="Y23">
        <f>IF(Z23,TRUE,AND(AC23:AS23))</f>
        <v>0</v>
      </c>
      <c r="Z23">
        <f>COUNTBLANK(Metadata!B23:R23)=COLUMNS(Metadata!B23:R23)</f>
        <v>0</v>
      </c>
      <c r="AA23">
        <v>0</v>
      </c>
      <c r="AC23">
        <f>AND(IF(Metadata!B23="",FALSE,TRUE),COUNTIF(Metadata!B:B, Metadata!B23) = 1,NOT(ISERROR(SUMPRODUCT(SEARCH(MID(Metadata!B23,ROW(INDIRECT("1:"&amp;LEN(Metadata!B23))), 1),"0123456789abcdefghijklmnopqrstuvwxyzABCDEFGHIJKLMNOPQRSTUVWXYZ.")))))</f>
        <v>0</v>
      </c>
      <c r="AD23">
        <f>AND(IF(Metadata!C23="",FALSE,TRUE),exact(Metadata!C23,"Host-associated"))</f>
        <v>0</v>
      </c>
      <c r="AE23">
        <f>AND(IF(Metadata!D23="",FALSE,TRUE),OR(exact(Metadata!D23,"Animal"),exact(Metadata!D23,"Fungus"),exact(Metadata!D23,"Plant")))</f>
        <v>0</v>
      </c>
      <c r="AF23">
        <f>AND(IF(Metadata!E23="",FALSE,TRUE),OR(exact(Metadata!E23,"Plant secretion"),exact(Metadata!E23,"Plant rhizosphere"),exact(Metadata!E23,"Plant surface"),exact(Metadata!E23,"Plant corpus"),exact(Metadata!E23,"Fungus surface"),exact(Metadata!E23,"Fungus corpus"),exact(Metadata!E23,"Animal surface"),exact(Metadata!E23,"Animal proximal gut"),exact(Metadata!E23,"Animal corpus"),exact(Metadata!E23,"Animal distal gut"),exact(Metadata!E23,"Animal secretion")))</f>
        <v>0</v>
      </c>
      <c r="AG23">
        <f>OR(AND(IF(Metadata!F23="",FALSE,TRUE),OR(exact(Metadata!F23,"not collected"),exact(Metadata!F23,"not provided"),exact(Metadata!F23,"restricted access"))),AND(IF(Metadata!F23="",FALSE,TRUE),OR(exact(Metadata!F23,"organism-associated habitat"),exact(Metadata!F23,"plant-associated habitat"),exact(Metadata!F23,"animal-associated habitat"),exact(Metadata!F23,"insecta-associated habitat"),exact(Metadata!F23,"mammalia-associated habitat"),exact(Metadata!F23,"human-associated habitat"),exact(Metadata!F23,"livestock-associated habitat"))))</f>
        <v>0</v>
      </c>
      <c r="AH23">
        <f>AND(IF(Metadata!G23="",FALSE,TRUE),exact(Metadata!G23,"host-associated"))</f>
        <v>0</v>
      </c>
      <c r="AI23">
        <f>OR(AND(IF(Metadata!H23="",FALSE,TRUE),OR(exact(Metadata!H23,"not collected"),exact(Metadata!H23,"not provided"))),AND(IF(Metadata!H23="",FALSE,ISNUMBER(VALUE(Metadata!H23))),Metadata!H23&gt;0))</f>
        <v>0</v>
      </c>
      <c r="AJ23">
        <f>AND(IF(Metadata!I23="",FALSE,TRUE),exact(Metadata!I23,"years"))</f>
        <v>0</v>
      </c>
      <c r="AK23">
        <f>IF(Metadata!J23="",FALSE,TRUE)</f>
        <v>0</v>
      </c>
      <c r="AL23">
        <f>OR(AND(IF(Metadata!K23="",FALSE,TRUE),OR(exact(Metadata!K23,"not collected"),exact(Metadata!K23,"not provided"))),AND(IF(Metadata!K23="",FALSE,ISNUMBER(VALUE(Metadata!K23))),Metadata!K23&gt;0))</f>
        <v>0</v>
      </c>
      <c r="AM23">
        <f>AND(IF(Metadata!L23="",FALSE,TRUE),exact(Metadata!L23,"cm"))</f>
        <v>0</v>
      </c>
      <c r="AN23">
        <f>IF(Metadata!M23="",FALSE,TRUE)</f>
        <v>0</v>
      </c>
      <c r="AO23">
        <f>OR(AND(IF(Metadata!N23="",FALSE,TRUE),OR(exact(Metadata!N23,"not applicable"),exact(Metadata!N23,"not collected"),exact(Metadata!N23,"not provided"))),AND(IF(Metadata!N23="",FALSE,IF(ISERROR(INT(Metadata!N23)),FALSE,INT(Metadata!N23)=Metadata!N23)),Metadata!N23&gt;0))</f>
        <v>0</v>
      </c>
      <c r="AP23">
        <f>OR(AND(IF(Metadata!O23="",FALSE,TRUE),OR(exact(Metadata!O23,"not collected"),exact(Metadata!O23,"not provided"))),AND(IF(Metadata!O23="",FALSE,ISNUMBER(VALUE(Metadata!O23))),Metadata!O23&gt;0))</f>
        <v>0</v>
      </c>
      <c r="AQ23">
        <f>AND(IF(Metadata!P23="",FALSE,TRUE),exact(Metadata!P23,"kg"))</f>
        <v>0</v>
      </c>
      <c r="AR23">
        <f>OR(AND(IF(Metadata!Q23="",FALSE,TRUE),OR(exact(Metadata!Q23,"not applicable"),exact(Metadata!Q23,"not collected"),exact(Metadata!Q23,"not provided"),exact(Metadata!Q23,"restricted access"))),IF(Metadata!Q23="",FALSE,IF(ISERROR(INT(Metadata!Q23)),FALSE,INT(Metadata!Q23)=Metadata!Q23)))</f>
        <v>0</v>
      </c>
      <c r="AS23">
        <f>AND(IF(Metadata!R23="",FALSE,TRUE),exact(Metadata!R23,"Not applicable"))</f>
        <v>0</v>
      </c>
    </row>
    <row r="24" spans="1:45">
      <c r="A24" s="4">
        <f>IF(B24=" "," ",HYPERLINK(CONCATENATE("#metadata!",ADDRESS(INDEX($X$2:$X$1001,MATCH(ROWS($V$2:V24),$V$2:$V$1001,0),0),2)),INDEX($AA$2:$AA$1001,MATCH(ROWS($V$2:V24),$V$2:$V$1001,0),0)))</f>
        <v>0</v>
      </c>
      <c r="B24" s="5">
        <f>IF(OR(INDEX($W$2:$W$1001,MATCH(ROWS($V$2:V24),$V$2:$V$1001,0),1)&gt;=100000,INDEX($AC$1005:$AS$1005,1,MATCH(COLUMNS($AC$1006:AC1006),$AC$1006:$AS$1006,0))&gt;=100000), " ",IF(INDEX($AC$2:$AS$1001,MATCH(ROWS($V$2:V24),$V$2:$V$1001,0),MATCH(COLUMNS($AC$1006:AC1006),$AC$1006:$AS$1006,0)), HYPERLINK("#",""), HYPERLINK(CONCATENATE("#Metadata!", ADDRESS(INDEX($X$2:$X$1001,MATCH(ROWS($V$2:V24),$V$2:$V$1001,0),0), INDEX($AC$1004:$AS$1004,1,MATCH(COLUMNS($AC$1006:AC1006),$AC$1006:$AS$1006,0)))),"Fix")))</f>
        <v>0</v>
      </c>
      <c r="C24" s="5">
        <f>IF(OR(INDEX($W$2:$W$1001,MATCH(ROWS($V$2:V24),$V$2:$V$1001,0),1)&gt;=100000,INDEX($AC$1005:$AS$1005,1,MATCH(COLUMNS($AC$1006:AD1006),$AC$1006:$AS$1006,0))&gt;=100000), " ",IF(INDEX($AC$2:$AS$1001,MATCH(ROWS($V$2:V24),$V$2:$V$1001,0),MATCH(COLUMNS($AC$1006:AD1006),$AC$1006:$AS$1006,0)), HYPERLINK("#",""), HYPERLINK(CONCATENATE("#Metadata!", ADDRESS(INDEX($X$2:$X$1001,MATCH(ROWS($V$2:V24),$V$2:$V$1001,0),0), INDEX($AC$1004:$AS$1004,1,MATCH(COLUMNS($AC$1006:AD1006),$AC$1006:$AS$1006,0)))),"Fix")))</f>
        <v>0</v>
      </c>
      <c r="D24" s="5">
        <f>IF(OR(INDEX($W$2:$W$1001,MATCH(ROWS($V$2:V24),$V$2:$V$1001,0),1)&gt;=100000,INDEX($AC$1005:$AS$1005,1,MATCH(COLUMNS($AC$1006:AE1006),$AC$1006:$AS$1006,0))&gt;=100000), " ",IF(INDEX($AC$2:$AS$1001,MATCH(ROWS($V$2:V24),$V$2:$V$1001,0),MATCH(COLUMNS($AC$1006:AE1006),$AC$1006:$AS$1006,0)), HYPERLINK("#",""), HYPERLINK(CONCATENATE("#Metadata!", ADDRESS(INDEX($X$2:$X$1001,MATCH(ROWS($V$2:V24),$V$2:$V$1001,0),0), INDEX($AC$1004:$AS$1004,1,MATCH(COLUMNS($AC$1006:AE1006),$AC$1006:$AS$1006,0)))),"Fix")))</f>
        <v>0</v>
      </c>
      <c r="E24" s="5">
        <f>IF(OR(INDEX($W$2:$W$1001,MATCH(ROWS($V$2:V24),$V$2:$V$1001,0),1)&gt;=100000,INDEX($AC$1005:$AS$1005,1,MATCH(COLUMNS($AC$1006:AF1006),$AC$1006:$AS$1006,0))&gt;=100000), " ",IF(INDEX($AC$2:$AS$1001,MATCH(ROWS($V$2:V24),$V$2:$V$1001,0),MATCH(COLUMNS($AC$1006:AF1006),$AC$1006:$AS$1006,0)), HYPERLINK("#",""), HYPERLINK(CONCATENATE("#Metadata!", ADDRESS(INDEX($X$2:$X$1001,MATCH(ROWS($V$2:V24),$V$2:$V$1001,0),0), INDEX($AC$1004:$AS$1004,1,MATCH(COLUMNS($AC$1006:AF1006),$AC$1006:$AS$1006,0)))),"Fix")))</f>
        <v>0</v>
      </c>
      <c r="F24" s="5">
        <f>IF(OR(INDEX($W$2:$W$1001,MATCH(ROWS($V$2:V24),$V$2:$V$1001,0),1)&gt;=100000,INDEX($AC$1005:$AS$1005,1,MATCH(COLUMNS($AC$1006:AG1006),$AC$1006:$AS$1006,0))&gt;=100000), " ",IF(INDEX($AC$2:$AS$1001,MATCH(ROWS($V$2:V24),$V$2:$V$1001,0),MATCH(COLUMNS($AC$1006:AG1006),$AC$1006:$AS$1006,0)), HYPERLINK("#",""), HYPERLINK(CONCATENATE("#Metadata!", ADDRESS(INDEX($X$2:$X$1001,MATCH(ROWS($V$2:V24),$V$2:$V$1001,0),0), INDEX($AC$1004:$AS$1004,1,MATCH(COLUMNS($AC$1006:AG1006),$AC$1006:$AS$1006,0)))),"Fix")))</f>
        <v>0</v>
      </c>
      <c r="G24" s="5">
        <f>IF(OR(INDEX($W$2:$W$1001,MATCH(ROWS($V$2:V24),$V$2:$V$1001,0),1)&gt;=100000,INDEX($AC$1005:$AS$1005,1,MATCH(COLUMNS($AC$1006:AH1006),$AC$1006:$AS$1006,0))&gt;=100000), " ",IF(INDEX($AC$2:$AS$1001,MATCH(ROWS($V$2:V24),$V$2:$V$1001,0),MATCH(COLUMNS($AC$1006:AH1006),$AC$1006:$AS$1006,0)), HYPERLINK("#",""), HYPERLINK(CONCATENATE("#Metadata!", ADDRESS(INDEX($X$2:$X$1001,MATCH(ROWS($V$2:V24),$V$2:$V$1001,0),0), INDEX($AC$1004:$AS$1004,1,MATCH(COLUMNS($AC$1006:AH1006),$AC$1006:$AS$1006,0)))),"Fix")))</f>
        <v>0</v>
      </c>
      <c r="H24" s="5">
        <f>IF(OR(INDEX($W$2:$W$1001,MATCH(ROWS($V$2:V24),$V$2:$V$1001,0),1)&gt;=100000,INDEX($AC$1005:$AS$1005,1,MATCH(COLUMNS($AC$1006:AI1006),$AC$1006:$AS$1006,0))&gt;=100000), " ",IF(INDEX($AC$2:$AS$1001,MATCH(ROWS($V$2:V24),$V$2:$V$1001,0),MATCH(COLUMNS($AC$1006:AI1006),$AC$1006:$AS$1006,0)), HYPERLINK("#",""), HYPERLINK(CONCATENATE("#Metadata!", ADDRESS(INDEX($X$2:$X$1001,MATCH(ROWS($V$2:V24),$V$2:$V$1001,0),0), INDEX($AC$1004:$AS$1004,1,MATCH(COLUMNS($AC$1006:AI1006),$AC$1006:$AS$1006,0)))),"Fix")))</f>
        <v>0</v>
      </c>
      <c r="I24" s="5">
        <f>IF(OR(INDEX($W$2:$W$1001,MATCH(ROWS($V$2:V24),$V$2:$V$1001,0),1)&gt;=100000,INDEX($AC$1005:$AS$1005,1,MATCH(COLUMNS($AC$1006:AJ1006),$AC$1006:$AS$1006,0))&gt;=100000), " ",IF(INDEX($AC$2:$AS$1001,MATCH(ROWS($V$2:V24),$V$2:$V$1001,0),MATCH(COLUMNS($AC$1006:AJ1006),$AC$1006:$AS$1006,0)), HYPERLINK("#",""), HYPERLINK(CONCATENATE("#Metadata!", ADDRESS(INDEX($X$2:$X$1001,MATCH(ROWS($V$2:V24),$V$2:$V$1001,0),0), INDEX($AC$1004:$AS$1004,1,MATCH(COLUMNS($AC$1006:AJ1006),$AC$1006:$AS$1006,0)))),"Fix")))</f>
        <v>0</v>
      </c>
      <c r="J24" s="5">
        <f>IF(OR(INDEX($W$2:$W$1001,MATCH(ROWS($V$2:V24),$V$2:$V$1001,0),1)&gt;=100000,INDEX($AC$1005:$AS$1005,1,MATCH(COLUMNS($AC$1006:AK1006),$AC$1006:$AS$1006,0))&gt;=100000), " ",IF(INDEX($AC$2:$AS$1001,MATCH(ROWS($V$2:V24),$V$2:$V$1001,0),MATCH(COLUMNS($AC$1006:AK1006),$AC$1006:$AS$1006,0)), HYPERLINK("#",""), HYPERLINK(CONCATENATE("#Metadata!", ADDRESS(INDEX($X$2:$X$1001,MATCH(ROWS($V$2:V24),$V$2:$V$1001,0),0), INDEX($AC$1004:$AS$1004,1,MATCH(COLUMNS($AC$1006:AK1006),$AC$1006:$AS$1006,0)))),"Fix")))</f>
        <v>0</v>
      </c>
      <c r="K24" s="5">
        <f>IF(OR(INDEX($W$2:$W$1001,MATCH(ROWS($V$2:V24),$V$2:$V$1001,0),1)&gt;=100000,INDEX($AC$1005:$AS$1005,1,MATCH(COLUMNS($AC$1006:AL1006),$AC$1006:$AS$1006,0))&gt;=100000), " ",IF(INDEX($AC$2:$AS$1001,MATCH(ROWS($V$2:V24),$V$2:$V$1001,0),MATCH(COLUMNS($AC$1006:AL1006),$AC$1006:$AS$1006,0)), HYPERLINK("#",""), HYPERLINK(CONCATENATE("#Metadata!", ADDRESS(INDEX($X$2:$X$1001,MATCH(ROWS($V$2:V24),$V$2:$V$1001,0),0), INDEX($AC$1004:$AS$1004,1,MATCH(COLUMNS($AC$1006:AL1006),$AC$1006:$AS$1006,0)))),"Fix")))</f>
        <v>0</v>
      </c>
      <c r="L24" s="5">
        <f>IF(OR(INDEX($W$2:$W$1001,MATCH(ROWS($V$2:V24),$V$2:$V$1001,0),1)&gt;=100000,INDEX($AC$1005:$AS$1005,1,MATCH(COLUMNS($AC$1006:AM1006),$AC$1006:$AS$1006,0))&gt;=100000), " ",IF(INDEX($AC$2:$AS$1001,MATCH(ROWS($V$2:V24),$V$2:$V$1001,0),MATCH(COLUMNS($AC$1006:AM1006),$AC$1006:$AS$1006,0)), HYPERLINK("#",""), HYPERLINK(CONCATENATE("#Metadata!", ADDRESS(INDEX($X$2:$X$1001,MATCH(ROWS($V$2:V24),$V$2:$V$1001,0),0), INDEX($AC$1004:$AS$1004,1,MATCH(COLUMNS($AC$1006:AM1006),$AC$1006:$AS$1006,0)))),"Fix")))</f>
        <v>0</v>
      </c>
      <c r="M24" s="5">
        <f>IF(OR(INDEX($W$2:$W$1001,MATCH(ROWS($V$2:V24),$V$2:$V$1001,0),1)&gt;=100000,INDEX($AC$1005:$AS$1005,1,MATCH(COLUMNS($AC$1006:AN1006),$AC$1006:$AS$1006,0))&gt;=100000), " ",IF(INDEX($AC$2:$AS$1001,MATCH(ROWS($V$2:V24),$V$2:$V$1001,0),MATCH(COLUMNS($AC$1006:AN1006),$AC$1006:$AS$1006,0)), HYPERLINK("#",""), HYPERLINK(CONCATENATE("#Metadata!", ADDRESS(INDEX($X$2:$X$1001,MATCH(ROWS($V$2:V24),$V$2:$V$1001,0),0), INDEX($AC$1004:$AS$1004,1,MATCH(COLUMNS($AC$1006:AN1006),$AC$1006:$AS$1006,0)))),"Fix")))</f>
        <v>0</v>
      </c>
      <c r="N24" s="5">
        <f>IF(OR(INDEX($W$2:$W$1001,MATCH(ROWS($V$2:V24),$V$2:$V$1001,0),1)&gt;=100000,INDEX($AC$1005:$AS$1005,1,MATCH(COLUMNS($AC$1006:AO1006),$AC$1006:$AS$1006,0))&gt;=100000), " ",IF(INDEX($AC$2:$AS$1001,MATCH(ROWS($V$2:V24),$V$2:$V$1001,0),MATCH(COLUMNS($AC$1006:AO1006),$AC$1006:$AS$1006,0)), HYPERLINK("#",""), HYPERLINK(CONCATENATE("#Metadata!", ADDRESS(INDEX($X$2:$X$1001,MATCH(ROWS($V$2:V24),$V$2:$V$1001,0),0), INDEX($AC$1004:$AS$1004,1,MATCH(COLUMNS($AC$1006:AO1006),$AC$1006:$AS$1006,0)))),"Fix")))</f>
        <v>0</v>
      </c>
      <c r="O24" s="5">
        <f>IF(OR(INDEX($W$2:$W$1001,MATCH(ROWS($V$2:V24),$V$2:$V$1001,0),1)&gt;=100000,INDEX($AC$1005:$AS$1005,1,MATCH(COLUMNS($AC$1006:AP1006),$AC$1006:$AS$1006,0))&gt;=100000), " ",IF(INDEX($AC$2:$AS$1001,MATCH(ROWS($V$2:V24),$V$2:$V$1001,0),MATCH(COLUMNS($AC$1006:AP1006),$AC$1006:$AS$1006,0)), HYPERLINK("#",""), HYPERLINK(CONCATENATE("#Metadata!", ADDRESS(INDEX($X$2:$X$1001,MATCH(ROWS($V$2:V24),$V$2:$V$1001,0),0), INDEX($AC$1004:$AS$1004,1,MATCH(COLUMNS($AC$1006:AP1006),$AC$1006:$AS$1006,0)))),"Fix")))</f>
        <v>0</v>
      </c>
      <c r="P24" s="5">
        <f>IF(OR(INDEX($W$2:$W$1001,MATCH(ROWS($V$2:V24),$V$2:$V$1001,0),1)&gt;=100000,INDEX($AC$1005:$AS$1005,1,MATCH(COLUMNS($AC$1006:AQ1006),$AC$1006:$AS$1006,0))&gt;=100000), " ",IF(INDEX($AC$2:$AS$1001,MATCH(ROWS($V$2:V24),$V$2:$V$1001,0),MATCH(COLUMNS($AC$1006:AQ1006),$AC$1006:$AS$1006,0)), HYPERLINK("#",""), HYPERLINK(CONCATENATE("#Metadata!", ADDRESS(INDEX($X$2:$X$1001,MATCH(ROWS($V$2:V24),$V$2:$V$1001,0),0), INDEX($AC$1004:$AS$1004,1,MATCH(COLUMNS($AC$1006:AQ1006),$AC$1006:$AS$1006,0)))),"Fix")))</f>
        <v>0</v>
      </c>
      <c r="Q24" s="5">
        <f>IF(OR(INDEX($W$2:$W$1001,MATCH(ROWS($V$2:V24),$V$2:$V$1001,0),1)&gt;=100000,INDEX($AC$1005:$AS$1005,1,MATCH(COLUMNS($AC$1006:AR1006),$AC$1006:$AS$1006,0))&gt;=100000), " ",IF(INDEX($AC$2:$AS$1001,MATCH(ROWS($V$2:V24),$V$2:$V$1001,0),MATCH(COLUMNS($AC$1006:AR1006),$AC$1006:$AS$1006,0)), HYPERLINK("#",""), HYPERLINK(CONCATENATE("#Metadata!", ADDRESS(INDEX($X$2:$X$1001,MATCH(ROWS($V$2:V24),$V$2:$V$1001,0),0), INDEX($AC$1004:$AS$1004,1,MATCH(COLUMNS($AC$1006:AR1006),$AC$1006:$AS$1006,0)))),"Fix")))</f>
        <v>0</v>
      </c>
      <c r="R24" s="5">
        <f>IF(OR(INDEX($W$2:$W$1001,MATCH(ROWS($V$2:V24),$V$2:$V$1001,0),1)&gt;=100000,INDEX($AC$1005:$AS$1005,1,MATCH(COLUMNS($AC$1006:AS1006),$AC$1006:$AS$1006,0))&gt;=100000), " ",IF(INDEX($AC$2:$AS$1001,MATCH(ROWS($V$2:V24),$V$2:$V$1001,0),MATCH(COLUMNS($AC$1006:AS1006),$AC$1006:$AS$1006,0)), HYPERLINK("#",""), HYPERLINK(CONCATENATE("#Metadata!", ADDRESS(INDEX($X$2:$X$1001,MATCH(ROWS($V$2:V24),$V$2:$V$1001,0),0), INDEX($AC$1004:$AS$1004,1,MATCH(COLUMNS($AC$1006:AS1006),$AC$1006:$AS$1006,0)))),"Fix")))</f>
        <v>0</v>
      </c>
      <c r="V24">
        <v>0</v>
      </c>
      <c r="W24">
        <v>0</v>
      </c>
      <c r="X24">
        <v>0</v>
      </c>
      <c r="Y24">
        <f>IF(Z24,TRUE,AND(AC24:AS24))</f>
        <v>0</v>
      </c>
      <c r="Z24">
        <f>COUNTBLANK(Metadata!B24:R24)=COLUMNS(Metadata!B24:R24)</f>
        <v>0</v>
      </c>
      <c r="AA24">
        <v>0</v>
      </c>
      <c r="AC24">
        <f>AND(IF(Metadata!B24="",FALSE,TRUE),COUNTIF(Metadata!B:B, Metadata!B24) = 1,NOT(ISERROR(SUMPRODUCT(SEARCH(MID(Metadata!B24,ROW(INDIRECT("1:"&amp;LEN(Metadata!B24))), 1),"0123456789abcdefghijklmnopqrstuvwxyzABCDEFGHIJKLMNOPQRSTUVWXYZ.")))))</f>
        <v>0</v>
      </c>
      <c r="AD24">
        <f>AND(IF(Metadata!C24="",FALSE,TRUE),exact(Metadata!C24,"Host-associated"))</f>
        <v>0</v>
      </c>
      <c r="AE24">
        <f>AND(IF(Metadata!D24="",FALSE,TRUE),OR(exact(Metadata!D24,"Animal"),exact(Metadata!D24,"Fungus"),exact(Metadata!D24,"Plant")))</f>
        <v>0</v>
      </c>
      <c r="AF24">
        <f>AND(IF(Metadata!E24="",FALSE,TRUE),OR(exact(Metadata!E24,"Plant secretion"),exact(Metadata!E24,"Plant rhizosphere"),exact(Metadata!E24,"Plant surface"),exact(Metadata!E24,"Plant corpus"),exact(Metadata!E24,"Fungus surface"),exact(Metadata!E24,"Fungus corpus"),exact(Metadata!E24,"Animal surface"),exact(Metadata!E24,"Animal proximal gut"),exact(Metadata!E24,"Animal corpus"),exact(Metadata!E24,"Animal distal gut"),exact(Metadata!E24,"Animal secretion")))</f>
        <v>0</v>
      </c>
      <c r="AG24">
        <f>OR(AND(IF(Metadata!F24="",FALSE,TRUE),OR(exact(Metadata!F24,"not collected"),exact(Metadata!F24,"not provided"),exact(Metadata!F24,"restricted access"))),AND(IF(Metadata!F24="",FALSE,TRUE),OR(exact(Metadata!F24,"organism-associated habitat"),exact(Metadata!F24,"plant-associated habitat"),exact(Metadata!F24,"animal-associated habitat"),exact(Metadata!F24,"insecta-associated habitat"),exact(Metadata!F24,"mammalia-associated habitat"),exact(Metadata!F24,"human-associated habitat"),exact(Metadata!F24,"livestock-associated habitat"))))</f>
        <v>0</v>
      </c>
      <c r="AH24">
        <f>AND(IF(Metadata!G24="",FALSE,TRUE),exact(Metadata!G24,"host-associated"))</f>
        <v>0</v>
      </c>
      <c r="AI24">
        <f>OR(AND(IF(Metadata!H24="",FALSE,TRUE),OR(exact(Metadata!H24,"not collected"),exact(Metadata!H24,"not provided"))),AND(IF(Metadata!H24="",FALSE,ISNUMBER(VALUE(Metadata!H24))),Metadata!H24&gt;0))</f>
        <v>0</v>
      </c>
      <c r="AJ24">
        <f>AND(IF(Metadata!I24="",FALSE,TRUE),exact(Metadata!I24,"years"))</f>
        <v>0</v>
      </c>
      <c r="AK24">
        <f>IF(Metadata!J24="",FALSE,TRUE)</f>
        <v>0</v>
      </c>
      <c r="AL24">
        <f>OR(AND(IF(Metadata!K24="",FALSE,TRUE),OR(exact(Metadata!K24,"not collected"),exact(Metadata!K24,"not provided"))),AND(IF(Metadata!K24="",FALSE,ISNUMBER(VALUE(Metadata!K24))),Metadata!K24&gt;0))</f>
        <v>0</v>
      </c>
      <c r="AM24">
        <f>AND(IF(Metadata!L24="",FALSE,TRUE),exact(Metadata!L24,"cm"))</f>
        <v>0</v>
      </c>
      <c r="AN24">
        <f>IF(Metadata!M24="",FALSE,TRUE)</f>
        <v>0</v>
      </c>
      <c r="AO24">
        <f>OR(AND(IF(Metadata!N24="",FALSE,TRUE),OR(exact(Metadata!N24,"not applicable"),exact(Metadata!N24,"not collected"),exact(Metadata!N24,"not provided"))),AND(IF(Metadata!N24="",FALSE,IF(ISERROR(INT(Metadata!N24)),FALSE,INT(Metadata!N24)=Metadata!N24)),Metadata!N24&gt;0))</f>
        <v>0</v>
      </c>
      <c r="AP24">
        <f>OR(AND(IF(Metadata!O24="",FALSE,TRUE),OR(exact(Metadata!O24,"not collected"),exact(Metadata!O24,"not provided"))),AND(IF(Metadata!O24="",FALSE,ISNUMBER(VALUE(Metadata!O24))),Metadata!O24&gt;0))</f>
        <v>0</v>
      </c>
      <c r="AQ24">
        <f>AND(IF(Metadata!P24="",FALSE,TRUE),exact(Metadata!P24,"kg"))</f>
        <v>0</v>
      </c>
      <c r="AR24">
        <f>OR(AND(IF(Metadata!Q24="",FALSE,TRUE),OR(exact(Metadata!Q24,"not applicable"),exact(Metadata!Q24,"not collected"),exact(Metadata!Q24,"not provided"),exact(Metadata!Q24,"restricted access"))),IF(Metadata!Q24="",FALSE,IF(ISERROR(INT(Metadata!Q24)),FALSE,INT(Metadata!Q24)=Metadata!Q24)))</f>
        <v>0</v>
      </c>
      <c r="AS24">
        <f>AND(IF(Metadata!R24="",FALSE,TRUE),exact(Metadata!R24,"Not applicable"))</f>
        <v>0</v>
      </c>
    </row>
    <row r="25" spans="1:45">
      <c r="A25" s="4">
        <f>IF(B25=" "," ",HYPERLINK(CONCATENATE("#metadata!",ADDRESS(INDEX($X$2:$X$1001,MATCH(ROWS($V$2:V25),$V$2:$V$1001,0),0),2)),INDEX($AA$2:$AA$1001,MATCH(ROWS($V$2:V25),$V$2:$V$1001,0),0)))</f>
        <v>0</v>
      </c>
      <c r="B25" s="5">
        <f>IF(OR(INDEX($W$2:$W$1001,MATCH(ROWS($V$2:V25),$V$2:$V$1001,0),1)&gt;=100000,INDEX($AC$1005:$AS$1005,1,MATCH(COLUMNS($AC$1006:AC1006),$AC$1006:$AS$1006,0))&gt;=100000), " ",IF(INDEX($AC$2:$AS$1001,MATCH(ROWS($V$2:V25),$V$2:$V$1001,0),MATCH(COLUMNS($AC$1006:AC1006),$AC$1006:$AS$1006,0)), HYPERLINK("#",""), HYPERLINK(CONCATENATE("#Metadata!", ADDRESS(INDEX($X$2:$X$1001,MATCH(ROWS($V$2:V25),$V$2:$V$1001,0),0), INDEX($AC$1004:$AS$1004,1,MATCH(COLUMNS($AC$1006:AC1006),$AC$1006:$AS$1006,0)))),"Fix")))</f>
        <v>0</v>
      </c>
      <c r="C25" s="5">
        <f>IF(OR(INDEX($W$2:$W$1001,MATCH(ROWS($V$2:V25),$V$2:$V$1001,0),1)&gt;=100000,INDEX($AC$1005:$AS$1005,1,MATCH(COLUMNS($AC$1006:AD1006),$AC$1006:$AS$1006,0))&gt;=100000), " ",IF(INDEX($AC$2:$AS$1001,MATCH(ROWS($V$2:V25),$V$2:$V$1001,0),MATCH(COLUMNS($AC$1006:AD1006),$AC$1006:$AS$1006,0)), HYPERLINK("#",""), HYPERLINK(CONCATENATE("#Metadata!", ADDRESS(INDEX($X$2:$X$1001,MATCH(ROWS($V$2:V25),$V$2:$V$1001,0),0), INDEX($AC$1004:$AS$1004,1,MATCH(COLUMNS($AC$1006:AD1006),$AC$1006:$AS$1006,0)))),"Fix")))</f>
        <v>0</v>
      </c>
      <c r="D25" s="5">
        <f>IF(OR(INDEX($W$2:$W$1001,MATCH(ROWS($V$2:V25),$V$2:$V$1001,0),1)&gt;=100000,INDEX($AC$1005:$AS$1005,1,MATCH(COLUMNS($AC$1006:AE1006),$AC$1006:$AS$1006,0))&gt;=100000), " ",IF(INDEX($AC$2:$AS$1001,MATCH(ROWS($V$2:V25),$V$2:$V$1001,0),MATCH(COLUMNS($AC$1006:AE1006),$AC$1006:$AS$1006,0)), HYPERLINK("#",""), HYPERLINK(CONCATENATE("#Metadata!", ADDRESS(INDEX($X$2:$X$1001,MATCH(ROWS($V$2:V25),$V$2:$V$1001,0),0), INDEX($AC$1004:$AS$1004,1,MATCH(COLUMNS($AC$1006:AE1006),$AC$1006:$AS$1006,0)))),"Fix")))</f>
        <v>0</v>
      </c>
      <c r="E25" s="5">
        <f>IF(OR(INDEX($W$2:$W$1001,MATCH(ROWS($V$2:V25),$V$2:$V$1001,0),1)&gt;=100000,INDEX($AC$1005:$AS$1005,1,MATCH(COLUMNS($AC$1006:AF1006),$AC$1006:$AS$1006,0))&gt;=100000), " ",IF(INDEX($AC$2:$AS$1001,MATCH(ROWS($V$2:V25),$V$2:$V$1001,0),MATCH(COLUMNS($AC$1006:AF1006),$AC$1006:$AS$1006,0)), HYPERLINK("#",""), HYPERLINK(CONCATENATE("#Metadata!", ADDRESS(INDEX($X$2:$X$1001,MATCH(ROWS($V$2:V25),$V$2:$V$1001,0),0), INDEX($AC$1004:$AS$1004,1,MATCH(COLUMNS($AC$1006:AF1006),$AC$1006:$AS$1006,0)))),"Fix")))</f>
        <v>0</v>
      </c>
      <c r="F25" s="5">
        <f>IF(OR(INDEX($W$2:$W$1001,MATCH(ROWS($V$2:V25),$V$2:$V$1001,0),1)&gt;=100000,INDEX($AC$1005:$AS$1005,1,MATCH(COLUMNS($AC$1006:AG1006),$AC$1006:$AS$1006,0))&gt;=100000), " ",IF(INDEX($AC$2:$AS$1001,MATCH(ROWS($V$2:V25),$V$2:$V$1001,0),MATCH(COLUMNS($AC$1006:AG1006),$AC$1006:$AS$1006,0)), HYPERLINK("#",""), HYPERLINK(CONCATENATE("#Metadata!", ADDRESS(INDEX($X$2:$X$1001,MATCH(ROWS($V$2:V25),$V$2:$V$1001,0),0), INDEX($AC$1004:$AS$1004,1,MATCH(COLUMNS($AC$1006:AG1006),$AC$1006:$AS$1006,0)))),"Fix")))</f>
        <v>0</v>
      </c>
      <c r="G25" s="5">
        <f>IF(OR(INDEX($W$2:$W$1001,MATCH(ROWS($V$2:V25),$V$2:$V$1001,0),1)&gt;=100000,INDEX($AC$1005:$AS$1005,1,MATCH(COLUMNS($AC$1006:AH1006),$AC$1006:$AS$1006,0))&gt;=100000), " ",IF(INDEX($AC$2:$AS$1001,MATCH(ROWS($V$2:V25),$V$2:$V$1001,0),MATCH(COLUMNS($AC$1006:AH1006),$AC$1006:$AS$1006,0)), HYPERLINK("#",""), HYPERLINK(CONCATENATE("#Metadata!", ADDRESS(INDEX($X$2:$X$1001,MATCH(ROWS($V$2:V25),$V$2:$V$1001,0),0), INDEX($AC$1004:$AS$1004,1,MATCH(COLUMNS($AC$1006:AH1006),$AC$1006:$AS$1006,0)))),"Fix")))</f>
        <v>0</v>
      </c>
      <c r="H25" s="5">
        <f>IF(OR(INDEX($W$2:$W$1001,MATCH(ROWS($V$2:V25),$V$2:$V$1001,0),1)&gt;=100000,INDEX($AC$1005:$AS$1005,1,MATCH(COLUMNS($AC$1006:AI1006),$AC$1006:$AS$1006,0))&gt;=100000), " ",IF(INDEX($AC$2:$AS$1001,MATCH(ROWS($V$2:V25),$V$2:$V$1001,0),MATCH(COLUMNS($AC$1006:AI1006),$AC$1006:$AS$1006,0)), HYPERLINK("#",""), HYPERLINK(CONCATENATE("#Metadata!", ADDRESS(INDEX($X$2:$X$1001,MATCH(ROWS($V$2:V25),$V$2:$V$1001,0),0), INDEX($AC$1004:$AS$1004,1,MATCH(COLUMNS($AC$1006:AI1006),$AC$1006:$AS$1006,0)))),"Fix")))</f>
        <v>0</v>
      </c>
      <c r="I25" s="5">
        <f>IF(OR(INDEX($W$2:$W$1001,MATCH(ROWS($V$2:V25),$V$2:$V$1001,0),1)&gt;=100000,INDEX($AC$1005:$AS$1005,1,MATCH(COLUMNS($AC$1006:AJ1006),$AC$1006:$AS$1006,0))&gt;=100000), " ",IF(INDEX($AC$2:$AS$1001,MATCH(ROWS($V$2:V25),$V$2:$V$1001,0),MATCH(COLUMNS($AC$1006:AJ1006),$AC$1006:$AS$1006,0)), HYPERLINK("#",""), HYPERLINK(CONCATENATE("#Metadata!", ADDRESS(INDEX($X$2:$X$1001,MATCH(ROWS($V$2:V25),$V$2:$V$1001,0),0), INDEX($AC$1004:$AS$1004,1,MATCH(COLUMNS($AC$1006:AJ1006),$AC$1006:$AS$1006,0)))),"Fix")))</f>
        <v>0</v>
      </c>
      <c r="J25" s="5">
        <f>IF(OR(INDEX($W$2:$W$1001,MATCH(ROWS($V$2:V25),$V$2:$V$1001,0),1)&gt;=100000,INDEX($AC$1005:$AS$1005,1,MATCH(COLUMNS($AC$1006:AK1006),$AC$1006:$AS$1006,0))&gt;=100000), " ",IF(INDEX($AC$2:$AS$1001,MATCH(ROWS($V$2:V25),$V$2:$V$1001,0),MATCH(COLUMNS($AC$1006:AK1006),$AC$1006:$AS$1006,0)), HYPERLINK("#",""), HYPERLINK(CONCATENATE("#Metadata!", ADDRESS(INDEX($X$2:$X$1001,MATCH(ROWS($V$2:V25),$V$2:$V$1001,0),0), INDEX($AC$1004:$AS$1004,1,MATCH(COLUMNS($AC$1006:AK1006),$AC$1006:$AS$1006,0)))),"Fix")))</f>
        <v>0</v>
      </c>
      <c r="K25" s="5">
        <f>IF(OR(INDEX($W$2:$W$1001,MATCH(ROWS($V$2:V25),$V$2:$V$1001,0),1)&gt;=100000,INDEX($AC$1005:$AS$1005,1,MATCH(COLUMNS($AC$1006:AL1006),$AC$1006:$AS$1006,0))&gt;=100000), " ",IF(INDEX($AC$2:$AS$1001,MATCH(ROWS($V$2:V25),$V$2:$V$1001,0),MATCH(COLUMNS($AC$1006:AL1006),$AC$1006:$AS$1006,0)), HYPERLINK("#",""), HYPERLINK(CONCATENATE("#Metadata!", ADDRESS(INDEX($X$2:$X$1001,MATCH(ROWS($V$2:V25),$V$2:$V$1001,0),0), INDEX($AC$1004:$AS$1004,1,MATCH(COLUMNS($AC$1006:AL1006),$AC$1006:$AS$1006,0)))),"Fix")))</f>
        <v>0</v>
      </c>
      <c r="L25" s="5">
        <f>IF(OR(INDEX($W$2:$W$1001,MATCH(ROWS($V$2:V25),$V$2:$V$1001,0),1)&gt;=100000,INDEX($AC$1005:$AS$1005,1,MATCH(COLUMNS($AC$1006:AM1006),$AC$1006:$AS$1006,0))&gt;=100000), " ",IF(INDEX($AC$2:$AS$1001,MATCH(ROWS($V$2:V25),$V$2:$V$1001,0),MATCH(COLUMNS($AC$1006:AM1006),$AC$1006:$AS$1006,0)), HYPERLINK("#",""), HYPERLINK(CONCATENATE("#Metadata!", ADDRESS(INDEX($X$2:$X$1001,MATCH(ROWS($V$2:V25),$V$2:$V$1001,0),0), INDEX($AC$1004:$AS$1004,1,MATCH(COLUMNS($AC$1006:AM1006),$AC$1006:$AS$1006,0)))),"Fix")))</f>
        <v>0</v>
      </c>
      <c r="M25" s="5">
        <f>IF(OR(INDEX($W$2:$W$1001,MATCH(ROWS($V$2:V25),$V$2:$V$1001,0),1)&gt;=100000,INDEX($AC$1005:$AS$1005,1,MATCH(COLUMNS($AC$1006:AN1006),$AC$1006:$AS$1006,0))&gt;=100000), " ",IF(INDEX($AC$2:$AS$1001,MATCH(ROWS($V$2:V25),$V$2:$V$1001,0),MATCH(COLUMNS($AC$1006:AN1006),$AC$1006:$AS$1006,0)), HYPERLINK("#",""), HYPERLINK(CONCATENATE("#Metadata!", ADDRESS(INDEX($X$2:$X$1001,MATCH(ROWS($V$2:V25),$V$2:$V$1001,0),0), INDEX($AC$1004:$AS$1004,1,MATCH(COLUMNS($AC$1006:AN1006),$AC$1006:$AS$1006,0)))),"Fix")))</f>
        <v>0</v>
      </c>
      <c r="N25" s="5">
        <f>IF(OR(INDEX($W$2:$W$1001,MATCH(ROWS($V$2:V25),$V$2:$V$1001,0),1)&gt;=100000,INDEX($AC$1005:$AS$1005,1,MATCH(COLUMNS($AC$1006:AO1006),$AC$1006:$AS$1006,0))&gt;=100000), " ",IF(INDEX($AC$2:$AS$1001,MATCH(ROWS($V$2:V25),$V$2:$V$1001,0),MATCH(COLUMNS($AC$1006:AO1006),$AC$1006:$AS$1006,0)), HYPERLINK("#",""), HYPERLINK(CONCATENATE("#Metadata!", ADDRESS(INDEX($X$2:$X$1001,MATCH(ROWS($V$2:V25),$V$2:$V$1001,0),0), INDEX($AC$1004:$AS$1004,1,MATCH(COLUMNS($AC$1006:AO1006),$AC$1006:$AS$1006,0)))),"Fix")))</f>
        <v>0</v>
      </c>
      <c r="O25" s="5">
        <f>IF(OR(INDEX($W$2:$W$1001,MATCH(ROWS($V$2:V25),$V$2:$V$1001,0),1)&gt;=100000,INDEX($AC$1005:$AS$1005,1,MATCH(COLUMNS($AC$1006:AP1006),$AC$1006:$AS$1006,0))&gt;=100000), " ",IF(INDEX($AC$2:$AS$1001,MATCH(ROWS($V$2:V25),$V$2:$V$1001,0),MATCH(COLUMNS($AC$1006:AP1006),$AC$1006:$AS$1006,0)), HYPERLINK("#",""), HYPERLINK(CONCATENATE("#Metadata!", ADDRESS(INDEX($X$2:$X$1001,MATCH(ROWS($V$2:V25),$V$2:$V$1001,0),0), INDEX($AC$1004:$AS$1004,1,MATCH(COLUMNS($AC$1006:AP1006),$AC$1006:$AS$1006,0)))),"Fix")))</f>
        <v>0</v>
      </c>
      <c r="P25" s="5">
        <f>IF(OR(INDEX($W$2:$W$1001,MATCH(ROWS($V$2:V25),$V$2:$V$1001,0),1)&gt;=100000,INDEX($AC$1005:$AS$1005,1,MATCH(COLUMNS($AC$1006:AQ1006),$AC$1006:$AS$1006,0))&gt;=100000), " ",IF(INDEX($AC$2:$AS$1001,MATCH(ROWS($V$2:V25),$V$2:$V$1001,0),MATCH(COLUMNS($AC$1006:AQ1006),$AC$1006:$AS$1006,0)), HYPERLINK("#",""), HYPERLINK(CONCATENATE("#Metadata!", ADDRESS(INDEX($X$2:$X$1001,MATCH(ROWS($V$2:V25),$V$2:$V$1001,0),0), INDEX($AC$1004:$AS$1004,1,MATCH(COLUMNS($AC$1006:AQ1006),$AC$1006:$AS$1006,0)))),"Fix")))</f>
        <v>0</v>
      </c>
      <c r="Q25" s="5">
        <f>IF(OR(INDEX($W$2:$W$1001,MATCH(ROWS($V$2:V25),$V$2:$V$1001,0),1)&gt;=100000,INDEX($AC$1005:$AS$1005,1,MATCH(COLUMNS($AC$1006:AR1006),$AC$1006:$AS$1006,0))&gt;=100000), " ",IF(INDEX($AC$2:$AS$1001,MATCH(ROWS($V$2:V25),$V$2:$V$1001,0),MATCH(COLUMNS($AC$1006:AR1006),$AC$1006:$AS$1006,0)), HYPERLINK("#",""), HYPERLINK(CONCATENATE("#Metadata!", ADDRESS(INDEX($X$2:$X$1001,MATCH(ROWS($V$2:V25),$V$2:$V$1001,0),0), INDEX($AC$1004:$AS$1004,1,MATCH(COLUMNS($AC$1006:AR1006),$AC$1006:$AS$1006,0)))),"Fix")))</f>
        <v>0</v>
      </c>
      <c r="R25" s="5">
        <f>IF(OR(INDEX($W$2:$W$1001,MATCH(ROWS($V$2:V25),$V$2:$V$1001,0),1)&gt;=100000,INDEX($AC$1005:$AS$1005,1,MATCH(COLUMNS($AC$1006:AS1006),$AC$1006:$AS$1006,0))&gt;=100000), " ",IF(INDEX($AC$2:$AS$1001,MATCH(ROWS($V$2:V25),$V$2:$V$1001,0),MATCH(COLUMNS($AC$1006:AS1006),$AC$1006:$AS$1006,0)), HYPERLINK("#",""), HYPERLINK(CONCATENATE("#Metadata!", ADDRESS(INDEX($X$2:$X$1001,MATCH(ROWS($V$2:V25),$V$2:$V$1001,0),0), INDEX($AC$1004:$AS$1004,1,MATCH(COLUMNS($AC$1006:AS1006),$AC$1006:$AS$1006,0)))),"Fix")))</f>
        <v>0</v>
      </c>
      <c r="V25">
        <v>0</v>
      </c>
      <c r="W25">
        <v>0</v>
      </c>
      <c r="X25">
        <v>0</v>
      </c>
      <c r="Y25">
        <f>IF(Z25,TRUE,AND(AC25:AS25))</f>
        <v>0</v>
      </c>
      <c r="Z25">
        <f>COUNTBLANK(Metadata!B25:R25)=COLUMNS(Metadata!B25:R25)</f>
        <v>0</v>
      </c>
      <c r="AA25">
        <v>0</v>
      </c>
      <c r="AC25">
        <f>AND(IF(Metadata!B25="",FALSE,TRUE),COUNTIF(Metadata!B:B, Metadata!B25) = 1,NOT(ISERROR(SUMPRODUCT(SEARCH(MID(Metadata!B25,ROW(INDIRECT("1:"&amp;LEN(Metadata!B25))), 1),"0123456789abcdefghijklmnopqrstuvwxyzABCDEFGHIJKLMNOPQRSTUVWXYZ.")))))</f>
        <v>0</v>
      </c>
      <c r="AD25">
        <f>AND(IF(Metadata!C25="",FALSE,TRUE),exact(Metadata!C25,"Host-associated"))</f>
        <v>0</v>
      </c>
      <c r="AE25">
        <f>AND(IF(Metadata!D25="",FALSE,TRUE),OR(exact(Metadata!D25,"Animal"),exact(Metadata!D25,"Fungus"),exact(Metadata!D25,"Plant")))</f>
        <v>0</v>
      </c>
      <c r="AF25">
        <f>AND(IF(Metadata!E25="",FALSE,TRUE),OR(exact(Metadata!E25,"Plant secretion"),exact(Metadata!E25,"Plant rhizosphere"),exact(Metadata!E25,"Plant surface"),exact(Metadata!E25,"Plant corpus"),exact(Metadata!E25,"Fungus surface"),exact(Metadata!E25,"Fungus corpus"),exact(Metadata!E25,"Animal surface"),exact(Metadata!E25,"Animal proximal gut"),exact(Metadata!E25,"Animal corpus"),exact(Metadata!E25,"Animal distal gut"),exact(Metadata!E25,"Animal secretion")))</f>
        <v>0</v>
      </c>
      <c r="AG25">
        <f>OR(AND(IF(Metadata!F25="",FALSE,TRUE),OR(exact(Metadata!F25,"not collected"),exact(Metadata!F25,"not provided"),exact(Metadata!F25,"restricted access"))),AND(IF(Metadata!F25="",FALSE,TRUE),OR(exact(Metadata!F25,"organism-associated habitat"),exact(Metadata!F25,"plant-associated habitat"),exact(Metadata!F25,"animal-associated habitat"),exact(Metadata!F25,"insecta-associated habitat"),exact(Metadata!F25,"mammalia-associated habitat"),exact(Metadata!F25,"human-associated habitat"),exact(Metadata!F25,"livestock-associated habitat"))))</f>
        <v>0</v>
      </c>
      <c r="AH25">
        <f>AND(IF(Metadata!G25="",FALSE,TRUE),exact(Metadata!G25,"host-associated"))</f>
        <v>0</v>
      </c>
      <c r="AI25">
        <f>OR(AND(IF(Metadata!H25="",FALSE,TRUE),OR(exact(Metadata!H25,"not collected"),exact(Metadata!H25,"not provided"))),AND(IF(Metadata!H25="",FALSE,ISNUMBER(VALUE(Metadata!H25))),Metadata!H25&gt;0))</f>
        <v>0</v>
      </c>
      <c r="AJ25">
        <f>AND(IF(Metadata!I25="",FALSE,TRUE),exact(Metadata!I25,"years"))</f>
        <v>0</v>
      </c>
      <c r="AK25">
        <f>IF(Metadata!J25="",FALSE,TRUE)</f>
        <v>0</v>
      </c>
      <c r="AL25">
        <f>OR(AND(IF(Metadata!K25="",FALSE,TRUE),OR(exact(Metadata!K25,"not collected"),exact(Metadata!K25,"not provided"))),AND(IF(Metadata!K25="",FALSE,ISNUMBER(VALUE(Metadata!K25))),Metadata!K25&gt;0))</f>
        <v>0</v>
      </c>
      <c r="AM25">
        <f>AND(IF(Metadata!L25="",FALSE,TRUE),exact(Metadata!L25,"cm"))</f>
        <v>0</v>
      </c>
      <c r="AN25">
        <f>IF(Metadata!M25="",FALSE,TRUE)</f>
        <v>0</v>
      </c>
      <c r="AO25">
        <f>OR(AND(IF(Metadata!N25="",FALSE,TRUE),OR(exact(Metadata!N25,"not applicable"),exact(Metadata!N25,"not collected"),exact(Metadata!N25,"not provided"))),AND(IF(Metadata!N25="",FALSE,IF(ISERROR(INT(Metadata!N25)),FALSE,INT(Metadata!N25)=Metadata!N25)),Metadata!N25&gt;0))</f>
        <v>0</v>
      </c>
      <c r="AP25">
        <f>OR(AND(IF(Metadata!O25="",FALSE,TRUE),OR(exact(Metadata!O25,"not collected"),exact(Metadata!O25,"not provided"))),AND(IF(Metadata!O25="",FALSE,ISNUMBER(VALUE(Metadata!O25))),Metadata!O25&gt;0))</f>
        <v>0</v>
      </c>
      <c r="AQ25">
        <f>AND(IF(Metadata!P25="",FALSE,TRUE),exact(Metadata!P25,"kg"))</f>
        <v>0</v>
      </c>
      <c r="AR25">
        <f>OR(AND(IF(Metadata!Q25="",FALSE,TRUE),OR(exact(Metadata!Q25,"not applicable"),exact(Metadata!Q25,"not collected"),exact(Metadata!Q25,"not provided"),exact(Metadata!Q25,"restricted access"))),IF(Metadata!Q25="",FALSE,IF(ISERROR(INT(Metadata!Q25)),FALSE,INT(Metadata!Q25)=Metadata!Q25)))</f>
        <v>0</v>
      </c>
      <c r="AS25">
        <f>AND(IF(Metadata!R25="",FALSE,TRUE),exact(Metadata!R25,"Not applicable"))</f>
        <v>0</v>
      </c>
    </row>
    <row r="26" spans="1:45">
      <c r="A26" s="4">
        <f>IF(B26=" "," ",HYPERLINK(CONCATENATE("#metadata!",ADDRESS(INDEX($X$2:$X$1001,MATCH(ROWS($V$2:V26),$V$2:$V$1001,0),0),2)),INDEX($AA$2:$AA$1001,MATCH(ROWS($V$2:V26),$V$2:$V$1001,0),0)))</f>
        <v>0</v>
      </c>
      <c r="B26" s="5">
        <f>IF(OR(INDEX($W$2:$W$1001,MATCH(ROWS($V$2:V26),$V$2:$V$1001,0),1)&gt;=100000,INDEX($AC$1005:$AS$1005,1,MATCH(COLUMNS($AC$1006:AC1006),$AC$1006:$AS$1006,0))&gt;=100000), " ",IF(INDEX($AC$2:$AS$1001,MATCH(ROWS($V$2:V26),$V$2:$V$1001,0),MATCH(COLUMNS($AC$1006:AC1006),$AC$1006:$AS$1006,0)), HYPERLINK("#",""), HYPERLINK(CONCATENATE("#Metadata!", ADDRESS(INDEX($X$2:$X$1001,MATCH(ROWS($V$2:V26),$V$2:$V$1001,0),0), INDEX($AC$1004:$AS$1004,1,MATCH(COLUMNS($AC$1006:AC1006),$AC$1006:$AS$1006,0)))),"Fix")))</f>
        <v>0</v>
      </c>
      <c r="C26" s="5">
        <f>IF(OR(INDEX($W$2:$W$1001,MATCH(ROWS($V$2:V26),$V$2:$V$1001,0),1)&gt;=100000,INDEX($AC$1005:$AS$1005,1,MATCH(COLUMNS($AC$1006:AD1006),$AC$1006:$AS$1006,0))&gt;=100000), " ",IF(INDEX($AC$2:$AS$1001,MATCH(ROWS($V$2:V26),$V$2:$V$1001,0),MATCH(COLUMNS($AC$1006:AD1006),$AC$1006:$AS$1006,0)), HYPERLINK("#",""), HYPERLINK(CONCATENATE("#Metadata!", ADDRESS(INDEX($X$2:$X$1001,MATCH(ROWS($V$2:V26),$V$2:$V$1001,0),0), INDEX($AC$1004:$AS$1004,1,MATCH(COLUMNS($AC$1006:AD1006),$AC$1006:$AS$1006,0)))),"Fix")))</f>
        <v>0</v>
      </c>
      <c r="D26" s="5">
        <f>IF(OR(INDEX($W$2:$W$1001,MATCH(ROWS($V$2:V26),$V$2:$V$1001,0),1)&gt;=100000,INDEX($AC$1005:$AS$1005,1,MATCH(COLUMNS($AC$1006:AE1006),$AC$1006:$AS$1006,0))&gt;=100000), " ",IF(INDEX($AC$2:$AS$1001,MATCH(ROWS($V$2:V26),$V$2:$V$1001,0),MATCH(COLUMNS($AC$1006:AE1006),$AC$1006:$AS$1006,0)), HYPERLINK("#",""), HYPERLINK(CONCATENATE("#Metadata!", ADDRESS(INDEX($X$2:$X$1001,MATCH(ROWS($V$2:V26),$V$2:$V$1001,0),0), INDEX($AC$1004:$AS$1004,1,MATCH(COLUMNS($AC$1006:AE1006),$AC$1006:$AS$1006,0)))),"Fix")))</f>
        <v>0</v>
      </c>
      <c r="E26" s="5">
        <f>IF(OR(INDEX($W$2:$W$1001,MATCH(ROWS($V$2:V26),$V$2:$V$1001,0),1)&gt;=100000,INDEX($AC$1005:$AS$1005,1,MATCH(COLUMNS($AC$1006:AF1006),$AC$1006:$AS$1006,0))&gt;=100000), " ",IF(INDEX($AC$2:$AS$1001,MATCH(ROWS($V$2:V26),$V$2:$V$1001,0),MATCH(COLUMNS($AC$1006:AF1006),$AC$1006:$AS$1006,0)), HYPERLINK("#",""), HYPERLINK(CONCATENATE("#Metadata!", ADDRESS(INDEX($X$2:$X$1001,MATCH(ROWS($V$2:V26),$V$2:$V$1001,0),0), INDEX($AC$1004:$AS$1004,1,MATCH(COLUMNS($AC$1006:AF1006),$AC$1006:$AS$1006,0)))),"Fix")))</f>
        <v>0</v>
      </c>
      <c r="F26" s="5">
        <f>IF(OR(INDEX($W$2:$W$1001,MATCH(ROWS($V$2:V26),$V$2:$V$1001,0),1)&gt;=100000,INDEX($AC$1005:$AS$1005,1,MATCH(COLUMNS($AC$1006:AG1006),$AC$1006:$AS$1006,0))&gt;=100000), " ",IF(INDEX($AC$2:$AS$1001,MATCH(ROWS($V$2:V26),$V$2:$V$1001,0),MATCH(COLUMNS($AC$1006:AG1006),$AC$1006:$AS$1006,0)), HYPERLINK("#",""), HYPERLINK(CONCATENATE("#Metadata!", ADDRESS(INDEX($X$2:$X$1001,MATCH(ROWS($V$2:V26),$V$2:$V$1001,0),0), INDEX($AC$1004:$AS$1004,1,MATCH(COLUMNS($AC$1006:AG1006),$AC$1006:$AS$1006,0)))),"Fix")))</f>
        <v>0</v>
      </c>
      <c r="G26" s="5">
        <f>IF(OR(INDEX($W$2:$W$1001,MATCH(ROWS($V$2:V26),$V$2:$V$1001,0),1)&gt;=100000,INDEX($AC$1005:$AS$1005,1,MATCH(COLUMNS($AC$1006:AH1006),$AC$1006:$AS$1006,0))&gt;=100000), " ",IF(INDEX($AC$2:$AS$1001,MATCH(ROWS($V$2:V26),$V$2:$V$1001,0),MATCH(COLUMNS($AC$1006:AH1006),$AC$1006:$AS$1006,0)), HYPERLINK("#",""), HYPERLINK(CONCATENATE("#Metadata!", ADDRESS(INDEX($X$2:$X$1001,MATCH(ROWS($V$2:V26),$V$2:$V$1001,0),0), INDEX($AC$1004:$AS$1004,1,MATCH(COLUMNS($AC$1006:AH1006),$AC$1006:$AS$1006,0)))),"Fix")))</f>
        <v>0</v>
      </c>
      <c r="H26" s="5">
        <f>IF(OR(INDEX($W$2:$W$1001,MATCH(ROWS($V$2:V26),$V$2:$V$1001,0),1)&gt;=100000,INDEX($AC$1005:$AS$1005,1,MATCH(COLUMNS($AC$1006:AI1006),$AC$1006:$AS$1006,0))&gt;=100000), " ",IF(INDEX($AC$2:$AS$1001,MATCH(ROWS($V$2:V26),$V$2:$V$1001,0),MATCH(COLUMNS($AC$1006:AI1006),$AC$1006:$AS$1006,0)), HYPERLINK("#",""), HYPERLINK(CONCATENATE("#Metadata!", ADDRESS(INDEX($X$2:$X$1001,MATCH(ROWS($V$2:V26),$V$2:$V$1001,0),0), INDEX($AC$1004:$AS$1004,1,MATCH(COLUMNS($AC$1006:AI1006),$AC$1006:$AS$1006,0)))),"Fix")))</f>
        <v>0</v>
      </c>
      <c r="I26" s="5">
        <f>IF(OR(INDEX($W$2:$W$1001,MATCH(ROWS($V$2:V26),$V$2:$V$1001,0),1)&gt;=100000,INDEX($AC$1005:$AS$1005,1,MATCH(COLUMNS($AC$1006:AJ1006),$AC$1006:$AS$1006,0))&gt;=100000), " ",IF(INDEX($AC$2:$AS$1001,MATCH(ROWS($V$2:V26),$V$2:$V$1001,0),MATCH(COLUMNS($AC$1006:AJ1006),$AC$1006:$AS$1006,0)), HYPERLINK("#",""), HYPERLINK(CONCATENATE("#Metadata!", ADDRESS(INDEX($X$2:$X$1001,MATCH(ROWS($V$2:V26),$V$2:$V$1001,0),0), INDEX($AC$1004:$AS$1004,1,MATCH(COLUMNS($AC$1006:AJ1006),$AC$1006:$AS$1006,0)))),"Fix")))</f>
        <v>0</v>
      </c>
      <c r="J26" s="5">
        <f>IF(OR(INDEX($W$2:$W$1001,MATCH(ROWS($V$2:V26),$V$2:$V$1001,0),1)&gt;=100000,INDEX($AC$1005:$AS$1005,1,MATCH(COLUMNS($AC$1006:AK1006),$AC$1006:$AS$1006,0))&gt;=100000), " ",IF(INDEX($AC$2:$AS$1001,MATCH(ROWS($V$2:V26),$V$2:$V$1001,0),MATCH(COLUMNS($AC$1006:AK1006),$AC$1006:$AS$1006,0)), HYPERLINK("#",""), HYPERLINK(CONCATENATE("#Metadata!", ADDRESS(INDEX($X$2:$X$1001,MATCH(ROWS($V$2:V26),$V$2:$V$1001,0),0), INDEX($AC$1004:$AS$1004,1,MATCH(COLUMNS($AC$1006:AK1006),$AC$1006:$AS$1006,0)))),"Fix")))</f>
        <v>0</v>
      </c>
      <c r="K26" s="5">
        <f>IF(OR(INDEX($W$2:$W$1001,MATCH(ROWS($V$2:V26),$V$2:$V$1001,0),1)&gt;=100000,INDEX($AC$1005:$AS$1005,1,MATCH(COLUMNS($AC$1006:AL1006),$AC$1006:$AS$1006,0))&gt;=100000), " ",IF(INDEX($AC$2:$AS$1001,MATCH(ROWS($V$2:V26),$V$2:$V$1001,0),MATCH(COLUMNS($AC$1006:AL1006),$AC$1006:$AS$1006,0)), HYPERLINK("#",""), HYPERLINK(CONCATENATE("#Metadata!", ADDRESS(INDEX($X$2:$X$1001,MATCH(ROWS($V$2:V26),$V$2:$V$1001,0),0), INDEX($AC$1004:$AS$1004,1,MATCH(COLUMNS($AC$1006:AL1006),$AC$1006:$AS$1006,0)))),"Fix")))</f>
        <v>0</v>
      </c>
      <c r="L26" s="5">
        <f>IF(OR(INDEX($W$2:$W$1001,MATCH(ROWS($V$2:V26),$V$2:$V$1001,0),1)&gt;=100000,INDEX($AC$1005:$AS$1005,1,MATCH(COLUMNS($AC$1006:AM1006),$AC$1006:$AS$1006,0))&gt;=100000), " ",IF(INDEX($AC$2:$AS$1001,MATCH(ROWS($V$2:V26),$V$2:$V$1001,0),MATCH(COLUMNS($AC$1006:AM1006),$AC$1006:$AS$1006,0)), HYPERLINK("#",""), HYPERLINK(CONCATENATE("#Metadata!", ADDRESS(INDEX($X$2:$X$1001,MATCH(ROWS($V$2:V26),$V$2:$V$1001,0),0), INDEX($AC$1004:$AS$1004,1,MATCH(COLUMNS($AC$1006:AM1006),$AC$1006:$AS$1006,0)))),"Fix")))</f>
        <v>0</v>
      </c>
      <c r="M26" s="5">
        <f>IF(OR(INDEX($W$2:$W$1001,MATCH(ROWS($V$2:V26),$V$2:$V$1001,0),1)&gt;=100000,INDEX($AC$1005:$AS$1005,1,MATCH(COLUMNS($AC$1006:AN1006),$AC$1006:$AS$1006,0))&gt;=100000), " ",IF(INDEX($AC$2:$AS$1001,MATCH(ROWS($V$2:V26),$V$2:$V$1001,0),MATCH(COLUMNS($AC$1006:AN1006),$AC$1006:$AS$1006,0)), HYPERLINK("#",""), HYPERLINK(CONCATENATE("#Metadata!", ADDRESS(INDEX($X$2:$X$1001,MATCH(ROWS($V$2:V26),$V$2:$V$1001,0),0), INDEX($AC$1004:$AS$1004,1,MATCH(COLUMNS($AC$1006:AN1006),$AC$1006:$AS$1006,0)))),"Fix")))</f>
        <v>0</v>
      </c>
      <c r="N26" s="5">
        <f>IF(OR(INDEX($W$2:$W$1001,MATCH(ROWS($V$2:V26),$V$2:$V$1001,0),1)&gt;=100000,INDEX($AC$1005:$AS$1005,1,MATCH(COLUMNS($AC$1006:AO1006),$AC$1006:$AS$1006,0))&gt;=100000), " ",IF(INDEX($AC$2:$AS$1001,MATCH(ROWS($V$2:V26),$V$2:$V$1001,0),MATCH(COLUMNS($AC$1006:AO1006),$AC$1006:$AS$1006,0)), HYPERLINK("#",""), HYPERLINK(CONCATENATE("#Metadata!", ADDRESS(INDEX($X$2:$X$1001,MATCH(ROWS($V$2:V26),$V$2:$V$1001,0),0), INDEX($AC$1004:$AS$1004,1,MATCH(COLUMNS($AC$1006:AO1006),$AC$1006:$AS$1006,0)))),"Fix")))</f>
        <v>0</v>
      </c>
      <c r="O26" s="5">
        <f>IF(OR(INDEX($W$2:$W$1001,MATCH(ROWS($V$2:V26),$V$2:$V$1001,0),1)&gt;=100000,INDEX($AC$1005:$AS$1005,1,MATCH(COLUMNS($AC$1006:AP1006),$AC$1006:$AS$1006,0))&gt;=100000), " ",IF(INDEX($AC$2:$AS$1001,MATCH(ROWS($V$2:V26),$V$2:$V$1001,0),MATCH(COLUMNS($AC$1006:AP1006),$AC$1006:$AS$1006,0)), HYPERLINK("#",""), HYPERLINK(CONCATENATE("#Metadata!", ADDRESS(INDEX($X$2:$X$1001,MATCH(ROWS($V$2:V26),$V$2:$V$1001,0),0), INDEX($AC$1004:$AS$1004,1,MATCH(COLUMNS($AC$1006:AP1006),$AC$1006:$AS$1006,0)))),"Fix")))</f>
        <v>0</v>
      </c>
      <c r="P26" s="5">
        <f>IF(OR(INDEX($W$2:$W$1001,MATCH(ROWS($V$2:V26),$V$2:$V$1001,0),1)&gt;=100000,INDEX($AC$1005:$AS$1005,1,MATCH(COLUMNS($AC$1006:AQ1006),$AC$1006:$AS$1006,0))&gt;=100000), " ",IF(INDEX($AC$2:$AS$1001,MATCH(ROWS($V$2:V26),$V$2:$V$1001,0),MATCH(COLUMNS($AC$1006:AQ1006),$AC$1006:$AS$1006,0)), HYPERLINK("#",""), HYPERLINK(CONCATENATE("#Metadata!", ADDRESS(INDEX($X$2:$X$1001,MATCH(ROWS($V$2:V26),$V$2:$V$1001,0),0), INDEX($AC$1004:$AS$1004,1,MATCH(COLUMNS($AC$1006:AQ1006),$AC$1006:$AS$1006,0)))),"Fix")))</f>
        <v>0</v>
      </c>
      <c r="Q26" s="5">
        <f>IF(OR(INDEX($W$2:$W$1001,MATCH(ROWS($V$2:V26),$V$2:$V$1001,0),1)&gt;=100000,INDEX($AC$1005:$AS$1005,1,MATCH(COLUMNS($AC$1006:AR1006),$AC$1006:$AS$1006,0))&gt;=100000), " ",IF(INDEX($AC$2:$AS$1001,MATCH(ROWS($V$2:V26),$V$2:$V$1001,0),MATCH(COLUMNS($AC$1006:AR1006),$AC$1006:$AS$1006,0)), HYPERLINK("#",""), HYPERLINK(CONCATENATE("#Metadata!", ADDRESS(INDEX($X$2:$X$1001,MATCH(ROWS($V$2:V26),$V$2:$V$1001,0),0), INDEX($AC$1004:$AS$1004,1,MATCH(COLUMNS($AC$1006:AR1006),$AC$1006:$AS$1006,0)))),"Fix")))</f>
        <v>0</v>
      </c>
      <c r="R26" s="5">
        <f>IF(OR(INDEX($W$2:$W$1001,MATCH(ROWS($V$2:V26),$V$2:$V$1001,0),1)&gt;=100000,INDEX($AC$1005:$AS$1005,1,MATCH(COLUMNS($AC$1006:AS1006),$AC$1006:$AS$1006,0))&gt;=100000), " ",IF(INDEX($AC$2:$AS$1001,MATCH(ROWS($V$2:V26),$V$2:$V$1001,0),MATCH(COLUMNS($AC$1006:AS1006),$AC$1006:$AS$1006,0)), HYPERLINK("#",""), HYPERLINK(CONCATENATE("#Metadata!", ADDRESS(INDEX($X$2:$X$1001,MATCH(ROWS($V$2:V26),$V$2:$V$1001,0),0), INDEX($AC$1004:$AS$1004,1,MATCH(COLUMNS($AC$1006:AS1006),$AC$1006:$AS$1006,0)))),"Fix")))</f>
        <v>0</v>
      </c>
      <c r="V26">
        <v>0</v>
      </c>
      <c r="W26">
        <v>0</v>
      </c>
      <c r="X26">
        <v>0</v>
      </c>
      <c r="Y26">
        <f>IF(Z26,TRUE,AND(AC26:AS26))</f>
        <v>0</v>
      </c>
      <c r="Z26">
        <f>COUNTBLANK(Metadata!B26:R26)=COLUMNS(Metadata!B26:R26)</f>
        <v>0</v>
      </c>
      <c r="AA26">
        <v>0</v>
      </c>
      <c r="AC26">
        <f>AND(IF(Metadata!B26="",FALSE,TRUE),COUNTIF(Metadata!B:B, Metadata!B26) = 1,NOT(ISERROR(SUMPRODUCT(SEARCH(MID(Metadata!B26,ROW(INDIRECT("1:"&amp;LEN(Metadata!B26))), 1),"0123456789abcdefghijklmnopqrstuvwxyzABCDEFGHIJKLMNOPQRSTUVWXYZ.")))))</f>
        <v>0</v>
      </c>
      <c r="AD26">
        <f>AND(IF(Metadata!C26="",FALSE,TRUE),exact(Metadata!C26,"Host-associated"))</f>
        <v>0</v>
      </c>
      <c r="AE26">
        <f>AND(IF(Metadata!D26="",FALSE,TRUE),OR(exact(Metadata!D26,"Animal"),exact(Metadata!D26,"Fungus"),exact(Metadata!D26,"Plant")))</f>
        <v>0</v>
      </c>
      <c r="AF26">
        <f>AND(IF(Metadata!E26="",FALSE,TRUE),OR(exact(Metadata!E26,"Plant secretion"),exact(Metadata!E26,"Plant rhizosphere"),exact(Metadata!E26,"Plant surface"),exact(Metadata!E26,"Plant corpus"),exact(Metadata!E26,"Fungus surface"),exact(Metadata!E26,"Fungus corpus"),exact(Metadata!E26,"Animal surface"),exact(Metadata!E26,"Animal proximal gut"),exact(Metadata!E26,"Animal corpus"),exact(Metadata!E26,"Animal distal gut"),exact(Metadata!E26,"Animal secretion")))</f>
        <v>0</v>
      </c>
      <c r="AG26">
        <f>OR(AND(IF(Metadata!F26="",FALSE,TRUE),OR(exact(Metadata!F26,"not collected"),exact(Metadata!F26,"not provided"),exact(Metadata!F26,"restricted access"))),AND(IF(Metadata!F26="",FALSE,TRUE),OR(exact(Metadata!F26,"organism-associated habitat"),exact(Metadata!F26,"plant-associated habitat"),exact(Metadata!F26,"animal-associated habitat"),exact(Metadata!F26,"insecta-associated habitat"),exact(Metadata!F26,"mammalia-associated habitat"),exact(Metadata!F26,"human-associated habitat"),exact(Metadata!F26,"livestock-associated habitat"))))</f>
        <v>0</v>
      </c>
      <c r="AH26">
        <f>AND(IF(Metadata!G26="",FALSE,TRUE),exact(Metadata!G26,"host-associated"))</f>
        <v>0</v>
      </c>
      <c r="AI26">
        <f>OR(AND(IF(Metadata!H26="",FALSE,TRUE),OR(exact(Metadata!H26,"not collected"),exact(Metadata!H26,"not provided"))),AND(IF(Metadata!H26="",FALSE,ISNUMBER(VALUE(Metadata!H26))),Metadata!H26&gt;0))</f>
        <v>0</v>
      </c>
      <c r="AJ26">
        <f>AND(IF(Metadata!I26="",FALSE,TRUE),exact(Metadata!I26,"years"))</f>
        <v>0</v>
      </c>
      <c r="AK26">
        <f>IF(Metadata!J26="",FALSE,TRUE)</f>
        <v>0</v>
      </c>
      <c r="AL26">
        <f>OR(AND(IF(Metadata!K26="",FALSE,TRUE),OR(exact(Metadata!K26,"not collected"),exact(Metadata!K26,"not provided"))),AND(IF(Metadata!K26="",FALSE,ISNUMBER(VALUE(Metadata!K26))),Metadata!K26&gt;0))</f>
        <v>0</v>
      </c>
      <c r="AM26">
        <f>AND(IF(Metadata!L26="",FALSE,TRUE),exact(Metadata!L26,"cm"))</f>
        <v>0</v>
      </c>
      <c r="AN26">
        <f>IF(Metadata!M26="",FALSE,TRUE)</f>
        <v>0</v>
      </c>
      <c r="AO26">
        <f>OR(AND(IF(Metadata!N26="",FALSE,TRUE),OR(exact(Metadata!N26,"not applicable"),exact(Metadata!N26,"not collected"),exact(Metadata!N26,"not provided"))),AND(IF(Metadata!N26="",FALSE,IF(ISERROR(INT(Metadata!N26)),FALSE,INT(Metadata!N26)=Metadata!N26)),Metadata!N26&gt;0))</f>
        <v>0</v>
      </c>
      <c r="AP26">
        <f>OR(AND(IF(Metadata!O26="",FALSE,TRUE),OR(exact(Metadata!O26,"not collected"),exact(Metadata!O26,"not provided"))),AND(IF(Metadata!O26="",FALSE,ISNUMBER(VALUE(Metadata!O26))),Metadata!O26&gt;0))</f>
        <v>0</v>
      </c>
      <c r="AQ26">
        <f>AND(IF(Metadata!P26="",FALSE,TRUE),exact(Metadata!P26,"kg"))</f>
        <v>0</v>
      </c>
      <c r="AR26">
        <f>OR(AND(IF(Metadata!Q26="",FALSE,TRUE),OR(exact(Metadata!Q26,"not applicable"),exact(Metadata!Q26,"not collected"),exact(Metadata!Q26,"not provided"),exact(Metadata!Q26,"restricted access"))),IF(Metadata!Q26="",FALSE,IF(ISERROR(INT(Metadata!Q26)),FALSE,INT(Metadata!Q26)=Metadata!Q26)))</f>
        <v>0</v>
      </c>
      <c r="AS26">
        <f>AND(IF(Metadata!R26="",FALSE,TRUE),exact(Metadata!R26,"Not applicable"))</f>
        <v>0</v>
      </c>
    </row>
    <row r="27" spans="1:45">
      <c r="A27" s="4">
        <f>IF(B27=" "," ",HYPERLINK(CONCATENATE("#metadata!",ADDRESS(INDEX($X$2:$X$1001,MATCH(ROWS($V$2:V27),$V$2:$V$1001,0),0),2)),INDEX($AA$2:$AA$1001,MATCH(ROWS($V$2:V27),$V$2:$V$1001,0),0)))</f>
        <v>0</v>
      </c>
      <c r="B27" s="5">
        <f>IF(OR(INDEX($W$2:$W$1001,MATCH(ROWS($V$2:V27),$V$2:$V$1001,0),1)&gt;=100000,INDEX($AC$1005:$AS$1005,1,MATCH(COLUMNS($AC$1006:AC1006),$AC$1006:$AS$1006,0))&gt;=100000), " ",IF(INDEX($AC$2:$AS$1001,MATCH(ROWS($V$2:V27),$V$2:$V$1001,0),MATCH(COLUMNS($AC$1006:AC1006),$AC$1006:$AS$1006,0)), HYPERLINK("#",""), HYPERLINK(CONCATENATE("#Metadata!", ADDRESS(INDEX($X$2:$X$1001,MATCH(ROWS($V$2:V27),$V$2:$V$1001,0),0), INDEX($AC$1004:$AS$1004,1,MATCH(COLUMNS($AC$1006:AC1006),$AC$1006:$AS$1006,0)))),"Fix")))</f>
        <v>0</v>
      </c>
      <c r="C27" s="5">
        <f>IF(OR(INDEX($W$2:$W$1001,MATCH(ROWS($V$2:V27),$V$2:$V$1001,0),1)&gt;=100000,INDEX($AC$1005:$AS$1005,1,MATCH(COLUMNS($AC$1006:AD1006),$AC$1006:$AS$1006,0))&gt;=100000), " ",IF(INDEX($AC$2:$AS$1001,MATCH(ROWS($V$2:V27),$V$2:$V$1001,0),MATCH(COLUMNS($AC$1006:AD1006),$AC$1006:$AS$1006,0)), HYPERLINK("#",""), HYPERLINK(CONCATENATE("#Metadata!", ADDRESS(INDEX($X$2:$X$1001,MATCH(ROWS($V$2:V27),$V$2:$V$1001,0),0), INDEX($AC$1004:$AS$1004,1,MATCH(COLUMNS($AC$1006:AD1006),$AC$1006:$AS$1006,0)))),"Fix")))</f>
        <v>0</v>
      </c>
      <c r="D27" s="5">
        <f>IF(OR(INDEX($W$2:$W$1001,MATCH(ROWS($V$2:V27),$V$2:$V$1001,0),1)&gt;=100000,INDEX($AC$1005:$AS$1005,1,MATCH(COLUMNS($AC$1006:AE1006),$AC$1006:$AS$1006,0))&gt;=100000), " ",IF(INDEX($AC$2:$AS$1001,MATCH(ROWS($V$2:V27),$V$2:$V$1001,0),MATCH(COLUMNS($AC$1006:AE1006),$AC$1006:$AS$1006,0)), HYPERLINK("#",""), HYPERLINK(CONCATENATE("#Metadata!", ADDRESS(INDEX($X$2:$X$1001,MATCH(ROWS($V$2:V27),$V$2:$V$1001,0),0), INDEX($AC$1004:$AS$1004,1,MATCH(COLUMNS($AC$1006:AE1006),$AC$1006:$AS$1006,0)))),"Fix")))</f>
        <v>0</v>
      </c>
      <c r="E27" s="5">
        <f>IF(OR(INDEX($W$2:$W$1001,MATCH(ROWS($V$2:V27),$V$2:$V$1001,0),1)&gt;=100000,INDEX($AC$1005:$AS$1005,1,MATCH(COLUMNS($AC$1006:AF1006),$AC$1006:$AS$1006,0))&gt;=100000), " ",IF(INDEX($AC$2:$AS$1001,MATCH(ROWS($V$2:V27),$V$2:$V$1001,0),MATCH(COLUMNS($AC$1006:AF1006),$AC$1006:$AS$1006,0)), HYPERLINK("#",""), HYPERLINK(CONCATENATE("#Metadata!", ADDRESS(INDEX($X$2:$X$1001,MATCH(ROWS($V$2:V27),$V$2:$V$1001,0),0), INDEX($AC$1004:$AS$1004,1,MATCH(COLUMNS($AC$1006:AF1006),$AC$1006:$AS$1006,0)))),"Fix")))</f>
        <v>0</v>
      </c>
      <c r="F27" s="5">
        <f>IF(OR(INDEX($W$2:$W$1001,MATCH(ROWS($V$2:V27),$V$2:$V$1001,0),1)&gt;=100000,INDEX($AC$1005:$AS$1005,1,MATCH(COLUMNS($AC$1006:AG1006),$AC$1006:$AS$1006,0))&gt;=100000), " ",IF(INDEX($AC$2:$AS$1001,MATCH(ROWS($V$2:V27),$V$2:$V$1001,0),MATCH(COLUMNS($AC$1006:AG1006),$AC$1006:$AS$1006,0)), HYPERLINK("#",""), HYPERLINK(CONCATENATE("#Metadata!", ADDRESS(INDEX($X$2:$X$1001,MATCH(ROWS($V$2:V27),$V$2:$V$1001,0),0), INDEX($AC$1004:$AS$1004,1,MATCH(COLUMNS($AC$1006:AG1006),$AC$1006:$AS$1006,0)))),"Fix")))</f>
        <v>0</v>
      </c>
      <c r="G27" s="5">
        <f>IF(OR(INDEX($W$2:$W$1001,MATCH(ROWS($V$2:V27),$V$2:$V$1001,0),1)&gt;=100000,INDEX($AC$1005:$AS$1005,1,MATCH(COLUMNS($AC$1006:AH1006),$AC$1006:$AS$1006,0))&gt;=100000), " ",IF(INDEX($AC$2:$AS$1001,MATCH(ROWS($V$2:V27),$V$2:$V$1001,0),MATCH(COLUMNS($AC$1006:AH1006),$AC$1006:$AS$1006,0)), HYPERLINK("#",""), HYPERLINK(CONCATENATE("#Metadata!", ADDRESS(INDEX($X$2:$X$1001,MATCH(ROWS($V$2:V27),$V$2:$V$1001,0),0), INDEX($AC$1004:$AS$1004,1,MATCH(COLUMNS($AC$1006:AH1006),$AC$1006:$AS$1006,0)))),"Fix")))</f>
        <v>0</v>
      </c>
      <c r="H27" s="5">
        <f>IF(OR(INDEX($W$2:$W$1001,MATCH(ROWS($V$2:V27),$V$2:$V$1001,0),1)&gt;=100000,INDEX($AC$1005:$AS$1005,1,MATCH(COLUMNS($AC$1006:AI1006),$AC$1006:$AS$1006,0))&gt;=100000), " ",IF(INDEX($AC$2:$AS$1001,MATCH(ROWS($V$2:V27),$V$2:$V$1001,0),MATCH(COLUMNS($AC$1006:AI1006),$AC$1006:$AS$1006,0)), HYPERLINK("#",""), HYPERLINK(CONCATENATE("#Metadata!", ADDRESS(INDEX($X$2:$X$1001,MATCH(ROWS($V$2:V27),$V$2:$V$1001,0),0), INDEX($AC$1004:$AS$1004,1,MATCH(COLUMNS($AC$1006:AI1006),$AC$1006:$AS$1006,0)))),"Fix")))</f>
        <v>0</v>
      </c>
      <c r="I27" s="5">
        <f>IF(OR(INDEX($W$2:$W$1001,MATCH(ROWS($V$2:V27),$V$2:$V$1001,0),1)&gt;=100000,INDEX($AC$1005:$AS$1005,1,MATCH(COLUMNS($AC$1006:AJ1006),$AC$1006:$AS$1006,0))&gt;=100000), " ",IF(INDEX($AC$2:$AS$1001,MATCH(ROWS($V$2:V27),$V$2:$V$1001,0),MATCH(COLUMNS($AC$1006:AJ1006),$AC$1006:$AS$1006,0)), HYPERLINK("#",""), HYPERLINK(CONCATENATE("#Metadata!", ADDRESS(INDEX($X$2:$X$1001,MATCH(ROWS($V$2:V27),$V$2:$V$1001,0),0), INDEX($AC$1004:$AS$1004,1,MATCH(COLUMNS($AC$1006:AJ1006),$AC$1006:$AS$1006,0)))),"Fix")))</f>
        <v>0</v>
      </c>
      <c r="J27" s="5">
        <f>IF(OR(INDEX($W$2:$W$1001,MATCH(ROWS($V$2:V27),$V$2:$V$1001,0),1)&gt;=100000,INDEX($AC$1005:$AS$1005,1,MATCH(COLUMNS($AC$1006:AK1006),$AC$1006:$AS$1006,0))&gt;=100000), " ",IF(INDEX($AC$2:$AS$1001,MATCH(ROWS($V$2:V27),$V$2:$V$1001,0),MATCH(COLUMNS($AC$1006:AK1006),$AC$1006:$AS$1006,0)), HYPERLINK("#",""), HYPERLINK(CONCATENATE("#Metadata!", ADDRESS(INDEX($X$2:$X$1001,MATCH(ROWS($V$2:V27),$V$2:$V$1001,0),0), INDEX($AC$1004:$AS$1004,1,MATCH(COLUMNS($AC$1006:AK1006),$AC$1006:$AS$1006,0)))),"Fix")))</f>
        <v>0</v>
      </c>
      <c r="K27" s="5">
        <f>IF(OR(INDEX($W$2:$W$1001,MATCH(ROWS($V$2:V27),$V$2:$V$1001,0),1)&gt;=100000,INDEX($AC$1005:$AS$1005,1,MATCH(COLUMNS($AC$1006:AL1006),$AC$1006:$AS$1006,0))&gt;=100000), " ",IF(INDEX($AC$2:$AS$1001,MATCH(ROWS($V$2:V27),$V$2:$V$1001,0),MATCH(COLUMNS($AC$1006:AL1006),$AC$1006:$AS$1006,0)), HYPERLINK("#",""), HYPERLINK(CONCATENATE("#Metadata!", ADDRESS(INDEX($X$2:$X$1001,MATCH(ROWS($V$2:V27),$V$2:$V$1001,0),0), INDEX($AC$1004:$AS$1004,1,MATCH(COLUMNS($AC$1006:AL1006),$AC$1006:$AS$1006,0)))),"Fix")))</f>
        <v>0</v>
      </c>
      <c r="L27" s="5">
        <f>IF(OR(INDEX($W$2:$W$1001,MATCH(ROWS($V$2:V27),$V$2:$V$1001,0),1)&gt;=100000,INDEX($AC$1005:$AS$1005,1,MATCH(COLUMNS($AC$1006:AM1006),$AC$1006:$AS$1006,0))&gt;=100000), " ",IF(INDEX($AC$2:$AS$1001,MATCH(ROWS($V$2:V27),$V$2:$V$1001,0),MATCH(COLUMNS($AC$1006:AM1006),$AC$1006:$AS$1006,0)), HYPERLINK("#",""), HYPERLINK(CONCATENATE("#Metadata!", ADDRESS(INDEX($X$2:$X$1001,MATCH(ROWS($V$2:V27),$V$2:$V$1001,0),0), INDEX($AC$1004:$AS$1004,1,MATCH(COLUMNS($AC$1006:AM1006),$AC$1006:$AS$1006,0)))),"Fix")))</f>
        <v>0</v>
      </c>
      <c r="M27" s="5">
        <f>IF(OR(INDEX($W$2:$W$1001,MATCH(ROWS($V$2:V27),$V$2:$V$1001,0),1)&gt;=100000,INDEX($AC$1005:$AS$1005,1,MATCH(COLUMNS($AC$1006:AN1006),$AC$1006:$AS$1006,0))&gt;=100000), " ",IF(INDEX($AC$2:$AS$1001,MATCH(ROWS($V$2:V27),$V$2:$V$1001,0),MATCH(COLUMNS($AC$1006:AN1006),$AC$1006:$AS$1006,0)), HYPERLINK("#",""), HYPERLINK(CONCATENATE("#Metadata!", ADDRESS(INDEX($X$2:$X$1001,MATCH(ROWS($V$2:V27),$V$2:$V$1001,0),0), INDEX($AC$1004:$AS$1004,1,MATCH(COLUMNS($AC$1006:AN1006),$AC$1006:$AS$1006,0)))),"Fix")))</f>
        <v>0</v>
      </c>
      <c r="N27" s="5">
        <f>IF(OR(INDEX($W$2:$W$1001,MATCH(ROWS($V$2:V27),$V$2:$V$1001,0),1)&gt;=100000,INDEX($AC$1005:$AS$1005,1,MATCH(COLUMNS($AC$1006:AO1006),$AC$1006:$AS$1006,0))&gt;=100000), " ",IF(INDEX($AC$2:$AS$1001,MATCH(ROWS($V$2:V27),$V$2:$V$1001,0),MATCH(COLUMNS($AC$1006:AO1006),$AC$1006:$AS$1006,0)), HYPERLINK("#",""), HYPERLINK(CONCATENATE("#Metadata!", ADDRESS(INDEX($X$2:$X$1001,MATCH(ROWS($V$2:V27),$V$2:$V$1001,0),0), INDEX($AC$1004:$AS$1004,1,MATCH(COLUMNS($AC$1006:AO1006),$AC$1006:$AS$1006,0)))),"Fix")))</f>
        <v>0</v>
      </c>
      <c r="O27" s="5">
        <f>IF(OR(INDEX($W$2:$W$1001,MATCH(ROWS($V$2:V27),$V$2:$V$1001,0),1)&gt;=100000,INDEX($AC$1005:$AS$1005,1,MATCH(COLUMNS($AC$1006:AP1006),$AC$1006:$AS$1006,0))&gt;=100000), " ",IF(INDEX($AC$2:$AS$1001,MATCH(ROWS($V$2:V27),$V$2:$V$1001,0),MATCH(COLUMNS($AC$1006:AP1006),$AC$1006:$AS$1006,0)), HYPERLINK("#",""), HYPERLINK(CONCATENATE("#Metadata!", ADDRESS(INDEX($X$2:$X$1001,MATCH(ROWS($V$2:V27),$V$2:$V$1001,0),0), INDEX($AC$1004:$AS$1004,1,MATCH(COLUMNS($AC$1006:AP1006),$AC$1006:$AS$1006,0)))),"Fix")))</f>
        <v>0</v>
      </c>
      <c r="P27" s="5">
        <f>IF(OR(INDEX($W$2:$W$1001,MATCH(ROWS($V$2:V27),$V$2:$V$1001,0),1)&gt;=100000,INDEX($AC$1005:$AS$1005,1,MATCH(COLUMNS($AC$1006:AQ1006),$AC$1006:$AS$1006,0))&gt;=100000), " ",IF(INDEX($AC$2:$AS$1001,MATCH(ROWS($V$2:V27),$V$2:$V$1001,0),MATCH(COLUMNS($AC$1006:AQ1006),$AC$1006:$AS$1006,0)), HYPERLINK("#",""), HYPERLINK(CONCATENATE("#Metadata!", ADDRESS(INDEX($X$2:$X$1001,MATCH(ROWS($V$2:V27),$V$2:$V$1001,0),0), INDEX($AC$1004:$AS$1004,1,MATCH(COLUMNS($AC$1006:AQ1006),$AC$1006:$AS$1006,0)))),"Fix")))</f>
        <v>0</v>
      </c>
      <c r="Q27" s="5">
        <f>IF(OR(INDEX($W$2:$W$1001,MATCH(ROWS($V$2:V27),$V$2:$V$1001,0),1)&gt;=100000,INDEX($AC$1005:$AS$1005,1,MATCH(COLUMNS($AC$1006:AR1006),$AC$1006:$AS$1006,0))&gt;=100000), " ",IF(INDEX($AC$2:$AS$1001,MATCH(ROWS($V$2:V27),$V$2:$V$1001,0),MATCH(COLUMNS($AC$1006:AR1006),$AC$1006:$AS$1006,0)), HYPERLINK("#",""), HYPERLINK(CONCATENATE("#Metadata!", ADDRESS(INDEX($X$2:$X$1001,MATCH(ROWS($V$2:V27),$V$2:$V$1001,0),0), INDEX($AC$1004:$AS$1004,1,MATCH(COLUMNS($AC$1006:AR1006),$AC$1006:$AS$1006,0)))),"Fix")))</f>
        <v>0</v>
      </c>
      <c r="R27" s="5">
        <f>IF(OR(INDEX($W$2:$W$1001,MATCH(ROWS($V$2:V27),$V$2:$V$1001,0),1)&gt;=100000,INDEX($AC$1005:$AS$1005,1,MATCH(COLUMNS($AC$1006:AS1006),$AC$1006:$AS$1006,0))&gt;=100000), " ",IF(INDEX($AC$2:$AS$1001,MATCH(ROWS($V$2:V27),$V$2:$V$1001,0),MATCH(COLUMNS($AC$1006:AS1006),$AC$1006:$AS$1006,0)), HYPERLINK("#",""), HYPERLINK(CONCATENATE("#Metadata!", ADDRESS(INDEX($X$2:$X$1001,MATCH(ROWS($V$2:V27),$V$2:$V$1001,0),0), INDEX($AC$1004:$AS$1004,1,MATCH(COLUMNS($AC$1006:AS1006),$AC$1006:$AS$1006,0)))),"Fix")))</f>
        <v>0</v>
      </c>
      <c r="V27">
        <v>0</v>
      </c>
      <c r="W27">
        <v>0</v>
      </c>
      <c r="X27">
        <v>0</v>
      </c>
      <c r="Y27">
        <f>IF(Z27,TRUE,AND(AC27:AS27))</f>
        <v>0</v>
      </c>
      <c r="Z27">
        <f>COUNTBLANK(Metadata!B27:R27)=COLUMNS(Metadata!B27:R27)</f>
        <v>0</v>
      </c>
      <c r="AA27">
        <v>0</v>
      </c>
      <c r="AC27">
        <f>AND(IF(Metadata!B27="",FALSE,TRUE),COUNTIF(Metadata!B:B, Metadata!B27) = 1,NOT(ISERROR(SUMPRODUCT(SEARCH(MID(Metadata!B27,ROW(INDIRECT("1:"&amp;LEN(Metadata!B27))), 1),"0123456789abcdefghijklmnopqrstuvwxyzABCDEFGHIJKLMNOPQRSTUVWXYZ.")))))</f>
        <v>0</v>
      </c>
      <c r="AD27">
        <f>AND(IF(Metadata!C27="",FALSE,TRUE),exact(Metadata!C27,"Host-associated"))</f>
        <v>0</v>
      </c>
      <c r="AE27">
        <f>AND(IF(Metadata!D27="",FALSE,TRUE),OR(exact(Metadata!D27,"Animal"),exact(Metadata!D27,"Fungus"),exact(Metadata!D27,"Plant")))</f>
        <v>0</v>
      </c>
      <c r="AF27">
        <f>AND(IF(Metadata!E27="",FALSE,TRUE),OR(exact(Metadata!E27,"Plant secretion"),exact(Metadata!E27,"Plant rhizosphere"),exact(Metadata!E27,"Plant surface"),exact(Metadata!E27,"Plant corpus"),exact(Metadata!E27,"Fungus surface"),exact(Metadata!E27,"Fungus corpus"),exact(Metadata!E27,"Animal surface"),exact(Metadata!E27,"Animal proximal gut"),exact(Metadata!E27,"Animal corpus"),exact(Metadata!E27,"Animal distal gut"),exact(Metadata!E27,"Animal secretion")))</f>
        <v>0</v>
      </c>
      <c r="AG27">
        <f>OR(AND(IF(Metadata!F27="",FALSE,TRUE),OR(exact(Metadata!F27,"not collected"),exact(Metadata!F27,"not provided"),exact(Metadata!F27,"restricted access"))),AND(IF(Metadata!F27="",FALSE,TRUE),OR(exact(Metadata!F27,"organism-associated habitat"),exact(Metadata!F27,"plant-associated habitat"),exact(Metadata!F27,"animal-associated habitat"),exact(Metadata!F27,"insecta-associated habitat"),exact(Metadata!F27,"mammalia-associated habitat"),exact(Metadata!F27,"human-associated habitat"),exact(Metadata!F27,"livestock-associated habitat"))))</f>
        <v>0</v>
      </c>
      <c r="AH27">
        <f>AND(IF(Metadata!G27="",FALSE,TRUE),exact(Metadata!G27,"host-associated"))</f>
        <v>0</v>
      </c>
      <c r="AI27">
        <f>OR(AND(IF(Metadata!H27="",FALSE,TRUE),OR(exact(Metadata!H27,"not collected"),exact(Metadata!H27,"not provided"))),AND(IF(Metadata!H27="",FALSE,ISNUMBER(VALUE(Metadata!H27))),Metadata!H27&gt;0))</f>
        <v>0</v>
      </c>
      <c r="AJ27">
        <f>AND(IF(Metadata!I27="",FALSE,TRUE),exact(Metadata!I27,"years"))</f>
        <v>0</v>
      </c>
      <c r="AK27">
        <f>IF(Metadata!J27="",FALSE,TRUE)</f>
        <v>0</v>
      </c>
      <c r="AL27">
        <f>OR(AND(IF(Metadata!K27="",FALSE,TRUE),OR(exact(Metadata!K27,"not collected"),exact(Metadata!K27,"not provided"))),AND(IF(Metadata!K27="",FALSE,ISNUMBER(VALUE(Metadata!K27))),Metadata!K27&gt;0))</f>
        <v>0</v>
      </c>
      <c r="AM27">
        <f>AND(IF(Metadata!L27="",FALSE,TRUE),exact(Metadata!L27,"cm"))</f>
        <v>0</v>
      </c>
      <c r="AN27">
        <f>IF(Metadata!M27="",FALSE,TRUE)</f>
        <v>0</v>
      </c>
      <c r="AO27">
        <f>OR(AND(IF(Metadata!N27="",FALSE,TRUE),OR(exact(Metadata!N27,"not applicable"),exact(Metadata!N27,"not collected"),exact(Metadata!N27,"not provided"))),AND(IF(Metadata!N27="",FALSE,IF(ISERROR(INT(Metadata!N27)),FALSE,INT(Metadata!N27)=Metadata!N27)),Metadata!N27&gt;0))</f>
        <v>0</v>
      </c>
      <c r="AP27">
        <f>OR(AND(IF(Metadata!O27="",FALSE,TRUE),OR(exact(Metadata!O27,"not collected"),exact(Metadata!O27,"not provided"))),AND(IF(Metadata!O27="",FALSE,ISNUMBER(VALUE(Metadata!O27))),Metadata!O27&gt;0))</f>
        <v>0</v>
      </c>
      <c r="AQ27">
        <f>AND(IF(Metadata!P27="",FALSE,TRUE),exact(Metadata!P27,"kg"))</f>
        <v>0</v>
      </c>
      <c r="AR27">
        <f>OR(AND(IF(Metadata!Q27="",FALSE,TRUE),OR(exact(Metadata!Q27,"not applicable"),exact(Metadata!Q27,"not collected"),exact(Metadata!Q27,"not provided"),exact(Metadata!Q27,"restricted access"))),IF(Metadata!Q27="",FALSE,IF(ISERROR(INT(Metadata!Q27)),FALSE,INT(Metadata!Q27)=Metadata!Q27)))</f>
        <v>0</v>
      </c>
      <c r="AS27">
        <f>AND(IF(Metadata!R27="",FALSE,TRUE),exact(Metadata!R27,"Not applicable"))</f>
        <v>0</v>
      </c>
    </row>
    <row r="28" spans="1:45">
      <c r="A28" s="4">
        <f>IF(B28=" "," ",HYPERLINK(CONCATENATE("#metadata!",ADDRESS(INDEX($X$2:$X$1001,MATCH(ROWS($V$2:V28),$V$2:$V$1001,0),0),2)),INDEX($AA$2:$AA$1001,MATCH(ROWS($V$2:V28),$V$2:$V$1001,0),0)))</f>
        <v>0</v>
      </c>
      <c r="B28" s="5">
        <f>IF(OR(INDEX($W$2:$W$1001,MATCH(ROWS($V$2:V28),$V$2:$V$1001,0),1)&gt;=100000,INDEX($AC$1005:$AS$1005,1,MATCH(COLUMNS($AC$1006:AC1006),$AC$1006:$AS$1006,0))&gt;=100000), " ",IF(INDEX($AC$2:$AS$1001,MATCH(ROWS($V$2:V28),$V$2:$V$1001,0),MATCH(COLUMNS($AC$1006:AC1006),$AC$1006:$AS$1006,0)), HYPERLINK("#",""), HYPERLINK(CONCATENATE("#Metadata!", ADDRESS(INDEX($X$2:$X$1001,MATCH(ROWS($V$2:V28),$V$2:$V$1001,0),0), INDEX($AC$1004:$AS$1004,1,MATCH(COLUMNS($AC$1006:AC1006),$AC$1006:$AS$1006,0)))),"Fix")))</f>
        <v>0</v>
      </c>
      <c r="C28" s="5">
        <f>IF(OR(INDEX($W$2:$W$1001,MATCH(ROWS($V$2:V28),$V$2:$V$1001,0),1)&gt;=100000,INDEX($AC$1005:$AS$1005,1,MATCH(COLUMNS($AC$1006:AD1006),$AC$1006:$AS$1006,0))&gt;=100000), " ",IF(INDEX($AC$2:$AS$1001,MATCH(ROWS($V$2:V28),$V$2:$V$1001,0),MATCH(COLUMNS($AC$1006:AD1006),$AC$1006:$AS$1006,0)), HYPERLINK("#",""), HYPERLINK(CONCATENATE("#Metadata!", ADDRESS(INDEX($X$2:$X$1001,MATCH(ROWS($V$2:V28),$V$2:$V$1001,0),0), INDEX($AC$1004:$AS$1004,1,MATCH(COLUMNS($AC$1006:AD1006),$AC$1006:$AS$1006,0)))),"Fix")))</f>
        <v>0</v>
      </c>
      <c r="D28" s="5">
        <f>IF(OR(INDEX($W$2:$W$1001,MATCH(ROWS($V$2:V28),$V$2:$V$1001,0),1)&gt;=100000,INDEX($AC$1005:$AS$1005,1,MATCH(COLUMNS($AC$1006:AE1006),$AC$1006:$AS$1006,0))&gt;=100000), " ",IF(INDEX($AC$2:$AS$1001,MATCH(ROWS($V$2:V28),$V$2:$V$1001,0),MATCH(COLUMNS($AC$1006:AE1006),$AC$1006:$AS$1006,0)), HYPERLINK("#",""), HYPERLINK(CONCATENATE("#Metadata!", ADDRESS(INDEX($X$2:$X$1001,MATCH(ROWS($V$2:V28),$V$2:$V$1001,0),0), INDEX($AC$1004:$AS$1004,1,MATCH(COLUMNS($AC$1006:AE1006),$AC$1006:$AS$1006,0)))),"Fix")))</f>
        <v>0</v>
      </c>
      <c r="E28" s="5">
        <f>IF(OR(INDEX($W$2:$W$1001,MATCH(ROWS($V$2:V28),$V$2:$V$1001,0),1)&gt;=100000,INDEX($AC$1005:$AS$1005,1,MATCH(COLUMNS($AC$1006:AF1006),$AC$1006:$AS$1006,0))&gt;=100000), " ",IF(INDEX($AC$2:$AS$1001,MATCH(ROWS($V$2:V28),$V$2:$V$1001,0),MATCH(COLUMNS($AC$1006:AF1006),$AC$1006:$AS$1006,0)), HYPERLINK("#",""), HYPERLINK(CONCATENATE("#Metadata!", ADDRESS(INDEX($X$2:$X$1001,MATCH(ROWS($V$2:V28),$V$2:$V$1001,0),0), INDEX($AC$1004:$AS$1004,1,MATCH(COLUMNS($AC$1006:AF1006),$AC$1006:$AS$1006,0)))),"Fix")))</f>
        <v>0</v>
      </c>
      <c r="F28" s="5">
        <f>IF(OR(INDEX($W$2:$W$1001,MATCH(ROWS($V$2:V28),$V$2:$V$1001,0),1)&gt;=100000,INDEX($AC$1005:$AS$1005,1,MATCH(COLUMNS($AC$1006:AG1006),$AC$1006:$AS$1006,0))&gt;=100000), " ",IF(INDEX($AC$2:$AS$1001,MATCH(ROWS($V$2:V28),$V$2:$V$1001,0),MATCH(COLUMNS($AC$1006:AG1006),$AC$1006:$AS$1006,0)), HYPERLINK("#",""), HYPERLINK(CONCATENATE("#Metadata!", ADDRESS(INDEX($X$2:$X$1001,MATCH(ROWS($V$2:V28),$V$2:$V$1001,0),0), INDEX($AC$1004:$AS$1004,1,MATCH(COLUMNS($AC$1006:AG1006),$AC$1006:$AS$1006,0)))),"Fix")))</f>
        <v>0</v>
      </c>
      <c r="G28" s="5">
        <f>IF(OR(INDEX($W$2:$W$1001,MATCH(ROWS($V$2:V28),$V$2:$V$1001,0),1)&gt;=100000,INDEX($AC$1005:$AS$1005,1,MATCH(COLUMNS($AC$1006:AH1006),$AC$1006:$AS$1006,0))&gt;=100000), " ",IF(INDEX($AC$2:$AS$1001,MATCH(ROWS($V$2:V28),$V$2:$V$1001,0),MATCH(COLUMNS($AC$1006:AH1006),$AC$1006:$AS$1006,0)), HYPERLINK("#",""), HYPERLINK(CONCATENATE("#Metadata!", ADDRESS(INDEX($X$2:$X$1001,MATCH(ROWS($V$2:V28),$V$2:$V$1001,0),0), INDEX($AC$1004:$AS$1004,1,MATCH(COLUMNS($AC$1006:AH1006),$AC$1006:$AS$1006,0)))),"Fix")))</f>
        <v>0</v>
      </c>
      <c r="H28" s="5">
        <f>IF(OR(INDEX($W$2:$W$1001,MATCH(ROWS($V$2:V28),$V$2:$V$1001,0),1)&gt;=100000,INDEX($AC$1005:$AS$1005,1,MATCH(COLUMNS($AC$1006:AI1006),$AC$1006:$AS$1006,0))&gt;=100000), " ",IF(INDEX($AC$2:$AS$1001,MATCH(ROWS($V$2:V28),$V$2:$V$1001,0),MATCH(COLUMNS($AC$1006:AI1006),$AC$1006:$AS$1006,0)), HYPERLINK("#",""), HYPERLINK(CONCATENATE("#Metadata!", ADDRESS(INDEX($X$2:$X$1001,MATCH(ROWS($V$2:V28),$V$2:$V$1001,0),0), INDEX($AC$1004:$AS$1004,1,MATCH(COLUMNS($AC$1006:AI1006),$AC$1006:$AS$1006,0)))),"Fix")))</f>
        <v>0</v>
      </c>
      <c r="I28" s="5">
        <f>IF(OR(INDEX($W$2:$W$1001,MATCH(ROWS($V$2:V28),$V$2:$V$1001,0),1)&gt;=100000,INDEX($AC$1005:$AS$1005,1,MATCH(COLUMNS($AC$1006:AJ1006),$AC$1006:$AS$1006,0))&gt;=100000), " ",IF(INDEX($AC$2:$AS$1001,MATCH(ROWS($V$2:V28),$V$2:$V$1001,0),MATCH(COLUMNS($AC$1006:AJ1006),$AC$1006:$AS$1006,0)), HYPERLINK("#",""), HYPERLINK(CONCATENATE("#Metadata!", ADDRESS(INDEX($X$2:$X$1001,MATCH(ROWS($V$2:V28),$V$2:$V$1001,0),0), INDEX($AC$1004:$AS$1004,1,MATCH(COLUMNS($AC$1006:AJ1006),$AC$1006:$AS$1006,0)))),"Fix")))</f>
        <v>0</v>
      </c>
      <c r="J28" s="5">
        <f>IF(OR(INDEX($W$2:$W$1001,MATCH(ROWS($V$2:V28),$V$2:$V$1001,0),1)&gt;=100000,INDEX($AC$1005:$AS$1005,1,MATCH(COLUMNS($AC$1006:AK1006),$AC$1006:$AS$1006,0))&gt;=100000), " ",IF(INDEX($AC$2:$AS$1001,MATCH(ROWS($V$2:V28),$V$2:$V$1001,0),MATCH(COLUMNS($AC$1006:AK1006),$AC$1006:$AS$1006,0)), HYPERLINK("#",""), HYPERLINK(CONCATENATE("#Metadata!", ADDRESS(INDEX($X$2:$X$1001,MATCH(ROWS($V$2:V28),$V$2:$V$1001,0),0), INDEX($AC$1004:$AS$1004,1,MATCH(COLUMNS($AC$1006:AK1006),$AC$1006:$AS$1006,0)))),"Fix")))</f>
        <v>0</v>
      </c>
      <c r="K28" s="5">
        <f>IF(OR(INDEX($W$2:$W$1001,MATCH(ROWS($V$2:V28),$V$2:$V$1001,0),1)&gt;=100000,INDEX($AC$1005:$AS$1005,1,MATCH(COLUMNS($AC$1006:AL1006),$AC$1006:$AS$1006,0))&gt;=100000), " ",IF(INDEX($AC$2:$AS$1001,MATCH(ROWS($V$2:V28),$V$2:$V$1001,0),MATCH(COLUMNS($AC$1006:AL1006),$AC$1006:$AS$1006,0)), HYPERLINK("#",""), HYPERLINK(CONCATENATE("#Metadata!", ADDRESS(INDEX($X$2:$X$1001,MATCH(ROWS($V$2:V28),$V$2:$V$1001,0),0), INDEX($AC$1004:$AS$1004,1,MATCH(COLUMNS($AC$1006:AL1006),$AC$1006:$AS$1006,0)))),"Fix")))</f>
        <v>0</v>
      </c>
      <c r="L28" s="5">
        <f>IF(OR(INDEX($W$2:$W$1001,MATCH(ROWS($V$2:V28),$V$2:$V$1001,0),1)&gt;=100000,INDEX($AC$1005:$AS$1005,1,MATCH(COLUMNS($AC$1006:AM1006),$AC$1006:$AS$1006,0))&gt;=100000), " ",IF(INDEX($AC$2:$AS$1001,MATCH(ROWS($V$2:V28),$V$2:$V$1001,0),MATCH(COLUMNS($AC$1006:AM1006),$AC$1006:$AS$1006,0)), HYPERLINK("#",""), HYPERLINK(CONCATENATE("#Metadata!", ADDRESS(INDEX($X$2:$X$1001,MATCH(ROWS($V$2:V28),$V$2:$V$1001,0),0), INDEX($AC$1004:$AS$1004,1,MATCH(COLUMNS($AC$1006:AM1006),$AC$1006:$AS$1006,0)))),"Fix")))</f>
        <v>0</v>
      </c>
      <c r="M28" s="5">
        <f>IF(OR(INDEX($W$2:$W$1001,MATCH(ROWS($V$2:V28),$V$2:$V$1001,0),1)&gt;=100000,INDEX($AC$1005:$AS$1005,1,MATCH(COLUMNS($AC$1006:AN1006),$AC$1006:$AS$1006,0))&gt;=100000), " ",IF(INDEX($AC$2:$AS$1001,MATCH(ROWS($V$2:V28),$V$2:$V$1001,0),MATCH(COLUMNS($AC$1006:AN1006),$AC$1006:$AS$1006,0)), HYPERLINK("#",""), HYPERLINK(CONCATENATE("#Metadata!", ADDRESS(INDEX($X$2:$X$1001,MATCH(ROWS($V$2:V28),$V$2:$V$1001,0),0), INDEX($AC$1004:$AS$1004,1,MATCH(COLUMNS($AC$1006:AN1006),$AC$1006:$AS$1006,0)))),"Fix")))</f>
        <v>0</v>
      </c>
      <c r="N28" s="5">
        <f>IF(OR(INDEX($W$2:$W$1001,MATCH(ROWS($V$2:V28),$V$2:$V$1001,0),1)&gt;=100000,INDEX($AC$1005:$AS$1005,1,MATCH(COLUMNS($AC$1006:AO1006),$AC$1006:$AS$1006,0))&gt;=100000), " ",IF(INDEX($AC$2:$AS$1001,MATCH(ROWS($V$2:V28),$V$2:$V$1001,0),MATCH(COLUMNS($AC$1006:AO1006),$AC$1006:$AS$1006,0)), HYPERLINK("#",""), HYPERLINK(CONCATENATE("#Metadata!", ADDRESS(INDEX($X$2:$X$1001,MATCH(ROWS($V$2:V28),$V$2:$V$1001,0),0), INDEX($AC$1004:$AS$1004,1,MATCH(COLUMNS($AC$1006:AO1006),$AC$1006:$AS$1006,0)))),"Fix")))</f>
        <v>0</v>
      </c>
      <c r="O28" s="5">
        <f>IF(OR(INDEX($W$2:$W$1001,MATCH(ROWS($V$2:V28),$V$2:$V$1001,0),1)&gt;=100000,INDEX($AC$1005:$AS$1005,1,MATCH(COLUMNS($AC$1006:AP1006),$AC$1006:$AS$1006,0))&gt;=100000), " ",IF(INDEX($AC$2:$AS$1001,MATCH(ROWS($V$2:V28),$V$2:$V$1001,0),MATCH(COLUMNS($AC$1006:AP1006),$AC$1006:$AS$1006,0)), HYPERLINK("#",""), HYPERLINK(CONCATENATE("#Metadata!", ADDRESS(INDEX($X$2:$X$1001,MATCH(ROWS($V$2:V28),$V$2:$V$1001,0),0), INDEX($AC$1004:$AS$1004,1,MATCH(COLUMNS($AC$1006:AP1006),$AC$1006:$AS$1006,0)))),"Fix")))</f>
        <v>0</v>
      </c>
      <c r="P28" s="5">
        <f>IF(OR(INDEX($W$2:$W$1001,MATCH(ROWS($V$2:V28),$V$2:$V$1001,0),1)&gt;=100000,INDEX($AC$1005:$AS$1005,1,MATCH(COLUMNS($AC$1006:AQ1006),$AC$1006:$AS$1006,0))&gt;=100000), " ",IF(INDEX($AC$2:$AS$1001,MATCH(ROWS($V$2:V28),$V$2:$V$1001,0),MATCH(COLUMNS($AC$1006:AQ1006),$AC$1006:$AS$1006,0)), HYPERLINK("#",""), HYPERLINK(CONCATENATE("#Metadata!", ADDRESS(INDEX($X$2:$X$1001,MATCH(ROWS($V$2:V28),$V$2:$V$1001,0),0), INDEX($AC$1004:$AS$1004,1,MATCH(COLUMNS($AC$1006:AQ1006),$AC$1006:$AS$1006,0)))),"Fix")))</f>
        <v>0</v>
      </c>
      <c r="Q28" s="5">
        <f>IF(OR(INDEX($W$2:$W$1001,MATCH(ROWS($V$2:V28),$V$2:$V$1001,0),1)&gt;=100000,INDEX($AC$1005:$AS$1005,1,MATCH(COLUMNS($AC$1006:AR1006),$AC$1006:$AS$1006,0))&gt;=100000), " ",IF(INDEX($AC$2:$AS$1001,MATCH(ROWS($V$2:V28),$V$2:$V$1001,0),MATCH(COLUMNS($AC$1006:AR1006),$AC$1006:$AS$1006,0)), HYPERLINK("#",""), HYPERLINK(CONCATENATE("#Metadata!", ADDRESS(INDEX($X$2:$X$1001,MATCH(ROWS($V$2:V28),$V$2:$V$1001,0),0), INDEX($AC$1004:$AS$1004,1,MATCH(COLUMNS($AC$1006:AR1006),$AC$1006:$AS$1006,0)))),"Fix")))</f>
        <v>0</v>
      </c>
      <c r="R28" s="5">
        <f>IF(OR(INDEX($W$2:$W$1001,MATCH(ROWS($V$2:V28),$V$2:$V$1001,0),1)&gt;=100000,INDEX($AC$1005:$AS$1005,1,MATCH(COLUMNS($AC$1006:AS1006),$AC$1006:$AS$1006,0))&gt;=100000), " ",IF(INDEX($AC$2:$AS$1001,MATCH(ROWS($V$2:V28),$V$2:$V$1001,0),MATCH(COLUMNS($AC$1006:AS1006),$AC$1006:$AS$1006,0)), HYPERLINK("#",""), HYPERLINK(CONCATENATE("#Metadata!", ADDRESS(INDEX($X$2:$X$1001,MATCH(ROWS($V$2:V28),$V$2:$V$1001,0),0), INDEX($AC$1004:$AS$1004,1,MATCH(COLUMNS($AC$1006:AS1006),$AC$1006:$AS$1006,0)))),"Fix")))</f>
        <v>0</v>
      </c>
      <c r="V28">
        <v>0</v>
      </c>
      <c r="W28">
        <v>0</v>
      </c>
      <c r="X28">
        <v>0</v>
      </c>
      <c r="Y28">
        <f>IF(Z28,TRUE,AND(AC28:AS28))</f>
        <v>0</v>
      </c>
      <c r="Z28">
        <f>COUNTBLANK(Metadata!B28:R28)=COLUMNS(Metadata!B28:R28)</f>
        <v>0</v>
      </c>
      <c r="AA28">
        <v>0</v>
      </c>
      <c r="AC28">
        <f>AND(IF(Metadata!B28="",FALSE,TRUE),COUNTIF(Metadata!B:B, Metadata!B28) = 1,NOT(ISERROR(SUMPRODUCT(SEARCH(MID(Metadata!B28,ROW(INDIRECT("1:"&amp;LEN(Metadata!B28))), 1),"0123456789abcdefghijklmnopqrstuvwxyzABCDEFGHIJKLMNOPQRSTUVWXYZ.")))))</f>
        <v>0</v>
      </c>
      <c r="AD28">
        <f>AND(IF(Metadata!C28="",FALSE,TRUE),exact(Metadata!C28,"Host-associated"))</f>
        <v>0</v>
      </c>
      <c r="AE28">
        <f>AND(IF(Metadata!D28="",FALSE,TRUE),OR(exact(Metadata!D28,"Animal"),exact(Metadata!D28,"Fungus"),exact(Metadata!D28,"Plant")))</f>
        <v>0</v>
      </c>
      <c r="AF28">
        <f>AND(IF(Metadata!E28="",FALSE,TRUE),OR(exact(Metadata!E28,"Plant secretion"),exact(Metadata!E28,"Plant rhizosphere"),exact(Metadata!E28,"Plant surface"),exact(Metadata!E28,"Plant corpus"),exact(Metadata!E28,"Fungus surface"),exact(Metadata!E28,"Fungus corpus"),exact(Metadata!E28,"Animal surface"),exact(Metadata!E28,"Animal proximal gut"),exact(Metadata!E28,"Animal corpus"),exact(Metadata!E28,"Animal distal gut"),exact(Metadata!E28,"Animal secretion")))</f>
        <v>0</v>
      </c>
      <c r="AG28">
        <f>OR(AND(IF(Metadata!F28="",FALSE,TRUE),OR(exact(Metadata!F28,"not collected"),exact(Metadata!F28,"not provided"),exact(Metadata!F28,"restricted access"))),AND(IF(Metadata!F28="",FALSE,TRUE),OR(exact(Metadata!F28,"organism-associated habitat"),exact(Metadata!F28,"plant-associated habitat"),exact(Metadata!F28,"animal-associated habitat"),exact(Metadata!F28,"insecta-associated habitat"),exact(Metadata!F28,"mammalia-associated habitat"),exact(Metadata!F28,"human-associated habitat"),exact(Metadata!F28,"livestock-associated habitat"))))</f>
        <v>0</v>
      </c>
      <c r="AH28">
        <f>AND(IF(Metadata!G28="",FALSE,TRUE),exact(Metadata!G28,"host-associated"))</f>
        <v>0</v>
      </c>
      <c r="AI28">
        <f>OR(AND(IF(Metadata!H28="",FALSE,TRUE),OR(exact(Metadata!H28,"not collected"),exact(Metadata!H28,"not provided"))),AND(IF(Metadata!H28="",FALSE,ISNUMBER(VALUE(Metadata!H28))),Metadata!H28&gt;0))</f>
        <v>0</v>
      </c>
      <c r="AJ28">
        <f>AND(IF(Metadata!I28="",FALSE,TRUE),exact(Metadata!I28,"years"))</f>
        <v>0</v>
      </c>
      <c r="AK28">
        <f>IF(Metadata!J28="",FALSE,TRUE)</f>
        <v>0</v>
      </c>
      <c r="AL28">
        <f>OR(AND(IF(Metadata!K28="",FALSE,TRUE),OR(exact(Metadata!K28,"not collected"),exact(Metadata!K28,"not provided"))),AND(IF(Metadata!K28="",FALSE,ISNUMBER(VALUE(Metadata!K28))),Metadata!K28&gt;0))</f>
        <v>0</v>
      </c>
      <c r="AM28">
        <f>AND(IF(Metadata!L28="",FALSE,TRUE),exact(Metadata!L28,"cm"))</f>
        <v>0</v>
      </c>
      <c r="AN28">
        <f>IF(Metadata!M28="",FALSE,TRUE)</f>
        <v>0</v>
      </c>
      <c r="AO28">
        <f>OR(AND(IF(Metadata!N28="",FALSE,TRUE),OR(exact(Metadata!N28,"not applicable"),exact(Metadata!N28,"not collected"),exact(Metadata!N28,"not provided"))),AND(IF(Metadata!N28="",FALSE,IF(ISERROR(INT(Metadata!N28)),FALSE,INT(Metadata!N28)=Metadata!N28)),Metadata!N28&gt;0))</f>
        <v>0</v>
      </c>
      <c r="AP28">
        <f>OR(AND(IF(Metadata!O28="",FALSE,TRUE),OR(exact(Metadata!O28,"not collected"),exact(Metadata!O28,"not provided"))),AND(IF(Metadata!O28="",FALSE,ISNUMBER(VALUE(Metadata!O28))),Metadata!O28&gt;0))</f>
        <v>0</v>
      </c>
      <c r="AQ28">
        <f>AND(IF(Metadata!P28="",FALSE,TRUE),exact(Metadata!P28,"kg"))</f>
        <v>0</v>
      </c>
      <c r="AR28">
        <f>OR(AND(IF(Metadata!Q28="",FALSE,TRUE),OR(exact(Metadata!Q28,"not applicable"),exact(Metadata!Q28,"not collected"),exact(Metadata!Q28,"not provided"),exact(Metadata!Q28,"restricted access"))),IF(Metadata!Q28="",FALSE,IF(ISERROR(INT(Metadata!Q28)),FALSE,INT(Metadata!Q28)=Metadata!Q28)))</f>
        <v>0</v>
      </c>
      <c r="AS28">
        <f>AND(IF(Metadata!R28="",FALSE,TRUE),exact(Metadata!R28,"Not applicable"))</f>
        <v>0</v>
      </c>
    </row>
    <row r="29" spans="1:45">
      <c r="A29" s="4">
        <f>IF(B29=" "," ",HYPERLINK(CONCATENATE("#metadata!",ADDRESS(INDEX($X$2:$X$1001,MATCH(ROWS($V$2:V29),$V$2:$V$1001,0),0),2)),INDEX($AA$2:$AA$1001,MATCH(ROWS($V$2:V29),$V$2:$V$1001,0),0)))</f>
        <v>0</v>
      </c>
      <c r="B29" s="5">
        <f>IF(OR(INDEX($W$2:$W$1001,MATCH(ROWS($V$2:V29),$V$2:$V$1001,0),1)&gt;=100000,INDEX($AC$1005:$AS$1005,1,MATCH(COLUMNS($AC$1006:AC1006),$AC$1006:$AS$1006,0))&gt;=100000), " ",IF(INDEX($AC$2:$AS$1001,MATCH(ROWS($V$2:V29),$V$2:$V$1001,0),MATCH(COLUMNS($AC$1006:AC1006),$AC$1006:$AS$1006,0)), HYPERLINK("#",""), HYPERLINK(CONCATENATE("#Metadata!", ADDRESS(INDEX($X$2:$X$1001,MATCH(ROWS($V$2:V29),$V$2:$V$1001,0),0), INDEX($AC$1004:$AS$1004,1,MATCH(COLUMNS($AC$1006:AC1006),$AC$1006:$AS$1006,0)))),"Fix")))</f>
        <v>0</v>
      </c>
      <c r="C29" s="5">
        <f>IF(OR(INDEX($W$2:$W$1001,MATCH(ROWS($V$2:V29),$V$2:$V$1001,0),1)&gt;=100000,INDEX($AC$1005:$AS$1005,1,MATCH(COLUMNS($AC$1006:AD1006),$AC$1006:$AS$1006,0))&gt;=100000), " ",IF(INDEX($AC$2:$AS$1001,MATCH(ROWS($V$2:V29),$V$2:$V$1001,0),MATCH(COLUMNS($AC$1006:AD1006),$AC$1006:$AS$1006,0)), HYPERLINK("#",""), HYPERLINK(CONCATENATE("#Metadata!", ADDRESS(INDEX($X$2:$X$1001,MATCH(ROWS($V$2:V29),$V$2:$V$1001,0),0), INDEX($AC$1004:$AS$1004,1,MATCH(COLUMNS($AC$1006:AD1006),$AC$1006:$AS$1006,0)))),"Fix")))</f>
        <v>0</v>
      </c>
      <c r="D29" s="5">
        <f>IF(OR(INDEX($W$2:$W$1001,MATCH(ROWS($V$2:V29),$V$2:$V$1001,0),1)&gt;=100000,INDEX($AC$1005:$AS$1005,1,MATCH(COLUMNS($AC$1006:AE1006),$AC$1006:$AS$1006,0))&gt;=100000), " ",IF(INDEX($AC$2:$AS$1001,MATCH(ROWS($V$2:V29),$V$2:$V$1001,0),MATCH(COLUMNS($AC$1006:AE1006),$AC$1006:$AS$1006,0)), HYPERLINK("#",""), HYPERLINK(CONCATENATE("#Metadata!", ADDRESS(INDEX($X$2:$X$1001,MATCH(ROWS($V$2:V29),$V$2:$V$1001,0),0), INDEX($AC$1004:$AS$1004,1,MATCH(COLUMNS($AC$1006:AE1006),$AC$1006:$AS$1006,0)))),"Fix")))</f>
        <v>0</v>
      </c>
      <c r="E29" s="5">
        <f>IF(OR(INDEX($W$2:$W$1001,MATCH(ROWS($V$2:V29),$V$2:$V$1001,0),1)&gt;=100000,INDEX($AC$1005:$AS$1005,1,MATCH(COLUMNS($AC$1006:AF1006),$AC$1006:$AS$1006,0))&gt;=100000), " ",IF(INDEX($AC$2:$AS$1001,MATCH(ROWS($V$2:V29),$V$2:$V$1001,0),MATCH(COLUMNS($AC$1006:AF1006),$AC$1006:$AS$1006,0)), HYPERLINK("#",""), HYPERLINK(CONCATENATE("#Metadata!", ADDRESS(INDEX($X$2:$X$1001,MATCH(ROWS($V$2:V29),$V$2:$V$1001,0),0), INDEX($AC$1004:$AS$1004,1,MATCH(COLUMNS($AC$1006:AF1006),$AC$1006:$AS$1006,0)))),"Fix")))</f>
        <v>0</v>
      </c>
      <c r="F29" s="5">
        <f>IF(OR(INDEX($W$2:$W$1001,MATCH(ROWS($V$2:V29),$V$2:$V$1001,0),1)&gt;=100000,INDEX($AC$1005:$AS$1005,1,MATCH(COLUMNS($AC$1006:AG1006),$AC$1006:$AS$1006,0))&gt;=100000), " ",IF(INDEX($AC$2:$AS$1001,MATCH(ROWS($V$2:V29),$V$2:$V$1001,0),MATCH(COLUMNS($AC$1006:AG1006),$AC$1006:$AS$1006,0)), HYPERLINK("#",""), HYPERLINK(CONCATENATE("#Metadata!", ADDRESS(INDEX($X$2:$X$1001,MATCH(ROWS($V$2:V29),$V$2:$V$1001,0),0), INDEX($AC$1004:$AS$1004,1,MATCH(COLUMNS($AC$1006:AG1006),$AC$1006:$AS$1006,0)))),"Fix")))</f>
        <v>0</v>
      </c>
      <c r="G29" s="5">
        <f>IF(OR(INDEX($W$2:$W$1001,MATCH(ROWS($V$2:V29),$V$2:$V$1001,0),1)&gt;=100000,INDEX($AC$1005:$AS$1005,1,MATCH(COLUMNS($AC$1006:AH1006),$AC$1006:$AS$1006,0))&gt;=100000), " ",IF(INDEX($AC$2:$AS$1001,MATCH(ROWS($V$2:V29),$V$2:$V$1001,0),MATCH(COLUMNS($AC$1006:AH1006),$AC$1006:$AS$1006,0)), HYPERLINK("#",""), HYPERLINK(CONCATENATE("#Metadata!", ADDRESS(INDEX($X$2:$X$1001,MATCH(ROWS($V$2:V29),$V$2:$V$1001,0),0), INDEX($AC$1004:$AS$1004,1,MATCH(COLUMNS($AC$1006:AH1006),$AC$1006:$AS$1006,0)))),"Fix")))</f>
        <v>0</v>
      </c>
      <c r="H29" s="5">
        <f>IF(OR(INDEX($W$2:$W$1001,MATCH(ROWS($V$2:V29),$V$2:$V$1001,0),1)&gt;=100000,INDEX($AC$1005:$AS$1005,1,MATCH(COLUMNS($AC$1006:AI1006),$AC$1006:$AS$1006,0))&gt;=100000), " ",IF(INDEX($AC$2:$AS$1001,MATCH(ROWS($V$2:V29),$V$2:$V$1001,0),MATCH(COLUMNS($AC$1006:AI1006),$AC$1006:$AS$1006,0)), HYPERLINK("#",""), HYPERLINK(CONCATENATE("#Metadata!", ADDRESS(INDEX($X$2:$X$1001,MATCH(ROWS($V$2:V29),$V$2:$V$1001,0),0), INDEX($AC$1004:$AS$1004,1,MATCH(COLUMNS($AC$1006:AI1006),$AC$1006:$AS$1006,0)))),"Fix")))</f>
        <v>0</v>
      </c>
      <c r="I29" s="5">
        <f>IF(OR(INDEX($W$2:$W$1001,MATCH(ROWS($V$2:V29),$V$2:$V$1001,0),1)&gt;=100000,INDEX($AC$1005:$AS$1005,1,MATCH(COLUMNS($AC$1006:AJ1006),$AC$1006:$AS$1006,0))&gt;=100000), " ",IF(INDEX($AC$2:$AS$1001,MATCH(ROWS($V$2:V29),$V$2:$V$1001,0),MATCH(COLUMNS($AC$1006:AJ1006),$AC$1006:$AS$1006,0)), HYPERLINK("#",""), HYPERLINK(CONCATENATE("#Metadata!", ADDRESS(INDEX($X$2:$X$1001,MATCH(ROWS($V$2:V29),$V$2:$V$1001,0),0), INDEX($AC$1004:$AS$1004,1,MATCH(COLUMNS($AC$1006:AJ1006),$AC$1006:$AS$1006,0)))),"Fix")))</f>
        <v>0</v>
      </c>
      <c r="J29" s="5">
        <f>IF(OR(INDEX($W$2:$W$1001,MATCH(ROWS($V$2:V29),$V$2:$V$1001,0),1)&gt;=100000,INDEX($AC$1005:$AS$1005,1,MATCH(COLUMNS($AC$1006:AK1006),$AC$1006:$AS$1006,0))&gt;=100000), " ",IF(INDEX($AC$2:$AS$1001,MATCH(ROWS($V$2:V29),$V$2:$V$1001,0),MATCH(COLUMNS($AC$1006:AK1006),$AC$1006:$AS$1006,0)), HYPERLINK("#",""), HYPERLINK(CONCATENATE("#Metadata!", ADDRESS(INDEX($X$2:$X$1001,MATCH(ROWS($V$2:V29),$V$2:$V$1001,0),0), INDEX($AC$1004:$AS$1004,1,MATCH(COLUMNS($AC$1006:AK1006),$AC$1006:$AS$1006,0)))),"Fix")))</f>
        <v>0</v>
      </c>
      <c r="K29" s="5">
        <f>IF(OR(INDEX($W$2:$W$1001,MATCH(ROWS($V$2:V29),$V$2:$V$1001,0),1)&gt;=100000,INDEX($AC$1005:$AS$1005,1,MATCH(COLUMNS($AC$1006:AL1006),$AC$1006:$AS$1006,0))&gt;=100000), " ",IF(INDEX($AC$2:$AS$1001,MATCH(ROWS($V$2:V29),$V$2:$V$1001,0),MATCH(COLUMNS($AC$1006:AL1006),$AC$1006:$AS$1006,0)), HYPERLINK("#",""), HYPERLINK(CONCATENATE("#Metadata!", ADDRESS(INDEX($X$2:$X$1001,MATCH(ROWS($V$2:V29),$V$2:$V$1001,0),0), INDEX($AC$1004:$AS$1004,1,MATCH(COLUMNS($AC$1006:AL1006),$AC$1006:$AS$1006,0)))),"Fix")))</f>
        <v>0</v>
      </c>
      <c r="L29" s="5">
        <f>IF(OR(INDEX($W$2:$W$1001,MATCH(ROWS($V$2:V29),$V$2:$V$1001,0),1)&gt;=100000,INDEX($AC$1005:$AS$1005,1,MATCH(COLUMNS($AC$1006:AM1006),$AC$1006:$AS$1006,0))&gt;=100000), " ",IF(INDEX($AC$2:$AS$1001,MATCH(ROWS($V$2:V29),$V$2:$V$1001,0),MATCH(COLUMNS($AC$1006:AM1006),$AC$1006:$AS$1006,0)), HYPERLINK("#",""), HYPERLINK(CONCATENATE("#Metadata!", ADDRESS(INDEX($X$2:$X$1001,MATCH(ROWS($V$2:V29),$V$2:$V$1001,0),0), INDEX($AC$1004:$AS$1004,1,MATCH(COLUMNS($AC$1006:AM1006),$AC$1006:$AS$1006,0)))),"Fix")))</f>
        <v>0</v>
      </c>
      <c r="M29" s="5">
        <f>IF(OR(INDEX($W$2:$W$1001,MATCH(ROWS($V$2:V29),$V$2:$V$1001,0),1)&gt;=100000,INDEX($AC$1005:$AS$1005,1,MATCH(COLUMNS($AC$1006:AN1006),$AC$1006:$AS$1006,0))&gt;=100000), " ",IF(INDEX($AC$2:$AS$1001,MATCH(ROWS($V$2:V29),$V$2:$V$1001,0),MATCH(COLUMNS($AC$1006:AN1006),$AC$1006:$AS$1006,0)), HYPERLINK("#",""), HYPERLINK(CONCATENATE("#Metadata!", ADDRESS(INDEX($X$2:$X$1001,MATCH(ROWS($V$2:V29),$V$2:$V$1001,0),0), INDEX($AC$1004:$AS$1004,1,MATCH(COLUMNS($AC$1006:AN1006),$AC$1006:$AS$1006,0)))),"Fix")))</f>
        <v>0</v>
      </c>
      <c r="N29" s="5">
        <f>IF(OR(INDEX($W$2:$W$1001,MATCH(ROWS($V$2:V29),$V$2:$V$1001,0),1)&gt;=100000,INDEX($AC$1005:$AS$1005,1,MATCH(COLUMNS($AC$1006:AO1006),$AC$1006:$AS$1006,0))&gt;=100000), " ",IF(INDEX($AC$2:$AS$1001,MATCH(ROWS($V$2:V29),$V$2:$V$1001,0),MATCH(COLUMNS($AC$1006:AO1006),$AC$1006:$AS$1006,0)), HYPERLINK("#",""), HYPERLINK(CONCATENATE("#Metadata!", ADDRESS(INDEX($X$2:$X$1001,MATCH(ROWS($V$2:V29),$V$2:$V$1001,0),0), INDEX($AC$1004:$AS$1004,1,MATCH(COLUMNS($AC$1006:AO1006),$AC$1006:$AS$1006,0)))),"Fix")))</f>
        <v>0</v>
      </c>
      <c r="O29" s="5">
        <f>IF(OR(INDEX($W$2:$W$1001,MATCH(ROWS($V$2:V29),$V$2:$V$1001,0),1)&gt;=100000,INDEX($AC$1005:$AS$1005,1,MATCH(COLUMNS($AC$1006:AP1006),$AC$1006:$AS$1006,0))&gt;=100000), " ",IF(INDEX($AC$2:$AS$1001,MATCH(ROWS($V$2:V29),$V$2:$V$1001,0),MATCH(COLUMNS($AC$1006:AP1006),$AC$1006:$AS$1006,0)), HYPERLINK("#",""), HYPERLINK(CONCATENATE("#Metadata!", ADDRESS(INDEX($X$2:$X$1001,MATCH(ROWS($V$2:V29),$V$2:$V$1001,0),0), INDEX($AC$1004:$AS$1004,1,MATCH(COLUMNS($AC$1006:AP1006),$AC$1006:$AS$1006,0)))),"Fix")))</f>
        <v>0</v>
      </c>
      <c r="P29" s="5">
        <f>IF(OR(INDEX($W$2:$W$1001,MATCH(ROWS($V$2:V29),$V$2:$V$1001,0),1)&gt;=100000,INDEX($AC$1005:$AS$1005,1,MATCH(COLUMNS($AC$1006:AQ1006),$AC$1006:$AS$1006,0))&gt;=100000), " ",IF(INDEX($AC$2:$AS$1001,MATCH(ROWS($V$2:V29),$V$2:$V$1001,0),MATCH(COLUMNS($AC$1006:AQ1006),$AC$1006:$AS$1006,0)), HYPERLINK("#",""), HYPERLINK(CONCATENATE("#Metadata!", ADDRESS(INDEX($X$2:$X$1001,MATCH(ROWS($V$2:V29),$V$2:$V$1001,0),0), INDEX($AC$1004:$AS$1004,1,MATCH(COLUMNS($AC$1006:AQ1006),$AC$1006:$AS$1006,0)))),"Fix")))</f>
        <v>0</v>
      </c>
      <c r="Q29" s="5">
        <f>IF(OR(INDEX($W$2:$W$1001,MATCH(ROWS($V$2:V29),$V$2:$V$1001,0),1)&gt;=100000,INDEX($AC$1005:$AS$1005,1,MATCH(COLUMNS($AC$1006:AR1006),$AC$1006:$AS$1006,0))&gt;=100000), " ",IF(INDEX($AC$2:$AS$1001,MATCH(ROWS($V$2:V29),$V$2:$V$1001,0),MATCH(COLUMNS($AC$1006:AR1006),$AC$1006:$AS$1006,0)), HYPERLINK("#",""), HYPERLINK(CONCATENATE("#Metadata!", ADDRESS(INDEX($X$2:$X$1001,MATCH(ROWS($V$2:V29),$V$2:$V$1001,0),0), INDEX($AC$1004:$AS$1004,1,MATCH(COLUMNS($AC$1006:AR1006),$AC$1006:$AS$1006,0)))),"Fix")))</f>
        <v>0</v>
      </c>
      <c r="R29" s="5">
        <f>IF(OR(INDEX($W$2:$W$1001,MATCH(ROWS($V$2:V29),$V$2:$V$1001,0),1)&gt;=100000,INDEX($AC$1005:$AS$1005,1,MATCH(COLUMNS($AC$1006:AS1006),$AC$1006:$AS$1006,0))&gt;=100000), " ",IF(INDEX($AC$2:$AS$1001,MATCH(ROWS($V$2:V29),$V$2:$V$1001,0),MATCH(COLUMNS($AC$1006:AS1006),$AC$1006:$AS$1006,0)), HYPERLINK("#",""), HYPERLINK(CONCATENATE("#Metadata!", ADDRESS(INDEX($X$2:$X$1001,MATCH(ROWS($V$2:V29),$V$2:$V$1001,0),0), INDEX($AC$1004:$AS$1004,1,MATCH(COLUMNS($AC$1006:AS1006),$AC$1006:$AS$1006,0)))),"Fix")))</f>
        <v>0</v>
      </c>
      <c r="V29">
        <v>0</v>
      </c>
      <c r="W29">
        <v>0</v>
      </c>
      <c r="X29">
        <v>0</v>
      </c>
      <c r="Y29">
        <f>IF(Z29,TRUE,AND(AC29:AS29))</f>
        <v>0</v>
      </c>
      <c r="Z29">
        <f>COUNTBLANK(Metadata!B29:R29)=COLUMNS(Metadata!B29:R29)</f>
        <v>0</v>
      </c>
      <c r="AA29">
        <v>0</v>
      </c>
      <c r="AC29">
        <f>AND(IF(Metadata!B29="",FALSE,TRUE),COUNTIF(Metadata!B:B, Metadata!B29) = 1,NOT(ISERROR(SUMPRODUCT(SEARCH(MID(Metadata!B29,ROW(INDIRECT("1:"&amp;LEN(Metadata!B29))), 1),"0123456789abcdefghijklmnopqrstuvwxyzABCDEFGHIJKLMNOPQRSTUVWXYZ.")))))</f>
        <v>0</v>
      </c>
      <c r="AD29">
        <f>AND(IF(Metadata!C29="",FALSE,TRUE),exact(Metadata!C29,"Host-associated"))</f>
        <v>0</v>
      </c>
      <c r="AE29">
        <f>AND(IF(Metadata!D29="",FALSE,TRUE),OR(exact(Metadata!D29,"Animal"),exact(Metadata!D29,"Fungus"),exact(Metadata!D29,"Plant")))</f>
        <v>0</v>
      </c>
      <c r="AF29">
        <f>AND(IF(Metadata!E29="",FALSE,TRUE),OR(exact(Metadata!E29,"Plant secretion"),exact(Metadata!E29,"Plant rhizosphere"),exact(Metadata!E29,"Plant surface"),exact(Metadata!E29,"Plant corpus"),exact(Metadata!E29,"Fungus surface"),exact(Metadata!E29,"Fungus corpus"),exact(Metadata!E29,"Animal surface"),exact(Metadata!E29,"Animal proximal gut"),exact(Metadata!E29,"Animal corpus"),exact(Metadata!E29,"Animal distal gut"),exact(Metadata!E29,"Animal secretion")))</f>
        <v>0</v>
      </c>
      <c r="AG29">
        <f>OR(AND(IF(Metadata!F29="",FALSE,TRUE),OR(exact(Metadata!F29,"not collected"),exact(Metadata!F29,"not provided"),exact(Metadata!F29,"restricted access"))),AND(IF(Metadata!F29="",FALSE,TRUE),OR(exact(Metadata!F29,"organism-associated habitat"),exact(Metadata!F29,"plant-associated habitat"),exact(Metadata!F29,"animal-associated habitat"),exact(Metadata!F29,"insecta-associated habitat"),exact(Metadata!F29,"mammalia-associated habitat"),exact(Metadata!F29,"human-associated habitat"),exact(Metadata!F29,"livestock-associated habitat"))))</f>
        <v>0</v>
      </c>
      <c r="AH29">
        <f>AND(IF(Metadata!G29="",FALSE,TRUE),exact(Metadata!G29,"host-associated"))</f>
        <v>0</v>
      </c>
      <c r="AI29">
        <f>OR(AND(IF(Metadata!H29="",FALSE,TRUE),OR(exact(Metadata!H29,"not collected"),exact(Metadata!H29,"not provided"))),AND(IF(Metadata!H29="",FALSE,ISNUMBER(VALUE(Metadata!H29))),Metadata!H29&gt;0))</f>
        <v>0</v>
      </c>
      <c r="AJ29">
        <f>AND(IF(Metadata!I29="",FALSE,TRUE),exact(Metadata!I29,"years"))</f>
        <v>0</v>
      </c>
      <c r="AK29">
        <f>IF(Metadata!J29="",FALSE,TRUE)</f>
        <v>0</v>
      </c>
      <c r="AL29">
        <f>OR(AND(IF(Metadata!K29="",FALSE,TRUE),OR(exact(Metadata!K29,"not collected"),exact(Metadata!K29,"not provided"))),AND(IF(Metadata!K29="",FALSE,ISNUMBER(VALUE(Metadata!K29))),Metadata!K29&gt;0))</f>
        <v>0</v>
      </c>
      <c r="AM29">
        <f>AND(IF(Metadata!L29="",FALSE,TRUE),exact(Metadata!L29,"cm"))</f>
        <v>0</v>
      </c>
      <c r="AN29">
        <f>IF(Metadata!M29="",FALSE,TRUE)</f>
        <v>0</v>
      </c>
      <c r="AO29">
        <f>OR(AND(IF(Metadata!N29="",FALSE,TRUE),OR(exact(Metadata!N29,"not applicable"),exact(Metadata!N29,"not collected"),exact(Metadata!N29,"not provided"))),AND(IF(Metadata!N29="",FALSE,IF(ISERROR(INT(Metadata!N29)),FALSE,INT(Metadata!N29)=Metadata!N29)),Metadata!N29&gt;0))</f>
        <v>0</v>
      </c>
      <c r="AP29">
        <f>OR(AND(IF(Metadata!O29="",FALSE,TRUE),OR(exact(Metadata!O29,"not collected"),exact(Metadata!O29,"not provided"))),AND(IF(Metadata!O29="",FALSE,ISNUMBER(VALUE(Metadata!O29))),Metadata!O29&gt;0))</f>
        <v>0</v>
      </c>
      <c r="AQ29">
        <f>AND(IF(Metadata!P29="",FALSE,TRUE),exact(Metadata!P29,"kg"))</f>
        <v>0</v>
      </c>
      <c r="AR29">
        <f>OR(AND(IF(Metadata!Q29="",FALSE,TRUE),OR(exact(Metadata!Q29,"not applicable"),exact(Metadata!Q29,"not collected"),exact(Metadata!Q29,"not provided"),exact(Metadata!Q29,"restricted access"))),IF(Metadata!Q29="",FALSE,IF(ISERROR(INT(Metadata!Q29)),FALSE,INT(Metadata!Q29)=Metadata!Q29)))</f>
        <v>0</v>
      </c>
      <c r="AS29">
        <f>AND(IF(Metadata!R29="",FALSE,TRUE),exact(Metadata!R29,"Not applicable"))</f>
        <v>0</v>
      </c>
    </row>
    <row r="30" spans="1:45">
      <c r="A30" s="4">
        <f>IF(B30=" "," ",HYPERLINK(CONCATENATE("#metadata!",ADDRESS(INDEX($X$2:$X$1001,MATCH(ROWS($V$2:V30),$V$2:$V$1001,0),0),2)),INDEX($AA$2:$AA$1001,MATCH(ROWS($V$2:V30),$V$2:$V$1001,0),0)))</f>
        <v>0</v>
      </c>
      <c r="B30" s="5">
        <f>IF(OR(INDEX($W$2:$W$1001,MATCH(ROWS($V$2:V30),$V$2:$V$1001,0),1)&gt;=100000,INDEX($AC$1005:$AS$1005,1,MATCH(COLUMNS($AC$1006:AC1006),$AC$1006:$AS$1006,0))&gt;=100000), " ",IF(INDEX($AC$2:$AS$1001,MATCH(ROWS($V$2:V30),$V$2:$V$1001,0),MATCH(COLUMNS($AC$1006:AC1006),$AC$1006:$AS$1006,0)), HYPERLINK("#",""), HYPERLINK(CONCATENATE("#Metadata!", ADDRESS(INDEX($X$2:$X$1001,MATCH(ROWS($V$2:V30),$V$2:$V$1001,0),0), INDEX($AC$1004:$AS$1004,1,MATCH(COLUMNS($AC$1006:AC1006),$AC$1006:$AS$1006,0)))),"Fix")))</f>
        <v>0</v>
      </c>
      <c r="C30" s="5">
        <f>IF(OR(INDEX($W$2:$W$1001,MATCH(ROWS($V$2:V30),$V$2:$V$1001,0),1)&gt;=100000,INDEX($AC$1005:$AS$1005,1,MATCH(COLUMNS($AC$1006:AD1006),$AC$1006:$AS$1006,0))&gt;=100000), " ",IF(INDEX($AC$2:$AS$1001,MATCH(ROWS($V$2:V30),$V$2:$V$1001,0),MATCH(COLUMNS($AC$1006:AD1006),$AC$1006:$AS$1006,0)), HYPERLINK("#",""), HYPERLINK(CONCATENATE("#Metadata!", ADDRESS(INDEX($X$2:$X$1001,MATCH(ROWS($V$2:V30),$V$2:$V$1001,0),0), INDEX($AC$1004:$AS$1004,1,MATCH(COLUMNS($AC$1006:AD1006),$AC$1006:$AS$1006,0)))),"Fix")))</f>
        <v>0</v>
      </c>
      <c r="D30" s="5">
        <f>IF(OR(INDEX($W$2:$W$1001,MATCH(ROWS($V$2:V30),$V$2:$V$1001,0),1)&gt;=100000,INDEX($AC$1005:$AS$1005,1,MATCH(COLUMNS($AC$1006:AE1006),$AC$1006:$AS$1006,0))&gt;=100000), " ",IF(INDEX($AC$2:$AS$1001,MATCH(ROWS($V$2:V30),$V$2:$V$1001,0),MATCH(COLUMNS($AC$1006:AE1006),$AC$1006:$AS$1006,0)), HYPERLINK("#",""), HYPERLINK(CONCATENATE("#Metadata!", ADDRESS(INDEX($X$2:$X$1001,MATCH(ROWS($V$2:V30),$V$2:$V$1001,0),0), INDEX($AC$1004:$AS$1004,1,MATCH(COLUMNS($AC$1006:AE1006),$AC$1006:$AS$1006,0)))),"Fix")))</f>
        <v>0</v>
      </c>
      <c r="E30" s="5">
        <f>IF(OR(INDEX($W$2:$W$1001,MATCH(ROWS($V$2:V30),$V$2:$V$1001,0),1)&gt;=100000,INDEX($AC$1005:$AS$1005,1,MATCH(COLUMNS($AC$1006:AF1006),$AC$1006:$AS$1006,0))&gt;=100000), " ",IF(INDEX($AC$2:$AS$1001,MATCH(ROWS($V$2:V30),$V$2:$V$1001,0),MATCH(COLUMNS($AC$1006:AF1006),$AC$1006:$AS$1006,0)), HYPERLINK("#",""), HYPERLINK(CONCATENATE("#Metadata!", ADDRESS(INDEX($X$2:$X$1001,MATCH(ROWS($V$2:V30),$V$2:$V$1001,0),0), INDEX($AC$1004:$AS$1004,1,MATCH(COLUMNS($AC$1006:AF1006),$AC$1006:$AS$1006,0)))),"Fix")))</f>
        <v>0</v>
      </c>
      <c r="F30" s="5">
        <f>IF(OR(INDEX($W$2:$W$1001,MATCH(ROWS($V$2:V30),$V$2:$V$1001,0),1)&gt;=100000,INDEX($AC$1005:$AS$1005,1,MATCH(COLUMNS($AC$1006:AG1006),$AC$1006:$AS$1006,0))&gt;=100000), " ",IF(INDEX($AC$2:$AS$1001,MATCH(ROWS($V$2:V30),$V$2:$V$1001,0),MATCH(COLUMNS($AC$1006:AG1006),$AC$1006:$AS$1006,0)), HYPERLINK("#",""), HYPERLINK(CONCATENATE("#Metadata!", ADDRESS(INDEX($X$2:$X$1001,MATCH(ROWS($V$2:V30),$V$2:$V$1001,0),0), INDEX($AC$1004:$AS$1004,1,MATCH(COLUMNS($AC$1006:AG1006),$AC$1006:$AS$1006,0)))),"Fix")))</f>
        <v>0</v>
      </c>
      <c r="G30" s="5">
        <f>IF(OR(INDEX($W$2:$W$1001,MATCH(ROWS($V$2:V30),$V$2:$V$1001,0),1)&gt;=100000,INDEX($AC$1005:$AS$1005,1,MATCH(COLUMNS($AC$1006:AH1006),$AC$1006:$AS$1006,0))&gt;=100000), " ",IF(INDEX($AC$2:$AS$1001,MATCH(ROWS($V$2:V30),$V$2:$V$1001,0),MATCH(COLUMNS($AC$1006:AH1006),$AC$1006:$AS$1006,0)), HYPERLINK("#",""), HYPERLINK(CONCATENATE("#Metadata!", ADDRESS(INDEX($X$2:$X$1001,MATCH(ROWS($V$2:V30),$V$2:$V$1001,0),0), INDEX($AC$1004:$AS$1004,1,MATCH(COLUMNS($AC$1006:AH1006),$AC$1006:$AS$1006,0)))),"Fix")))</f>
        <v>0</v>
      </c>
      <c r="H30" s="5">
        <f>IF(OR(INDEX($W$2:$W$1001,MATCH(ROWS($V$2:V30),$V$2:$V$1001,0),1)&gt;=100000,INDEX($AC$1005:$AS$1005,1,MATCH(COLUMNS($AC$1006:AI1006),$AC$1006:$AS$1006,0))&gt;=100000), " ",IF(INDEX($AC$2:$AS$1001,MATCH(ROWS($V$2:V30),$V$2:$V$1001,0),MATCH(COLUMNS($AC$1006:AI1006),$AC$1006:$AS$1006,0)), HYPERLINK("#",""), HYPERLINK(CONCATENATE("#Metadata!", ADDRESS(INDEX($X$2:$X$1001,MATCH(ROWS($V$2:V30),$V$2:$V$1001,0),0), INDEX($AC$1004:$AS$1004,1,MATCH(COLUMNS($AC$1006:AI1006),$AC$1006:$AS$1006,0)))),"Fix")))</f>
        <v>0</v>
      </c>
      <c r="I30" s="5">
        <f>IF(OR(INDEX($W$2:$W$1001,MATCH(ROWS($V$2:V30),$V$2:$V$1001,0),1)&gt;=100000,INDEX($AC$1005:$AS$1005,1,MATCH(COLUMNS($AC$1006:AJ1006),$AC$1006:$AS$1006,0))&gt;=100000), " ",IF(INDEX($AC$2:$AS$1001,MATCH(ROWS($V$2:V30),$V$2:$V$1001,0),MATCH(COLUMNS($AC$1006:AJ1006),$AC$1006:$AS$1006,0)), HYPERLINK("#",""), HYPERLINK(CONCATENATE("#Metadata!", ADDRESS(INDEX($X$2:$X$1001,MATCH(ROWS($V$2:V30),$V$2:$V$1001,0),0), INDEX($AC$1004:$AS$1004,1,MATCH(COLUMNS($AC$1006:AJ1006),$AC$1006:$AS$1006,0)))),"Fix")))</f>
        <v>0</v>
      </c>
      <c r="J30" s="5">
        <f>IF(OR(INDEX($W$2:$W$1001,MATCH(ROWS($V$2:V30),$V$2:$V$1001,0),1)&gt;=100000,INDEX($AC$1005:$AS$1005,1,MATCH(COLUMNS($AC$1006:AK1006),$AC$1006:$AS$1006,0))&gt;=100000), " ",IF(INDEX($AC$2:$AS$1001,MATCH(ROWS($V$2:V30),$V$2:$V$1001,0),MATCH(COLUMNS($AC$1006:AK1006),$AC$1006:$AS$1006,0)), HYPERLINK("#",""), HYPERLINK(CONCATENATE("#Metadata!", ADDRESS(INDEX($X$2:$X$1001,MATCH(ROWS($V$2:V30),$V$2:$V$1001,0),0), INDEX($AC$1004:$AS$1004,1,MATCH(COLUMNS($AC$1006:AK1006),$AC$1006:$AS$1006,0)))),"Fix")))</f>
        <v>0</v>
      </c>
      <c r="K30" s="5">
        <f>IF(OR(INDEX($W$2:$W$1001,MATCH(ROWS($V$2:V30),$V$2:$V$1001,0),1)&gt;=100000,INDEX($AC$1005:$AS$1005,1,MATCH(COLUMNS($AC$1006:AL1006),$AC$1006:$AS$1006,0))&gt;=100000), " ",IF(INDEX($AC$2:$AS$1001,MATCH(ROWS($V$2:V30),$V$2:$V$1001,0),MATCH(COLUMNS($AC$1006:AL1006),$AC$1006:$AS$1006,0)), HYPERLINK("#",""), HYPERLINK(CONCATENATE("#Metadata!", ADDRESS(INDEX($X$2:$X$1001,MATCH(ROWS($V$2:V30),$V$2:$V$1001,0),0), INDEX($AC$1004:$AS$1004,1,MATCH(COLUMNS($AC$1006:AL1006),$AC$1006:$AS$1006,0)))),"Fix")))</f>
        <v>0</v>
      </c>
      <c r="L30" s="5">
        <f>IF(OR(INDEX($W$2:$W$1001,MATCH(ROWS($V$2:V30),$V$2:$V$1001,0),1)&gt;=100000,INDEX($AC$1005:$AS$1005,1,MATCH(COLUMNS($AC$1006:AM1006),$AC$1006:$AS$1006,0))&gt;=100000), " ",IF(INDEX($AC$2:$AS$1001,MATCH(ROWS($V$2:V30),$V$2:$V$1001,0),MATCH(COLUMNS($AC$1006:AM1006),$AC$1006:$AS$1006,0)), HYPERLINK("#",""), HYPERLINK(CONCATENATE("#Metadata!", ADDRESS(INDEX($X$2:$X$1001,MATCH(ROWS($V$2:V30),$V$2:$V$1001,0),0), INDEX($AC$1004:$AS$1004,1,MATCH(COLUMNS($AC$1006:AM1006),$AC$1006:$AS$1006,0)))),"Fix")))</f>
        <v>0</v>
      </c>
      <c r="M30" s="5">
        <f>IF(OR(INDEX($W$2:$W$1001,MATCH(ROWS($V$2:V30),$V$2:$V$1001,0),1)&gt;=100000,INDEX($AC$1005:$AS$1005,1,MATCH(COLUMNS($AC$1006:AN1006),$AC$1006:$AS$1006,0))&gt;=100000), " ",IF(INDEX($AC$2:$AS$1001,MATCH(ROWS($V$2:V30),$V$2:$V$1001,0),MATCH(COLUMNS($AC$1006:AN1006),$AC$1006:$AS$1006,0)), HYPERLINK("#",""), HYPERLINK(CONCATENATE("#Metadata!", ADDRESS(INDEX($X$2:$X$1001,MATCH(ROWS($V$2:V30),$V$2:$V$1001,0),0), INDEX($AC$1004:$AS$1004,1,MATCH(COLUMNS($AC$1006:AN1006),$AC$1006:$AS$1006,0)))),"Fix")))</f>
        <v>0</v>
      </c>
      <c r="N30" s="5">
        <f>IF(OR(INDEX($W$2:$W$1001,MATCH(ROWS($V$2:V30),$V$2:$V$1001,0),1)&gt;=100000,INDEX($AC$1005:$AS$1005,1,MATCH(COLUMNS($AC$1006:AO1006),$AC$1006:$AS$1006,0))&gt;=100000), " ",IF(INDEX($AC$2:$AS$1001,MATCH(ROWS($V$2:V30),$V$2:$V$1001,0),MATCH(COLUMNS($AC$1006:AO1006),$AC$1006:$AS$1006,0)), HYPERLINK("#",""), HYPERLINK(CONCATENATE("#Metadata!", ADDRESS(INDEX($X$2:$X$1001,MATCH(ROWS($V$2:V30),$V$2:$V$1001,0),0), INDEX($AC$1004:$AS$1004,1,MATCH(COLUMNS($AC$1006:AO1006),$AC$1006:$AS$1006,0)))),"Fix")))</f>
        <v>0</v>
      </c>
      <c r="O30" s="5">
        <f>IF(OR(INDEX($W$2:$W$1001,MATCH(ROWS($V$2:V30),$V$2:$V$1001,0),1)&gt;=100000,INDEX($AC$1005:$AS$1005,1,MATCH(COLUMNS($AC$1006:AP1006),$AC$1006:$AS$1006,0))&gt;=100000), " ",IF(INDEX($AC$2:$AS$1001,MATCH(ROWS($V$2:V30),$V$2:$V$1001,0),MATCH(COLUMNS($AC$1006:AP1006),$AC$1006:$AS$1006,0)), HYPERLINK("#",""), HYPERLINK(CONCATENATE("#Metadata!", ADDRESS(INDEX($X$2:$X$1001,MATCH(ROWS($V$2:V30),$V$2:$V$1001,0),0), INDEX($AC$1004:$AS$1004,1,MATCH(COLUMNS($AC$1006:AP1006),$AC$1006:$AS$1006,0)))),"Fix")))</f>
        <v>0</v>
      </c>
      <c r="P30" s="5">
        <f>IF(OR(INDEX($W$2:$W$1001,MATCH(ROWS($V$2:V30),$V$2:$V$1001,0),1)&gt;=100000,INDEX($AC$1005:$AS$1005,1,MATCH(COLUMNS($AC$1006:AQ1006),$AC$1006:$AS$1006,0))&gt;=100000), " ",IF(INDEX($AC$2:$AS$1001,MATCH(ROWS($V$2:V30),$V$2:$V$1001,0),MATCH(COLUMNS($AC$1006:AQ1006),$AC$1006:$AS$1006,0)), HYPERLINK("#",""), HYPERLINK(CONCATENATE("#Metadata!", ADDRESS(INDEX($X$2:$X$1001,MATCH(ROWS($V$2:V30),$V$2:$V$1001,0),0), INDEX($AC$1004:$AS$1004,1,MATCH(COLUMNS($AC$1006:AQ1006),$AC$1006:$AS$1006,0)))),"Fix")))</f>
        <v>0</v>
      </c>
      <c r="Q30" s="5">
        <f>IF(OR(INDEX($W$2:$W$1001,MATCH(ROWS($V$2:V30),$V$2:$V$1001,0),1)&gt;=100000,INDEX($AC$1005:$AS$1005,1,MATCH(COLUMNS($AC$1006:AR1006),$AC$1006:$AS$1006,0))&gt;=100000), " ",IF(INDEX($AC$2:$AS$1001,MATCH(ROWS($V$2:V30),$V$2:$V$1001,0),MATCH(COLUMNS($AC$1006:AR1006),$AC$1006:$AS$1006,0)), HYPERLINK("#",""), HYPERLINK(CONCATENATE("#Metadata!", ADDRESS(INDEX($X$2:$X$1001,MATCH(ROWS($V$2:V30),$V$2:$V$1001,0),0), INDEX($AC$1004:$AS$1004,1,MATCH(COLUMNS($AC$1006:AR1006),$AC$1006:$AS$1006,0)))),"Fix")))</f>
        <v>0</v>
      </c>
      <c r="R30" s="5">
        <f>IF(OR(INDEX($W$2:$W$1001,MATCH(ROWS($V$2:V30),$V$2:$V$1001,0),1)&gt;=100000,INDEX($AC$1005:$AS$1005,1,MATCH(COLUMNS($AC$1006:AS1006),$AC$1006:$AS$1006,0))&gt;=100000), " ",IF(INDEX($AC$2:$AS$1001,MATCH(ROWS($V$2:V30),$V$2:$V$1001,0),MATCH(COLUMNS($AC$1006:AS1006),$AC$1006:$AS$1006,0)), HYPERLINK("#",""), HYPERLINK(CONCATENATE("#Metadata!", ADDRESS(INDEX($X$2:$X$1001,MATCH(ROWS($V$2:V30),$V$2:$V$1001,0),0), INDEX($AC$1004:$AS$1004,1,MATCH(COLUMNS($AC$1006:AS1006),$AC$1006:$AS$1006,0)))),"Fix")))</f>
        <v>0</v>
      </c>
      <c r="V30">
        <v>0</v>
      </c>
      <c r="W30">
        <v>0</v>
      </c>
      <c r="X30">
        <v>0</v>
      </c>
      <c r="Y30">
        <f>IF(Z30,TRUE,AND(AC30:AS30))</f>
        <v>0</v>
      </c>
      <c r="Z30">
        <f>COUNTBLANK(Metadata!B30:R30)=COLUMNS(Metadata!B30:R30)</f>
        <v>0</v>
      </c>
      <c r="AA30">
        <v>0</v>
      </c>
      <c r="AC30">
        <f>AND(IF(Metadata!B30="",FALSE,TRUE),COUNTIF(Metadata!B:B, Metadata!B30) = 1,NOT(ISERROR(SUMPRODUCT(SEARCH(MID(Metadata!B30,ROW(INDIRECT("1:"&amp;LEN(Metadata!B30))), 1),"0123456789abcdefghijklmnopqrstuvwxyzABCDEFGHIJKLMNOPQRSTUVWXYZ.")))))</f>
        <v>0</v>
      </c>
      <c r="AD30">
        <f>AND(IF(Metadata!C30="",FALSE,TRUE),exact(Metadata!C30,"Host-associated"))</f>
        <v>0</v>
      </c>
      <c r="AE30">
        <f>AND(IF(Metadata!D30="",FALSE,TRUE),OR(exact(Metadata!D30,"Animal"),exact(Metadata!D30,"Fungus"),exact(Metadata!D30,"Plant")))</f>
        <v>0</v>
      </c>
      <c r="AF30">
        <f>AND(IF(Metadata!E30="",FALSE,TRUE),OR(exact(Metadata!E30,"Plant secretion"),exact(Metadata!E30,"Plant rhizosphere"),exact(Metadata!E30,"Plant surface"),exact(Metadata!E30,"Plant corpus"),exact(Metadata!E30,"Fungus surface"),exact(Metadata!E30,"Fungus corpus"),exact(Metadata!E30,"Animal surface"),exact(Metadata!E30,"Animal proximal gut"),exact(Metadata!E30,"Animal corpus"),exact(Metadata!E30,"Animal distal gut"),exact(Metadata!E30,"Animal secretion")))</f>
        <v>0</v>
      </c>
      <c r="AG30">
        <f>OR(AND(IF(Metadata!F30="",FALSE,TRUE),OR(exact(Metadata!F30,"not collected"),exact(Metadata!F30,"not provided"),exact(Metadata!F30,"restricted access"))),AND(IF(Metadata!F30="",FALSE,TRUE),OR(exact(Metadata!F30,"organism-associated habitat"),exact(Metadata!F30,"plant-associated habitat"),exact(Metadata!F30,"animal-associated habitat"),exact(Metadata!F30,"insecta-associated habitat"),exact(Metadata!F30,"mammalia-associated habitat"),exact(Metadata!F30,"human-associated habitat"),exact(Metadata!F30,"livestock-associated habitat"))))</f>
        <v>0</v>
      </c>
      <c r="AH30">
        <f>AND(IF(Metadata!G30="",FALSE,TRUE),exact(Metadata!G30,"host-associated"))</f>
        <v>0</v>
      </c>
      <c r="AI30">
        <f>OR(AND(IF(Metadata!H30="",FALSE,TRUE),OR(exact(Metadata!H30,"not collected"),exact(Metadata!H30,"not provided"))),AND(IF(Metadata!H30="",FALSE,ISNUMBER(VALUE(Metadata!H30))),Metadata!H30&gt;0))</f>
        <v>0</v>
      </c>
      <c r="AJ30">
        <f>AND(IF(Metadata!I30="",FALSE,TRUE),exact(Metadata!I30,"years"))</f>
        <v>0</v>
      </c>
      <c r="AK30">
        <f>IF(Metadata!J30="",FALSE,TRUE)</f>
        <v>0</v>
      </c>
      <c r="AL30">
        <f>OR(AND(IF(Metadata!K30="",FALSE,TRUE),OR(exact(Metadata!K30,"not collected"),exact(Metadata!K30,"not provided"))),AND(IF(Metadata!K30="",FALSE,ISNUMBER(VALUE(Metadata!K30))),Metadata!K30&gt;0))</f>
        <v>0</v>
      </c>
      <c r="AM30">
        <f>AND(IF(Metadata!L30="",FALSE,TRUE),exact(Metadata!L30,"cm"))</f>
        <v>0</v>
      </c>
      <c r="AN30">
        <f>IF(Metadata!M30="",FALSE,TRUE)</f>
        <v>0</v>
      </c>
      <c r="AO30">
        <f>OR(AND(IF(Metadata!N30="",FALSE,TRUE),OR(exact(Metadata!N30,"not applicable"),exact(Metadata!N30,"not collected"),exact(Metadata!N30,"not provided"))),AND(IF(Metadata!N30="",FALSE,IF(ISERROR(INT(Metadata!N30)),FALSE,INT(Metadata!N30)=Metadata!N30)),Metadata!N30&gt;0))</f>
        <v>0</v>
      </c>
      <c r="AP30">
        <f>OR(AND(IF(Metadata!O30="",FALSE,TRUE),OR(exact(Metadata!O30,"not collected"),exact(Metadata!O30,"not provided"))),AND(IF(Metadata!O30="",FALSE,ISNUMBER(VALUE(Metadata!O30))),Metadata!O30&gt;0))</f>
        <v>0</v>
      </c>
      <c r="AQ30">
        <f>AND(IF(Metadata!P30="",FALSE,TRUE),exact(Metadata!P30,"kg"))</f>
        <v>0</v>
      </c>
      <c r="AR30">
        <f>OR(AND(IF(Metadata!Q30="",FALSE,TRUE),OR(exact(Metadata!Q30,"not applicable"),exact(Metadata!Q30,"not collected"),exact(Metadata!Q30,"not provided"),exact(Metadata!Q30,"restricted access"))),IF(Metadata!Q30="",FALSE,IF(ISERROR(INT(Metadata!Q30)),FALSE,INT(Metadata!Q30)=Metadata!Q30)))</f>
        <v>0</v>
      </c>
      <c r="AS30">
        <f>AND(IF(Metadata!R30="",FALSE,TRUE),exact(Metadata!R30,"Not applicable"))</f>
        <v>0</v>
      </c>
    </row>
    <row r="31" spans="1:45">
      <c r="A31" s="4">
        <f>IF(B31=" "," ",HYPERLINK(CONCATENATE("#metadata!",ADDRESS(INDEX($X$2:$X$1001,MATCH(ROWS($V$2:V31),$V$2:$V$1001,0),0),2)),INDEX($AA$2:$AA$1001,MATCH(ROWS($V$2:V31),$V$2:$V$1001,0),0)))</f>
        <v>0</v>
      </c>
      <c r="B31" s="5">
        <f>IF(OR(INDEX($W$2:$W$1001,MATCH(ROWS($V$2:V31),$V$2:$V$1001,0),1)&gt;=100000,INDEX($AC$1005:$AS$1005,1,MATCH(COLUMNS($AC$1006:AC1006),$AC$1006:$AS$1006,0))&gt;=100000), " ",IF(INDEX($AC$2:$AS$1001,MATCH(ROWS($V$2:V31),$V$2:$V$1001,0),MATCH(COLUMNS($AC$1006:AC1006),$AC$1006:$AS$1006,0)), HYPERLINK("#",""), HYPERLINK(CONCATENATE("#Metadata!", ADDRESS(INDEX($X$2:$X$1001,MATCH(ROWS($V$2:V31),$V$2:$V$1001,0),0), INDEX($AC$1004:$AS$1004,1,MATCH(COLUMNS($AC$1006:AC1006),$AC$1006:$AS$1006,0)))),"Fix")))</f>
        <v>0</v>
      </c>
      <c r="C31" s="5">
        <f>IF(OR(INDEX($W$2:$W$1001,MATCH(ROWS($V$2:V31),$V$2:$V$1001,0),1)&gt;=100000,INDEX($AC$1005:$AS$1005,1,MATCH(COLUMNS($AC$1006:AD1006),$AC$1006:$AS$1006,0))&gt;=100000), " ",IF(INDEX($AC$2:$AS$1001,MATCH(ROWS($V$2:V31),$V$2:$V$1001,0),MATCH(COLUMNS($AC$1006:AD1006),$AC$1006:$AS$1006,0)), HYPERLINK("#",""), HYPERLINK(CONCATENATE("#Metadata!", ADDRESS(INDEX($X$2:$X$1001,MATCH(ROWS($V$2:V31),$V$2:$V$1001,0),0), INDEX($AC$1004:$AS$1004,1,MATCH(COLUMNS($AC$1006:AD1006),$AC$1006:$AS$1006,0)))),"Fix")))</f>
        <v>0</v>
      </c>
      <c r="D31" s="5">
        <f>IF(OR(INDEX($W$2:$W$1001,MATCH(ROWS($V$2:V31),$V$2:$V$1001,0),1)&gt;=100000,INDEX($AC$1005:$AS$1005,1,MATCH(COLUMNS($AC$1006:AE1006),$AC$1006:$AS$1006,0))&gt;=100000), " ",IF(INDEX($AC$2:$AS$1001,MATCH(ROWS($V$2:V31),$V$2:$V$1001,0),MATCH(COLUMNS($AC$1006:AE1006),$AC$1006:$AS$1006,0)), HYPERLINK("#",""), HYPERLINK(CONCATENATE("#Metadata!", ADDRESS(INDEX($X$2:$X$1001,MATCH(ROWS($V$2:V31),$V$2:$V$1001,0),0), INDEX($AC$1004:$AS$1004,1,MATCH(COLUMNS($AC$1006:AE1006),$AC$1006:$AS$1006,0)))),"Fix")))</f>
        <v>0</v>
      </c>
      <c r="E31" s="5">
        <f>IF(OR(INDEX($W$2:$W$1001,MATCH(ROWS($V$2:V31),$V$2:$V$1001,0),1)&gt;=100000,INDEX($AC$1005:$AS$1005,1,MATCH(COLUMNS($AC$1006:AF1006),$AC$1006:$AS$1006,0))&gt;=100000), " ",IF(INDEX($AC$2:$AS$1001,MATCH(ROWS($V$2:V31),$V$2:$V$1001,0),MATCH(COLUMNS($AC$1006:AF1006),$AC$1006:$AS$1006,0)), HYPERLINK("#",""), HYPERLINK(CONCATENATE("#Metadata!", ADDRESS(INDEX($X$2:$X$1001,MATCH(ROWS($V$2:V31),$V$2:$V$1001,0),0), INDEX($AC$1004:$AS$1004,1,MATCH(COLUMNS($AC$1006:AF1006),$AC$1006:$AS$1006,0)))),"Fix")))</f>
        <v>0</v>
      </c>
      <c r="F31" s="5">
        <f>IF(OR(INDEX($W$2:$W$1001,MATCH(ROWS($V$2:V31),$V$2:$V$1001,0),1)&gt;=100000,INDEX($AC$1005:$AS$1005,1,MATCH(COLUMNS($AC$1006:AG1006),$AC$1006:$AS$1006,0))&gt;=100000), " ",IF(INDEX($AC$2:$AS$1001,MATCH(ROWS($V$2:V31),$V$2:$V$1001,0),MATCH(COLUMNS($AC$1006:AG1006),$AC$1006:$AS$1006,0)), HYPERLINK("#",""), HYPERLINK(CONCATENATE("#Metadata!", ADDRESS(INDEX($X$2:$X$1001,MATCH(ROWS($V$2:V31),$V$2:$V$1001,0),0), INDEX($AC$1004:$AS$1004,1,MATCH(COLUMNS($AC$1006:AG1006),$AC$1006:$AS$1006,0)))),"Fix")))</f>
        <v>0</v>
      </c>
      <c r="G31" s="5">
        <f>IF(OR(INDEX($W$2:$W$1001,MATCH(ROWS($V$2:V31),$V$2:$V$1001,0),1)&gt;=100000,INDEX($AC$1005:$AS$1005,1,MATCH(COLUMNS($AC$1006:AH1006),$AC$1006:$AS$1006,0))&gt;=100000), " ",IF(INDEX($AC$2:$AS$1001,MATCH(ROWS($V$2:V31),$V$2:$V$1001,0),MATCH(COLUMNS($AC$1006:AH1006),$AC$1006:$AS$1006,0)), HYPERLINK("#",""), HYPERLINK(CONCATENATE("#Metadata!", ADDRESS(INDEX($X$2:$X$1001,MATCH(ROWS($V$2:V31),$V$2:$V$1001,0),0), INDEX($AC$1004:$AS$1004,1,MATCH(COLUMNS($AC$1006:AH1006),$AC$1006:$AS$1006,0)))),"Fix")))</f>
        <v>0</v>
      </c>
      <c r="H31" s="5">
        <f>IF(OR(INDEX($W$2:$W$1001,MATCH(ROWS($V$2:V31),$V$2:$V$1001,0),1)&gt;=100000,INDEX($AC$1005:$AS$1005,1,MATCH(COLUMNS($AC$1006:AI1006),$AC$1006:$AS$1006,0))&gt;=100000), " ",IF(INDEX($AC$2:$AS$1001,MATCH(ROWS($V$2:V31),$V$2:$V$1001,0),MATCH(COLUMNS($AC$1006:AI1006),$AC$1006:$AS$1006,0)), HYPERLINK("#",""), HYPERLINK(CONCATENATE("#Metadata!", ADDRESS(INDEX($X$2:$X$1001,MATCH(ROWS($V$2:V31),$V$2:$V$1001,0),0), INDEX($AC$1004:$AS$1004,1,MATCH(COLUMNS($AC$1006:AI1006),$AC$1006:$AS$1006,0)))),"Fix")))</f>
        <v>0</v>
      </c>
      <c r="I31" s="5">
        <f>IF(OR(INDEX($W$2:$W$1001,MATCH(ROWS($V$2:V31),$V$2:$V$1001,0),1)&gt;=100000,INDEX($AC$1005:$AS$1005,1,MATCH(COLUMNS($AC$1006:AJ1006),$AC$1006:$AS$1006,0))&gt;=100000), " ",IF(INDEX($AC$2:$AS$1001,MATCH(ROWS($V$2:V31),$V$2:$V$1001,0),MATCH(COLUMNS($AC$1006:AJ1006),$AC$1006:$AS$1006,0)), HYPERLINK("#",""), HYPERLINK(CONCATENATE("#Metadata!", ADDRESS(INDEX($X$2:$X$1001,MATCH(ROWS($V$2:V31),$V$2:$V$1001,0),0), INDEX($AC$1004:$AS$1004,1,MATCH(COLUMNS($AC$1006:AJ1006),$AC$1006:$AS$1006,0)))),"Fix")))</f>
        <v>0</v>
      </c>
      <c r="J31" s="5">
        <f>IF(OR(INDEX($W$2:$W$1001,MATCH(ROWS($V$2:V31),$V$2:$V$1001,0),1)&gt;=100000,INDEX($AC$1005:$AS$1005,1,MATCH(COLUMNS($AC$1006:AK1006),$AC$1006:$AS$1006,0))&gt;=100000), " ",IF(INDEX($AC$2:$AS$1001,MATCH(ROWS($V$2:V31),$V$2:$V$1001,0),MATCH(COLUMNS($AC$1006:AK1006),$AC$1006:$AS$1006,0)), HYPERLINK("#",""), HYPERLINK(CONCATENATE("#Metadata!", ADDRESS(INDEX($X$2:$X$1001,MATCH(ROWS($V$2:V31),$V$2:$V$1001,0),0), INDEX($AC$1004:$AS$1004,1,MATCH(COLUMNS($AC$1006:AK1006),$AC$1006:$AS$1006,0)))),"Fix")))</f>
        <v>0</v>
      </c>
      <c r="K31" s="5">
        <f>IF(OR(INDEX($W$2:$W$1001,MATCH(ROWS($V$2:V31),$V$2:$V$1001,0),1)&gt;=100000,INDEX($AC$1005:$AS$1005,1,MATCH(COLUMNS($AC$1006:AL1006),$AC$1006:$AS$1006,0))&gt;=100000), " ",IF(INDEX($AC$2:$AS$1001,MATCH(ROWS($V$2:V31),$V$2:$V$1001,0),MATCH(COLUMNS($AC$1006:AL1006),$AC$1006:$AS$1006,0)), HYPERLINK("#",""), HYPERLINK(CONCATENATE("#Metadata!", ADDRESS(INDEX($X$2:$X$1001,MATCH(ROWS($V$2:V31),$V$2:$V$1001,0),0), INDEX($AC$1004:$AS$1004,1,MATCH(COLUMNS($AC$1006:AL1006),$AC$1006:$AS$1006,0)))),"Fix")))</f>
        <v>0</v>
      </c>
      <c r="L31" s="5">
        <f>IF(OR(INDEX($W$2:$W$1001,MATCH(ROWS($V$2:V31),$V$2:$V$1001,0),1)&gt;=100000,INDEX($AC$1005:$AS$1005,1,MATCH(COLUMNS($AC$1006:AM1006),$AC$1006:$AS$1006,0))&gt;=100000), " ",IF(INDEX($AC$2:$AS$1001,MATCH(ROWS($V$2:V31),$V$2:$V$1001,0),MATCH(COLUMNS($AC$1006:AM1006),$AC$1006:$AS$1006,0)), HYPERLINK("#",""), HYPERLINK(CONCATENATE("#Metadata!", ADDRESS(INDEX($X$2:$X$1001,MATCH(ROWS($V$2:V31),$V$2:$V$1001,0),0), INDEX($AC$1004:$AS$1004,1,MATCH(COLUMNS($AC$1006:AM1006),$AC$1006:$AS$1006,0)))),"Fix")))</f>
        <v>0</v>
      </c>
      <c r="M31" s="5">
        <f>IF(OR(INDEX($W$2:$W$1001,MATCH(ROWS($V$2:V31),$V$2:$V$1001,0),1)&gt;=100000,INDEX($AC$1005:$AS$1005,1,MATCH(COLUMNS($AC$1006:AN1006),$AC$1006:$AS$1006,0))&gt;=100000), " ",IF(INDEX($AC$2:$AS$1001,MATCH(ROWS($V$2:V31),$V$2:$V$1001,0),MATCH(COLUMNS($AC$1006:AN1006),$AC$1006:$AS$1006,0)), HYPERLINK("#",""), HYPERLINK(CONCATENATE("#Metadata!", ADDRESS(INDEX($X$2:$X$1001,MATCH(ROWS($V$2:V31),$V$2:$V$1001,0),0), INDEX($AC$1004:$AS$1004,1,MATCH(COLUMNS($AC$1006:AN1006),$AC$1006:$AS$1006,0)))),"Fix")))</f>
        <v>0</v>
      </c>
      <c r="N31" s="5">
        <f>IF(OR(INDEX($W$2:$W$1001,MATCH(ROWS($V$2:V31),$V$2:$V$1001,0),1)&gt;=100000,INDEX($AC$1005:$AS$1005,1,MATCH(COLUMNS($AC$1006:AO1006),$AC$1006:$AS$1006,0))&gt;=100000), " ",IF(INDEX($AC$2:$AS$1001,MATCH(ROWS($V$2:V31),$V$2:$V$1001,0),MATCH(COLUMNS($AC$1006:AO1006),$AC$1006:$AS$1006,0)), HYPERLINK("#",""), HYPERLINK(CONCATENATE("#Metadata!", ADDRESS(INDEX($X$2:$X$1001,MATCH(ROWS($V$2:V31),$V$2:$V$1001,0),0), INDEX($AC$1004:$AS$1004,1,MATCH(COLUMNS($AC$1006:AO1006),$AC$1006:$AS$1006,0)))),"Fix")))</f>
        <v>0</v>
      </c>
      <c r="O31" s="5">
        <f>IF(OR(INDEX($W$2:$W$1001,MATCH(ROWS($V$2:V31),$V$2:$V$1001,0),1)&gt;=100000,INDEX($AC$1005:$AS$1005,1,MATCH(COLUMNS($AC$1006:AP1006),$AC$1006:$AS$1006,0))&gt;=100000), " ",IF(INDEX($AC$2:$AS$1001,MATCH(ROWS($V$2:V31),$V$2:$V$1001,0),MATCH(COLUMNS($AC$1006:AP1006),$AC$1006:$AS$1006,0)), HYPERLINK("#",""), HYPERLINK(CONCATENATE("#Metadata!", ADDRESS(INDEX($X$2:$X$1001,MATCH(ROWS($V$2:V31),$V$2:$V$1001,0),0), INDEX($AC$1004:$AS$1004,1,MATCH(COLUMNS($AC$1006:AP1006),$AC$1006:$AS$1006,0)))),"Fix")))</f>
        <v>0</v>
      </c>
      <c r="P31" s="5">
        <f>IF(OR(INDEX($W$2:$W$1001,MATCH(ROWS($V$2:V31),$V$2:$V$1001,0),1)&gt;=100000,INDEX($AC$1005:$AS$1005,1,MATCH(COLUMNS($AC$1006:AQ1006),$AC$1006:$AS$1006,0))&gt;=100000), " ",IF(INDEX($AC$2:$AS$1001,MATCH(ROWS($V$2:V31),$V$2:$V$1001,0),MATCH(COLUMNS($AC$1006:AQ1006),$AC$1006:$AS$1006,0)), HYPERLINK("#",""), HYPERLINK(CONCATENATE("#Metadata!", ADDRESS(INDEX($X$2:$X$1001,MATCH(ROWS($V$2:V31),$V$2:$V$1001,0),0), INDEX($AC$1004:$AS$1004,1,MATCH(COLUMNS($AC$1006:AQ1006),$AC$1006:$AS$1006,0)))),"Fix")))</f>
        <v>0</v>
      </c>
      <c r="Q31" s="5">
        <f>IF(OR(INDEX($W$2:$W$1001,MATCH(ROWS($V$2:V31),$V$2:$V$1001,0),1)&gt;=100000,INDEX($AC$1005:$AS$1005,1,MATCH(COLUMNS($AC$1006:AR1006),$AC$1006:$AS$1006,0))&gt;=100000), " ",IF(INDEX($AC$2:$AS$1001,MATCH(ROWS($V$2:V31),$V$2:$V$1001,0),MATCH(COLUMNS($AC$1006:AR1006),$AC$1006:$AS$1006,0)), HYPERLINK("#",""), HYPERLINK(CONCATENATE("#Metadata!", ADDRESS(INDEX($X$2:$X$1001,MATCH(ROWS($V$2:V31),$V$2:$V$1001,0),0), INDEX($AC$1004:$AS$1004,1,MATCH(COLUMNS($AC$1006:AR1006),$AC$1006:$AS$1006,0)))),"Fix")))</f>
        <v>0</v>
      </c>
      <c r="R31" s="5">
        <f>IF(OR(INDEX($W$2:$W$1001,MATCH(ROWS($V$2:V31),$V$2:$V$1001,0),1)&gt;=100000,INDEX($AC$1005:$AS$1005,1,MATCH(COLUMNS($AC$1006:AS1006),$AC$1006:$AS$1006,0))&gt;=100000), " ",IF(INDEX($AC$2:$AS$1001,MATCH(ROWS($V$2:V31),$V$2:$V$1001,0),MATCH(COLUMNS($AC$1006:AS1006),$AC$1006:$AS$1006,0)), HYPERLINK("#",""), HYPERLINK(CONCATENATE("#Metadata!", ADDRESS(INDEX($X$2:$X$1001,MATCH(ROWS($V$2:V31),$V$2:$V$1001,0),0), INDEX($AC$1004:$AS$1004,1,MATCH(COLUMNS($AC$1006:AS1006),$AC$1006:$AS$1006,0)))),"Fix")))</f>
        <v>0</v>
      </c>
      <c r="V31">
        <v>0</v>
      </c>
      <c r="W31">
        <v>0</v>
      </c>
      <c r="X31">
        <v>0</v>
      </c>
      <c r="Y31">
        <f>IF(Z31,TRUE,AND(AC31:AS31))</f>
        <v>0</v>
      </c>
      <c r="Z31">
        <f>COUNTBLANK(Metadata!B31:R31)=COLUMNS(Metadata!B31:R31)</f>
        <v>0</v>
      </c>
      <c r="AA31">
        <v>0</v>
      </c>
      <c r="AC31">
        <f>AND(IF(Metadata!B31="",FALSE,TRUE),COUNTIF(Metadata!B:B, Metadata!B31) = 1,NOT(ISERROR(SUMPRODUCT(SEARCH(MID(Metadata!B31,ROW(INDIRECT("1:"&amp;LEN(Metadata!B31))), 1),"0123456789abcdefghijklmnopqrstuvwxyzABCDEFGHIJKLMNOPQRSTUVWXYZ.")))))</f>
        <v>0</v>
      </c>
      <c r="AD31">
        <f>AND(IF(Metadata!C31="",FALSE,TRUE),exact(Metadata!C31,"Host-associated"))</f>
        <v>0</v>
      </c>
      <c r="AE31">
        <f>AND(IF(Metadata!D31="",FALSE,TRUE),OR(exact(Metadata!D31,"Animal"),exact(Metadata!D31,"Fungus"),exact(Metadata!D31,"Plant")))</f>
        <v>0</v>
      </c>
      <c r="AF31">
        <f>AND(IF(Metadata!E31="",FALSE,TRUE),OR(exact(Metadata!E31,"Plant secretion"),exact(Metadata!E31,"Plant rhizosphere"),exact(Metadata!E31,"Plant surface"),exact(Metadata!E31,"Plant corpus"),exact(Metadata!E31,"Fungus surface"),exact(Metadata!E31,"Fungus corpus"),exact(Metadata!E31,"Animal surface"),exact(Metadata!E31,"Animal proximal gut"),exact(Metadata!E31,"Animal corpus"),exact(Metadata!E31,"Animal distal gut"),exact(Metadata!E31,"Animal secretion")))</f>
        <v>0</v>
      </c>
      <c r="AG31">
        <f>OR(AND(IF(Metadata!F31="",FALSE,TRUE),OR(exact(Metadata!F31,"not collected"),exact(Metadata!F31,"not provided"),exact(Metadata!F31,"restricted access"))),AND(IF(Metadata!F31="",FALSE,TRUE),OR(exact(Metadata!F31,"organism-associated habitat"),exact(Metadata!F31,"plant-associated habitat"),exact(Metadata!F31,"animal-associated habitat"),exact(Metadata!F31,"insecta-associated habitat"),exact(Metadata!F31,"mammalia-associated habitat"),exact(Metadata!F31,"human-associated habitat"),exact(Metadata!F31,"livestock-associated habitat"))))</f>
        <v>0</v>
      </c>
      <c r="AH31">
        <f>AND(IF(Metadata!G31="",FALSE,TRUE),exact(Metadata!G31,"host-associated"))</f>
        <v>0</v>
      </c>
      <c r="AI31">
        <f>OR(AND(IF(Metadata!H31="",FALSE,TRUE),OR(exact(Metadata!H31,"not collected"),exact(Metadata!H31,"not provided"))),AND(IF(Metadata!H31="",FALSE,ISNUMBER(VALUE(Metadata!H31))),Metadata!H31&gt;0))</f>
        <v>0</v>
      </c>
      <c r="AJ31">
        <f>AND(IF(Metadata!I31="",FALSE,TRUE),exact(Metadata!I31,"years"))</f>
        <v>0</v>
      </c>
      <c r="AK31">
        <f>IF(Metadata!J31="",FALSE,TRUE)</f>
        <v>0</v>
      </c>
      <c r="AL31">
        <f>OR(AND(IF(Metadata!K31="",FALSE,TRUE),OR(exact(Metadata!K31,"not collected"),exact(Metadata!K31,"not provided"))),AND(IF(Metadata!K31="",FALSE,ISNUMBER(VALUE(Metadata!K31))),Metadata!K31&gt;0))</f>
        <v>0</v>
      </c>
      <c r="AM31">
        <f>AND(IF(Metadata!L31="",FALSE,TRUE),exact(Metadata!L31,"cm"))</f>
        <v>0</v>
      </c>
      <c r="AN31">
        <f>IF(Metadata!M31="",FALSE,TRUE)</f>
        <v>0</v>
      </c>
      <c r="AO31">
        <f>OR(AND(IF(Metadata!N31="",FALSE,TRUE),OR(exact(Metadata!N31,"not applicable"),exact(Metadata!N31,"not collected"),exact(Metadata!N31,"not provided"))),AND(IF(Metadata!N31="",FALSE,IF(ISERROR(INT(Metadata!N31)),FALSE,INT(Metadata!N31)=Metadata!N31)),Metadata!N31&gt;0))</f>
        <v>0</v>
      </c>
      <c r="AP31">
        <f>OR(AND(IF(Metadata!O31="",FALSE,TRUE),OR(exact(Metadata!O31,"not collected"),exact(Metadata!O31,"not provided"))),AND(IF(Metadata!O31="",FALSE,ISNUMBER(VALUE(Metadata!O31))),Metadata!O31&gt;0))</f>
        <v>0</v>
      </c>
      <c r="AQ31">
        <f>AND(IF(Metadata!P31="",FALSE,TRUE),exact(Metadata!P31,"kg"))</f>
        <v>0</v>
      </c>
      <c r="AR31">
        <f>OR(AND(IF(Metadata!Q31="",FALSE,TRUE),OR(exact(Metadata!Q31,"not applicable"),exact(Metadata!Q31,"not collected"),exact(Metadata!Q31,"not provided"),exact(Metadata!Q31,"restricted access"))),IF(Metadata!Q31="",FALSE,IF(ISERROR(INT(Metadata!Q31)),FALSE,INT(Metadata!Q31)=Metadata!Q31)))</f>
        <v>0</v>
      </c>
      <c r="AS31">
        <f>AND(IF(Metadata!R31="",FALSE,TRUE),exact(Metadata!R31,"Not applicable"))</f>
        <v>0</v>
      </c>
    </row>
    <row r="32" spans="1:45">
      <c r="A32" s="4">
        <f>IF(B32=" "," ",HYPERLINK(CONCATENATE("#metadata!",ADDRESS(INDEX($X$2:$X$1001,MATCH(ROWS($V$2:V32),$V$2:$V$1001,0),0),2)),INDEX($AA$2:$AA$1001,MATCH(ROWS($V$2:V32),$V$2:$V$1001,0),0)))</f>
        <v>0</v>
      </c>
      <c r="B32" s="5">
        <f>IF(OR(INDEX($W$2:$W$1001,MATCH(ROWS($V$2:V32),$V$2:$V$1001,0),1)&gt;=100000,INDEX($AC$1005:$AS$1005,1,MATCH(COLUMNS($AC$1006:AC1006),$AC$1006:$AS$1006,0))&gt;=100000), " ",IF(INDEX($AC$2:$AS$1001,MATCH(ROWS($V$2:V32),$V$2:$V$1001,0),MATCH(COLUMNS($AC$1006:AC1006),$AC$1006:$AS$1006,0)), HYPERLINK("#",""), HYPERLINK(CONCATENATE("#Metadata!", ADDRESS(INDEX($X$2:$X$1001,MATCH(ROWS($V$2:V32),$V$2:$V$1001,0),0), INDEX($AC$1004:$AS$1004,1,MATCH(COLUMNS($AC$1006:AC1006),$AC$1006:$AS$1006,0)))),"Fix")))</f>
        <v>0</v>
      </c>
      <c r="C32" s="5">
        <f>IF(OR(INDEX($W$2:$W$1001,MATCH(ROWS($V$2:V32),$V$2:$V$1001,0),1)&gt;=100000,INDEX($AC$1005:$AS$1005,1,MATCH(COLUMNS($AC$1006:AD1006),$AC$1006:$AS$1006,0))&gt;=100000), " ",IF(INDEX($AC$2:$AS$1001,MATCH(ROWS($V$2:V32),$V$2:$V$1001,0),MATCH(COLUMNS($AC$1006:AD1006),$AC$1006:$AS$1006,0)), HYPERLINK("#",""), HYPERLINK(CONCATENATE("#Metadata!", ADDRESS(INDEX($X$2:$X$1001,MATCH(ROWS($V$2:V32),$V$2:$V$1001,0),0), INDEX($AC$1004:$AS$1004,1,MATCH(COLUMNS($AC$1006:AD1006),$AC$1006:$AS$1006,0)))),"Fix")))</f>
        <v>0</v>
      </c>
      <c r="D32" s="5">
        <f>IF(OR(INDEX($W$2:$W$1001,MATCH(ROWS($V$2:V32),$V$2:$V$1001,0),1)&gt;=100000,INDEX($AC$1005:$AS$1005,1,MATCH(COLUMNS($AC$1006:AE1006),$AC$1006:$AS$1006,0))&gt;=100000), " ",IF(INDEX($AC$2:$AS$1001,MATCH(ROWS($V$2:V32),$V$2:$V$1001,0),MATCH(COLUMNS($AC$1006:AE1006),$AC$1006:$AS$1006,0)), HYPERLINK("#",""), HYPERLINK(CONCATENATE("#Metadata!", ADDRESS(INDEX($X$2:$X$1001,MATCH(ROWS($V$2:V32),$V$2:$V$1001,0),0), INDEX($AC$1004:$AS$1004,1,MATCH(COLUMNS($AC$1006:AE1006),$AC$1006:$AS$1006,0)))),"Fix")))</f>
        <v>0</v>
      </c>
      <c r="E32" s="5">
        <f>IF(OR(INDEX($W$2:$W$1001,MATCH(ROWS($V$2:V32),$V$2:$V$1001,0),1)&gt;=100000,INDEX($AC$1005:$AS$1005,1,MATCH(COLUMNS($AC$1006:AF1006),$AC$1006:$AS$1006,0))&gt;=100000), " ",IF(INDEX($AC$2:$AS$1001,MATCH(ROWS($V$2:V32),$V$2:$V$1001,0),MATCH(COLUMNS($AC$1006:AF1006),$AC$1006:$AS$1006,0)), HYPERLINK("#",""), HYPERLINK(CONCATENATE("#Metadata!", ADDRESS(INDEX($X$2:$X$1001,MATCH(ROWS($V$2:V32),$V$2:$V$1001,0),0), INDEX($AC$1004:$AS$1004,1,MATCH(COLUMNS($AC$1006:AF1006),$AC$1006:$AS$1006,0)))),"Fix")))</f>
        <v>0</v>
      </c>
      <c r="F32" s="5">
        <f>IF(OR(INDEX($W$2:$W$1001,MATCH(ROWS($V$2:V32),$V$2:$V$1001,0),1)&gt;=100000,INDEX($AC$1005:$AS$1005,1,MATCH(COLUMNS($AC$1006:AG1006),$AC$1006:$AS$1006,0))&gt;=100000), " ",IF(INDEX($AC$2:$AS$1001,MATCH(ROWS($V$2:V32),$V$2:$V$1001,0),MATCH(COLUMNS($AC$1006:AG1006),$AC$1006:$AS$1006,0)), HYPERLINK("#",""), HYPERLINK(CONCATENATE("#Metadata!", ADDRESS(INDEX($X$2:$X$1001,MATCH(ROWS($V$2:V32),$V$2:$V$1001,0),0), INDEX($AC$1004:$AS$1004,1,MATCH(COLUMNS($AC$1006:AG1006),$AC$1006:$AS$1006,0)))),"Fix")))</f>
        <v>0</v>
      </c>
      <c r="G32" s="5">
        <f>IF(OR(INDEX($W$2:$W$1001,MATCH(ROWS($V$2:V32),$V$2:$V$1001,0),1)&gt;=100000,INDEX($AC$1005:$AS$1005,1,MATCH(COLUMNS($AC$1006:AH1006),$AC$1006:$AS$1006,0))&gt;=100000), " ",IF(INDEX($AC$2:$AS$1001,MATCH(ROWS($V$2:V32),$V$2:$V$1001,0),MATCH(COLUMNS($AC$1006:AH1006),$AC$1006:$AS$1006,0)), HYPERLINK("#",""), HYPERLINK(CONCATENATE("#Metadata!", ADDRESS(INDEX($X$2:$X$1001,MATCH(ROWS($V$2:V32),$V$2:$V$1001,0),0), INDEX($AC$1004:$AS$1004,1,MATCH(COLUMNS($AC$1006:AH1006),$AC$1006:$AS$1006,0)))),"Fix")))</f>
        <v>0</v>
      </c>
      <c r="H32" s="5">
        <f>IF(OR(INDEX($W$2:$W$1001,MATCH(ROWS($V$2:V32),$V$2:$V$1001,0),1)&gt;=100000,INDEX($AC$1005:$AS$1005,1,MATCH(COLUMNS($AC$1006:AI1006),$AC$1006:$AS$1006,0))&gt;=100000), " ",IF(INDEX($AC$2:$AS$1001,MATCH(ROWS($V$2:V32),$V$2:$V$1001,0),MATCH(COLUMNS($AC$1006:AI1006),$AC$1006:$AS$1006,0)), HYPERLINK("#",""), HYPERLINK(CONCATENATE("#Metadata!", ADDRESS(INDEX($X$2:$X$1001,MATCH(ROWS($V$2:V32),$V$2:$V$1001,0),0), INDEX($AC$1004:$AS$1004,1,MATCH(COLUMNS($AC$1006:AI1006),$AC$1006:$AS$1006,0)))),"Fix")))</f>
        <v>0</v>
      </c>
      <c r="I32" s="5">
        <f>IF(OR(INDEX($W$2:$W$1001,MATCH(ROWS($V$2:V32),$V$2:$V$1001,0),1)&gt;=100000,INDEX($AC$1005:$AS$1005,1,MATCH(COLUMNS($AC$1006:AJ1006),$AC$1006:$AS$1006,0))&gt;=100000), " ",IF(INDEX($AC$2:$AS$1001,MATCH(ROWS($V$2:V32),$V$2:$V$1001,0),MATCH(COLUMNS($AC$1006:AJ1006),$AC$1006:$AS$1006,0)), HYPERLINK("#",""), HYPERLINK(CONCATENATE("#Metadata!", ADDRESS(INDEX($X$2:$X$1001,MATCH(ROWS($V$2:V32),$V$2:$V$1001,0),0), INDEX($AC$1004:$AS$1004,1,MATCH(COLUMNS($AC$1006:AJ1006),$AC$1006:$AS$1006,0)))),"Fix")))</f>
        <v>0</v>
      </c>
      <c r="J32" s="5">
        <f>IF(OR(INDEX($W$2:$W$1001,MATCH(ROWS($V$2:V32),$V$2:$V$1001,0),1)&gt;=100000,INDEX($AC$1005:$AS$1005,1,MATCH(COLUMNS($AC$1006:AK1006),$AC$1006:$AS$1006,0))&gt;=100000), " ",IF(INDEX($AC$2:$AS$1001,MATCH(ROWS($V$2:V32),$V$2:$V$1001,0),MATCH(COLUMNS($AC$1006:AK1006),$AC$1006:$AS$1006,0)), HYPERLINK("#",""), HYPERLINK(CONCATENATE("#Metadata!", ADDRESS(INDEX($X$2:$X$1001,MATCH(ROWS($V$2:V32),$V$2:$V$1001,0),0), INDEX($AC$1004:$AS$1004,1,MATCH(COLUMNS($AC$1006:AK1006),$AC$1006:$AS$1006,0)))),"Fix")))</f>
        <v>0</v>
      </c>
      <c r="K32" s="5">
        <f>IF(OR(INDEX($W$2:$W$1001,MATCH(ROWS($V$2:V32),$V$2:$V$1001,0),1)&gt;=100000,INDEX($AC$1005:$AS$1005,1,MATCH(COLUMNS($AC$1006:AL1006),$AC$1006:$AS$1006,0))&gt;=100000), " ",IF(INDEX($AC$2:$AS$1001,MATCH(ROWS($V$2:V32),$V$2:$V$1001,0),MATCH(COLUMNS($AC$1006:AL1006),$AC$1006:$AS$1006,0)), HYPERLINK("#",""), HYPERLINK(CONCATENATE("#Metadata!", ADDRESS(INDEX($X$2:$X$1001,MATCH(ROWS($V$2:V32),$V$2:$V$1001,0),0), INDEX($AC$1004:$AS$1004,1,MATCH(COLUMNS($AC$1006:AL1006),$AC$1006:$AS$1006,0)))),"Fix")))</f>
        <v>0</v>
      </c>
      <c r="L32" s="5">
        <f>IF(OR(INDEX($W$2:$W$1001,MATCH(ROWS($V$2:V32),$V$2:$V$1001,0),1)&gt;=100000,INDEX($AC$1005:$AS$1005,1,MATCH(COLUMNS($AC$1006:AM1006),$AC$1006:$AS$1006,0))&gt;=100000), " ",IF(INDEX($AC$2:$AS$1001,MATCH(ROWS($V$2:V32),$V$2:$V$1001,0),MATCH(COLUMNS($AC$1006:AM1006),$AC$1006:$AS$1006,0)), HYPERLINK("#",""), HYPERLINK(CONCATENATE("#Metadata!", ADDRESS(INDEX($X$2:$X$1001,MATCH(ROWS($V$2:V32),$V$2:$V$1001,0),0), INDEX($AC$1004:$AS$1004,1,MATCH(COLUMNS($AC$1006:AM1006),$AC$1006:$AS$1006,0)))),"Fix")))</f>
        <v>0</v>
      </c>
      <c r="M32" s="5">
        <f>IF(OR(INDEX($W$2:$W$1001,MATCH(ROWS($V$2:V32),$V$2:$V$1001,0),1)&gt;=100000,INDEX($AC$1005:$AS$1005,1,MATCH(COLUMNS($AC$1006:AN1006),$AC$1006:$AS$1006,0))&gt;=100000), " ",IF(INDEX($AC$2:$AS$1001,MATCH(ROWS($V$2:V32),$V$2:$V$1001,0),MATCH(COLUMNS($AC$1006:AN1006),$AC$1006:$AS$1006,0)), HYPERLINK("#",""), HYPERLINK(CONCATENATE("#Metadata!", ADDRESS(INDEX($X$2:$X$1001,MATCH(ROWS($V$2:V32),$V$2:$V$1001,0),0), INDEX($AC$1004:$AS$1004,1,MATCH(COLUMNS($AC$1006:AN1006),$AC$1006:$AS$1006,0)))),"Fix")))</f>
        <v>0</v>
      </c>
      <c r="N32" s="5">
        <f>IF(OR(INDEX($W$2:$W$1001,MATCH(ROWS($V$2:V32),$V$2:$V$1001,0),1)&gt;=100000,INDEX($AC$1005:$AS$1005,1,MATCH(COLUMNS($AC$1006:AO1006),$AC$1006:$AS$1006,0))&gt;=100000), " ",IF(INDEX($AC$2:$AS$1001,MATCH(ROWS($V$2:V32),$V$2:$V$1001,0),MATCH(COLUMNS($AC$1006:AO1006),$AC$1006:$AS$1006,0)), HYPERLINK("#",""), HYPERLINK(CONCATENATE("#Metadata!", ADDRESS(INDEX($X$2:$X$1001,MATCH(ROWS($V$2:V32),$V$2:$V$1001,0),0), INDEX($AC$1004:$AS$1004,1,MATCH(COLUMNS($AC$1006:AO1006),$AC$1006:$AS$1006,0)))),"Fix")))</f>
        <v>0</v>
      </c>
      <c r="O32" s="5">
        <f>IF(OR(INDEX($W$2:$W$1001,MATCH(ROWS($V$2:V32),$V$2:$V$1001,0),1)&gt;=100000,INDEX($AC$1005:$AS$1005,1,MATCH(COLUMNS($AC$1006:AP1006),$AC$1006:$AS$1006,0))&gt;=100000), " ",IF(INDEX($AC$2:$AS$1001,MATCH(ROWS($V$2:V32),$V$2:$V$1001,0),MATCH(COLUMNS($AC$1006:AP1006),$AC$1006:$AS$1006,0)), HYPERLINK("#",""), HYPERLINK(CONCATENATE("#Metadata!", ADDRESS(INDEX($X$2:$X$1001,MATCH(ROWS($V$2:V32),$V$2:$V$1001,0),0), INDEX($AC$1004:$AS$1004,1,MATCH(COLUMNS($AC$1006:AP1006),$AC$1006:$AS$1006,0)))),"Fix")))</f>
        <v>0</v>
      </c>
      <c r="P32" s="5">
        <f>IF(OR(INDEX($W$2:$W$1001,MATCH(ROWS($V$2:V32),$V$2:$V$1001,0),1)&gt;=100000,INDEX($AC$1005:$AS$1005,1,MATCH(COLUMNS($AC$1006:AQ1006),$AC$1006:$AS$1006,0))&gt;=100000), " ",IF(INDEX($AC$2:$AS$1001,MATCH(ROWS($V$2:V32),$V$2:$V$1001,0),MATCH(COLUMNS($AC$1006:AQ1006),$AC$1006:$AS$1006,0)), HYPERLINK("#",""), HYPERLINK(CONCATENATE("#Metadata!", ADDRESS(INDEX($X$2:$X$1001,MATCH(ROWS($V$2:V32),$V$2:$V$1001,0),0), INDEX($AC$1004:$AS$1004,1,MATCH(COLUMNS($AC$1006:AQ1006),$AC$1006:$AS$1006,0)))),"Fix")))</f>
        <v>0</v>
      </c>
      <c r="Q32" s="5">
        <f>IF(OR(INDEX($W$2:$W$1001,MATCH(ROWS($V$2:V32),$V$2:$V$1001,0),1)&gt;=100000,INDEX($AC$1005:$AS$1005,1,MATCH(COLUMNS($AC$1006:AR1006),$AC$1006:$AS$1006,0))&gt;=100000), " ",IF(INDEX($AC$2:$AS$1001,MATCH(ROWS($V$2:V32),$V$2:$V$1001,0),MATCH(COLUMNS($AC$1006:AR1006),$AC$1006:$AS$1006,0)), HYPERLINK("#",""), HYPERLINK(CONCATENATE("#Metadata!", ADDRESS(INDEX($X$2:$X$1001,MATCH(ROWS($V$2:V32),$V$2:$V$1001,0),0), INDEX($AC$1004:$AS$1004,1,MATCH(COLUMNS($AC$1006:AR1006),$AC$1006:$AS$1006,0)))),"Fix")))</f>
        <v>0</v>
      </c>
      <c r="R32" s="5">
        <f>IF(OR(INDEX($W$2:$W$1001,MATCH(ROWS($V$2:V32),$V$2:$V$1001,0),1)&gt;=100000,INDEX($AC$1005:$AS$1005,1,MATCH(COLUMNS($AC$1006:AS1006),$AC$1006:$AS$1006,0))&gt;=100000), " ",IF(INDEX($AC$2:$AS$1001,MATCH(ROWS($V$2:V32),$V$2:$V$1001,0),MATCH(COLUMNS($AC$1006:AS1006),$AC$1006:$AS$1006,0)), HYPERLINK("#",""), HYPERLINK(CONCATENATE("#Metadata!", ADDRESS(INDEX($X$2:$X$1001,MATCH(ROWS($V$2:V32),$V$2:$V$1001,0),0), INDEX($AC$1004:$AS$1004,1,MATCH(COLUMNS($AC$1006:AS1006),$AC$1006:$AS$1006,0)))),"Fix")))</f>
        <v>0</v>
      </c>
      <c r="V32">
        <v>0</v>
      </c>
      <c r="W32">
        <v>0</v>
      </c>
      <c r="X32">
        <v>0</v>
      </c>
      <c r="Y32">
        <f>IF(Z32,TRUE,AND(AC32:AS32))</f>
        <v>0</v>
      </c>
      <c r="Z32">
        <f>COUNTBLANK(Metadata!B32:R32)=COLUMNS(Metadata!B32:R32)</f>
        <v>0</v>
      </c>
      <c r="AA32">
        <v>0</v>
      </c>
      <c r="AC32">
        <f>AND(IF(Metadata!B32="",FALSE,TRUE),COUNTIF(Metadata!B:B, Metadata!B32) = 1,NOT(ISERROR(SUMPRODUCT(SEARCH(MID(Metadata!B32,ROW(INDIRECT("1:"&amp;LEN(Metadata!B32))), 1),"0123456789abcdefghijklmnopqrstuvwxyzABCDEFGHIJKLMNOPQRSTUVWXYZ.")))))</f>
        <v>0</v>
      </c>
      <c r="AD32">
        <f>AND(IF(Metadata!C32="",FALSE,TRUE),exact(Metadata!C32,"Host-associated"))</f>
        <v>0</v>
      </c>
      <c r="AE32">
        <f>AND(IF(Metadata!D32="",FALSE,TRUE),OR(exact(Metadata!D32,"Animal"),exact(Metadata!D32,"Fungus"),exact(Metadata!D32,"Plant")))</f>
        <v>0</v>
      </c>
      <c r="AF32">
        <f>AND(IF(Metadata!E32="",FALSE,TRUE),OR(exact(Metadata!E32,"Plant secretion"),exact(Metadata!E32,"Plant rhizosphere"),exact(Metadata!E32,"Plant surface"),exact(Metadata!E32,"Plant corpus"),exact(Metadata!E32,"Fungus surface"),exact(Metadata!E32,"Fungus corpus"),exact(Metadata!E32,"Animal surface"),exact(Metadata!E32,"Animal proximal gut"),exact(Metadata!E32,"Animal corpus"),exact(Metadata!E32,"Animal distal gut"),exact(Metadata!E32,"Animal secretion")))</f>
        <v>0</v>
      </c>
      <c r="AG32">
        <f>OR(AND(IF(Metadata!F32="",FALSE,TRUE),OR(exact(Metadata!F32,"not collected"),exact(Metadata!F32,"not provided"),exact(Metadata!F32,"restricted access"))),AND(IF(Metadata!F32="",FALSE,TRUE),OR(exact(Metadata!F32,"organism-associated habitat"),exact(Metadata!F32,"plant-associated habitat"),exact(Metadata!F32,"animal-associated habitat"),exact(Metadata!F32,"insecta-associated habitat"),exact(Metadata!F32,"mammalia-associated habitat"),exact(Metadata!F32,"human-associated habitat"),exact(Metadata!F32,"livestock-associated habitat"))))</f>
        <v>0</v>
      </c>
      <c r="AH32">
        <f>AND(IF(Metadata!G32="",FALSE,TRUE),exact(Metadata!G32,"host-associated"))</f>
        <v>0</v>
      </c>
      <c r="AI32">
        <f>OR(AND(IF(Metadata!H32="",FALSE,TRUE),OR(exact(Metadata!H32,"not collected"),exact(Metadata!H32,"not provided"))),AND(IF(Metadata!H32="",FALSE,ISNUMBER(VALUE(Metadata!H32))),Metadata!H32&gt;0))</f>
        <v>0</v>
      </c>
      <c r="AJ32">
        <f>AND(IF(Metadata!I32="",FALSE,TRUE),exact(Metadata!I32,"years"))</f>
        <v>0</v>
      </c>
      <c r="AK32">
        <f>IF(Metadata!J32="",FALSE,TRUE)</f>
        <v>0</v>
      </c>
      <c r="AL32">
        <f>OR(AND(IF(Metadata!K32="",FALSE,TRUE),OR(exact(Metadata!K32,"not collected"),exact(Metadata!K32,"not provided"))),AND(IF(Metadata!K32="",FALSE,ISNUMBER(VALUE(Metadata!K32))),Metadata!K32&gt;0))</f>
        <v>0</v>
      </c>
      <c r="AM32">
        <f>AND(IF(Metadata!L32="",FALSE,TRUE),exact(Metadata!L32,"cm"))</f>
        <v>0</v>
      </c>
      <c r="AN32">
        <f>IF(Metadata!M32="",FALSE,TRUE)</f>
        <v>0</v>
      </c>
      <c r="AO32">
        <f>OR(AND(IF(Metadata!N32="",FALSE,TRUE),OR(exact(Metadata!N32,"not applicable"),exact(Metadata!N32,"not collected"),exact(Metadata!N32,"not provided"))),AND(IF(Metadata!N32="",FALSE,IF(ISERROR(INT(Metadata!N32)),FALSE,INT(Metadata!N32)=Metadata!N32)),Metadata!N32&gt;0))</f>
        <v>0</v>
      </c>
      <c r="AP32">
        <f>OR(AND(IF(Metadata!O32="",FALSE,TRUE),OR(exact(Metadata!O32,"not collected"),exact(Metadata!O32,"not provided"))),AND(IF(Metadata!O32="",FALSE,ISNUMBER(VALUE(Metadata!O32))),Metadata!O32&gt;0))</f>
        <v>0</v>
      </c>
      <c r="AQ32">
        <f>AND(IF(Metadata!P32="",FALSE,TRUE),exact(Metadata!P32,"kg"))</f>
        <v>0</v>
      </c>
      <c r="AR32">
        <f>OR(AND(IF(Metadata!Q32="",FALSE,TRUE),OR(exact(Metadata!Q32,"not applicable"),exact(Metadata!Q32,"not collected"),exact(Metadata!Q32,"not provided"),exact(Metadata!Q32,"restricted access"))),IF(Metadata!Q32="",FALSE,IF(ISERROR(INT(Metadata!Q32)),FALSE,INT(Metadata!Q32)=Metadata!Q32)))</f>
        <v>0</v>
      </c>
      <c r="AS32">
        <f>AND(IF(Metadata!R32="",FALSE,TRUE),exact(Metadata!R32,"Not applicable"))</f>
        <v>0</v>
      </c>
    </row>
    <row r="33" spans="1:45">
      <c r="A33" s="4">
        <f>IF(B33=" "," ",HYPERLINK(CONCATENATE("#metadata!",ADDRESS(INDEX($X$2:$X$1001,MATCH(ROWS($V$2:V33),$V$2:$V$1001,0),0),2)),INDEX($AA$2:$AA$1001,MATCH(ROWS($V$2:V33),$V$2:$V$1001,0),0)))</f>
        <v>0</v>
      </c>
      <c r="B33" s="5">
        <f>IF(OR(INDEX($W$2:$W$1001,MATCH(ROWS($V$2:V33),$V$2:$V$1001,0),1)&gt;=100000,INDEX($AC$1005:$AS$1005,1,MATCH(COLUMNS($AC$1006:AC1006),$AC$1006:$AS$1006,0))&gt;=100000), " ",IF(INDEX($AC$2:$AS$1001,MATCH(ROWS($V$2:V33),$V$2:$V$1001,0),MATCH(COLUMNS($AC$1006:AC1006),$AC$1006:$AS$1006,0)), HYPERLINK("#",""), HYPERLINK(CONCATENATE("#Metadata!", ADDRESS(INDEX($X$2:$X$1001,MATCH(ROWS($V$2:V33),$V$2:$V$1001,0),0), INDEX($AC$1004:$AS$1004,1,MATCH(COLUMNS($AC$1006:AC1006),$AC$1006:$AS$1006,0)))),"Fix")))</f>
        <v>0</v>
      </c>
      <c r="C33" s="5">
        <f>IF(OR(INDEX($W$2:$W$1001,MATCH(ROWS($V$2:V33),$V$2:$V$1001,0),1)&gt;=100000,INDEX($AC$1005:$AS$1005,1,MATCH(COLUMNS($AC$1006:AD1006),$AC$1006:$AS$1006,0))&gt;=100000), " ",IF(INDEX($AC$2:$AS$1001,MATCH(ROWS($V$2:V33),$V$2:$V$1001,0),MATCH(COLUMNS($AC$1006:AD1006),$AC$1006:$AS$1006,0)), HYPERLINK("#",""), HYPERLINK(CONCATENATE("#Metadata!", ADDRESS(INDEX($X$2:$X$1001,MATCH(ROWS($V$2:V33),$V$2:$V$1001,0),0), INDEX($AC$1004:$AS$1004,1,MATCH(COLUMNS($AC$1006:AD1006),$AC$1006:$AS$1006,0)))),"Fix")))</f>
        <v>0</v>
      </c>
      <c r="D33" s="5">
        <f>IF(OR(INDEX($W$2:$W$1001,MATCH(ROWS($V$2:V33),$V$2:$V$1001,0),1)&gt;=100000,INDEX($AC$1005:$AS$1005,1,MATCH(COLUMNS($AC$1006:AE1006),$AC$1006:$AS$1006,0))&gt;=100000), " ",IF(INDEX($AC$2:$AS$1001,MATCH(ROWS($V$2:V33),$V$2:$V$1001,0),MATCH(COLUMNS($AC$1006:AE1006),$AC$1006:$AS$1006,0)), HYPERLINK("#",""), HYPERLINK(CONCATENATE("#Metadata!", ADDRESS(INDEX($X$2:$X$1001,MATCH(ROWS($V$2:V33),$V$2:$V$1001,0),0), INDEX($AC$1004:$AS$1004,1,MATCH(COLUMNS($AC$1006:AE1006),$AC$1006:$AS$1006,0)))),"Fix")))</f>
        <v>0</v>
      </c>
      <c r="E33" s="5">
        <f>IF(OR(INDEX($W$2:$W$1001,MATCH(ROWS($V$2:V33),$V$2:$V$1001,0),1)&gt;=100000,INDEX($AC$1005:$AS$1005,1,MATCH(COLUMNS($AC$1006:AF1006),$AC$1006:$AS$1006,0))&gt;=100000), " ",IF(INDEX($AC$2:$AS$1001,MATCH(ROWS($V$2:V33),$V$2:$V$1001,0),MATCH(COLUMNS($AC$1006:AF1006),$AC$1006:$AS$1006,0)), HYPERLINK("#",""), HYPERLINK(CONCATENATE("#Metadata!", ADDRESS(INDEX($X$2:$X$1001,MATCH(ROWS($V$2:V33),$V$2:$V$1001,0),0), INDEX($AC$1004:$AS$1004,1,MATCH(COLUMNS($AC$1006:AF1006),$AC$1006:$AS$1006,0)))),"Fix")))</f>
        <v>0</v>
      </c>
      <c r="F33" s="5">
        <f>IF(OR(INDEX($W$2:$W$1001,MATCH(ROWS($V$2:V33),$V$2:$V$1001,0),1)&gt;=100000,INDEX($AC$1005:$AS$1005,1,MATCH(COLUMNS($AC$1006:AG1006),$AC$1006:$AS$1006,0))&gt;=100000), " ",IF(INDEX($AC$2:$AS$1001,MATCH(ROWS($V$2:V33),$V$2:$V$1001,0),MATCH(COLUMNS($AC$1006:AG1006),$AC$1006:$AS$1006,0)), HYPERLINK("#",""), HYPERLINK(CONCATENATE("#Metadata!", ADDRESS(INDEX($X$2:$X$1001,MATCH(ROWS($V$2:V33),$V$2:$V$1001,0),0), INDEX($AC$1004:$AS$1004,1,MATCH(COLUMNS($AC$1006:AG1006),$AC$1006:$AS$1006,0)))),"Fix")))</f>
        <v>0</v>
      </c>
      <c r="G33" s="5">
        <f>IF(OR(INDEX($W$2:$W$1001,MATCH(ROWS($V$2:V33),$V$2:$V$1001,0),1)&gt;=100000,INDEX($AC$1005:$AS$1005,1,MATCH(COLUMNS($AC$1006:AH1006),$AC$1006:$AS$1006,0))&gt;=100000), " ",IF(INDEX($AC$2:$AS$1001,MATCH(ROWS($V$2:V33),$V$2:$V$1001,0),MATCH(COLUMNS($AC$1006:AH1006),$AC$1006:$AS$1006,0)), HYPERLINK("#",""), HYPERLINK(CONCATENATE("#Metadata!", ADDRESS(INDEX($X$2:$X$1001,MATCH(ROWS($V$2:V33),$V$2:$V$1001,0),0), INDEX($AC$1004:$AS$1004,1,MATCH(COLUMNS($AC$1006:AH1006),$AC$1006:$AS$1006,0)))),"Fix")))</f>
        <v>0</v>
      </c>
      <c r="H33" s="5">
        <f>IF(OR(INDEX($W$2:$W$1001,MATCH(ROWS($V$2:V33),$V$2:$V$1001,0),1)&gt;=100000,INDEX($AC$1005:$AS$1005,1,MATCH(COLUMNS($AC$1006:AI1006),$AC$1006:$AS$1006,0))&gt;=100000), " ",IF(INDEX($AC$2:$AS$1001,MATCH(ROWS($V$2:V33),$V$2:$V$1001,0),MATCH(COLUMNS($AC$1006:AI1006),$AC$1006:$AS$1006,0)), HYPERLINK("#",""), HYPERLINK(CONCATENATE("#Metadata!", ADDRESS(INDEX($X$2:$X$1001,MATCH(ROWS($V$2:V33),$V$2:$V$1001,0),0), INDEX($AC$1004:$AS$1004,1,MATCH(COLUMNS($AC$1006:AI1006),$AC$1006:$AS$1006,0)))),"Fix")))</f>
        <v>0</v>
      </c>
      <c r="I33" s="5">
        <f>IF(OR(INDEX($W$2:$W$1001,MATCH(ROWS($V$2:V33),$V$2:$V$1001,0),1)&gt;=100000,INDEX($AC$1005:$AS$1005,1,MATCH(COLUMNS($AC$1006:AJ1006),$AC$1006:$AS$1006,0))&gt;=100000), " ",IF(INDEX($AC$2:$AS$1001,MATCH(ROWS($V$2:V33),$V$2:$V$1001,0),MATCH(COLUMNS($AC$1006:AJ1006),$AC$1006:$AS$1006,0)), HYPERLINK("#",""), HYPERLINK(CONCATENATE("#Metadata!", ADDRESS(INDEX($X$2:$X$1001,MATCH(ROWS($V$2:V33),$V$2:$V$1001,0),0), INDEX($AC$1004:$AS$1004,1,MATCH(COLUMNS($AC$1006:AJ1006),$AC$1006:$AS$1006,0)))),"Fix")))</f>
        <v>0</v>
      </c>
      <c r="J33" s="5">
        <f>IF(OR(INDEX($W$2:$W$1001,MATCH(ROWS($V$2:V33),$V$2:$V$1001,0),1)&gt;=100000,INDEX($AC$1005:$AS$1005,1,MATCH(COLUMNS($AC$1006:AK1006),$AC$1006:$AS$1006,0))&gt;=100000), " ",IF(INDEX($AC$2:$AS$1001,MATCH(ROWS($V$2:V33),$V$2:$V$1001,0),MATCH(COLUMNS($AC$1006:AK1006),$AC$1006:$AS$1006,0)), HYPERLINK("#",""), HYPERLINK(CONCATENATE("#Metadata!", ADDRESS(INDEX($X$2:$X$1001,MATCH(ROWS($V$2:V33),$V$2:$V$1001,0),0), INDEX($AC$1004:$AS$1004,1,MATCH(COLUMNS($AC$1006:AK1006),$AC$1006:$AS$1006,0)))),"Fix")))</f>
        <v>0</v>
      </c>
      <c r="K33" s="5">
        <f>IF(OR(INDEX($W$2:$W$1001,MATCH(ROWS($V$2:V33),$V$2:$V$1001,0),1)&gt;=100000,INDEX($AC$1005:$AS$1005,1,MATCH(COLUMNS($AC$1006:AL1006),$AC$1006:$AS$1006,0))&gt;=100000), " ",IF(INDEX($AC$2:$AS$1001,MATCH(ROWS($V$2:V33),$V$2:$V$1001,0),MATCH(COLUMNS($AC$1006:AL1006),$AC$1006:$AS$1006,0)), HYPERLINK("#",""), HYPERLINK(CONCATENATE("#Metadata!", ADDRESS(INDEX($X$2:$X$1001,MATCH(ROWS($V$2:V33),$V$2:$V$1001,0),0), INDEX($AC$1004:$AS$1004,1,MATCH(COLUMNS($AC$1006:AL1006),$AC$1006:$AS$1006,0)))),"Fix")))</f>
        <v>0</v>
      </c>
      <c r="L33" s="5">
        <f>IF(OR(INDEX($W$2:$W$1001,MATCH(ROWS($V$2:V33),$V$2:$V$1001,0),1)&gt;=100000,INDEX($AC$1005:$AS$1005,1,MATCH(COLUMNS($AC$1006:AM1006),$AC$1006:$AS$1006,0))&gt;=100000), " ",IF(INDEX($AC$2:$AS$1001,MATCH(ROWS($V$2:V33),$V$2:$V$1001,0),MATCH(COLUMNS($AC$1006:AM1006),$AC$1006:$AS$1006,0)), HYPERLINK("#",""), HYPERLINK(CONCATENATE("#Metadata!", ADDRESS(INDEX($X$2:$X$1001,MATCH(ROWS($V$2:V33),$V$2:$V$1001,0),0), INDEX($AC$1004:$AS$1004,1,MATCH(COLUMNS($AC$1006:AM1006),$AC$1006:$AS$1006,0)))),"Fix")))</f>
        <v>0</v>
      </c>
      <c r="M33" s="5">
        <f>IF(OR(INDEX($W$2:$W$1001,MATCH(ROWS($V$2:V33),$V$2:$V$1001,0),1)&gt;=100000,INDEX($AC$1005:$AS$1005,1,MATCH(COLUMNS($AC$1006:AN1006),$AC$1006:$AS$1006,0))&gt;=100000), " ",IF(INDEX($AC$2:$AS$1001,MATCH(ROWS($V$2:V33),$V$2:$V$1001,0),MATCH(COLUMNS($AC$1006:AN1006),$AC$1006:$AS$1006,0)), HYPERLINK("#",""), HYPERLINK(CONCATENATE("#Metadata!", ADDRESS(INDEX($X$2:$X$1001,MATCH(ROWS($V$2:V33),$V$2:$V$1001,0),0), INDEX($AC$1004:$AS$1004,1,MATCH(COLUMNS($AC$1006:AN1006),$AC$1006:$AS$1006,0)))),"Fix")))</f>
        <v>0</v>
      </c>
      <c r="N33" s="5">
        <f>IF(OR(INDEX($W$2:$W$1001,MATCH(ROWS($V$2:V33),$V$2:$V$1001,0),1)&gt;=100000,INDEX($AC$1005:$AS$1005,1,MATCH(COLUMNS($AC$1006:AO1006),$AC$1006:$AS$1006,0))&gt;=100000), " ",IF(INDEX($AC$2:$AS$1001,MATCH(ROWS($V$2:V33),$V$2:$V$1001,0),MATCH(COLUMNS($AC$1006:AO1006),$AC$1006:$AS$1006,0)), HYPERLINK("#",""), HYPERLINK(CONCATENATE("#Metadata!", ADDRESS(INDEX($X$2:$X$1001,MATCH(ROWS($V$2:V33),$V$2:$V$1001,0),0), INDEX($AC$1004:$AS$1004,1,MATCH(COLUMNS($AC$1006:AO1006),$AC$1006:$AS$1006,0)))),"Fix")))</f>
        <v>0</v>
      </c>
      <c r="O33" s="5">
        <f>IF(OR(INDEX($W$2:$W$1001,MATCH(ROWS($V$2:V33),$V$2:$V$1001,0),1)&gt;=100000,INDEX($AC$1005:$AS$1005,1,MATCH(COLUMNS($AC$1006:AP1006),$AC$1006:$AS$1006,0))&gt;=100000), " ",IF(INDEX($AC$2:$AS$1001,MATCH(ROWS($V$2:V33),$V$2:$V$1001,0),MATCH(COLUMNS($AC$1006:AP1006),$AC$1006:$AS$1006,0)), HYPERLINK("#",""), HYPERLINK(CONCATENATE("#Metadata!", ADDRESS(INDEX($X$2:$X$1001,MATCH(ROWS($V$2:V33),$V$2:$V$1001,0),0), INDEX($AC$1004:$AS$1004,1,MATCH(COLUMNS($AC$1006:AP1006),$AC$1006:$AS$1006,0)))),"Fix")))</f>
        <v>0</v>
      </c>
      <c r="P33" s="5">
        <f>IF(OR(INDEX($W$2:$W$1001,MATCH(ROWS($V$2:V33),$V$2:$V$1001,0),1)&gt;=100000,INDEX($AC$1005:$AS$1005,1,MATCH(COLUMNS($AC$1006:AQ1006),$AC$1006:$AS$1006,0))&gt;=100000), " ",IF(INDEX($AC$2:$AS$1001,MATCH(ROWS($V$2:V33),$V$2:$V$1001,0),MATCH(COLUMNS($AC$1006:AQ1006),$AC$1006:$AS$1006,0)), HYPERLINK("#",""), HYPERLINK(CONCATENATE("#Metadata!", ADDRESS(INDEX($X$2:$X$1001,MATCH(ROWS($V$2:V33),$V$2:$V$1001,0),0), INDEX($AC$1004:$AS$1004,1,MATCH(COLUMNS($AC$1006:AQ1006),$AC$1006:$AS$1006,0)))),"Fix")))</f>
        <v>0</v>
      </c>
      <c r="Q33" s="5">
        <f>IF(OR(INDEX($W$2:$W$1001,MATCH(ROWS($V$2:V33),$V$2:$V$1001,0),1)&gt;=100000,INDEX($AC$1005:$AS$1005,1,MATCH(COLUMNS($AC$1006:AR1006),$AC$1006:$AS$1006,0))&gt;=100000), " ",IF(INDEX($AC$2:$AS$1001,MATCH(ROWS($V$2:V33),$V$2:$V$1001,0),MATCH(COLUMNS($AC$1006:AR1006),$AC$1006:$AS$1006,0)), HYPERLINK("#",""), HYPERLINK(CONCATENATE("#Metadata!", ADDRESS(INDEX($X$2:$X$1001,MATCH(ROWS($V$2:V33),$V$2:$V$1001,0),0), INDEX($AC$1004:$AS$1004,1,MATCH(COLUMNS($AC$1006:AR1006),$AC$1006:$AS$1006,0)))),"Fix")))</f>
        <v>0</v>
      </c>
      <c r="R33" s="5">
        <f>IF(OR(INDEX($W$2:$W$1001,MATCH(ROWS($V$2:V33),$V$2:$V$1001,0),1)&gt;=100000,INDEX($AC$1005:$AS$1005,1,MATCH(COLUMNS($AC$1006:AS1006),$AC$1006:$AS$1006,0))&gt;=100000), " ",IF(INDEX($AC$2:$AS$1001,MATCH(ROWS($V$2:V33),$V$2:$V$1001,0),MATCH(COLUMNS($AC$1006:AS1006),$AC$1006:$AS$1006,0)), HYPERLINK("#",""), HYPERLINK(CONCATENATE("#Metadata!", ADDRESS(INDEX($X$2:$X$1001,MATCH(ROWS($V$2:V33),$V$2:$V$1001,0),0), INDEX($AC$1004:$AS$1004,1,MATCH(COLUMNS($AC$1006:AS1006),$AC$1006:$AS$1006,0)))),"Fix")))</f>
        <v>0</v>
      </c>
      <c r="V33">
        <v>0</v>
      </c>
      <c r="W33">
        <v>0</v>
      </c>
      <c r="X33">
        <v>0</v>
      </c>
      <c r="Y33">
        <f>IF(Z33,TRUE,AND(AC33:AS33))</f>
        <v>0</v>
      </c>
      <c r="Z33">
        <f>COUNTBLANK(Metadata!B33:R33)=COLUMNS(Metadata!B33:R33)</f>
        <v>0</v>
      </c>
      <c r="AA33">
        <v>0</v>
      </c>
      <c r="AC33">
        <f>AND(IF(Metadata!B33="",FALSE,TRUE),COUNTIF(Metadata!B:B, Metadata!B33) = 1,NOT(ISERROR(SUMPRODUCT(SEARCH(MID(Metadata!B33,ROW(INDIRECT("1:"&amp;LEN(Metadata!B33))), 1),"0123456789abcdefghijklmnopqrstuvwxyzABCDEFGHIJKLMNOPQRSTUVWXYZ.")))))</f>
        <v>0</v>
      </c>
      <c r="AD33">
        <f>AND(IF(Metadata!C33="",FALSE,TRUE),exact(Metadata!C33,"Host-associated"))</f>
        <v>0</v>
      </c>
      <c r="AE33">
        <f>AND(IF(Metadata!D33="",FALSE,TRUE),OR(exact(Metadata!D33,"Animal"),exact(Metadata!D33,"Fungus"),exact(Metadata!D33,"Plant")))</f>
        <v>0</v>
      </c>
      <c r="AF33">
        <f>AND(IF(Metadata!E33="",FALSE,TRUE),OR(exact(Metadata!E33,"Plant secretion"),exact(Metadata!E33,"Plant rhizosphere"),exact(Metadata!E33,"Plant surface"),exact(Metadata!E33,"Plant corpus"),exact(Metadata!E33,"Fungus surface"),exact(Metadata!E33,"Fungus corpus"),exact(Metadata!E33,"Animal surface"),exact(Metadata!E33,"Animal proximal gut"),exact(Metadata!E33,"Animal corpus"),exact(Metadata!E33,"Animal distal gut"),exact(Metadata!E33,"Animal secretion")))</f>
        <v>0</v>
      </c>
      <c r="AG33">
        <f>OR(AND(IF(Metadata!F33="",FALSE,TRUE),OR(exact(Metadata!F33,"not collected"),exact(Metadata!F33,"not provided"),exact(Metadata!F33,"restricted access"))),AND(IF(Metadata!F33="",FALSE,TRUE),OR(exact(Metadata!F33,"organism-associated habitat"),exact(Metadata!F33,"plant-associated habitat"),exact(Metadata!F33,"animal-associated habitat"),exact(Metadata!F33,"insecta-associated habitat"),exact(Metadata!F33,"mammalia-associated habitat"),exact(Metadata!F33,"human-associated habitat"),exact(Metadata!F33,"livestock-associated habitat"))))</f>
        <v>0</v>
      </c>
      <c r="AH33">
        <f>AND(IF(Metadata!G33="",FALSE,TRUE),exact(Metadata!G33,"host-associated"))</f>
        <v>0</v>
      </c>
      <c r="AI33">
        <f>OR(AND(IF(Metadata!H33="",FALSE,TRUE),OR(exact(Metadata!H33,"not collected"),exact(Metadata!H33,"not provided"))),AND(IF(Metadata!H33="",FALSE,ISNUMBER(VALUE(Metadata!H33))),Metadata!H33&gt;0))</f>
        <v>0</v>
      </c>
      <c r="AJ33">
        <f>AND(IF(Metadata!I33="",FALSE,TRUE),exact(Metadata!I33,"years"))</f>
        <v>0</v>
      </c>
      <c r="AK33">
        <f>IF(Metadata!J33="",FALSE,TRUE)</f>
        <v>0</v>
      </c>
      <c r="AL33">
        <f>OR(AND(IF(Metadata!K33="",FALSE,TRUE),OR(exact(Metadata!K33,"not collected"),exact(Metadata!K33,"not provided"))),AND(IF(Metadata!K33="",FALSE,ISNUMBER(VALUE(Metadata!K33))),Metadata!K33&gt;0))</f>
        <v>0</v>
      </c>
      <c r="AM33">
        <f>AND(IF(Metadata!L33="",FALSE,TRUE),exact(Metadata!L33,"cm"))</f>
        <v>0</v>
      </c>
      <c r="AN33">
        <f>IF(Metadata!M33="",FALSE,TRUE)</f>
        <v>0</v>
      </c>
      <c r="AO33">
        <f>OR(AND(IF(Metadata!N33="",FALSE,TRUE),OR(exact(Metadata!N33,"not applicable"),exact(Metadata!N33,"not collected"),exact(Metadata!N33,"not provided"))),AND(IF(Metadata!N33="",FALSE,IF(ISERROR(INT(Metadata!N33)),FALSE,INT(Metadata!N33)=Metadata!N33)),Metadata!N33&gt;0))</f>
        <v>0</v>
      </c>
      <c r="AP33">
        <f>OR(AND(IF(Metadata!O33="",FALSE,TRUE),OR(exact(Metadata!O33,"not collected"),exact(Metadata!O33,"not provided"))),AND(IF(Metadata!O33="",FALSE,ISNUMBER(VALUE(Metadata!O33))),Metadata!O33&gt;0))</f>
        <v>0</v>
      </c>
      <c r="AQ33">
        <f>AND(IF(Metadata!P33="",FALSE,TRUE),exact(Metadata!P33,"kg"))</f>
        <v>0</v>
      </c>
      <c r="AR33">
        <f>OR(AND(IF(Metadata!Q33="",FALSE,TRUE),OR(exact(Metadata!Q33,"not applicable"),exact(Metadata!Q33,"not collected"),exact(Metadata!Q33,"not provided"),exact(Metadata!Q33,"restricted access"))),IF(Metadata!Q33="",FALSE,IF(ISERROR(INT(Metadata!Q33)),FALSE,INT(Metadata!Q33)=Metadata!Q33)))</f>
        <v>0</v>
      </c>
      <c r="AS33">
        <f>AND(IF(Metadata!R33="",FALSE,TRUE),exact(Metadata!R33,"Not applicable"))</f>
        <v>0</v>
      </c>
    </row>
    <row r="34" spans="1:45">
      <c r="A34" s="4">
        <f>IF(B34=" "," ",HYPERLINK(CONCATENATE("#metadata!",ADDRESS(INDEX($X$2:$X$1001,MATCH(ROWS($V$2:V34),$V$2:$V$1001,0),0),2)),INDEX($AA$2:$AA$1001,MATCH(ROWS($V$2:V34),$V$2:$V$1001,0),0)))</f>
        <v>0</v>
      </c>
      <c r="B34" s="5">
        <f>IF(OR(INDEX($W$2:$W$1001,MATCH(ROWS($V$2:V34),$V$2:$V$1001,0),1)&gt;=100000,INDEX($AC$1005:$AS$1005,1,MATCH(COLUMNS($AC$1006:AC1006),$AC$1006:$AS$1006,0))&gt;=100000), " ",IF(INDEX($AC$2:$AS$1001,MATCH(ROWS($V$2:V34),$V$2:$V$1001,0),MATCH(COLUMNS($AC$1006:AC1006),$AC$1006:$AS$1006,0)), HYPERLINK("#",""), HYPERLINK(CONCATENATE("#Metadata!", ADDRESS(INDEX($X$2:$X$1001,MATCH(ROWS($V$2:V34),$V$2:$V$1001,0),0), INDEX($AC$1004:$AS$1004,1,MATCH(COLUMNS($AC$1006:AC1006),$AC$1006:$AS$1006,0)))),"Fix")))</f>
        <v>0</v>
      </c>
      <c r="C34" s="5">
        <f>IF(OR(INDEX($W$2:$W$1001,MATCH(ROWS($V$2:V34),$V$2:$V$1001,0),1)&gt;=100000,INDEX($AC$1005:$AS$1005,1,MATCH(COLUMNS($AC$1006:AD1006),$AC$1006:$AS$1006,0))&gt;=100000), " ",IF(INDEX($AC$2:$AS$1001,MATCH(ROWS($V$2:V34),$V$2:$V$1001,0),MATCH(COLUMNS($AC$1006:AD1006),$AC$1006:$AS$1006,0)), HYPERLINK("#",""), HYPERLINK(CONCATENATE("#Metadata!", ADDRESS(INDEX($X$2:$X$1001,MATCH(ROWS($V$2:V34),$V$2:$V$1001,0),0), INDEX($AC$1004:$AS$1004,1,MATCH(COLUMNS($AC$1006:AD1006),$AC$1006:$AS$1006,0)))),"Fix")))</f>
        <v>0</v>
      </c>
      <c r="D34" s="5">
        <f>IF(OR(INDEX($W$2:$W$1001,MATCH(ROWS($V$2:V34),$V$2:$V$1001,0),1)&gt;=100000,INDEX($AC$1005:$AS$1005,1,MATCH(COLUMNS($AC$1006:AE1006),$AC$1006:$AS$1006,0))&gt;=100000), " ",IF(INDEX($AC$2:$AS$1001,MATCH(ROWS($V$2:V34),$V$2:$V$1001,0),MATCH(COLUMNS($AC$1006:AE1006),$AC$1006:$AS$1006,0)), HYPERLINK("#",""), HYPERLINK(CONCATENATE("#Metadata!", ADDRESS(INDEX($X$2:$X$1001,MATCH(ROWS($V$2:V34),$V$2:$V$1001,0),0), INDEX($AC$1004:$AS$1004,1,MATCH(COLUMNS($AC$1006:AE1006),$AC$1006:$AS$1006,0)))),"Fix")))</f>
        <v>0</v>
      </c>
      <c r="E34" s="5">
        <f>IF(OR(INDEX($W$2:$W$1001,MATCH(ROWS($V$2:V34),$V$2:$V$1001,0),1)&gt;=100000,INDEX($AC$1005:$AS$1005,1,MATCH(COLUMNS($AC$1006:AF1006),$AC$1006:$AS$1006,0))&gt;=100000), " ",IF(INDEX($AC$2:$AS$1001,MATCH(ROWS($V$2:V34),$V$2:$V$1001,0),MATCH(COLUMNS($AC$1006:AF1006),$AC$1006:$AS$1006,0)), HYPERLINK("#",""), HYPERLINK(CONCATENATE("#Metadata!", ADDRESS(INDEX($X$2:$X$1001,MATCH(ROWS($V$2:V34),$V$2:$V$1001,0),0), INDEX($AC$1004:$AS$1004,1,MATCH(COLUMNS($AC$1006:AF1006),$AC$1006:$AS$1006,0)))),"Fix")))</f>
        <v>0</v>
      </c>
      <c r="F34" s="5">
        <f>IF(OR(INDEX($W$2:$W$1001,MATCH(ROWS($V$2:V34),$V$2:$V$1001,0),1)&gt;=100000,INDEX($AC$1005:$AS$1005,1,MATCH(COLUMNS($AC$1006:AG1006),$AC$1006:$AS$1006,0))&gt;=100000), " ",IF(INDEX($AC$2:$AS$1001,MATCH(ROWS($V$2:V34),$V$2:$V$1001,0),MATCH(COLUMNS($AC$1006:AG1006),$AC$1006:$AS$1006,0)), HYPERLINK("#",""), HYPERLINK(CONCATENATE("#Metadata!", ADDRESS(INDEX($X$2:$X$1001,MATCH(ROWS($V$2:V34),$V$2:$V$1001,0),0), INDEX($AC$1004:$AS$1004,1,MATCH(COLUMNS($AC$1006:AG1006),$AC$1006:$AS$1006,0)))),"Fix")))</f>
        <v>0</v>
      </c>
      <c r="G34" s="5">
        <f>IF(OR(INDEX($W$2:$W$1001,MATCH(ROWS($V$2:V34),$V$2:$V$1001,0),1)&gt;=100000,INDEX($AC$1005:$AS$1005,1,MATCH(COLUMNS($AC$1006:AH1006),$AC$1006:$AS$1006,0))&gt;=100000), " ",IF(INDEX($AC$2:$AS$1001,MATCH(ROWS($V$2:V34),$V$2:$V$1001,0),MATCH(COLUMNS($AC$1006:AH1006),$AC$1006:$AS$1006,0)), HYPERLINK("#",""), HYPERLINK(CONCATENATE("#Metadata!", ADDRESS(INDEX($X$2:$X$1001,MATCH(ROWS($V$2:V34),$V$2:$V$1001,0),0), INDEX($AC$1004:$AS$1004,1,MATCH(COLUMNS($AC$1006:AH1006),$AC$1006:$AS$1006,0)))),"Fix")))</f>
        <v>0</v>
      </c>
      <c r="H34" s="5">
        <f>IF(OR(INDEX($W$2:$W$1001,MATCH(ROWS($V$2:V34),$V$2:$V$1001,0),1)&gt;=100000,INDEX($AC$1005:$AS$1005,1,MATCH(COLUMNS($AC$1006:AI1006),$AC$1006:$AS$1006,0))&gt;=100000), " ",IF(INDEX($AC$2:$AS$1001,MATCH(ROWS($V$2:V34),$V$2:$V$1001,0),MATCH(COLUMNS($AC$1006:AI1006),$AC$1006:$AS$1006,0)), HYPERLINK("#",""), HYPERLINK(CONCATENATE("#Metadata!", ADDRESS(INDEX($X$2:$X$1001,MATCH(ROWS($V$2:V34),$V$2:$V$1001,0),0), INDEX($AC$1004:$AS$1004,1,MATCH(COLUMNS($AC$1006:AI1006),$AC$1006:$AS$1006,0)))),"Fix")))</f>
        <v>0</v>
      </c>
      <c r="I34" s="5">
        <f>IF(OR(INDEX($W$2:$W$1001,MATCH(ROWS($V$2:V34),$V$2:$V$1001,0),1)&gt;=100000,INDEX($AC$1005:$AS$1005,1,MATCH(COLUMNS($AC$1006:AJ1006),$AC$1006:$AS$1006,0))&gt;=100000), " ",IF(INDEX($AC$2:$AS$1001,MATCH(ROWS($V$2:V34),$V$2:$V$1001,0),MATCH(COLUMNS($AC$1006:AJ1006),$AC$1006:$AS$1006,0)), HYPERLINK("#",""), HYPERLINK(CONCATENATE("#Metadata!", ADDRESS(INDEX($X$2:$X$1001,MATCH(ROWS($V$2:V34),$V$2:$V$1001,0),0), INDEX($AC$1004:$AS$1004,1,MATCH(COLUMNS($AC$1006:AJ1006),$AC$1006:$AS$1006,0)))),"Fix")))</f>
        <v>0</v>
      </c>
      <c r="J34" s="5">
        <f>IF(OR(INDEX($W$2:$W$1001,MATCH(ROWS($V$2:V34),$V$2:$V$1001,0),1)&gt;=100000,INDEX($AC$1005:$AS$1005,1,MATCH(COLUMNS($AC$1006:AK1006),$AC$1006:$AS$1006,0))&gt;=100000), " ",IF(INDEX($AC$2:$AS$1001,MATCH(ROWS($V$2:V34),$V$2:$V$1001,0),MATCH(COLUMNS($AC$1006:AK1006),$AC$1006:$AS$1006,0)), HYPERLINK("#",""), HYPERLINK(CONCATENATE("#Metadata!", ADDRESS(INDEX($X$2:$X$1001,MATCH(ROWS($V$2:V34),$V$2:$V$1001,0),0), INDEX($AC$1004:$AS$1004,1,MATCH(COLUMNS($AC$1006:AK1006),$AC$1006:$AS$1006,0)))),"Fix")))</f>
        <v>0</v>
      </c>
      <c r="K34" s="5">
        <f>IF(OR(INDEX($W$2:$W$1001,MATCH(ROWS($V$2:V34),$V$2:$V$1001,0),1)&gt;=100000,INDEX($AC$1005:$AS$1005,1,MATCH(COLUMNS($AC$1006:AL1006),$AC$1006:$AS$1006,0))&gt;=100000), " ",IF(INDEX($AC$2:$AS$1001,MATCH(ROWS($V$2:V34),$V$2:$V$1001,0),MATCH(COLUMNS($AC$1006:AL1006),$AC$1006:$AS$1006,0)), HYPERLINK("#",""), HYPERLINK(CONCATENATE("#Metadata!", ADDRESS(INDEX($X$2:$X$1001,MATCH(ROWS($V$2:V34),$V$2:$V$1001,0),0), INDEX($AC$1004:$AS$1004,1,MATCH(COLUMNS($AC$1006:AL1006),$AC$1006:$AS$1006,0)))),"Fix")))</f>
        <v>0</v>
      </c>
      <c r="L34" s="5">
        <f>IF(OR(INDEX($W$2:$W$1001,MATCH(ROWS($V$2:V34),$V$2:$V$1001,0),1)&gt;=100000,INDEX($AC$1005:$AS$1005,1,MATCH(COLUMNS($AC$1006:AM1006),$AC$1006:$AS$1006,0))&gt;=100000), " ",IF(INDEX($AC$2:$AS$1001,MATCH(ROWS($V$2:V34),$V$2:$V$1001,0),MATCH(COLUMNS($AC$1006:AM1006),$AC$1006:$AS$1006,0)), HYPERLINK("#",""), HYPERLINK(CONCATENATE("#Metadata!", ADDRESS(INDEX($X$2:$X$1001,MATCH(ROWS($V$2:V34),$V$2:$V$1001,0),0), INDEX($AC$1004:$AS$1004,1,MATCH(COLUMNS($AC$1006:AM1006),$AC$1006:$AS$1006,0)))),"Fix")))</f>
        <v>0</v>
      </c>
      <c r="M34" s="5">
        <f>IF(OR(INDEX($W$2:$W$1001,MATCH(ROWS($V$2:V34),$V$2:$V$1001,0),1)&gt;=100000,INDEX($AC$1005:$AS$1005,1,MATCH(COLUMNS($AC$1006:AN1006),$AC$1006:$AS$1006,0))&gt;=100000), " ",IF(INDEX($AC$2:$AS$1001,MATCH(ROWS($V$2:V34),$V$2:$V$1001,0),MATCH(COLUMNS($AC$1006:AN1006),$AC$1006:$AS$1006,0)), HYPERLINK("#",""), HYPERLINK(CONCATENATE("#Metadata!", ADDRESS(INDEX($X$2:$X$1001,MATCH(ROWS($V$2:V34),$V$2:$V$1001,0),0), INDEX($AC$1004:$AS$1004,1,MATCH(COLUMNS($AC$1006:AN1006),$AC$1006:$AS$1006,0)))),"Fix")))</f>
        <v>0</v>
      </c>
      <c r="N34" s="5">
        <f>IF(OR(INDEX($W$2:$W$1001,MATCH(ROWS($V$2:V34),$V$2:$V$1001,0),1)&gt;=100000,INDEX($AC$1005:$AS$1005,1,MATCH(COLUMNS($AC$1006:AO1006),$AC$1006:$AS$1006,0))&gt;=100000), " ",IF(INDEX($AC$2:$AS$1001,MATCH(ROWS($V$2:V34),$V$2:$V$1001,0),MATCH(COLUMNS($AC$1006:AO1006),$AC$1006:$AS$1006,0)), HYPERLINK("#",""), HYPERLINK(CONCATENATE("#Metadata!", ADDRESS(INDEX($X$2:$X$1001,MATCH(ROWS($V$2:V34),$V$2:$V$1001,0),0), INDEX($AC$1004:$AS$1004,1,MATCH(COLUMNS($AC$1006:AO1006),$AC$1006:$AS$1006,0)))),"Fix")))</f>
        <v>0</v>
      </c>
      <c r="O34" s="5">
        <f>IF(OR(INDEX($W$2:$W$1001,MATCH(ROWS($V$2:V34),$V$2:$V$1001,0),1)&gt;=100000,INDEX($AC$1005:$AS$1005,1,MATCH(COLUMNS($AC$1006:AP1006),$AC$1006:$AS$1006,0))&gt;=100000), " ",IF(INDEX($AC$2:$AS$1001,MATCH(ROWS($V$2:V34),$V$2:$V$1001,0),MATCH(COLUMNS($AC$1006:AP1006),$AC$1006:$AS$1006,0)), HYPERLINK("#",""), HYPERLINK(CONCATENATE("#Metadata!", ADDRESS(INDEX($X$2:$X$1001,MATCH(ROWS($V$2:V34),$V$2:$V$1001,0),0), INDEX($AC$1004:$AS$1004,1,MATCH(COLUMNS($AC$1006:AP1006),$AC$1006:$AS$1006,0)))),"Fix")))</f>
        <v>0</v>
      </c>
      <c r="P34" s="5">
        <f>IF(OR(INDEX($W$2:$W$1001,MATCH(ROWS($V$2:V34),$V$2:$V$1001,0),1)&gt;=100000,INDEX($AC$1005:$AS$1005,1,MATCH(COLUMNS($AC$1006:AQ1006),$AC$1006:$AS$1006,0))&gt;=100000), " ",IF(INDEX($AC$2:$AS$1001,MATCH(ROWS($V$2:V34),$V$2:$V$1001,0),MATCH(COLUMNS($AC$1006:AQ1006),$AC$1006:$AS$1006,0)), HYPERLINK("#",""), HYPERLINK(CONCATENATE("#Metadata!", ADDRESS(INDEX($X$2:$X$1001,MATCH(ROWS($V$2:V34),$V$2:$V$1001,0),0), INDEX($AC$1004:$AS$1004,1,MATCH(COLUMNS($AC$1006:AQ1006),$AC$1006:$AS$1006,0)))),"Fix")))</f>
        <v>0</v>
      </c>
      <c r="Q34" s="5">
        <f>IF(OR(INDEX($W$2:$W$1001,MATCH(ROWS($V$2:V34),$V$2:$V$1001,0),1)&gt;=100000,INDEX($AC$1005:$AS$1005,1,MATCH(COLUMNS($AC$1006:AR1006),$AC$1006:$AS$1006,0))&gt;=100000), " ",IF(INDEX($AC$2:$AS$1001,MATCH(ROWS($V$2:V34),$V$2:$V$1001,0),MATCH(COLUMNS($AC$1006:AR1006),$AC$1006:$AS$1006,0)), HYPERLINK("#",""), HYPERLINK(CONCATENATE("#Metadata!", ADDRESS(INDEX($X$2:$X$1001,MATCH(ROWS($V$2:V34),$V$2:$V$1001,0),0), INDEX($AC$1004:$AS$1004,1,MATCH(COLUMNS($AC$1006:AR1006),$AC$1006:$AS$1006,0)))),"Fix")))</f>
        <v>0</v>
      </c>
      <c r="R34" s="5">
        <f>IF(OR(INDEX($W$2:$W$1001,MATCH(ROWS($V$2:V34),$V$2:$V$1001,0),1)&gt;=100000,INDEX($AC$1005:$AS$1005,1,MATCH(COLUMNS($AC$1006:AS1006),$AC$1006:$AS$1006,0))&gt;=100000), " ",IF(INDEX($AC$2:$AS$1001,MATCH(ROWS($V$2:V34),$V$2:$V$1001,0),MATCH(COLUMNS($AC$1006:AS1006),$AC$1006:$AS$1006,0)), HYPERLINK("#",""), HYPERLINK(CONCATENATE("#Metadata!", ADDRESS(INDEX($X$2:$X$1001,MATCH(ROWS($V$2:V34),$V$2:$V$1001,0),0), INDEX($AC$1004:$AS$1004,1,MATCH(COLUMNS($AC$1006:AS1006),$AC$1006:$AS$1006,0)))),"Fix")))</f>
        <v>0</v>
      </c>
      <c r="V34">
        <v>0</v>
      </c>
      <c r="W34">
        <v>0</v>
      </c>
      <c r="X34">
        <v>0</v>
      </c>
      <c r="Y34">
        <f>IF(Z34,TRUE,AND(AC34:AS34))</f>
        <v>0</v>
      </c>
      <c r="Z34">
        <f>COUNTBLANK(Metadata!B34:R34)=COLUMNS(Metadata!B34:R34)</f>
        <v>0</v>
      </c>
      <c r="AA34">
        <v>0</v>
      </c>
      <c r="AC34">
        <f>AND(IF(Metadata!B34="",FALSE,TRUE),COUNTIF(Metadata!B:B, Metadata!B34) = 1,NOT(ISERROR(SUMPRODUCT(SEARCH(MID(Metadata!B34,ROW(INDIRECT("1:"&amp;LEN(Metadata!B34))), 1),"0123456789abcdefghijklmnopqrstuvwxyzABCDEFGHIJKLMNOPQRSTUVWXYZ.")))))</f>
        <v>0</v>
      </c>
      <c r="AD34">
        <f>AND(IF(Metadata!C34="",FALSE,TRUE),exact(Metadata!C34,"Host-associated"))</f>
        <v>0</v>
      </c>
      <c r="AE34">
        <f>AND(IF(Metadata!D34="",FALSE,TRUE),OR(exact(Metadata!D34,"Animal"),exact(Metadata!D34,"Fungus"),exact(Metadata!D34,"Plant")))</f>
        <v>0</v>
      </c>
      <c r="AF34">
        <f>AND(IF(Metadata!E34="",FALSE,TRUE),OR(exact(Metadata!E34,"Plant secretion"),exact(Metadata!E34,"Plant rhizosphere"),exact(Metadata!E34,"Plant surface"),exact(Metadata!E34,"Plant corpus"),exact(Metadata!E34,"Fungus surface"),exact(Metadata!E34,"Fungus corpus"),exact(Metadata!E34,"Animal surface"),exact(Metadata!E34,"Animal proximal gut"),exact(Metadata!E34,"Animal corpus"),exact(Metadata!E34,"Animal distal gut"),exact(Metadata!E34,"Animal secretion")))</f>
        <v>0</v>
      </c>
      <c r="AG34">
        <f>OR(AND(IF(Metadata!F34="",FALSE,TRUE),OR(exact(Metadata!F34,"not collected"),exact(Metadata!F34,"not provided"),exact(Metadata!F34,"restricted access"))),AND(IF(Metadata!F34="",FALSE,TRUE),OR(exact(Metadata!F34,"organism-associated habitat"),exact(Metadata!F34,"plant-associated habitat"),exact(Metadata!F34,"animal-associated habitat"),exact(Metadata!F34,"insecta-associated habitat"),exact(Metadata!F34,"mammalia-associated habitat"),exact(Metadata!F34,"human-associated habitat"),exact(Metadata!F34,"livestock-associated habitat"))))</f>
        <v>0</v>
      </c>
      <c r="AH34">
        <f>AND(IF(Metadata!G34="",FALSE,TRUE),exact(Metadata!G34,"host-associated"))</f>
        <v>0</v>
      </c>
      <c r="AI34">
        <f>OR(AND(IF(Metadata!H34="",FALSE,TRUE),OR(exact(Metadata!H34,"not collected"),exact(Metadata!H34,"not provided"))),AND(IF(Metadata!H34="",FALSE,ISNUMBER(VALUE(Metadata!H34))),Metadata!H34&gt;0))</f>
        <v>0</v>
      </c>
      <c r="AJ34">
        <f>AND(IF(Metadata!I34="",FALSE,TRUE),exact(Metadata!I34,"years"))</f>
        <v>0</v>
      </c>
      <c r="AK34">
        <f>IF(Metadata!J34="",FALSE,TRUE)</f>
        <v>0</v>
      </c>
      <c r="AL34">
        <f>OR(AND(IF(Metadata!K34="",FALSE,TRUE),OR(exact(Metadata!K34,"not collected"),exact(Metadata!K34,"not provided"))),AND(IF(Metadata!K34="",FALSE,ISNUMBER(VALUE(Metadata!K34))),Metadata!K34&gt;0))</f>
        <v>0</v>
      </c>
      <c r="AM34">
        <f>AND(IF(Metadata!L34="",FALSE,TRUE),exact(Metadata!L34,"cm"))</f>
        <v>0</v>
      </c>
      <c r="AN34">
        <f>IF(Metadata!M34="",FALSE,TRUE)</f>
        <v>0</v>
      </c>
      <c r="AO34">
        <f>OR(AND(IF(Metadata!N34="",FALSE,TRUE),OR(exact(Metadata!N34,"not applicable"),exact(Metadata!N34,"not collected"),exact(Metadata!N34,"not provided"))),AND(IF(Metadata!N34="",FALSE,IF(ISERROR(INT(Metadata!N34)),FALSE,INT(Metadata!N34)=Metadata!N34)),Metadata!N34&gt;0))</f>
        <v>0</v>
      </c>
      <c r="AP34">
        <f>OR(AND(IF(Metadata!O34="",FALSE,TRUE),OR(exact(Metadata!O34,"not collected"),exact(Metadata!O34,"not provided"))),AND(IF(Metadata!O34="",FALSE,ISNUMBER(VALUE(Metadata!O34))),Metadata!O34&gt;0))</f>
        <v>0</v>
      </c>
      <c r="AQ34">
        <f>AND(IF(Metadata!P34="",FALSE,TRUE),exact(Metadata!P34,"kg"))</f>
        <v>0</v>
      </c>
      <c r="AR34">
        <f>OR(AND(IF(Metadata!Q34="",FALSE,TRUE),OR(exact(Metadata!Q34,"not applicable"),exact(Metadata!Q34,"not collected"),exact(Metadata!Q34,"not provided"),exact(Metadata!Q34,"restricted access"))),IF(Metadata!Q34="",FALSE,IF(ISERROR(INT(Metadata!Q34)),FALSE,INT(Metadata!Q34)=Metadata!Q34)))</f>
        <v>0</v>
      </c>
      <c r="AS34">
        <f>AND(IF(Metadata!R34="",FALSE,TRUE),exact(Metadata!R34,"Not applicable"))</f>
        <v>0</v>
      </c>
    </row>
    <row r="35" spans="1:45">
      <c r="A35" s="4">
        <f>IF(B35=" "," ",HYPERLINK(CONCATENATE("#metadata!",ADDRESS(INDEX($X$2:$X$1001,MATCH(ROWS($V$2:V35),$V$2:$V$1001,0),0),2)),INDEX($AA$2:$AA$1001,MATCH(ROWS($V$2:V35),$V$2:$V$1001,0),0)))</f>
        <v>0</v>
      </c>
      <c r="B35" s="5">
        <f>IF(OR(INDEX($W$2:$W$1001,MATCH(ROWS($V$2:V35),$V$2:$V$1001,0),1)&gt;=100000,INDEX($AC$1005:$AS$1005,1,MATCH(COLUMNS($AC$1006:AC1006),$AC$1006:$AS$1006,0))&gt;=100000), " ",IF(INDEX($AC$2:$AS$1001,MATCH(ROWS($V$2:V35),$V$2:$V$1001,0),MATCH(COLUMNS($AC$1006:AC1006),$AC$1006:$AS$1006,0)), HYPERLINK("#",""), HYPERLINK(CONCATENATE("#Metadata!", ADDRESS(INDEX($X$2:$X$1001,MATCH(ROWS($V$2:V35),$V$2:$V$1001,0),0), INDEX($AC$1004:$AS$1004,1,MATCH(COLUMNS($AC$1006:AC1006),$AC$1006:$AS$1006,0)))),"Fix")))</f>
        <v>0</v>
      </c>
      <c r="C35" s="5">
        <f>IF(OR(INDEX($W$2:$W$1001,MATCH(ROWS($V$2:V35),$V$2:$V$1001,0),1)&gt;=100000,INDEX($AC$1005:$AS$1005,1,MATCH(COLUMNS($AC$1006:AD1006),$AC$1006:$AS$1006,0))&gt;=100000), " ",IF(INDEX($AC$2:$AS$1001,MATCH(ROWS($V$2:V35),$V$2:$V$1001,0),MATCH(COLUMNS($AC$1006:AD1006),$AC$1006:$AS$1006,0)), HYPERLINK("#",""), HYPERLINK(CONCATENATE("#Metadata!", ADDRESS(INDEX($X$2:$X$1001,MATCH(ROWS($V$2:V35),$V$2:$V$1001,0),0), INDEX($AC$1004:$AS$1004,1,MATCH(COLUMNS($AC$1006:AD1006),$AC$1006:$AS$1006,0)))),"Fix")))</f>
        <v>0</v>
      </c>
      <c r="D35" s="5">
        <f>IF(OR(INDEX($W$2:$W$1001,MATCH(ROWS($V$2:V35),$V$2:$V$1001,0),1)&gt;=100000,INDEX($AC$1005:$AS$1005,1,MATCH(COLUMNS($AC$1006:AE1006),$AC$1006:$AS$1006,0))&gt;=100000), " ",IF(INDEX($AC$2:$AS$1001,MATCH(ROWS($V$2:V35),$V$2:$V$1001,0),MATCH(COLUMNS($AC$1006:AE1006),$AC$1006:$AS$1006,0)), HYPERLINK("#",""), HYPERLINK(CONCATENATE("#Metadata!", ADDRESS(INDEX($X$2:$X$1001,MATCH(ROWS($V$2:V35),$V$2:$V$1001,0),0), INDEX($AC$1004:$AS$1004,1,MATCH(COLUMNS($AC$1006:AE1006),$AC$1006:$AS$1006,0)))),"Fix")))</f>
        <v>0</v>
      </c>
      <c r="E35" s="5">
        <f>IF(OR(INDEX($W$2:$W$1001,MATCH(ROWS($V$2:V35),$V$2:$V$1001,0),1)&gt;=100000,INDEX($AC$1005:$AS$1005,1,MATCH(COLUMNS($AC$1006:AF1006),$AC$1006:$AS$1006,0))&gt;=100000), " ",IF(INDEX($AC$2:$AS$1001,MATCH(ROWS($V$2:V35),$V$2:$V$1001,0),MATCH(COLUMNS($AC$1006:AF1006),$AC$1006:$AS$1006,0)), HYPERLINK("#",""), HYPERLINK(CONCATENATE("#Metadata!", ADDRESS(INDEX($X$2:$X$1001,MATCH(ROWS($V$2:V35),$V$2:$V$1001,0),0), INDEX($AC$1004:$AS$1004,1,MATCH(COLUMNS($AC$1006:AF1006),$AC$1006:$AS$1006,0)))),"Fix")))</f>
        <v>0</v>
      </c>
      <c r="F35" s="5">
        <f>IF(OR(INDEX($W$2:$W$1001,MATCH(ROWS($V$2:V35),$V$2:$V$1001,0),1)&gt;=100000,INDEX($AC$1005:$AS$1005,1,MATCH(COLUMNS($AC$1006:AG1006),$AC$1006:$AS$1006,0))&gt;=100000), " ",IF(INDEX($AC$2:$AS$1001,MATCH(ROWS($V$2:V35),$V$2:$V$1001,0),MATCH(COLUMNS($AC$1006:AG1006),$AC$1006:$AS$1006,0)), HYPERLINK("#",""), HYPERLINK(CONCATENATE("#Metadata!", ADDRESS(INDEX($X$2:$X$1001,MATCH(ROWS($V$2:V35),$V$2:$V$1001,0),0), INDEX($AC$1004:$AS$1004,1,MATCH(COLUMNS($AC$1006:AG1006),$AC$1006:$AS$1006,0)))),"Fix")))</f>
        <v>0</v>
      </c>
      <c r="G35" s="5">
        <f>IF(OR(INDEX($W$2:$W$1001,MATCH(ROWS($V$2:V35),$V$2:$V$1001,0),1)&gt;=100000,INDEX($AC$1005:$AS$1005,1,MATCH(COLUMNS($AC$1006:AH1006),$AC$1006:$AS$1006,0))&gt;=100000), " ",IF(INDEX($AC$2:$AS$1001,MATCH(ROWS($V$2:V35),$V$2:$V$1001,0),MATCH(COLUMNS($AC$1006:AH1006),$AC$1006:$AS$1006,0)), HYPERLINK("#",""), HYPERLINK(CONCATENATE("#Metadata!", ADDRESS(INDEX($X$2:$X$1001,MATCH(ROWS($V$2:V35),$V$2:$V$1001,0),0), INDEX($AC$1004:$AS$1004,1,MATCH(COLUMNS($AC$1006:AH1006),$AC$1006:$AS$1006,0)))),"Fix")))</f>
        <v>0</v>
      </c>
      <c r="H35" s="5">
        <f>IF(OR(INDEX($W$2:$W$1001,MATCH(ROWS($V$2:V35),$V$2:$V$1001,0),1)&gt;=100000,INDEX($AC$1005:$AS$1005,1,MATCH(COLUMNS($AC$1006:AI1006),$AC$1006:$AS$1006,0))&gt;=100000), " ",IF(INDEX($AC$2:$AS$1001,MATCH(ROWS($V$2:V35),$V$2:$V$1001,0),MATCH(COLUMNS($AC$1006:AI1006),$AC$1006:$AS$1006,0)), HYPERLINK("#",""), HYPERLINK(CONCATENATE("#Metadata!", ADDRESS(INDEX($X$2:$X$1001,MATCH(ROWS($V$2:V35),$V$2:$V$1001,0),0), INDEX($AC$1004:$AS$1004,1,MATCH(COLUMNS($AC$1006:AI1006),$AC$1006:$AS$1006,0)))),"Fix")))</f>
        <v>0</v>
      </c>
      <c r="I35" s="5">
        <f>IF(OR(INDEX($W$2:$W$1001,MATCH(ROWS($V$2:V35),$V$2:$V$1001,0),1)&gt;=100000,INDEX($AC$1005:$AS$1005,1,MATCH(COLUMNS($AC$1006:AJ1006),$AC$1006:$AS$1006,0))&gt;=100000), " ",IF(INDEX($AC$2:$AS$1001,MATCH(ROWS($V$2:V35),$V$2:$V$1001,0),MATCH(COLUMNS($AC$1006:AJ1006),$AC$1006:$AS$1006,0)), HYPERLINK("#",""), HYPERLINK(CONCATENATE("#Metadata!", ADDRESS(INDEX($X$2:$X$1001,MATCH(ROWS($V$2:V35),$V$2:$V$1001,0),0), INDEX($AC$1004:$AS$1004,1,MATCH(COLUMNS($AC$1006:AJ1006),$AC$1006:$AS$1006,0)))),"Fix")))</f>
        <v>0</v>
      </c>
      <c r="J35" s="5">
        <f>IF(OR(INDEX($W$2:$W$1001,MATCH(ROWS($V$2:V35),$V$2:$V$1001,0),1)&gt;=100000,INDEX($AC$1005:$AS$1005,1,MATCH(COLUMNS($AC$1006:AK1006),$AC$1006:$AS$1006,0))&gt;=100000), " ",IF(INDEX($AC$2:$AS$1001,MATCH(ROWS($V$2:V35),$V$2:$V$1001,0),MATCH(COLUMNS($AC$1006:AK1006),$AC$1006:$AS$1006,0)), HYPERLINK("#",""), HYPERLINK(CONCATENATE("#Metadata!", ADDRESS(INDEX($X$2:$X$1001,MATCH(ROWS($V$2:V35),$V$2:$V$1001,0),0), INDEX($AC$1004:$AS$1004,1,MATCH(COLUMNS($AC$1006:AK1006),$AC$1006:$AS$1006,0)))),"Fix")))</f>
        <v>0</v>
      </c>
      <c r="K35" s="5">
        <f>IF(OR(INDEX($W$2:$W$1001,MATCH(ROWS($V$2:V35),$V$2:$V$1001,0),1)&gt;=100000,INDEX($AC$1005:$AS$1005,1,MATCH(COLUMNS($AC$1006:AL1006),$AC$1006:$AS$1006,0))&gt;=100000), " ",IF(INDEX($AC$2:$AS$1001,MATCH(ROWS($V$2:V35),$V$2:$V$1001,0),MATCH(COLUMNS($AC$1006:AL1006),$AC$1006:$AS$1006,0)), HYPERLINK("#",""), HYPERLINK(CONCATENATE("#Metadata!", ADDRESS(INDEX($X$2:$X$1001,MATCH(ROWS($V$2:V35),$V$2:$V$1001,0),0), INDEX($AC$1004:$AS$1004,1,MATCH(COLUMNS($AC$1006:AL1006),$AC$1006:$AS$1006,0)))),"Fix")))</f>
        <v>0</v>
      </c>
      <c r="L35" s="5">
        <f>IF(OR(INDEX($W$2:$W$1001,MATCH(ROWS($V$2:V35),$V$2:$V$1001,0),1)&gt;=100000,INDEX($AC$1005:$AS$1005,1,MATCH(COLUMNS($AC$1006:AM1006),$AC$1006:$AS$1006,0))&gt;=100000), " ",IF(INDEX($AC$2:$AS$1001,MATCH(ROWS($V$2:V35),$V$2:$V$1001,0),MATCH(COLUMNS($AC$1006:AM1006),$AC$1006:$AS$1006,0)), HYPERLINK("#",""), HYPERLINK(CONCATENATE("#Metadata!", ADDRESS(INDEX($X$2:$X$1001,MATCH(ROWS($V$2:V35),$V$2:$V$1001,0),0), INDEX($AC$1004:$AS$1004,1,MATCH(COLUMNS($AC$1006:AM1006),$AC$1006:$AS$1006,0)))),"Fix")))</f>
        <v>0</v>
      </c>
      <c r="M35" s="5">
        <f>IF(OR(INDEX($W$2:$W$1001,MATCH(ROWS($V$2:V35),$V$2:$V$1001,0),1)&gt;=100000,INDEX($AC$1005:$AS$1005,1,MATCH(COLUMNS($AC$1006:AN1006),$AC$1006:$AS$1006,0))&gt;=100000), " ",IF(INDEX($AC$2:$AS$1001,MATCH(ROWS($V$2:V35),$V$2:$V$1001,0),MATCH(COLUMNS($AC$1006:AN1006),$AC$1006:$AS$1006,0)), HYPERLINK("#",""), HYPERLINK(CONCATENATE("#Metadata!", ADDRESS(INDEX($X$2:$X$1001,MATCH(ROWS($V$2:V35),$V$2:$V$1001,0),0), INDEX($AC$1004:$AS$1004,1,MATCH(COLUMNS($AC$1006:AN1006),$AC$1006:$AS$1006,0)))),"Fix")))</f>
        <v>0</v>
      </c>
      <c r="N35" s="5">
        <f>IF(OR(INDEX($W$2:$W$1001,MATCH(ROWS($V$2:V35),$V$2:$V$1001,0),1)&gt;=100000,INDEX($AC$1005:$AS$1005,1,MATCH(COLUMNS($AC$1006:AO1006),$AC$1006:$AS$1006,0))&gt;=100000), " ",IF(INDEX($AC$2:$AS$1001,MATCH(ROWS($V$2:V35),$V$2:$V$1001,0),MATCH(COLUMNS($AC$1006:AO1006),$AC$1006:$AS$1006,0)), HYPERLINK("#",""), HYPERLINK(CONCATENATE("#Metadata!", ADDRESS(INDEX($X$2:$X$1001,MATCH(ROWS($V$2:V35),$V$2:$V$1001,0),0), INDEX($AC$1004:$AS$1004,1,MATCH(COLUMNS($AC$1006:AO1006),$AC$1006:$AS$1006,0)))),"Fix")))</f>
        <v>0</v>
      </c>
      <c r="O35" s="5">
        <f>IF(OR(INDEX($W$2:$W$1001,MATCH(ROWS($V$2:V35),$V$2:$V$1001,0),1)&gt;=100000,INDEX($AC$1005:$AS$1005,1,MATCH(COLUMNS($AC$1006:AP1006),$AC$1006:$AS$1006,0))&gt;=100000), " ",IF(INDEX($AC$2:$AS$1001,MATCH(ROWS($V$2:V35),$V$2:$V$1001,0),MATCH(COLUMNS($AC$1006:AP1006),$AC$1006:$AS$1006,0)), HYPERLINK("#",""), HYPERLINK(CONCATENATE("#Metadata!", ADDRESS(INDEX($X$2:$X$1001,MATCH(ROWS($V$2:V35),$V$2:$V$1001,0),0), INDEX($AC$1004:$AS$1004,1,MATCH(COLUMNS($AC$1006:AP1006),$AC$1006:$AS$1006,0)))),"Fix")))</f>
        <v>0</v>
      </c>
      <c r="P35" s="5">
        <f>IF(OR(INDEX($W$2:$W$1001,MATCH(ROWS($V$2:V35),$V$2:$V$1001,0),1)&gt;=100000,INDEX($AC$1005:$AS$1005,1,MATCH(COLUMNS($AC$1006:AQ1006),$AC$1006:$AS$1006,0))&gt;=100000), " ",IF(INDEX($AC$2:$AS$1001,MATCH(ROWS($V$2:V35),$V$2:$V$1001,0),MATCH(COLUMNS($AC$1006:AQ1006),$AC$1006:$AS$1006,0)), HYPERLINK("#",""), HYPERLINK(CONCATENATE("#Metadata!", ADDRESS(INDEX($X$2:$X$1001,MATCH(ROWS($V$2:V35),$V$2:$V$1001,0),0), INDEX($AC$1004:$AS$1004,1,MATCH(COLUMNS($AC$1006:AQ1006),$AC$1006:$AS$1006,0)))),"Fix")))</f>
        <v>0</v>
      </c>
      <c r="Q35" s="5">
        <f>IF(OR(INDEX($W$2:$W$1001,MATCH(ROWS($V$2:V35),$V$2:$V$1001,0),1)&gt;=100000,INDEX($AC$1005:$AS$1005,1,MATCH(COLUMNS($AC$1006:AR1006),$AC$1006:$AS$1006,0))&gt;=100000), " ",IF(INDEX($AC$2:$AS$1001,MATCH(ROWS($V$2:V35),$V$2:$V$1001,0),MATCH(COLUMNS($AC$1006:AR1006),$AC$1006:$AS$1006,0)), HYPERLINK("#",""), HYPERLINK(CONCATENATE("#Metadata!", ADDRESS(INDEX($X$2:$X$1001,MATCH(ROWS($V$2:V35),$V$2:$V$1001,0),0), INDEX($AC$1004:$AS$1004,1,MATCH(COLUMNS($AC$1006:AR1006),$AC$1006:$AS$1006,0)))),"Fix")))</f>
        <v>0</v>
      </c>
      <c r="R35" s="5">
        <f>IF(OR(INDEX($W$2:$W$1001,MATCH(ROWS($V$2:V35),$V$2:$V$1001,0),1)&gt;=100000,INDEX($AC$1005:$AS$1005,1,MATCH(COLUMNS($AC$1006:AS1006),$AC$1006:$AS$1006,0))&gt;=100000), " ",IF(INDEX($AC$2:$AS$1001,MATCH(ROWS($V$2:V35),$V$2:$V$1001,0),MATCH(COLUMNS($AC$1006:AS1006),$AC$1006:$AS$1006,0)), HYPERLINK("#",""), HYPERLINK(CONCATENATE("#Metadata!", ADDRESS(INDEX($X$2:$X$1001,MATCH(ROWS($V$2:V35),$V$2:$V$1001,0),0), INDEX($AC$1004:$AS$1004,1,MATCH(COLUMNS($AC$1006:AS1006),$AC$1006:$AS$1006,0)))),"Fix")))</f>
        <v>0</v>
      </c>
      <c r="V35">
        <v>0</v>
      </c>
      <c r="W35">
        <v>0</v>
      </c>
      <c r="X35">
        <v>0</v>
      </c>
      <c r="Y35">
        <f>IF(Z35,TRUE,AND(AC35:AS35))</f>
        <v>0</v>
      </c>
      <c r="Z35">
        <f>COUNTBLANK(Metadata!B35:R35)=COLUMNS(Metadata!B35:R35)</f>
        <v>0</v>
      </c>
      <c r="AA35">
        <v>0</v>
      </c>
      <c r="AC35">
        <f>AND(IF(Metadata!B35="",FALSE,TRUE),COUNTIF(Metadata!B:B, Metadata!B35) = 1,NOT(ISERROR(SUMPRODUCT(SEARCH(MID(Metadata!B35,ROW(INDIRECT("1:"&amp;LEN(Metadata!B35))), 1),"0123456789abcdefghijklmnopqrstuvwxyzABCDEFGHIJKLMNOPQRSTUVWXYZ.")))))</f>
        <v>0</v>
      </c>
      <c r="AD35">
        <f>AND(IF(Metadata!C35="",FALSE,TRUE),exact(Metadata!C35,"Host-associated"))</f>
        <v>0</v>
      </c>
      <c r="AE35">
        <f>AND(IF(Metadata!D35="",FALSE,TRUE),OR(exact(Metadata!D35,"Animal"),exact(Metadata!D35,"Fungus"),exact(Metadata!D35,"Plant")))</f>
        <v>0</v>
      </c>
      <c r="AF35">
        <f>AND(IF(Metadata!E35="",FALSE,TRUE),OR(exact(Metadata!E35,"Plant secretion"),exact(Metadata!E35,"Plant rhizosphere"),exact(Metadata!E35,"Plant surface"),exact(Metadata!E35,"Plant corpus"),exact(Metadata!E35,"Fungus surface"),exact(Metadata!E35,"Fungus corpus"),exact(Metadata!E35,"Animal surface"),exact(Metadata!E35,"Animal proximal gut"),exact(Metadata!E35,"Animal corpus"),exact(Metadata!E35,"Animal distal gut"),exact(Metadata!E35,"Animal secretion")))</f>
        <v>0</v>
      </c>
      <c r="AG35">
        <f>OR(AND(IF(Metadata!F35="",FALSE,TRUE),OR(exact(Metadata!F35,"not collected"),exact(Metadata!F35,"not provided"),exact(Metadata!F35,"restricted access"))),AND(IF(Metadata!F35="",FALSE,TRUE),OR(exact(Metadata!F35,"organism-associated habitat"),exact(Metadata!F35,"plant-associated habitat"),exact(Metadata!F35,"animal-associated habitat"),exact(Metadata!F35,"insecta-associated habitat"),exact(Metadata!F35,"mammalia-associated habitat"),exact(Metadata!F35,"human-associated habitat"),exact(Metadata!F35,"livestock-associated habitat"))))</f>
        <v>0</v>
      </c>
      <c r="AH35">
        <f>AND(IF(Metadata!G35="",FALSE,TRUE),exact(Metadata!G35,"host-associated"))</f>
        <v>0</v>
      </c>
      <c r="AI35">
        <f>OR(AND(IF(Metadata!H35="",FALSE,TRUE),OR(exact(Metadata!H35,"not collected"),exact(Metadata!H35,"not provided"))),AND(IF(Metadata!H35="",FALSE,ISNUMBER(VALUE(Metadata!H35))),Metadata!H35&gt;0))</f>
        <v>0</v>
      </c>
      <c r="AJ35">
        <f>AND(IF(Metadata!I35="",FALSE,TRUE),exact(Metadata!I35,"years"))</f>
        <v>0</v>
      </c>
      <c r="AK35">
        <f>IF(Metadata!J35="",FALSE,TRUE)</f>
        <v>0</v>
      </c>
      <c r="AL35">
        <f>OR(AND(IF(Metadata!K35="",FALSE,TRUE),OR(exact(Metadata!K35,"not collected"),exact(Metadata!K35,"not provided"))),AND(IF(Metadata!K35="",FALSE,ISNUMBER(VALUE(Metadata!K35))),Metadata!K35&gt;0))</f>
        <v>0</v>
      </c>
      <c r="AM35">
        <f>AND(IF(Metadata!L35="",FALSE,TRUE),exact(Metadata!L35,"cm"))</f>
        <v>0</v>
      </c>
      <c r="AN35">
        <f>IF(Metadata!M35="",FALSE,TRUE)</f>
        <v>0</v>
      </c>
      <c r="AO35">
        <f>OR(AND(IF(Metadata!N35="",FALSE,TRUE),OR(exact(Metadata!N35,"not applicable"),exact(Metadata!N35,"not collected"),exact(Metadata!N35,"not provided"))),AND(IF(Metadata!N35="",FALSE,IF(ISERROR(INT(Metadata!N35)),FALSE,INT(Metadata!N35)=Metadata!N35)),Metadata!N35&gt;0))</f>
        <v>0</v>
      </c>
      <c r="AP35">
        <f>OR(AND(IF(Metadata!O35="",FALSE,TRUE),OR(exact(Metadata!O35,"not collected"),exact(Metadata!O35,"not provided"))),AND(IF(Metadata!O35="",FALSE,ISNUMBER(VALUE(Metadata!O35))),Metadata!O35&gt;0))</f>
        <v>0</v>
      </c>
      <c r="AQ35">
        <f>AND(IF(Metadata!P35="",FALSE,TRUE),exact(Metadata!P35,"kg"))</f>
        <v>0</v>
      </c>
      <c r="AR35">
        <f>OR(AND(IF(Metadata!Q35="",FALSE,TRUE),OR(exact(Metadata!Q35,"not applicable"),exact(Metadata!Q35,"not collected"),exact(Metadata!Q35,"not provided"),exact(Metadata!Q35,"restricted access"))),IF(Metadata!Q35="",FALSE,IF(ISERROR(INT(Metadata!Q35)),FALSE,INT(Metadata!Q35)=Metadata!Q35)))</f>
        <v>0</v>
      </c>
      <c r="AS35">
        <f>AND(IF(Metadata!R35="",FALSE,TRUE),exact(Metadata!R35,"Not applicable"))</f>
        <v>0</v>
      </c>
    </row>
    <row r="36" spans="1:45">
      <c r="A36" s="4">
        <f>IF(B36=" "," ",HYPERLINK(CONCATENATE("#metadata!",ADDRESS(INDEX($X$2:$X$1001,MATCH(ROWS($V$2:V36),$V$2:$V$1001,0),0),2)),INDEX($AA$2:$AA$1001,MATCH(ROWS($V$2:V36),$V$2:$V$1001,0),0)))</f>
        <v>0</v>
      </c>
      <c r="B36" s="5">
        <f>IF(OR(INDEX($W$2:$W$1001,MATCH(ROWS($V$2:V36),$V$2:$V$1001,0),1)&gt;=100000,INDEX($AC$1005:$AS$1005,1,MATCH(COLUMNS($AC$1006:AC1006),$AC$1006:$AS$1006,0))&gt;=100000), " ",IF(INDEX($AC$2:$AS$1001,MATCH(ROWS($V$2:V36),$V$2:$V$1001,0),MATCH(COLUMNS($AC$1006:AC1006),$AC$1006:$AS$1006,0)), HYPERLINK("#",""), HYPERLINK(CONCATENATE("#Metadata!", ADDRESS(INDEX($X$2:$X$1001,MATCH(ROWS($V$2:V36),$V$2:$V$1001,0),0), INDEX($AC$1004:$AS$1004,1,MATCH(COLUMNS($AC$1006:AC1006),$AC$1006:$AS$1006,0)))),"Fix")))</f>
        <v>0</v>
      </c>
      <c r="C36" s="5">
        <f>IF(OR(INDEX($W$2:$W$1001,MATCH(ROWS($V$2:V36),$V$2:$V$1001,0),1)&gt;=100000,INDEX($AC$1005:$AS$1005,1,MATCH(COLUMNS($AC$1006:AD1006),$AC$1006:$AS$1006,0))&gt;=100000), " ",IF(INDEX($AC$2:$AS$1001,MATCH(ROWS($V$2:V36),$V$2:$V$1001,0),MATCH(COLUMNS($AC$1006:AD1006),$AC$1006:$AS$1006,0)), HYPERLINK("#",""), HYPERLINK(CONCATENATE("#Metadata!", ADDRESS(INDEX($X$2:$X$1001,MATCH(ROWS($V$2:V36),$V$2:$V$1001,0),0), INDEX($AC$1004:$AS$1004,1,MATCH(COLUMNS($AC$1006:AD1006),$AC$1006:$AS$1006,0)))),"Fix")))</f>
        <v>0</v>
      </c>
      <c r="D36" s="5">
        <f>IF(OR(INDEX($W$2:$W$1001,MATCH(ROWS($V$2:V36),$V$2:$V$1001,0),1)&gt;=100000,INDEX($AC$1005:$AS$1005,1,MATCH(COLUMNS($AC$1006:AE1006),$AC$1006:$AS$1006,0))&gt;=100000), " ",IF(INDEX($AC$2:$AS$1001,MATCH(ROWS($V$2:V36),$V$2:$V$1001,0),MATCH(COLUMNS($AC$1006:AE1006),$AC$1006:$AS$1006,0)), HYPERLINK("#",""), HYPERLINK(CONCATENATE("#Metadata!", ADDRESS(INDEX($X$2:$X$1001,MATCH(ROWS($V$2:V36),$V$2:$V$1001,0),0), INDEX($AC$1004:$AS$1004,1,MATCH(COLUMNS($AC$1006:AE1006),$AC$1006:$AS$1006,0)))),"Fix")))</f>
        <v>0</v>
      </c>
      <c r="E36" s="5">
        <f>IF(OR(INDEX($W$2:$W$1001,MATCH(ROWS($V$2:V36),$V$2:$V$1001,0),1)&gt;=100000,INDEX($AC$1005:$AS$1005,1,MATCH(COLUMNS($AC$1006:AF1006),$AC$1006:$AS$1006,0))&gt;=100000), " ",IF(INDEX($AC$2:$AS$1001,MATCH(ROWS($V$2:V36),$V$2:$V$1001,0),MATCH(COLUMNS($AC$1006:AF1006),$AC$1006:$AS$1006,0)), HYPERLINK("#",""), HYPERLINK(CONCATENATE("#Metadata!", ADDRESS(INDEX($X$2:$X$1001,MATCH(ROWS($V$2:V36),$V$2:$V$1001,0),0), INDEX($AC$1004:$AS$1004,1,MATCH(COLUMNS($AC$1006:AF1006),$AC$1006:$AS$1006,0)))),"Fix")))</f>
        <v>0</v>
      </c>
      <c r="F36" s="5">
        <f>IF(OR(INDEX($W$2:$W$1001,MATCH(ROWS($V$2:V36),$V$2:$V$1001,0),1)&gt;=100000,INDEX($AC$1005:$AS$1005,1,MATCH(COLUMNS($AC$1006:AG1006),$AC$1006:$AS$1006,0))&gt;=100000), " ",IF(INDEX($AC$2:$AS$1001,MATCH(ROWS($V$2:V36),$V$2:$V$1001,0),MATCH(COLUMNS($AC$1006:AG1006),$AC$1006:$AS$1006,0)), HYPERLINK("#",""), HYPERLINK(CONCATENATE("#Metadata!", ADDRESS(INDEX($X$2:$X$1001,MATCH(ROWS($V$2:V36),$V$2:$V$1001,0),0), INDEX($AC$1004:$AS$1004,1,MATCH(COLUMNS($AC$1006:AG1006),$AC$1006:$AS$1006,0)))),"Fix")))</f>
        <v>0</v>
      </c>
      <c r="G36" s="5">
        <f>IF(OR(INDEX($W$2:$W$1001,MATCH(ROWS($V$2:V36),$V$2:$V$1001,0),1)&gt;=100000,INDEX($AC$1005:$AS$1005,1,MATCH(COLUMNS($AC$1006:AH1006),$AC$1006:$AS$1006,0))&gt;=100000), " ",IF(INDEX($AC$2:$AS$1001,MATCH(ROWS($V$2:V36),$V$2:$V$1001,0),MATCH(COLUMNS($AC$1006:AH1006),$AC$1006:$AS$1006,0)), HYPERLINK("#",""), HYPERLINK(CONCATENATE("#Metadata!", ADDRESS(INDEX($X$2:$X$1001,MATCH(ROWS($V$2:V36),$V$2:$V$1001,0),0), INDEX($AC$1004:$AS$1004,1,MATCH(COLUMNS($AC$1006:AH1006),$AC$1006:$AS$1006,0)))),"Fix")))</f>
        <v>0</v>
      </c>
      <c r="H36" s="5">
        <f>IF(OR(INDEX($W$2:$W$1001,MATCH(ROWS($V$2:V36),$V$2:$V$1001,0),1)&gt;=100000,INDEX($AC$1005:$AS$1005,1,MATCH(COLUMNS($AC$1006:AI1006),$AC$1006:$AS$1006,0))&gt;=100000), " ",IF(INDEX($AC$2:$AS$1001,MATCH(ROWS($V$2:V36),$V$2:$V$1001,0),MATCH(COLUMNS($AC$1006:AI1006),$AC$1006:$AS$1006,0)), HYPERLINK("#",""), HYPERLINK(CONCATENATE("#Metadata!", ADDRESS(INDEX($X$2:$X$1001,MATCH(ROWS($V$2:V36),$V$2:$V$1001,0),0), INDEX($AC$1004:$AS$1004,1,MATCH(COLUMNS($AC$1006:AI1006),$AC$1006:$AS$1006,0)))),"Fix")))</f>
        <v>0</v>
      </c>
      <c r="I36" s="5">
        <f>IF(OR(INDEX($W$2:$W$1001,MATCH(ROWS($V$2:V36),$V$2:$V$1001,0),1)&gt;=100000,INDEX($AC$1005:$AS$1005,1,MATCH(COLUMNS($AC$1006:AJ1006),$AC$1006:$AS$1006,0))&gt;=100000), " ",IF(INDEX($AC$2:$AS$1001,MATCH(ROWS($V$2:V36),$V$2:$V$1001,0),MATCH(COLUMNS($AC$1006:AJ1006),$AC$1006:$AS$1006,0)), HYPERLINK("#",""), HYPERLINK(CONCATENATE("#Metadata!", ADDRESS(INDEX($X$2:$X$1001,MATCH(ROWS($V$2:V36),$V$2:$V$1001,0),0), INDEX($AC$1004:$AS$1004,1,MATCH(COLUMNS($AC$1006:AJ1006),$AC$1006:$AS$1006,0)))),"Fix")))</f>
        <v>0</v>
      </c>
      <c r="J36" s="5">
        <f>IF(OR(INDEX($W$2:$W$1001,MATCH(ROWS($V$2:V36),$V$2:$V$1001,0),1)&gt;=100000,INDEX($AC$1005:$AS$1005,1,MATCH(COLUMNS($AC$1006:AK1006),$AC$1006:$AS$1006,0))&gt;=100000), " ",IF(INDEX($AC$2:$AS$1001,MATCH(ROWS($V$2:V36),$V$2:$V$1001,0),MATCH(COLUMNS($AC$1006:AK1006),$AC$1006:$AS$1006,0)), HYPERLINK("#",""), HYPERLINK(CONCATENATE("#Metadata!", ADDRESS(INDEX($X$2:$X$1001,MATCH(ROWS($V$2:V36),$V$2:$V$1001,0),0), INDEX($AC$1004:$AS$1004,1,MATCH(COLUMNS($AC$1006:AK1006),$AC$1006:$AS$1006,0)))),"Fix")))</f>
        <v>0</v>
      </c>
      <c r="K36" s="5">
        <f>IF(OR(INDEX($W$2:$W$1001,MATCH(ROWS($V$2:V36),$V$2:$V$1001,0),1)&gt;=100000,INDEX($AC$1005:$AS$1005,1,MATCH(COLUMNS($AC$1006:AL1006),$AC$1006:$AS$1006,0))&gt;=100000), " ",IF(INDEX($AC$2:$AS$1001,MATCH(ROWS($V$2:V36),$V$2:$V$1001,0),MATCH(COLUMNS($AC$1006:AL1006),$AC$1006:$AS$1006,0)), HYPERLINK("#",""), HYPERLINK(CONCATENATE("#Metadata!", ADDRESS(INDEX($X$2:$X$1001,MATCH(ROWS($V$2:V36),$V$2:$V$1001,0),0), INDEX($AC$1004:$AS$1004,1,MATCH(COLUMNS($AC$1006:AL1006),$AC$1006:$AS$1006,0)))),"Fix")))</f>
        <v>0</v>
      </c>
      <c r="L36" s="5">
        <f>IF(OR(INDEX($W$2:$W$1001,MATCH(ROWS($V$2:V36),$V$2:$V$1001,0),1)&gt;=100000,INDEX($AC$1005:$AS$1005,1,MATCH(COLUMNS($AC$1006:AM1006),$AC$1006:$AS$1006,0))&gt;=100000), " ",IF(INDEX($AC$2:$AS$1001,MATCH(ROWS($V$2:V36),$V$2:$V$1001,0),MATCH(COLUMNS($AC$1006:AM1006),$AC$1006:$AS$1006,0)), HYPERLINK("#",""), HYPERLINK(CONCATENATE("#Metadata!", ADDRESS(INDEX($X$2:$X$1001,MATCH(ROWS($V$2:V36),$V$2:$V$1001,0),0), INDEX($AC$1004:$AS$1004,1,MATCH(COLUMNS($AC$1006:AM1006),$AC$1006:$AS$1006,0)))),"Fix")))</f>
        <v>0</v>
      </c>
      <c r="M36" s="5">
        <f>IF(OR(INDEX($W$2:$W$1001,MATCH(ROWS($V$2:V36),$V$2:$V$1001,0),1)&gt;=100000,INDEX($AC$1005:$AS$1005,1,MATCH(COLUMNS($AC$1006:AN1006),$AC$1006:$AS$1006,0))&gt;=100000), " ",IF(INDEX($AC$2:$AS$1001,MATCH(ROWS($V$2:V36),$V$2:$V$1001,0),MATCH(COLUMNS($AC$1006:AN1006),$AC$1006:$AS$1006,0)), HYPERLINK("#",""), HYPERLINK(CONCATENATE("#Metadata!", ADDRESS(INDEX($X$2:$X$1001,MATCH(ROWS($V$2:V36),$V$2:$V$1001,0),0), INDEX($AC$1004:$AS$1004,1,MATCH(COLUMNS($AC$1006:AN1006),$AC$1006:$AS$1006,0)))),"Fix")))</f>
        <v>0</v>
      </c>
      <c r="N36" s="5">
        <f>IF(OR(INDEX($W$2:$W$1001,MATCH(ROWS($V$2:V36),$V$2:$V$1001,0),1)&gt;=100000,INDEX($AC$1005:$AS$1005,1,MATCH(COLUMNS($AC$1006:AO1006),$AC$1006:$AS$1006,0))&gt;=100000), " ",IF(INDEX($AC$2:$AS$1001,MATCH(ROWS($V$2:V36),$V$2:$V$1001,0),MATCH(COLUMNS($AC$1006:AO1006),$AC$1006:$AS$1006,0)), HYPERLINK("#",""), HYPERLINK(CONCATENATE("#Metadata!", ADDRESS(INDEX($X$2:$X$1001,MATCH(ROWS($V$2:V36),$V$2:$V$1001,0),0), INDEX($AC$1004:$AS$1004,1,MATCH(COLUMNS($AC$1006:AO1006),$AC$1006:$AS$1006,0)))),"Fix")))</f>
        <v>0</v>
      </c>
      <c r="O36" s="5">
        <f>IF(OR(INDEX($W$2:$W$1001,MATCH(ROWS($V$2:V36),$V$2:$V$1001,0),1)&gt;=100000,INDEX($AC$1005:$AS$1005,1,MATCH(COLUMNS($AC$1006:AP1006),$AC$1006:$AS$1006,0))&gt;=100000), " ",IF(INDEX($AC$2:$AS$1001,MATCH(ROWS($V$2:V36),$V$2:$V$1001,0),MATCH(COLUMNS($AC$1006:AP1006),$AC$1006:$AS$1006,0)), HYPERLINK("#",""), HYPERLINK(CONCATENATE("#Metadata!", ADDRESS(INDEX($X$2:$X$1001,MATCH(ROWS($V$2:V36),$V$2:$V$1001,0),0), INDEX($AC$1004:$AS$1004,1,MATCH(COLUMNS($AC$1006:AP1006),$AC$1006:$AS$1006,0)))),"Fix")))</f>
        <v>0</v>
      </c>
      <c r="P36" s="5">
        <f>IF(OR(INDEX($W$2:$W$1001,MATCH(ROWS($V$2:V36),$V$2:$V$1001,0),1)&gt;=100000,INDEX($AC$1005:$AS$1005,1,MATCH(COLUMNS($AC$1006:AQ1006),$AC$1006:$AS$1006,0))&gt;=100000), " ",IF(INDEX($AC$2:$AS$1001,MATCH(ROWS($V$2:V36),$V$2:$V$1001,0),MATCH(COLUMNS($AC$1006:AQ1006),$AC$1006:$AS$1006,0)), HYPERLINK("#",""), HYPERLINK(CONCATENATE("#Metadata!", ADDRESS(INDEX($X$2:$X$1001,MATCH(ROWS($V$2:V36),$V$2:$V$1001,0),0), INDEX($AC$1004:$AS$1004,1,MATCH(COLUMNS($AC$1006:AQ1006),$AC$1006:$AS$1006,0)))),"Fix")))</f>
        <v>0</v>
      </c>
      <c r="Q36" s="5">
        <f>IF(OR(INDEX($W$2:$W$1001,MATCH(ROWS($V$2:V36),$V$2:$V$1001,0),1)&gt;=100000,INDEX($AC$1005:$AS$1005,1,MATCH(COLUMNS($AC$1006:AR1006),$AC$1006:$AS$1006,0))&gt;=100000), " ",IF(INDEX($AC$2:$AS$1001,MATCH(ROWS($V$2:V36),$V$2:$V$1001,0),MATCH(COLUMNS($AC$1006:AR1006),$AC$1006:$AS$1006,0)), HYPERLINK("#",""), HYPERLINK(CONCATENATE("#Metadata!", ADDRESS(INDEX($X$2:$X$1001,MATCH(ROWS($V$2:V36),$V$2:$V$1001,0),0), INDEX($AC$1004:$AS$1004,1,MATCH(COLUMNS($AC$1006:AR1006),$AC$1006:$AS$1006,0)))),"Fix")))</f>
        <v>0</v>
      </c>
      <c r="R36" s="5">
        <f>IF(OR(INDEX($W$2:$W$1001,MATCH(ROWS($V$2:V36),$V$2:$V$1001,0),1)&gt;=100000,INDEX($AC$1005:$AS$1005,1,MATCH(COLUMNS($AC$1006:AS1006),$AC$1006:$AS$1006,0))&gt;=100000), " ",IF(INDEX($AC$2:$AS$1001,MATCH(ROWS($V$2:V36),$V$2:$V$1001,0),MATCH(COLUMNS($AC$1006:AS1006),$AC$1006:$AS$1006,0)), HYPERLINK("#",""), HYPERLINK(CONCATENATE("#Metadata!", ADDRESS(INDEX($X$2:$X$1001,MATCH(ROWS($V$2:V36),$V$2:$V$1001,0),0), INDEX($AC$1004:$AS$1004,1,MATCH(COLUMNS($AC$1006:AS1006),$AC$1006:$AS$1006,0)))),"Fix")))</f>
        <v>0</v>
      </c>
      <c r="V36">
        <v>0</v>
      </c>
      <c r="W36">
        <v>0</v>
      </c>
      <c r="X36">
        <v>0</v>
      </c>
      <c r="Y36">
        <f>IF(Z36,TRUE,AND(AC36:AS36))</f>
        <v>0</v>
      </c>
      <c r="Z36">
        <f>COUNTBLANK(Metadata!B36:R36)=COLUMNS(Metadata!B36:R36)</f>
        <v>0</v>
      </c>
      <c r="AA36">
        <v>0</v>
      </c>
      <c r="AC36">
        <f>AND(IF(Metadata!B36="",FALSE,TRUE),COUNTIF(Metadata!B:B, Metadata!B36) = 1,NOT(ISERROR(SUMPRODUCT(SEARCH(MID(Metadata!B36,ROW(INDIRECT("1:"&amp;LEN(Metadata!B36))), 1),"0123456789abcdefghijklmnopqrstuvwxyzABCDEFGHIJKLMNOPQRSTUVWXYZ.")))))</f>
        <v>0</v>
      </c>
      <c r="AD36">
        <f>AND(IF(Metadata!C36="",FALSE,TRUE),exact(Metadata!C36,"Host-associated"))</f>
        <v>0</v>
      </c>
      <c r="AE36">
        <f>AND(IF(Metadata!D36="",FALSE,TRUE),OR(exact(Metadata!D36,"Animal"),exact(Metadata!D36,"Fungus"),exact(Metadata!D36,"Plant")))</f>
        <v>0</v>
      </c>
      <c r="AF36">
        <f>AND(IF(Metadata!E36="",FALSE,TRUE),OR(exact(Metadata!E36,"Plant secretion"),exact(Metadata!E36,"Plant rhizosphere"),exact(Metadata!E36,"Plant surface"),exact(Metadata!E36,"Plant corpus"),exact(Metadata!E36,"Fungus surface"),exact(Metadata!E36,"Fungus corpus"),exact(Metadata!E36,"Animal surface"),exact(Metadata!E36,"Animal proximal gut"),exact(Metadata!E36,"Animal corpus"),exact(Metadata!E36,"Animal distal gut"),exact(Metadata!E36,"Animal secretion")))</f>
        <v>0</v>
      </c>
      <c r="AG36">
        <f>OR(AND(IF(Metadata!F36="",FALSE,TRUE),OR(exact(Metadata!F36,"not collected"),exact(Metadata!F36,"not provided"),exact(Metadata!F36,"restricted access"))),AND(IF(Metadata!F36="",FALSE,TRUE),OR(exact(Metadata!F36,"organism-associated habitat"),exact(Metadata!F36,"plant-associated habitat"),exact(Metadata!F36,"animal-associated habitat"),exact(Metadata!F36,"insecta-associated habitat"),exact(Metadata!F36,"mammalia-associated habitat"),exact(Metadata!F36,"human-associated habitat"),exact(Metadata!F36,"livestock-associated habitat"))))</f>
        <v>0</v>
      </c>
      <c r="AH36">
        <f>AND(IF(Metadata!G36="",FALSE,TRUE),exact(Metadata!G36,"host-associated"))</f>
        <v>0</v>
      </c>
      <c r="AI36">
        <f>OR(AND(IF(Metadata!H36="",FALSE,TRUE),OR(exact(Metadata!H36,"not collected"),exact(Metadata!H36,"not provided"))),AND(IF(Metadata!H36="",FALSE,ISNUMBER(VALUE(Metadata!H36))),Metadata!H36&gt;0))</f>
        <v>0</v>
      </c>
      <c r="AJ36">
        <f>AND(IF(Metadata!I36="",FALSE,TRUE),exact(Metadata!I36,"years"))</f>
        <v>0</v>
      </c>
      <c r="AK36">
        <f>IF(Metadata!J36="",FALSE,TRUE)</f>
        <v>0</v>
      </c>
      <c r="AL36">
        <f>OR(AND(IF(Metadata!K36="",FALSE,TRUE),OR(exact(Metadata!K36,"not collected"),exact(Metadata!K36,"not provided"))),AND(IF(Metadata!K36="",FALSE,ISNUMBER(VALUE(Metadata!K36))),Metadata!K36&gt;0))</f>
        <v>0</v>
      </c>
      <c r="AM36">
        <f>AND(IF(Metadata!L36="",FALSE,TRUE),exact(Metadata!L36,"cm"))</f>
        <v>0</v>
      </c>
      <c r="AN36">
        <f>IF(Metadata!M36="",FALSE,TRUE)</f>
        <v>0</v>
      </c>
      <c r="AO36">
        <f>OR(AND(IF(Metadata!N36="",FALSE,TRUE),OR(exact(Metadata!N36,"not applicable"),exact(Metadata!N36,"not collected"),exact(Metadata!N36,"not provided"))),AND(IF(Metadata!N36="",FALSE,IF(ISERROR(INT(Metadata!N36)),FALSE,INT(Metadata!N36)=Metadata!N36)),Metadata!N36&gt;0))</f>
        <v>0</v>
      </c>
      <c r="AP36">
        <f>OR(AND(IF(Metadata!O36="",FALSE,TRUE),OR(exact(Metadata!O36,"not collected"),exact(Metadata!O36,"not provided"))),AND(IF(Metadata!O36="",FALSE,ISNUMBER(VALUE(Metadata!O36))),Metadata!O36&gt;0))</f>
        <v>0</v>
      </c>
      <c r="AQ36">
        <f>AND(IF(Metadata!P36="",FALSE,TRUE),exact(Metadata!P36,"kg"))</f>
        <v>0</v>
      </c>
      <c r="AR36">
        <f>OR(AND(IF(Metadata!Q36="",FALSE,TRUE),OR(exact(Metadata!Q36,"not applicable"),exact(Metadata!Q36,"not collected"),exact(Metadata!Q36,"not provided"),exact(Metadata!Q36,"restricted access"))),IF(Metadata!Q36="",FALSE,IF(ISERROR(INT(Metadata!Q36)),FALSE,INT(Metadata!Q36)=Metadata!Q36)))</f>
        <v>0</v>
      </c>
      <c r="AS36">
        <f>AND(IF(Metadata!R36="",FALSE,TRUE),exact(Metadata!R36,"Not applicable"))</f>
        <v>0</v>
      </c>
    </row>
    <row r="37" spans="1:45">
      <c r="A37" s="4">
        <f>IF(B37=" "," ",HYPERLINK(CONCATENATE("#metadata!",ADDRESS(INDEX($X$2:$X$1001,MATCH(ROWS($V$2:V37),$V$2:$V$1001,0),0),2)),INDEX($AA$2:$AA$1001,MATCH(ROWS($V$2:V37),$V$2:$V$1001,0),0)))</f>
        <v>0</v>
      </c>
      <c r="B37" s="5">
        <f>IF(OR(INDEX($W$2:$W$1001,MATCH(ROWS($V$2:V37),$V$2:$V$1001,0),1)&gt;=100000,INDEX($AC$1005:$AS$1005,1,MATCH(COLUMNS($AC$1006:AC1006),$AC$1006:$AS$1006,0))&gt;=100000), " ",IF(INDEX($AC$2:$AS$1001,MATCH(ROWS($V$2:V37),$V$2:$V$1001,0),MATCH(COLUMNS($AC$1006:AC1006),$AC$1006:$AS$1006,0)), HYPERLINK("#",""), HYPERLINK(CONCATENATE("#Metadata!", ADDRESS(INDEX($X$2:$X$1001,MATCH(ROWS($V$2:V37),$V$2:$V$1001,0),0), INDEX($AC$1004:$AS$1004,1,MATCH(COLUMNS($AC$1006:AC1006),$AC$1006:$AS$1006,0)))),"Fix")))</f>
        <v>0</v>
      </c>
      <c r="C37" s="5">
        <f>IF(OR(INDEX($W$2:$W$1001,MATCH(ROWS($V$2:V37),$V$2:$V$1001,0),1)&gt;=100000,INDEX($AC$1005:$AS$1005,1,MATCH(COLUMNS($AC$1006:AD1006),$AC$1006:$AS$1006,0))&gt;=100000), " ",IF(INDEX($AC$2:$AS$1001,MATCH(ROWS($V$2:V37),$V$2:$V$1001,0),MATCH(COLUMNS($AC$1006:AD1006),$AC$1006:$AS$1006,0)), HYPERLINK("#",""), HYPERLINK(CONCATENATE("#Metadata!", ADDRESS(INDEX($X$2:$X$1001,MATCH(ROWS($V$2:V37),$V$2:$V$1001,0),0), INDEX($AC$1004:$AS$1004,1,MATCH(COLUMNS($AC$1006:AD1006),$AC$1006:$AS$1006,0)))),"Fix")))</f>
        <v>0</v>
      </c>
      <c r="D37" s="5">
        <f>IF(OR(INDEX($W$2:$W$1001,MATCH(ROWS($V$2:V37),$V$2:$V$1001,0),1)&gt;=100000,INDEX($AC$1005:$AS$1005,1,MATCH(COLUMNS($AC$1006:AE1006),$AC$1006:$AS$1006,0))&gt;=100000), " ",IF(INDEX($AC$2:$AS$1001,MATCH(ROWS($V$2:V37),$V$2:$V$1001,0),MATCH(COLUMNS($AC$1006:AE1006),$AC$1006:$AS$1006,0)), HYPERLINK("#",""), HYPERLINK(CONCATENATE("#Metadata!", ADDRESS(INDEX($X$2:$X$1001,MATCH(ROWS($V$2:V37),$V$2:$V$1001,0),0), INDEX($AC$1004:$AS$1004,1,MATCH(COLUMNS($AC$1006:AE1006),$AC$1006:$AS$1006,0)))),"Fix")))</f>
        <v>0</v>
      </c>
      <c r="E37" s="5">
        <f>IF(OR(INDEX($W$2:$W$1001,MATCH(ROWS($V$2:V37),$V$2:$V$1001,0),1)&gt;=100000,INDEX($AC$1005:$AS$1005,1,MATCH(COLUMNS($AC$1006:AF1006),$AC$1006:$AS$1006,0))&gt;=100000), " ",IF(INDEX($AC$2:$AS$1001,MATCH(ROWS($V$2:V37),$V$2:$V$1001,0),MATCH(COLUMNS($AC$1006:AF1006),$AC$1006:$AS$1006,0)), HYPERLINK("#",""), HYPERLINK(CONCATENATE("#Metadata!", ADDRESS(INDEX($X$2:$X$1001,MATCH(ROWS($V$2:V37),$V$2:$V$1001,0),0), INDEX($AC$1004:$AS$1004,1,MATCH(COLUMNS($AC$1006:AF1006),$AC$1006:$AS$1006,0)))),"Fix")))</f>
        <v>0</v>
      </c>
      <c r="F37" s="5">
        <f>IF(OR(INDEX($W$2:$W$1001,MATCH(ROWS($V$2:V37),$V$2:$V$1001,0),1)&gt;=100000,INDEX($AC$1005:$AS$1005,1,MATCH(COLUMNS($AC$1006:AG1006),$AC$1006:$AS$1006,0))&gt;=100000), " ",IF(INDEX($AC$2:$AS$1001,MATCH(ROWS($V$2:V37),$V$2:$V$1001,0),MATCH(COLUMNS($AC$1006:AG1006),$AC$1006:$AS$1006,0)), HYPERLINK("#",""), HYPERLINK(CONCATENATE("#Metadata!", ADDRESS(INDEX($X$2:$X$1001,MATCH(ROWS($V$2:V37),$V$2:$V$1001,0),0), INDEX($AC$1004:$AS$1004,1,MATCH(COLUMNS($AC$1006:AG1006),$AC$1006:$AS$1006,0)))),"Fix")))</f>
        <v>0</v>
      </c>
      <c r="G37" s="5">
        <f>IF(OR(INDEX($W$2:$W$1001,MATCH(ROWS($V$2:V37),$V$2:$V$1001,0),1)&gt;=100000,INDEX($AC$1005:$AS$1005,1,MATCH(COLUMNS($AC$1006:AH1006),$AC$1006:$AS$1006,0))&gt;=100000), " ",IF(INDEX($AC$2:$AS$1001,MATCH(ROWS($V$2:V37),$V$2:$V$1001,0),MATCH(COLUMNS($AC$1006:AH1006),$AC$1006:$AS$1006,0)), HYPERLINK("#",""), HYPERLINK(CONCATENATE("#Metadata!", ADDRESS(INDEX($X$2:$X$1001,MATCH(ROWS($V$2:V37),$V$2:$V$1001,0),0), INDEX($AC$1004:$AS$1004,1,MATCH(COLUMNS($AC$1006:AH1006),$AC$1006:$AS$1006,0)))),"Fix")))</f>
        <v>0</v>
      </c>
      <c r="H37" s="5">
        <f>IF(OR(INDEX($W$2:$W$1001,MATCH(ROWS($V$2:V37),$V$2:$V$1001,0),1)&gt;=100000,INDEX($AC$1005:$AS$1005,1,MATCH(COLUMNS($AC$1006:AI1006),$AC$1006:$AS$1006,0))&gt;=100000), " ",IF(INDEX($AC$2:$AS$1001,MATCH(ROWS($V$2:V37),$V$2:$V$1001,0),MATCH(COLUMNS($AC$1006:AI1006),$AC$1006:$AS$1006,0)), HYPERLINK("#",""), HYPERLINK(CONCATENATE("#Metadata!", ADDRESS(INDEX($X$2:$X$1001,MATCH(ROWS($V$2:V37),$V$2:$V$1001,0),0), INDEX($AC$1004:$AS$1004,1,MATCH(COLUMNS($AC$1006:AI1006),$AC$1006:$AS$1006,0)))),"Fix")))</f>
        <v>0</v>
      </c>
      <c r="I37" s="5">
        <f>IF(OR(INDEX($W$2:$W$1001,MATCH(ROWS($V$2:V37),$V$2:$V$1001,0),1)&gt;=100000,INDEX($AC$1005:$AS$1005,1,MATCH(COLUMNS($AC$1006:AJ1006),$AC$1006:$AS$1006,0))&gt;=100000), " ",IF(INDEX($AC$2:$AS$1001,MATCH(ROWS($V$2:V37),$V$2:$V$1001,0),MATCH(COLUMNS($AC$1006:AJ1006),$AC$1006:$AS$1006,0)), HYPERLINK("#",""), HYPERLINK(CONCATENATE("#Metadata!", ADDRESS(INDEX($X$2:$X$1001,MATCH(ROWS($V$2:V37),$V$2:$V$1001,0),0), INDEX($AC$1004:$AS$1004,1,MATCH(COLUMNS($AC$1006:AJ1006),$AC$1006:$AS$1006,0)))),"Fix")))</f>
        <v>0</v>
      </c>
      <c r="J37" s="5">
        <f>IF(OR(INDEX($W$2:$W$1001,MATCH(ROWS($V$2:V37),$V$2:$V$1001,0),1)&gt;=100000,INDEX($AC$1005:$AS$1005,1,MATCH(COLUMNS($AC$1006:AK1006),$AC$1006:$AS$1006,0))&gt;=100000), " ",IF(INDEX($AC$2:$AS$1001,MATCH(ROWS($V$2:V37),$V$2:$V$1001,0),MATCH(COLUMNS($AC$1006:AK1006),$AC$1006:$AS$1006,0)), HYPERLINK("#",""), HYPERLINK(CONCATENATE("#Metadata!", ADDRESS(INDEX($X$2:$X$1001,MATCH(ROWS($V$2:V37),$V$2:$V$1001,0),0), INDEX($AC$1004:$AS$1004,1,MATCH(COLUMNS($AC$1006:AK1006),$AC$1006:$AS$1006,0)))),"Fix")))</f>
        <v>0</v>
      </c>
      <c r="K37" s="5">
        <f>IF(OR(INDEX($W$2:$W$1001,MATCH(ROWS($V$2:V37),$V$2:$V$1001,0),1)&gt;=100000,INDEX($AC$1005:$AS$1005,1,MATCH(COLUMNS($AC$1006:AL1006),$AC$1006:$AS$1006,0))&gt;=100000), " ",IF(INDEX($AC$2:$AS$1001,MATCH(ROWS($V$2:V37),$V$2:$V$1001,0),MATCH(COLUMNS($AC$1006:AL1006),$AC$1006:$AS$1006,0)), HYPERLINK("#",""), HYPERLINK(CONCATENATE("#Metadata!", ADDRESS(INDEX($X$2:$X$1001,MATCH(ROWS($V$2:V37),$V$2:$V$1001,0),0), INDEX($AC$1004:$AS$1004,1,MATCH(COLUMNS($AC$1006:AL1006),$AC$1006:$AS$1006,0)))),"Fix")))</f>
        <v>0</v>
      </c>
      <c r="L37" s="5">
        <f>IF(OR(INDEX($W$2:$W$1001,MATCH(ROWS($V$2:V37),$V$2:$V$1001,0),1)&gt;=100000,INDEX($AC$1005:$AS$1005,1,MATCH(COLUMNS($AC$1006:AM1006),$AC$1006:$AS$1006,0))&gt;=100000), " ",IF(INDEX($AC$2:$AS$1001,MATCH(ROWS($V$2:V37),$V$2:$V$1001,0),MATCH(COLUMNS($AC$1006:AM1006),$AC$1006:$AS$1006,0)), HYPERLINK("#",""), HYPERLINK(CONCATENATE("#Metadata!", ADDRESS(INDEX($X$2:$X$1001,MATCH(ROWS($V$2:V37),$V$2:$V$1001,0),0), INDEX($AC$1004:$AS$1004,1,MATCH(COLUMNS($AC$1006:AM1006),$AC$1006:$AS$1006,0)))),"Fix")))</f>
        <v>0</v>
      </c>
      <c r="M37" s="5">
        <f>IF(OR(INDEX($W$2:$W$1001,MATCH(ROWS($V$2:V37),$V$2:$V$1001,0),1)&gt;=100000,INDEX($AC$1005:$AS$1005,1,MATCH(COLUMNS($AC$1006:AN1006),$AC$1006:$AS$1006,0))&gt;=100000), " ",IF(INDEX($AC$2:$AS$1001,MATCH(ROWS($V$2:V37),$V$2:$V$1001,0),MATCH(COLUMNS($AC$1006:AN1006),$AC$1006:$AS$1006,0)), HYPERLINK("#",""), HYPERLINK(CONCATENATE("#Metadata!", ADDRESS(INDEX($X$2:$X$1001,MATCH(ROWS($V$2:V37),$V$2:$V$1001,0),0), INDEX($AC$1004:$AS$1004,1,MATCH(COLUMNS($AC$1006:AN1006),$AC$1006:$AS$1006,0)))),"Fix")))</f>
        <v>0</v>
      </c>
      <c r="N37" s="5">
        <f>IF(OR(INDEX($W$2:$W$1001,MATCH(ROWS($V$2:V37),$V$2:$V$1001,0),1)&gt;=100000,INDEX($AC$1005:$AS$1005,1,MATCH(COLUMNS($AC$1006:AO1006),$AC$1006:$AS$1006,0))&gt;=100000), " ",IF(INDEX($AC$2:$AS$1001,MATCH(ROWS($V$2:V37),$V$2:$V$1001,0),MATCH(COLUMNS($AC$1006:AO1006),$AC$1006:$AS$1006,0)), HYPERLINK("#",""), HYPERLINK(CONCATENATE("#Metadata!", ADDRESS(INDEX($X$2:$X$1001,MATCH(ROWS($V$2:V37),$V$2:$V$1001,0),0), INDEX($AC$1004:$AS$1004,1,MATCH(COLUMNS($AC$1006:AO1006),$AC$1006:$AS$1006,0)))),"Fix")))</f>
        <v>0</v>
      </c>
      <c r="O37" s="5">
        <f>IF(OR(INDEX($W$2:$W$1001,MATCH(ROWS($V$2:V37),$V$2:$V$1001,0),1)&gt;=100000,INDEX($AC$1005:$AS$1005,1,MATCH(COLUMNS($AC$1006:AP1006),$AC$1006:$AS$1006,0))&gt;=100000), " ",IF(INDEX($AC$2:$AS$1001,MATCH(ROWS($V$2:V37),$V$2:$V$1001,0),MATCH(COLUMNS($AC$1006:AP1006),$AC$1006:$AS$1006,0)), HYPERLINK("#",""), HYPERLINK(CONCATENATE("#Metadata!", ADDRESS(INDEX($X$2:$X$1001,MATCH(ROWS($V$2:V37),$V$2:$V$1001,0),0), INDEX($AC$1004:$AS$1004,1,MATCH(COLUMNS($AC$1006:AP1006),$AC$1006:$AS$1006,0)))),"Fix")))</f>
        <v>0</v>
      </c>
      <c r="P37" s="5">
        <f>IF(OR(INDEX($W$2:$W$1001,MATCH(ROWS($V$2:V37),$V$2:$V$1001,0),1)&gt;=100000,INDEX($AC$1005:$AS$1005,1,MATCH(COLUMNS($AC$1006:AQ1006),$AC$1006:$AS$1006,0))&gt;=100000), " ",IF(INDEX($AC$2:$AS$1001,MATCH(ROWS($V$2:V37),$V$2:$V$1001,0),MATCH(COLUMNS($AC$1006:AQ1006),$AC$1006:$AS$1006,0)), HYPERLINK("#",""), HYPERLINK(CONCATENATE("#Metadata!", ADDRESS(INDEX($X$2:$X$1001,MATCH(ROWS($V$2:V37),$V$2:$V$1001,0),0), INDEX($AC$1004:$AS$1004,1,MATCH(COLUMNS($AC$1006:AQ1006),$AC$1006:$AS$1006,0)))),"Fix")))</f>
        <v>0</v>
      </c>
      <c r="Q37" s="5">
        <f>IF(OR(INDEX($W$2:$W$1001,MATCH(ROWS($V$2:V37),$V$2:$V$1001,0),1)&gt;=100000,INDEX($AC$1005:$AS$1005,1,MATCH(COLUMNS($AC$1006:AR1006),$AC$1006:$AS$1006,0))&gt;=100000), " ",IF(INDEX($AC$2:$AS$1001,MATCH(ROWS($V$2:V37),$V$2:$V$1001,0),MATCH(COLUMNS($AC$1006:AR1006),$AC$1006:$AS$1006,0)), HYPERLINK("#",""), HYPERLINK(CONCATENATE("#Metadata!", ADDRESS(INDEX($X$2:$X$1001,MATCH(ROWS($V$2:V37),$V$2:$V$1001,0),0), INDEX($AC$1004:$AS$1004,1,MATCH(COLUMNS($AC$1006:AR1006),$AC$1006:$AS$1006,0)))),"Fix")))</f>
        <v>0</v>
      </c>
      <c r="R37" s="5">
        <f>IF(OR(INDEX($W$2:$W$1001,MATCH(ROWS($V$2:V37),$V$2:$V$1001,0),1)&gt;=100000,INDEX($AC$1005:$AS$1005,1,MATCH(COLUMNS($AC$1006:AS1006),$AC$1006:$AS$1006,0))&gt;=100000), " ",IF(INDEX($AC$2:$AS$1001,MATCH(ROWS($V$2:V37),$V$2:$V$1001,0),MATCH(COLUMNS($AC$1006:AS1006),$AC$1006:$AS$1006,0)), HYPERLINK("#",""), HYPERLINK(CONCATENATE("#Metadata!", ADDRESS(INDEX($X$2:$X$1001,MATCH(ROWS($V$2:V37),$V$2:$V$1001,0),0), INDEX($AC$1004:$AS$1004,1,MATCH(COLUMNS($AC$1006:AS1006),$AC$1006:$AS$1006,0)))),"Fix")))</f>
        <v>0</v>
      </c>
      <c r="V37">
        <v>0</v>
      </c>
      <c r="W37">
        <v>0</v>
      </c>
      <c r="X37">
        <v>0</v>
      </c>
      <c r="Y37">
        <f>IF(Z37,TRUE,AND(AC37:AS37))</f>
        <v>0</v>
      </c>
      <c r="Z37">
        <f>COUNTBLANK(Metadata!B37:R37)=COLUMNS(Metadata!B37:R37)</f>
        <v>0</v>
      </c>
      <c r="AA37">
        <v>0</v>
      </c>
      <c r="AC37">
        <f>AND(IF(Metadata!B37="",FALSE,TRUE),COUNTIF(Metadata!B:B, Metadata!B37) = 1,NOT(ISERROR(SUMPRODUCT(SEARCH(MID(Metadata!B37,ROW(INDIRECT("1:"&amp;LEN(Metadata!B37))), 1),"0123456789abcdefghijklmnopqrstuvwxyzABCDEFGHIJKLMNOPQRSTUVWXYZ.")))))</f>
        <v>0</v>
      </c>
      <c r="AD37">
        <f>AND(IF(Metadata!C37="",FALSE,TRUE),exact(Metadata!C37,"Host-associated"))</f>
        <v>0</v>
      </c>
      <c r="AE37">
        <f>AND(IF(Metadata!D37="",FALSE,TRUE),OR(exact(Metadata!D37,"Animal"),exact(Metadata!D37,"Fungus"),exact(Metadata!D37,"Plant")))</f>
        <v>0</v>
      </c>
      <c r="AF37">
        <f>AND(IF(Metadata!E37="",FALSE,TRUE),OR(exact(Metadata!E37,"Plant secretion"),exact(Metadata!E37,"Plant rhizosphere"),exact(Metadata!E37,"Plant surface"),exact(Metadata!E37,"Plant corpus"),exact(Metadata!E37,"Fungus surface"),exact(Metadata!E37,"Fungus corpus"),exact(Metadata!E37,"Animal surface"),exact(Metadata!E37,"Animal proximal gut"),exact(Metadata!E37,"Animal corpus"),exact(Metadata!E37,"Animal distal gut"),exact(Metadata!E37,"Animal secretion")))</f>
        <v>0</v>
      </c>
      <c r="AG37">
        <f>OR(AND(IF(Metadata!F37="",FALSE,TRUE),OR(exact(Metadata!F37,"not collected"),exact(Metadata!F37,"not provided"),exact(Metadata!F37,"restricted access"))),AND(IF(Metadata!F37="",FALSE,TRUE),OR(exact(Metadata!F37,"organism-associated habitat"),exact(Metadata!F37,"plant-associated habitat"),exact(Metadata!F37,"animal-associated habitat"),exact(Metadata!F37,"insecta-associated habitat"),exact(Metadata!F37,"mammalia-associated habitat"),exact(Metadata!F37,"human-associated habitat"),exact(Metadata!F37,"livestock-associated habitat"))))</f>
        <v>0</v>
      </c>
      <c r="AH37">
        <f>AND(IF(Metadata!G37="",FALSE,TRUE),exact(Metadata!G37,"host-associated"))</f>
        <v>0</v>
      </c>
      <c r="AI37">
        <f>OR(AND(IF(Metadata!H37="",FALSE,TRUE),OR(exact(Metadata!H37,"not collected"),exact(Metadata!H37,"not provided"))),AND(IF(Metadata!H37="",FALSE,ISNUMBER(VALUE(Metadata!H37))),Metadata!H37&gt;0))</f>
        <v>0</v>
      </c>
      <c r="AJ37">
        <f>AND(IF(Metadata!I37="",FALSE,TRUE),exact(Metadata!I37,"years"))</f>
        <v>0</v>
      </c>
      <c r="AK37">
        <f>IF(Metadata!J37="",FALSE,TRUE)</f>
        <v>0</v>
      </c>
      <c r="AL37">
        <f>OR(AND(IF(Metadata!K37="",FALSE,TRUE),OR(exact(Metadata!K37,"not collected"),exact(Metadata!K37,"not provided"))),AND(IF(Metadata!K37="",FALSE,ISNUMBER(VALUE(Metadata!K37))),Metadata!K37&gt;0))</f>
        <v>0</v>
      </c>
      <c r="AM37">
        <f>AND(IF(Metadata!L37="",FALSE,TRUE),exact(Metadata!L37,"cm"))</f>
        <v>0</v>
      </c>
      <c r="AN37">
        <f>IF(Metadata!M37="",FALSE,TRUE)</f>
        <v>0</v>
      </c>
      <c r="AO37">
        <f>OR(AND(IF(Metadata!N37="",FALSE,TRUE),OR(exact(Metadata!N37,"not applicable"),exact(Metadata!N37,"not collected"),exact(Metadata!N37,"not provided"))),AND(IF(Metadata!N37="",FALSE,IF(ISERROR(INT(Metadata!N37)),FALSE,INT(Metadata!N37)=Metadata!N37)),Metadata!N37&gt;0))</f>
        <v>0</v>
      </c>
      <c r="AP37">
        <f>OR(AND(IF(Metadata!O37="",FALSE,TRUE),OR(exact(Metadata!O37,"not collected"),exact(Metadata!O37,"not provided"))),AND(IF(Metadata!O37="",FALSE,ISNUMBER(VALUE(Metadata!O37))),Metadata!O37&gt;0))</f>
        <v>0</v>
      </c>
      <c r="AQ37">
        <f>AND(IF(Metadata!P37="",FALSE,TRUE),exact(Metadata!P37,"kg"))</f>
        <v>0</v>
      </c>
      <c r="AR37">
        <f>OR(AND(IF(Metadata!Q37="",FALSE,TRUE),OR(exact(Metadata!Q37,"not applicable"),exact(Metadata!Q37,"not collected"),exact(Metadata!Q37,"not provided"),exact(Metadata!Q37,"restricted access"))),IF(Metadata!Q37="",FALSE,IF(ISERROR(INT(Metadata!Q37)),FALSE,INT(Metadata!Q37)=Metadata!Q37)))</f>
        <v>0</v>
      </c>
      <c r="AS37">
        <f>AND(IF(Metadata!R37="",FALSE,TRUE),exact(Metadata!R37,"Not applicable"))</f>
        <v>0</v>
      </c>
    </row>
    <row r="38" spans="1:45">
      <c r="A38" s="4">
        <f>IF(B38=" "," ",HYPERLINK(CONCATENATE("#metadata!",ADDRESS(INDEX($X$2:$X$1001,MATCH(ROWS($V$2:V38),$V$2:$V$1001,0),0),2)),INDEX($AA$2:$AA$1001,MATCH(ROWS($V$2:V38),$V$2:$V$1001,0),0)))</f>
        <v>0</v>
      </c>
      <c r="B38" s="5">
        <f>IF(OR(INDEX($W$2:$W$1001,MATCH(ROWS($V$2:V38),$V$2:$V$1001,0),1)&gt;=100000,INDEX($AC$1005:$AS$1005,1,MATCH(COLUMNS($AC$1006:AC1006),$AC$1006:$AS$1006,0))&gt;=100000), " ",IF(INDEX($AC$2:$AS$1001,MATCH(ROWS($V$2:V38),$V$2:$V$1001,0),MATCH(COLUMNS($AC$1006:AC1006),$AC$1006:$AS$1006,0)), HYPERLINK("#",""), HYPERLINK(CONCATENATE("#Metadata!", ADDRESS(INDEX($X$2:$X$1001,MATCH(ROWS($V$2:V38),$V$2:$V$1001,0),0), INDEX($AC$1004:$AS$1004,1,MATCH(COLUMNS($AC$1006:AC1006),$AC$1006:$AS$1006,0)))),"Fix")))</f>
        <v>0</v>
      </c>
      <c r="C38" s="5">
        <f>IF(OR(INDEX($W$2:$W$1001,MATCH(ROWS($V$2:V38),$V$2:$V$1001,0),1)&gt;=100000,INDEX($AC$1005:$AS$1005,1,MATCH(COLUMNS($AC$1006:AD1006),$AC$1006:$AS$1006,0))&gt;=100000), " ",IF(INDEX($AC$2:$AS$1001,MATCH(ROWS($V$2:V38),$V$2:$V$1001,0),MATCH(COLUMNS($AC$1006:AD1006),$AC$1006:$AS$1006,0)), HYPERLINK("#",""), HYPERLINK(CONCATENATE("#Metadata!", ADDRESS(INDEX($X$2:$X$1001,MATCH(ROWS($V$2:V38),$V$2:$V$1001,0),0), INDEX($AC$1004:$AS$1004,1,MATCH(COLUMNS($AC$1006:AD1006),$AC$1006:$AS$1006,0)))),"Fix")))</f>
        <v>0</v>
      </c>
      <c r="D38" s="5">
        <f>IF(OR(INDEX($W$2:$W$1001,MATCH(ROWS($V$2:V38),$V$2:$V$1001,0),1)&gt;=100000,INDEX($AC$1005:$AS$1005,1,MATCH(COLUMNS($AC$1006:AE1006),$AC$1006:$AS$1006,0))&gt;=100000), " ",IF(INDEX($AC$2:$AS$1001,MATCH(ROWS($V$2:V38),$V$2:$V$1001,0),MATCH(COLUMNS($AC$1006:AE1006),$AC$1006:$AS$1006,0)), HYPERLINK("#",""), HYPERLINK(CONCATENATE("#Metadata!", ADDRESS(INDEX($X$2:$X$1001,MATCH(ROWS($V$2:V38),$V$2:$V$1001,0),0), INDEX($AC$1004:$AS$1004,1,MATCH(COLUMNS($AC$1006:AE1006),$AC$1006:$AS$1006,0)))),"Fix")))</f>
        <v>0</v>
      </c>
      <c r="E38" s="5">
        <f>IF(OR(INDEX($W$2:$W$1001,MATCH(ROWS($V$2:V38),$V$2:$V$1001,0),1)&gt;=100000,INDEX($AC$1005:$AS$1005,1,MATCH(COLUMNS($AC$1006:AF1006),$AC$1006:$AS$1006,0))&gt;=100000), " ",IF(INDEX($AC$2:$AS$1001,MATCH(ROWS($V$2:V38),$V$2:$V$1001,0),MATCH(COLUMNS($AC$1006:AF1006),$AC$1006:$AS$1006,0)), HYPERLINK("#",""), HYPERLINK(CONCATENATE("#Metadata!", ADDRESS(INDEX($X$2:$X$1001,MATCH(ROWS($V$2:V38),$V$2:$V$1001,0),0), INDEX($AC$1004:$AS$1004,1,MATCH(COLUMNS($AC$1006:AF1006),$AC$1006:$AS$1006,0)))),"Fix")))</f>
        <v>0</v>
      </c>
      <c r="F38" s="5">
        <f>IF(OR(INDEX($W$2:$W$1001,MATCH(ROWS($V$2:V38),$V$2:$V$1001,0),1)&gt;=100000,INDEX($AC$1005:$AS$1005,1,MATCH(COLUMNS($AC$1006:AG1006),$AC$1006:$AS$1006,0))&gt;=100000), " ",IF(INDEX($AC$2:$AS$1001,MATCH(ROWS($V$2:V38),$V$2:$V$1001,0),MATCH(COLUMNS($AC$1006:AG1006),$AC$1006:$AS$1006,0)), HYPERLINK("#",""), HYPERLINK(CONCATENATE("#Metadata!", ADDRESS(INDEX($X$2:$X$1001,MATCH(ROWS($V$2:V38),$V$2:$V$1001,0),0), INDEX($AC$1004:$AS$1004,1,MATCH(COLUMNS($AC$1006:AG1006),$AC$1006:$AS$1006,0)))),"Fix")))</f>
        <v>0</v>
      </c>
      <c r="G38" s="5">
        <f>IF(OR(INDEX($W$2:$W$1001,MATCH(ROWS($V$2:V38),$V$2:$V$1001,0),1)&gt;=100000,INDEX($AC$1005:$AS$1005,1,MATCH(COLUMNS($AC$1006:AH1006),$AC$1006:$AS$1006,0))&gt;=100000), " ",IF(INDEX($AC$2:$AS$1001,MATCH(ROWS($V$2:V38),$V$2:$V$1001,0),MATCH(COLUMNS($AC$1006:AH1006),$AC$1006:$AS$1006,0)), HYPERLINK("#",""), HYPERLINK(CONCATENATE("#Metadata!", ADDRESS(INDEX($X$2:$X$1001,MATCH(ROWS($V$2:V38),$V$2:$V$1001,0),0), INDEX($AC$1004:$AS$1004,1,MATCH(COLUMNS($AC$1006:AH1006),$AC$1006:$AS$1006,0)))),"Fix")))</f>
        <v>0</v>
      </c>
      <c r="H38" s="5">
        <f>IF(OR(INDEX($W$2:$W$1001,MATCH(ROWS($V$2:V38),$V$2:$V$1001,0),1)&gt;=100000,INDEX($AC$1005:$AS$1005,1,MATCH(COLUMNS($AC$1006:AI1006),$AC$1006:$AS$1006,0))&gt;=100000), " ",IF(INDEX($AC$2:$AS$1001,MATCH(ROWS($V$2:V38),$V$2:$V$1001,0),MATCH(COLUMNS($AC$1006:AI1006),$AC$1006:$AS$1006,0)), HYPERLINK("#",""), HYPERLINK(CONCATENATE("#Metadata!", ADDRESS(INDEX($X$2:$X$1001,MATCH(ROWS($V$2:V38),$V$2:$V$1001,0),0), INDEX($AC$1004:$AS$1004,1,MATCH(COLUMNS($AC$1006:AI1006),$AC$1006:$AS$1006,0)))),"Fix")))</f>
        <v>0</v>
      </c>
      <c r="I38" s="5">
        <f>IF(OR(INDEX($W$2:$W$1001,MATCH(ROWS($V$2:V38),$V$2:$V$1001,0),1)&gt;=100000,INDEX($AC$1005:$AS$1005,1,MATCH(COLUMNS($AC$1006:AJ1006),$AC$1006:$AS$1006,0))&gt;=100000), " ",IF(INDEX($AC$2:$AS$1001,MATCH(ROWS($V$2:V38),$V$2:$V$1001,0),MATCH(COLUMNS($AC$1006:AJ1006),$AC$1006:$AS$1006,0)), HYPERLINK("#",""), HYPERLINK(CONCATENATE("#Metadata!", ADDRESS(INDEX($X$2:$X$1001,MATCH(ROWS($V$2:V38),$V$2:$V$1001,0),0), INDEX($AC$1004:$AS$1004,1,MATCH(COLUMNS($AC$1006:AJ1006),$AC$1006:$AS$1006,0)))),"Fix")))</f>
        <v>0</v>
      </c>
      <c r="J38" s="5">
        <f>IF(OR(INDEX($W$2:$W$1001,MATCH(ROWS($V$2:V38),$V$2:$V$1001,0),1)&gt;=100000,INDEX($AC$1005:$AS$1005,1,MATCH(COLUMNS($AC$1006:AK1006),$AC$1006:$AS$1006,0))&gt;=100000), " ",IF(INDEX($AC$2:$AS$1001,MATCH(ROWS($V$2:V38),$V$2:$V$1001,0),MATCH(COLUMNS($AC$1006:AK1006),$AC$1006:$AS$1006,0)), HYPERLINK("#",""), HYPERLINK(CONCATENATE("#Metadata!", ADDRESS(INDEX($X$2:$X$1001,MATCH(ROWS($V$2:V38),$V$2:$V$1001,0),0), INDEX($AC$1004:$AS$1004,1,MATCH(COLUMNS($AC$1006:AK1006),$AC$1006:$AS$1006,0)))),"Fix")))</f>
        <v>0</v>
      </c>
      <c r="K38" s="5">
        <f>IF(OR(INDEX($W$2:$W$1001,MATCH(ROWS($V$2:V38),$V$2:$V$1001,0),1)&gt;=100000,INDEX($AC$1005:$AS$1005,1,MATCH(COLUMNS($AC$1006:AL1006),$AC$1006:$AS$1006,0))&gt;=100000), " ",IF(INDEX($AC$2:$AS$1001,MATCH(ROWS($V$2:V38),$V$2:$V$1001,0),MATCH(COLUMNS($AC$1006:AL1006),$AC$1006:$AS$1006,0)), HYPERLINK("#",""), HYPERLINK(CONCATENATE("#Metadata!", ADDRESS(INDEX($X$2:$X$1001,MATCH(ROWS($V$2:V38),$V$2:$V$1001,0),0), INDEX($AC$1004:$AS$1004,1,MATCH(COLUMNS($AC$1006:AL1006),$AC$1006:$AS$1006,0)))),"Fix")))</f>
        <v>0</v>
      </c>
      <c r="L38" s="5">
        <f>IF(OR(INDEX($W$2:$W$1001,MATCH(ROWS($V$2:V38),$V$2:$V$1001,0),1)&gt;=100000,INDEX($AC$1005:$AS$1005,1,MATCH(COLUMNS($AC$1006:AM1006),$AC$1006:$AS$1006,0))&gt;=100000), " ",IF(INDEX($AC$2:$AS$1001,MATCH(ROWS($V$2:V38),$V$2:$V$1001,0),MATCH(COLUMNS($AC$1006:AM1006),$AC$1006:$AS$1006,0)), HYPERLINK("#",""), HYPERLINK(CONCATENATE("#Metadata!", ADDRESS(INDEX($X$2:$X$1001,MATCH(ROWS($V$2:V38),$V$2:$V$1001,0),0), INDEX($AC$1004:$AS$1004,1,MATCH(COLUMNS($AC$1006:AM1006),$AC$1006:$AS$1006,0)))),"Fix")))</f>
        <v>0</v>
      </c>
      <c r="M38" s="5">
        <f>IF(OR(INDEX($W$2:$W$1001,MATCH(ROWS($V$2:V38),$V$2:$V$1001,0),1)&gt;=100000,INDEX($AC$1005:$AS$1005,1,MATCH(COLUMNS($AC$1006:AN1006),$AC$1006:$AS$1006,0))&gt;=100000), " ",IF(INDEX($AC$2:$AS$1001,MATCH(ROWS($V$2:V38),$V$2:$V$1001,0),MATCH(COLUMNS($AC$1006:AN1006),$AC$1006:$AS$1006,0)), HYPERLINK("#",""), HYPERLINK(CONCATENATE("#Metadata!", ADDRESS(INDEX($X$2:$X$1001,MATCH(ROWS($V$2:V38),$V$2:$V$1001,0),0), INDEX($AC$1004:$AS$1004,1,MATCH(COLUMNS($AC$1006:AN1006),$AC$1006:$AS$1006,0)))),"Fix")))</f>
        <v>0</v>
      </c>
      <c r="N38" s="5">
        <f>IF(OR(INDEX($W$2:$W$1001,MATCH(ROWS($V$2:V38),$V$2:$V$1001,0),1)&gt;=100000,INDEX($AC$1005:$AS$1005,1,MATCH(COLUMNS($AC$1006:AO1006),$AC$1006:$AS$1006,0))&gt;=100000), " ",IF(INDEX($AC$2:$AS$1001,MATCH(ROWS($V$2:V38),$V$2:$V$1001,0),MATCH(COLUMNS($AC$1006:AO1006),$AC$1006:$AS$1006,0)), HYPERLINK("#",""), HYPERLINK(CONCATENATE("#Metadata!", ADDRESS(INDEX($X$2:$X$1001,MATCH(ROWS($V$2:V38),$V$2:$V$1001,0),0), INDEX($AC$1004:$AS$1004,1,MATCH(COLUMNS($AC$1006:AO1006),$AC$1006:$AS$1006,0)))),"Fix")))</f>
        <v>0</v>
      </c>
      <c r="O38" s="5">
        <f>IF(OR(INDEX($W$2:$W$1001,MATCH(ROWS($V$2:V38),$V$2:$V$1001,0),1)&gt;=100000,INDEX($AC$1005:$AS$1005,1,MATCH(COLUMNS($AC$1006:AP1006),$AC$1006:$AS$1006,0))&gt;=100000), " ",IF(INDEX($AC$2:$AS$1001,MATCH(ROWS($V$2:V38),$V$2:$V$1001,0),MATCH(COLUMNS($AC$1006:AP1006),$AC$1006:$AS$1006,0)), HYPERLINK("#",""), HYPERLINK(CONCATENATE("#Metadata!", ADDRESS(INDEX($X$2:$X$1001,MATCH(ROWS($V$2:V38),$V$2:$V$1001,0),0), INDEX($AC$1004:$AS$1004,1,MATCH(COLUMNS($AC$1006:AP1006),$AC$1006:$AS$1006,0)))),"Fix")))</f>
        <v>0</v>
      </c>
      <c r="P38" s="5">
        <f>IF(OR(INDEX($W$2:$W$1001,MATCH(ROWS($V$2:V38),$V$2:$V$1001,0),1)&gt;=100000,INDEX($AC$1005:$AS$1005,1,MATCH(COLUMNS($AC$1006:AQ1006),$AC$1006:$AS$1006,0))&gt;=100000), " ",IF(INDEX($AC$2:$AS$1001,MATCH(ROWS($V$2:V38),$V$2:$V$1001,0),MATCH(COLUMNS($AC$1006:AQ1006),$AC$1006:$AS$1006,0)), HYPERLINK("#",""), HYPERLINK(CONCATENATE("#Metadata!", ADDRESS(INDEX($X$2:$X$1001,MATCH(ROWS($V$2:V38),$V$2:$V$1001,0),0), INDEX($AC$1004:$AS$1004,1,MATCH(COLUMNS($AC$1006:AQ1006),$AC$1006:$AS$1006,0)))),"Fix")))</f>
        <v>0</v>
      </c>
      <c r="Q38" s="5">
        <f>IF(OR(INDEX($W$2:$W$1001,MATCH(ROWS($V$2:V38),$V$2:$V$1001,0),1)&gt;=100000,INDEX($AC$1005:$AS$1005,1,MATCH(COLUMNS($AC$1006:AR1006),$AC$1006:$AS$1006,0))&gt;=100000), " ",IF(INDEX($AC$2:$AS$1001,MATCH(ROWS($V$2:V38),$V$2:$V$1001,0),MATCH(COLUMNS($AC$1006:AR1006),$AC$1006:$AS$1006,0)), HYPERLINK("#",""), HYPERLINK(CONCATENATE("#Metadata!", ADDRESS(INDEX($X$2:$X$1001,MATCH(ROWS($V$2:V38),$V$2:$V$1001,0),0), INDEX($AC$1004:$AS$1004,1,MATCH(COLUMNS($AC$1006:AR1006),$AC$1006:$AS$1006,0)))),"Fix")))</f>
        <v>0</v>
      </c>
      <c r="R38" s="5">
        <f>IF(OR(INDEX($W$2:$W$1001,MATCH(ROWS($V$2:V38),$V$2:$V$1001,0),1)&gt;=100000,INDEX($AC$1005:$AS$1005,1,MATCH(COLUMNS($AC$1006:AS1006),$AC$1006:$AS$1006,0))&gt;=100000), " ",IF(INDEX($AC$2:$AS$1001,MATCH(ROWS($V$2:V38),$V$2:$V$1001,0),MATCH(COLUMNS($AC$1006:AS1006),$AC$1006:$AS$1006,0)), HYPERLINK("#",""), HYPERLINK(CONCATENATE("#Metadata!", ADDRESS(INDEX($X$2:$X$1001,MATCH(ROWS($V$2:V38),$V$2:$V$1001,0),0), INDEX($AC$1004:$AS$1004,1,MATCH(COLUMNS($AC$1006:AS1006),$AC$1006:$AS$1006,0)))),"Fix")))</f>
        <v>0</v>
      </c>
      <c r="V38">
        <v>0</v>
      </c>
      <c r="W38">
        <v>0</v>
      </c>
      <c r="X38">
        <v>0</v>
      </c>
      <c r="Y38">
        <f>IF(Z38,TRUE,AND(AC38:AS38))</f>
        <v>0</v>
      </c>
      <c r="Z38">
        <f>COUNTBLANK(Metadata!B38:R38)=COLUMNS(Metadata!B38:R38)</f>
        <v>0</v>
      </c>
      <c r="AA38">
        <v>0</v>
      </c>
      <c r="AC38">
        <f>AND(IF(Metadata!B38="",FALSE,TRUE),COUNTIF(Metadata!B:B, Metadata!B38) = 1,NOT(ISERROR(SUMPRODUCT(SEARCH(MID(Metadata!B38,ROW(INDIRECT("1:"&amp;LEN(Metadata!B38))), 1),"0123456789abcdefghijklmnopqrstuvwxyzABCDEFGHIJKLMNOPQRSTUVWXYZ.")))))</f>
        <v>0</v>
      </c>
      <c r="AD38">
        <f>AND(IF(Metadata!C38="",FALSE,TRUE),exact(Metadata!C38,"Host-associated"))</f>
        <v>0</v>
      </c>
      <c r="AE38">
        <f>AND(IF(Metadata!D38="",FALSE,TRUE),OR(exact(Metadata!D38,"Animal"),exact(Metadata!D38,"Fungus"),exact(Metadata!D38,"Plant")))</f>
        <v>0</v>
      </c>
      <c r="AF38">
        <f>AND(IF(Metadata!E38="",FALSE,TRUE),OR(exact(Metadata!E38,"Plant secretion"),exact(Metadata!E38,"Plant rhizosphere"),exact(Metadata!E38,"Plant surface"),exact(Metadata!E38,"Plant corpus"),exact(Metadata!E38,"Fungus surface"),exact(Metadata!E38,"Fungus corpus"),exact(Metadata!E38,"Animal surface"),exact(Metadata!E38,"Animal proximal gut"),exact(Metadata!E38,"Animal corpus"),exact(Metadata!E38,"Animal distal gut"),exact(Metadata!E38,"Animal secretion")))</f>
        <v>0</v>
      </c>
      <c r="AG38">
        <f>OR(AND(IF(Metadata!F38="",FALSE,TRUE),OR(exact(Metadata!F38,"not collected"),exact(Metadata!F38,"not provided"),exact(Metadata!F38,"restricted access"))),AND(IF(Metadata!F38="",FALSE,TRUE),OR(exact(Metadata!F38,"organism-associated habitat"),exact(Metadata!F38,"plant-associated habitat"),exact(Metadata!F38,"animal-associated habitat"),exact(Metadata!F38,"insecta-associated habitat"),exact(Metadata!F38,"mammalia-associated habitat"),exact(Metadata!F38,"human-associated habitat"),exact(Metadata!F38,"livestock-associated habitat"))))</f>
        <v>0</v>
      </c>
      <c r="AH38">
        <f>AND(IF(Metadata!G38="",FALSE,TRUE),exact(Metadata!G38,"host-associated"))</f>
        <v>0</v>
      </c>
      <c r="AI38">
        <f>OR(AND(IF(Metadata!H38="",FALSE,TRUE),OR(exact(Metadata!H38,"not collected"),exact(Metadata!H38,"not provided"))),AND(IF(Metadata!H38="",FALSE,ISNUMBER(VALUE(Metadata!H38))),Metadata!H38&gt;0))</f>
        <v>0</v>
      </c>
      <c r="AJ38">
        <f>AND(IF(Metadata!I38="",FALSE,TRUE),exact(Metadata!I38,"years"))</f>
        <v>0</v>
      </c>
      <c r="AK38">
        <f>IF(Metadata!J38="",FALSE,TRUE)</f>
        <v>0</v>
      </c>
      <c r="AL38">
        <f>OR(AND(IF(Metadata!K38="",FALSE,TRUE),OR(exact(Metadata!K38,"not collected"),exact(Metadata!K38,"not provided"))),AND(IF(Metadata!K38="",FALSE,ISNUMBER(VALUE(Metadata!K38))),Metadata!K38&gt;0))</f>
        <v>0</v>
      </c>
      <c r="AM38">
        <f>AND(IF(Metadata!L38="",FALSE,TRUE),exact(Metadata!L38,"cm"))</f>
        <v>0</v>
      </c>
      <c r="AN38">
        <f>IF(Metadata!M38="",FALSE,TRUE)</f>
        <v>0</v>
      </c>
      <c r="AO38">
        <f>OR(AND(IF(Metadata!N38="",FALSE,TRUE),OR(exact(Metadata!N38,"not applicable"),exact(Metadata!N38,"not collected"),exact(Metadata!N38,"not provided"))),AND(IF(Metadata!N38="",FALSE,IF(ISERROR(INT(Metadata!N38)),FALSE,INT(Metadata!N38)=Metadata!N38)),Metadata!N38&gt;0))</f>
        <v>0</v>
      </c>
      <c r="AP38">
        <f>OR(AND(IF(Metadata!O38="",FALSE,TRUE),OR(exact(Metadata!O38,"not collected"),exact(Metadata!O38,"not provided"))),AND(IF(Metadata!O38="",FALSE,ISNUMBER(VALUE(Metadata!O38))),Metadata!O38&gt;0))</f>
        <v>0</v>
      </c>
      <c r="AQ38">
        <f>AND(IF(Metadata!P38="",FALSE,TRUE),exact(Metadata!P38,"kg"))</f>
        <v>0</v>
      </c>
      <c r="AR38">
        <f>OR(AND(IF(Metadata!Q38="",FALSE,TRUE),OR(exact(Metadata!Q38,"not applicable"),exact(Metadata!Q38,"not collected"),exact(Metadata!Q38,"not provided"),exact(Metadata!Q38,"restricted access"))),IF(Metadata!Q38="",FALSE,IF(ISERROR(INT(Metadata!Q38)),FALSE,INT(Metadata!Q38)=Metadata!Q38)))</f>
        <v>0</v>
      </c>
      <c r="AS38">
        <f>AND(IF(Metadata!R38="",FALSE,TRUE),exact(Metadata!R38,"Not applicable"))</f>
        <v>0</v>
      </c>
    </row>
    <row r="39" spans="1:45">
      <c r="A39" s="4">
        <f>IF(B39=" "," ",HYPERLINK(CONCATENATE("#metadata!",ADDRESS(INDEX($X$2:$X$1001,MATCH(ROWS($V$2:V39),$V$2:$V$1001,0),0),2)),INDEX($AA$2:$AA$1001,MATCH(ROWS($V$2:V39),$V$2:$V$1001,0),0)))</f>
        <v>0</v>
      </c>
      <c r="B39" s="5">
        <f>IF(OR(INDEX($W$2:$W$1001,MATCH(ROWS($V$2:V39),$V$2:$V$1001,0),1)&gt;=100000,INDEX($AC$1005:$AS$1005,1,MATCH(COLUMNS($AC$1006:AC1006),$AC$1006:$AS$1006,0))&gt;=100000), " ",IF(INDEX($AC$2:$AS$1001,MATCH(ROWS($V$2:V39),$V$2:$V$1001,0),MATCH(COLUMNS($AC$1006:AC1006),$AC$1006:$AS$1006,0)), HYPERLINK("#",""), HYPERLINK(CONCATENATE("#Metadata!", ADDRESS(INDEX($X$2:$X$1001,MATCH(ROWS($V$2:V39),$V$2:$V$1001,0),0), INDEX($AC$1004:$AS$1004,1,MATCH(COLUMNS($AC$1006:AC1006),$AC$1006:$AS$1006,0)))),"Fix")))</f>
        <v>0</v>
      </c>
      <c r="C39" s="5">
        <f>IF(OR(INDEX($W$2:$W$1001,MATCH(ROWS($V$2:V39),$V$2:$V$1001,0),1)&gt;=100000,INDEX($AC$1005:$AS$1005,1,MATCH(COLUMNS($AC$1006:AD1006),$AC$1006:$AS$1006,0))&gt;=100000), " ",IF(INDEX($AC$2:$AS$1001,MATCH(ROWS($V$2:V39),$V$2:$V$1001,0),MATCH(COLUMNS($AC$1006:AD1006),$AC$1006:$AS$1006,0)), HYPERLINK("#",""), HYPERLINK(CONCATENATE("#Metadata!", ADDRESS(INDEX($X$2:$X$1001,MATCH(ROWS($V$2:V39),$V$2:$V$1001,0),0), INDEX($AC$1004:$AS$1004,1,MATCH(COLUMNS($AC$1006:AD1006),$AC$1006:$AS$1006,0)))),"Fix")))</f>
        <v>0</v>
      </c>
      <c r="D39" s="5">
        <f>IF(OR(INDEX($W$2:$W$1001,MATCH(ROWS($V$2:V39),$V$2:$V$1001,0),1)&gt;=100000,INDEX($AC$1005:$AS$1005,1,MATCH(COLUMNS($AC$1006:AE1006),$AC$1006:$AS$1006,0))&gt;=100000), " ",IF(INDEX($AC$2:$AS$1001,MATCH(ROWS($V$2:V39),$V$2:$V$1001,0),MATCH(COLUMNS($AC$1006:AE1006),$AC$1006:$AS$1006,0)), HYPERLINK("#",""), HYPERLINK(CONCATENATE("#Metadata!", ADDRESS(INDEX($X$2:$X$1001,MATCH(ROWS($V$2:V39),$V$2:$V$1001,0),0), INDEX($AC$1004:$AS$1004,1,MATCH(COLUMNS($AC$1006:AE1006),$AC$1006:$AS$1006,0)))),"Fix")))</f>
        <v>0</v>
      </c>
      <c r="E39" s="5">
        <f>IF(OR(INDEX($W$2:$W$1001,MATCH(ROWS($V$2:V39),$V$2:$V$1001,0),1)&gt;=100000,INDEX($AC$1005:$AS$1005,1,MATCH(COLUMNS($AC$1006:AF1006),$AC$1006:$AS$1006,0))&gt;=100000), " ",IF(INDEX($AC$2:$AS$1001,MATCH(ROWS($V$2:V39),$V$2:$V$1001,0),MATCH(COLUMNS($AC$1006:AF1006),$AC$1006:$AS$1006,0)), HYPERLINK("#",""), HYPERLINK(CONCATENATE("#Metadata!", ADDRESS(INDEX($X$2:$X$1001,MATCH(ROWS($V$2:V39),$V$2:$V$1001,0),0), INDEX($AC$1004:$AS$1004,1,MATCH(COLUMNS($AC$1006:AF1006),$AC$1006:$AS$1006,0)))),"Fix")))</f>
        <v>0</v>
      </c>
      <c r="F39" s="5">
        <f>IF(OR(INDEX($W$2:$W$1001,MATCH(ROWS($V$2:V39),$V$2:$V$1001,0),1)&gt;=100000,INDEX($AC$1005:$AS$1005,1,MATCH(COLUMNS($AC$1006:AG1006),$AC$1006:$AS$1006,0))&gt;=100000), " ",IF(INDEX($AC$2:$AS$1001,MATCH(ROWS($V$2:V39),$V$2:$V$1001,0),MATCH(COLUMNS($AC$1006:AG1006),$AC$1006:$AS$1006,0)), HYPERLINK("#",""), HYPERLINK(CONCATENATE("#Metadata!", ADDRESS(INDEX($X$2:$X$1001,MATCH(ROWS($V$2:V39),$V$2:$V$1001,0),0), INDEX($AC$1004:$AS$1004,1,MATCH(COLUMNS($AC$1006:AG1006),$AC$1006:$AS$1006,0)))),"Fix")))</f>
        <v>0</v>
      </c>
      <c r="G39" s="5">
        <f>IF(OR(INDEX($W$2:$W$1001,MATCH(ROWS($V$2:V39),$V$2:$V$1001,0),1)&gt;=100000,INDEX($AC$1005:$AS$1005,1,MATCH(COLUMNS($AC$1006:AH1006),$AC$1006:$AS$1006,0))&gt;=100000), " ",IF(INDEX($AC$2:$AS$1001,MATCH(ROWS($V$2:V39),$V$2:$V$1001,0),MATCH(COLUMNS($AC$1006:AH1006),$AC$1006:$AS$1006,0)), HYPERLINK("#",""), HYPERLINK(CONCATENATE("#Metadata!", ADDRESS(INDEX($X$2:$X$1001,MATCH(ROWS($V$2:V39),$V$2:$V$1001,0),0), INDEX($AC$1004:$AS$1004,1,MATCH(COLUMNS($AC$1006:AH1006),$AC$1006:$AS$1006,0)))),"Fix")))</f>
        <v>0</v>
      </c>
      <c r="H39" s="5">
        <f>IF(OR(INDEX($W$2:$W$1001,MATCH(ROWS($V$2:V39),$V$2:$V$1001,0),1)&gt;=100000,INDEX($AC$1005:$AS$1005,1,MATCH(COLUMNS($AC$1006:AI1006),$AC$1006:$AS$1006,0))&gt;=100000), " ",IF(INDEX($AC$2:$AS$1001,MATCH(ROWS($V$2:V39),$V$2:$V$1001,0),MATCH(COLUMNS($AC$1006:AI1006),$AC$1006:$AS$1006,0)), HYPERLINK("#",""), HYPERLINK(CONCATENATE("#Metadata!", ADDRESS(INDEX($X$2:$X$1001,MATCH(ROWS($V$2:V39),$V$2:$V$1001,0),0), INDEX($AC$1004:$AS$1004,1,MATCH(COLUMNS($AC$1006:AI1006),$AC$1006:$AS$1006,0)))),"Fix")))</f>
        <v>0</v>
      </c>
      <c r="I39" s="5">
        <f>IF(OR(INDEX($W$2:$W$1001,MATCH(ROWS($V$2:V39),$V$2:$V$1001,0),1)&gt;=100000,INDEX($AC$1005:$AS$1005,1,MATCH(COLUMNS($AC$1006:AJ1006),$AC$1006:$AS$1006,0))&gt;=100000), " ",IF(INDEX($AC$2:$AS$1001,MATCH(ROWS($V$2:V39),$V$2:$V$1001,0),MATCH(COLUMNS($AC$1006:AJ1006),$AC$1006:$AS$1006,0)), HYPERLINK("#",""), HYPERLINK(CONCATENATE("#Metadata!", ADDRESS(INDEX($X$2:$X$1001,MATCH(ROWS($V$2:V39),$V$2:$V$1001,0),0), INDEX($AC$1004:$AS$1004,1,MATCH(COLUMNS($AC$1006:AJ1006),$AC$1006:$AS$1006,0)))),"Fix")))</f>
        <v>0</v>
      </c>
      <c r="J39" s="5">
        <f>IF(OR(INDEX($W$2:$W$1001,MATCH(ROWS($V$2:V39),$V$2:$V$1001,0),1)&gt;=100000,INDEX($AC$1005:$AS$1005,1,MATCH(COLUMNS($AC$1006:AK1006),$AC$1006:$AS$1006,0))&gt;=100000), " ",IF(INDEX($AC$2:$AS$1001,MATCH(ROWS($V$2:V39),$V$2:$V$1001,0),MATCH(COLUMNS($AC$1006:AK1006),$AC$1006:$AS$1006,0)), HYPERLINK("#",""), HYPERLINK(CONCATENATE("#Metadata!", ADDRESS(INDEX($X$2:$X$1001,MATCH(ROWS($V$2:V39),$V$2:$V$1001,0),0), INDEX($AC$1004:$AS$1004,1,MATCH(COLUMNS($AC$1006:AK1006),$AC$1006:$AS$1006,0)))),"Fix")))</f>
        <v>0</v>
      </c>
      <c r="K39" s="5">
        <f>IF(OR(INDEX($W$2:$W$1001,MATCH(ROWS($V$2:V39),$V$2:$V$1001,0),1)&gt;=100000,INDEX($AC$1005:$AS$1005,1,MATCH(COLUMNS($AC$1006:AL1006),$AC$1006:$AS$1006,0))&gt;=100000), " ",IF(INDEX($AC$2:$AS$1001,MATCH(ROWS($V$2:V39),$V$2:$V$1001,0),MATCH(COLUMNS($AC$1006:AL1006),$AC$1006:$AS$1006,0)), HYPERLINK("#",""), HYPERLINK(CONCATENATE("#Metadata!", ADDRESS(INDEX($X$2:$X$1001,MATCH(ROWS($V$2:V39),$V$2:$V$1001,0),0), INDEX($AC$1004:$AS$1004,1,MATCH(COLUMNS($AC$1006:AL1006),$AC$1006:$AS$1006,0)))),"Fix")))</f>
        <v>0</v>
      </c>
      <c r="L39" s="5">
        <f>IF(OR(INDEX($W$2:$W$1001,MATCH(ROWS($V$2:V39),$V$2:$V$1001,0),1)&gt;=100000,INDEX($AC$1005:$AS$1005,1,MATCH(COLUMNS($AC$1006:AM1006),$AC$1006:$AS$1006,0))&gt;=100000), " ",IF(INDEX($AC$2:$AS$1001,MATCH(ROWS($V$2:V39),$V$2:$V$1001,0),MATCH(COLUMNS($AC$1006:AM1006),$AC$1006:$AS$1006,0)), HYPERLINK("#",""), HYPERLINK(CONCATENATE("#Metadata!", ADDRESS(INDEX($X$2:$X$1001,MATCH(ROWS($V$2:V39),$V$2:$V$1001,0),0), INDEX($AC$1004:$AS$1004,1,MATCH(COLUMNS($AC$1006:AM1006),$AC$1006:$AS$1006,0)))),"Fix")))</f>
        <v>0</v>
      </c>
      <c r="M39" s="5">
        <f>IF(OR(INDEX($W$2:$W$1001,MATCH(ROWS($V$2:V39),$V$2:$V$1001,0),1)&gt;=100000,INDEX($AC$1005:$AS$1005,1,MATCH(COLUMNS($AC$1006:AN1006),$AC$1006:$AS$1006,0))&gt;=100000), " ",IF(INDEX($AC$2:$AS$1001,MATCH(ROWS($V$2:V39),$V$2:$V$1001,0),MATCH(COLUMNS($AC$1006:AN1006),$AC$1006:$AS$1006,0)), HYPERLINK("#",""), HYPERLINK(CONCATENATE("#Metadata!", ADDRESS(INDEX($X$2:$X$1001,MATCH(ROWS($V$2:V39),$V$2:$V$1001,0),0), INDEX($AC$1004:$AS$1004,1,MATCH(COLUMNS($AC$1006:AN1006),$AC$1006:$AS$1006,0)))),"Fix")))</f>
        <v>0</v>
      </c>
      <c r="N39" s="5">
        <f>IF(OR(INDEX($W$2:$W$1001,MATCH(ROWS($V$2:V39),$V$2:$V$1001,0),1)&gt;=100000,INDEX($AC$1005:$AS$1005,1,MATCH(COLUMNS($AC$1006:AO1006),$AC$1006:$AS$1006,0))&gt;=100000), " ",IF(INDEX($AC$2:$AS$1001,MATCH(ROWS($V$2:V39),$V$2:$V$1001,0),MATCH(COLUMNS($AC$1006:AO1006),$AC$1006:$AS$1006,0)), HYPERLINK("#",""), HYPERLINK(CONCATENATE("#Metadata!", ADDRESS(INDEX($X$2:$X$1001,MATCH(ROWS($V$2:V39),$V$2:$V$1001,0),0), INDEX($AC$1004:$AS$1004,1,MATCH(COLUMNS($AC$1006:AO1006),$AC$1006:$AS$1006,0)))),"Fix")))</f>
        <v>0</v>
      </c>
      <c r="O39" s="5">
        <f>IF(OR(INDEX($W$2:$W$1001,MATCH(ROWS($V$2:V39),$V$2:$V$1001,0),1)&gt;=100000,INDEX($AC$1005:$AS$1005,1,MATCH(COLUMNS($AC$1006:AP1006),$AC$1006:$AS$1006,0))&gt;=100000), " ",IF(INDEX($AC$2:$AS$1001,MATCH(ROWS($V$2:V39),$V$2:$V$1001,0),MATCH(COLUMNS($AC$1006:AP1006),$AC$1006:$AS$1006,0)), HYPERLINK("#",""), HYPERLINK(CONCATENATE("#Metadata!", ADDRESS(INDEX($X$2:$X$1001,MATCH(ROWS($V$2:V39),$V$2:$V$1001,0),0), INDEX($AC$1004:$AS$1004,1,MATCH(COLUMNS($AC$1006:AP1006),$AC$1006:$AS$1006,0)))),"Fix")))</f>
        <v>0</v>
      </c>
      <c r="P39" s="5">
        <f>IF(OR(INDEX($W$2:$W$1001,MATCH(ROWS($V$2:V39),$V$2:$V$1001,0),1)&gt;=100000,INDEX($AC$1005:$AS$1005,1,MATCH(COLUMNS($AC$1006:AQ1006),$AC$1006:$AS$1006,0))&gt;=100000), " ",IF(INDEX($AC$2:$AS$1001,MATCH(ROWS($V$2:V39),$V$2:$V$1001,0),MATCH(COLUMNS($AC$1006:AQ1006),$AC$1006:$AS$1006,0)), HYPERLINK("#",""), HYPERLINK(CONCATENATE("#Metadata!", ADDRESS(INDEX($X$2:$X$1001,MATCH(ROWS($V$2:V39),$V$2:$V$1001,0),0), INDEX($AC$1004:$AS$1004,1,MATCH(COLUMNS($AC$1006:AQ1006),$AC$1006:$AS$1006,0)))),"Fix")))</f>
        <v>0</v>
      </c>
      <c r="Q39" s="5">
        <f>IF(OR(INDEX($W$2:$W$1001,MATCH(ROWS($V$2:V39),$V$2:$V$1001,0),1)&gt;=100000,INDEX($AC$1005:$AS$1005,1,MATCH(COLUMNS($AC$1006:AR1006),$AC$1006:$AS$1006,0))&gt;=100000), " ",IF(INDEX($AC$2:$AS$1001,MATCH(ROWS($V$2:V39),$V$2:$V$1001,0),MATCH(COLUMNS($AC$1006:AR1006),$AC$1006:$AS$1006,0)), HYPERLINK("#",""), HYPERLINK(CONCATENATE("#Metadata!", ADDRESS(INDEX($X$2:$X$1001,MATCH(ROWS($V$2:V39),$V$2:$V$1001,0),0), INDEX($AC$1004:$AS$1004,1,MATCH(COLUMNS($AC$1006:AR1006),$AC$1006:$AS$1006,0)))),"Fix")))</f>
        <v>0</v>
      </c>
      <c r="R39" s="5">
        <f>IF(OR(INDEX($W$2:$W$1001,MATCH(ROWS($V$2:V39),$V$2:$V$1001,0),1)&gt;=100000,INDEX($AC$1005:$AS$1005,1,MATCH(COLUMNS($AC$1006:AS1006),$AC$1006:$AS$1006,0))&gt;=100000), " ",IF(INDEX($AC$2:$AS$1001,MATCH(ROWS($V$2:V39),$V$2:$V$1001,0),MATCH(COLUMNS($AC$1006:AS1006),$AC$1006:$AS$1006,0)), HYPERLINK("#",""), HYPERLINK(CONCATENATE("#Metadata!", ADDRESS(INDEX($X$2:$X$1001,MATCH(ROWS($V$2:V39),$V$2:$V$1001,0),0), INDEX($AC$1004:$AS$1004,1,MATCH(COLUMNS($AC$1006:AS1006),$AC$1006:$AS$1006,0)))),"Fix")))</f>
        <v>0</v>
      </c>
      <c r="V39">
        <v>0</v>
      </c>
      <c r="W39">
        <v>0</v>
      </c>
      <c r="X39">
        <v>0</v>
      </c>
      <c r="Y39">
        <f>IF(Z39,TRUE,AND(AC39:AS39))</f>
        <v>0</v>
      </c>
      <c r="Z39">
        <f>COUNTBLANK(Metadata!B39:R39)=COLUMNS(Metadata!B39:R39)</f>
        <v>0</v>
      </c>
      <c r="AA39">
        <v>0</v>
      </c>
      <c r="AC39">
        <f>AND(IF(Metadata!B39="",FALSE,TRUE),COUNTIF(Metadata!B:B, Metadata!B39) = 1,NOT(ISERROR(SUMPRODUCT(SEARCH(MID(Metadata!B39,ROW(INDIRECT("1:"&amp;LEN(Metadata!B39))), 1),"0123456789abcdefghijklmnopqrstuvwxyzABCDEFGHIJKLMNOPQRSTUVWXYZ.")))))</f>
        <v>0</v>
      </c>
      <c r="AD39">
        <f>AND(IF(Metadata!C39="",FALSE,TRUE),exact(Metadata!C39,"Host-associated"))</f>
        <v>0</v>
      </c>
      <c r="AE39">
        <f>AND(IF(Metadata!D39="",FALSE,TRUE),OR(exact(Metadata!D39,"Animal"),exact(Metadata!D39,"Fungus"),exact(Metadata!D39,"Plant")))</f>
        <v>0</v>
      </c>
      <c r="AF39">
        <f>AND(IF(Metadata!E39="",FALSE,TRUE),OR(exact(Metadata!E39,"Plant secretion"),exact(Metadata!E39,"Plant rhizosphere"),exact(Metadata!E39,"Plant surface"),exact(Metadata!E39,"Plant corpus"),exact(Metadata!E39,"Fungus surface"),exact(Metadata!E39,"Fungus corpus"),exact(Metadata!E39,"Animal surface"),exact(Metadata!E39,"Animal proximal gut"),exact(Metadata!E39,"Animal corpus"),exact(Metadata!E39,"Animal distal gut"),exact(Metadata!E39,"Animal secretion")))</f>
        <v>0</v>
      </c>
      <c r="AG39">
        <f>OR(AND(IF(Metadata!F39="",FALSE,TRUE),OR(exact(Metadata!F39,"not collected"),exact(Metadata!F39,"not provided"),exact(Metadata!F39,"restricted access"))),AND(IF(Metadata!F39="",FALSE,TRUE),OR(exact(Metadata!F39,"organism-associated habitat"),exact(Metadata!F39,"plant-associated habitat"),exact(Metadata!F39,"animal-associated habitat"),exact(Metadata!F39,"insecta-associated habitat"),exact(Metadata!F39,"mammalia-associated habitat"),exact(Metadata!F39,"human-associated habitat"),exact(Metadata!F39,"livestock-associated habitat"))))</f>
        <v>0</v>
      </c>
      <c r="AH39">
        <f>AND(IF(Metadata!G39="",FALSE,TRUE),exact(Metadata!G39,"host-associated"))</f>
        <v>0</v>
      </c>
      <c r="AI39">
        <f>OR(AND(IF(Metadata!H39="",FALSE,TRUE),OR(exact(Metadata!H39,"not collected"),exact(Metadata!H39,"not provided"))),AND(IF(Metadata!H39="",FALSE,ISNUMBER(VALUE(Metadata!H39))),Metadata!H39&gt;0))</f>
        <v>0</v>
      </c>
      <c r="AJ39">
        <f>AND(IF(Metadata!I39="",FALSE,TRUE),exact(Metadata!I39,"years"))</f>
        <v>0</v>
      </c>
      <c r="AK39">
        <f>IF(Metadata!J39="",FALSE,TRUE)</f>
        <v>0</v>
      </c>
      <c r="AL39">
        <f>OR(AND(IF(Metadata!K39="",FALSE,TRUE),OR(exact(Metadata!K39,"not collected"),exact(Metadata!K39,"not provided"))),AND(IF(Metadata!K39="",FALSE,ISNUMBER(VALUE(Metadata!K39))),Metadata!K39&gt;0))</f>
        <v>0</v>
      </c>
      <c r="AM39">
        <f>AND(IF(Metadata!L39="",FALSE,TRUE),exact(Metadata!L39,"cm"))</f>
        <v>0</v>
      </c>
      <c r="AN39">
        <f>IF(Metadata!M39="",FALSE,TRUE)</f>
        <v>0</v>
      </c>
      <c r="AO39">
        <f>OR(AND(IF(Metadata!N39="",FALSE,TRUE),OR(exact(Metadata!N39,"not applicable"),exact(Metadata!N39,"not collected"),exact(Metadata!N39,"not provided"))),AND(IF(Metadata!N39="",FALSE,IF(ISERROR(INT(Metadata!N39)),FALSE,INT(Metadata!N39)=Metadata!N39)),Metadata!N39&gt;0))</f>
        <v>0</v>
      </c>
      <c r="AP39">
        <f>OR(AND(IF(Metadata!O39="",FALSE,TRUE),OR(exact(Metadata!O39,"not collected"),exact(Metadata!O39,"not provided"))),AND(IF(Metadata!O39="",FALSE,ISNUMBER(VALUE(Metadata!O39))),Metadata!O39&gt;0))</f>
        <v>0</v>
      </c>
      <c r="AQ39">
        <f>AND(IF(Metadata!P39="",FALSE,TRUE),exact(Metadata!P39,"kg"))</f>
        <v>0</v>
      </c>
      <c r="AR39">
        <f>OR(AND(IF(Metadata!Q39="",FALSE,TRUE),OR(exact(Metadata!Q39,"not applicable"),exact(Metadata!Q39,"not collected"),exact(Metadata!Q39,"not provided"),exact(Metadata!Q39,"restricted access"))),IF(Metadata!Q39="",FALSE,IF(ISERROR(INT(Metadata!Q39)),FALSE,INT(Metadata!Q39)=Metadata!Q39)))</f>
        <v>0</v>
      </c>
      <c r="AS39">
        <f>AND(IF(Metadata!R39="",FALSE,TRUE),exact(Metadata!R39,"Not applicable"))</f>
        <v>0</v>
      </c>
    </row>
    <row r="40" spans="1:45">
      <c r="A40" s="4">
        <f>IF(B40=" "," ",HYPERLINK(CONCATENATE("#metadata!",ADDRESS(INDEX($X$2:$X$1001,MATCH(ROWS($V$2:V40),$V$2:$V$1001,0),0),2)),INDEX($AA$2:$AA$1001,MATCH(ROWS($V$2:V40),$V$2:$V$1001,0),0)))</f>
        <v>0</v>
      </c>
      <c r="B40" s="5">
        <f>IF(OR(INDEX($W$2:$W$1001,MATCH(ROWS($V$2:V40),$V$2:$V$1001,0),1)&gt;=100000,INDEX($AC$1005:$AS$1005,1,MATCH(COLUMNS($AC$1006:AC1006),$AC$1006:$AS$1006,0))&gt;=100000), " ",IF(INDEX($AC$2:$AS$1001,MATCH(ROWS($V$2:V40),$V$2:$V$1001,0),MATCH(COLUMNS($AC$1006:AC1006),$AC$1006:$AS$1006,0)), HYPERLINK("#",""), HYPERLINK(CONCATENATE("#Metadata!", ADDRESS(INDEX($X$2:$X$1001,MATCH(ROWS($V$2:V40),$V$2:$V$1001,0),0), INDEX($AC$1004:$AS$1004,1,MATCH(COLUMNS($AC$1006:AC1006),$AC$1006:$AS$1006,0)))),"Fix")))</f>
        <v>0</v>
      </c>
      <c r="C40" s="5">
        <f>IF(OR(INDEX($W$2:$W$1001,MATCH(ROWS($V$2:V40),$V$2:$V$1001,0),1)&gt;=100000,INDEX($AC$1005:$AS$1005,1,MATCH(COLUMNS($AC$1006:AD1006),$AC$1006:$AS$1006,0))&gt;=100000), " ",IF(INDEX($AC$2:$AS$1001,MATCH(ROWS($V$2:V40),$V$2:$V$1001,0),MATCH(COLUMNS($AC$1006:AD1006),$AC$1006:$AS$1006,0)), HYPERLINK("#",""), HYPERLINK(CONCATENATE("#Metadata!", ADDRESS(INDEX($X$2:$X$1001,MATCH(ROWS($V$2:V40),$V$2:$V$1001,0),0), INDEX($AC$1004:$AS$1004,1,MATCH(COLUMNS($AC$1006:AD1006),$AC$1006:$AS$1006,0)))),"Fix")))</f>
        <v>0</v>
      </c>
      <c r="D40" s="5">
        <f>IF(OR(INDEX($W$2:$W$1001,MATCH(ROWS($V$2:V40),$V$2:$V$1001,0),1)&gt;=100000,INDEX($AC$1005:$AS$1005,1,MATCH(COLUMNS($AC$1006:AE1006),$AC$1006:$AS$1006,0))&gt;=100000), " ",IF(INDEX($AC$2:$AS$1001,MATCH(ROWS($V$2:V40),$V$2:$V$1001,0),MATCH(COLUMNS($AC$1006:AE1006),$AC$1006:$AS$1006,0)), HYPERLINK("#",""), HYPERLINK(CONCATENATE("#Metadata!", ADDRESS(INDEX($X$2:$X$1001,MATCH(ROWS($V$2:V40),$V$2:$V$1001,0),0), INDEX($AC$1004:$AS$1004,1,MATCH(COLUMNS($AC$1006:AE1006),$AC$1006:$AS$1006,0)))),"Fix")))</f>
        <v>0</v>
      </c>
      <c r="E40" s="5">
        <f>IF(OR(INDEX($W$2:$W$1001,MATCH(ROWS($V$2:V40),$V$2:$V$1001,0),1)&gt;=100000,INDEX($AC$1005:$AS$1005,1,MATCH(COLUMNS($AC$1006:AF1006),$AC$1006:$AS$1006,0))&gt;=100000), " ",IF(INDEX($AC$2:$AS$1001,MATCH(ROWS($V$2:V40),$V$2:$V$1001,0),MATCH(COLUMNS($AC$1006:AF1006),$AC$1006:$AS$1006,0)), HYPERLINK("#",""), HYPERLINK(CONCATENATE("#Metadata!", ADDRESS(INDEX($X$2:$X$1001,MATCH(ROWS($V$2:V40),$V$2:$V$1001,0),0), INDEX($AC$1004:$AS$1004,1,MATCH(COLUMNS($AC$1006:AF1006),$AC$1006:$AS$1006,0)))),"Fix")))</f>
        <v>0</v>
      </c>
      <c r="F40" s="5">
        <f>IF(OR(INDEX($W$2:$W$1001,MATCH(ROWS($V$2:V40),$V$2:$V$1001,0),1)&gt;=100000,INDEX($AC$1005:$AS$1005,1,MATCH(COLUMNS($AC$1006:AG1006),$AC$1006:$AS$1006,0))&gt;=100000), " ",IF(INDEX($AC$2:$AS$1001,MATCH(ROWS($V$2:V40),$V$2:$V$1001,0),MATCH(COLUMNS($AC$1006:AG1006),$AC$1006:$AS$1006,0)), HYPERLINK("#",""), HYPERLINK(CONCATENATE("#Metadata!", ADDRESS(INDEX($X$2:$X$1001,MATCH(ROWS($V$2:V40),$V$2:$V$1001,0),0), INDEX($AC$1004:$AS$1004,1,MATCH(COLUMNS($AC$1006:AG1006),$AC$1006:$AS$1006,0)))),"Fix")))</f>
        <v>0</v>
      </c>
      <c r="G40" s="5">
        <f>IF(OR(INDEX($W$2:$W$1001,MATCH(ROWS($V$2:V40),$V$2:$V$1001,0),1)&gt;=100000,INDEX($AC$1005:$AS$1005,1,MATCH(COLUMNS($AC$1006:AH1006),$AC$1006:$AS$1006,0))&gt;=100000), " ",IF(INDEX($AC$2:$AS$1001,MATCH(ROWS($V$2:V40),$V$2:$V$1001,0),MATCH(COLUMNS($AC$1006:AH1006),$AC$1006:$AS$1006,0)), HYPERLINK("#",""), HYPERLINK(CONCATENATE("#Metadata!", ADDRESS(INDEX($X$2:$X$1001,MATCH(ROWS($V$2:V40),$V$2:$V$1001,0),0), INDEX($AC$1004:$AS$1004,1,MATCH(COLUMNS($AC$1006:AH1006),$AC$1006:$AS$1006,0)))),"Fix")))</f>
        <v>0</v>
      </c>
      <c r="H40" s="5">
        <f>IF(OR(INDEX($W$2:$W$1001,MATCH(ROWS($V$2:V40),$V$2:$V$1001,0),1)&gt;=100000,INDEX($AC$1005:$AS$1005,1,MATCH(COLUMNS($AC$1006:AI1006),$AC$1006:$AS$1006,0))&gt;=100000), " ",IF(INDEX($AC$2:$AS$1001,MATCH(ROWS($V$2:V40),$V$2:$V$1001,0),MATCH(COLUMNS($AC$1006:AI1006),$AC$1006:$AS$1006,0)), HYPERLINK("#",""), HYPERLINK(CONCATENATE("#Metadata!", ADDRESS(INDEX($X$2:$X$1001,MATCH(ROWS($V$2:V40),$V$2:$V$1001,0),0), INDEX($AC$1004:$AS$1004,1,MATCH(COLUMNS($AC$1006:AI1006),$AC$1006:$AS$1006,0)))),"Fix")))</f>
        <v>0</v>
      </c>
      <c r="I40" s="5">
        <f>IF(OR(INDEX($W$2:$W$1001,MATCH(ROWS($V$2:V40),$V$2:$V$1001,0),1)&gt;=100000,INDEX($AC$1005:$AS$1005,1,MATCH(COLUMNS($AC$1006:AJ1006),$AC$1006:$AS$1006,0))&gt;=100000), " ",IF(INDEX($AC$2:$AS$1001,MATCH(ROWS($V$2:V40),$V$2:$V$1001,0),MATCH(COLUMNS($AC$1006:AJ1006),$AC$1006:$AS$1006,0)), HYPERLINK("#",""), HYPERLINK(CONCATENATE("#Metadata!", ADDRESS(INDEX($X$2:$X$1001,MATCH(ROWS($V$2:V40),$V$2:$V$1001,0),0), INDEX($AC$1004:$AS$1004,1,MATCH(COLUMNS($AC$1006:AJ1006),$AC$1006:$AS$1006,0)))),"Fix")))</f>
        <v>0</v>
      </c>
      <c r="J40" s="5">
        <f>IF(OR(INDEX($W$2:$W$1001,MATCH(ROWS($V$2:V40),$V$2:$V$1001,0),1)&gt;=100000,INDEX($AC$1005:$AS$1005,1,MATCH(COLUMNS($AC$1006:AK1006),$AC$1006:$AS$1006,0))&gt;=100000), " ",IF(INDEX($AC$2:$AS$1001,MATCH(ROWS($V$2:V40),$V$2:$V$1001,0),MATCH(COLUMNS($AC$1006:AK1006),$AC$1006:$AS$1006,0)), HYPERLINK("#",""), HYPERLINK(CONCATENATE("#Metadata!", ADDRESS(INDEX($X$2:$X$1001,MATCH(ROWS($V$2:V40),$V$2:$V$1001,0),0), INDEX($AC$1004:$AS$1004,1,MATCH(COLUMNS($AC$1006:AK1006),$AC$1006:$AS$1006,0)))),"Fix")))</f>
        <v>0</v>
      </c>
      <c r="K40" s="5">
        <f>IF(OR(INDEX($W$2:$W$1001,MATCH(ROWS($V$2:V40),$V$2:$V$1001,0),1)&gt;=100000,INDEX($AC$1005:$AS$1005,1,MATCH(COLUMNS($AC$1006:AL1006),$AC$1006:$AS$1006,0))&gt;=100000), " ",IF(INDEX($AC$2:$AS$1001,MATCH(ROWS($V$2:V40),$V$2:$V$1001,0),MATCH(COLUMNS($AC$1006:AL1006),$AC$1006:$AS$1006,0)), HYPERLINK("#",""), HYPERLINK(CONCATENATE("#Metadata!", ADDRESS(INDEX($X$2:$X$1001,MATCH(ROWS($V$2:V40),$V$2:$V$1001,0),0), INDEX($AC$1004:$AS$1004,1,MATCH(COLUMNS($AC$1006:AL1006),$AC$1006:$AS$1006,0)))),"Fix")))</f>
        <v>0</v>
      </c>
      <c r="L40" s="5">
        <f>IF(OR(INDEX($W$2:$W$1001,MATCH(ROWS($V$2:V40),$V$2:$V$1001,0),1)&gt;=100000,INDEX($AC$1005:$AS$1005,1,MATCH(COLUMNS($AC$1006:AM1006),$AC$1006:$AS$1006,0))&gt;=100000), " ",IF(INDEX($AC$2:$AS$1001,MATCH(ROWS($V$2:V40),$V$2:$V$1001,0),MATCH(COLUMNS($AC$1006:AM1006),$AC$1006:$AS$1006,0)), HYPERLINK("#",""), HYPERLINK(CONCATENATE("#Metadata!", ADDRESS(INDEX($X$2:$X$1001,MATCH(ROWS($V$2:V40),$V$2:$V$1001,0),0), INDEX($AC$1004:$AS$1004,1,MATCH(COLUMNS($AC$1006:AM1006),$AC$1006:$AS$1006,0)))),"Fix")))</f>
        <v>0</v>
      </c>
      <c r="M40" s="5">
        <f>IF(OR(INDEX($W$2:$W$1001,MATCH(ROWS($V$2:V40),$V$2:$V$1001,0),1)&gt;=100000,INDEX($AC$1005:$AS$1005,1,MATCH(COLUMNS($AC$1006:AN1006),$AC$1006:$AS$1006,0))&gt;=100000), " ",IF(INDEX($AC$2:$AS$1001,MATCH(ROWS($V$2:V40),$V$2:$V$1001,0),MATCH(COLUMNS($AC$1006:AN1006),$AC$1006:$AS$1006,0)), HYPERLINK("#",""), HYPERLINK(CONCATENATE("#Metadata!", ADDRESS(INDEX($X$2:$X$1001,MATCH(ROWS($V$2:V40),$V$2:$V$1001,0),0), INDEX($AC$1004:$AS$1004,1,MATCH(COLUMNS($AC$1006:AN1006),$AC$1006:$AS$1006,0)))),"Fix")))</f>
        <v>0</v>
      </c>
      <c r="N40" s="5">
        <f>IF(OR(INDEX($W$2:$W$1001,MATCH(ROWS($V$2:V40),$V$2:$V$1001,0),1)&gt;=100000,INDEX($AC$1005:$AS$1005,1,MATCH(COLUMNS($AC$1006:AO1006),$AC$1006:$AS$1006,0))&gt;=100000), " ",IF(INDEX($AC$2:$AS$1001,MATCH(ROWS($V$2:V40),$V$2:$V$1001,0),MATCH(COLUMNS($AC$1006:AO1006),$AC$1006:$AS$1006,0)), HYPERLINK("#",""), HYPERLINK(CONCATENATE("#Metadata!", ADDRESS(INDEX($X$2:$X$1001,MATCH(ROWS($V$2:V40),$V$2:$V$1001,0),0), INDEX($AC$1004:$AS$1004,1,MATCH(COLUMNS($AC$1006:AO1006),$AC$1006:$AS$1006,0)))),"Fix")))</f>
        <v>0</v>
      </c>
      <c r="O40" s="5">
        <f>IF(OR(INDEX($W$2:$W$1001,MATCH(ROWS($V$2:V40),$V$2:$V$1001,0),1)&gt;=100000,INDEX($AC$1005:$AS$1005,1,MATCH(COLUMNS($AC$1006:AP1006),$AC$1006:$AS$1006,0))&gt;=100000), " ",IF(INDEX($AC$2:$AS$1001,MATCH(ROWS($V$2:V40),$V$2:$V$1001,0),MATCH(COLUMNS($AC$1006:AP1006),$AC$1006:$AS$1006,0)), HYPERLINK("#",""), HYPERLINK(CONCATENATE("#Metadata!", ADDRESS(INDEX($X$2:$X$1001,MATCH(ROWS($V$2:V40),$V$2:$V$1001,0),0), INDEX($AC$1004:$AS$1004,1,MATCH(COLUMNS($AC$1006:AP1006),$AC$1006:$AS$1006,0)))),"Fix")))</f>
        <v>0</v>
      </c>
      <c r="P40" s="5">
        <f>IF(OR(INDEX($W$2:$W$1001,MATCH(ROWS($V$2:V40),$V$2:$V$1001,0),1)&gt;=100000,INDEX($AC$1005:$AS$1005,1,MATCH(COLUMNS($AC$1006:AQ1006),$AC$1006:$AS$1006,0))&gt;=100000), " ",IF(INDEX($AC$2:$AS$1001,MATCH(ROWS($V$2:V40),$V$2:$V$1001,0),MATCH(COLUMNS($AC$1006:AQ1006),$AC$1006:$AS$1006,0)), HYPERLINK("#",""), HYPERLINK(CONCATENATE("#Metadata!", ADDRESS(INDEX($X$2:$X$1001,MATCH(ROWS($V$2:V40),$V$2:$V$1001,0),0), INDEX($AC$1004:$AS$1004,1,MATCH(COLUMNS($AC$1006:AQ1006),$AC$1006:$AS$1006,0)))),"Fix")))</f>
        <v>0</v>
      </c>
      <c r="Q40" s="5">
        <f>IF(OR(INDEX($W$2:$W$1001,MATCH(ROWS($V$2:V40),$V$2:$V$1001,0),1)&gt;=100000,INDEX($AC$1005:$AS$1005,1,MATCH(COLUMNS($AC$1006:AR1006),$AC$1006:$AS$1006,0))&gt;=100000), " ",IF(INDEX($AC$2:$AS$1001,MATCH(ROWS($V$2:V40),$V$2:$V$1001,0),MATCH(COLUMNS($AC$1006:AR1006),$AC$1006:$AS$1006,0)), HYPERLINK("#",""), HYPERLINK(CONCATENATE("#Metadata!", ADDRESS(INDEX($X$2:$X$1001,MATCH(ROWS($V$2:V40),$V$2:$V$1001,0),0), INDEX($AC$1004:$AS$1004,1,MATCH(COLUMNS($AC$1006:AR1006),$AC$1006:$AS$1006,0)))),"Fix")))</f>
        <v>0</v>
      </c>
      <c r="R40" s="5">
        <f>IF(OR(INDEX($W$2:$W$1001,MATCH(ROWS($V$2:V40),$V$2:$V$1001,0),1)&gt;=100000,INDEX($AC$1005:$AS$1005,1,MATCH(COLUMNS($AC$1006:AS1006),$AC$1006:$AS$1006,0))&gt;=100000), " ",IF(INDEX($AC$2:$AS$1001,MATCH(ROWS($V$2:V40),$V$2:$V$1001,0),MATCH(COLUMNS($AC$1006:AS1006),$AC$1006:$AS$1006,0)), HYPERLINK("#",""), HYPERLINK(CONCATENATE("#Metadata!", ADDRESS(INDEX($X$2:$X$1001,MATCH(ROWS($V$2:V40),$V$2:$V$1001,0),0), INDEX($AC$1004:$AS$1004,1,MATCH(COLUMNS($AC$1006:AS1006),$AC$1006:$AS$1006,0)))),"Fix")))</f>
        <v>0</v>
      </c>
      <c r="V40">
        <v>0</v>
      </c>
      <c r="W40">
        <v>0</v>
      </c>
      <c r="X40">
        <v>0</v>
      </c>
      <c r="Y40">
        <f>IF(Z40,TRUE,AND(AC40:AS40))</f>
        <v>0</v>
      </c>
      <c r="Z40">
        <f>COUNTBLANK(Metadata!B40:R40)=COLUMNS(Metadata!B40:R40)</f>
        <v>0</v>
      </c>
      <c r="AA40">
        <v>0</v>
      </c>
      <c r="AC40">
        <f>AND(IF(Metadata!B40="",FALSE,TRUE),COUNTIF(Metadata!B:B, Metadata!B40) = 1,NOT(ISERROR(SUMPRODUCT(SEARCH(MID(Metadata!B40,ROW(INDIRECT("1:"&amp;LEN(Metadata!B40))), 1),"0123456789abcdefghijklmnopqrstuvwxyzABCDEFGHIJKLMNOPQRSTUVWXYZ.")))))</f>
        <v>0</v>
      </c>
      <c r="AD40">
        <f>AND(IF(Metadata!C40="",FALSE,TRUE),exact(Metadata!C40,"Host-associated"))</f>
        <v>0</v>
      </c>
      <c r="AE40">
        <f>AND(IF(Metadata!D40="",FALSE,TRUE),OR(exact(Metadata!D40,"Animal"),exact(Metadata!D40,"Fungus"),exact(Metadata!D40,"Plant")))</f>
        <v>0</v>
      </c>
      <c r="AF40">
        <f>AND(IF(Metadata!E40="",FALSE,TRUE),OR(exact(Metadata!E40,"Plant secretion"),exact(Metadata!E40,"Plant rhizosphere"),exact(Metadata!E40,"Plant surface"),exact(Metadata!E40,"Plant corpus"),exact(Metadata!E40,"Fungus surface"),exact(Metadata!E40,"Fungus corpus"),exact(Metadata!E40,"Animal surface"),exact(Metadata!E40,"Animal proximal gut"),exact(Metadata!E40,"Animal corpus"),exact(Metadata!E40,"Animal distal gut"),exact(Metadata!E40,"Animal secretion")))</f>
        <v>0</v>
      </c>
      <c r="AG40">
        <f>OR(AND(IF(Metadata!F40="",FALSE,TRUE),OR(exact(Metadata!F40,"not collected"),exact(Metadata!F40,"not provided"),exact(Metadata!F40,"restricted access"))),AND(IF(Metadata!F40="",FALSE,TRUE),OR(exact(Metadata!F40,"organism-associated habitat"),exact(Metadata!F40,"plant-associated habitat"),exact(Metadata!F40,"animal-associated habitat"),exact(Metadata!F40,"insecta-associated habitat"),exact(Metadata!F40,"mammalia-associated habitat"),exact(Metadata!F40,"human-associated habitat"),exact(Metadata!F40,"livestock-associated habitat"))))</f>
        <v>0</v>
      </c>
      <c r="AH40">
        <f>AND(IF(Metadata!G40="",FALSE,TRUE),exact(Metadata!G40,"host-associated"))</f>
        <v>0</v>
      </c>
      <c r="AI40">
        <f>OR(AND(IF(Metadata!H40="",FALSE,TRUE),OR(exact(Metadata!H40,"not collected"),exact(Metadata!H40,"not provided"))),AND(IF(Metadata!H40="",FALSE,ISNUMBER(VALUE(Metadata!H40))),Metadata!H40&gt;0))</f>
        <v>0</v>
      </c>
      <c r="AJ40">
        <f>AND(IF(Metadata!I40="",FALSE,TRUE),exact(Metadata!I40,"years"))</f>
        <v>0</v>
      </c>
      <c r="AK40">
        <f>IF(Metadata!J40="",FALSE,TRUE)</f>
        <v>0</v>
      </c>
      <c r="AL40">
        <f>OR(AND(IF(Metadata!K40="",FALSE,TRUE),OR(exact(Metadata!K40,"not collected"),exact(Metadata!K40,"not provided"))),AND(IF(Metadata!K40="",FALSE,ISNUMBER(VALUE(Metadata!K40))),Metadata!K40&gt;0))</f>
        <v>0</v>
      </c>
      <c r="AM40">
        <f>AND(IF(Metadata!L40="",FALSE,TRUE),exact(Metadata!L40,"cm"))</f>
        <v>0</v>
      </c>
      <c r="AN40">
        <f>IF(Metadata!M40="",FALSE,TRUE)</f>
        <v>0</v>
      </c>
      <c r="AO40">
        <f>OR(AND(IF(Metadata!N40="",FALSE,TRUE),OR(exact(Metadata!N40,"not applicable"),exact(Metadata!N40,"not collected"),exact(Metadata!N40,"not provided"))),AND(IF(Metadata!N40="",FALSE,IF(ISERROR(INT(Metadata!N40)),FALSE,INT(Metadata!N40)=Metadata!N40)),Metadata!N40&gt;0))</f>
        <v>0</v>
      </c>
      <c r="AP40">
        <f>OR(AND(IF(Metadata!O40="",FALSE,TRUE),OR(exact(Metadata!O40,"not collected"),exact(Metadata!O40,"not provided"))),AND(IF(Metadata!O40="",FALSE,ISNUMBER(VALUE(Metadata!O40))),Metadata!O40&gt;0))</f>
        <v>0</v>
      </c>
      <c r="AQ40">
        <f>AND(IF(Metadata!P40="",FALSE,TRUE),exact(Metadata!P40,"kg"))</f>
        <v>0</v>
      </c>
      <c r="AR40">
        <f>OR(AND(IF(Metadata!Q40="",FALSE,TRUE),OR(exact(Metadata!Q40,"not applicable"),exact(Metadata!Q40,"not collected"),exact(Metadata!Q40,"not provided"),exact(Metadata!Q40,"restricted access"))),IF(Metadata!Q40="",FALSE,IF(ISERROR(INT(Metadata!Q40)),FALSE,INT(Metadata!Q40)=Metadata!Q40)))</f>
        <v>0</v>
      </c>
      <c r="AS40">
        <f>AND(IF(Metadata!R40="",FALSE,TRUE),exact(Metadata!R40,"Not applicable"))</f>
        <v>0</v>
      </c>
    </row>
    <row r="41" spans="1:45">
      <c r="A41" s="4">
        <f>IF(B41=" "," ",HYPERLINK(CONCATENATE("#metadata!",ADDRESS(INDEX($X$2:$X$1001,MATCH(ROWS($V$2:V41),$V$2:$V$1001,0),0),2)),INDEX($AA$2:$AA$1001,MATCH(ROWS($V$2:V41),$V$2:$V$1001,0),0)))</f>
        <v>0</v>
      </c>
      <c r="B41" s="5">
        <f>IF(OR(INDEX($W$2:$W$1001,MATCH(ROWS($V$2:V41),$V$2:$V$1001,0),1)&gt;=100000,INDEX($AC$1005:$AS$1005,1,MATCH(COLUMNS($AC$1006:AC1006),$AC$1006:$AS$1006,0))&gt;=100000), " ",IF(INDEX($AC$2:$AS$1001,MATCH(ROWS($V$2:V41),$V$2:$V$1001,0),MATCH(COLUMNS($AC$1006:AC1006),$AC$1006:$AS$1006,0)), HYPERLINK("#",""), HYPERLINK(CONCATENATE("#Metadata!", ADDRESS(INDEX($X$2:$X$1001,MATCH(ROWS($V$2:V41),$V$2:$V$1001,0),0), INDEX($AC$1004:$AS$1004,1,MATCH(COLUMNS($AC$1006:AC1006),$AC$1006:$AS$1006,0)))),"Fix")))</f>
        <v>0</v>
      </c>
      <c r="C41" s="5">
        <f>IF(OR(INDEX($W$2:$W$1001,MATCH(ROWS($V$2:V41),$V$2:$V$1001,0),1)&gt;=100000,INDEX($AC$1005:$AS$1005,1,MATCH(COLUMNS($AC$1006:AD1006),$AC$1006:$AS$1006,0))&gt;=100000), " ",IF(INDEX($AC$2:$AS$1001,MATCH(ROWS($V$2:V41),$V$2:$V$1001,0),MATCH(COLUMNS($AC$1006:AD1006),$AC$1006:$AS$1006,0)), HYPERLINK("#",""), HYPERLINK(CONCATENATE("#Metadata!", ADDRESS(INDEX($X$2:$X$1001,MATCH(ROWS($V$2:V41),$V$2:$V$1001,0),0), INDEX($AC$1004:$AS$1004,1,MATCH(COLUMNS($AC$1006:AD1006),$AC$1006:$AS$1006,0)))),"Fix")))</f>
        <v>0</v>
      </c>
      <c r="D41" s="5">
        <f>IF(OR(INDEX($W$2:$W$1001,MATCH(ROWS($V$2:V41),$V$2:$V$1001,0),1)&gt;=100000,INDEX($AC$1005:$AS$1005,1,MATCH(COLUMNS($AC$1006:AE1006),$AC$1006:$AS$1006,0))&gt;=100000), " ",IF(INDEX($AC$2:$AS$1001,MATCH(ROWS($V$2:V41),$V$2:$V$1001,0),MATCH(COLUMNS($AC$1006:AE1006),$AC$1006:$AS$1006,0)), HYPERLINK("#",""), HYPERLINK(CONCATENATE("#Metadata!", ADDRESS(INDEX($X$2:$X$1001,MATCH(ROWS($V$2:V41),$V$2:$V$1001,0),0), INDEX($AC$1004:$AS$1004,1,MATCH(COLUMNS($AC$1006:AE1006),$AC$1006:$AS$1006,0)))),"Fix")))</f>
        <v>0</v>
      </c>
      <c r="E41" s="5">
        <f>IF(OR(INDEX($W$2:$W$1001,MATCH(ROWS($V$2:V41),$V$2:$V$1001,0),1)&gt;=100000,INDEX($AC$1005:$AS$1005,1,MATCH(COLUMNS($AC$1006:AF1006),$AC$1006:$AS$1006,0))&gt;=100000), " ",IF(INDEX($AC$2:$AS$1001,MATCH(ROWS($V$2:V41),$V$2:$V$1001,0),MATCH(COLUMNS($AC$1006:AF1006),$AC$1006:$AS$1006,0)), HYPERLINK("#",""), HYPERLINK(CONCATENATE("#Metadata!", ADDRESS(INDEX($X$2:$X$1001,MATCH(ROWS($V$2:V41),$V$2:$V$1001,0),0), INDEX($AC$1004:$AS$1004,1,MATCH(COLUMNS($AC$1006:AF1006),$AC$1006:$AS$1006,0)))),"Fix")))</f>
        <v>0</v>
      </c>
      <c r="F41" s="5">
        <f>IF(OR(INDEX($W$2:$W$1001,MATCH(ROWS($V$2:V41),$V$2:$V$1001,0),1)&gt;=100000,INDEX($AC$1005:$AS$1005,1,MATCH(COLUMNS($AC$1006:AG1006),$AC$1006:$AS$1006,0))&gt;=100000), " ",IF(INDEX($AC$2:$AS$1001,MATCH(ROWS($V$2:V41),$V$2:$V$1001,0),MATCH(COLUMNS($AC$1006:AG1006),$AC$1006:$AS$1006,0)), HYPERLINK("#",""), HYPERLINK(CONCATENATE("#Metadata!", ADDRESS(INDEX($X$2:$X$1001,MATCH(ROWS($V$2:V41),$V$2:$V$1001,0),0), INDEX($AC$1004:$AS$1004,1,MATCH(COLUMNS($AC$1006:AG1006),$AC$1006:$AS$1006,0)))),"Fix")))</f>
        <v>0</v>
      </c>
      <c r="G41" s="5">
        <f>IF(OR(INDEX($W$2:$W$1001,MATCH(ROWS($V$2:V41),$V$2:$V$1001,0),1)&gt;=100000,INDEX($AC$1005:$AS$1005,1,MATCH(COLUMNS($AC$1006:AH1006),$AC$1006:$AS$1006,0))&gt;=100000), " ",IF(INDEX($AC$2:$AS$1001,MATCH(ROWS($V$2:V41),$V$2:$V$1001,0),MATCH(COLUMNS($AC$1006:AH1006),$AC$1006:$AS$1006,0)), HYPERLINK("#",""), HYPERLINK(CONCATENATE("#Metadata!", ADDRESS(INDEX($X$2:$X$1001,MATCH(ROWS($V$2:V41),$V$2:$V$1001,0),0), INDEX($AC$1004:$AS$1004,1,MATCH(COLUMNS($AC$1006:AH1006),$AC$1006:$AS$1006,0)))),"Fix")))</f>
        <v>0</v>
      </c>
      <c r="H41" s="5">
        <f>IF(OR(INDEX($W$2:$W$1001,MATCH(ROWS($V$2:V41),$V$2:$V$1001,0),1)&gt;=100000,INDEX($AC$1005:$AS$1005,1,MATCH(COLUMNS($AC$1006:AI1006),$AC$1006:$AS$1006,0))&gt;=100000), " ",IF(INDEX($AC$2:$AS$1001,MATCH(ROWS($V$2:V41),$V$2:$V$1001,0),MATCH(COLUMNS($AC$1006:AI1006),$AC$1006:$AS$1006,0)), HYPERLINK("#",""), HYPERLINK(CONCATENATE("#Metadata!", ADDRESS(INDEX($X$2:$X$1001,MATCH(ROWS($V$2:V41),$V$2:$V$1001,0),0), INDEX($AC$1004:$AS$1004,1,MATCH(COLUMNS($AC$1006:AI1006),$AC$1006:$AS$1006,0)))),"Fix")))</f>
        <v>0</v>
      </c>
      <c r="I41" s="5">
        <f>IF(OR(INDEX($W$2:$W$1001,MATCH(ROWS($V$2:V41),$V$2:$V$1001,0),1)&gt;=100000,INDEX($AC$1005:$AS$1005,1,MATCH(COLUMNS($AC$1006:AJ1006),$AC$1006:$AS$1006,0))&gt;=100000), " ",IF(INDEX($AC$2:$AS$1001,MATCH(ROWS($V$2:V41),$V$2:$V$1001,0),MATCH(COLUMNS($AC$1006:AJ1006),$AC$1006:$AS$1006,0)), HYPERLINK("#",""), HYPERLINK(CONCATENATE("#Metadata!", ADDRESS(INDEX($X$2:$X$1001,MATCH(ROWS($V$2:V41),$V$2:$V$1001,0),0), INDEX($AC$1004:$AS$1004,1,MATCH(COLUMNS($AC$1006:AJ1006),$AC$1006:$AS$1006,0)))),"Fix")))</f>
        <v>0</v>
      </c>
      <c r="J41" s="5">
        <f>IF(OR(INDEX($W$2:$W$1001,MATCH(ROWS($V$2:V41),$V$2:$V$1001,0),1)&gt;=100000,INDEX($AC$1005:$AS$1005,1,MATCH(COLUMNS($AC$1006:AK1006),$AC$1006:$AS$1006,0))&gt;=100000), " ",IF(INDEX($AC$2:$AS$1001,MATCH(ROWS($V$2:V41),$V$2:$V$1001,0),MATCH(COLUMNS($AC$1006:AK1006),$AC$1006:$AS$1006,0)), HYPERLINK("#",""), HYPERLINK(CONCATENATE("#Metadata!", ADDRESS(INDEX($X$2:$X$1001,MATCH(ROWS($V$2:V41),$V$2:$V$1001,0),0), INDEX($AC$1004:$AS$1004,1,MATCH(COLUMNS($AC$1006:AK1006),$AC$1006:$AS$1006,0)))),"Fix")))</f>
        <v>0</v>
      </c>
      <c r="K41" s="5">
        <f>IF(OR(INDEX($W$2:$W$1001,MATCH(ROWS($V$2:V41),$V$2:$V$1001,0),1)&gt;=100000,INDEX($AC$1005:$AS$1005,1,MATCH(COLUMNS($AC$1006:AL1006),$AC$1006:$AS$1006,0))&gt;=100000), " ",IF(INDEX($AC$2:$AS$1001,MATCH(ROWS($V$2:V41),$V$2:$V$1001,0),MATCH(COLUMNS($AC$1006:AL1006),$AC$1006:$AS$1006,0)), HYPERLINK("#",""), HYPERLINK(CONCATENATE("#Metadata!", ADDRESS(INDEX($X$2:$X$1001,MATCH(ROWS($V$2:V41),$V$2:$V$1001,0),0), INDEX($AC$1004:$AS$1004,1,MATCH(COLUMNS($AC$1006:AL1006),$AC$1006:$AS$1006,0)))),"Fix")))</f>
        <v>0</v>
      </c>
      <c r="L41" s="5">
        <f>IF(OR(INDEX($W$2:$W$1001,MATCH(ROWS($V$2:V41),$V$2:$V$1001,0),1)&gt;=100000,INDEX($AC$1005:$AS$1005,1,MATCH(COLUMNS($AC$1006:AM1006),$AC$1006:$AS$1006,0))&gt;=100000), " ",IF(INDEX($AC$2:$AS$1001,MATCH(ROWS($V$2:V41),$V$2:$V$1001,0),MATCH(COLUMNS($AC$1006:AM1006),$AC$1006:$AS$1006,0)), HYPERLINK("#",""), HYPERLINK(CONCATENATE("#Metadata!", ADDRESS(INDEX($X$2:$X$1001,MATCH(ROWS($V$2:V41),$V$2:$V$1001,0),0), INDEX($AC$1004:$AS$1004,1,MATCH(COLUMNS($AC$1006:AM1006),$AC$1006:$AS$1006,0)))),"Fix")))</f>
        <v>0</v>
      </c>
      <c r="M41" s="5">
        <f>IF(OR(INDEX($W$2:$W$1001,MATCH(ROWS($V$2:V41),$V$2:$V$1001,0),1)&gt;=100000,INDEX($AC$1005:$AS$1005,1,MATCH(COLUMNS($AC$1006:AN1006),$AC$1006:$AS$1006,0))&gt;=100000), " ",IF(INDEX($AC$2:$AS$1001,MATCH(ROWS($V$2:V41),$V$2:$V$1001,0),MATCH(COLUMNS($AC$1006:AN1006),$AC$1006:$AS$1006,0)), HYPERLINK("#",""), HYPERLINK(CONCATENATE("#Metadata!", ADDRESS(INDEX($X$2:$X$1001,MATCH(ROWS($V$2:V41),$V$2:$V$1001,0),0), INDEX($AC$1004:$AS$1004,1,MATCH(COLUMNS($AC$1006:AN1006),$AC$1006:$AS$1006,0)))),"Fix")))</f>
        <v>0</v>
      </c>
      <c r="N41" s="5">
        <f>IF(OR(INDEX($W$2:$W$1001,MATCH(ROWS($V$2:V41),$V$2:$V$1001,0),1)&gt;=100000,INDEX($AC$1005:$AS$1005,1,MATCH(COLUMNS($AC$1006:AO1006),$AC$1006:$AS$1006,0))&gt;=100000), " ",IF(INDEX($AC$2:$AS$1001,MATCH(ROWS($V$2:V41),$V$2:$V$1001,0),MATCH(COLUMNS($AC$1006:AO1006),$AC$1006:$AS$1006,0)), HYPERLINK("#",""), HYPERLINK(CONCATENATE("#Metadata!", ADDRESS(INDEX($X$2:$X$1001,MATCH(ROWS($V$2:V41),$V$2:$V$1001,0),0), INDEX($AC$1004:$AS$1004,1,MATCH(COLUMNS($AC$1006:AO1006),$AC$1006:$AS$1006,0)))),"Fix")))</f>
        <v>0</v>
      </c>
      <c r="O41" s="5">
        <f>IF(OR(INDEX($W$2:$W$1001,MATCH(ROWS($V$2:V41),$V$2:$V$1001,0),1)&gt;=100000,INDEX($AC$1005:$AS$1005,1,MATCH(COLUMNS($AC$1006:AP1006),$AC$1006:$AS$1006,0))&gt;=100000), " ",IF(INDEX($AC$2:$AS$1001,MATCH(ROWS($V$2:V41),$V$2:$V$1001,0),MATCH(COLUMNS($AC$1006:AP1006),$AC$1006:$AS$1006,0)), HYPERLINK("#",""), HYPERLINK(CONCATENATE("#Metadata!", ADDRESS(INDEX($X$2:$X$1001,MATCH(ROWS($V$2:V41),$V$2:$V$1001,0),0), INDEX($AC$1004:$AS$1004,1,MATCH(COLUMNS($AC$1006:AP1006),$AC$1006:$AS$1006,0)))),"Fix")))</f>
        <v>0</v>
      </c>
      <c r="P41" s="5">
        <f>IF(OR(INDEX($W$2:$W$1001,MATCH(ROWS($V$2:V41),$V$2:$V$1001,0),1)&gt;=100000,INDEX($AC$1005:$AS$1005,1,MATCH(COLUMNS($AC$1006:AQ1006),$AC$1006:$AS$1006,0))&gt;=100000), " ",IF(INDEX($AC$2:$AS$1001,MATCH(ROWS($V$2:V41),$V$2:$V$1001,0),MATCH(COLUMNS($AC$1006:AQ1006),$AC$1006:$AS$1006,0)), HYPERLINK("#",""), HYPERLINK(CONCATENATE("#Metadata!", ADDRESS(INDEX($X$2:$X$1001,MATCH(ROWS($V$2:V41),$V$2:$V$1001,0),0), INDEX($AC$1004:$AS$1004,1,MATCH(COLUMNS($AC$1006:AQ1006),$AC$1006:$AS$1006,0)))),"Fix")))</f>
        <v>0</v>
      </c>
      <c r="Q41" s="5">
        <f>IF(OR(INDEX($W$2:$W$1001,MATCH(ROWS($V$2:V41),$V$2:$V$1001,0),1)&gt;=100000,INDEX($AC$1005:$AS$1005,1,MATCH(COLUMNS($AC$1006:AR1006),$AC$1006:$AS$1006,0))&gt;=100000), " ",IF(INDEX($AC$2:$AS$1001,MATCH(ROWS($V$2:V41),$V$2:$V$1001,0),MATCH(COLUMNS($AC$1006:AR1006),$AC$1006:$AS$1006,0)), HYPERLINK("#",""), HYPERLINK(CONCATENATE("#Metadata!", ADDRESS(INDEX($X$2:$X$1001,MATCH(ROWS($V$2:V41),$V$2:$V$1001,0),0), INDEX($AC$1004:$AS$1004,1,MATCH(COLUMNS($AC$1006:AR1006),$AC$1006:$AS$1006,0)))),"Fix")))</f>
        <v>0</v>
      </c>
      <c r="R41" s="5">
        <f>IF(OR(INDEX($W$2:$W$1001,MATCH(ROWS($V$2:V41),$V$2:$V$1001,0),1)&gt;=100000,INDEX($AC$1005:$AS$1005,1,MATCH(COLUMNS($AC$1006:AS1006),$AC$1006:$AS$1006,0))&gt;=100000), " ",IF(INDEX($AC$2:$AS$1001,MATCH(ROWS($V$2:V41),$V$2:$V$1001,0),MATCH(COLUMNS($AC$1006:AS1006),$AC$1006:$AS$1006,0)), HYPERLINK("#",""), HYPERLINK(CONCATENATE("#Metadata!", ADDRESS(INDEX($X$2:$X$1001,MATCH(ROWS($V$2:V41),$V$2:$V$1001,0),0), INDEX($AC$1004:$AS$1004,1,MATCH(COLUMNS($AC$1006:AS1006),$AC$1006:$AS$1006,0)))),"Fix")))</f>
        <v>0</v>
      </c>
      <c r="V41">
        <v>0</v>
      </c>
      <c r="W41">
        <v>0</v>
      </c>
      <c r="X41">
        <v>0</v>
      </c>
      <c r="Y41">
        <f>IF(Z41,TRUE,AND(AC41:AS41))</f>
        <v>0</v>
      </c>
      <c r="Z41">
        <f>COUNTBLANK(Metadata!B41:R41)=COLUMNS(Metadata!B41:R41)</f>
        <v>0</v>
      </c>
      <c r="AA41">
        <v>0</v>
      </c>
      <c r="AC41">
        <f>AND(IF(Metadata!B41="",FALSE,TRUE),COUNTIF(Metadata!B:B, Metadata!B41) = 1,NOT(ISERROR(SUMPRODUCT(SEARCH(MID(Metadata!B41,ROW(INDIRECT("1:"&amp;LEN(Metadata!B41))), 1),"0123456789abcdefghijklmnopqrstuvwxyzABCDEFGHIJKLMNOPQRSTUVWXYZ.")))))</f>
        <v>0</v>
      </c>
      <c r="AD41">
        <f>AND(IF(Metadata!C41="",FALSE,TRUE),exact(Metadata!C41,"Host-associated"))</f>
        <v>0</v>
      </c>
      <c r="AE41">
        <f>AND(IF(Metadata!D41="",FALSE,TRUE),OR(exact(Metadata!D41,"Animal"),exact(Metadata!D41,"Fungus"),exact(Metadata!D41,"Plant")))</f>
        <v>0</v>
      </c>
      <c r="AF41">
        <f>AND(IF(Metadata!E41="",FALSE,TRUE),OR(exact(Metadata!E41,"Plant secretion"),exact(Metadata!E41,"Plant rhizosphere"),exact(Metadata!E41,"Plant surface"),exact(Metadata!E41,"Plant corpus"),exact(Metadata!E41,"Fungus surface"),exact(Metadata!E41,"Fungus corpus"),exact(Metadata!E41,"Animal surface"),exact(Metadata!E41,"Animal proximal gut"),exact(Metadata!E41,"Animal corpus"),exact(Metadata!E41,"Animal distal gut"),exact(Metadata!E41,"Animal secretion")))</f>
        <v>0</v>
      </c>
      <c r="AG41">
        <f>OR(AND(IF(Metadata!F41="",FALSE,TRUE),OR(exact(Metadata!F41,"not collected"),exact(Metadata!F41,"not provided"),exact(Metadata!F41,"restricted access"))),AND(IF(Metadata!F41="",FALSE,TRUE),OR(exact(Metadata!F41,"organism-associated habitat"),exact(Metadata!F41,"plant-associated habitat"),exact(Metadata!F41,"animal-associated habitat"),exact(Metadata!F41,"insecta-associated habitat"),exact(Metadata!F41,"mammalia-associated habitat"),exact(Metadata!F41,"human-associated habitat"),exact(Metadata!F41,"livestock-associated habitat"))))</f>
        <v>0</v>
      </c>
      <c r="AH41">
        <f>AND(IF(Metadata!G41="",FALSE,TRUE),exact(Metadata!G41,"host-associated"))</f>
        <v>0</v>
      </c>
      <c r="AI41">
        <f>OR(AND(IF(Metadata!H41="",FALSE,TRUE),OR(exact(Metadata!H41,"not collected"),exact(Metadata!H41,"not provided"))),AND(IF(Metadata!H41="",FALSE,ISNUMBER(VALUE(Metadata!H41))),Metadata!H41&gt;0))</f>
        <v>0</v>
      </c>
      <c r="AJ41">
        <f>AND(IF(Metadata!I41="",FALSE,TRUE),exact(Metadata!I41,"years"))</f>
        <v>0</v>
      </c>
      <c r="AK41">
        <f>IF(Metadata!J41="",FALSE,TRUE)</f>
        <v>0</v>
      </c>
      <c r="AL41">
        <f>OR(AND(IF(Metadata!K41="",FALSE,TRUE),OR(exact(Metadata!K41,"not collected"),exact(Metadata!K41,"not provided"))),AND(IF(Metadata!K41="",FALSE,ISNUMBER(VALUE(Metadata!K41))),Metadata!K41&gt;0))</f>
        <v>0</v>
      </c>
      <c r="AM41">
        <f>AND(IF(Metadata!L41="",FALSE,TRUE),exact(Metadata!L41,"cm"))</f>
        <v>0</v>
      </c>
      <c r="AN41">
        <f>IF(Metadata!M41="",FALSE,TRUE)</f>
        <v>0</v>
      </c>
      <c r="AO41">
        <f>OR(AND(IF(Metadata!N41="",FALSE,TRUE),OR(exact(Metadata!N41,"not applicable"),exact(Metadata!N41,"not collected"),exact(Metadata!N41,"not provided"))),AND(IF(Metadata!N41="",FALSE,IF(ISERROR(INT(Metadata!N41)),FALSE,INT(Metadata!N41)=Metadata!N41)),Metadata!N41&gt;0))</f>
        <v>0</v>
      </c>
      <c r="AP41">
        <f>OR(AND(IF(Metadata!O41="",FALSE,TRUE),OR(exact(Metadata!O41,"not collected"),exact(Metadata!O41,"not provided"))),AND(IF(Metadata!O41="",FALSE,ISNUMBER(VALUE(Metadata!O41))),Metadata!O41&gt;0))</f>
        <v>0</v>
      </c>
      <c r="AQ41">
        <f>AND(IF(Metadata!P41="",FALSE,TRUE),exact(Metadata!P41,"kg"))</f>
        <v>0</v>
      </c>
      <c r="AR41">
        <f>OR(AND(IF(Metadata!Q41="",FALSE,TRUE),OR(exact(Metadata!Q41,"not applicable"),exact(Metadata!Q41,"not collected"),exact(Metadata!Q41,"not provided"),exact(Metadata!Q41,"restricted access"))),IF(Metadata!Q41="",FALSE,IF(ISERROR(INT(Metadata!Q41)),FALSE,INT(Metadata!Q41)=Metadata!Q41)))</f>
        <v>0</v>
      </c>
      <c r="AS41">
        <f>AND(IF(Metadata!R41="",FALSE,TRUE),exact(Metadata!R41,"Not applicable"))</f>
        <v>0</v>
      </c>
    </row>
    <row r="42" spans="1:45">
      <c r="A42" s="4">
        <f>IF(B42=" "," ",HYPERLINK(CONCATENATE("#metadata!",ADDRESS(INDEX($X$2:$X$1001,MATCH(ROWS($V$2:V42),$V$2:$V$1001,0),0),2)),INDEX($AA$2:$AA$1001,MATCH(ROWS($V$2:V42),$V$2:$V$1001,0),0)))</f>
        <v>0</v>
      </c>
      <c r="B42" s="5">
        <f>IF(OR(INDEX($W$2:$W$1001,MATCH(ROWS($V$2:V42),$V$2:$V$1001,0),1)&gt;=100000,INDEX($AC$1005:$AS$1005,1,MATCH(COLUMNS($AC$1006:AC1006),$AC$1006:$AS$1006,0))&gt;=100000), " ",IF(INDEX($AC$2:$AS$1001,MATCH(ROWS($V$2:V42),$V$2:$V$1001,0),MATCH(COLUMNS($AC$1006:AC1006),$AC$1006:$AS$1006,0)), HYPERLINK("#",""), HYPERLINK(CONCATENATE("#Metadata!", ADDRESS(INDEX($X$2:$X$1001,MATCH(ROWS($V$2:V42),$V$2:$V$1001,0),0), INDEX($AC$1004:$AS$1004,1,MATCH(COLUMNS($AC$1006:AC1006),$AC$1006:$AS$1006,0)))),"Fix")))</f>
        <v>0</v>
      </c>
      <c r="C42" s="5">
        <f>IF(OR(INDEX($W$2:$W$1001,MATCH(ROWS($V$2:V42),$V$2:$V$1001,0),1)&gt;=100000,INDEX($AC$1005:$AS$1005,1,MATCH(COLUMNS($AC$1006:AD1006),$AC$1006:$AS$1006,0))&gt;=100000), " ",IF(INDEX($AC$2:$AS$1001,MATCH(ROWS($V$2:V42),$V$2:$V$1001,0),MATCH(COLUMNS($AC$1006:AD1006),$AC$1006:$AS$1006,0)), HYPERLINK("#",""), HYPERLINK(CONCATENATE("#Metadata!", ADDRESS(INDEX($X$2:$X$1001,MATCH(ROWS($V$2:V42),$V$2:$V$1001,0),0), INDEX($AC$1004:$AS$1004,1,MATCH(COLUMNS($AC$1006:AD1006),$AC$1006:$AS$1006,0)))),"Fix")))</f>
        <v>0</v>
      </c>
      <c r="D42" s="5">
        <f>IF(OR(INDEX($W$2:$W$1001,MATCH(ROWS($V$2:V42),$V$2:$V$1001,0),1)&gt;=100000,INDEX($AC$1005:$AS$1005,1,MATCH(COLUMNS($AC$1006:AE1006),$AC$1006:$AS$1006,0))&gt;=100000), " ",IF(INDEX($AC$2:$AS$1001,MATCH(ROWS($V$2:V42),$V$2:$V$1001,0),MATCH(COLUMNS($AC$1006:AE1006),$AC$1006:$AS$1006,0)), HYPERLINK("#",""), HYPERLINK(CONCATENATE("#Metadata!", ADDRESS(INDEX($X$2:$X$1001,MATCH(ROWS($V$2:V42),$V$2:$V$1001,0),0), INDEX($AC$1004:$AS$1004,1,MATCH(COLUMNS($AC$1006:AE1006),$AC$1006:$AS$1006,0)))),"Fix")))</f>
        <v>0</v>
      </c>
      <c r="E42" s="5">
        <f>IF(OR(INDEX($W$2:$W$1001,MATCH(ROWS($V$2:V42),$V$2:$V$1001,0),1)&gt;=100000,INDEX($AC$1005:$AS$1005,1,MATCH(COLUMNS($AC$1006:AF1006),$AC$1006:$AS$1006,0))&gt;=100000), " ",IF(INDEX($AC$2:$AS$1001,MATCH(ROWS($V$2:V42),$V$2:$V$1001,0),MATCH(COLUMNS($AC$1006:AF1006),$AC$1006:$AS$1006,0)), HYPERLINK("#",""), HYPERLINK(CONCATENATE("#Metadata!", ADDRESS(INDEX($X$2:$X$1001,MATCH(ROWS($V$2:V42),$V$2:$V$1001,0),0), INDEX($AC$1004:$AS$1004,1,MATCH(COLUMNS($AC$1006:AF1006),$AC$1006:$AS$1006,0)))),"Fix")))</f>
        <v>0</v>
      </c>
      <c r="F42" s="5">
        <f>IF(OR(INDEX($W$2:$W$1001,MATCH(ROWS($V$2:V42),$V$2:$V$1001,0),1)&gt;=100000,INDEX($AC$1005:$AS$1005,1,MATCH(COLUMNS($AC$1006:AG1006),$AC$1006:$AS$1006,0))&gt;=100000), " ",IF(INDEX($AC$2:$AS$1001,MATCH(ROWS($V$2:V42),$V$2:$V$1001,0),MATCH(COLUMNS($AC$1006:AG1006),$AC$1006:$AS$1006,0)), HYPERLINK("#",""), HYPERLINK(CONCATENATE("#Metadata!", ADDRESS(INDEX($X$2:$X$1001,MATCH(ROWS($V$2:V42),$V$2:$V$1001,0),0), INDEX($AC$1004:$AS$1004,1,MATCH(COLUMNS($AC$1006:AG1006),$AC$1006:$AS$1006,0)))),"Fix")))</f>
        <v>0</v>
      </c>
      <c r="G42" s="5">
        <f>IF(OR(INDEX($W$2:$W$1001,MATCH(ROWS($V$2:V42),$V$2:$V$1001,0),1)&gt;=100000,INDEX($AC$1005:$AS$1005,1,MATCH(COLUMNS($AC$1006:AH1006),$AC$1006:$AS$1006,0))&gt;=100000), " ",IF(INDEX($AC$2:$AS$1001,MATCH(ROWS($V$2:V42),$V$2:$V$1001,0),MATCH(COLUMNS($AC$1006:AH1006),$AC$1006:$AS$1006,0)), HYPERLINK("#",""), HYPERLINK(CONCATENATE("#Metadata!", ADDRESS(INDEX($X$2:$X$1001,MATCH(ROWS($V$2:V42),$V$2:$V$1001,0),0), INDEX($AC$1004:$AS$1004,1,MATCH(COLUMNS($AC$1006:AH1006),$AC$1006:$AS$1006,0)))),"Fix")))</f>
        <v>0</v>
      </c>
      <c r="H42" s="5">
        <f>IF(OR(INDEX($W$2:$W$1001,MATCH(ROWS($V$2:V42),$V$2:$V$1001,0),1)&gt;=100000,INDEX($AC$1005:$AS$1005,1,MATCH(COLUMNS($AC$1006:AI1006),$AC$1006:$AS$1006,0))&gt;=100000), " ",IF(INDEX($AC$2:$AS$1001,MATCH(ROWS($V$2:V42),$V$2:$V$1001,0),MATCH(COLUMNS($AC$1006:AI1006),$AC$1006:$AS$1006,0)), HYPERLINK("#",""), HYPERLINK(CONCATENATE("#Metadata!", ADDRESS(INDEX($X$2:$X$1001,MATCH(ROWS($V$2:V42),$V$2:$V$1001,0),0), INDEX($AC$1004:$AS$1004,1,MATCH(COLUMNS($AC$1006:AI1006),$AC$1006:$AS$1006,0)))),"Fix")))</f>
        <v>0</v>
      </c>
      <c r="I42" s="5">
        <f>IF(OR(INDEX($W$2:$W$1001,MATCH(ROWS($V$2:V42),$V$2:$V$1001,0),1)&gt;=100000,INDEX($AC$1005:$AS$1005,1,MATCH(COLUMNS($AC$1006:AJ1006),$AC$1006:$AS$1006,0))&gt;=100000), " ",IF(INDEX($AC$2:$AS$1001,MATCH(ROWS($V$2:V42),$V$2:$V$1001,0),MATCH(COLUMNS($AC$1006:AJ1006),$AC$1006:$AS$1006,0)), HYPERLINK("#",""), HYPERLINK(CONCATENATE("#Metadata!", ADDRESS(INDEX($X$2:$X$1001,MATCH(ROWS($V$2:V42),$V$2:$V$1001,0),0), INDEX($AC$1004:$AS$1004,1,MATCH(COLUMNS($AC$1006:AJ1006),$AC$1006:$AS$1006,0)))),"Fix")))</f>
        <v>0</v>
      </c>
      <c r="J42" s="5">
        <f>IF(OR(INDEX($W$2:$W$1001,MATCH(ROWS($V$2:V42),$V$2:$V$1001,0),1)&gt;=100000,INDEX($AC$1005:$AS$1005,1,MATCH(COLUMNS($AC$1006:AK1006),$AC$1006:$AS$1006,0))&gt;=100000), " ",IF(INDEX($AC$2:$AS$1001,MATCH(ROWS($V$2:V42),$V$2:$V$1001,0),MATCH(COLUMNS($AC$1006:AK1006),$AC$1006:$AS$1006,0)), HYPERLINK("#",""), HYPERLINK(CONCATENATE("#Metadata!", ADDRESS(INDEX($X$2:$X$1001,MATCH(ROWS($V$2:V42),$V$2:$V$1001,0),0), INDEX($AC$1004:$AS$1004,1,MATCH(COLUMNS($AC$1006:AK1006),$AC$1006:$AS$1006,0)))),"Fix")))</f>
        <v>0</v>
      </c>
      <c r="K42" s="5">
        <f>IF(OR(INDEX($W$2:$W$1001,MATCH(ROWS($V$2:V42),$V$2:$V$1001,0),1)&gt;=100000,INDEX($AC$1005:$AS$1005,1,MATCH(COLUMNS($AC$1006:AL1006),$AC$1006:$AS$1006,0))&gt;=100000), " ",IF(INDEX($AC$2:$AS$1001,MATCH(ROWS($V$2:V42),$V$2:$V$1001,0),MATCH(COLUMNS($AC$1006:AL1006),$AC$1006:$AS$1006,0)), HYPERLINK("#",""), HYPERLINK(CONCATENATE("#Metadata!", ADDRESS(INDEX($X$2:$X$1001,MATCH(ROWS($V$2:V42),$V$2:$V$1001,0),0), INDEX($AC$1004:$AS$1004,1,MATCH(COLUMNS($AC$1006:AL1006),$AC$1006:$AS$1006,0)))),"Fix")))</f>
        <v>0</v>
      </c>
      <c r="L42" s="5">
        <f>IF(OR(INDEX($W$2:$W$1001,MATCH(ROWS($V$2:V42),$V$2:$V$1001,0),1)&gt;=100000,INDEX($AC$1005:$AS$1005,1,MATCH(COLUMNS($AC$1006:AM1006),$AC$1006:$AS$1006,0))&gt;=100000), " ",IF(INDEX($AC$2:$AS$1001,MATCH(ROWS($V$2:V42),$V$2:$V$1001,0),MATCH(COLUMNS($AC$1006:AM1006),$AC$1006:$AS$1006,0)), HYPERLINK("#",""), HYPERLINK(CONCATENATE("#Metadata!", ADDRESS(INDEX($X$2:$X$1001,MATCH(ROWS($V$2:V42),$V$2:$V$1001,0),0), INDEX($AC$1004:$AS$1004,1,MATCH(COLUMNS($AC$1006:AM1006),$AC$1006:$AS$1006,0)))),"Fix")))</f>
        <v>0</v>
      </c>
      <c r="M42" s="5">
        <f>IF(OR(INDEX($W$2:$W$1001,MATCH(ROWS($V$2:V42),$V$2:$V$1001,0),1)&gt;=100000,INDEX($AC$1005:$AS$1005,1,MATCH(COLUMNS($AC$1006:AN1006),$AC$1006:$AS$1006,0))&gt;=100000), " ",IF(INDEX($AC$2:$AS$1001,MATCH(ROWS($V$2:V42),$V$2:$V$1001,0),MATCH(COLUMNS($AC$1006:AN1006),$AC$1006:$AS$1006,0)), HYPERLINK("#",""), HYPERLINK(CONCATENATE("#Metadata!", ADDRESS(INDEX($X$2:$X$1001,MATCH(ROWS($V$2:V42),$V$2:$V$1001,0),0), INDEX($AC$1004:$AS$1004,1,MATCH(COLUMNS($AC$1006:AN1006),$AC$1006:$AS$1006,0)))),"Fix")))</f>
        <v>0</v>
      </c>
      <c r="N42" s="5">
        <f>IF(OR(INDEX($W$2:$W$1001,MATCH(ROWS($V$2:V42),$V$2:$V$1001,0),1)&gt;=100000,INDEX($AC$1005:$AS$1005,1,MATCH(COLUMNS($AC$1006:AO1006),$AC$1006:$AS$1006,0))&gt;=100000), " ",IF(INDEX($AC$2:$AS$1001,MATCH(ROWS($V$2:V42),$V$2:$V$1001,0),MATCH(COLUMNS($AC$1006:AO1006),$AC$1006:$AS$1006,0)), HYPERLINK("#",""), HYPERLINK(CONCATENATE("#Metadata!", ADDRESS(INDEX($X$2:$X$1001,MATCH(ROWS($V$2:V42),$V$2:$V$1001,0),0), INDEX($AC$1004:$AS$1004,1,MATCH(COLUMNS($AC$1006:AO1006),$AC$1006:$AS$1006,0)))),"Fix")))</f>
        <v>0</v>
      </c>
      <c r="O42" s="5">
        <f>IF(OR(INDEX($W$2:$W$1001,MATCH(ROWS($V$2:V42),$V$2:$V$1001,0),1)&gt;=100000,INDEX($AC$1005:$AS$1005,1,MATCH(COLUMNS($AC$1006:AP1006),$AC$1006:$AS$1006,0))&gt;=100000), " ",IF(INDEX($AC$2:$AS$1001,MATCH(ROWS($V$2:V42),$V$2:$V$1001,0),MATCH(COLUMNS($AC$1006:AP1006),$AC$1006:$AS$1006,0)), HYPERLINK("#",""), HYPERLINK(CONCATENATE("#Metadata!", ADDRESS(INDEX($X$2:$X$1001,MATCH(ROWS($V$2:V42),$V$2:$V$1001,0),0), INDEX($AC$1004:$AS$1004,1,MATCH(COLUMNS($AC$1006:AP1006),$AC$1006:$AS$1006,0)))),"Fix")))</f>
        <v>0</v>
      </c>
      <c r="P42" s="5">
        <f>IF(OR(INDEX($W$2:$W$1001,MATCH(ROWS($V$2:V42),$V$2:$V$1001,0),1)&gt;=100000,INDEX($AC$1005:$AS$1005,1,MATCH(COLUMNS($AC$1006:AQ1006),$AC$1006:$AS$1006,0))&gt;=100000), " ",IF(INDEX($AC$2:$AS$1001,MATCH(ROWS($V$2:V42),$V$2:$V$1001,0),MATCH(COLUMNS($AC$1006:AQ1006),$AC$1006:$AS$1006,0)), HYPERLINK("#",""), HYPERLINK(CONCATENATE("#Metadata!", ADDRESS(INDEX($X$2:$X$1001,MATCH(ROWS($V$2:V42),$V$2:$V$1001,0),0), INDEX($AC$1004:$AS$1004,1,MATCH(COLUMNS($AC$1006:AQ1006),$AC$1006:$AS$1006,0)))),"Fix")))</f>
        <v>0</v>
      </c>
      <c r="Q42" s="5">
        <f>IF(OR(INDEX($W$2:$W$1001,MATCH(ROWS($V$2:V42),$V$2:$V$1001,0),1)&gt;=100000,INDEX($AC$1005:$AS$1005,1,MATCH(COLUMNS($AC$1006:AR1006),$AC$1006:$AS$1006,0))&gt;=100000), " ",IF(INDEX($AC$2:$AS$1001,MATCH(ROWS($V$2:V42),$V$2:$V$1001,0),MATCH(COLUMNS($AC$1006:AR1006),$AC$1006:$AS$1006,0)), HYPERLINK("#",""), HYPERLINK(CONCATENATE("#Metadata!", ADDRESS(INDEX($X$2:$X$1001,MATCH(ROWS($V$2:V42),$V$2:$V$1001,0),0), INDEX($AC$1004:$AS$1004,1,MATCH(COLUMNS($AC$1006:AR1006),$AC$1006:$AS$1006,0)))),"Fix")))</f>
        <v>0</v>
      </c>
      <c r="R42" s="5">
        <f>IF(OR(INDEX($W$2:$W$1001,MATCH(ROWS($V$2:V42),$V$2:$V$1001,0),1)&gt;=100000,INDEX($AC$1005:$AS$1005,1,MATCH(COLUMNS($AC$1006:AS1006),$AC$1006:$AS$1006,0))&gt;=100000), " ",IF(INDEX($AC$2:$AS$1001,MATCH(ROWS($V$2:V42),$V$2:$V$1001,0),MATCH(COLUMNS($AC$1006:AS1006),$AC$1006:$AS$1006,0)), HYPERLINK("#",""), HYPERLINK(CONCATENATE("#Metadata!", ADDRESS(INDEX($X$2:$X$1001,MATCH(ROWS($V$2:V42),$V$2:$V$1001,0),0), INDEX($AC$1004:$AS$1004,1,MATCH(COLUMNS($AC$1006:AS1006),$AC$1006:$AS$1006,0)))),"Fix")))</f>
        <v>0</v>
      </c>
      <c r="V42">
        <v>0</v>
      </c>
      <c r="W42">
        <v>0</v>
      </c>
      <c r="X42">
        <v>0</v>
      </c>
      <c r="Y42">
        <f>IF(Z42,TRUE,AND(AC42:AS42))</f>
        <v>0</v>
      </c>
      <c r="Z42">
        <f>COUNTBLANK(Metadata!B42:R42)=COLUMNS(Metadata!B42:R42)</f>
        <v>0</v>
      </c>
      <c r="AA42">
        <v>0</v>
      </c>
      <c r="AC42">
        <f>AND(IF(Metadata!B42="",FALSE,TRUE),COUNTIF(Metadata!B:B, Metadata!B42) = 1,NOT(ISERROR(SUMPRODUCT(SEARCH(MID(Metadata!B42,ROW(INDIRECT("1:"&amp;LEN(Metadata!B42))), 1),"0123456789abcdefghijklmnopqrstuvwxyzABCDEFGHIJKLMNOPQRSTUVWXYZ.")))))</f>
        <v>0</v>
      </c>
      <c r="AD42">
        <f>AND(IF(Metadata!C42="",FALSE,TRUE),exact(Metadata!C42,"Host-associated"))</f>
        <v>0</v>
      </c>
      <c r="AE42">
        <f>AND(IF(Metadata!D42="",FALSE,TRUE),OR(exact(Metadata!D42,"Animal"),exact(Metadata!D42,"Fungus"),exact(Metadata!D42,"Plant")))</f>
        <v>0</v>
      </c>
      <c r="AF42">
        <f>AND(IF(Metadata!E42="",FALSE,TRUE),OR(exact(Metadata!E42,"Plant secretion"),exact(Metadata!E42,"Plant rhizosphere"),exact(Metadata!E42,"Plant surface"),exact(Metadata!E42,"Plant corpus"),exact(Metadata!E42,"Fungus surface"),exact(Metadata!E42,"Fungus corpus"),exact(Metadata!E42,"Animal surface"),exact(Metadata!E42,"Animal proximal gut"),exact(Metadata!E42,"Animal corpus"),exact(Metadata!E42,"Animal distal gut"),exact(Metadata!E42,"Animal secretion")))</f>
        <v>0</v>
      </c>
      <c r="AG42">
        <f>OR(AND(IF(Metadata!F42="",FALSE,TRUE),OR(exact(Metadata!F42,"not collected"),exact(Metadata!F42,"not provided"),exact(Metadata!F42,"restricted access"))),AND(IF(Metadata!F42="",FALSE,TRUE),OR(exact(Metadata!F42,"organism-associated habitat"),exact(Metadata!F42,"plant-associated habitat"),exact(Metadata!F42,"animal-associated habitat"),exact(Metadata!F42,"insecta-associated habitat"),exact(Metadata!F42,"mammalia-associated habitat"),exact(Metadata!F42,"human-associated habitat"),exact(Metadata!F42,"livestock-associated habitat"))))</f>
        <v>0</v>
      </c>
      <c r="AH42">
        <f>AND(IF(Metadata!G42="",FALSE,TRUE),exact(Metadata!G42,"host-associated"))</f>
        <v>0</v>
      </c>
      <c r="AI42">
        <f>OR(AND(IF(Metadata!H42="",FALSE,TRUE),OR(exact(Metadata!H42,"not collected"),exact(Metadata!H42,"not provided"))),AND(IF(Metadata!H42="",FALSE,ISNUMBER(VALUE(Metadata!H42))),Metadata!H42&gt;0))</f>
        <v>0</v>
      </c>
      <c r="AJ42">
        <f>AND(IF(Metadata!I42="",FALSE,TRUE),exact(Metadata!I42,"years"))</f>
        <v>0</v>
      </c>
      <c r="AK42">
        <f>IF(Metadata!J42="",FALSE,TRUE)</f>
        <v>0</v>
      </c>
      <c r="AL42">
        <f>OR(AND(IF(Metadata!K42="",FALSE,TRUE),OR(exact(Metadata!K42,"not collected"),exact(Metadata!K42,"not provided"))),AND(IF(Metadata!K42="",FALSE,ISNUMBER(VALUE(Metadata!K42))),Metadata!K42&gt;0))</f>
        <v>0</v>
      </c>
      <c r="AM42">
        <f>AND(IF(Metadata!L42="",FALSE,TRUE),exact(Metadata!L42,"cm"))</f>
        <v>0</v>
      </c>
      <c r="AN42">
        <f>IF(Metadata!M42="",FALSE,TRUE)</f>
        <v>0</v>
      </c>
      <c r="AO42">
        <f>OR(AND(IF(Metadata!N42="",FALSE,TRUE),OR(exact(Metadata!N42,"not applicable"),exact(Metadata!N42,"not collected"),exact(Metadata!N42,"not provided"))),AND(IF(Metadata!N42="",FALSE,IF(ISERROR(INT(Metadata!N42)),FALSE,INT(Metadata!N42)=Metadata!N42)),Metadata!N42&gt;0))</f>
        <v>0</v>
      </c>
      <c r="AP42">
        <f>OR(AND(IF(Metadata!O42="",FALSE,TRUE),OR(exact(Metadata!O42,"not collected"),exact(Metadata!O42,"not provided"))),AND(IF(Metadata!O42="",FALSE,ISNUMBER(VALUE(Metadata!O42))),Metadata!O42&gt;0))</f>
        <v>0</v>
      </c>
      <c r="AQ42">
        <f>AND(IF(Metadata!P42="",FALSE,TRUE),exact(Metadata!P42,"kg"))</f>
        <v>0</v>
      </c>
      <c r="AR42">
        <f>OR(AND(IF(Metadata!Q42="",FALSE,TRUE),OR(exact(Metadata!Q42,"not applicable"),exact(Metadata!Q42,"not collected"),exact(Metadata!Q42,"not provided"),exact(Metadata!Q42,"restricted access"))),IF(Metadata!Q42="",FALSE,IF(ISERROR(INT(Metadata!Q42)),FALSE,INT(Metadata!Q42)=Metadata!Q42)))</f>
        <v>0</v>
      </c>
      <c r="AS42">
        <f>AND(IF(Metadata!R42="",FALSE,TRUE),exact(Metadata!R42,"Not applicable"))</f>
        <v>0</v>
      </c>
    </row>
    <row r="43" spans="1:45">
      <c r="A43" s="4">
        <f>IF(B43=" "," ",HYPERLINK(CONCATENATE("#metadata!",ADDRESS(INDEX($X$2:$X$1001,MATCH(ROWS($V$2:V43),$V$2:$V$1001,0),0),2)),INDEX($AA$2:$AA$1001,MATCH(ROWS($V$2:V43),$V$2:$V$1001,0),0)))</f>
        <v>0</v>
      </c>
      <c r="B43" s="5">
        <f>IF(OR(INDEX($W$2:$W$1001,MATCH(ROWS($V$2:V43),$V$2:$V$1001,0),1)&gt;=100000,INDEX($AC$1005:$AS$1005,1,MATCH(COLUMNS($AC$1006:AC1006),$AC$1006:$AS$1006,0))&gt;=100000), " ",IF(INDEX($AC$2:$AS$1001,MATCH(ROWS($V$2:V43),$V$2:$V$1001,0),MATCH(COLUMNS($AC$1006:AC1006),$AC$1006:$AS$1006,0)), HYPERLINK("#",""), HYPERLINK(CONCATENATE("#Metadata!", ADDRESS(INDEX($X$2:$X$1001,MATCH(ROWS($V$2:V43),$V$2:$V$1001,0),0), INDEX($AC$1004:$AS$1004,1,MATCH(COLUMNS($AC$1006:AC1006),$AC$1006:$AS$1006,0)))),"Fix")))</f>
        <v>0</v>
      </c>
      <c r="C43" s="5">
        <f>IF(OR(INDEX($W$2:$W$1001,MATCH(ROWS($V$2:V43),$V$2:$V$1001,0),1)&gt;=100000,INDEX($AC$1005:$AS$1005,1,MATCH(COLUMNS($AC$1006:AD1006),$AC$1006:$AS$1006,0))&gt;=100000), " ",IF(INDEX($AC$2:$AS$1001,MATCH(ROWS($V$2:V43),$V$2:$V$1001,0),MATCH(COLUMNS($AC$1006:AD1006),$AC$1006:$AS$1006,0)), HYPERLINK("#",""), HYPERLINK(CONCATENATE("#Metadata!", ADDRESS(INDEX($X$2:$X$1001,MATCH(ROWS($V$2:V43),$V$2:$V$1001,0),0), INDEX($AC$1004:$AS$1004,1,MATCH(COLUMNS($AC$1006:AD1006),$AC$1006:$AS$1006,0)))),"Fix")))</f>
        <v>0</v>
      </c>
      <c r="D43" s="5">
        <f>IF(OR(INDEX($W$2:$W$1001,MATCH(ROWS($V$2:V43),$V$2:$V$1001,0),1)&gt;=100000,INDEX($AC$1005:$AS$1005,1,MATCH(COLUMNS($AC$1006:AE1006),$AC$1006:$AS$1006,0))&gt;=100000), " ",IF(INDEX($AC$2:$AS$1001,MATCH(ROWS($V$2:V43),$V$2:$V$1001,0),MATCH(COLUMNS($AC$1006:AE1006),$AC$1006:$AS$1006,0)), HYPERLINK("#",""), HYPERLINK(CONCATENATE("#Metadata!", ADDRESS(INDEX($X$2:$X$1001,MATCH(ROWS($V$2:V43),$V$2:$V$1001,0),0), INDEX($AC$1004:$AS$1004,1,MATCH(COLUMNS($AC$1006:AE1006),$AC$1006:$AS$1006,0)))),"Fix")))</f>
        <v>0</v>
      </c>
      <c r="E43" s="5">
        <f>IF(OR(INDEX($W$2:$W$1001,MATCH(ROWS($V$2:V43),$V$2:$V$1001,0),1)&gt;=100000,INDEX($AC$1005:$AS$1005,1,MATCH(COLUMNS($AC$1006:AF1006),$AC$1006:$AS$1006,0))&gt;=100000), " ",IF(INDEX($AC$2:$AS$1001,MATCH(ROWS($V$2:V43),$V$2:$V$1001,0),MATCH(COLUMNS($AC$1006:AF1006),$AC$1006:$AS$1006,0)), HYPERLINK("#",""), HYPERLINK(CONCATENATE("#Metadata!", ADDRESS(INDEX($X$2:$X$1001,MATCH(ROWS($V$2:V43),$V$2:$V$1001,0),0), INDEX($AC$1004:$AS$1004,1,MATCH(COLUMNS($AC$1006:AF1006),$AC$1006:$AS$1006,0)))),"Fix")))</f>
        <v>0</v>
      </c>
      <c r="F43" s="5">
        <f>IF(OR(INDEX($W$2:$W$1001,MATCH(ROWS($V$2:V43),$V$2:$V$1001,0),1)&gt;=100000,INDEX($AC$1005:$AS$1005,1,MATCH(COLUMNS($AC$1006:AG1006),$AC$1006:$AS$1006,0))&gt;=100000), " ",IF(INDEX($AC$2:$AS$1001,MATCH(ROWS($V$2:V43),$V$2:$V$1001,0),MATCH(COLUMNS($AC$1006:AG1006),$AC$1006:$AS$1006,0)), HYPERLINK("#",""), HYPERLINK(CONCATENATE("#Metadata!", ADDRESS(INDEX($X$2:$X$1001,MATCH(ROWS($V$2:V43),$V$2:$V$1001,0),0), INDEX($AC$1004:$AS$1004,1,MATCH(COLUMNS($AC$1006:AG1006),$AC$1006:$AS$1006,0)))),"Fix")))</f>
        <v>0</v>
      </c>
      <c r="G43" s="5">
        <f>IF(OR(INDEX($W$2:$W$1001,MATCH(ROWS($V$2:V43),$V$2:$V$1001,0),1)&gt;=100000,INDEX($AC$1005:$AS$1005,1,MATCH(COLUMNS($AC$1006:AH1006),$AC$1006:$AS$1006,0))&gt;=100000), " ",IF(INDEX($AC$2:$AS$1001,MATCH(ROWS($V$2:V43),$V$2:$V$1001,0),MATCH(COLUMNS($AC$1006:AH1006),$AC$1006:$AS$1006,0)), HYPERLINK("#",""), HYPERLINK(CONCATENATE("#Metadata!", ADDRESS(INDEX($X$2:$X$1001,MATCH(ROWS($V$2:V43),$V$2:$V$1001,0),0), INDEX($AC$1004:$AS$1004,1,MATCH(COLUMNS($AC$1006:AH1006),$AC$1006:$AS$1006,0)))),"Fix")))</f>
        <v>0</v>
      </c>
      <c r="H43" s="5">
        <f>IF(OR(INDEX($W$2:$W$1001,MATCH(ROWS($V$2:V43),$V$2:$V$1001,0),1)&gt;=100000,INDEX($AC$1005:$AS$1005,1,MATCH(COLUMNS($AC$1006:AI1006),$AC$1006:$AS$1006,0))&gt;=100000), " ",IF(INDEX($AC$2:$AS$1001,MATCH(ROWS($V$2:V43),$V$2:$V$1001,0),MATCH(COLUMNS($AC$1006:AI1006),$AC$1006:$AS$1006,0)), HYPERLINK("#",""), HYPERLINK(CONCATENATE("#Metadata!", ADDRESS(INDEX($X$2:$X$1001,MATCH(ROWS($V$2:V43),$V$2:$V$1001,0),0), INDEX($AC$1004:$AS$1004,1,MATCH(COLUMNS($AC$1006:AI1006),$AC$1006:$AS$1006,0)))),"Fix")))</f>
        <v>0</v>
      </c>
      <c r="I43" s="5">
        <f>IF(OR(INDEX($W$2:$W$1001,MATCH(ROWS($V$2:V43),$V$2:$V$1001,0),1)&gt;=100000,INDEX($AC$1005:$AS$1005,1,MATCH(COLUMNS($AC$1006:AJ1006),$AC$1006:$AS$1006,0))&gt;=100000), " ",IF(INDEX($AC$2:$AS$1001,MATCH(ROWS($V$2:V43),$V$2:$V$1001,0),MATCH(COLUMNS($AC$1006:AJ1006),$AC$1006:$AS$1006,0)), HYPERLINK("#",""), HYPERLINK(CONCATENATE("#Metadata!", ADDRESS(INDEX($X$2:$X$1001,MATCH(ROWS($V$2:V43),$V$2:$V$1001,0),0), INDEX($AC$1004:$AS$1004,1,MATCH(COLUMNS($AC$1006:AJ1006),$AC$1006:$AS$1006,0)))),"Fix")))</f>
        <v>0</v>
      </c>
      <c r="J43" s="5">
        <f>IF(OR(INDEX($W$2:$W$1001,MATCH(ROWS($V$2:V43),$V$2:$V$1001,0),1)&gt;=100000,INDEX($AC$1005:$AS$1005,1,MATCH(COLUMNS($AC$1006:AK1006),$AC$1006:$AS$1006,0))&gt;=100000), " ",IF(INDEX($AC$2:$AS$1001,MATCH(ROWS($V$2:V43),$V$2:$V$1001,0),MATCH(COLUMNS($AC$1006:AK1006),$AC$1006:$AS$1006,0)), HYPERLINK("#",""), HYPERLINK(CONCATENATE("#Metadata!", ADDRESS(INDEX($X$2:$X$1001,MATCH(ROWS($V$2:V43),$V$2:$V$1001,0),0), INDEX($AC$1004:$AS$1004,1,MATCH(COLUMNS($AC$1006:AK1006),$AC$1006:$AS$1006,0)))),"Fix")))</f>
        <v>0</v>
      </c>
      <c r="K43" s="5">
        <f>IF(OR(INDEX($W$2:$W$1001,MATCH(ROWS($V$2:V43),$V$2:$V$1001,0),1)&gt;=100000,INDEX($AC$1005:$AS$1005,1,MATCH(COLUMNS($AC$1006:AL1006),$AC$1006:$AS$1006,0))&gt;=100000), " ",IF(INDEX($AC$2:$AS$1001,MATCH(ROWS($V$2:V43),$V$2:$V$1001,0),MATCH(COLUMNS($AC$1006:AL1006),$AC$1006:$AS$1006,0)), HYPERLINK("#",""), HYPERLINK(CONCATENATE("#Metadata!", ADDRESS(INDEX($X$2:$X$1001,MATCH(ROWS($V$2:V43),$V$2:$V$1001,0),0), INDEX($AC$1004:$AS$1004,1,MATCH(COLUMNS($AC$1006:AL1006),$AC$1006:$AS$1006,0)))),"Fix")))</f>
        <v>0</v>
      </c>
      <c r="L43" s="5">
        <f>IF(OR(INDEX($W$2:$W$1001,MATCH(ROWS($V$2:V43),$V$2:$V$1001,0),1)&gt;=100000,INDEX($AC$1005:$AS$1005,1,MATCH(COLUMNS($AC$1006:AM1006),$AC$1006:$AS$1006,0))&gt;=100000), " ",IF(INDEX($AC$2:$AS$1001,MATCH(ROWS($V$2:V43),$V$2:$V$1001,0),MATCH(COLUMNS($AC$1006:AM1006),$AC$1006:$AS$1006,0)), HYPERLINK("#",""), HYPERLINK(CONCATENATE("#Metadata!", ADDRESS(INDEX($X$2:$X$1001,MATCH(ROWS($V$2:V43),$V$2:$V$1001,0),0), INDEX($AC$1004:$AS$1004,1,MATCH(COLUMNS($AC$1006:AM1006),$AC$1006:$AS$1006,0)))),"Fix")))</f>
        <v>0</v>
      </c>
      <c r="M43" s="5">
        <f>IF(OR(INDEX($W$2:$W$1001,MATCH(ROWS($V$2:V43),$V$2:$V$1001,0),1)&gt;=100000,INDEX($AC$1005:$AS$1005,1,MATCH(COLUMNS($AC$1006:AN1006),$AC$1006:$AS$1006,0))&gt;=100000), " ",IF(INDEX($AC$2:$AS$1001,MATCH(ROWS($V$2:V43),$V$2:$V$1001,0),MATCH(COLUMNS($AC$1006:AN1006),$AC$1006:$AS$1006,0)), HYPERLINK("#",""), HYPERLINK(CONCATENATE("#Metadata!", ADDRESS(INDEX($X$2:$X$1001,MATCH(ROWS($V$2:V43),$V$2:$V$1001,0),0), INDEX($AC$1004:$AS$1004,1,MATCH(COLUMNS($AC$1006:AN1006),$AC$1006:$AS$1006,0)))),"Fix")))</f>
        <v>0</v>
      </c>
      <c r="N43" s="5">
        <f>IF(OR(INDEX($W$2:$W$1001,MATCH(ROWS($V$2:V43),$V$2:$V$1001,0),1)&gt;=100000,INDEX($AC$1005:$AS$1005,1,MATCH(COLUMNS($AC$1006:AO1006),$AC$1006:$AS$1006,0))&gt;=100000), " ",IF(INDEX($AC$2:$AS$1001,MATCH(ROWS($V$2:V43),$V$2:$V$1001,0),MATCH(COLUMNS($AC$1006:AO1006),$AC$1006:$AS$1006,0)), HYPERLINK("#",""), HYPERLINK(CONCATENATE("#Metadata!", ADDRESS(INDEX($X$2:$X$1001,MATCH(ROWS($V$2:V43),$V$2:$V$1001,0),0), INDEX($AC$1004:$AS$1004,1,MATCH(COLUMNS($AC$1006:AO1006),$AC$1006:$AS$1006,0)))),"Fix")))</f>
        <v>0</v>
      </c>
      <c r="O43" s="5">
        <f>IF(OR(INDEX($W$2:$W$1001,MATCH(ROWS($V$2:V43),$V$2:$V$1001,0),1)&gt;=100000,INDEX($AC$1005:$AS$1005,1,MATCH(COLUMNS($AC$1006:AP1006),$AC$1006:$AS$1006,0))&gt;=100000), " ",IF(INDEX($AC$2:$AS$1001,MATCH(ROWS($V$2:V43),$V$2:$V$1001,0),MATCH(COLUMNS($AC$1006:AP1006),$AC$1006:$AS$1006,0)), HYPERLINK("#",""), HYPERLINK(CONCATENATE("#Metadata!", ADDRESS(INDEX($X$2:$X$1001,MATCH(ROWS($V$2:V43),$V$2:$V$1001,0),0), INDEX($AC$1004:$AS$1004,1,MATCH(COLUMNS($AC$1006:AP1006),$AC$1006:$AS$1006,0)))),"Fix")))</f>
        <v>0</v>
      </c>
      <c r="P43" s="5">
        <f>IF(OR(INDEX($W$2:$W$1001,MATCH(ROWS($V$2:V43),$V$2:$V$1001,0),1)&gt;=100000,INDEX($AC$1005:$AS$1005,1,MATCH(COLUMNS($AC$1006:AQ1006),$AC$1006:$AS$1006,0))&gt;=100000), " ",IF(INDEX($AC$2:$AS$1001,MATCH(ROWS($V$2:V43),$V$2:$V$1001,0),MATCH(COLUMNS($AC$1006:AQ1006),$AC$1006:$AS$1006,0)), HYPERLINK("#",""), HYPERLINK(CONCATENATE("#Metadata!", ADDRESS(INDEX($X$2:$X$1001,MATCH(ROWS($V$2:V43),$V$2:$V$1001,0),0), INDEX($AC$1004:$AS$1004,1,MATCH(COLUMNS($AC$1006:AQ1006),$AC$1006:$AS$1006,0)))),"Fix")))</f>
        <v>0</v>
      </c>
      <c r="Q43" s="5">
        <f>IF(OR(INDEX($W$2:$W$1001,MATCH(ROWS($V$2:V43),$V$2:$V$1001,0),1)&gt;=100000,INDEX($AC$1005:$AS$1005,1,MATCH(COLUMNS($AC$1006:AR1006),$AC$1006:$AS$1006,0))&gt;=100000), " ",IF(INDEX($AC$2:$AS$1001,MATCH(ROWS($V$2:V43),$V$2:$V$1001,0),MATCH(COLUMNS($AC$1006:AR1006),$AC$1006:$AS$1006,0)), HYPERLINK("#",""), HYPERLINK(CONCATENATE("#Metadata!", ADDRESS(INDEX($X$2:$X$1001,MATCH(ROWS($V$2:V43),$V$2:$V$1001,0),0), INDEX($AC$1004:$AS$1004,1,MATCH(COLUMNS($AC$1006:AR1006),$AC$1006:$AS$1006,0)))),"Fix")))</f>
        <v>0</v>
      </c>
      <c r="R43" s="5">
        <f>IF(OR(INDEX($W$2:$W$1001,MATCH(ROWS($V$2:V43),$V$2:$V$1001,0),1)&gt;=100000,INDEX($AC$1005:$AS$1005,1,MATCH(COLUMNS($AC$1006:AS1006),$AC$1006:$AS$1006,0))&gt;=100000), " ",IF(INDEX($AC$2:$AS$1001,MATCH(ROWS($V$2:V43),$V$2:$V$1001,0),MATCH(COLUMNS($AC$1006:AS1006),$AC$1006:$AS$1006,0)), HYPERLINK("#",""), HYPERLINK(CONCATENATE("#Metadata!", ADDRESS(INDEX($X$2:$X$1001,MATCH(ROWS($V$2:V43),$V$2:$V$1001,0),0), INDEX($AC$1004:$AS$1004,1,MATCH(COLUMNS($AC$1006:AS1006),$AC$1006:$AS$1006,0)))),"Fix")))</f>
        <v>0</v>
      </c>
      <c r="V43">
        <v>0</v>
      </c>
      <c r="W43">
        <v>0</v>
      </c>
      <c r="X43">
        <v>0</v>
      </c>
      <c r="Y43">
        <f>IF(Z43,TRUE,AND(AC43:AS43))</f>
        <v>0</v>
      </c>
      <c r="Z43">
        <f>COUNTBLANK(Metadata!B43:R43)=COLUMNS(Metadata!B43:R43)</f>
        <v>0</v>
      </c>
      <c r="AA43">
        <v>0</v>
      </c>
      <c r="AC43">
        <f>AND(IF(Metadata!B43="",FALSE,TRUE),COUNTIF(Metadata!B:B, Metadata!B43) = 1,NOT(ISERROR(SUMPRODUCT(SEARCH(MID(Metadata!B43,ROW(INDIRECT("1:"&amp;LEN(Metadata!B43))), 1),"0123456789abcdefghijklmnopqrstuvwxyzABCDEFGHIJKLMNOPQRSTUVWXYZ.")))))</f>
        <v>0</v>
      </c>
      <c r="AD43">
        <f>AND(IF(Metadata!C43="",FALSE,TRUE),exact(Metadata!C43,"Host-associated"))</f>
        <v>0</v>
      </c>
      <c r="AE43">
        <f>AND(IF(Metadata!D43="",FALSE,TRUE),OR(exact(Metadata!D43,"Animal"),exact(Metadata!D43,"Fungus"),exact(Metadata!D43,"Plant")))</f>
        <v>0</v>
      </c>
      <c r="AF43">
        <f>AND(IF(Metadata!E43="",FALSE,TRUE),OR(exact(Metadata!E43,"Plant secretion"),exact(Metadata!E43,"Plant rhizosphere"),exact(Metadata!E43,"Plant surface"),exact(Metadata!E43,"Plant corpus"),exact(Metadata!E43,"Fungus surface"),exact(Metadata!E43,"Fungus corpus"),exact(Metadata!E43,"Animal surface"),exact(Metadata!E43,"Animal proximal gut"),exact(Metadata!E43,"Animal corpus"),exact(Metadata!E43,"Animal distal gut"),exact(Metadata!E43,"Animal secretion")))</f>
        <v>0</v>
      </c>
      <c r="AG43">
        <f>OR(AND(IF(Metadata!F43="",FALSE,TRUE),OR(exact(Metadata!F43,"not collected"),exact(Metadata!F43,"not provided"),exact(Metadata!F43,"restricted access"))),AND(IF(Metadata!F43="",FALSE,TRUE),OR(exact(Metadata!F43,"organism-associated habitat"),exact(Metadata!F43,"plant-associated habitat"),exact(Metadata!F43,"animal-associated habitat"),exact(Metadata!F43,"insecta-associated habitat"),exact(Metadata!F43,"mammalia-associated habitat"),exact(Metadata!F43,"human-associated habitat"),exact(Metadata!F43,"livestock-associated habitat"))))</f>
        <v>0</v>
      </c>
      <c r="AH43">
        <f>AND(IF(Metadata!G43="",FALSE,TRUE),exact(Metadata!G43,"host-associated"))</f>
        <v>0</v>
      </c>
      <c r="AI43">
        <f>OR(AND(IF(Metadata!H43="",FALSE,TRUE),OR(exact(Metadata!H43,"not collected"),exact(Metadata!H43,"not provided"))),AND(IF(Metadata!H43="",FALSE,ISNUMBER(VALUE(Metadata!H43))),Metadata!H43&gt;0))</f>
        <v>0</v>
      </c>
      <c r="AJ43">
        <f>AND(IF(Metadata!I43="",FALSE,TRUE),exact(Metadata!I43,"years"))</f>
        <v>0</v>
      </c>
      <c r="AK43">
        <f>IF(Metadata!J43="",FALSE,TRUE)</f>
        <v>0</v>
      </c>
      <c r="AL43">
        <f>OR(AND(IF(Metadata!K43="",FALSE,TRUE),OR(exact(Metadata!K43,"not collected"),exact(Metadata!K43,"not provided"))),AND(IF(Metadata!K43="",FALSE,ISNUMBER(VALUE(Metadata!K43))),Metadata!K43&gt;0))</f>
        <v>0</v>
      </c>
      <c r="AM43">
        <f>AND(IF(Metadata!L43="",FALSE,TRUE),exact(Metadata!L43,"cm"))</f>
        <v>0</v>
      </c>
      <c r="AN43">
        <f>IF(Metadata!M43="",FALSE,TRUE)</f>
        <v>0</v>
      </c>
      <c r="AO43">
        <f>OR(AND(IF(Metadata!N43="",FALSE,TRUE),OR(exact(Metadata!N43,"not applicable"),exact(Metadata!N43,"not collected"),exact(Metadata!N43,"not provided"))),AND(IF(Metadata!N43="",FALSE,IF(ISERROR(INT(Metadata!N43)),FALSE,INT(Metadata!N43)=Metadata!N43)),Metadata!N43&gt;0))</f>
        <v>0</v>
      </c>
      <c r="AP43">
        <f>OR(AND(IF(Metadata!O43="",FALSE,TRUE),OR(exact(Metadata!O43,"not collected"),exact(Metadata!O43,"not provided"))),AND(IF(Metadata!O43="",FALSE,ISNUMBER(VALUE(Metadata!O43))),Metadata!O43&gt;0))</f>
        <v>0</v>
      </c>
      <c r="AQ43">
        <f>AND(IF(Metadata!P43="",FALSE,TRUE),exact(Metadata!P43,"kg"))</f>
        <v>0</v>
      </c>
      <c r="AR43">
        <f>OR(AND(IF(Metadata!Q43="",FALSE,TRUE),OR(exact(Metadata!Q43,"not applicable"),exact(Metadata!Q43,"not collected"),exact(Metadata!Q43,"not provided"),exact(Metadata!Q43,"restricted access"))),IF(Metadata!Q43="",FALSE,IF(ISERROR(INT(Metadata!Q43)),FALSE,INT(Metadata!Q43)=Metadata!Q43)))</f>
        <v>0</v>
      </c>
      <c r="AS43">
        <f>AND(IF(Metadata!R43="",FALSE,TRUE),exact(Metadata!R43,"Not applicable"))</f>
        <v>0</v>
      </c>
    </row>
    <row r="44" spans="1:45">
      <c r="A44" s="4">
        <f>IF(B44=" "," ",HYPERLINK(CONCATENATE("#metadata!",ADDRESS(INDEX($X$2:$X$1001,MATCH(ROWS($V$2:V44),$V$2:$V$1001,0),0),2)),INDEX($AA$2:$AA$1001,MATCH(ROWS($V$2:V44),$V$2:$V$1001,0),0)))</f>
        <v>0</v>
      </c>
      <c r="B44" s="5">
        <f>IF(OR(INDEX($W$2:$W$1001,MATCH(ROWS($V$2:V44),$V$2:$V$1001,0),1)&gt;=100000,INDEX($AC$1005:$AS$1005,1,MATCH(COLUMNS($AC$1006:AC1006),$AC$1006:$AS$1006,0))&gt;=100000), " ",IF(INDEX($AC$2:$AS$1001,MATCH(ROWS($V$2:V44),$V$2:$V$1001,0),MATCH(COLUMNS($AC$1006:AC1006),$AC$1006:$AS$1006,0)), HYPERLINK("#",""), HYPERLINK(CONCATENATE("#Metadata!", ADDRESS(INDEX($X$2:$X$1001,MATCH(ROWS($V$2:V44),$V$2:$V$1001,0),0), INDEX($AC$1004:$AS$1004,1,MATCH(COLUMNS($AC$1006:AC1006),$AC$1006:$AS$1006,0)))),"Fix")))</f>
        <v>0</v>
      </c>
      <c r="C44" s="5">
        <f>IF(OR(INDEX($W$2:$W$1001,MATCH(ROWS($V$2:V44),$V$2:$V$1001,0),1)&gt;=100000,INDEX($AC$1005:$AS$1005,1,MATCH(COLUMNS($AC$1006:AD1006),$AC$1006:$AS$1006,0))&gt;=100000), " ",IF(INDEX($AC$2:$AS$1001,MATCH(ROWS($V$2:V44),$V$2:$V$1001,0),MATCH(COLUMNS($AC$1006:AD1006),$AC$1006:$AS$1006,0)), HYPERLINK("#",""), HYPERLINK(CONCATENATE("#Metadata!", ADDRESS(INDEX($X$2:$X$1001,MATCH(ROWS($V$2:V44),$V$2:$V$1001,0),0), INDEX($AC$1004:$AS$1004,1,MATCH(COLUMNS($AC$1006:AD1006),$AC$1006:$AS$1006,0)))),"Fix")))</f>
        <v>0</v>
      </c>
      <c r="D44" s="5">
        <f>IF(OR(INDEX($W$2:$W$1001,MATCH(ROWS($V$2:V44),$V$2:$V$1001,0),1)&gt;=100000,INDEX($AC$1005:$AS$1005,1,MATCH(COLUMNS($AC$1006:AE1006),$AC$1006:$AS$1006,0))&gt;=100000), " ",IF(INDEX($AC$2:$AS$1001,MATCH(ROWS($V$2:V44),$V$2:$V$1001,0),MATCH(COLUMNS($AC$1006:AE1006),$AC$1006:$AS$1006,0)), HYPERLINK("#",""), HYPERLINK(CONCATENATE("#Metadata!", ADDRESS(INDEX($X$2:$X$1001,MATCH(ROWS($V$2:V44),$V$2:$V$1001,0),0), INDEX($AC$1004:$AS$1004,1,MATCH(COLUMNS($AC$1006:AE1006),$AC$1006:$AS$1006,0)))),"Fix")))</f>
        <v>0</v>
      </c>
      <c r="E44" s="5">
        <f>IF(OR(INDEX($W$2:$W$1001,MATCH(ROWS($V$2:V44),$V$2:$V$1001,0),1)&gt;=100000,INDEX($AC$1005:$AS$1005,1,MATCH(COLUMNS($AC$1006:AF1006),$AC$1006:$AS$1006,0))&gt;=100000), " ",IF(INDEX($AC$2:$AS$1001,MATCH(ROWS($V$2:V44),$V$2:$V$1001,0),MATCH(COLUMNS($AC$1006:AF1006),$AC$1006:$AS$1006,0)), HYPERLINK("#",""), HYPERLINK(CONCATENATE("#Metadata!", ADDRESS(INDEX($X$2:$X$1001,MATCH(ROWS($V$2:V44),$V$2:$V$1001,0),0), INDEX($AC$1004:$AS$1004,1,MATCH(COLUMNS($AC$1006:AF1006),$AC$1006:$AS$1006,0)))),"Fix")))</f>
        <v>0</v>
      </c>
      <c r="F44" s="5">
        <f>IF(OR(INDEX($W$2:$W$1001,MATCH(ROWS($V$2:V44),$V$2:$V$1001,0),1)&gt;=100000,INDEX($AC$1005:$AS$1005,1,MATCH(COLUMNS($AC$1006:AG1006),$AC$1006:$AS$1006,0))&gt;=100000), " ",IF(INDEX($AC$2:$AS$1001,MATCH(ROWS($V$2:V44),$V$2:$V$1001,0),MATCH(COLUMNS($AC$1006:AG1006),$AC$1006:$AS$1006,0)), HYPERLINK("#",""), HYPERLINK(CONCATENATE("#Metadata!", ADDRESS(INDEX($X$2:$X$1001,MATCH(ROWS($V$2:V44),$V$2:$V$1001,0),0), INDEX($AC$1004:$AS$1004,1,MATCH(COLUMNS($AC$1006:AG1006),$AC$1006:$AS$1006,0)))),"Fix")))</f>
        <v>0</v>
      </c>
      <c r="G44" s="5">
        <f>IF(OR(INDEX($W$2:$W$1001,MATCH(ROWS($V$2:V44),$V$2:$V$1001,0),1)&gt;=100000,INDEX($AC$1005:$AS$1005,1,MATCH(COLUMNS($AC$1006:AH1006),$AC$1006:$AS$1006,0))&gt;=100000), " ",IF(INDEX($AC$2:$AS$1001,MATCH(ROWS($V$2:V44),$V$2:$V$1001,0),MATCH(COLUMNS($AC$1006:AH1006),$AC$1006:$AS$1006,0)), HYPERLINK("#",""), HYPERLINK(CONCATENATE("#Metadata!", ADDRESS(INDEX($X$2:$X$1001,MATCH(ROWS($V$2:V44),$V$2:$V$1001,0),0), INDEX($AC$1004:$AS$1004,1,MATCH(COLUMNS($AC$1006:AH1006),$AC$1006:$AS$1006,0)))),"Fix")))</f>
        <v>0</v>
      </c>
      <c r="H44" s="5">
        <f>IF(OR(INDEX($W$2:$W$1001,MATCH(ROWS($V$2:V44),$V$2:$V$1001,0),1)&gt;=100000,INDEX($AC$1005:$AS$1005,1,MATCH(COLUMNS($AC$1006:AI1006),$AC$1006:$AS$1006,0))&gt;=100000), " ",IF(INDEX($AC$2:$AS$1001,MATCH(ROWS($V$2:V44),$V$2:$V$1001,0),MATCH(COLUMNS($AC$1006:AI1006),$AC$1006:$AS$1006,0)), HYPERLINK("#",""), HYPERLINK(CONCATENATE("#Metadata!", ADDRESS(INDEX($X$2:$X$1001,MATCH(ROWS($V$2:V44),$V$2:$V$1001,0),0), INDEX($AC$1004:$AS$1004,1,MATCH(COLUMNS($AC$1006:AI1006),$AC$1006:$AS$1006,0)))),"Fix")))</f>
        <v>0</v>
      </c>
      <c r="I44" s="5">
        <f>IF(OR(INDEX($W$2:$W$1001,MATCH(ROWS($V$2:V44),$V$2:$V$1001,0),1)&gt;=100000,INDEX($AC$1005:$AS$1005,1,MATCH(COLUMNS($AC$1006:AJ1006),$AC$1006:$AS$1006,0))&gt;=100000), " ",IF(INDEX($AC$2:$AS$1001,MATCH(ROWS($V$2:V44),$V$2:$V$1001,0),MATCH(COLUMNS($AC$1006:AJ1006),$AC$1006:$AS$1006,0)), HYPERLINK("#",""), HYPERLINK(CONCATENATE("#Metadata!", ADDRESS(INDEX($X$2:$X$1001,MATCH(ROWS($V$2:V44),$V$2:$V$1001,0),0), INDEX($AC$1004:$AS$1004,1,MATCH(COLUMNS($AC$1006:AJ1006),$AC$1006:$AS$1006,0)))),"Fix")))</f>
        <v>0</v>
      </c>
      <c r="J44" s="5">
        <f>IF(OR(INDEX($W$2:$W$1001,MATCH(ROWS($V$2:V44),$V$2:$V$1001,0),1)&gt;=100000,INDEX($AC$1005:$AS$1005,1,MATCH(COLUMNS($AC$1006:AK1006),$AC$1006:$AS$1006,0))&gt;=100000), " ",IF(INDEX($AC$2:$AS$1001,MATCH(ROWS($V$2:V44),$V$2:$V$1001,0),MATCH(COLUMNS($AC$1006:AK1006),$AC$1006:$AS$1006,0)), HYPERLINK("#",""), HYPERLINK(CONCATENATE("#Metadata!", ADDRESS(INDEX($X$2:$X$1001,MATCH(ROWS($V$2:V44),$V$2:$V$1001,0),0), INDEX($AC$1004:$AS$1004,1,MATCH(COLUMNS($AC$1006:AK1006),$AC$1006:$AS$1006,0)))),"Fix")))</f>
        <v>0</v>
      </c>
      <c r="K44" s="5">
        <f>IF(OR(INDEX($W$2:$W$1001,MATCH(ROWS($V$2:V44),$V$2:$V$1001,0),1)&gt;=100000,INDEX($AC$1005:$AS$1005,1,MATCH(COLUMNS($AC$1006:AL1006),$AC$1006:$AS$1006,0))&gt;=100000), " ",IF(INDEX($AC$2:$AS$1001,MATCH(ROWS($V$2:V44),$V$2:$V$1001,0),MATCH(COLUMNS($AC$1006:AL1006),$AC$1006:$AS$1006,0)), HYPERLINK("#",""), HYPERLINK(CONCATENATE("#Metadata!", ADDRESS(INDEX($X$2:$X$1001,MATCH(ROWS($V$2:V44),$V$2:$V$1001,0),0), INDEX($AC$1004:$AS$1004,1,MATCH(COLUMNS($AC$1006:AL1006),$AC$1006:$AS$1006,0)))),"Fix")))</f>
        <v>0</v>
      </c>
      <c r="L44" s="5">
        <f>IF(OR(INDEX($W$2:$W$1001,MATCH(ROWS($V$2:V44),$V$2:$V$1001,0),1)&gt;=100000,INDEX($AC$1005:$AS$1005,1,MATCH(COLUMNS($AC$1006:AM1006),$AC$1006:$AS$1006,0))&gt;=100000), " ",IF(INDEX($AC$2:$AS$1001,MATCH(ROWS($V$2:V44),$V$2:$V$1001,0),MATCH(COLUMNS($AC$1006:AM1006),$AC$1006:$AS$1006,0)), HYPERLINK("#",""), HYPERLINK(CONCATENATE("#Metadata!", ADDRESS(INDEX($X$2:$X$1001,MATCH(ROWS($V$2:V44),$V$2:$V$1001,0),0), INDEX($AC$1004:$AS$1004,1,MATCH(COLUMNS($AC$1006:AM1006),$AC$1006:$AS$1006,0)))),"Fix")))</f>
        <v>0</v>
      </c>
      <c r="M44" s="5">
        <f>IF(OR(INDEX($W$2:$W$1001,MATCH(ROWS($V$2:V44),$V$2:$V$1001,0),1)&gt;=100000,INDEX($AC$1005:$AS$1005,1,MATCH(COLUMNS($AC$1006:AN1006),$AC$1006:$AS$1006,0))&gt;=100000), " ",IF(INDEX($AC$2:$AS$1001,MATCH(ROWS($V$2:V44),$V$2:$V$1001,0),MATCH(COLUMNS($AC$1006:AN1006),$AC$1006:$AS$1006,0)), HYPERLINK("#",""), HYPERLINK(CONCATENATE("#Metadata!", ADDRESS(INDEX($X$2:$X$1001,MATCH(ROWS($V$2:V44),$V$2:$V$1001,0),0), INDEX($AC$1004:$AS$1004,1,MATCH(COLUMNS($AC$1006:AN1006),$AC$1006:$AS$1006,0)))),"Fix")))</f>
        <v>0</v>
      </c>
      <c r="N44" s="5">
        <f>IF(OR(INDEX($W$2:$W$1001,MATCH(ROWS($V$2:V44),$V$2:$V$1001,0),1)&gt;=100000,INDEX($AC$1005:$AS$1005,1,MATCH(COLUMNS($AC$1006:AO1006),$AC$1006:$AS$1006,0))&gt;=100000), " ",IF(INDEX($AC$2:$AS$1001,MATCH(ROWS($V$2:V44),$V$2:$V$1001,0),MATCH(COLUMNS($AC$1006:AO1006),$AC$1006:$AS$1006,0)), HYPERLINK("#",""), HYPERLINK(CONCATENATE("#Metadata!", ADDRESS(INDEX($X$2:$X$1001,MATCH(ROWS($V$2:V44),$V$2:$V$1001,0),0), INDEX($AC$1004:$AS$1004,1,MATCH(COLUMNS($AC$1006:AO1006),$AC$1006:$AS$1006,0)))),"Fix")))</f>
        <v>0</v>
      </c>
      <c r="O44" s="5">
        <f>IF(OR(INDEX($W$2:$W$1001,MATCH(ROWS($V$2:V44),$V$2:$V$1001,0),1)&gt;=100000,INDEX($AC$1005:$AS$1005,1,MATCH(COLUMNS($AC$1006:AP1006),$AC$1006:$AS$1006,0))&gt;=100000), " ",IF(INDEX($AC$2:$AS$1001,MATCH(ROWS($V$2:V44),$V$2:$V$1001,0),MATCH(COLUMNS($AC$1006:AP1006),$AC$1006:$AS$1006,0)), HYPERLINK("#",""), HYPERLINK(CONCATENATE("#Metadata!", ADDRESS(INDEX($X$2:$X$1001,MATCH(ROWS($V$2:V44),$V$2:$V$1001,0),0), INDEX($AC$1004:$AS$1004,1,MATCH(COLUMNS($AC$1006:AP1006),$AC$1006:$AS$1006,0)))),"Fix")))</f>
        <v>0</v>
      </c>
      <c r="P44" s="5">
        <f>IF(OR(INDEX($W$2:$W$1001,MATCH(ROWS($V$2:V44),$V$2:$V$1001,0),1)&gt;=100000,INDEX($AC$1005:$AS$1005,1,MATCH(COLUMNS($AC$1006:AQ1006),$AC$1006:$AS$1006,0))&gt;=100000), " ",IF(INDEX($AC$2:$AS$1001,MATCH(ROWS($V$2:V44),$V$2:$V$1001,0),MATCH(COLUMNS($AC$1006:AQ1006),$AC$1006:$AS$1006,0)), HYPERLINK("#",""), HYPERLINK(CONCATENATE("#Metadata!", ADDRESS(INDEX($X$2:$X$1001,MATCH(ROWS($V$2:V44),$V$2:$V$1001,0),0), INDEX($AC$1004:$AS$1004,1,MATCH(COLUMNS($AC$1006:AQ1006),$AC$1006:$AS$1006,0)))),"Fix")))</f>
        <v>0</v>
      </c>
      <c r="Q44" s="5">
        <f>IF(OR(INDEX($W$2:$W$1001,MATCH(ROWS($V$2:V44),$V$2:$V$1001,0),1)&gt;=100000,INDEX($AC$1005:$AS$1005,1,MATCH(COLUMNS($AC$1006:AR1006),$AC$1006:$AS$1006,0))&gt;=100000), " ",IF(INDEX($AC$2:$AS$1001,MATCH(ROWS($V$2:V44),$V$2:$V$1001,0),MATCH(COLUMNS($AC$1006:AR1006),$AC$1006:$AS$1006,0)), HYPERLINK("#",""), HYPERLINK(CONCATENATE("#Metadata!", ADDRESS(INDEX($X$2:$X$1001,MATCH(ROWS($V$2:V44),$V$2:$V$1001,0),0), INDEX($AC$1004:$AS$1004,1,MATCH(COLUMNS($AC$1006:AR1006),$AC$1006:$AS$1006,0)))),"Fix")))</f>
        <v>0</v>
      </c>
      <c r="R44" s="5">
        <f>IF(OR(INDEX($W$2:$W$1001,MATCH(ROWS($V$2:V44),$V$2:$V$1001,0),1)&gt;=100000,INDEX($AC$1005:$AS$1005,1,MATCH(COLUMNS($AC$1006:AS1006),$AC$1006:$AS$1006,0))&gt;=100000), " ",IF(INDEX($AC$2:$AS$1001,MATCH(ROWS($V$2:V44),$V$2:$V$1001,0),MATCH(COLUMNS($AC$1006:AS1006),$AC$1006:$AS$1006,0)), HYPERLINK("#",""), HYPERLINK(CONCATENATE("#Metadata!", ADDRESS(INDEX($X$2:$X$1001,MATCH(ROWS($V$2:V44),$V$2:$V$1001,0),0), INDEX($AC$1004:$AS$1004,1,MATCH(COLUMNS($AC$1006:AS1006),$AC$1006:$AS$1006,0)))),"Fix")))</f>
        <v>0</v>
      </c>
      <c r="V44">
        <v>0</v>
      </c>
      <c r="W44">
        <v>0</v>
      </c>
      <c r="X44">
        <v>0</v>
      </c>
      <c r="Y44">
        <f>IF(Z44,TRUE,AND(AC44:AS44))</f>
        <v>0</v>
      </c>
      <c r="Z44">
        <f>COUNTBLANK(Metadata!B44:R44)=COLUMNS(Metadata!B44:R44)</f>
        <v>0</v>
      </c>
      <c r="AA44">
        <v>0</v>
      </c>
      <c r="AC44">
        <f>AND(IF(Metadata!B44="",FALSE,TRUE),COUNTIF(Metadata!B:B, Metadata!B44) = 1,NOT(ISERROR(SUMPRODUCT(SEARCH(MID(Metadata!B44,ROW(INDIRECT("1:"&amp;LEN(Metadata!B44))), 1),"0123456789abcdefghijklmnopqrstuvwxyzABCDEFGHIJKLMNOPQRSTUVWXYZ.")))))</f>
        <v>0</v>
      </c>
      <c r="AD44">
        <f>AND(IF(Metadata!C44="",FALSE,TRUE),exact(Metadata!C44,"Host-associated"))</f>
        <v>0</v>
      </c>
      <c r="AE44">
        <f>AND(IF(Metadata!D44="",FALSE,TRUE),OR(exact(Metadata!D44,"Animal"),exact(Metadata!D44,"Fungus"),exact(Metadata!D44,"Plant")))</f>
        <v>0</v>
      </c>
      <c r="AF44">
        <f>AND(IF(Metadata!E44="",FALSE,TRUE),OR(exact(Metadata!E44,"Plant secretion"),exact(Metadata!E44,"Plant rhizosphere"),exact(Metadata!E44,"Plant surface"),exact(Metadata!E44,"Plant corpus"),exact(Metadata!E44,"Fungus surface"),exact(Metadata!E44,"Fungus corpus"),exact(Metadata!E44,"Animal surface"),exact(Metadata!E44,"Animal proximal gut"),exact(Metadata!E44,"Animal corpus"),exact(Metadata!E44,"Animal distal gut"),exact(Metadata!E44,"Animal secretion")))</f>
        <v>0</v>
      </c>
      <c r="AG44">
        <f>OR(AND(IF(Metadata!F44="",FALSE,TRUE),OR(exact(Metadata!F44,"not collected"),exact(Metadata!F44,"not provided"),exact(Metadata!F44,"restricted access"))),AND(IF(Metadata!F44="",FALSE,TRUE),OR(exact(Metadata!F44,"organism-associated habitat"),exact(Metadata!F44,"plant-associated habitat"),exact(Metadata!F44,"animal-associated habitat"),exact(Metadata!F44,"insecta-associated habitat"),exact(Metadata!F44,"mammalia-associated habitat"),exact(Metadata!F44,"human-associated habitat"),exact(Metadata!F44,"livestock-associated habitat"))))</f>
        <v>0</v>
      </c>
      <c r="AH44">
        <f>AND(IF(Metadata!G44="",FALSE,TRUE),exact(Metadata!G44,"host-associated"))</f>
        <v>0</v>
      </c>
      <c r="AI44">
        <f>OR(AND(IF(Metadata!H44="",FALSE,TRUE),OR(exact(Metadata!H44,"not collected"),exact(Metadata!H44,"not provided"))),AND(IF(Metadata!H44="",FALSE,ISNUMBER(VALUE(Metadata!H44))),Metadata!H44&gt;0))</f>
        <v>0</v>
      </c>
      <c r="AJ44">
        <f>AND(IF(Metadata!I44="",FALSE,TRUE),exact(Metadata!I44,"years"))</f>
        <v>0</v>
      </c>
      <c r="AK44">
        <f>IF(Metadata!J44="",FALSE,TRUE)</f>
        <v>0</v>
      </c>
      <c r="AL44">
        <f>OR(AND(IF(Metadata!K44="",FALSE,TRUE),OR(exact(Metadata!K44,"not collected"),exact(Metadata!K44,"not provided"))),AND(IF(Metadata!K44="",FALSE,ISNUMBER(VALUE(Metadata!K44))),Metadata!K44&gt;0))</f>
        <v>0</v>
      </c>
      <c r="AM44">
        <f>AND(IF(Metadata!L44="",FALSE,TRUE),exact(Metadata!L44,"cm"))</f>
        <v>0</v>
      </c>
      <c r="AN44">
        <f>IF(Metadata!M44="",FALSE,TRUE)</f>
        <v>0</v>
      </c>
      <c r="AO44">
        <f>OR(AND(IF(Metadata!N44="",FALSE,TRUE),OR(exact(Metadata!N44,"not applicable"),exact(Metadata!N44,"not collected"),exact(Metadata!N44,"not provided"))),AND(IF(Metadata!N44="",FALSE,IF(ISERROR(INT(Metadata!N44)),FALSE,INT(Metadata!N44)=Metadata!N44)),Metadata!N44&gt;0))</f>
        <v>0</v>
      </c>
      <c r="AP44">
        <f>OR(AND(IF(Metadata!O44="",FALSE,TRUE),OR(exact(Metadata!O44,"not collected"),exact(Metadata!O44,"not provided"))),AND(IF(Metadata!O44="",FALSE,ISNUMBER(VALUE(Metadata!O44))),Metadata!O44&gt;0))</f>
        <v>0</v>
      </c>
      <c r="AQ44">
        <f>AND(IF(Metadata!P44="",FALSE,TRUE),exact(Metadata!P44,"kg"))</f>
        <v>0</v>
      </c>
      <c r="AR44">
        <f>OR(AND(IF(Metadata!Q44="",FALSE,TRUE),OR(exact(Metadata!Q44,"not applicable"),exact(Metadata!Q44,"not collected"),exact(Metadata!Q44,"not provided"),exact(Metadata!Q44,"restricted access"))),IF(Metadata!Q44="",FALSE,IF(ISERROR(INT(Metadata!Q44)),FALSE,INT(Metadata!Q44)=Metadata!Q44)))</f>
        <v>0</v>
      </c>
      <c r="AS44">
        <f>AND(IF(Metadata!R44="",FALSE,TRUE),exact(Metadata!R44,"Not applicable"))</f>
        <v>0</v>
      </c>
    </row>
    <row r="45" spans="1:45">
      <c r="A45" s="4">
        <f>IF(B45=" "," ",HYPERLINK(CONCATENATE("#metadata!",ADDRESS(INDEX($X$2:$X$1001,MATCH(ROWS($V$2:V45),$V$2:$V$1001,0),0),2)),INDEX($AA$2:$AA$1001,MATCH(ROWS($V$2:V45),$V$2:$V$1001,0),0)))</f>
        <v>0</v>
      </c>
      <c r="B45" s="5">
        <f>IF(OR(INDEX($W$2:$W$1001,MATCH(ROWS($V$2:V45),$V$2:$V$1001,0),1)&gt;=100000,INDEX($AC$1005:$AS$1005,1,MATCH(COLUMNS($AC$1006:AC1006),$AC$1006:$AS$1006,0))&gt;=100000), " ",IF(INDEX($AC$2:$AS$1001,MATCH(ROWS($V$2:V45),$V$2:$V$1001,0),MATCH(COLUMNS($AC$1006:AC1006),$AC$1006:$AS$1006,0)), HYPERLINK("#",""), HYPERLINK(CONCATENATE("#Metadata!", ADDRESS(INDEX($X$2:$X$1001,MATCH(ROWS($V$2:V45),$V$2:$V$1001,0),0), INDEX($AC$1004:$AS$1004,1,MATCH(COLUMNS($AC$1006:AC1006),$AC$1006:$AS$1006,0)))),"Fix")))</f>
        <v>0</v>
      </c>
      <c r="C45" s="5">
        <f>IF(OR(INDEX($W$2:$W$1001,MATCH(ROWS($V$2:V45),$V$2:$V$1001,0),1)&gt;=100000,INDEX($AC$1005:$AS$1005,1,MATCH(COLUMNS($AC$1006:AD1006),$AC$1006:$AS$1006,0))&gt;=100000), " ",IF(INDEX($AC$2:$AS$1001,MATCH(ROWS($V$2:V45),$V$2:$V$1001,0),MATCH(COLUMNS($AC$1006:AD1006),$AC$1006:$AS$1006,0)), HYPERLINK("#",""), HYPERLINK(CONCATENATE("#Metadata!", ADDRESS(INDEX($X$2:$X$1001,MATCH(ROWS($V$2:V45),$V$2:$V$1001,0),0), INDEX($AC$1004:$AS$1004,1,MATCH(COLUMNS($AC$1006:AD1006),$AC$1006:$AS$1006,0)))),"Fix")))</f>
        <v>0</v>
      </c>
      <c r="D45" s="5">
        <f>IF(OR(INDEX($W$2:$W$1001,MATCH(ROWS($V$2:V45),$V$2:$V$1001,0),1)&gt;=100000,INDEX($AC$1005:$AS$1005,1,MATCH(COLUMNS($AC$1006:AE1006),$AC$1006:$AS$1006,0))&gt;=100000), " ",IF(INDEX($AC$2:$AS$1001,MATCH(ROWS($V$2:V45),$V$2:$V$1001,0),MATCH(COLUMNS($AC$1006:AE1006),$AC$1006:$AS$1006,0)), HYPERLINK("#",""), HYPERLINK(CONCATENATE("#Metadata!", ADDRESS(INDEX($X$2:$X$1001,MATCH(ROWS($V$2:V45),$V$2:$V$1001,0),0), INDEX($AC$1004:$AS$1004,1,MATCH(COLUMNS($AC$1006:AE1006),$AC$1006:$AS$1006,0)))),"Fix")))</f>
        <v>0</v>
      </c>
      <c r="E45" s="5">
        <f>IF(OR(INDEX($W$2:$W$1001,MATCH(ROWS($V$2:V45),$V$2:$V$1001,0),1)&gt;=100000,INDEX($AC$1005:$AS$1005,1,MATCH(COLUMNS($AC$1006:AF1006),$AC$1006:$AS$1006,0))&gt;=100000), " ",IF(INDEX($AC$2:$AS$1001,MATCH(ROWS($V$2:V45),$V$2:$V$1001,0),MATCH(COLUMNS($AC$1006:AF1006),$AC$1006:$AS$1006,0)), HYPERLINK("#",""), HYPERLINK(CONCATENATE("#Metadata!", ADDRESS(INDEX($X$2:$X$1001,MATCH(ROWS($V$2:V45),$V$2:$V$1001,0),0), INDEX($AC$1004:$AS$1004,1,MATCH(COLUMNS($AC$1006:AF1006),$AC$1006:$AS$1006,0)))),"Fix")))</f>
        <v>0</v>
      </c>
      <c r="F45" s="5">
        <f>IF(OR(INDEX($W$2:$W$1001,MATCH(ROWS($V$2:V45),$V$2:$V$1001,0),1)&gt;=100000,INDEX($AC$1005:$AS$1005,1,MATCH(COLUMNS($AC$1006:AG1006),$AC$1006:$AS$1006,0))&gt;=100000), " ",IF(INDEX($AC$2:$AS$1001,MATCH(ROWS($V$2:V45),$V$2:$V$1001,0),MATCH(COLUMNS($AC$1006:AG1006),$AC$1006:$AS$1006,0)), HYPERLINK("#",""), HYPERLINK(CONCATENATE("#Metadata!", ADDRESS(INDEX($X$2:$X$1001,MATCH(ROWS($V$2:V45),$V$2:$V$1001,0),0), INDEX($AC$1004:$AS$1004,1,MATCH(COLUMNS($AC$1006:AG1006),$AC$1006:$AS$1006,0)))),"Fix")))</f>
        <v>0</v>
      </c>
      <c r="G45" s="5">
        <f>IF(OR(INDEX($W$2:$W$1001,MATCH(ROWS($V$2:V45),$V$2:$V$1001,0),1)&gt;=100000,INDEX($AC$1005:$AS$1005,1,MATCH(COLUMNS($AC$1006:AH1006),$AC$1006:$AS$1006,0))&gt;=100000), " ",IF(INDEX($AC$2:$AS$1001,MATCH(ROWS($V$2:V45),$V$2:$V$1001,0),MATCH(COLUMNS($AC$1006:AH1006),$AC$1006:$AS$1006,0)), HYPERLINK("#",""), HYPERLINK(CONCATENATE("#Metadata!", ADDRESS(INDEX($X$2:$X$1001,MATCH(ROWS($V$2:V45),$V$2:$V$1001,0),0), INDEX($AC$1004:$AS$1004,1,MATCH(COLUMNS($AC$1006:AH1006),$AC$1006:$AS$1006,0)))),"Fix")))</f>
        <v>0</v>
      </c>
      <c r="H45" s="5">
        <f>IF(OR(INDEX($W$2:$W$1001,MATCH(ROWS($V$2:V45),$V$2:$V$1001,0),1)&gt;=100000,INDEX($AC$1005:$AS$1005,1,MATCH(COLUMNS($AC$1006:AI1006),$AC$1006:$AS$1006,0))&gt;=100000), " ",IF(INDEX($AC$2:$AS$1001,MATCH(ROWS($V$2:V45),$V$2:$V$1001,0),MATCH(COLUMNS($AC$1006:AI1006),$AC$1006:$AS$1006,0)), HYPERLINK("#",""), HYPERLINK(CONCATENATE("#Metadata!", ADDRESS(INDEX($X$2:$X$1001,MATCH(ROWS($V$2:V45),$V$2:$V$1001,0),0), INDEX($AC$1004:$AS$1004,1,MATCH(COLUMNS($AC$1006:AI1006),$AC$1006:$AS$1006,0)))),"Fix")))</f>
        <v>0</v>
      </c>
      <c r="I45" s="5">
        <f>IF(OR(INDEX($W$2:$W$1001,MATCH(ROWS($V$2:V45),$V$2:$V$1001,0),1)&gt;=100000,INDEX($AC$1005:$AS$1005,1,MATCH(COLUMNS($AC$1006:AJ1006),$AC$1006:$AS$1006,0))&gt;=100000), " ",IF(INDEX($AC$2:$AS$1001,MATCH(ROWS($V$2:V45),$V$2:$V$1001,0),MATCH(COLUMNS($AC$1006:AJ1006),$AC$1006:$AS$1006,0)), HYPERLINK("#",""), HYPERLINK(CONCATENATE("#Metadata!", ADDRESS(INDEX($X$2:$X$1001,MATCH(ROWS($V$2:V45),$V$2:$V$1001,0),0), INDEX($AC$1004:$AS$1004,1,MATCH(COLUMNS($AC$1006:AJ1006),$AC$1006:$AS$1006,0)))),"Fix")))</f>
        <v>0</v>
      </c>
      <c r="J45" s="5">
        <f>IF(OR(INDEX($W$2:$W$1001,MATCH(ROWS($V$2:V45),$V$2:$V$1001,0),1)&gt;=100000,INDEX($AC$1005:$AS$1005,1,MATCH(COLUMNS($AC$1006:AK1006),$AC$1006:$AS$1006,0))&gt;=100000), " ",IF(INDEX($AC$2:$AS$1001,MATCH(ROWS($V$2:V45),$V$2:$V$1001,0),MATCH(COLUMNS($AC$1006:AK1006),$AC$1006:$AS$1006,0)), HYPERLINK("#",""), HYPERLINK(CONCATENATE("#Metadata!", ADDRESS(INDEX($X$2:$X$1001,MATCH(ROWS($V$2:V45),$V$2:$V$1001,0),0), INDEX($AC$1004:$AS$1004,1,MATCH(COLUMNS($AC$1006:AK1006),$AC$1006:$AS$1006,0)))),"Fix")))</f>
        <v>0</v>
      </c>
      <c r="K45" s="5">
        <f>IF(OR(INDEX($W$2:$W$1001,MATCH(ROWS($V$2:V45),$V$2:$V$1001,0),1)&gt;=100000,INDEX($AC$1005:$AS$1005,1,MATCH(COLUMNS($AC$1006:AL1006),$AC$1006:$AS$1006,0))&gt;=100000), " ",IF(INDEX($AC$2:$AS$1001,MATCH(ROWS($V$2:V45),$V$2:$V$1001,0),MATCH(COLUMNS($AC$1006:AL1006),$AC$1006:$AS$1006,0)), HYPERLINK("#",""), HYPERLINK(CONCATENATE("#Metadata!", ADDRESS(INDEX($X$2:$X$1001,MATCH(ROWS($V$2:V45),$V$2:$V$1001,0),0), INDEX($AC$1004:$AS$1004,1,MATCH(COLUMNS($AC$1006:AL1006),$AC$1006:$AS$1006,0)))),"Fix")))</f>
        <v>0</v>
      </c>
      <c r="L45" s="5">
        <f>IF(OR(INDEX($W$2:$W$1001,MATCH(ROWS($V$2:V45),$V$2:$V$1001,0),1)&gt;=100000,INDEX($AC$1005:$AS$1005,1,MATCH(COLUMNS($AC$1006:AM1006),$AC$1006:$AS$1006,0))&gt;=100000), " ",IF(INDEX($AC$2:$AS$1001,MATCH(ROWS($V$2:V45),$V$2:$V$1001,0),MATCH(COLUMNS($AC$1006:AM1006),$AC$1006:$AS$1006,0)), HYPERLINK("#",""), HYPERLINK(CONCATENATE("#Metadata!", ADDRESS(INDEX($X$2:$X$1001,MATCH(ROWS($V$2:V45),$V$2:$V$1001,0),0), INDEX($AC$1004:$AS$1004,1,MATCH(COLUMNS($AC$1006:AM1006),$AC$1006:$AS$1006,0)))),"Fix")))</f>
        <v>0</v>
      </c>
      <c r="M45" s="5">
        <f>IF(OR(INDEX($W$2:$W$1001,MATCH(ROWS($V$2:V45),$V$2:$V$1001,0),1)&gt;=100000,INDEX($AC$1005:$AS$1005,1,MATCH(COLUMNS($AC$1006:AN1006),$AC$1006:$AS$1006,0))&gt;=100000), " ",IF(INDEX($AC$2:$AS$1001,MATCH(ROWS($V$2:V45),$V$2:$V$1001,0),MATCH(COLUMNS($AC$1006:AN1006),$AC$1006:$AS$1006,0)), HYPERLINK("#",""), HYPERLINK(CONCATENATE("#Metadata!", ADDRESS(INDEX($X$2:$X$1001,MATCH(ROWS($V$2:V45),$V$2:$V$1001,0),0), INDEX($AC$1004:$AS$1004,1,MATCH(COLUMNS($AC$1006:AN1006),$AC$1006:$AS$1006,0)))),"Fix")))</f>
        <v>0</v>
      </c>
      <c r="N45" s="5">
        <f>IF(OR(INDEX($W$2:$W$1001,MATCH(ROWS($V$2:V45),$V$2:$V$1001,0),1)&gt;=100000,INDEX($AC$1005:$AS$1005,1,MATCH(COLUMNS($AC$1006:AO1006),$AC$1006:$AS$1006,0))&gt;=100000), " ",IF(INDEX($AC$2:$AS$1001,MATCH(ROWS($V$2:V45),$V$2:$V$1001,0),MATCH(COLUMNS($AC$1006:AO1006),$AC$1006:$AS$1006,0)), HYPERLINK("#",""), HYPERLINK(CONCATENATE("#Metadata!", ADDRESS(INDEX($X$2:$X$1001,MATCH(ROWS($V$2:V45),$V$2:$V$1001,0),0), INDEX($AC$1004:$AS$1004,1,MATCH(COLUMNS($AC$1006:AO1006),$AC$1006:$AS$1006,0)))),"Fix")))</f>
        <v>0</v>
      </c>
      <c r="O45" s="5">
        <f>IF(OR(INDEX($W$2:$W$1001,MATCH(ROWS($V$2:V45),$V$2:$V$1001,0),1)&gt;=100000,INDEX($AC$1005:$AS$1005,1,MATCH(COLUMNS($AC$1006:AP1006),$AC$1006:$AS$1006,0))&gt;=100000), " ",IF(INDEX($AC$2:$AS$1001,MATCH(ROWS($V$2:V45),$V$2:$V$1001,0),MATCH(COLUMNS($AC$1006:AP1006),$AC$1006:$AS$1006,0)), HYPERLINK("#",""), HYPERLINK(CONCATENATE("#Metadata!", ADDRESS(INDEX($X$2:$X$1001,MATCH(ROWS($V$2:V45),$V$2:$V$1001,0),0), INDEX($AC$1004:$AS$1004,1,MATCH(COLUMNS($AC$1006:AP1006),$AC$1006:$AS$1006,0)))),"Fix")))</f>
        <v>0</v>
      </c>
      <c r="P45" s="5">
        <f>IF(OR(INDEX($W$2:$W$1001,MATCH(ROWS($V$2:V45),$V$2:$V$1001,0),1)&gt;=100000,INDEX($AC$1005:$AS$1005,1,MATCH(COLUMNS($AC$1006:AQ1006),$AC$1006:$AS$1006,0))&gt;=100000), " ",IF(INDEX($AC$2:$AS$1001,MATCH(ROWS($V$2:V45),$V$2:$V$1001,0),MATCH(COLUMNS($AC$1006:AQ1006),$AC$1006:$AS$1006,0)), HYPERLINK("#",""), HYPERLINK(CONCATENATE("#Metadata!", ADDRESS(INDEX($X$2:$X$1001,MATCH(ROWS($V$2:V45),$V$2:$V$1001,0),0), INDEX($AC$1004:$AS$1004,1,MATCH(COLUMNS($AC$1006:AQ1006),$AC$1006:$AS$1006,0)))),"Fix")))</f>
        <v>0</v>
      </c>
      <c r="Q45" s="5">
        <f>IF(OR(INDEX($W$2:$W$1001,MATCH(ROWS($V$2:V45),$V$2:$V$1001,0),1)&gt;=100000,INDEX($AC$1005:$AS$1005,1,MATCH(COLUMNS($AC$1006:AR1006),$AC$1006:$AS$1006,0))&gt;=100000), " ",IF(INDEX($AC$2:$AS$1001,MATCH(ROWS($V$2:V45),$V$2:$V$1001,0),MATCH(COLUMNS($AC$1006:AR1006),$AC$1006:$AS$1006,0)), HYPERLINK("#",""), HYPERLINK(CONCATENATE("#Metadata!", ADDRESS(INDEX($X$2:$X$1001,MATCH(ROWS($V$2:V45),$V$2:$V$1001,0),0), INDEX($AC$1004:$AS$1004,1,MATCH(COLUMNS($AC$1006:AR1006),$AC$1006:$AS$1006,0)))),"Fix")))</f>
        <v>0</v>
      </c>
      <c r="R45" s="5">
        <f>IF(OR(INDEX($W$2:$W$1001,MATCH(ROWS($V$2:V45),$V$2:$V$1001,0),1)&gt;=100000,INDEX($AC$1005:$AS$1005,1,MATCH(COLUMNS($AC$1006:AS1006),$AC$1006:$AS$1006,0))&gt;=100000), " ",IF(INDEX($AC$2:$AS$1001,MATCH(ROWS($V$2:V45),$V$2:$V$1001,0),MATCH(COLUMNS($AC$1006:AS1006),$AC$1006:$AS$1006,0)), HYPERLINK("#",""), HYPERLINK(CONCATENATE("#Metadata!", ADDRESS(INDEX($X$2:$X$1001,MATCH(ROWS($V$2:V45),$V$2:$V$1001,0),0), INDEX($AC$1004:$AS$1004,1,MATCH(COLUMNS($AC$1006:AS1006),$AC$1006:$AS$1006,0)))),"Fix")))</f>
        <v>0</v>
      </c>
      <c r="V45">
        <v>0</v>
      </c>
      <c r="W45">
        <v>0</v>
      </c>
      <c r="X45">
        <v>0</v>
      </c>
      <c r="Y45">
        <f>IF(Z45,TRUE,AND(AC45:AS45))</f>
        <v>0</v>
      </c>
      <c r="Z45">
        <f>COUNTBLANK(Metadata!B45:R45)=COLUMNS(Metadata!B45:R45)</f>
        <v>0</v>
      </c>
      <c r="AA45">
        <v>0</v>
      </c>
      <c r="AC45">
        <f>AND(IF(Metadata!B45="",FALSE,TRUE),COUNTIF(Metadata!B:B, Metadata!B45) = 1,NOT(ISERROR(SUMPRODUCT(SEARCH(MID(Metadata!B45,ROW(INDIRECT("1:"&amp;LEN(Metadata!B45))), 1),"0123456789abcdefghijklmnopqrstuvwxyzABCDEFGHIJKLMNOPQRSTUVWXYZ.")))))</f>
        <v>0</v>
      </c>
      <c r="AD45">
        <f>AND(IF(Metadata!C45="",FALSE,TRUE),exact(Metadata!C45,"Host-associated"))</f>
        <v>0</v>
      </c>
      <c r="AE45">
        <f>AND(IF(Metadata!D45="",FALSE,TRUE),OR(exact(Metadata!D45,"Animal"),exact(Metadata!D45,"Fungus"),exact(Metadata!D45,"Plant")))</f>
        <v>0</v>
      </c>
      <c r="AF45">
        <f>AND(IF(Metadata!E45="",FALSE,TRUE),OR(exact(Metadata!E45,"Plant secretion"),exact(Metadata!E45,"Plant rhizosphere"),exact(Metadata!E45,"Plant surface"),exact(Metadata!E45,"Plant corpus"),exact(Metadata!E45,"Fungus surface"),exact(Metadata!E45,"Fungus corpus"),exact(Metadata!E45,"Animal surface"),exact(Metadata!E45,"Animal proximal gut"),exact(Metadata!E45,"Animal corpus"),exact(Metadata!E45,"Animal distal gut"),exact(Metadata!E45,"Animal secretion")))</f>
        <v>0</v>
      </c>
      <c r="AG45">
        <f>OR(AND(IF(Metadata!F45="",FALSE,TRUE),OR(exact(Metadata!F45,"not collected"),exact(Metadata!F45,"not provided"),exact(Metadata!F45,"restricted access"))),AND(IF(Metadata!F45="",FALSE,TRUE),OR(exact(Metadata!F45,"organism-associated habitat"),exact(Metadata!F45,"plant-associated habitat"),exact(Metadata!F45,"animal-associated habitat"),exact(Metadata!F45,"insecta-associated habitat"),exact(Metadata!F45,"mammalia-associated habitat"),exact(Metadata!F45,"human-associated habitat"),exact(Metadata!F45,"livestock-associated habitat"))))</f>
        <v>0</v>
      </c>
      <c r="AH45">
        <f>AND(IF(Metadata!G45="",FALSE,TRUE),exact(Metadata!G45,"host-associated"))</f>
        <v>0</v>
      </c>
      <c r="AI45">
        <f>OR(AND(IF(Metadata!H45="",FALSE,TRUE),OR(exact(Metadata!H45,"not collected"),exact(Metadata!H45,"not provided"))),AND(IF(Metadata!H45="",FALSE,ISNUMBER(VALUE(Metadata!H45))),Metadata!H45&gt;0))</f>
        <v>0</v>
      </c>
      <c r="AJ45">
        <f>AND(IF(Metadata!I45="",FALSE,TRUE),exact(Metadata!I45,"years"))</f>
        <v>0</v>
      </c>
      <c r="AK45">
        <f>IF(Metadata!J45="",FALSE,TRUE)</f>
        <v>0</v>
      </c>
      <c r="AL45">
        <f>OR(AND(IF(Metadata!K45="",FALSE,TRUE),OR(exact(Metadata!K45,"not collected"),exact(Metadata!K45,"not provided"))),AND(IF(Metadata!K45="",FALSE,ISNUMBER(VALUE(Metadata!K45))),Metadata!K45&gt;0))</f>
        <v>0</v>
      </c>
      <c r="AM45">
        <f>AND(IF(Metadata!L45="",FALSE,TRUE),exact(Metadata!L45,"cm"))</f>
        <v>0</v>
      </c>
      <c r="AN45">
        <f>IF(Metadata!M45="",FALSE,TRUE)</f>
        <v>0</v>
      </c>
      <c r="AO45">
        <f>OR(AND(IF(Metadata!N45="",FALSE,TRUE),OR(exact(Metadata!N45,"not applicable"),exact(Metadata!N45,"not collected"),exact(Metadata!N45,"not provided"))),AND(IF(Metadata!N45="",FALSE,IF(ISERROR(INT(Metadata!N45)),FALSE,INT(Metadata!N45)=Metadata!N45)),Metadata!N45&gt;0))</f>
        <v>0</v>
      </c>
      <c r="AP45">
        <f>OR(AND(IF(Metadata!O45="",FALSE,TRUE),OR(exact(Metadata!O45,"not collected"),exact(Metadata!O45,"not provided"))),AND(IF(Metadata!O45="",FALSE,ISNUMBER(VALUE(Metadata!O45))),Metadata!O45&gt;0))</f>
        <v>0</v>
      </c>
      <c r="AQ45">
        <f>AND(IF(Metadata!P45="",FALSE,TRUE),exact(Metadata!P45,"kg"))</f>
        <v>0</v>
      </c>
      <c r="AR45">
        <f>OR(AND(IF(Metadata!Q45="",FALSE,TRUE),OR(exact(Metadata!Q45,"not applicable"),exact(Metadata!Q45,"not collected"),exact(Metadata!Q45,"not provided"),exact(Metadata!Q45,"restricted access"))),IF(Metadata!Q45="",FALSE,IF(ISERROR(INT(Metadata!Q45)),FALSE,INT(Metadata!Q45)=Metadata!Q45)))</f>
        <v>0</v>
      </c>
      <c r="AS45">
        <f>AND(IF(Metadata!R45="",FALSE,TRUE),exact(Metadata!R45,"Not applicable"))</f>
        <v>0</v>
      </c>
    </row>
    <row r="46" spans="1:45">
      <c r="A46" s="4">
        <f>IF(B46=" "," ",HYPERLINK(CONCATENATE("#metadata!",ADDRESS(INDEX($X$2:$X$1001,MATCH(ROWS($V$2:V46),$V$2:$V$1001,0),0),2)),INDEX($AA$2:$AA$1001,MATCH(ROWS($V$2:V46),$V$2:$V$1001,0),0)))</f>
        <v>0</v>
      </c>
      <c r="B46" s="5">
        <f>IF(OR(INDEX($W$2:$W$1001,MATCH(ROWS($V$2:V46),$V$2:$V$1001,0),1)&gt;=100000,INDEX($AC$1005:$AS$1005,1,MATCH(COLUMNS($AC$1006:AC1006),$AC$1006:$AS$1006,0))&gt;=100000), " ",IF(INDEX($AC$2:$AS$1001,MATCH(ROWS($V$2:V46),$V$2:$V$1001,0),MATCH(COLUMNS($AC$1006:AC1006),$AC$1006:$AS$1006,0)), HYPERLINK("#",""), HYPERLINK(CONCATENATE("#Metadata!", ADDRESS(INDEX($X$2:$X$1001,MATCH(ROWS($V$2:V46),$V$2:$V$1001,0),0), INDEX($AC$1004:$AS$1004,1,MATCH(COLUMNS($AC$1006:AC1006),$AC$1006:$AS$1006,0)))),"Fix")))</f>
        <v>0</v>
      </c>
      <c r="C46" s="5">
        <f>IF(OR(INDEX($W$2:$W$1001,MATCH(ROWS($V$2:V46),$V$2:$V$1001,0),1)&gt;=100000,INDEX($AC$1005:$AS$1005,1,MATCH(COLUMNS($AC$1006:AD1006),$AC$1006:$AS$1006,0))&gt;=100000), " ",IF(INDEX($AC$2:$AS$1001,MATCH(ROWS($V$2:V46),$V$2:$V$1001,0),MATCH(COLUMNS($AC$1006:AD1006),$AC$1006:$AS$1006,0)), HYPERLINK("#",""), HYPERLINK(CONCATENATE("#Metadata!", ADDRESS(INDEX($X$2:$X$1001,MATCH(ROWS($V$2:V46),$V$2:$V$1001,0),0), INDEX($AC$1004:$AS$1004,1,MATCH(COLUMNS($AC$1006:AD1006),$AC$1006:$AS$1006,0)))),"Fix")))</f>
        <v>0</v>
      </c>
      <c r="D46" s="5">
        <f>IF(OR(INDEX($W$2:$W$1001,MATCH(ROWS($V$2:V46),$V$2:$V$1001,0),1)&gt;=100000,INDEX($AC$1005:$AS$1005,1,MATCH(COLUMNS($AC$1006:AE1006),$AC$1006:$AS$1006,0))&gt;=100000), " ",IF(INDEX($AC$2:$AS$1001,MATCH(ROWS($V$2:V46),$V$2:$V$1001,0),MATCH(COLUMNS($AC$1006:AE1006),$AC$1006:$AS$1006,0)), HYPERLINK("#",""), HYPERLINK(CONCATENATE("#Metadata!", ADDRESS(INDEX($X$2:$X$1001,MATCH(ROWS($V$2:V46),$V$2:$V$1001,0),0), INDEX($AC$1004:$AS$1004,1,MATCH(COLUMNS($AC$1006:AE1006),$AC$1006:$AS$1006,0)))),"Fix")))</f>
        <v>0</v>
      </c>
      <c r="E46" s="5">
        <f>IF(OR(INDEX($W$2:$W$1001,MATCH(ROWS($V$2:V46),$V$2:$V$1001,0),1)&gt;=100000,INDEX($AC$1005:$AS$1005,1,MATCH(COLUMNS($AC$1006:AF1006),$AC$1006:$AS$1006,0))&gt;=100000), " ",IF(INDEX($AC$2:$AS$1001,MATCH(ROWS($V$2:V46),$V$2:$V$1001,0),MATCH(COLUMNS($AC$1006:AF1006),$AC$1006:$AS$1006,0)), HYPERLINK("#",""), HYPERLINK(CONCATENATE("#Metadata!", ADDRESS(INDEX($X$2:$X$1001,MATCH(ROWS($V$2:V46),$V$2:$V$1001,0),0), INDEX($AC$1004:$AS$1004,1,MATCH(COLUMNS($AC$1006:AF1006),$AC$1006:$AS$1006,0)))),"Fix")))</f>
        <v>0</v>
      </c>
      <c r="F46" s="5">
        <f>IF(OR(INDEX($W$2:$W$1001,MATCH(ROWS($V$2:V46),$V$2:$V$1001,0),1)&gt;=100000,INDEX($AC$1005:$AS$1005,1,MATCH(COLUMNS($AC$1006:AG1006),$AC$1006:$AS$1006,0))&gt;=100000), " ",IF(INDEX($AC$2:$AS$1001,MATCH(ROWS($V$2:V46),$V$2:$V$1001,0),MATCH(COLUMNS($AC$1006:AG1006),$AC$1006:$AS$1006,0)), HYPERLINK("#",""), HYPERLINK(CONCATENATE("#Metadata!", ADDRESS(INDEX($X$2:$X$1001,MATCH(ROWS($V$2:V46),$V$2:$V$1001,0),0), INDEX($AC$1004:$AS$1004,1,MATCH(COLUMNS($AC$1006:AG1006),$AC$1006:$AS$1006,0)))),"Fix")))</f>
        <v>0</v>
      </c>
      <c r="G46" s="5">
        <f>IF(OR(INDEX($W$2:$W$1001,MATCH(ROWS($V$2:V46),$V$2:$V$1001,0),1)&gt;=100000,INDEX($AC$1005:$AS$1005,1,MATCH(COLUMNS($AC$1006:AH1006),$AC$1006:$AS$1006,0))&gt;=100000), " ",IF(INDEX($AC$2:$AS$1001,MATCH(ROWS($V$2:V46),$V$2:$V$1001,0),MATCH(COLUMNS($AC$1006:AH1006),$AC$1006:$AS$1006,0)), HYPERLINK("#",""), HYPERLINK(CONCATENATE("#Metadata!", ADDRESS(INDEX($X$2:$X$1001,MATCH(ROWS($V$2:V46),$V$2:$V$1001,0),0), INDEX($AC$1004:$AS$1004,1,MATCH(COLUMNS($AC$1006:AH1006),$AC$1006:$AS$1006,0)))),"Fix")))</f>
        <v>0</v>
      </c>
      <c r="H46" s="5">
        <f>IF(OR(INDEX($W$2:$W$1001,MATCH(ROWS($V$2:V46),$V$2:$V$1001,0),1)&gt;=100000,INDEX($AC$1005:$AS$1005,1,MATCH(COLUMNS($AC$1006:AI1006),$AC$1006:$AS$1006,0))&gt;=100000), " ",IF(INDEX($AC$2:$AS$1001,MATCH(ROWS($V$2:V46),$V$2:$V$1001,0),MATCH(COLUMNS($AC$1006:AI1006),$AC$1006:$AS$1006,0)), HYPERLINK("#",""), HYPERLINK(CONCATENATE("#Metadata!", ADDRESS(INDEX($X$2:$X$1001,MATCH(ROWS($V$2:V46),$V$2:$V$1001,0),0), INDEX($AC$1004:$AS$1004,1,MATCH(COLUMNS($AC$1006:AI1006),$AC$1006:$AS$1006,0)))),"Fix")))</f>
        <v>0</v>
      </c>
      <c r="I46" s="5">
        <f>IF(OR(INDEX($W$2:$W$1001,MATCH(ROWS($V$2:V46),$V$2:$V$1001,0),1)&gt;=100000,INDEX($AC$1005:$AS$1005,1,MATCH(COLUMNS($AC$1006:AJ1006),$AC$1006:$AS$1006,0))&gt;=100000), " ",IF(INDEX($AC$2:$AS$1001,MATCH(ROWS($V$2:V46),$V$2:$V$1001,0),MATCH(COLUMNS($AC$1006:AJ1006),$AC$1006:$AS$1006,0)), HYPERLINK("#",""), HYPERLINK(CONCATENATE("#Metadata!", ADDRESS(INDEX($X$2:$X$1001,MATCH(ROWS($V$2:V46),$V$2:$V$1001,0),0), INDEX($AC$1004:$AS$1004,1,MATCH(COLUMNS($AC$1006:AJ1006),$AC$1006:$AS$1006,0)))),"Fix")))</f>
        <v>0</v>
      </c>
      <c r="J46" s="5">
        <f>IF(OR(INDEX($W$2:$W$1001,MATCH(ROWS($V$2:V46),$V$2:$V$1001,0),1)&gt;=100000,INDEX($AC$1005:$AS$1005,1,MATCH(COLUMNS($AC$1006:AK1006),$AC$1006:$AS$1006,0))&gt;=100000), " ",IF(INDEX($AC$2:$AS$1001,MATCH(ROWS($V$2:V46),$V$2:$V$1001,0),MATCH(COLUMNS($AC$1006:AK1006),$AC$1006:$AS$1006,0)), HYPERLINK("#",""), HYPERLINK(CONCATENATE("#Metadata!", ADDRESS(INDEX($X$2:$X$1001,MATCH(ROWS($V$2:V46),$V$2:$V$1001,0),0), INDEX($AC$1004:$AS$1004,1,MATCH(COLUMNS($AC$1006:AK1006),$AC$1006:$AS$1006,0)))),"Fix")))</f>
        <v>0</v>
      </c>
      <c r="K46" s="5">
        <f>IF(OR(INDEX($W$2:$W$1001,MATCH(ROWS($V$2:V46),$V$2:$V$1001,0),1)&gt;=100000,INDEX($AC$1005:$AS$1005,1,MATCH(COLUMNS($AC$1006:AL1006),$AC$1006:$AS$1006,0))&gt;=100000), " ",IF(INDEX($AC$2:$AS$1001,MATCH(ROWS($V$2:V46),$V$2:$V$1001,0),MATCH(COLUMNS($AC$1006:AL1006),$AC$1006:$AS$1006,0)), HYPERLINK("#",""), HYPERLINK(CONCATENATE("#Metadata!", ADDRESS(INDEX($X$2:$X$1001,MATCH(ROWS($V$2:V46),$V$2:$V$1001,0),0), INDEX($AC$1004:$AS$1004,1,MATCH(COLUMNS($AC$1006:AL1006),$AC$1006:$AS$1006,0)))),"Fix")))</f>
        <v>0</v>
      </c>
      <c r="L46" s="5">
        <f>IF(OR(INDEX($W$2:$W$1001,MATCH(ROWS($V$2:V46),$V$2:$V$1001,0),1)&gt;=100000,INDEX($AC$1005:$AS$1005,1,MATCH(COLUMNS($AC$1006:AM1006),$AC$1006:$AS$1006,0))&gt;=100000), " ",IF(INDEX($AC$2:$AS$1001,MATCH(ROWS($V$2:V46),$V$2:$V$1001,0),MATCH(COLUMNS($AC$1006:AM1006),$AC$1006:$AS$1006,0)), HYPERLINK("#",""), HYPERLINK(CONCATENATE("#Metadata!", ADDRESS(INDEX($X$2:$X$1001,MATCH(ROWS($V$2:V46),$V$2:$V$1001,0),0), INDEX($AC$1004:$AS$1004,1,MATCH(COLUMNS($AC$1006:AM1006),$AC$1006:$AS$1006,0)))),"Fix")))</f>
        <v>0</v>
      </c>
      <c r="M46" s="5">
        <f>IF(OR(INDEX($W$2:$W$1001,MATCH(ROWS($V$2:V46),$V$2:$V$1001,0),1)&gt;=100000,INDEX($AC$1005:$AS$1005,1,MATCH(COLUMNS($AC$1006:AN1006),$AC$1006:$AS$1006,0))&gt;=100000), " ",IF(INDEX($AC$2:$AS$1001,MATCH(ROWS($V$2:V46),$V$2:$V$1001,0),MATCH(COLUMNS($AC$1006:AN1006),$AC$1006:$AS$1006,0)), HYPERLINK("#",""), HYPERLINK(CONCATENATE("#Metadata!", ADDRESS(INDEX($X$2:$X$1001,MATCH(ROWS($V$2:V46),$V$2:$V$1001,0),0), INDEX($AC$1004:$AS$1004,1,MATCH(COLUMNS($AC$1006:AN1006),$AC$1006:$AS$1006,0)))),"Fix")))</f>
        <v>0</v>
      </c>
      <c r="N46" s="5">
        <f>IF(OR(INDEX($W$2:$W$1001,MATCH(ROWS($V$2:V46),$V$2:$V$1001,0),1)&gt;=100000,INDEX($AC$1005:$AS$1005,1,MATCH(COLUMNS($AC$1006:AO1006),$AC$1006:$AS$1006,0))&gt;=100000), " ",IF(INDEX($AC$2:$AS$1001,MATCH(ROWS($V$2:V46),$V$2:$V$1001,0),MATCH(COLUMNS($AC$1006:AO1006),$AC$1006:$AS$1006,0)), HYPERLINK("#",""), HYPERLINK(CONCATENATE("#Metadata!", ADDRESS(INDEX($X$2:$X$1001,MATCH(ROWS($V$2:V46),$V$2:$V$1001,0),0), INDEX($AC$1004:$AS$1004,1,MATCH(COLUMNS($AC$1006:AO1006),$AC$1006:$AS$1006,0)))),"Fix")))</f>
        <v>0</v>
      </c>
      <c r="O46" s="5">
        <f>IF(OR(INDEX($W$2:$W$1001,MATCH(ROWS($V$2:V46),$V$2:$V$1001,0),1)&gt;=100000,INDEX($AC$1005:$AS$1005,1,MATCH(COLUMNS($AC$1006:AP1006),$AC$1006:$AS$1006,0))&gt;=100000), " ",IF(INDEX($AC$2:$AS$1001,MATCH(ROWS($V$2:V46),$V$2:$V$1001,0),MATCH(COLUMNS($AC$1006:AP1006),$AC$1006:$AS$1006,0)), HYPERLINK("#",""), HYPERLINK(CONCATENATE("#Metadata!", ADDRESS(INDEX($X$2:$X$1001,MATCH(ROWS($V$2:V46),$V$2:$V$1001,0),0), INDEX($AC$1004:$AS$1004,1,MATCH(COLUMNS($AC$1006:AP1006),$AC$1006:$AS$1006,0)))),"Fix")))</f>
        <v>0</v>
      </c>
      <c r="P46" s="5">
        <f>IF(OR(INDEX($W$2:$W$1001,MATCH(ROWS($V$2:V46),$V$2:$V$1001,0),1)&gt;=100000,INDEX($AC$1005:$AS$1005,1,MATCH(COLUMNS($AC$1006:AQ1006),$AC$1006:$AS$1006,0))&gt;=100000), " ",IF(INDEX($AC$2:$AS$1001,MATCH(ROWS($V$2:V46),$V$2:$V$1001,0),MATCH(COLUMNS($AC$1006:AQ1006),$AC$1006:$AS$1006,0)), HYPERLINK("#",""), HYPERLINK(CONCATENATE("#Metadata!", ADDRESS(INDEX($X$2:$X$1001,MATCH(ROWS($V$2:V46),$V$2:$V$1001,0),0), INDEX($AC$1004:$AS$1004,1,MATCH(COLUMNS($AC$1006:AQ1006),$AC$1006:$AS$1006,0)))),"Fix")))</f>
        <v>0</v>
      </c>
      <c r="Q46" s="5">
        <f>IF(OR(INDEX($W$2:$W$1001,MATCH(ROWS($V$2:V46),$V$2:$V$1001,0),1)&gt;=100000,INDEX($AC$1005:$AS$1005,1,MATCH(COLUMNS($AC$1006:AR1006),$AC$1006:$AS$1006,0))&gt;=100000), " ",IF(INDEX($AC$2:$AS$1001,MATCH(ROWS($V$2:V46),$V$2:$V$1001,0),MATCH(COLUMNS($AC$1006:AR1006),$AC$1006:$AS$1006,0)), HYPERLINK("#",""), HYPERLINK(CONCATENATE("#Metadata!", ADDRESS(INDEX($X$2:$X$1001,MATCH(ROWS($V$2:V46),$V$2:$V$1001,0),0), INDEX($AC$1004:$AS$1004,1,MATCH(COLUMNS($AC$1006:AR1006),$AC$1006:$AS$1006,0)))),"Fix")))</f>
        <v>0</v>
      </c>
      <c r="R46" s="5">
        <f>IF(OR(INDEX($W$2:$W$1001,MATCH(ROWS($V$2:V46),$V$2:$V$1001,0),1)&gt;=100000,INDEX($AC$1005:$AS$1005,1,MATCH(COLUMNS($AC$1006:AS1006),$AC$1006:$AS$1006,0))&gt;=100000), " ",IF(INDEX($AC$2:$AS$1001,MATCH(ROWS($V$2:V46),$V$2:$V$1001,0),MATCH(COLUMNS($AC$1006:AS1006),$AC$1006:$AS$1006,0)), HYPERLINK("#",""), HYPERLINK(CONCATENATE("#Metadata!", ADDRESS(INDEX($X$2:$X$1001,MATCH(ROWS($V$2:V46),$V$2:$V$1001,0),0), INDEX($AC$1004:$AS$1004,1,MATCH(COLUMNS($AC$1006:AS1006),$AC$1006:$AS$1006,0)))),"Fix")))</f>
        <v>0</v>
      </c>
      <c r="V46">
        <v>0</v>
      </c>
      <c r="W46">
        <v>0</v>
      </c>
      <c r="X46">
        <v>0</v>
      </c>
      <c r="Y46">
        <f>IF(Z46,TRUE,AND(AC46:AS46))</f>
        <v>0</v>
      </c>
      <c r="Z46">
        <f>COUNTBLANK(Metadata!B46:R46)=COLUMNS(Metadata!B46:R46)</f>
        <v>0</v>
      </c>
      <c r="AA46">
        <v>0</v>
      </c>
      <c r="AC46">
        <f>AND(IF(Metadata!B46="",FALSE,TRUE),COUNTIF(Metadata!B:B, Metadata!B46) = 1,NOT(ISERROR(SUMPRODUCT(SEARCH(MID(Metadata!B46,ROW(INDIRECT("1:"&amp;LEN(Metadata!B46))), 1),"0123456789abcdefghijklmnopqrstuvwxyzABCDEFGHIJKLMNOPQRSTUVWXYZ.")))))</f>
        <v>0</v>
      </c>
      <c r="AD46">
        <f>AND(IF(Metadata!C46="",FALSE,TRUE),exact(Metadata!C46,"Host-associated"))</f>
        <v>0</v>
      </c>
      <c r="AE46">
        <f>AND(IF(Metadata!D46="",FALSE,TRUE),OR(exact(Metadata!D46,"Animal"),exact(Metadata!D46,"Fungus"),exact(Metadata!D46,"Plant")))</f>
        <v>0</v>
      </c>
      <c r="AF46">
        <f>AND(IF(Metadata!E46="",FALSE,TRUE),OR(exact(Metadata!E46,"Plant secretion"),exact(Metadata!E46,"Plant rhizosphere"),exact(Metadata!E46,"Plant surface"),exact(Metadata!E46,"Plant corpus"),exact(Metadata!E46,"Fungus surface"),exact(Metadata!E46,"Fungus corpus"),exact(Metadata!E46,"Animal surface"),exact(Metadata!E46,"Animal proximal gut"),exact(Metadata!E46,"Animal corpus"),exact(Metadata!E46,"Animal distal gut"),exact(Metadata!E46,"Animal secretion")))</f>
        <v>0</v>
      </c>
      <c r="AG46">
        <f>OR(AND(IF(Metadata!F46="",FALSE,TRUE),OR(exact(Metadata!F46,"not collected"),exact(Metadata!F46,"not provided"),exact(Metadata!F46,"restricted access"))),AND(IF(Metadata!F46="",FALSE,TRUE),OR(exact(Metadata!F46,"organism-associated habitat"),exact(Metadata!F46,"plant-associated habitat"),exact(Metadata!F46,"animal-associated habitat"),exact(Metadata!F46,"insecta-associated habitat"),exact(Metadata!F46,"mammalia-associated habitat"),exact(Metadata!F46,"human-associated habitat"),exact(Metadata!F46,"livestock-associated habitat"))))</f>
        <v>0</v>
      </c>
      <c r="AH46">
        <f>AND(IF(Metadata!G46="",FALSE,TRUE),exact(Metadata!G46,"host-associated"))</f>
        <v>0</v>
      </c>
      <c r="AI46">
        <f>OR(AND(IF(Metadata!H46="",FALSE,TRUE),OR(exact(Metadata!H46,"not collected"),exact(Metadata!H46,"not provided"))),AND(IF(Metadata!H46="",FALSE,ISNUMBER(VALUE(Metadata!H46))),Metadata!H46&gt;0))</f>
        <v>0</v>
      </c>
      <c r="AJ46">
        <f>AND(IF(Metadata!I46="",FALSE,TRUE),exact(Metadata!I46,"years"))</f>
        <v>0</v>
      </c>
      <c r="AK46">
        <f>IF(Metadata!J46="",FALSE,TRUE)</f>
        <v>0</v>
      </c>
      <c r="AL46">
        <f>OR(AND(IF(Metadata!K46="",FALSE,TRUE),OR(exact(Metadata!K46,"not collected"),exact(Metadata!K46,"not provided"))),AND(IF(Metadata!K46="",FALSE,ISNUMBER(VALUE(Metadata!K46))),Metadata!K46&gt;0))</f>
        <v>0</v>
      </c>
      <c r="AM46">
        <f>AND(IF(Metadata!L46="",FALSE,TRUE),exact(Metadata!L46,"cm"))</f>
        <v>0</v>
      </c>
      <c r="AN46">
        <f>IF(Metadata!M46="",FALSE,TRUE)</f>
        <v>0</v>
      </c>
      <c r="AO46">
        <f>OR(AND(IF(Metadata!N46="",FALSE,TRUE),OR(exact(Metadata!N46,"not applicable"),exact(Metadata!N46,"not collected"),exact(Metadata!N46,"not provided"))),AND(IF(Metadata!N46="",FALSE,IF(ISERROR(INT(Metadata!N46)),FALSE,INT(Metadata!N46)=Metadata!N46)),Metadata!N46&gt;0))</f>
        <v>0</v>
      </c>
      <c r="AP46">
        <f>OR(AND(IF(Metadata!O46="",FALSE,TRUE),OR(exact(Metadata!O46,"not collected"),exact(Metadata!O46,"not provided"))),AND(IF(Metadata!O46="",FALSE,ISNUMBER(VALUE(Metadata!O46))),Metadata!O46&gt;0))</f>
        <v>0</v>
      </c>
      <c r="AQ46">
        <f>AND(IF(Metadata!P46="",FALSE,TRUE),exact(Metadata!P46,"kg"))</f>
        <v>0</v>
      </c>
      <c r="AR46">
        <f>OR(AND(IF(Metadata!Q46="",FALSE,TRUE),OR(exact(Metadata!Q46,"not applicable"),exact(Metadata!Q46,"not collected"),exact(Metadata!Q46,"not provided"),exact(Metadata!Q46,"restricted access"))),IF(Metadata!Q46="",FALSE,IF(ISERROR(INT(Metadata!Q46)),FALSE,INT(Metadata!Q46)=Metadata!Q46)))</f>
        <v>0</v>
      </c>
      <c r="AS46">
        <f>AND(IF(Metadata!R46="",FALSE,TRUE),exact(Metadata!R46,"Not applicable"))</f>
        <v>0</v>
      </c>
    </row>
    <row r="47" spans="1:45">
      <c r="A47" s="4">
        <f>IF(B47=" "," ",HYPERLINK(CONCATENATE("#metadata!",ADDRESS(INDEX($X$2:$X$1001,MATCH(ROWS($V$2:V47),$V$2:$V$1001,0),0),2)),INDEX($AA$2:$AA$1001,MATCH(ROWS($V$2:V47),$V$2:$V$1001,0),0)))</f>
        <v>0</v>
      </c>
      <c r="B47" s="5">
        <f>IF(OR(INDEX($W$2:$W$1001,MATCH(ROWS($V$2:V47),$V$2:$V$1001,0),1)&gt;=100000,INDEX($AC$1005:$AS$1005,1,MATCH(COLUMNS($AC$1006:AC1006),$AC$1006:$AS$1006,0))&gt;=100000), " ",IF(INDEX($AC$2:$AS$1001,MATCH(ROWS($V$2:V47),$V$2:$V$1001,0),MATCH(COLUMNS($AC$1006:AC1006),$AC$1006:$AS$1006,0)), HYPERLINK("#",""), HYPERLINK(CONCATENATE("#Metadata!", ADDRESS(INDEX($X$2:$X$1001,MATCH(ROWS($V$2:V47),$V$2:$V$1001,0),0), INDEX($AC$1004:$AS$1004,1,MATCH(COLUMNS($AC$1006:AC1006),$AC$1006:$AS$1006,0)))),"Fix")))</f>
        <v>0</v>
      </c>
      <c r="C47" s="5">
        <f>IF(OR(INDEX($W$2:$W$1001,MATCH(ROWS($V$2:V47),$V$2:$V$1001,0),1)&gt;=100000,INDEX($AC$1005:$AS$1005,1,MATCH(COLUMNS($AC$1006:AD1006),$AC$1006:$AS$1006,0))&gt;=100000), " ",IF(INDEX($AC$2:$AS$1001,MATCH(ROWS($V$2:V47),$V$2:$V$1001,0),MATCH(COLUMNS($AC$1006:AD1006),$AC$1006:$AS$1006,0)), HYPERLINK("#",""), HYPERLINK(CONCATENATE("#Metadata!", ADDRESS(INDEX($X$2:$X$1001,MATCH(ROWS($V$2:V47),$V$2:$V$1001,0),0), INDEX($AC$1004:$AS$1004,1,MATCH(COLUMNS($AC$1006:AD1006),$AC$1006:$AS$1006,0)))),"Fix")))</f>
        <v>0</v>
      </c>
      <c r="D47" s="5">
        <f>IF(OR(INDEX($W$2:$W$1001,MATCH(ROWS($V$2:V47),$V$2:$V$1001,0),1)&gt;=100000,INDEX($AC$1005:$AS$1005,1,MATCH(COLUMNS($AC$1006:AE1006),$AC$1006:$AS$1006,0))&gt;=100000), " ",IF(INDEX($AC$2:$AS$1001,MATCH(ROWS($V$2:V47),$V$2:$V$1001,0),MATCH(COLUMNS($AC$1006:AE1006),$AC$1006:$AS$1006,0)), HYPERLINK("#",""), HYPERLINK(CONCATENATE("#Metadata!", ADDRESS(INDEX($X$2:$X$1001,MATCH(ROWS($V$2:V47),$V$2:$V$1001,0),0), INDEX($AC$1004:$AS$1004,1,MATCH(COLUMNS($AC$1006:AE1006),$AC$1006:$AS$1006,0)))),"Fix")))</f>
        <v>0</v>
      </c>
      <c r="E47" s="5">
        <f>IF(OR(INDEX($W$2:$W$1001,MATCH(ROWS($V$2:V47),$V$2:$V$1001,0),1)&gt;=100000,INDEX($AC$1005:$AS$1005,1,MATCH(COLUMNS($AC$1006:AF1006),$AC$1006:$AS$1006,0))&gt;=100000), " ",IF(INDEX($AC$2:$AS$1001,MATCH(ROWS($V$2:V47),$V$2:$V$1001,0),MATCH(COLUMNS($AC$1006:AF1006),$AC$1006:$AS$1006,0)), HYPERLINK("#",""), HYPERLINK(CONCATENATE("#Metadata!", ADDRESS(INDEX($X$2:$X$1001,MATCH(ROWS($V$2:V47),$V$2:$V$1001,0),0), INDEX($AC$1004:$AS$1004,1,MATCH(COLUMNS($AC$1006:AF1006),$AC$1006:$AS$1006,0)))),"Fix")))</f>
        <v>0</v>
      </c>
      <c r="F47" s="5">
        <f>IF(OR(INDEX($W$2:$W$1001,MATCH(ROWS($V$2:V47),$V$2:$V$1001,0),1)&gt;=100000,INDEX($AC$1005:$AS$1005,1,MATCH(COLUMNS($AC$1006:AG1006),$AC$1006:$AS$1006,0))&gt;=100000), " ",IF(INDEX($AC$2:$AS$1001,MATCH(ROWS($V$2:V47),$V$2:$V$1001,0),MATCH(COLUMNS($AC$1006:AG1006),$AC$1006:$AS$1006,0)), HYPERLINK("#",""), HYPERLINK(CONCATENATE("#Metadata!", ADDRESS(INDEX($X$2:$X$1001,MATCH(ROWS($V$2:V47),$V$2:$V$1001,0),0), INDEX($AC$1004:$AS$1004,1,MATCH(COLUMNS($AC$1006:AG1006),$AC$1006:$AS$1006,0)))),"Fix")))</f>
        <v>0</v>
      </c>
      <c r="G47" s="5">
        <f>IF(OR(INDEX($W$2:$W$1001,MATCH(ROWS($V$2:V47),$V$2:$V$1001,0),1)&gt;=100000,INDEX($AC$1005:$AS$1005,1,MATCH(COLUMNS($AC$1006:AH1006),$AC$1006:$AS$1006,0))&gt;=100000), " ",IF(INDEX($AC$2:$AS$1001,MATCH(ROWS($V$2:V47),$V$2:$V$1001,0),MATCH(COLUMNS($AC$1006:AH1006),$AC$1006:$AS$1006,0)), HYPERLINK("#",""), HYPERLINK(CONCATENATE("#Metadata!", ADDRESS(INDEX($X$2:$X$1001,MATCH(ROWS($V$2:V47),$V$2:$V$1001,0),0), INDEX($AC$1004:$AS$1004,1,MATCH(COLUMNS($AC$1006:AH1006),$AC$1006:$AS$1006,0)))),"Fix")))</f>
        <v>0</v>
      </c>
      <c r="H47" s="5">
        <f>IF(OR(INDEX($W$2:$W$1001,MATCH(ROWS($V$2:V47),$V$2:$V$1001,0),1)&gt;=100000,INDEX($AC$1005:$AS$1005,1,MATCH(COLUMNS($AC$1006:AI1006),$AC$1006:$AS$1006,0))&gt;=100000), " ",IF(INDEX($AC$2:$AS$1001,MATCH(ROWS($V$2:V47),$V$2:$V$1001,0),MATCH(COLUMNS($AC$1006:AI1006),$AC$1006:$AS$1006,0)), HYPERLINK("#",""), HYPERLINK(CONCATENATE("#Metadata!", ADDRESS(INDEX($X$2:$X$1001,MATCH(ROWS($V$2:V47),$V$2:$V$1001,0),0), INDEX($AC$1004:$AS$1004,1,MATCH(COLUMNS($AC$1006:AI1006),$AC$1006:$AS$1006,0)))),"Fix")))</f>
        <v>0</v>
      </c>
      <c r="I47" s="5">
        <f>IF(OR(INDEX($W$2:$W$1001,MATCH(ROWS($V$2:V47),$V$2:$V$1001,0),1)&gt;=100000,INDEX($AC$1005:$AS$1005,1,MATCH(COLUMNS($AC$1006:AJ1006),$AC$1006:$AS$1006,0))&gt;=100000), " ",IF(INDEX($AC$2:$AS$1001,MATCH(ROWS($V$2:V47),$V$2:$V$1001,0),MATCH(COLUMNS($AC$1006:AJ1006),$AC$1006:$AS$1006,0)), HYPERLINK("#",""), HYPERLINK(CONCATENATE("#Metadata!", ADDRESS(INDEX($X$2:$X$1001,MATCH(ROWS($V$2:V47),$V$2:$V$1001,0),0), INDEX($AC$1004:$AS$1004,1,MATCH(COLUMNS($AC$1006:AJ1006),$AC$1006:$AS$1006,0)))),"Fix")))</f>
        <v>0</v>
      </c>
      <c r="J47" s="5">
        <f>IF(OR(INDEX($W$2:$W$1001,MATCH(ROWS($V$2:V47),$V$2:$V$1001,0),1)&gt;=100000,INDEX($AC$1005:$AS$1005,1,MATCH(COLUMNS($AC$1006:AK1006),$AC$1006:$AS$1006,0))&gt;=100000), " ",IF(INDEX($AC$2:$AS$1001,MATCH(ROWS($V$2:V47),$V$2:$V$1001,0),MATCH(COLUMNS($AC$1006:AK1006),$AC$1006:$AS$1006,0)), HYPERLINK("#",""), HYPERLINK(CONCATENATE("#Metadata!", ADDRESS(INDEX($X$2:$X$1001,MATCH(ROWS($V$2:V47),$V$2:$V$1001,0),0), INDEX($AC$1004:$AS$1004,1,MATCH(COLUMNS($AC$1006:AK1006),$AC$1006:$AS$1006,0)))),"Fix")))</f>
        <v>0</v>
      </c>
      <c r="K47" s="5">
        <f>IF(OR(INDEX($W$2:$W$1001,MATCH(ROWS($V$2:V47),$V$2:$V$1001,0),1)&gt;=100000,INDEX($AC$1005:$AS$1005,1,MATCH(COLUMNS($AC$1006:AL1006),$AC$1006:$AS$1006,0))&gt;=100000), " ",IF(INDEX($AC$2:$AS$1001,MATCH(ROWS($V$2:V47),$V$2:$V$1001,0),MATCH(COLUMNS($AC$1006:AL1006),$AC$1006:$AS$1006,0)), HYPERLINK("#",""), HYPERLINK(CONCATENATE("#Metadata!", ADDRESS(INDEX($X$2:$X$1001,MATCH(ROWS($V$2:V47),$V$2:$V$1001,0),0), INDEX($AC$1004:$AS$1004,1,MATCH(COLUMNS($AC$1006:AL1006),$AC$1006:$AS$1006,0)))),"Fix")))</f>
        <v>0</v>
      </c>
      <c r="L47" s="5">
        <f>IF(OR(INDEX($W$2:$W$1001,MATCH(ROWS($V$2:V47),$V$2:$V$1001,0),1)&gt;=100000,INDEX($AC$1005:$AS$1005,1,MATCH(COLUMNS($AC$1006:AM1006),$AC$1006:$AS$1006,0))&gt;=100000), " ",IF(INDEX($AC$2:$AS$1001,MATCH(ROWS($V$2:V47),$V$2:$V$1001,0),MATCH(COLUMNS($AC$1006:AM1006),$AC$1006:$AS$1006,0)), HYPERLINK("#",""), HYPERLINK(CONCATENATE("#Metadata!", ADDRESS(INDEX($X$2:$X$1001,MATCH(ROWS($V$2:V47),$V$2:$V$1001,0),0), INDEX($AC$1004:$AS$1004,1,MATCH(COLUMNS($AC$1006:AM1006),$AC$1006:$AS$1006,0)))),"Fix")))</f>
        <v>0</v>
      </c>
      <c r="M47" s="5">
        <f>IF(OR(INDEX($W$2:$W$1001,MATCH(ROWS($V$2:V47),$V$2:$V$1001,0),1)&gt;=100000,INDEX($AC$1005:$AS$1005,1,MATCH(COLUMNS($AC$1006:AN1006),$AC$1006:$AS$1006,0))&gt;=100000), " ",IF(INDEX($AC$2:$AS$1001,MATCH(ROWS($V$2:V47),$V$2:$V$1001,0),MATCH(COLUMNS($AC$1006:AN1006),$AC$1006:$AS$1006,0)), HYPERLINK("#",""), HYPERLINK(CONCATENATE("#Metadata!", ADDRESS(INDEX($X$2:$X$1001,MATCH(ROWS($V$2:V47),$V$2:$V$1001,0),0), INDEX($AC$1004:$AS$1004,1,MATCH(COLUMNS($AC$1006:AN1006),$AC$1006:$AS$1006,0)))),"Fix")))</f>
        <v>0</v>
      </c>
      <c r="N47" s="5">
        <f>IF(OR(INDEX($W$2:$W$1001,MATCH(ROWS($V$2:V47),$V$2:$V$1001,0),1)&gt;=100000,INDEX($AC$1005:$AS$1005,1,MATCH(COLUMNS($AC$1006:AO1006),$AC$1006:$AS$1006,0))&gt;=100000), " ",IF(INDEX($AC$2:$AS$1001,MATCH(ROWS($V$2:V47),$V$2:$V$1001,0),MATCH(COLUMNS($AC$1006:AO1006),$AC$1006:$AS$1006,0)), HYPERLINK("#",""), HYPERLINK(CONCATENATE("#Metadata!", ADDRESS(INDEX($X$2:$X$1001,MATCH(ROWS($V$2:V47),$V$2:$V$1001,0),0), INDEX($AC$1004:$AS$1004,1,MATCH(COLUMNS($AC$1006:AO1006),$AC$1006:$AS$1006,0)))),"Fix")))</f>
        <v>0</v>
      </c>
      <c r="O47" s="5">
        <f>IF(OR(INDEX($W$2:$W$1001,MATCH(ROWS($V$2:V47),$V$2:$V$1001,0),1)&gt;=100000,INDEX($AC$1005:$AS$1005,1,MATCH(COLUMNS($AC$1006:AP1006),$AC$1006:$AS$1006,0))&gt;=100000), " ",IF(INDEX($AC$2:$AS$1001,MATCH(ROWS($V$2:V47),$V$2:$V$1001,0),MATCH(COLUMNS($AC$1006:AP1006),$AC$1006:$AS$1006,0)), HYPERLINK("#",""), HYPERLINK(CONCATENATE("#Metadata!", ADDRESS(INDEX($X$2:$X$1001,MATCH(ROWS($V$2:V47),$V$2:$V$1001,0),0), INDEX($AC$1004:$AS$1004,1,MATCH(COLUMNS($AC$1006:AP1006),$AC$1006:$AS$1006,0)))),"Fix")))</f>
        <v>0</v>
      </c>
      <c r="P47" s="5">
        <f>IF(OR(INDEX($W$2:$W$1001,MATCH(ROWS($V$2:V47),$V$2:$V$1001,0),1)&gt;=100000,INDEX($AC$1005:$AS$1005,1,MATCH(COLUMNS($AC$1006:AQ1006),$AC$1006:$AS$1006,0))&gt;=100000), " ",IF(INDEX($AC$2:$AS$1001,MATCH(ROWS($V$2:V47),$V$2:$V$1001,0),MATCH(COLUMNS($AC$1006:AQ1006),$AC$1006:$AS$1006,0)), HYPERLINK("#",""), HYPERLINK(CONCATENATE("#Metadata!", ADDRESS(INDEX($X$2:$X$1001,MATCH(ROWS($V$2:V47),$V$2:$V$1001,0),0), INDEX($AC$1004:$AS$1004,1,MATCH(COLUMNS($AC$1006:AQ1006),$AC$1006:$AS$1006,0)))),"Fix")))</f>
        <v>0</v>
      </c>
      <c r="Q47" s="5">
        <f>IF(OR(INDEX($W$2:$W$1001,MATCH(ROWS($V$2:V47),$V$2:$V$1001,0),1)&gt;=100000,INDEX($AC$1005:$AS$1005,1,MATCH(COLUMNS($AC$1006:AR1006),$AC$1006:$AS$1006,0))&gt;=100000), " ",IF(INDEX($AC$2:$AS$1001,MATCH(ROWS($V$2:V47),$V$2:$V$1001,0),MATCH(COLUMNS($AC$1006:AR1006),$AC$1006:$AS$1006,0)), HYPERLINK("#",""), HYPERLINK(CONCATENATE("#Metadata!", ADDRESS(INDEX($X$2:$X$1001,MATCH(ROWS($V$2:V47),$V$2:$V$1001,0),0), INDEX($AC$1004:$AS$1004,1,MATCH(COLUMNS($AC$1006:AR1006),$AC$1006:$AS$1006,0)))),"Fix")))</f>
        <v>0</v>
      </c>
      <c r="R47" s="5">
        <f>IF(OR(INDEX($W$2:$W$1001,MATCH(ROWS($V$2:V47),$V$2:$V$1001,0),1)&gt;=100000,INDEX($AC$1005:$AS$1005,1,MATCH(COLUMNS($AC$1006:AS1006),$AC$1006:$AS$1006,0))&gt;=100000), " ",IF(INDEX($AC$2:$AS$1001,MATCH(ROWS($V$2:V47),$V$2:$V$1001,0),MATCH(COLUMNS($AC$1006:AS1006),$AC$1006:$AS$1006,0)), HYPERLINK("#",""), HYPERLINK(CONCATENATE("#Metadata!", ADDRESS(INDEX($X$2:$X$1001,MATCH(ROWS($V$2:V47),$V$2:$V$1001,0),0), INDEX($AC$1004:$AS$1004,1,MATCH(COLUMNS($AC$1006:AS1006),$AC$1006:$AS$1006,0)))),"Fix")))</f>
        <v>0</v>
      </c>
      <c r="V47">
        <v>0</v>
      </c>
      <c r="W47">
        <v>0</v>
      </c>
      <c r="X47">
        <v>0</v>
      </c>
      <c r="Y47">
        <f>IF(Z47,TRUE,AND(AC47:AS47))</f>
        <v>0</v>
      </c>
      <c r="Z47">
        <f>COUNTBLANK(Metadata!B47:R47)=COLUMNS(Metadata!B47:R47)</f>
        <v>0</v>
      </c>
      <c r="AA47">
        <v>0</v>
      </c>
      <c r="AC47">
        <f>AND(IF(Metadata!B47="",FALSE,TRUE),COUNTIF(Metadata!B:B, Metadata!B47) = 1,NOT(ISERROR(SUMPRODUCT(SEARCH(MID(Metadata!B47,ROW(INDIRECT("1:"&amp;LEN(Metadata!B47))), 1),"0123456789abcdefghijklmnopqrstuvwxyzABCDEFGHIJKLMNOPQRSTUVWXYZ.")))))</f>
        <v>0</v>
      </c>
      <c r="AD47">
        <f>AND(IF(Metadata!C47="",FALSE,TRUE),exact(Metadata!C47,"Host-associated"))</f>
        <v>0</v>
      </c>
      <c r="AE47">
        <f>AND(IF(Metadata!D47="",FALSE,TRUE),OR(exact(Metadata!D47,"Animal"),exact(Metadata!D47,"Fungus"),exact(Metadata!D47,"Plant")))</f>
        <v>0</v>
      </c>
      <c r="AF47">
        <f>AND(IF(Metadata!E47="",FALSE,TRUE),OR(exact(Metadata!E47,"Plant secretion"),exact(Metadata!E47,"Plant rhizosphere"),exact(Metadata!E47,"Plant surface"),exact(Metadata!E47,"Plant corpus"),exact(Metadata!E47,"Fungus surface"),exact(Metadata!E47,"Fungus corpus"),exact(Metadata!E47,"Animal surface"),exact(Metadata!E47,"Animal proximal gut"),exact(Metadata!E47,"Animal corpus"),exact(Metadata!E47,"Animal distal gut"),exact(Metadata!E47,"Animal secretion")))</f>
        <v>0</v>
      </c>
      <c r="AG47">
        <f>OR(AND(IF(Metadata!F47="",FALSE,TRUE),OR(exact(Metadata!F47,"not collected"),exact(Metadata!F47,"not provided"),exact(Metadata!F47,"restricted access"))),AND(IF(Metadata!F47="",FALSE,TRUE),OR(exact(Metadata!F47,"organism-associated habitat"),exact(Metadata!F47,"plant-associated habitat"),exact(Metadata!F47,"animal-associated habitat"),exact(Metadata!F47,"insecta-associated habitat"),exact(Metadata!F47,"mammalia-associated habitat"),exact(Metadata!F47,"human-associated habitat"),exact(Metadata!F47,"livestock-associated habitat"))))</f>
        <v>0</v>
      </c>
      <c r="AH47">
        <f>AND(IF(Metadata!G47="",FALSE,TRUE),exact(Metadata!G47,"host-associated"))</f>
        <v>0</v>
      </c>
      <c r="AI47">
        <f>OR(AND(IF(Metadata!H47="",FALSE,TRUE),OR(exact(Metadata!H47,"not collected"),exact(Metadata!H47,"not provided"))),AND(IF(Metadata!H47="",FALSE,ISNUMBER(VALUE(Metadata!H47))),Metadata!H47&gt;0))</f>
        <v>0</v>
      </c>
      <c r="AJ47">
        <f>AND(IF(Metadata!I47="",FALSE,TRUE),exact(Metadata!I47,"years"))</f>
        <v>0</v>
      </c>
      <c r="AK47">
        <f>IF(Metadata!J47="",FALSE,TRUE)</f>
        <v>0</v>
      </c>
      <c r="AL47">
        <f>OR(AND(IF(Metadata!K47="",FALSE,TRUE),OR(exact(Metadata!K47,"not collected"),exact(Metadata!K47,"not provided"))),AND(IF(Metadata!K47="",FALSE,ISNUMBER(VALUE(Metadata!K47))),Metadata!K47&gt;0))</f>
        <v>0</v>
      </c>
      <c r="AM47">
        <f>AND(IF(Metadata!L47="",FALSE,TRUE),exact(Metadata!L47,"cm"))</f>
        <v>0</v>
      </c>
      <c r="AN47">
        <f>IF(Metadata!M47="",FALSE,TRUE)</f>
        <v>0</v>
      </c>
      <c r="AO47">
        <f>OR(AND(IF(Metadata!N47="",FALSE,TRUE),OR(exact(Metadata!N47,"not applicable"),exact(Metadata!N47,"not collected"),exact(Metadata!N47,"not provided"))),AND(IF(Metadata!N47="",FALSE,IF(ISERROR(INT(Metadata!N47)),FALSE,INT(Metadata!N47)=Metadata!N47)),Metadata!N47&gt;0))</f>
        <v>0</v>
      </c>
      <c r="AP47">
        <f>OR(AND(IF(Metadata!O47="",FALSE,TRUE),OR(exact(Metadata!O47,"not collected"),exact(Metadata!O47,"not provided"))),AND(IF(Metadata!O47="",FALSE,ISNUMBER(VALUE(Metadata!O47))),Metadata!O47&gt;0))</f>
        <v>0</v>
      </c>
      <c r="AQ47">
        <f>AND(IF(Metadata!P47="",FALSE,TRUE),exact(Metadata!P47,"kg"))</f>
        <v>0</v>
      </c>
      <c r="AR47">
        <f>OR(AND(IF(Metadata!Q47="",FALSE,TRUE),OR(exact(Metadata!Q47,"not applicable"),exact(Metadata!Q47,"not collected"),exact(Metadata!Q47,"not provided"),exact(Metadata!Q47,"restricted access"))),IF(Metadata!Q47="",FALSE,IF(ISERROR(INT(Metadata!Q47)),FALSE,INT(Metadata!Q47)=Metadata!Q47)))</f>
        <v>0</v>
      </c>
      <c r="AS47">
        <f>AND(IF(Metadata!R47="",FALSE,TRUE),exact(Metadata!R47,"Not applicable"))</f>
        <v>0</v>
      </c>
    </row>
    <row r="48" spans="1:45">
      <c r="A48" s="4">
        <f>IF(B48=" "," ",HYPERLINK(CONCATENATE("#metadata!",ADDRESS(INDEX($X$2:$X$1001,MATCH(ROWS($V$2:V48),$V$2:$V$1001,0),0),2)),INDEX($AA$2:$AA$1001,MATCH(ROWS($V$2:V48),$V$2:$V$1001,0),0)))</f>
        <v>0</v>
      </c>
      <c r="B48" s="5">
        <f>IF(OR(INDEX($W$2:$W$1001,MATCH(ROWS($V$2:V48),$V$2:$V$1001,0),1)&gt;=100000,INDEX($AC$1005:$AS$1005,1,MATCH(COLUMNS($AC$1006:AC1006),$AC$1006:$AS$1006,0))&gt;=100000), " ",IF(INDEX($AC$2:$AS$1001,MATCH(ROWS($V$2:V48),$V$2:$V$1001,0),MATCH(COLUMNS($AC$1006:AC1006),$AC$1006:$AS$1006,0)), HYPERLINK("#",""), HYPERLINK(CONCATENATE("#Metadata!", ADDRESS(INDEX($X$2:$X$1001,MATCH(ROWS($V$2:V48),$V$2:$V$1001,0),0), INDEX($AC$1004:$AS$1004,1,MATCH(COLUMNS($AC$1006:AC1006),$AC$1006:$AS$1006,0)))),"Fix")))</f>
        <v>0</v>
      </c>
      <c r="C48" s="5">
        <f>IF(OR(INDEX($W$2:$W$1001,MATCH(ROWS($V$2:V48),$V$2:$V$1001,0),1)&gt;=100000,INDEX($AC$1005:$AS$1005,1,MATCH(COLUMNS($AC$1006:AD1006),$AC$1006:$AS$1006,0))&gt;=100000), " ",IF(INDEX($AC$2:$AS$1001,MATCH(ROWS($V$2:V48),$V$2:$V$1001,0),MATCH(COLUMNS($AC$1006:AD1006),$AC$1006:$AS$1006,0)), HYPERLINK("#",""), HYPERLINK(CONCATENATE("#Metadata!", ADDRESS(INDEX($X$2:$X$1001,MATCH(ROWS($V$2:V48),$V$2:$V$1001,0),0), INDEX($AC$1004:$AS$1004,1,MATCH(COLUMNS($AC$1006:AD1006),$AC$1006:$AS$1006,0)))),"Fix")))</f>
        <v>0</v>
      </c>
      <c r="D48" s="5">
        <f>IF(OR(INDEX($W$2:$W$1001,MATCH(ROWS($V$2:V48),$V$2:$V$1001,0),1)&gt;=100000,INDEX($AC$1005:$AS$1005,1,MATCH(COLUMNS($AC$1006:AE1006),$AC$1006:$AS$1006,0))&gt;=100000), " ",IF(INDEX($AC$2:$AS$1001,MATCH(ROWS($V$2:V48),$V$2:$V$1001,0),MATCH(COLUMNS($AC$1006:AE1006),$AC$1006:$AS$1006,0)), HYPERLINK("#",""), HYPERLINK(CONCATENATE("#Metadata!", ADDRESS(INDEX($X$2:$X$1001,MATCH(ROWS($V$2:V48),$V$2:$V$1001,0),0), INDEX($AC$1004:$AS$1004,1,MATCH(COLUMNS($AC$1006:AE1006),$AC$1006:$AS$1006,0)))),"Fix")))</f>
        <v>0</v>
      </c>
      <c r="E48" s="5">
        <f>IF(OR(INDEX($W$2:$W$1001,MATCH(ROWS($V$2:V48),$V$2:$V$1001,0),1)&gt;=100000,INDEX($AC$1005:$AS$1005,1,MATCH(COLUMNS($AC$1006:AF1006),$AC$1006:$AS$1006,0))&gt;=100000), " ",IF(INDEX($AC$2:$AS$1001,MATCH(ROWS($V$2:V48),$V$2:$V$1001,0),MATCH(COLUMNS($AC$1006:AF1006),$AC$1006:$AS$1006,0)), HYPERLINK("#",""), HYPERLINK(CONCATENATE("#Metadata!", ADDRESS(INDEX($X$2:$X$1001,MATCH(ROWS($V$2:V48),$V$2:$V$1001,0),0), INDEX($AC$1004:$AS$1004,1,MATCH(COLUMNS($AC$1006:AF1006),$AC$1006:$AS$1006,0)))),"Fix")))</f>
        <v>0</v>
      </c>
      <c r="F48" s="5">
        <f>IF(OR(INDEX($W$2:$W$1001,MATCH(ROWS($V$2:V48),$V$2:$V$1001,0),1)&gt;=100000,INDEX($AC$1005:$AS$1005,1,MATCH(COLUMNS($AC$1006:AG1006),$AC$1006:$AS$1006,0))&gt;=100000), " ",IF(INDEX($AC$2:$AS$1001,MATCH(ROWS($V$2:V48),$V$2:$V$1001,0),MATCH(COLUMNS($AC$1006:AG1006),$AC$1006:$AS$1006,0)), HYPERLINK("#",""), HYPERLINK(CONCATENATE("#Metadata!", ADDRESS(INDEX($X$2:$X$1001,MATCH(ROWS($V$2:V48),$V$2:$V$1001,0),0), INDEX($AC$1004:$AS$1004,1,MATCH(COLUMNS($AC$1006:AG1006),$AC$1006:$AS$1006,0)))),"Fix")))</f>
        <v>0</v>
      </c>
      <c r="G48" s="5">
        <f>IF(OR(INDEX($W$2:$W$1001,MATCH(ROWS($V$2:V48),$V$2:$V$1001,0),1)&gt;=100000,INDEX($AC$1005:$AS$1005,1,MATCH(COLUMNS($AC$1006:AH1006),$AC$1006:$AS$1006,0))&gt;=100000), " ",IF(INDEX($AC$2:$AS$1001,MATCH(ROWS($V$2:V48),$V$2:$V$1001,0),MATCH(COLUMNS($AC$1006:AH1006),$AC$1006:$AS$1006,0)), HYPERLINK("#",""), HYPERLINK(CONCATENATE("#Metadata!", ADDRESS(INDEX($X$2:$X$1001,MATCH(ROWS($V$2:V48),$V$2:$V$1001,0),0), INDEX($AC$1004:$AS$1004,1,MATCH(COLUMNS($AC$1006:AH1006),$AC$1006:$AS$1006,0)))),"Fix")))</f>
        <v>0</v>
      </c>
      <c r="H48" s="5">
        <f>IF(OR(INDEX($W$2:$W$1001,MATCH(ROWS($V$2:V48),$V$2:$V$1001,0),1)&gt;=100000,INDEX($AC$1005:$AS$1005,1,MATCH(COLUMNS($AC$1006:AI1006),$AC$1006:$AS$1006,0))&gt;=100000), " ",IF(INDEX($AC$2:$AS$1001,MATCH(ROWS($V$2:V48),$V$2:$V$1001,0),MATCH(COLUMNS($AC$1006:AI1006),$AC$1006:$AS$1006,0)), HYPERLINK("#",""), HYPERLINK(CONCATENATE("#Metadata!", ADDRESS(INDEX($X$2:$X$1001,MATCH(ROWS($V$2:V48),$V$2:$V$1001,0),0), INDEX($AC$1004:$AS$1004,1,MATCH(COLUMNS($AC$1006:AI1006),$AC$1006:$AS$1006,0)))),"Fix")))</f>
        <v>0</v>
      </c>
      <c r="I48" s="5">
        <f>IF(OR(INDEX($W$2:$W$1001,MATCH(ROWS($V$2:V48),$V$2:$V$1001,0),1)&gt;=100000,INDEX($AC$1005:$AS$1005,1,MATCH(COLUMNS($AC$1006:AJ1006),$AC$1006:$AS$1006,0))&gt;=100000), " ",IF(INDEX($AC$2:$AS$1001,MATCH(ROWS($V$2:V48),$V$2:$V$1001,0),MATCH(COLUMNS($AC$1006:AJ1006),$AC$1006:$AS$1006,0)), HYPERLINK("#",""), HYPERLINK(CONCATENATE("#Metadata!", ADDRESS(INDEX($X$2:$X$1001,MATCH(ROWS($V$2:V48),$V$2:$V$1001,0),0), INDEX($AC$1004:$AS$1004,1,MATCH(COLUMNS($AC$1006:AJ1006),$AC$1006:$AS$1006,0)))),"Fix")))</f>
        <v>0</v>
      </c>
      <c r="J48" s="5">
        <f>IF(OR(INDEX($W$2:$W$1001,MATCH(ROWS($V$2:V48),$V$2:$V$1001,0),1)&gt;=100000,INDEX($AC$1005:$AS$1005,1,MATCH(COLUMNS($AC$1006:AK1006),$AC$1006:$AS$1006,0))&gt;=100000), " ",IF(INDEX($AC$2:$AS$1001,MATCH(ROWS($V$2:V48),$V$2:$V$1001,0),MATCH(COLUMNS($AC$1006:AK1006),$AC$1006:$AS$1006,0)), HYPERLINK("#",""), HYPERLINK(CONCATENATE("#Metadata!", ADDRESS(INDEX($X$2:$X$1001,MATCH(ROWS($V$2:V48),$V$2:$V$1001,0),0), INDEX($AC$1004:$AS$1004,1,MATCH(COLUMNS($AC$1006:AK1006),$AC$1006:$AS$1006,0)))),"Fix")))</f>
        <v>0</v>
      </c>
      <c r="K48" s="5">
        <f>IF(OR(INDEX($W$2:$W$1001,MATCH(ROWS($V$2:V48),$V$2:$V$1001,0),1)&gt;=100000,INDEX($AC$1005:$AS$1005,1,MATCH(COLUMNS($AC$1006:AL1006),$AC$1006:$AS$1006,0))&gt;=100000), " ",IF(INDEX($AC$2:$AS$1001,MATCH(ROWS($V$2:V48),$V$2:$V$1001,0),MATCH(COLUMNS($AC$1006:AL1006),$AC$1006:$AS$1006,0)), HYPERLINK("#",""), HYPERLINK(CONCATENATE("#Metadata!", ADDRESS(INDEX($X$2:$X$1001,MATCH(ROWS($V$2:V48),$V$2:$V$1001,0),0), INDEX($AC$1004:$AS$1004,1,MATCH(COLUMNS($AC$1006:AL1006),$AC$1006:$AS$1006,0)))),"Fix")))</f>
        <v>0</v>
      </c>
      <c r="L48" s="5">
        <f>IF(OR(INDEX($W$2:$W$1001,MATCH(ROWS($V$2:V48),$V$2:$V$1001,0),1)&gt;=100000,INDEX($AC$1005:$AS$1005,1,MATCH(COLUMNS($AC$1006:AM1006),$AC$1006:$AS$1006,0))&gt;=100000), " ",IF(INDEX($AC$2:$AS$1001,MATCH(ROWS($V$2:V48),$V$2:$V$1001,0),MATCH(COLUMNS($AC$1006:AM1006),$AC$1006:$AS$1006,0)), HYPERLINK("#",""), HYPERLINK(CONCATENATE("#Metadata!", ADDRESS(INDEX($X$2:$X$1001,MATCH(ROWS($V$2:V48),$V$2:$V$1001,0),0), INDEX($AC$1004:$AS$1004,1,MATCH(COLUMNS($AC$1006:AM1006),$AC$1006:$AS$1006,0)))),"Fix")))</f>
        <v>0</v>
      </c>
      <c r="M48" s="5">
        <f>IF(OR(INDEX($W$2:$W$1001,MATCH(ROWS($V$2:V48),$V$2:$V$1001,0),1)&gt;=100000,INDEX($AC$1005:$AS$1005,1,MATCH(COLUMNS($AC$1006:AN1006),$AC$1006:$AS$1006,0))&gt;=100000), " ",IF(INDEX($AC$2:$AS$1001,MATCH(ROWS($V$2:V48),$V$2:$V$1001,0),MATCH(COLUMNS($AC$1006:AN1006),$AC$1006:$AS$1006,0)), HYPERLINK("#",""), HYPERLINK(CONCATENATE("#Metadata!", ADDRESS(INDEX($X$2:$X$1001,MATCH(ROWS($V$2:V48),$V$2:$V$1001,0),0), INDEX($AC$1004:$AS$1004,1,MATCH(COLUMNS($AC$1006:AN1006),$AC$1006:$AS$1006,0)))),"Fix")))</f>
        <v>0</v>
      </c>
      <c r="N48" s="5">
        <f>IF(OR(INDEX($W$2:$W$1001,MATCH(ROWS($V$2:V48),$V$2:$V$1001,0),1)&gt;=100000,INDEX($AC$1005:$AS$1005,1,MATCH(COLUMNS($AC$1006:AO1006),$AC$1006:$AS$1006,0))&gt;=100000), " ",IF(INDEX($AC$2:$AS$1001,MATCH(ROWS($V$2:V48),$V$2:$V$1001,0),MATCH(COLUMNS($AC$1006:AO1006),$AC$1006:$AS$1006,0)), HYPERLINK("#",""), HYPERLINK(CONCATENATE("#Metadata!", ADDRESS(INDEX($X$2:$X$1001,MATCH(ROWS($V$2:V48),$V$2:$V$1001,0),0), INDEX($AC$1004:$AS$1004,1,MATCH(COLUMNS($AC$1006:AO1006),$AC$1006:$AS$1006,0)))),"Fix")))</f>
        <v>0</v>
      </c>
      <c r="O48" s="5">
        <f>IF(OR(INDEX($W$2:$W$1001,MATCH(ROWS($V$2:V48),$V$2:$V$1001,0),1)&gt;=100000,INDEX($AC$1005:$AS$1005,1,MATCH(COLUMNS($AC$1006:AP1006),$AC$1006:$AS$1006,0))&gt;=100000), " ",IF(INDEX($AC$2:$AS$1001,MATCH(ROWS($V$2:V48),$V$2:$V$1001,0),MATCH(COLUMNS($AC$1006:AP1006),$AC$1006:$AS$1006,0)), HYPERLINK("#",""), HYPERLINK(CONCATENATE("#Metadata!", ADDRESS(INDEX($X$2:$X$1001,MATCH(ROWS($V$2:V48),$V$2:$V$1001,0),0), INDEX($AC$1004:$AS$1004,1,MATCH(COLUMNS($AC$1006:AP1006),$AC$1006:$AS$1006,0)))),"Fix")))</f>
        <v>0</v>
      </c>
      <c r="P48" s="5">
        <f>IF(OR(INDEX($W$2:$W$1001,MATCH(ROWS($V$2:V48),$V$2:$V$1001,0),1)&gt;=100000,INDEX($AC$1005:$AS$1005,1,MATCH(COLUMNS($AC$1006:AQ1006),$AC$1006:$AS$1006,0))&gt;=100000), " ",IF(INDEX($AC$2:$AS$1001,MATCH(ROWS($V$2:V48),$V$2:$V$1001,0),MATCH(COLUMNS($AC$1006:AQ1006),$AC$1006:$AS$1006,0)), HYPERLINK("#",""), HYPERLINK(CONCATENATE("#Metadata!", ADDRESS(INDEX($X$2:$X$1001,MATCH(ROWS($V$2:V48),$V$2:$V$1001,0),0), INDEX($AC$1004:$AS$1004,1,MATCH(COLUMNS($AC$1006:AQ1006),$AC$1006:$AS$1006,0)))),"Fix")))</f>
        <v>0</v>
      </c>
      <c r="Q48" s="5">
        <f>IF(OR(INDEX($W$2:$W$1001,MATCH(ROWS($V$2:V48),$V$2:$V$1001,0),1)&gt;=100000,INDEX($AC$1005:$AS$1005,1,MATCH(COLUMNS($AC$1006:AR1006),$AC$1006:$AS$1006,0))&gt;=100000), " ",IF(INDEX($AC$2:$AS$1001,MATCH(ROWS($V$2:V48),$V$2:$V$1001,0),MATCH(COLUMNS($AC$1006:AR1006),$AC$1006:$AS$1006,0)), HYPERLINK("#",""), HYPERLINK(CONCATENATE("#Metadata!", ADDRESS(INDEX($X$2:$X$1001,MATCH(ROWS($V$2:V48),$V$2:$V$1001,0),0), INDEX($AC$1004:$AS$1004,1,MATCH(COLUMNS($AC$1006:AR1006),$AC$1006:$AS$1006,0)))),"Fix")))</f>
        <v>0</v>
      </c>
      <c r="R48" s="5">
        <f>IF(OR(INDEX($W$2:$W$1001,MATCH(ROWS($V$2:V48),$V$2:$V$1001,0),1)&gt;=100000,INDEX($AC$1005:$AS$1005,1,MATCH(COLUMNS($AC$1006:AS1006),$AC$1006:$AS$1006,0))&gt;=100000), " ",IF(INDEX($AC$2:$AS$1001,MATCH(ROWS($V$2:V48),$V$2:$V$1001,0),MATCH(COLUMNS($AC$1006:AS1006),$AC$1006:$AS$1006,0)), HYPERLINK("#",""), HYPERLINK(CONCATENATE("#Metadata!", ADDRESS(INDEX($X$2:$X$1001,MATCH(ROWS($V$2:V48),$V$2:$V$1001,0),0), INDEX($AC$1004:$AS$1004,1,MATCH(COLUMNS($AC$1006:AS1006),$AC$1006:$AS$1006,0)))),"Fix")))</f>
        <v>0</v>
      </c>
      <c r="V48">
        <v>0</v>
      </c>
      <c r="W48">
        <v>0</v>
      </c>
      <c r="X48">
        <v>0</v>
      </c>
      <c r="Y48">
        <f>IF(Z48,TRUE,AND(AC48:AS48))</f>
        <v>0</v>
      </c>
      <c r="Z48">
        <f>COUNTBLANK(Metadata!B48:R48)=COLUMNS(Metadata!B48:R48)</f>
        <v>0</v>
      </c>
      <c r="AA48">
        <v>0</v>
      </c>
      <c r="AC48">
        <f>AND(IF(Metadata!B48="",FALSE,TRUE),COUNTIF(Metadata!B:B, Metadata!B48) = 1,NOT(ISERROR(SUMPRODUCT(SEARCH(MID(Metadata!B48,ROW(INDIRECT("1:"&amp;LEN(Metadata!B48))), 1),"0123456789abcdefghijklmnopqrstuvwxyzABCDEFGHIJKLMNOPQRSTUVWXYZ.")))))</f>
        <v>0</v>
      </c>
      <c r="AD48">
        <f>AND(IF(Metadata!C48="",FALSE,TRUE),exact(Metadata!C48,"Host-associated"))</f>
        <v>0</v>
      </c>
      <c r="AE48">
        <f>AND(IF(Metadata!D48="",FALSE,TRUE),OR(exact(Metadata!D48,"Animal"),exact(Metadata!D48,"Fungus"),exact(Metadata!D48,"Plant")))</f>
        <v>0</v>
      </c>
      <c r="AF48">
        <f>AND(IF(Metadata!E48="",FALSE,TRUE),OR(exact(Metadata!E48,"Plant secretion"),exact(Metadata!E48,"Plant rhizosphere"),exact(Metadata!E48,"Plant surface"),exact(Metadata!E48,"Plant corpus"),exact(Metadata!E48,"Fungus surface"),exact(Metadata!E48,"Fungus corpus"),exact(Metadata!E48,"Animal surface"),exact(Metadata!E48,"Animal proximal gut"),exact(Metadata!E48,"Animal corpus"),exact(Metadata!E48,"Animal distal gut"),exact(Metadata!E48,"Animal secretion")))</f>
        <v>0</v>
      </c>
      <c r="AG48">
        <f>OR(AND(IF(Metadata!F48="",FALSE,TRUE),OR(exact(Metadata!F48,"not collected"),exact(Metadata!F48,"not provided"),exact(Metadata!F48,"restricted access"))),AND(IF(Metadata!F48="",FALSE,TRUE),OR(exact(Metadata!F48,"organism-associated habitat"),exact(Metadata!F48,"plant-associated habitat"),exact(Metadata!F48,"animal-associated habitat"),exact(Metadata!F48,"insecta-associated habitat"),exact(Metadata!F48,"mammalia-associated habitat"),exact(Metadata!F48,"human-associated habitat"),exact(Metadata!F48,"livestock-associated habitat"))))</f>
        <v>0</v>
      </c>
      <c r="AH48">
        <f>AND(IF(Metadata!G48="",FALSE,TRUE),exact(Metadata!G48,"host-associated"))</f>
        <v>0</v>
      </c>
      <c r="AI48">
        <f>OR(AND(IF(Metadata!H48="",FALSE,TRUE),OR(exact(Metadata!H48,"not collected"),exact(Metadata!H48,"not provided"))),AND(IF(Metadata!H48="",FALSE,ISNUMBER(VALUE(Metadata!H48))),Metadata!H48&gt;0))</f>
        <v>0</v>
      </c>
      <c r="AJ48">
        <f>AND(IF(Metadata!I48="",FALSE,TRUE),exact(Metadata!I48,"years"))</f>
        <v>0</v>
      </c>
      <c r="AK48">
        <f>IF(Metadata!J48="",FALSE,TRUE)</f>
        <v>0</v>
      </c>
      <c r="AL48">
        <f>OR(AND(IF(Metadata!K48="",FALSE,TRUE),OR(exact(Metadata!K48,"not collected"),exact(Metadata!K48,"not provided"))),AND(IF(Metadata!K48="",FALSE,ISNUMBER(VALUE(Metadata!K48))),Metadata!K48&gt;0))</f>
        <v>0</v>
      </c>
      <c r="AM48">
        <f>AND(IF(Metadata!L48="",FALSE,TRUE),exact(Metadata!L48,"cm"))</f>
        <v>0</v>
      </c>
      <c r="AN48">
        <f>IF(Metadata!M48="",FALSE,TRUE)</f>
        <v>0</v>
      </c>
      <c r="AO48">
        <f>OR(AND(IF(Metadata!N48="",FALSE,TRUE),OR(exact(Metadata!N48,"not applicable"),exact(Metadata!N48,"not collected"),exact(Metadata!N48,"not provided"))),AND(IF(Metadata!N48="",FALSE,IF(ISERROR(INT(Metadata!N48)),FALSE,INT(Metadata!N48)=Metadata!N48)),Metadata!N48&gt;0))</f>
        <v>0</v>
      </c>
      <c r="AP48">
        <f>OR(AND(IF(Metadata!O48="",FALSE,TRUE),OR(exact(Metadata!O48,"not collected"),exact(Metadata!O48,"not provided"))),AND(IF(Metadata!O48="",FALSE,ISNUMBER(VALUE(Metadata!O48))),Metadata!O48&gt;0))</f>
        <v>0</v>
      </c>
      <c r="AQ48">
        <f>AND(IF(Metadata!P48="",FALSE,TRUE),exact(Metadata!P48,"kg"))</f>
        <v>0</v>
      </c>
      <c r="AR48">
        <f>OR(AND(IF(Metadata!Q48="",FALSE,TRUE),OR(exact(Metadata!Q48,"not applicable"),exact(Metadata!Q48,"not collected"),exact(Metadata!Q48,"not provided"),exact(Metadata!Q48,"restricted access"))),IF(Metadata!Q48="",FALSE,IF(ISERROR(INT(Metadata!Q48)),FALSE,INT(Metadata!Q48)=Metadata!Q48)))</f>
        <v>0</v>
      </c>
      <c r="AS48">
        <f>AND(IF(Metadata!R48="",FALSE,TRUE),exact(Metadata!R48,"Not applicable"))</f>
        <v>0</v>
      </c>
    </row>
    <row r="49" spans="1:45">
      <c r="A49" s="4">
        <f>IF(B49=" "," ",HYPERLINK(CONCATENATE("#metadata!",ADDRESS(INDEX($X$2:$X$1001,MATCH(ROWS($V$2:V49),$V$2:$V$1001,0),0),2)),INDEX($AA$2:$AA$1001,MATCH(ROWS($V$2:V49),$V$2:$V$1001,0),0)))</f>
        <v>0</v>
      </c>
      <c r="B49" s="5">
        <f>IF(OR(INDEX($W$2:$W$1001,MATCH(ROWS($V$2:V49),$V$2:$V$1001,0),1)&gt;=100000,INDEX($AC$1005:$AS$1005,1,MATCH(COLUMNS($AC$1006:AC1006),$AC$1006:$AS$1006,0))&gt;=100000), " ",IF(INDEX($AC$2:$AS$1001,MATCH(ROWS($V$2:V49),$V$2:$V$1001,0),MATCH(COLUMNS($AC$1006:AC1006),$AC$1006:$AS$1006,0)), HYPERLINK("#",""), HYPERLINK(CONCATENATE("#Metadata!", ADDRESS(INDEX($X$2:$X$1001,MATCH(ROWS($V$2:V49),$V$2:$V$1001,0),0), INDEX($AC$1004:$AS$1004,1,MATCH(COLUMNS($AC$1006:AC1006),$AC$1006:$AS$1006,0)))),"Fix")))</f>
        <v>0</v>
      </c>
      <c r="C49" s="5">
        <f>IF(OR(INDEX($W$2:$W$1001,MATCH(ROWS($V$2:V49),$V$2:$V$1001,0),1)&gt;=100000,INDEX($AC$1005:$AS$1005,1,MATCH(COLUMNS($AC$1006:AD1006),$AC$1006:$AS$1006,0))&gt;=100000), " ",IF(INDEX($AC$2:$AS$1001,MATCH(ROWS($V$2:V49),$V$2:$V$1001,0),MATCH(COLUMNS($AC$1006:AD1006),$AC$1006:$AS$1006,0)), HYPERLINK("#",""), HYPERLINK(CONCATENATE("#Metadata!", ADDRESS(INDEX($X$2:$X$1001,MATCH(ROWS($V$2:V49),$V$2:$V$1001,0),0), INDEX($AC$1004:$AS$1004,1,MATCH(COLUMNS($AC$1006:AD1006),$AC$1006:$AS$1006,0)))),"Fix")))</f>
        <v>0</v>
      </c>
      <c r="D49" s="5">
        <f>IF(OR(INDEX($W$2:$W$1001,MATCH(ROWS($V$2:V49),$V$2:$V$1001,0),1)&gt;=100000,INDEX($AC$1005:$AS$1005,1,MATCH(COLUMNS($AC$1006:AE1006),$AC$1006:$AS$1006,0))&gt;=100000), " ",IF(INDEX($AC$2:$AS$1001,MATCH(ROWS($V$2:V49),$V$2:$V$1001,0),MATCH(COLUMNS($AC$1006:AE1006),$AC$1006:$AS$1006,0)), HYPERLINK("#",""), HYPERLINK(CONCATENATE("#Metadata!", ADDRESS(INDEX($X$2:$X$1001,MATCH(ROWS($V$2:V49),$V$2:$V$1001,0),0), INDEX($AC$1004:$AS$1004,1,MATCH(COLUMNS($AC$1006:AE1006),$AC$1006:$AS$1006,0)))),"Fix")))</f>
        <v>0</v>
      </c>
      <c r="E49" s="5">
        <f>IF(OR(INDEX($W$2:$W$1001,MATCH(ROWS($V$2:V49),$V$2:$V$1001,0),1)&gt;=100000,INDEX($AC$1005:$AS$1005,1,MATCH(COLUMNS($AC$1006:AF1006),$AC$1006:$AS$1006,0))&gt;=100000), " ",IF(INDEX($AC$2:$AS$1001,MATCH(ROWS($V$2:V49),$V$2:$V$1001,0),MATCH(COLUMNS($AC$1006:AF1006),$AC$1006:$AS$1006,0)), HYPERLINK("#",""), HYPERLINK(CONCATENATE("#Metadata!", ADDRESS(INDEX($X$2:$X$1001,MATCH(ROWS($V$2:V49),$V$2:$V$1001,0),0), INDEX($AC$1004:$AS$1004,1,MATCH(COLUMNS($AC$1006:AF1006),$AC$1006:$AS$1006,0)))),"Fix")))</f>
        <v>0</v>
      </c>
      <c r="F49" s="5">
        <f>IF(OR(INDEX($W$2:$W$1001,MATCH(ROWS($V$2:V49),$V$2:$V$1001,0),1)&gt;=100000,INDEX($AC$1005:$AS$1005,1,MATCH(COLUMNS($AC$1006:AG1006),$AC$1006:$AS$1006,0))&gt;=100000), " ",IF(INDEX($AC$2:$AS$1001,MATCH(ROWS($V$2:V49),$V$2:$V$1001,0),MATCH(COLUMNS($AC$1006:AG1006),$AC$1006:$AS$1006,0)), HYPERLINK("#",""), HYPERLINK(CONCATENATE("#Metadata!", ADDRESS(INDEX($X$2:$X$1001,MATCH(ROWS($V$2:V49),$V$2:$V$1001,0),0), INDEX($AC$1004:$AS$1004,1,MATCH(COLUMNS($AC$1006:AG1006),$AC$1006:$AS$1006,0)))),"Fix")))</f>
        <v>0</v>
      </c>
      <c r="G49" s="5">
        <f>IF(OR(INDEX($W$2:$W$1001,MATCH(ROWS($V$2:V49),$V$2:$V$1001,0),1)&gt;=100000,INDEX($AC$1005:$AS$1005,1,MATCH(COLUMNS($AC$1006:AH1006),$AC$1006:$AS$1006,0))&gt;=100000), " ",IF(INDEX($AC$2:$AS$1001,MATCH(ROWS($V$2:V49),$V$2:$V$1001,0),MATCH(COLUMNS($AC$1006:AH1006),$AC$1006:$AS$1006,0)), HYPERLINK("#",""), HYPERLINK(CONCATENATE("#Metadata!", ADDRESS(INDEX($X$2:$X$1001,MATCH(ROWS($V$2:V49),$V$2:$V$1001,0),0), INDEX($AC$1004:$AS$1004,1,MATCH(COLUMNS($AC$1006:AH1006),$AC$1006:$AS$1006,0)))),"Fix")))</f>
        <v>0</v>
      </c>
      <c r="H49" s="5">
        <f>IF(OR(INDEX($W$2:$W$1001,MATCH(ROWS($V$2:V49),$V$2:$V$1001,0),1)&gt;=100000,INDEX($AC$1005:$AS$1005,1,MATCH(COLUMNS($AC$1006:AI1006),$AC$1006:$AS$1006,0))&gt;=100000), " ",IF(INDEX($AC$2:$AS$1001,MATCH(ROWS($V$2:V49),$V$2:$V$1001,0),MATCH(COLUMNS($AC$1006:AI1006),$AC$1006:$AS$1006,0)), HYPERLINK("#",""), HYPERLINK(CONCATENATE("#Metadata!", ADDRESS(INDEX($X$2:$X$1001,MATCH(ROWS($V$2:V49),$V$2:$V$1001,0),0), INDEX($AC$1004:$AS$1004,1,MATCH(COLUMNS($AC$1006:AI1006),$AC$1006:$AS$1006,0)))),"Fix")))</f>
        <v>0</v>
      </c>
      <c r="I49" s="5">
        <f>IF(OR(INDEX($W$2:$W$1001,MATCH(ROWS($V$2:V49),$V$2:$V$1001,0),1)&gt;=100000,INDEX($AC$1005:$AS$1005,1,MATCH(COLUMNS($AC$1006:AJ1006),$AC$1006:$AS$1006,0))&gt;=100000), " ",IF(INDEX($AC$2:$AS$1001,MATCH(ROWS($V$2:V49),$V$2:$V$1001,0),MATCH(COLUMNS($AC$1006:AJ1006),$AC$1006:$AS$1006,0)), HYPERLINK("#",""), HYPERLINK(CONCATENATE("#Metadata!", ADDRESS(INDEX($X$2:$X$1001,MATCH(ROWS($V$2:V49),$V$2:$V$1001,0),0), INDEX($AC$1004:$AS$1004,1,MATCH(COLUMNS($AC$1006:AJ1006),$AC$1006:$AS$1006,0)))),"Fix")))</f>
        <v>0</v>
      </c>
      <c r="J49" s="5">
        <f>IF(OR(INDEX($W$2:$W$1001,MATCH(ROWS($V$2:V49),$V$2:$V$1001,0),1)&gt;=100000,INDEX($AC$1005:$AS$1005,1,MATCH(COLUMNS($AC$1006:AK1006),$AC$1006:$AS$1006,0))&gt;=100000), " ",IF(INDEX($AC$2:$AS$1001,MATCH(ROWS($V$2:V49),$V$2:$V$1001,0),MATCH(COLUMNS($AC$1006:AK1006),$AC$1006:$AS$1006,0)), HYPERLINK("#",""), HYPERLINK(CONCATENATE("#Metadata!", ADDRESS(INDEX($X$2:$X$1001,MATCH(ROWS($V$2:V49),$V$2:$V$1001,0),0), INDEX($AC$1004:$AS$1004,1,MATCH(COLUMNS($AC$1006:AK1006),$AC$1006:$AS$1006,0)))),"Fix")))</f>
        <v>0</v>
      </c>
      <c r="K49" s="5">
        <f>IF(OR(INDEX($W$2:$W$1001,MATCH(ROWS($V$2:V49),$V$2:$V$1001,0),1)&gt;=100000,INDEX($AC$1005:$AS$1005,1,MATCH(COLUMNS($AC$1006:AL1006),$AC$1006:$AS$1006,0))&gt;=100000), " ",IF(INDEX($AC$2:$AS$1001,MATCH(ROWS($V$2:V49),$V$2:$V$1001,0),MATCH(COLUMNS($AC$1006:AL1006),$AC$1006:$AS$1006,0)), HYPERLINK("#",""), HYPERLINK(CONCATENATE("#Metadata!", ADDRESS(INDEX($X$2:$X$1001,MATCH(ROWS($V$2:V49),$V$2:$V$1001,0),0), INDEX($AC$1004:$AS$1004,1,MATCH(COLUMNS($AC$1006:AL1006),$AC$1006:$AS$1006,0)))),"Fix")))</f>
        <v>0</v>
      </c>
      <c r="L49" s="5">
        <f>IF(OR(INDEX($W$2:$W$1001,MATCH(ROWS($V$2:V49),$V$2:$V$1001,0),1)&gt;=100000,INDEX($AC$1005:$AS$1005,1,MATCH(COLUMNS($AC$1006:AM1006),$AC$1006:$AS$1006,0))&gt;=100000), " ",IF(INDEX($AC$2:$AS$1001,MATCH(ROWS($V$2:V49),$V$2:$V$1001,0),MATCH(COLUMNS($AC$1006:AM1006),$AC$1006:$AS$1006,0)), HYPERLINK("#",""), HYPERLINK(CONCATENATE("#Metadata!", ADDRESS(INDEX($X$2:$X$1001,MATCH(ROWS($V$2:V49),$V$2:$V$1001,0),0), INDEX($AC$1004:$AS$1004,1,MATCH(COLUMNS($AC$1006:AM1006),$AC$1006:$AS$1006,0)))),"Fix")))</f>
        <v>0</v>
      </c>
      <c r="M49" s="5">
        <f>IF(OR(INDEX($W$2:$W$1001,MATCH(ROWS($V$2:V49),$V$2:$V$1001,0),1)&gt;=100000,INDEX($AC$1005:$AS$1005,1,MATCH(COLUMNS($AC$1006:AN1006),$AC$1006:$AS$1006,0))&gt;=100000), " ",IF(INDEX($AC$2:$AS$1001,MATCH(ROWS($V$2:V49),$V$2:$V$1001,0),MATCH(COLUMNS($AC$1006:AN1006),$AC$1006:$AS$1006,0)), HYPERLINK("#",""), HYPERLINK(CONCATENATE("#Metadata!", ADDRESS(INDEX($X$2:$X$1001,MATCH(ROWS($V$2:V49),$V$2:$V$1001,0),0), INDEX($AC$1004:$AS$1004,1,MATCH(COLUMNS($AC$1006:AN1006),$AC$1006:$AS$1006,0)))),"Fix")))</f>
        <v>0</v>
      </c>
      <c r="N49" s="5">
        <f>IF(OR(INDEX($W$2:$W$1001,MATCH(ROWS($V$2:V49),$V$2:$V$1001,0),1)&gt;=100000,INDEX($AC$1005:$AS$1005,1,MATCH(COLUMNS($AC$1006:AO1006),$AC$1006:$AS$1006,0))&gt;=100000), " ",IF(INDEX($AC$2:$AS$1001,MATCH(ROWS($V$2:V49),$V$2:$V$1001,0),MATCH(COLUMNS($AC$1006:AO1006),$AC$1006:$AS$1006,0)), HYPERLINK("#",""), HYPERLINK(CONCATENATE("#Metadata!", ADDRESS(INDEX($X$2:$X$1001,MATCH(ROWS($V$2:V49),$V$2:$V$1001,0),0), INDEX($AC$1004:$AS$1004,1,MATCH(COLUMNS($AC$1006:AO1006),$AC$1006:$AS$1006,0)))),"Fix")))</f>
        <v>0</v>
      </c>
      <c r="O49" s="5">
        <f>IF(OR(INDEX($W$2:$W$1001,MATCH(ROWS($V$2:V49),$V$2:$V$1001,0),1)&gt;=100000,INDEX($AC$1005:$AS$1005,1,MATCH(COLUMNS($AC$1006:AP1006),$AC$1006:$AS$1006,0))&gt;=100000), " ",IF(INDEX($AC$2:$AS$1001,MATCH(ROWS($V$2:V49),$V$2:$V$1001,0),MATCH(COLUMNS($AC$1006:AP1006),$AC$1006:$AS$1006,0)), HYPERLINK("#",""), HYPERLINK(CONCATENATE("#Metadata!", ADDRESS(INDEX($X$2:$X$1001,MATCH(ROWS($V$2:V49),$V$2:$V$1001,0),0), INDEX($AC$1004:$AS$1004,1,MATCH(COLUMNS($AC$1006:AP1006),$AC$1006:$AS$1006,0)))),"Fix")))</f>
        <v>0</v>
      </c>
      <c r="P49" s="5">
        <f>IF(OR(INDEX($W$2:$W$1001,MATCH(ROWS($V$2:V49),$V$2:$V$1001,0),1)&gt;=100000,INDEX($AC$1005:$AS$1005,1,MATCH(COLUMNS($AC$1006:AQ1006),$AC$1006:$AS$1006,0))&gt;=100000), " ",IF(INDEX($AC$2:$AS$1001,MATCH(ROWS($V$2:V49),$V$2:$V$1001,0),MATCH(COLUMNS($AC$1006:AQ1006),$AC$1006:$AS$1006,0)), HYPERLINK("#",""), HYPERLINK(CONCATENATE("#Metadata!", ADDRESS(INDEX($X$2:$X$1001,MATCH(ROWS($V$2:V49),$V$2:$V$1001,0),0), INDEX($AC$1004:$AS$1004,1,MATCH(COLUMNS($AC$1006:AQ1006),$AC$1006:$AS$1006,0)))),"Fix")))</f>
        <v>0</v>
      </c>
      <c r="Q49" s="5">
        <f>IF(OR(INDEX($W$2:$W$1001,MATCH(ROWS($V$2:V49),$V$2:$V$1001,0),1)&gt;=100000,INDEX($AC$1005:$AS$1005,1,MATCH(COLUMNS($AC$1006:AR1006),$AC$1006:$AS$1006,0))&gt;=100000), " ",IF(INDEX($AC$2:$AS$1001,MATCH(ROWS($V$2:V49),$V$2:$V$1001,0),MATCH(COLUMNS($AC$1006:AR1006),$AC$1006:$AS$1006,0)), HYPERLINK("#",""), HYPERLINK(CONCATENATE("#Metadata!", ADDRESS(INDEX($X$2:$X$1001,MATCH(ROWS($V$2:V49),$V$2:$V$1001,0),0), INDEX($AC$1004:$AS$1004,1,MATCH(COLUMNS($AC$1006:AR1006),$AC$1006:$AS$1006,0)))),"Fix")))</f>
        <v>0</v>
      </c>
      <c r="R49" s="5">
        <f>IF(OR(INDEX($W$2:$W$1001,MATCH(ROWS($V$2:V49),$V$2:$V$1001,0),1)&gt;=100000,INDEX($AC$1005:$AS$1005,1,MATCH(COLUMNS($AC$1006:AS1006),$AC$1006:$AS$1006,0))&gt;=100000), " ",IF(INDEX($AC$2:$AS$1001,MATCH(ROWS($V$2:V49),$V$2:$V$1001,0),MATCH(COLUMNS($AC$1006:AS1006),$AC$1006:$AS$1006,0)), HYPERLINK("#",""), HYPERLINK(CONCATENATE("#Metadata!", ADDRESS(INDEX($X$2:$X$1001,MATCH(ROWS($V$2:V49),$V$2:$V$1001,0),0), INDEX($AC$1004:$AS$1004,1,MATCH(COLUMNS($AC$1006:AS1006),$AC$1006:$AS$1006,0)))),"Fix")))</f>
        <v>0</v>
      </c>
      <c r="V49">
        <v>0</v>
      </c>
      <c r="W49">
        <v>0</v>
      </c>
      <c r="X49">
        <v>0</v>
      </c>
      <c r="Y49">
        <f>IF(Z49,TRUE,AND(AC49:AS49))</f>
        <v>0</v>
      </c>
      <c r="Z49">
        <f>COUNTBLANK(Metadata!B49:R49)=COLUMNS(Metadata!B49:R49)</f>
        <v>0</v>
      </c>
      <c r="AA49">
        <v>0</v>
      </c>
      <c r="AC49">
        <f>AND(IF(Metadata!B49="",FALSE,TRUE),COUNTIF(Metadata!B:B, Metadata!B49) = 1,NOT(ISERROR(SUMPRODUCT(SEARCH(MID(Metadata!B49,ROW(INDIRECT("1:"&amp;LEN(Metadata!B49))), 1),"0123456789abcdefghijklmnopqrstuvwxyzABCDEFGHIJKLMNOPQRSTUVWXYZ.")))))</f>
        <v>0</v>
      </c>
      <c r="AD49">
        <f>AND(IF(Metadata!C49="",FALSE,TRUE),exact(Metadata!C49,"Host-associated"))</f>
        <v>0</v>
      </c>
      <c r="AE49">
        <f>AND(IF(Metadata!D49="",FALSE,TRUE),OR(exact(Metadata!D49,"Animal"),exact(Metadata!D49,"Fungus"),exact(Metadata!D49,"Plant")))</f>
        <v>0</v>
      </c>
      <c r="AF49">
        <f>AND(IF(Metadata!E49="",FALSE,TRUE),OR(exact(Metadata!E49,"Plant secretion"),exact(Metadata!E49,"Plant rhizosphere"),exact(Metadata!E49,"Plant surface"),exact(Metadata!E49,"Plant corpus"),exact(Metadata!E49,"Fungus surface"),exact(Metadata!E49,"Fungus corpus"),exact(Metadata!E49,"Animal surface"),exact(Metadata!E49,"Animal proximal gut"),exact(Metadata!E49,"Animal corpus"),exact(Metadata!E49,"Animal distal gut"),exact(Metadata!E49,"Animal secretion")))</f>
        <v>0</v>
      </c>
      <c r="AG49">
        <f>OR(AND(IF(Metadata!F49="",FALSE,TRUE),OR(exact(Metadata!F49,"not collected"),exact(Metadata!F49,"not provided"),exact(Metadata!F49,"restricted access"))),AND(IF(Metadata!F49="",FALSE,TRUE),OR(exact(Metadata!F49,"organism-associated habitat"),exact(Metadata!F49,"plant-associated habitat"),exact(Metadata!F49,"animal-associated habitat"),exact(Metadata!F49,"insecta-associated habitat"),exact(Metadata!F49,"mammalia-associated habitat"),exact(Metadata!F49,"human-associated habitat"),exact(Metadata!F49,"livestock-associated habitat"))))</f>
        <v>0</v>
      </c>
      <c r="AH49">
        <f>AND(IF(Metadata!G49="",FALSE,TRUE),exact(Metadata!G49,"host-associated"))</f>
        <v>0</v>
      </c>
      <c r="AI49">
        <f>OR(AND(IF(Metadata!H49="",FALSE,TRUE),OR(exact(Metadata!H49,"not collected"),exact(Metadata!H49,"not provided"))),AND(IF(Metadata!H49="",FALSE,ISNUMBER(VALUE(Metadata!H49))),Metadata!H49&gt;0))</f>
        <v>0</v>
      </c>
      <c r="AJ49">
        <f>AND(IF(Metadata!I49="",FALSE,TRUE),exact(Metadata!I49,"years"))</f>
        <v>0</v>
      </c>
      <c r="AK49">
        <f>IF(Metadata!J49="",FALSE,TRUE)</f>
        <v>0</v>
      </c>
      <c r="AL49">
        <f>OR(AND(IF(Metadata!K49="",FALSE,TRUE),OR(exact(Metadata!K49,"not collected"),exact(Metadata!K49,"not provided"))),AND(IF(Metadata!K49="",FALSE,ISNUMBER(VALUE(Metadata!K49))),Metadata!K49&gt;0))</f>
        <v>0</v>
      </c>
      <c r="AM49">
        <f>AND(IF(Metadata!L49="",FALSE,TRUE),exact(Metadata!L49,"cm"))</f>
        <v>0</v>
      </c>
      <c r="AN49">
        <f>IF(Metadata!M49="",FALSE,TRUE)</f>
        <v>0</v>
      </c>
      <c r="AO49">
        <f>OR(AND(IF(Metadata!N49="",FALSE,TRUE),OR(exact(Metadata!N49,"not applicable"),exact(Metadata!N49,"not collected"),exact(Metadata!N49,"not provided"))),AND(IF(Metadata!N49="",FALSE,IF(ISERROR(INT(Metadata!N49)),FALSE,INT(Metadata!N49)=Metadata!N49)),Metadata!N49&gt;0))</f>
        <v>0</v>
      </c>
      <c r="AP49">
        <f>OR(AND(IF(Metadata!O49="",FALSE,TRUE),OR(exact(Metadata!O49,"not collected"),exact(Metadata!O49,"not provided"))),AND(IF(Metadata!O49="",FALSE,ISNUMBER(VALUE(Metadata!O49))),Metadata!O49&gt;0))</f>
        <v>0</v>
      </c>
      <c r="AQ49">
        <f>AND(IF(Metadata!P49="",FALSE,TRUE),exact(Metadata!P49,"kg"))</f>
        <v>0</v>
      </c>
      <c r="AR49">
        <f>OR(AND(IF(Metadata!Q49="",FALSE,TRUE),OR(exact(Metadata!Q49,"not applicable"),exact(Metadata!Q49,"not collected"),exact(Metadata!Q49,"not provided"),exact(Metadata!Q49,"restricted access"))),IF(Metadata!Q49="",FALSE,IF(ISERROR(INT(Metadata!Q49)),FALSE,INT(Metadata!Q49)=Metadata!Q49)))</f>
        <v>0</v>
      </c>
      <c r="AS49">
        <f>AND(IF(Metadata!R49="",FALSE,TRUE),exact(Metadata!R49,"Not applicable"))</f>
        <v>0</v>
      </c>
    </row>
    <row r="50" spans="1:45">
      <c r="A50" s="4">
        <f>IF(B50=" "," ",HYPERLINK(CONCATENATE("#metadata!",ADDRESS(INDEX($X$2:$X$1001,MATCH(ROWS($V$2:V50),$V$2:$V$1001,0),0),2)),INDEX($AA$2:$AA$1001,MATCH(ROWS($V$2:V50),$V$2:$V$1001,0),0)))</f>
        <v>0</v>
      </c>
      <c r="B50" s="5">
        <f>IF(OR(INDEX($W$2:$W$1001,MATCH(ROWS($V$2:V50),$V$2:$V$1001,0),1)&gt;=100000,INDEX($AC$1005:$AS$1005,1,MATCH(COLUMNS($AC$1006:AC1006),$AC$1006:$AS$1006,0))&gt;=100000), " ",IF(INDEX($AC$2:$AS$1001,MATCH(ROWS($V$2:V50),$V$2:$V$1001,0),MATCH(COLUMNS($AC$1006:AC1006),$AC$1006:$AS$1006,0)), HYPERLINK("#",""), HYPERLINK(CONCATENATE("#Metadata!", ADDRESS(INDEX($X$2:$X$1001,MATCH(ROWS($V$2:V50),$V$2:$V$1001,0),0), INDEX($AC$1004:$AS$1004,1,MATCH(COLUMNS($AC$1006:AC1006),$AC$1006:$AS$1006,0)))),"Fix")))</f>
        <v>0</v>
      </c>
      <c r="C50" s="5">
        <f>IF(OR(INDEX($W$2:$W$1001,MATCH(ROWS($V$2:V50),$V$2:$V$1001,0),1)&gt;=100000,INDEX($AC$1005:$AS$1005,1,MATCH(COLUMNS($AC$1006:AD1006),$AC$1006:$AS$1006,0))&gt;=100000), " ",IF(INDEX($AC$2:$AS$1001,MATCH(ROWS($V$2:V50),$V$2:$V$1001,0),MATCH(COLUMNS($AC$1006:AD1006),$AC$1006:$AS$1006,0)), HYPERLINK("#",""), HYPERLINK(CONCATENATE("#Metadata!", ADDRESS(INDEX($X$2:$X$1001,MATCH(ROWS($V$2:V50),$V$2:$V$1001,0),0), INDEX($AC$1004:$AS$1004,1,MATCH(COLUMNS($AC$1006:AD1006),$AC$1006:$AS$1006,0)))),"Fix")))</f>
        <v>0</v>
      </c>
      <c r="D50" s="5">
        <f>IF(OR(INDEX($W$2:$W$1001,MATCH(ROWS($V$2:V50),$V$2:$V$1001,0),1)&gt;=100000,INDEX($AC$1005:$AS$1005,1,MATCH(COLUMNS($AC$1006:AE1006),$AC$1006:$AS$1006,0))&gt;=100000), " ",IF(INDEX($AC$2:$AS$1001,MATCH(ROWS($V$2:V50),$V$2:$V$1001,0),MATCH(COLUMNS($AC$1006:AE1006),$AC$1006:$AS$1006,0)), HYPERLINK("#",""), HYPERLINK(CONCATENATE("#Metadata!", ADDRESS(INDEX($X$2:$X$1001,MATCH(ROWS($V$2:V50),$V$2:$V$1001,0),0), INDEX($AC$1004:$AS$1004,1,MATCH(COLUMNS($AC$1006:AE1006),$AC$1006:$AS$1006,0)))),"Fix")))</f>
        <v>0</v>
      </c>
      <c r="E50" s="5">
        <f>IF(OR(INDEX($W$2:$W$1001,MATCH(ROWS($V$2:V50),$V$2:$V$1001,0),1)&gt;=100000,INDEX($AC$1005:$AS$1005,1,MATCH(COLUMNS($AC$1006:AF1006),$AC$1006:$AS$1006,0))&gt;=100000), " ",IF(INDEX($AC$2:$AS$1001,MATCH(ROWS($V$2:V50),$V$2:$V$1001,0),MATCH(COLUMNS($AC$1006:AF1006),$AC$1006:$AS$1006,0)), HYPERLINK("#",""), HYPERLINK(CONCATENATE("#Metadata!", ADDRESS(INDEX($X$2:$X$1001,MATCH(ROWS($V$2:V50),$V$2:$V$1001,0),0), INDEX($AC$1004:$AS$1004,1,MATCH(COLUMNS($AC$1006:AF1006),$AC$1006:$AS$1006,0)))),"Fix")))</f>
        <v>0</v>
      </c>
      <c r="F50" s="5">
        <f>IF(OR(INDEX($W$2:$W$1001,MATCH(ROWS($V$2:V50),$V$2:$V$1001,0),1)&gt;=100000,INDEX($AC$1005:$AS$1005,1,MATCH(COLUMNS($AC$1006:AG1006),$AC$1006:$AS$1006,0))&gt;=100000), " ",IF(INDEX($AC$2:$AS$1001,MATCH(ROWS($V$2:V50),$V$2:$V$1001,0),MATCH(COLUMNS($AC$1006:AG1006),$AC$1006:$AS$1006,0)), HYPERLINK("#",""), HYPERLINK(CONCATENATE("#Metadata!", ADDRESS(INDEX($X$2:$X$1001,MATCH(ROWS($V$2:V50),$V$2:$V$1001,0),0), INDEX($AC$1004:$AS$1004,1,MATCH(COLUMNS($AC$1006:AG1006),$AC$1006:$AS$1006,0)))),"Fix")))</f>
        <v>0</v>
      </c>
      <c r="G50" s="5">
        <f>IF(OR(INDEX($W$2:$W$1001,MATCH(ROWS($V$2:V50),$V$2:$V$1001,0),1)&gt;=100000,INDEX($AC$1005:$AS$1005,1,MATCH(COLUMNS($AC$1006:AH1006),$AC$1006:$AS$1006,0))&gt;=100000), " ",IF(INDEX($AC$2:$AS$1001,MATCH(ROWS($V$2:V50),$V$2:$V$1001,0),MATCH(COLUMNS($AC$1006:AH1006),$AC$1006:$AS$1006,0)), HYPERLINK("#",""), HYPERLINK(CONCATENATE("#Metadata!", ADDRESS(INDEX($X$2:$X$1001,MATCH(ROWS($V$2:V50),$V$2:$V$1001,0),0), INDEX($AC$1004:$AS$1004,1,MATCH(COLUMNS($AC$1006:AH1006),$AC$1006:$AS$1006,0)))),"Fix")))</f>
        <v>0</v>
      </c>
      <c r="H50" s="5">
        <f>IF(OR(INDEX($W$2:$W$1001,MATCH(ROWS($V$2:V50),$V$2:$V$1001,0),1)&gt;=100000,INDEX($AC$1005:$AS$1005,1,MATCH(COLUMNS($AC$1006:AI1006),$AC$1006:$AS$1006,0))&gt;=100000), " ",IF(INDEX($AC$2:$AS$1001,MATCH(ROWS($V$2:V50),$V$2:$V$1001,0),MATCH(COLUMNS($AC$1006:AI1006),$AC$1006:$AS$1006,0)), HYPERLINK("#",""), HYPERLINK(CONCATENATE("#Metadata!", ADDRESS(INDEX($X$2:$X$1001,MATCH(ROWS($V$2:V50),$V$2:$V$1001,0),0), INDEX($AC$1004:$AS$1004,1,MATCH(COLUMNS($AC$1006:AI1006),$AC$1006:$AS$1006,0)))),"Fix")))</f>
        <v>0</v>
      </c>
      <c r="I50" s="5">
        <f>IF(OR(INDEX($W$2:$W$1001,MATCH(ROWS($V$2:V50),$V$2:$V$1001,0),1)&gt;=100000,INDEX($AC$1005:$AS$1005,1,MATCH(COLUMNS($AC$1006:AJ1006),$AC$1006:$AS$1006,0))&gt;=100000), " ",IF(INDEX($AC$2:$AS$1001,MATCH(ROWS($V$2:V50),$V$2:$V$1001,0),MATCH(COLUMNS($AC$1006:AJ1006),$AC$1006:$AS$1006,0)), HYPERLINK("#",""), HYPERLINK(CONCATENATE("#Metadata!", ADDRESS(INDEX($X$2:$X$1001,MATCH(ROWS($V$2:V50),$V$2:$V$1001,0),0), INDEX($AC$1004:$AS$1004,1,MATCH(COLUMNS($AC$1006:AJ1006),$AC$1006:$AS$1006,0)))),"Fix")))</f>
        <v>0</v>
      </c>
      <c r="J50" s="5">
        <f>IF(OR(INDEX($W$2:$W$1001,MATCH(ROWS($V$2:V50),$V$2:$V$1001,0),1)&gt;=100000,INDEX($AC$1005:$AS$1005,1,MATCH(COLUMNS($AC$1006:AK1006),$AC$1006:$AS$1006,0))&gt;=100000), " ",IF(INDEX($AC$2:$AS$1001,MATCH(ROWS($V$2:V50),$V$2:$V$1001,0),MATCH(COLUMNS($AC$1006:AK1006),$AC$1006:$AS$1006,0)), HYPERLINK("#",""), HYPERLINK(CONCATENATE("#Metadata!", ADDRESS(INDEX($X$2:$X$1001,MATCH(ROWS($V$2:V50),$V$2:$V$1001,0),0), INDEX($AC$1004:$AS$1004,1,MATCH(COLUMNS($AC$1006:AK1006),$AC$1006:$AS$1006,0)))),"Fix")))</f>
        <v>0</v>
      </c>
      <c r="K50" s="5">
        <f>IF(OR(INDEX($W$2:$W$1001,MATCH(ROWS($V$2:V50),$V$2:$V$1001,0),1)&gt;=100000,INDEX($AC$1005:$AS$1005,1,MATCH(COLUMNS($AC$1006:AL1006),$AC$1006:$AS$1006,0))&gt;=100000), " ",IF(INDEX($AC$2:$AS$1001,MATCH(ROWS($V$2:V50),$V$2:$V$1001,0),MATCH(COLUMNS($AC$1006:AL1006),$AC$1006:$AS$1006,0)), HYPERLINK("#",""), HYPERLINK(CONCATENATE("#Metadata!", ADDRESS(INDEX($X$2:$X$1001,MATCH(ROWS($V$2:V50),$V$2:$V$1001,0),0), INDEX($AC$1004:$AS$1004,1,MATCH(COLUMNS($AC$1006:AL1006),$AC$1006:$AS$1006,0)))),"Fix")))</f>
        <v>0</v>
      </c>
      <c r="L50" s="5">
        <f>IF(OR(INDEX($W$2:$W$1001,MATCH(ROWS($V$2:V50),$V$2:$V$1001,0),1)&gt;=100000,INDEX($AC$1005:$AS$1005,1,MATCH(COLUMNS($AC$1006:AM1006),$AC$1006:$AS$1006,0))&gt;=100000), " ",IF(INDEX($AC$2:$AS$1001,MATCH(ROWS($V$2:V50),$V$2:$V$1001,0),MATCH(COLUMNS($AC$1006:AM1006),$AC$1006:$AS$1006,0)), HYPERLINK("#",""), HYPERLINK(CONCATENATE("#Metadata!", ADDRESS(INDEX($X$2:$X$1001,MATCH(ROWS($V$2:V50),$V$2:$V$1001,0),0), INDEX($AC$1004:$AS$1004,1,MATCH(COLUMNS($AC$1006:AM1006),$AC$1006:$AS$1006,0)))),"Fix")))</f>
        <v>0</v>
      </c>
      <c r="M50" s="5">
        <f>IF(OR(INDEX($W$2:$W$1001,MATCH(ROWS($V$2:V50),$V$2:$V$1001,0),1)&gt;=100000,INDEX($AC$1005:$AS$1005,1,MATCH(COLUMNS($AC$1006:AN1006),$AC$1006:$AS$1006,0))&gt;=100000), " ",IF(INDEX($AC$2:$AS$1001,MATCH(ROWS($V$2:V50),$V$2:$V$1001,0),MATCH(COLUMNS($AC$1006:AN1006),$AC$1006:$AS$1006,0)), HYPERLINK("#",""), HYPERLINK(CONCATENATE("#Metadata!", ADDRESS(INDEX($X$2:$X$1001,MATCH(ROWS($V$2:V50),$V$2:$V$1001,0),0), INDEX($AC$1004:$AS$1004,1,MATCH(COLUMNS($AC$1006:AN1006),$AC$1006:$AS$1006,0)))),"Fix")))</f>
        <v>0</v>
      </c>
      <c r="N50" s="5">
        <f>IF(OR(INDEX($W$2:$W$1001,MATCH(ROWS($V$2:V50),$V$2:$V$1001,0),1)&gt;=100000,INDEX($AC$1005:$AS$1005,1,MATCH(COLUMNS($AC$1006:AO1006),$AC$1006:$AS$1006,0))&gt;=100000), " ",IF(INDEX($AC$2:$AS$1001,MATCH(ROWS($V$2:V50),$V$2:$V$1001,0),MATCH(COLUMNS($AC$1006:AO1006),$AC$1006:$AS$1006,0)), HYPERLINK("#",""), HYPERLINK(CONCATENATE("#Metadata!", ADDRESS(INDEX($X$2:$X$1001,MATCH(ROWS($V$2:V50),$V$2:$V$1001,0),0), INDEX($AC$1004:$AS$1004,1,MATCH(COLUMNS($AC$1006:AO1006),$AC$1006:$AS$1006,0)))),"Fix")))</f>
        <v>0</v>
      </c>
      <c r="O50" s="5">
        <f>IF(OR(INDEX($W$2:$W$1001,MATCH(ROWS($V$2:V50),$V$2:$V$1001,0),1)&gt;=100000,INDEX($AC$1005:$AS$1005,1,MATCH(COLUMNS($AC$1006:AP1006),$AC$1006:$AS$1006,0))&gt;=100000), " ",IF(INDEX($AC$2:$AS$1001,MATCH(ROWS($V$2:V50),$V$2:$V$1001,0),MATCH(COLUMNS($AC$1006:AP1006),$AC$1006:$AS$1006,0)), HYPERLINK("#",""), HYPERLINK(CONCATENATE("#Metadata!", ADDRESS(INDEX($X$2:$X$1001,MATCH(ROWS($V$2:V50),$V$2:$V$1001,0),0), INDEX($AC$1004:$AS$1004,1,MATCH(COLUMNS($AC$1006:AP1006),$AC$1006:$AS$1006,0)))),"Fix")))</f>
        <v>0</v>
      </c>
      <c r="P50" s="5">
        <f>IF(OR(INDEX($W$2:$W$1001,MATCH(ROWS($V$2:V50),$V$2:$V$1001,0),1)&gt;=100000,INDEX($AC$1005:$AS$1005,1,MATCH(COLUMNS($AC$1006:AQ1006),$AC$1006:$AS$1006,0))&gt;=100000), " ",IF(INDEX($AC$2:$AS$1001,MATCH(ROWS($V$2:V50),$V$2:$V$1001,0),MATCH(COLUMNS($AC$1006:AQ1006),$AC$1006:$AS$1006,0)), HYPERLINK("#",""), HYPERLINK(CONCATENATE("#Metadata!", ADDRESS(INDEX($X$2:$X$1001,MATCH(ROWS($V$2:V50),$V$2:$V$1001,0),0), INDEX($AC$1004:$AS$1004,1,MATCH(COLUMNS($AC$1006:AQ1006),$AC$1006:$AS$1006,0)))),"Fix")))</f>
        <v>0</v>
      </c>
      <c r="Q50" s="5">
        <f>IF(OR(INDEX($W$2:$W$1001,MATCH(ROWS($V$2:V50),$V$2:$V$1001,0),1)&gt;=100000,INDEX($AC$1005:$AS$1005,1,MATCH(COLUMNS($AC$1006:AR1006),$AC$1006:$AS$1006,0))&gt;=100000), " ",IF(INDEX($AC$2:$AS$1001,MATCH(ROWS($V$2:V50),$V$2:$V$1001,0),MATCH(COLUMNS($AC$1006:AR1006),$AC$1006:$AS$1006,0)), HYPERLINK("#",""), HYPERLINK(CONCATENATE("#Metadata!", ADDRESS(INDEX($X$2:$X$1001,MATCH(ROWS($V$2:V50),$V$2:$V$1001,0),0), INDEX($AC$1004:$AS$1004,1,MATCH(COLUMNS($AC$1006:AR1006),$AC$1006:$AS$1006,0)))),"Fix")))</f>
        <v>0</v>
      </c>
      <c r="R50" s="5">
        <f>IF(OR(INDEX($W$2:$W$1001,MATCH(ROWS($V$2:V50),$V$2:$V$1001,0),1)&gt;=100000,INDEX($AC$1005:$AS$1005,1,MATCH(COLUMNS($AC$1006:AS1006),$AC$1006:$AS$1006,0))&gt;=100000), " ",IF(INDEX($AC$2:$AS$1001,MATCH(ROWS($V$2:V50),$V$2:$V$1001,0),MATCH(COLUMNS($AC$1006:AS1006),$AC$1006:$AS$1006,0)), HYPERLINK("#",""), HYPERLINK(CONCATENATE("#Metadata!", ADDRESS(INDEX($X$2:$X$1001,MATCH(ROWS($V$2:V50),$V$2:$V$1001,0),0), INDEX($AC$1004:$AS$1004,1,MATCH(COLUMNS($AC$1006:AS1006),$AC$1006:$AS$1006,0)))),"Fix")))</f>
        <v>0</v>
      </c>
      <c r="V50">
        <v>0</v>
      </c>
      <c r="W50">
        <v>0</v>
      </c>
      <c r="X50">
        <v>0</v>
      </c>
      <c r="Y50">
        <f>IF(Z50,TRUE,AND(AC50:AS50))</f>
        <v>0</v>
      </c>
      <c r="Z50">
        <f>COUNTBLANK(Metadata!B50:R50)=COLUMNS(Metadata!B50:R50)</f>
        <v>0</v>
      </c>
      <c r="AA50">
        <v>0</v>
      </c>
      <c r="AC50">
        <f>AND(IF(Metadata!B50="",FALSE,TRUE),COUNTIF(Metadata!B:B, Metadata!B50) = 1,NOT(ISERROR(SUMPRODUCT(SEARCH(MID(Metadata!B50,ROW(INDIRECT("1:"&amp;LEN(Metadata!B50))), 1),"0123456789abcdefghijklmnopqrstuvwxyzABCDEFGHIJKLMNOPQRSTUVWXYZ.")))))</f>
        <v>0</v>
      </c>
      <c r="AD50">
        <f>AND(IF(Metadata!C50="",FALSE,TRUE),exact(Metadata!C50,"Host-associated"))</f>
        <v>0</v>
      </c>
      <c r="AE50">
        <f>AND(IF(Metadata!D50="",FALSE,TRUE),OR(exact(Metadata!D50,"Animal"),exact(Metadata!D50,"Fungus"),exact(Metadata!D50,"Plant")))</f>
        <v>0</v>
      </c>
      <c r="AF50">
        <f>AND(IF(Metadata!E50="",FALSE,TRUE),OR(exact(Metadata!E50,"Plant secretion"),exact(Metadata!E50,"Plant rhizosphere"),exact(Metadata!E50,"Plant surface"),exact(Metadata!E50,"Plant corpus"),exact(Metadata!E50,"Fungus surface"),exact(Metadata!E50,"Fungus corpus"),exact(Metadata!E50,"Animal surface"),exact(Metadata!E50,"Animal proximal gut"),exact(Metadata!E50,"Animal corpus"),exact(Metadata!E50,"Animal distal gut"),exact(Metadata!E50,"Animal secretion")))</f>
        <v>0</v>
      </c>
      <c r="AG50">
        <f>OR(AND(IF(Metadata!F50="",FALSE,TRUE),OR(exact(Metadata!F50,"not collected"),exact(Metadata!F50,"not provided"),exact(Metadata!F50,"restricted access"))),AND(IF(Metadata!F50="",FALSE,TRUE),OR(exact(Metadata!F50,"organism-associated habitat"),exact(Metadata!F50,"plant-associated habitat"),exact(Metadata!F50,"animal-associated habitat"),exact(Metadata!F50,"insecta-associated habitat"),exact(Metadata!F50,"mammalia-associated habitat"),exact(Metadata!F50,"human-associated habitat"),exact(Metadata!F50,"livestock-associated habitat"))))</f>
        <v>0</v>
      </c>
      <c r="AH50">
        <f>AND(IF(Metadata!G50="",FALSE,TRUE),exact(Metadata!G50,"host-associated"))</f>
        <v>0</v>
      </c>
      <c r="AI50">
        <f>OR(AND(IF(Metadata!H50="",FALSE,TRUE),OR(exact(Metadata!H50,"not collected"),exact(Metadata!H50,"not provided"))),AND(IF(Metadata!H50="",FALSE,ISNUMBER(VALUE(Metadata!H50))),Metadata!H50&gt;0))</f>
        <v>0</v>
      </c>
      <c r="AJ50">
        <f>AND(IF(Metadata!I50="",FALSE,TRUE),exact(Metadata!I50,"years"))</f>
        <v>0</v>
      </c>
      <c r="AK50">
        <f>IF(Metadata!J50="",FALSE,TRUE)</f>
        <v>0</v>
      </c>
      <c r="AL50">
        <f>OR(AND(IF(Metadata!K50="",FALSE,TRUE),OR(exact(Metadata!K50,"not collected"),exact(Metadata!K50,"not provided"))),AND(IF(Metadata!K50="",FALSE,ISNUMBER(VALUE(Metadata!K50))),Metadata!K50&gt;0))</f>
        <v>0</v>
      </c>
      <c r="AM50">
        <f>AND(IF(Metadata!L50="",FALSE,TRUE),exact(Metadata!L50,"cm"))</f>
        <v>0</v>
      </c>
      <c r="AN50">
        <f>IF(Metadata!M50="",FALSE,TRUE)</f>
        <v>0</v>
      </c>
      <c r="AO50">
        <f>OR(AND(IF(Metadata!N50="",FALSE,TRUE),OR(exact(Metadata!N50,"not applicable"),exact(Metadata!N50,"not collected"),exact(Metadata!N50,"not provided"))),AND(IF(Metadata!N50="",FALSE,IF(ISERROR(INT(Metadata!N50)),FALSE,INT(Metadata!N50)=Metadata!N50)),Metadata!N50&gt;0))</f>
        <v>0</v>
      </c>
      <c r="AP50">
        <f>OR(AND(IF(Metadata!O50="",FALSE,TRUE),OR(exact(Metadata!O50,"not collected"),exact(Metadata!O50,"not provided"))),AND(IF(Metadata!O50="",FALSE,ISNUMBER(VALUE(Metadata!O50))),Metadata!O50&gt;0))</f>
        <v>0</v>
      </c>
      <c r="AQ50">
        <f>AND(IF(Metadata!P50="",FALSE,TRUE),exact(Metadata!P50,"kg"))</f>
        <v>0</v>
      </c>
      <c r="AR50">
        <f>OR(AND(IF(Metadata!Q50="",FALSE,TRUE),OR(exact(Metadata!Q50,"not applicable"),exact(Metadata!Q50,"not collected"),exact(Metadata!Q50,"not provided"),exact(Metadata!Q50,"restricted access"))),IF(Metadata!Q50="",FALSE,IF(ISERROR(INT(Metadata!Q50)),FALSE,INT(Metadata!Q50)=Metadata!Q50)))</f>
        <v>0</v>
      </c>
      <c r="AS50">
        <f>AND(IF(Metadata!R50="",FALSE,TRUE),exact(Metadata!R50,"Not applicable"))</f>
        <v>0</v>
      </c>
    </row>
    <row r="51" spans="1:45">
      <c r="A51" s="4">
        <f>IF(B51=" "," ",HYPERLINK(CONCATENATE("#metadata!",ADDRESS(INDEX($X$2:$X$1001,MATCH(ROWS($V$2:V51),$V$2:$V$1001,0),0),2)),INDEX($AA$2:$AA$1001,MATCH(ROWS($V$2:V51),$V$2:$V$1001,0),0)))</f>
        <v>0</v>
      </c>
      <c r="B51" s="5">
        <f>IF(OR(INDEX($W$2:$W$1001,MATCH(ROWS($V$2:V51),$V$2:$V$1001,0),1)&gt;=100000,INDEX($AC$1005:$AS$1005,1,MATCH(COLUMNS($AC$1006:AC1006),$AC$1006:$AS$1006,0))&gt;=100000), " ",IF(INDEX($AC$2:$AS$1001,MATCH(ROWS($V$2:V51),$V$2:$V$1001,0),MATCH(COLUMNS($AC$1006:AC1006),$AC$1006:$AS$1006,0)), HYPERLINK("#",""), HYPERLINK(CONCATENATE("#Metadata!", ADDRESS(INDEX($X$2:$X$1001,MATCH(ROWS($V$2:V51),$V$2:$V$1001,0),0), INDEX($AC$1004:$AS$1004,1,MATCH(COLUMNS($AC$1006:AC1006),$AC$1006:$AS$1006,0)))),"Fix")))</f>
        <v>0</v>
      </c>
      <c r="C51" s="5">
        <f>IF(OR(INDEX($W$2:$W$1001,MATCH(ROWS($V$2:V51),$V$2:$V$1001,0),1)&gt;=100000,INDEX($AC$1005:$AS$1005,1,MATCH(COLUMNS($AC$1006:AD1006),$AC$1006:$AS$1006,0))&gt;=100000), " ",IF(INDEX($AC$2:$AS$1001,MATCH(ROWS($V$2:V51),$V$2:$V$1001,0),MATCH(COLUMNS($AC$1006:AD1006),$AC$1006:$AS$1006,0)), HYPERLINK("#",""), HYPERLINK(CONCATENATE("#Metadata!", ADDRESS(INDEX($X$2:$X$1001,MATCH(ROWS($V$2:V51),$V$2:$V$1001,0),0), INDEX($AC$1004:$AS$1004,1,MATCH(COLUMNS($AC$1006:AD1006),$AC$1006:$AS$1006,0)))),"Fix")))</f>
        <v>0</v>
      </c>
      <c r="D51" s="5">
        <f>IF(OR(INDEX($W$2:$W$1001,MATCH(ROWS($V$2:V51),$V$2:$V$1001,0),1)&gt;=100000,INDEX($AC$1005:$AS$1005,1,MATCH(COLUMNS($AC$1006:AE1006),$AC$1006:$AS$1006,0))&gt;=100000), " ",IF(INDEX($AC$2:$AS$1001,MATCH(ROWS($V$2:V51),$V$2:$V$1001,0),MATCH(COLUMNS($AC$1006:AE1006),$AC$1006:$AS$1006,0)), HYPERLINK("#",""), HYPERLINK(CONCATENATE("#Metadata!", ADDRESS(INDEX($X$2:$X$1001,MATCH(ROWS($V$2:V51),$V$2:$V$1001,0),0), INDEX($AC$1004:$AS$1004,1,MATCH(COLUMNS($AC$1006:AE1006),$AC$1006:$AS$1006,0)))),"Fix")))</f>
        <v>0</v>
      </c>
      <c r="E51" s="5">
        <f>IF(OR(INDEX($W$2:$W$1001,MATCH(ROWS($V$2:V51),$V$2:$V$1001,0),1)&gt;=100000,INDEX($AC$1005:$AS$1005,1,MATCH(COLUMNS($AC$1006:AF1006),$AC$1006:$AS$1006,0))&gt;=100000), " ",IF(INDEX($AC$2:$AS$1001,MATCH(ROWS($V$2:V51),$V$2:$V$1001,0),MATCH(COLUMNS($AC$1006:AF1006),$AC$1006:$AS$1006,0)), HYPERLINK("#",""), HYPERLINK(CONCATENATE("#Metadata!", ADDRESS(INDEX($X$2:$X$1001,MATCH(ROWS($V$2:V51),$V$2:$V$1001,0),0), INDEX($AC$1004:$AS$1004,1,MATCH(COLUMNS($AC$1006:AF1006),$AC$1006:$AS$1006,0)))),"Fix")))</f>
        <v>0</v>
      </c>
      <c r="F51" s="5">
        <f>IF(OR(INDEX($W$2:$W$1001,MATCH(ROWS($V$2:V51),$V$2:$V$1001,0),1)&gt;=100000,INDEX($AC$1005:$AS$1005,1,MATCH(COLUMNS($AC$1006:AG1006),$AC$1006:$AS$1006,0))&gt;=100000), " ",IF(INDEX($AC$2:$AS$1001,MATCH(ROWS($V$2:V51),$V$2:$V$1001,0),MATCH(COLUMNS($AC$1006:AG1006),$AC$1006:$AS$1006,0)), HYPERLINK("#",""), HYPERLINK(CONCATENATE("#Metadata!", ADDRESS(INDEX($X$2:$X$1001,MATCH(ROWS($V$2:V51),$V$2:$V$1001,0),0), INDEX($AC$1004:$AS$1004,1,MATCH(COLUMNS($AC$1006:AG1006),$AC$1006:$AS$1006,0)))),"Fix")))</f>
        <v>0</v>
      </c>
      <c r="G51" s="5">
        <f>IF(OR(INDEX($W$2:$W$1001,MATCH(ROWS($V$2:V51),$V$2:$V$1001,0),1)&gt;=100000,INDEX($AC$1005:$AS$1005,1,MATCH(COLUMNS($AC$1006:AH1006),$AC$1006:$AS$1006,0))&gt;=100000), " ",IF(INDEX($AC$2:$AS$1001,MATCH(ROWS($V$2:V51),$V$2:$V$1001,0),MATCH(COLUMNS($AC$1006:AH1006),$AC$1006:$AS$1006,0)), HYPERLINK("#",""), HYPERLINK(CONCATENATE("#Metadata!", ADDRESS(INDEX($X$2:$X$1001,MATCH(ROWS($V$2:V51),$V$2:$V$1001,0),0), INDEX($AC$1004:$AS$1004,1,MATCH(COLUMNS($AC$1006:AH1006),$AC$1006:$AS$1006,0)))),"Fix")))</f>
        <v>0</v>
      </c>
      <c r="H51" s="5">
        <f>IF(OR(INDEX($W$2:$W$1001,MATCH(ROWS($V$2:V51),$V$2:$V$1001,0),1)&gt;=100000,INDEX($AC$1005:$AS$1005,1,MATCH(COLUMNS($AC$1006:AI1006),$AC$1006:$AS$1006,0))&gt;=100000), " ",IF(INDEX($AC$2:$AS$1001,MATCH(ROWS($V$2:V51),$V$2:$V$1001,0),MATCH(COLUMNS($AC$1006:AI1006),$AC$1006:$AS$1006,0)), HYPERLINK("#",""), HYPERLINK(CONCATENATE("#Metadata!", ADDRESS(INDEX($X$2:$X$1001,MATCH(ROWS($V$2:V51),$V$2:$V$1001,0),0), INDEX($AC$1004:$AS$1004,1,MATCH(COLUMNS($AC$1006:AI1006),$AC$1006:$AS$1006,0)))),"Fix")))</f>
        <v>0</v>
      </c>
      <c r="I51" s="5">
        <f>IF(OR(INDEX($W$2:$W$1001,MATCH(ROWS($V$2:V51),$V$2:$V$1001,0),1)&gt;=100000,INDEX($AC$1005:$AS$1005,1,MATCH(COLUMNS($AC$1006:AJ1006),$AC$1006:$AS$1006,0))&gt;=100000), " ",IF(INDEX($AC$2:$AS$1001,MATCH(ROWS($V$2:V51),$V$2:$V$1001,0),MATCH(COLUMNS($AC$1006:AJ1006),$AC$1006:$AS$1006,0)), HYPERLINK("#",""), HYPERLINK(CONCATENATE("#Metadata!", ADDRESS(INDEX($X$2:$X$1001,MATCH(ROWS($V$2:V51),$V$2:$V$1001,0),0), INDEX($AC$1004:$AS$1004,1,MATCH(COLUMNS($AC$1006:AJ1006),$AC$1006:$AS$1006,0)))),"Fix")))</f>
        <v>0</v>
      </c>
      <c r="J51" s="5">
        <f>IF(OR(INDEX($W$2:$W$1001,MATCH(ROWS($V$2:V51),$V$2:$V$1001,0),1)&gt;=100000,INDEX($AC$1005:$AS$1005,1,MATCH(COLUMNS($AC$1006:AK1006),$AC$1006:$AS$1006,0))&gt;=100000), " ",IF(INDEX($AC$2:$AS$1001,MATCH(ROWS($V$2:V51),$V$2:$V$1001,0),MATCH(COLUMNS($AC$1006:AK1006),$AC$1006:$AS$1006,0)), HYPERLINK("#",""), HYPERLINK(CONCATENATE("#Metadata!", ADDRESS(INDEX($X$2:$X$1001,MATCH(ROWS($V$2:V51),$V$2:$V$1001,0),0), INDEX($AC$1004:$AS$1004,1,MATCH(COLUMNS($AC$1006:AK1006),$AC$1006:$AS$1006,0)))),"Fix")))</f>
        <v>0</v>
      </c>
      <c r="K51" s="5">
        <f>IF(OR(INDEX($W$2:$W$1001,MATCH(ROWS($V$2:V51),$V$2:$V$1001,0),1)&gt;=100000,INDEX($AC$1005:$AS$1005,1,MATCH(COLUMNS($AC$1006:AL1006),$AC$1006:$AS$1006,0))&gt;=100000), " ",IF(INDEX($AC$2:$AS$1001,MATCH(ROWS($V$2:V51),$V$2:$V$1001,0),MATCH(COLUMNS($AC$1006:AL1006),$AC$1006:$AS$1006,0)), HYPERLINK("#",""), HYPERLINK(CONCATENATE("#Metadata!", ADDRESS(INDEX($X$2:$X$1001,MATCH(ROWS($V$2:V51),$V$2:$V$1001,0),0), INDEX($AC$1004:$AS$1004,1,MATCH(COLUMNS($AC$1006:AL1006),$AC$1006:$AS$1006,0)))),"Fix")))</f>
        <v>0</v>
      </c>
      <c r="L51" s="5">
        <f>IF(OR(INDEX($W$2:$W$1001,MATCH(ROWS($V$2:V51),$V$2:$V$1001,0),1)&gt;=100000,INDEX($AC$1005:$AS$1005,1,MATCH(COLUMNS($AC$1006:AM1006),$AC$1006:$AS$1006,0))&gt;=100000), " ",IF(INDEX($AC$2:$AS$1001,MATCH(ROWS($V$2:V51),$V$2:$V$1001,0),MATCH(COLUMNS($AC$1006:AM1006),$AC$1006:$AS$1006,0)), HYPERLINK("#",""), HYPERLINK(CONCATENATE("#Metadata!", ADDRESS(INDEX($X$2:$X$1001,MATCH(ROWS($V$2:V51),$V$2:$V$1001,0),0), INDEX($AC$1004:$AS$1004,1,MATCH(COLUMNS($AC$1006:AM1006),$AC$1006:$AS$1006,0)))),"Fix")))</f>
        <v>0</v>
      </c>
      <c r="M51" s="5">
        <f>IF(OR(INDEX($W$2:$W$1001,MATCH(ROWS($V$2:V51),$V$2:$V$1001,0),1)&gt;=100000,INDEX($AC$1005:$AS$1005,1,MATCH(COLUMNS($AC$1006:AN1006),$AC$1006:$AS$1006,0))&gt;=100000), " ",IF(INDEX($AC$2:$AS$1001,MATCH(ROWS($V$2:V51),$V$2:$V$1001,0),MATCH(COLUMNS($AC$1006:AN1006),$AC$1006:$AS$1006,0)), HYPERLINK("#",""), HYPERLINK(CONCATENATE("#Metadata!", ADDRESS(INDEX($X$2:$X$1001,MATCH(ROWS($V$2:V51),$V$2:$V$1001,0),0), INDEX($AC$1004:$AS$1004,1,MATCH(COLUMNS($AC$1006:AN1006),$AC$1006:$AS$1006,0)))),"Fix")))</f>
        <v>0</v>
      </c>
      <c r="N51" s="5">
        <f>IF(OR(INDEX($W$2:$W$1001,MATCH(ROWS($V$2:V51),$V$2:$V$1001,0),1)&gt;=100000,INDEX($AC$1005:$AS$1005,1,MATCH(COLUMNS($AC$1006:AO1006),$AC$1006:$AS$1006,0))&gt;=100000), " ",IF(INDEX($AC$2:$AS$1001,MATCH(ROWS($V$2:V51),$V$2:$V$1001,0),MATCH(COLUMNS($AC$1006:AO1006),$AC$1006:$AS$1006,0)), HYPERLINK("#",""), HYPERLINK(CONCATENATE("#Metadata!", ADDRESS(INDEX($X$2:$X$1001,MATCH(ROWS($V$2:V51),$V$2:$V$1001,0),0), INDEX($AC$1004:$AS$1004,1,MATCH(COLUMNS($AC$1006:AO1006),$AC$1006:$AS$1006,0)))),"Fix")))</f>
        <v>0</v>
      </c>
      <c r="O51" s="5">
        <f>IF(OR(INDEX($W$2:$W$1001,MATCH(ROWS($V$2:V51),$V$2:$V$1001,0),1)&gt;=100000,INDEX($AC$1005:$AS$1005,1,MATCH(COLUMNS($AC$1006:AP1006),$AC$1006:$AS$1006,0))&gt;=100000), " ",IF(INDEX($AC$2:$AS$1001,MATCH(ROWS($V$2:V51),$V$2:$V$1001,0),MATCH(COLUMNS($AC$1006:AP1006),$AC$1006:$AS$1006,0)), HYPERLINK("#",""), HYPERLINK(CONCATENATE("#Metadata!", ADDRESS(INDEX($X$2:$X$1001,MATCH(ROWS($V$2:V51),$V$2:$V$1001,0),0), INDEX($AC$1004:$AS$1004,1,MATCH(COLUMNS($AC$1006:AP1006),$AC$1006:$AS$1006,0)))),"Fix")))</f>
        <v>0</v>
      </c>
      <c r="P51" s="5">
        <f>IF(OR(INDEX($W$2:$W$1001,MATCH(ROWS($V$2:V51),$V$2:$V$1001,0),1)&gt;=100000,INDEX($AC$1005:$AS$1005,1,MATCH(COLUMNS($AC$1006:AQ1006),$AC$1006:$AS$1006,0))&gt;=100000), " ",IF(INDEX($AC$2:$AS$1001,MATCH(ROWS($V$2:V51),$V$2:$V$1001,0),MATCH(COLUMNS($AC$1006:AQ1006),$AC$1006:$AS$1006,0)), HYPERLINK("#",""), HYPERLINK(CONCATENATE("#Metadata!", ADDRESS(INDEX($X$2:$X$1001,MATCH(ROWS($V$2:V51),$V$2:$V$1001,0),0), INDEX($AC$1004:$AS$1004,1,MATCH(COLUMNS($AC$1006:AQ1006),$AC$1006:$AS$1006,0)))),"Fix")))</f>
        <v>0</v>
      </c>
      <c r="Q51" s="5">
        <f>IF(OR(INDEX($W$2:$W$1001,MATCH(ROWS($V$2:V51),$V$2:$V$1001,0),1)&gt;=100000,INDEX($AC$1005:$AS$1005,1,MATCH(COLUMNS($AC$1006:AR1006),$AC$1006:$AS$1006,0))&gt;=100000), " ",IF(INDEX($AC$2:$AS$1001,MATCH(ROWS($V$2:V51),$V$2:$V$1001,0),MATCH(COLUMNS($AC$1006:AR1006),$AC$1006:$AS$1006,0)), HYPERLINK("#",""), HYPERLINK(CONCATENATE("#Metadata!", ADDRESS(INDEX($X$2:$X$1001,MATCH(ROWS($V$2:V51),$V$2:$V$1001,0),0), INDEX($AC$1004:$AS$1004,1,MATCH(COLUMNS($AC$1006:AR1006),$AC$1006:$AS$1006,0)))),"Fix")))</f>
        <v>0</v>
      </c>
      <c r="R51" s="5">
        <f>IF(OR(INDEX($W$2:$W$1001,MATCH(ROWS($V$2:V51),$V$2:$V$1001,0),1)&gt;=100000,INDEX($AC$1005:$AS$1005,1,MATCH(COLUMNS($AC$1006:AS1006),$AC$1006:$AS$1006,0))&gt;=100000), " ",IF(INDEX($AC$2:$AS$1001,MATCH(ROWS($V$2:V51),$V$2:$V$1001,0),MATCH(COLUMNS($AC$1006:AS1006),$AC$1006:$AS$1006,0)), HYPERLINK("#",""), HYPERLINK(CONCATENATE("#Metadata!", ADDRESS(INDEX($X$2:$X$1001,MATCH(ROWS($V$2:V51),$V$2:$V$1001,0),0), INDEX($AC$1004:$AS$1004,1,MATCH(COLUMNS($AC$1006:AS1006),$AC$1006:$AS$1006,0)))),"Fix")))</f>
        <v>0</v>
      </c>
      <c r="V51">
        <v>0</v>
      </c>
      <c r="W51">
        <v>0</v>
      </c>
      <c r="X51">
        <v>0</v>
      </c>
      <c r="Y51">
        <f>IF(Z51,TRUE,AND(AC51:AS51))</f>
        <v>0</v>
      </c>
      <c r="Z51">
        <f>COUNTBLANK(Metadata!B51:R51)=COLUMNS(Metadata!B51:R51)</f>
        <v>0</v>
      </c>
      <c r="AA51">
        <v>0</v>
      </c>
      <c r="AC51">
        <f>AND(IF(Metadata!B51="",FALSE,TRUE),COUNTIF(Metadata!B:B, Metadata!B51) = 1,NOT(ISERROR(SUMPRODUCT(SEARCH(MID(Metadata!B51,ROW(INDIRECT("1:"&amp;LEN(Metadata!B51))), 1),"0123456789abcdefghijklmnopqrstuvwxyzABCDEFGHIJKLMNOPQRSTUVWXYZ.")))))</f>
        <v>0</v>
      </c>
      <c r="AD51">
        <f>AND(IF(Metadata!C51="",FALSE,TRUE),exact(Metadata!C51,"Host-associated"))</f>
        <v>0</v>
      </c>
      <c r="AE51">
        <f>AND(IF(Metadata!D51="",FALSE,TRUE),OR(exact(Metadata!D51,"Animal"),exact(Metadata!D51,"Fungus"),exact(Metadata!D51,"Plant")))</f>
        <v>0</v>
      </c>
      <c r="AF51">
        <f>AND(IF(Metadata!E51="",FALSE,TRUE),OR(exact(Metadata!E51,"Plant secretion"),exact(Metadata!E51,"Plant rhizosphere"),exact(Metadata!E51,"Plant surface"),exact(Metadata!E51,"Plant corpus"),exact(Metadata!E51,"Fungus surface"),exact(Metadata!E51,"Fungus corpus"),exact(Metadata!E51,"Animal surface"),exact(Metadata!E51,"Animal proximal gut"),exact(Metadata!E51,"Animal corpus"),exact(Metadata!E51,"Animal distal gut"),exact(Metadata!E51,"Animal secretion")))</f>
        <v>0</v>
      </c>
      <c r="AG51">
        <f>OR(AND(IF(Metadata!F51="",FALSE,TRUE),OR(exact(Metadata!F51,"not collected"),exact(Metadata!F51,"not provided"),exact(Metadata!F51,"restricted access"))),AND(IF(Metadata!F51="",FALSE,TRUE),OR(exact(Metadata!F51,"organism-associated habitat"),exact(Metadata!F51,"plant-associated habitat"),exact(Metadata!F51,"animal-associated habitat"),exact(Metadata!F51,"insecta-associated habitat"),exact(Metadata!F51,"mammalia-associated habitat"),exact(Metadata!F51,"human-associated habitat"),exact(Metadata!F51,"livestock-associated habitat"))))</f>
        <v>0</v>
      </c>
      <c r="AH51">
        <f>AND(IF(Metadata!G51="",FALSE,TRUE),exact(Metadata!G51,"host-associated"))</f>
        <v>0</v>
      </c>
      <c r="AI51">
        <f>OR(AND(IF(Metadata!H51="",FALSE,TRUE),OR(exact(Metadata!H51,"not collected"),exact(Metadata!H51,"not provided"))),AND(IF(Metadata!H51="",FALSE,ISNUMBER(VALUE(Metadata!H51))),Metadata!H51&gt;0))</f>
        <v>0</v>
      </c>
      <c r="AJ51">
        <f>AND(IF(Metadata!I51="",FALSE,TRUE),exact(Metadata!I51,"years"))</f>
        <v>0</v>
      </c>
      <c r="AK51">
        <f>IF(Metadata!J51="",FALSE,TRUE)</f>
        <v>0</v>
      </c>
      <c r="AL51">
        <f>OR(AND(IF(Metadata!K51="",FALSE,TRUE),OR(exact(Metadata!K51,"not collected"),exact(Metadata!K51,"not provided"))),AND(IF(Metadata!K51="",FALSE,ISNUMBER(VALUE(Metadata!K51))),Metadata!K51&gt;0))</f>
        <v>0</v>
      </c>
      <c r="AM51">
        <f>AND(IF(Metadata!L51="",FALSE,TRUE),exact(Metadata!L51,"cm"))</f>
        <v>0</v>
      </c>
      <c r="AN51">
        <f>IF(Metadata!M51="",FALSE,TRUE)</f>
        <v>0</v>
      </c>
      <c r="AO51">
        <f>OR(AND(IF(Metadata!N51="",FALSE,TRUE),OR(exact(Metadata!N51,"not applicable"),exact(Metadata!N51,"not collected"),exact(Metadata!N51,"not provided"))),AND(IF(Metadata!N51="",FALSE,IF(ISERROR(INT(Metadata!N51)),FALSE,INT(Metadata!N51)=Metadata!N51)),Metadata!N51&gt;0))</f>
        <v>0</v>
      </c>
      <c r="AP51">
        <f>OR(AND(IF(Metadata!O51="",FALSE,TRUE),OR(exact(Metadata!O51,"not collected"),exact(Metadata!O51,"not provided"))),AND(IF(Metadata!O51="",FALSE,ISNUMBER(VALUE(Metadata!O51))),Metadata!O51&gt;0))</f>
        <v>0</v>
      </c>
      <c r="AQ51">
        <f>AND(IF(Metadata!P51="",FALSE,TRUE),exact(Metadata!P51,"kg"))</f>
        <v>0</v>
      </c>
      <c r="AR51">
        <f>OR(AND(IF(Metadata!Q51="",FALSE,TRUE),OR(exact(Metadata!Q51,"not applicable"),exact(Metadata!Q51,"not collected"),exact(Metadata!Q51,"not provided"),exact(Metadata!Q51,"restricted access"))),IF(Metadata!Q51="",FALSE,IF(ISERROR(INT(Metadata!Q51)),FALSE,INT(Metadata!Q51)=Metadata!Q51)))</f>
        <v>0</v>
      </c>
      <c r="AS51">
        <f>AND(IF(Metadata!R51="",FALSE,TRUE),exact(Metadata!R51,"Not applicable"))</f>
        <v>0</v>
      </c>
    </row>
    <row r="52" spans="1:45">
      <c r="A52" s="4">
        <f>IF(B52=" "," ",HYPERLINK(CONCATENATE("#metadata!",ADDRESS(INDEX($X$2:$X$1001,MATCH(ROWS($V$2:V52),$V$2:$V$1001,0),0),2)),INDEX($AA$2:$AA$1001,MATCH(ROWS($V$2:V52),$V$2:$V$1001,0),0)))</f>
        <v>0</v>
      </c>
      <c r="B52" s="5">
        <f>IF(OR(INDEX($W$2:$W$1001,MATCH(ROWS($V$2:V52),$V$2:$V$1001,0),1)&gt;=100000,INDEX($AC$1005:$AS$1005,1,MATCH(COLUMNS($AC$1006:AC1006),$AC$1006:$AS$1006,0))&gt;=100000), " ",IF(INDEX($AC$2:$AS$1001,MATCH(ROWS($V$2:V52),$V$2:$V$1001,0),MATCH(COLUMNS($AC$1006:AC1006),$AC$1006:$AS$1006,0)), HYPERLINK("#",""), HYPERLINK(CONCATENATE("#Metadata!", ADDRESS(INDEX($X$2:$X$1001,MATCH(ROWS($V$2:V52),$V$2:$V$1001,0),0), INDEX($AC$1004:$AS$1004,1,MATCH(COLUMNS($AC$1006:AC1006),$AC$1006:$AS$1006,0)))),"Fix")))</f>
        <v>0</v>
      </c>
      <c r="C52" s="5">
        <f>IF(OR(INDEX($W$2:$W$1001,MATCH(ROWS($V$2:V52),$V$2:$V$1001,0),1)&gt;=100000,INDEX($AC$1005:$AS$1005,1,MATCH(COLUMNS($AC$1006:AD1006),$AC$1006:$AS$1006,0))&gt;=100000), " ",IF(INDEX($AC$2:$AS$1001,MATCH(ROWS($V$2:V52),$V$2:$V$1001,0),MATCH(COLUMNS($AC$1006:AD1006),$AC$1006:$AS$1006,0)), HYPERLINK("#",""), HYPERLINK(CONCATENATE("#Metadata!", ADDRESS(INDEX($X$2:$X$1001,MATCH(ROWS($V$2:V52),$V$2:$V$1001,0),0), INDEX($AC$1004:$AS$1004,1,MATCH(COLUMNS($AC$1006:AD1006),$AC$1006:$AS$1006,0)))),"Fix")))</f>
        <v>0</v>
      </c>
      <c r="D52" s="5">
        <f>IF(OR(INDEX($W$2:$W$1001,MATCH(ROWS($V$2:V52),$V$2:$V$1001,0),1)&gt;=100000,INDEX($AC$1005:$AS$1005,1,MATCH(COLUMNS($AC$1006:AE1006),$AC$1006:$AS$1006,0))&gt;=100000), " ",IF(INDEX($AC$2:$AS$1001,MATCH(ROWS($V$2:V52),$V$2:$V$1001,0),MATCH(COLUMNS($AC$1006:AE1006),$AC$1006:$AS$1006,0)), HYPERLINK("#",""), HYPERLINK(CONCATENATE("#Metadata!", ADDRESS(INDEX($X$2:$X$1001,MATCH(ROWS($V$2:V52),$V$2:$V$1001,0),0), INDEX($AC$1004:$AS$1004,1,MATCH(COLUMNS($AC$1006:AE1006),$AC$1006:$AS$1006,0)))),"Fix")))</f>
        <v>0</v>
      </c>
      <c r="E52" s="5">
        <f>IF(OR(INDEX($W$2:$W$1001,MATCH(ROWS($V$2:V52),$V$2:$V$1001,0),1)&gt;=100000,INDEX($AC$1005:$AS$1005,1,MATCH(COLUMNS($AC$1006:AF1006),$AC$1006:$AS$1006,0))&gt;=100000), " ",IF(INDEX($AC$2:$AS$1001,MATCH(ROWS($V$2:V52),$V$2:$V$1001,0),MATCH(COLUMNS($AC$1006:AF1006),$AC$1006:$AS$1006,0)), HYPERLINK("#",""), HYPERLINK(CONCATENATE("#Metadata!", ADDRESS(INDEX($X$2:$X$1001,MATCH(ROWS($V$2:V52),$V$2:$V$1001,0),0), INDEX($AC$1004:$AS$1004,1,MATCH(COLUMNS($AC$1006:AF1006),$AC$1006:$AS$1006,0)))),"Fix")))</f>
        <v>0</v>
      </c>
      <c r="F52" s="5">
        <f>IF(OR(INDEX($W$2:$W$1001,MATCH(ROWS($V$2:V52),$V$2:$V$1001,0),1)&gt;=100000,INDEX($AC$1005:$AS$1005,1,MATCH(COLUMNS($AC$1006:AG1006),$AC$1006:$AS$1006,0))&gt;=100000), " ",IF(INDEX($AC$2:$AS$1001,MATCH(ROWS($V$2:V52),$V$2:$V$1001,0),MATCH(COLUMNS($AC$1006:AG1006),$AC$1006:$AS$1006,0)), HYPERLINK("#",""), HYPERLINK(CONCATENATE("#Metadata!", ADDRESS(INDEX($X$2:$X$1001,MATCH(ROWS($V$2:V52),$V$2:$V$1001,0),0), INDEX($AC$1004:$AS$1004,1,MATCH(COLUMNS($AC$1006:AG1006),$AC$1006:$AS$1006,0)))),"Fix")))</f>
        <v>0</v>
      </c>
      <c r="G52" s="5">
        <f>IF(OR(INDEX($W$2:$W$1001,MATCH(ROWS($V$2:V52),$V$2:$V$1001,0),1)&gt;=100000,INDEX($AC$1005:$AS$1005,1,MATCH(COLUMNS($AC$1006:AH1006),$AC$1006:$AS$1006,0))&gt;=100000), " ",IF(INDEX($AC$2:$AS$1001,MATCH(ROWS($V$2:V52),$V$2:$V$1001,0),MATCH(COLUMNS($AC$1006:AH1006),$AC$1006:$AS$1006,0)), HYPERLINK("#",""), HYPERLINK(CONCATENATE("#Metadata!", ADDRESS(INDEX($X$2:$X$1001,MATCH(ROWS($V$2:V52),$V$2:$V$1001,0),0), INDEX($AC$1004:$AS$1004,1,MATCH(COLUMNS($AC$1006:AH1006),$AC$1006:$AS$1006,0)))),"Fix")))</f>
        <v>0</v>
      </c>
      <c r="H52" s="5">
        <f>IF(OR(INDEX($W$2:$W$1001,MATCH(ROWS($V$2:V52),$V$2:$V$1001,0),1)&gt;=100000,INDEX($AC$1005:$AS$1005,1,MATCH(COLUMNS($AC$1006:AI1006),$AC$1006:$AS$1006,0))&gt;=100000), " ",IF(INDEX($AC$2:$AS$1001,MATCH(ROWS($V$2:V52),$V$2:$V$1001,0),MATCH(COLUMNS($AC$1006:AI1006),$AC$1006:$AS$1006,0)), HYPERLINK("#",""), HYPERLINK(CONCATENATE("#Metadata!", ADDRESS(INDEX($X$2:$X$1001,MATCH(ROWS($V$2:V52),$V$2:$V$1001,0),0), INDEX($AC$1004:$AS$1004,1,MATCH(COLUMNS($AC$1006:AI1006),$AC$1006:$AS$1006,0)))),"Fix")))</f>
        <v>0</v>
      </c>
      <c r="I52" s="5">
        <f>IF(OR(INDEX($W$2:$W$1001,MATCH(ROWS($V$2:V52),$V$2:$V$1001,0),1)&gt;=100000,INDEX($AC$1005:$AS$1005,1,MATCH(COLUMNS($AC$1006:AJ1006),$AC$1006:$AS$1006,0))&gt;=100000), " ",IF(INDEX($AC$2:$AS$1001,MATCH(ROWS($V$2:V52),$V$2:$V$1001,0),MATCH(COLUMNS($AC$1006:AJ1006),$AC$1006:$AS$1006,0)), HYPERLINK("#",""), HYPERLINK(CONCATENATE("#Metadata!", ADDRESS(INDEX($X$2:$X$1001,MATCH(ROWS($V$2:V52),$V$2:$V$1001,0),0), INDEX($AC$1004:$AS$1004,1,MATCH(COLUMNS($AC$1006:AJ1006),$AC$1006:$AS$1006,0)))),"Fix")))</f>
        <v>0</v>
      </c>
      <c r="J52" s="5">
        <f>IF(OR(INDEX($W$2:$W$1001,MATCH(ROWS($V$2:V52),$V$2:$V$1001,0),1)&gt;=100000,INDEX($AC$1005:$AS$1005,1,MATCH(COLUMNS($AC$1006:AK1006),$AC$1006:$AS$1006,0))&gt;=100000), " ",IF(INDEX($AC$2:$AS$1001,MATCH(ROWS($V$2:V52),$V$2:$V$1001,0),MATCH(COLUMNS($AC$1006:AK1006),$AC$1006:$AS$1006,0)), HYPERLINK("#",""), HYPERLINK(CONCATENATE("#Metadata!", ADDRESS(INDEX($X$2:$X$1001,MATCH(ROWS($V$2:V52),$V$2:$V$1001,0),0), INDEX($AC$1004:$AS$1004,1,MATCH(COLUMNS($AC$1006:AK1006),$AC$1006:$AS$1006,0)))),"Fix")))</f>
        <v>0</v>
      </c>
      <c r="K52" s="5">
        <f>IF(OR(INDEX($W$2:$W$1001,MATCH(ROWS($V$2:V52),$V$2:$V$1001,0),1)&gt;=100000,INDEX($AC$1005:$AS$1005,1,MATCH(COLUMNS($AC$1006:AL1006),$AC$1006:$AS$1006,0))&gt;=100000), " ",IF(INDEX($AC$2:$AS$1001,MATCH(ROWS($V$2:V52),$V$2:$V$1001,0),MATCH(COLUMNS($AC$1006:AL1006),$AC$1006:$AS$1006,0)), HYPERLINK("#",""), HYPERLINK(CONCATENATE("#Metadata!", ADDRESS(INDEX($X$2:$X$1001,MATCH(ROWS($V$2:V52),$V$2:$V$1001,0),0), INDEX($AC$1004:$AS$1004,1,MATCH(COLUMNS($AC$1006:AL1006),$AC$1006:$AS$1006,0)))),"Fix")))</f>
        <v>0</v>
      </c>
      <c r="L52" s="5">
        <f>IF(OR(INDEX($W$2:$W$1001,MATCH(ROWS($V$2:V52),$V$2:$V$1001,0),1)&gt;=100000,INDEX($AC$1005:$AS$1005,1,MATCH(COLUMNS($AC$1006:AM1006),$AC$1006:$AS$1006,0))&gt;=100000), " ",IF(INDEX($AC$2:$AS$1001,MATCH(ROWS($V$2:V52),$V$2:$V$1001,0),MATCH(COLUMNS($AC$1006:AM1006),$AC$1006:$AS$1006,0)), HYPERLINK("#",""), HYPERLINK(CONCATENATE("#Metadata!", ADDRESS(INDEX($X$2:$X$1001,MATCH(ROWS($V$2:V52),$V$2:$V$1001,0),0), INDEX($AC$1004:$AS$1004,1,MATCH(COLUMNS($AC$1006:AM1006),$AC$1006:$AS$1006,0)))),"Fix")))</f>
        <v>0</v>
      </c>
      <c r="M52" s="5">
        <f>IF(OR(INDEX($W$2:$W$1001,MATCH(ROWS($V$2:V52),$V$2:$V$1001,0),1)&gt;=100000,INDEX($AC$1005:$AS$1005,1,MATCH(COLUMNS($AC$1006:AN1006),$AC$1006:$AS$1006,0))&gt;=100000), " ",IF(INDEX($AC$2:$AS$1001,MATCH(ROWS($V$2:V52),$V$2:$V$1001,0),MATCH(COLUMNS($AC$1006:AN1006),$AC$1006:$AS$1006,0)), HYPERLINK("#",""), HYPERLINK(CONCATENATE("#Metadata!", ADDRESS(INDEX($X$2:$X$1001,MATCH(ROWS($V$2:V52),$V$2:$V$1001,0),0), INDEX($AC$1004:$AS$1004,1,MATCH(COLUMNS($AC$1006:AN1006),$AC$1006:$AS$1006,0)))),"Fix")))</f>
        <v>0</v>
      </c>
      <c r="N52" s="5">
        <f>IF(OR(INDEX($W$2:$W$1001,MATCH(ROWS($V$2:V52),$V$2:$V$1001,0),1)&gt;=100000,INDEX($AC$1005:$AS$1005,1,MATCH(COLUMNS($AC$1006:AO1006),$AC$1006:$AS$1006,0))&gt;=100000), " ",IF(INDEX($AC$2:$AS$1001,MATCH(ROWS($V$2:V52),$V$2:$V$1001,0),MATCH(COLUMNS($AC$1006:AO1006),$AC$1006:$AS$1006,0)), HYPERLINK("#",""), HYPERLINK(CONCATENATE("#Metadata!", ADDRESS(INDEX($X$2:$X$1001,MATCH(ROWS($V$2:V52),$V$2:$V$1001,0),0), INDEX($AC$1004:$AS$1004,1,MATCH(COLUMNS($AC$1006:AO1006),$AC$1006:$AS$1006,0)))),"Fix")))</f>
        <v>0</v>
      </c>
      <c r="O52" s="5">
        <f>IF(OR(INDEX($W$2:$W$1001,MATCH(ROWS($V$2:V52),$V$2:$V$1001,0),1)&gt;=100000,INDEX($AC$1005:$AS$1005,1,MATCH(COLUMNS($AC$1006:AP1006),$AC$1006:$AS$1006,0))&gt;=100000), " ",IF(INDEX($AC$2:$AS$1001,MATCH(ROWS($V$2:V52),$V$2:$V$1001,0),MATCH(COLUMNS($AC$1006:AP1006),$AC$1006:$AS$1006,0)), HYPERLINK("#",""), HYPERLINK(CONCATENATE("#Metadata!", ADDRESS(INDEX($X$2:$X$1001,MATCH(ROWS($V$2:V52),$V$2:$V$1001,0),0), INDEX($AC$1004:$AS$1004,1,MATCH(COLUMNS($AC$1006:AP1006),$AC$1006:$AS$1006,0)))),"Fix")))</f>
        <v>0</v>
      </c>
      <c r="P52" s="5">
        <f>IF(OR(INDEX($W$2:$W$1001,MATCH(ROWS($V$2:V52),$V$2:$V$1001,0),1)&gt;=100000,INDEX($AC$1005:$AS$1005,1,MATCH(COLUMNS($AC$1006:AQ1006),$AC$1006:$AS$1006,0))&gt;=100000), " ",IF(INDEX($AC$2:$AS$1001,MATCH(ROWS($V$2:V52),$V$2:$V$1001,0),MATCH(COLUMNS($AC$1006:AQ1006),$AC$1006:$AS$1006,0)), HYPERLINK("#",""), HYPERLINK(CONCATENATE("#Metadata!", ADDRESS(INDEX($X$2:$X$1001,MATCH(ROWS($V$2:V52),$V$2:$V$1001,0),0), INDEX($AC$1004:$AS$1004,1,MATCH(COLUMNS($AC$1006:AQ1006),$AC$1006:$AS$1006,0)))),"Fix")))</f>
        <v>0</v>
      </c>
      <c r="Q52" s="5">
        <f>IF(OR(INDEX($W$2:$W$1001,MATCH(ROWS($V$2:V52),$V$2:$V$1001,0),1)&gt;=100000,INDEX($AC$1005:$AS$1005,1,MATCH(COLUMNS($AC$1006:AR1006),$AC$1006:$AS$1006,0))&gt;=100000), " ",IF(INDEX($AC$2:$AS$1001,MATCH(ROWS($V$2:V52),$V$2:$V$1001,0),MATCH(COLUMNS($AC$1006:AR1006),$AC$1006:$AS$1006,0)), HYPERLINK("#",""), HYPERLINK(CONCATENATE("#Metadata!", ADDRESS(INDEX($X$2:$X$1001,MATCH(ROWS($V$2:V52),$V$2:$V$1001,0),0), INDEX($AC$1004:$AS$1004,1,MATCH(COLUMNS($AC$1006:AR1006),$AC$1006:$AS$1006,0)))),"Fix")))</f>
        <v>0</v>
      </c>
      <c r="R52" s="5">
        <f>IF(OR(INDEX($W$2:$W$1001,MATCH(ROWS($V$2:V52),$V$2:$V$1001,0),1)&gt;=100000,INDEX($AC$1005:$AS$1005,1,MATCH(COLUMNS($AC$1006:AS1006),$AC$1006:$AS$1006,0))&gt;=100000), " ",IF(INDEX($AC$2:$AS$1001,MATCH(ROWS($V$2:V52),$V$2:$V$1001,0),MATCH(COLUMNS($AC$1006:AS1006),$AC$1006:$AS$1006,0)), HYPERLINK("#",""), HYPERLINK(CONCATENATE("#Metadata!", ADDRESS(INDEX($X$2:$X$1001,MATCH(ROWS($V$2:V52),$V$2:$V$1001,0),0), INDEX($AC$1004:$AS$1004,1,MATCH(COLUMNS($AC$1006:AS1006),$AC$1006:$AS$1006,0)))),"Fix")))</f>
        <v>0</v>
      </c>
      <c r="V52">
        <v>0</v>
      </c>
      <c r="W52">
        <v>0</v>
      </c>
      <c r="X52">
        <v>0</v>
      </c>
      <c r="Y52">
        <f>IF(Z52,TRUE,AND(AC52:AS52))</f>
        <v>0</v>
      </c>
      <c r="Z52">
        <f>COUNTBLANK(Metadata!B52:R52)=COLUMNS(Metadata!B52:R52)</f>
        <v>0</v>
      </c>
      <c r="AA52">
        <v>0</v>
      </c>
      <c r="AC52">
        <f>AND(IF(Metadata!B52="",FALSE,TRUE),COUNTIF(Metadata!B:B, Metadata!B52) = 1,NOT(ISERROR(SUMPRODUCT(SEARCH(MID(Metadata!B52,ROW(INDIRECT("1:"&amp;LEN(Metadata!B52))), 1),"0123456789abcdefghijklmnopqrstuvwxyzABCDEFGHIJKLMNOPQRSTUVWXYZ.")))))</f>
        <v>0</v>
      </c>
      <c r="AD52">
        <f>AND(IF(Metadata!C52="",FALSE,TRUE),exact(Metadata!C52,"Host-associated"))</f>
        <v>0</v>
      </c>
      <c r="AE52">
        <f>AND(IF(Metadata!D52="",FALSE,TRUE),OR(exact(Metadata!D52,"Animal"),exact(Metadata!D52,"Fungus"),exact(Metadata!D52,"Plant")))</f>
        <v>0</v>
      </c>
      <c r="AF52">
        <f>AND(IF(Metadata!E52="",FALSE,TRUE),OR(exact(Metadata!E52,"Plant secretion"),exact(Metadata!E52,"Plant rhizosphere"),exact(Metadata!E52,"Plant surface"),exact(Metadata!E52,"Plant corpus"),exact(Metadata!E52,"Fungus surface"),exact(Metadata!E52,"Fungus corpus"),exact(Metadata!E52,"Animal surface"),exact(Metadata!E52,"Animal proximal gut"),exact(Metadata!E52,"Animal corpus"),exact(Metadata!E52,"Animal distal gut"),exact(Metadata!E52,"Animal secretion")))</f>
        <v>0</v>
      </c>
      <c r="AG52">
        <f>OR(AND(IF(Metadata!F52="",FALSE,TRUE),OR(exact(Metadata!F52,"not collected"),exact(Metadata!F52,"not provided"),exact(Metadata!F52,"restricted access"))),AND(IF(Metadata!F52="",FALSE,TRUE),OR(exact(Metadata!F52,"organism-associated habitat"),exact(Metadata!F52,"plant-associated habitat"),exact(Metadata!F52,"animal-associated habitat"),exact(Metadata!F52,"insecta-associated habitat"),exact(Metadata!F52,"mammalia-associated habitat"),exact(Metadata!F52,"human-associated habitat"),exact(Metadata!F52,"livestock-associated habitat"))))</f>
        <v>0</v>
      </c>
      <c r="AH52">
        <f>AND(IF(Metadata!G52="",FALSE,TRUE),exact(Metadata!G52,"host-associated"))</f>
        <v>0</v>
      </c>
      <c r="AI52">
        <f>OR(AND(IF(Metadata!H52="",FALSE,TRUE),OR(exact(Metadata!H52,"not collected"),exact(Metadata!H52,"not provided"))),AND(IF(Metadata!H52="",FALSE,ISNUMBER(VALUE(Metadata!H52))),Metadata!H52&gt;0))</f>
        <v>0</v>
      </c>
      <c r="AJ52">
        <f>AND(IF(Metadata!I52="",FALSE,TRUE),exact(Metadata!I52,"years"))</f>
        <v>0</v>
      </c>
      <c r="AK52">
        <f>IF(Metadata!J52="",FALSE,TRUE)</f>
        <v>0</v>
      </c>
      <c r="AL52">
        <f>OR(AND(IF(Metadata!K52="",FALSE,TRUE),OR(exact(Metadata!K52,"not collected"),exact(Metadata!K52,"not provided"))),AND(IF(Metadata!K52="",FALSE,ISNUMBER(VALUE(Metadata!K52))),Metadata!K52&gt;0))</f>
        <v>0</v>
      </c>
      <c r="AM52">
        <f>AND(IF(Metadata!L52="",FALSE,TRUE),exact(Metadata!L52,"cm"))</f>
        <v>0</v>
      </c>
      <c r="AN52">
        <f>IF(Metadata!M52="",FALSE,TRUE)</f>
        <v>0</v>
      </c>
      <c r="AO52">
        <f>OR(AND(IF(Metadata!N52="",FALSE,TRUE),OR(exact(Metadata!N52,"not applicable"),exact(Metadata!N52,"not collected"),exact(Metadata!N52,"not provided"))),AND(IF(Metadata!N52="",FALSE,IF(ISERROR(INT(Metadata!N52)),FALSE,INT(Metadata!N52)=Metadata!N52)),Metadata!N52&gt;0))</f>
        <v>0</v>
      </c>
      <c r="AP52">
        <f>OR(AND(IF(Metadata!O52="",FALSE,TRUE),OR(exact(Metadata!O52,"not collected"),exact(Metadata!O52,"not provided"))),AND(IF(Metadata!O52="",FALSE,ISNUMBER(VALUE(Metadata!O52))),Metadata!O52&gt;0))</f>
        <v>0</v>
      </c>
      <c r="AQ52">
        <f>AND(IF(Metadata!P52="",FALSE,TRUE),exact(Metadata!P52,"kg"))</f>
        <v>0</v>
      </c>
      <c r="AR52">
        <f>OR(AND(IF(Metadata!Q52="",FALSE,TRUE),OR(exact(Metadata!Q52,"not applicable"),exact(Metadata!Q52,"not collected"),exact(Metadata!Q52,"not provided"),exact(Metadata!Q52,"restricted access"))),IF(Metadata!Q52="",FALSE,IF(ISERROR(INT(Metadata!Q52)),FALSE,INT(Metadata!Q52)=Metadata!Q52)))</f>
        <v>0</v>
      </c>
      <c r="AS52">
        <f>AND(IF(Metadata!R52="",FALSE,TRUE),exact(Metadata!R52,"Not applicable"))</f>
        <v>0</v>
      </c>
    </row>
    <row r="53" spans="1:45">
      <c r="A53" s="4">
        <f>IF(B53=" "," ",HYPERLINK(CONCATENATE("#metadata!",ADDRESS(INDEX($X$2:$X$1001,MATCH(ROWS($V$2:V53),$V$2:$V$1001,0),0),2)),INDEX($AA$2:$AA$1001,MATCH(ROWS($V$2:V53),$V$2:$V$1001,0),0)))</f>
        <v>0</v>
      </c>
      <c r="B53" s="5">
        <f>IF(OR(INDEX($W$2:$W$1001,MATCH(ROWS($V$2:V53),$V$2:$V$1001,0),1)&gt;=100000,INDEX($AC$1005:$AS$1005,1,MATCH(COLUMNS($AC$1006:AC1006),$AC$1006:$AS$1006,0))&gt;=100000), " ",IF(INDEX($AC$2:$AS$1001,MATCH(ROWS($V$2:V53),$V$2:$V$1001,0),MATCH(COLUMNS($AC$1006:AC1006),$AC$1006:$AS$1006,0)), HYPERLINK("#",""), HYPERLINK(CONCATENATE("#Metadata!", ADDRESS(INDEX($X$2:$X$1001,MATCH(ROWS($V$2:V53),$V$2:$V$1001,0),0), INDEX($AC$1004:$AS$1004,1,MATCH(COLUMNS($AC$1006:AC1006),$AC$1006:$AS$1006,0)))),"Fix")))</f>
        <v>0</v>
      </c>
      <c r="C53" s="5">
        <f>IF(OR(INDEX($W$2:$W$1001,MATCH(ROWS($V$2:V53),$V$2:$V$1001,0),1)&gt;=100000,INDEX($AC$1005:$AS$1005,1,MATCH(COLUMNS($AC$1006:AD1006),$AC$1006:$AS$1006,0))&gt;=100000), " ",IF(INDEX($AC$2:$AS$1001,MATCH(ROWS($V$2:V53),$V$2:$V$1001,0),MATCH(COLUMNS($AC$1006:AD1006),$AC$1006:$AS$1006,0)), HYPERLINK("#",""), HYPERLINK(CONCATENATE("#Metadata!", ADDRESS(INDEX($X$2:$X$1001,MATCH(ROWS($V$2:V53),$V$2:$V$1001,0),0), INDEX($AC$1004:$AS$1004,1,MATCH(COLUMNS($AC$1006:AD1006),$AC$1006:$AS$1006,0)))),"Fix")))</f>
        <v>0</v>
      </c>
      <c r="D53" s="5">
        <f>IF(OR(INDEX($W$2:$W$1001,MATCH(ROWS($V$2:V53),$V$2:$V$1001,0),1)&gt;=100000,INDEX($AC$1005:$AS$1005,1,MATCH(COLUMNS($AC$1006:AE1006),$AC$1006:$AS$1006,0))&gt;=100000), " ",IF(INDEX($AC$2:$AS$1001,MATCH(ROWS($V$2:V53),$V$2:$V$1001,0),MATCH(COLUMNS($AC$1006:AE1006),$AC$1006:$AS$1006,0)), HYPERLINK("#",""), HYPERLINK(CONCATENATE("#Metadata!", ADDRESS(INDEX($X$2:$X$1001,MATCH(ROWS($V$2:V53),$V$2:$V$1001,0),0), INDEX($AC$1004:$AS$1004,1,MATCH(COLUMNS($AC$1006:AE1006),$AC$1006:$AS$1006,0)))),"Fix")))</f>
        <v>0</v>
      </c>
      <c r="E53" s="5">
        <f>IF(OR(INDEX($W$2:$W$1001,MATCH(ROWS($V$2:V53),$V$2:$V$1001,0),1)&gt;=100000,INDEX($AC$1005:$AS$1005,1,MATCH(COLUMNS($AC$1006:AF1006),$AC$1006:$AS$1006,0))&gt;=100000), " ",IF(INDEX($AC$2:$AS$1001,MATCH(ROWS($V$2:V53),$V$2:$V$1001,0),MATCH(COLUMNS($AC$1006:AF1006),$AC$1006:$AS$1006,0)), HYPERLINK("#",""), HYPERLINK(CONCATENATE("#Metadata!", ADDRESS(INDEX($X$2:$X$1001,MATCH(ROWS($V$2:V53),$V$2:$V$1001,0),0), INDEX($AC$1004:$AS$1004,1,MATCH(COLUMNS($AC$1006:AF1006),$AC$1006:$AS$1006,0)))),"Fix")))</f>
        <v>0</v>
      </c>
      <c r="F53" s="5">
        <f>IF(OR(INDEX($W$2:$W$1001,MATCH(ROWS($V$2:V53),$V$2:$V$1001,0),1)&gt;=100000,INDEX($AC$1005:$AS$1005,1,MATCH(COLUMNS($AC$1006:AG1006),$AC$1006:$AS$1006,0))&gt;=100000), " ",IF(INDEX($AC$2:$AS$1001,MATCH(ROWS($V$2:V53),$V$2:$V$1001,0),MATCH(COLUMNS($AC$1006:AG1006),$AC$1006:$AS$1006,0)), HYPERLINK("#",""), HYPERLINK(CONCATENATE("#Metadata!", ADDRESS(INDEX($X$2:$X$1001,MATCH(ROWS($V$2:V53),$V$2:$V$1001,0),0), INDEX($AC$1004:$AS$1004,1,MATCH(COLUMNS($AC$1006:AG1006),$AC$1006:$AS$1006,0)))),"Fix")))</f>
        <v>0</v>
      </c>
      <c r="G53" s="5">
        <f>IF(OR(INDEX($W$2:$W$1001,MATCH(ROWS($V$2:V53),$V$2:$V$1001,0),1)&gt;=100000,INDEX($AC$1005:$AS$1005,1,MATCH(COLUMNS($AC$1006:AH1006),$AC$1006:$AS$1006,0))&gt;=100000), " ",IF(INDEX($AC$2:$AS$1001,MATCH(ROWS($V$2:V53),$V$2:$V$1001,0),MATCH(COLUMNS($AC$1006:AH1006),$AC$1006:$AS$1006,0)), HYPERLINK("#",""), HYPERLINK(CONCATENATE("#Metadata!", ADDRESS(INDEX($X$2:$X$1001,MATCH(ROWS($V$2:V53),$V$2:$V$1001,0),0), INDEX($AC$1004:$AS$1004,1,MATCH(COLUMNS($AC$1006:AH1006),$AC$1006:$AS$1006,0)))),"Fix")))</f>
        <v>0</v>
      </c>
      <c r="H53" s="5">
        <f>IF(OR(INDEX($W$2:$W$1001,MATCH(ROWS($V$2:V53),$V$2:$V$1001,0),1)&gt;=100000,INDEX($AC$1005:$AS$1005,1,MATCH(COLUMNS($AC$1006:AI1006),$AC$1006:$AS$1006,0))&gt;=100000), " ",IF(INDEX($AC$2:$AS$1001,MATCH(ROWS($V$2:V53),$V$2:$V$1001,0),MATCH(COLUMNS($AC$1006:AI1006),$AC$1006:$AS$1006,0)), HYPERLINK("#",""), HYPERLINK(CONCATENATE("#Metadata!", ADDRESS(INDEX($X$2:$X$1001,MATCH(ROWS($V$2:V53),$V$2:$V$1001,0),0), INDEX($AC$1004:$AS$1004,1,MATCH(COLUMNS($AC$1006:AI1006),$AC$1006:$AS$1006,0)))),"Fix")))</f>
        <v>0</v>
      </c>
      <c r="I53" s="5">
        <f>IF(OR(INDEX($W$2:$W$1001,MATCH(ROWS($V$2:V53),$V$2:$V$1001,0),1)&gt;=100000,INDEX($AC$1005:$AS$1005,1,MATCH(COLUMNS($AC$1006:AJ1006),$AC$1006:$AS$1006,0))&gt;=100000), " ",IF(INDEX($AC$2:$AS$1001,MATCH(ROWS($V$2:V53),$V$2:$V$1001,0),MATCH(COLUMNS($AC$1006:AJ1006),$AC$1006:$AS$1006,0)), HYPERLINK("#",""), HYPERLINK(CONCATENATE("#Metadata!", ADDRESS(INDEX($X$2:$X$1001,MATCH(ROWS($V$2:V53),$V$2:$V$1001,0),0), INDEX($AC$1004:$AS$1004,1,MATCH(COLUMNS($AC$1006:AJ1006),$AC$1006:$AS$1006,0)))),"Fix")))</f>
        <v>0</v>
      </c>
      <c r="J53" s="5">
        <f>IF(OR(INDEX($W$2:$W$1001,MATCH(ROWS($V$2:V53),$V$2:$V$1001,0),1)&gt;=100000,INDEX($AC$1005:$AS$1005,1,MATCH(COLUMNS($AC$1006:AK1006),$AC$1006:$AS$1006,0))&gt;=100000), " ",IF(INDEX($AC$2:$AS$1001,MATCH(ROWS($V$2:V53),$V$2:$V$1001,0),MATCH(COLUMNS($AC$1006:AK1006),$AC$1006:$AS$1006,0)), HYPERLINK("#",""), HYPERLINK(CONCATENATE("#Metadata!", ADDRESS(INDEX($X$2:$X$1001,MATCH(ROWS($V$2:V53),$V$2:$V$1001,0),0), INDEX($AC$1004:$AS$1004,1,MATCH(COLUMNS($AC$1006:AK1006),$AC$1006:$AS$1006,0)))),"Fix")))</f>
        <v>0</v>
      </c>
      <c r="K53" s="5">
        <f>IF(OR(INDEX($W$2:$W$1001,MATCH(ROWS($V$2:V53),$V$2:$V$1001,0),1)&gt;=100000,INDEX($AC$1005:$AS$1005,1,MATCH(COLUMNS($AC$1006:AL1006),$AC$1006:$AS$1006,0))&gt;=100000), " ",IF(INDEX($AC$2:$AS$1001,MATCH(ROWS($V$2:V53),$V$2:$V$1001,0),MATCH(COLUMNS($AC$1006:AL1006),$AC$1006:$AS$1006,0)), HYPERLINK("#",""), HYPERLINK(CONCATENATE("#Metadata!", ADDRESS(INDEX($X$2:$X$1001,MATCH(ROWS($V$2:V53),$V$2:$V$1001,0),0), INDEX($AC$1004:$AS$1004,1,MATCH(COLUMNS($AC$1006:AL1006),$AC$1006:$AS$1006,0)))),"Fix")))</f>
        <v>0</v>
      </c>
      <c r="L53" s="5">
        <f>IF(OR(INDEX($W$2:$W$1001,MATCH(ROWS($V$2:V53),$V$2:$V$1001,0),1)&gt;=100000,INDEX($AC$1005:$AS$1005,1,MATCH(COLUMNS($AC$1006:AM1006),$AC$1006:$AS$1006,0))&gt;=100000), " ",IF(INDEX($AC$2:$AS$1001,MATCH(ROWS($V$2:V53),$V$2:$V$1001,0),MATCH(COLUMNS($AC$1006:AM1006),$AC$1006:$AS$1006,0)), HYPERLINK("#",""), HYPERLINK(CONCATENATE("#Metadata!", ADDRESS(INDEX($X$2:$X$1001,MATCH(ROWS($V$2:V53),$V$2:$V$1001,0),0), INDEX($AC$1004:$AS$1004,1,MATCH(COLUMNS($AC$1006:AM1006),$AC$1006:$AS$1006,0)))),"Fix")))</f>
        <v>0</v>
      </c>
      <c r="M53" s="5">
        <f>IF(OR(INDEX($W$2:$W$1001,MATCH(ROWS($V$2:V53),$V$2:$V$1001,0),1)&gt;=100000,INDEX($AC$1005:$AS$1005,1,MATCH(COLUMNS($AC$1006:AN1006),$AC$1006:$AS$1006,0))&gt;=100000), " ",IF(INDEX($AC$2:$AS$1001,MATCH(ROWS($V$2:V53),$V$2:$V$1001,0),MATCH(COLUMNS($AC$1006:AN1006),$AC$1006:$AS$1006,0)), HYPERLINK("#",""), HYPERLINK(CONCATENATE("#Metadata!", ADDRESS(INDEX($X$2:$X$1001,MATCH(ROWS($V$2:V53),$V$2:$V$1001,0),0), INDEX($AC$1004:$AS$1004,1,MATCH(COLUMNS($AC$1006:AN1006),$AC$1006:$AS$1006,0)))),"Fix")))</f>
        <v>0</v>
      </c>
      <c r="N53" s="5">
        <f>IF(OR(INDEX($W$2:$W$1001,MATCH(ROWS($V$2:V53),$V$2:$V$1001,0),1)&gt;=100000,INDEX($AC$1005:$AS$1005,1,MATCH(COLUMNS($AC$1006:AO1006),$AC$1006:$AS$1006,0))&gt;=100000), " ",IF(INDEX($AC$2:$AS$1001,MATCH(ROWS($V$2:V53),$V$2:$V$1001,0),MATCH(COLUMNS($AC$1006:AO1006),$AC$1006:$AS$1006,0)), HYPERLINK("#",""), HYPERLINK(CONCATENATE("#Metadata!", ADDRESS(INDEX($X$2:$X$1001,MATCH(ROWS($V$2:V53),$V$2:$V$1001,0),0), INDEX($AC$1004:$AS$1004,1,MATCH(COLUMNS($AC$1006:AO1006),$AC$1006:$AS$1006,0)))),"Fix")))</f>
        <v>0</v>
      </c>
      <c r="O53" s="5">
        <f>IF(OR(INDEX($W$2:$W$1001,MATCH(ROWS($V$2:V53),$V$2:$V$1001,0),1)&gt;=100000,INDEX($AC$1005:$AS$1005,1,MATCH(COLUMNS($AC$1006:AP1006),$AC$1006:$AS$1006,0))&gt;=100000), " ",IF(INDEX($AC$2:$AS$1001,MATCH(ROWS($V$2:V53),$V$2:$V$1001,0),MATCH(COLUMNS($AC$1006:AP1006),$AC$1006:$AS$1006,0)), HYPERLINK("#",""), HYPERLINK(CONCATENATE("#Metadata!", ADDRESS(INDEX($X$2:$X$1001,MATCH(ROWS($V$2:V53),$V$2:$V$1001,0),0), INDEX($AC$1004:$AS$1004,1,MATCH(COLUMNS($AC$1006:AP1006),$AC$1006:$AS$1006,0)))),"Fix")))</f>
        <v>0</v>
      </c>
      <c r="P53" s="5">
        <f>IF(OR(INDEX($W$2:$W$1001,MATCH(ROWS($V$2:V53),$V$2:$V$1001,0),1)&gt;=100000,INDEX($AC$1005:$AS$1005,1,MATCH(COLUMNS($AC$1006:AQ1006),$AC$1006:$AS$1006,0))&gt;=100000), " ",IF(INDEX($AC$2:$AS$1001,MATCH(ROWS($V$2:V53),$V$2:$V$1001,0),MATCH(COLUMNS($AC$1006:AQ1006),$AC$1006:$AS$1006,0)), HYPERLINK("#",""), HYPERLINK(CONCATENATE("#Metadata!", ADDRESS(INDEX($X$2:$X$1001,MATCH(ROWS($V$2:V53),$V$2:$V$1001,0),0), INDEX($AC$1004:$AS$1004,1,MATCH(COLUMNS($AC$1006:AQ1006),$AC$1006:$AS$1006,0)))),"Fix")))</f>
        <v>0</v>
      </c>
      <c r="Q53" s="5">
        <f>IF(OR(INDEX($W$2:$W$1001,MATCH(ROWS($V$2:V53),$V$2:$V$1001,0),1)&gt;=100000,INDEX($AC$1005:$AS$1005,1,MATCH(COLUMNS($AC$1006:AR1006),$AC$1006:$AS$1006,0))&gt;=100000), " ",IF(INDEX($AC$2:$AS$1001,MATCH(ROWS($V$2:V53),$V$2:$V$1001,0),MATCH(COLUMNS($AC$1006:AR1006),$AC$1006:$AS$1006,0)), HYPERLINK("#",""), HYPERLINK(CONCATENATE("#Metadata!", ADDRESS(INDEX($X$2:$X$1001,MATCH(ROWS($V$2:V53),$V$2:$V$1001,0),0), INDEX($AC$1004:$AS$1004,1,MATCH(COLUMNS($AC$1006:AR1006),$AC$1006:$AS$1006,0)))),"Fix")))</f>
        <v>0</v>
      </c>
      <c r="R53" s="5">
        <f>IF(OR(INDEX($W$2:$W$1001,MATCH(ROWS($V$2:V53),$V$2:$V$1001,0),1)&gt;=100000,INDEX($AC$1005:$AS$1005,1,MATCH(COLUMNS($AC$1006:AS1006),$AC$1006:$AS$1006,0))&gt;=100000), " ",IF(INDEX($AC$2:$AS$1001,MATCH(ROWS($V$2:V53),$V$2:$V$1001,0),MATCH(COLUMNS($AC$1006:AS1006),$AC$1006:$AS$1006,0)), HYPERLINK("#",""), HYPERLINK(CONCATENATE("#Metadata!", ADDRESS(INDEX($X$2:$X$1001,MATCH(ROWS($V$2:V53),$V$2:$V$1001,0),0), INDEX($AC$1004:$AS$1004,1,MATCH(COLUMNS($AC$1006:AS1006),$AC$1006:$AS$1006,0)))),"Fix")))</f>
        <v>0</v>
      </c>
      <c r="V53">
        <v>0</v>
      </c>
      <c r="W53">
        <v>0</v>
      </c>
      <c r="X53">
        <v>0</v>
      </c>
      <c r="Y53">
        <f>IF(Z53,TRUE,AND(AC53:AS53))</f>
        <v>0</v>
      </c>
      <c r="Z53">
        <f>COUNTBLANK(Metadata!B53:R53)=COLUMNS(Metadata!B53:R53)</f>
        <v>0</v>
      </c>
      <c r="AA53">
        <v>0</v>
      </c>
      <c r="AC53">
        <f>AND(IF(Metadata!B53="",FALSE,TRUE),COUNTIF(Metadata!B:B, Metadata!B53) = 1,NOT(ISERROR(SUMPRODUCT(SEARCH(MID(Metadata!B53,ROW(INDIRECT("1:"&amp;LEN(Metadata!B53))), 1),"0123456789abcdefghijklmnopqrstuvwxyzABCDEFGHIJKLMNOPQRSTUVWXYZ.")))))</f>
        <v>0</v>
      </c>
      <c r="AD53">
        <f>AND(IF(Metadata!C53="",FALSE,TRUE),exact(Metadata!C53,"Host-associated"))</f>
        <v>0</v>
      </c>
      <c r="AE53">
        <f>AND(IF(Metadata!D53="",FALSE,TRUE),OR(exact(Metadata!D53,"Animal"),exact(Metadata!D53,"Fungus"),exact(Metadata!D53,"Plant")))</f>
        <v>0</v>
      </c>
      <c r="AF53">
        <f>AND(IF(Metadata!E53="",FALSE,TRUE),OR(exact(Metadata!E53,"Plant secretion"),exact(Metadata!E53,"Plant rhizosphere"),exact(Metadata!E53,"Plant surface"),exact(Metadata!E53,"Plant corpus"),exact(Metadata!E53,"Fungus surface"),exact(Metadata!E53,"Fungus corpus"),exact(Metadata!E53,"Animal surface"),exact(Metadata!E53,"Animal proximal gut"),exact(Metadata!E53,"Animal corpus"),exact(Metadata!E53,"Animal distal gut"),exact(Metadata!E53,"Animal secretion")))</f>
        <v>0</v>
      </c>
      <c r="AG53">
        <f>OR(AND(IF(Metadata!F53="",FALSE,TRUE),OR(exact(Metadata!F53,"not collected"),exact(Metadata!F53,"not provided"),exact(Metadata!F53,"restricted access"))),AND(IF(Metadata!F53="",FALSE,TRUE),OR(exact(Metadata!F53,"organism-associated habitat"),exact(Metadata!F53,"plant-associated habitat"),exact(Metadata!F53,"animal-associated habitat"),exact(Metadata!F53,"insecta-associated habitat"),exact(Metadata!F53,"mammalia-associated habitat"),exact(Metadata!F53,"human-associated habitat"),exact(Metadata!F53,"livestock-associated habitat"))))</f>
        <v>0</v>
      </c>
      <c r="AH53">
        <f>AND(IF(Metadata!G53="",FALSE,TRUE),exact(Metadata!G53,"host-associated"))</f>
        <v>0</v>
      </c>
      <c r="AI53">
        <f>OR(AND(IF(Metadata!H53="",FALSE,TRUE),OR(exact(Metadata!H53,"not collected"),exact(Metadata!H53,"not provided"))),AND(IF(Metadata!H53="",FALSE,ISNUMBER(VALUE(Metadata!H53))),Metadata!H53&gt;0))</f>
        <v>0</v>
      </c>
      <c r="AJ53">
        <f>AND(IF(Metadata!I53="",FALSE,TRUE),exact(Metadata!I53,"years"))</f>
        <v>0</v>
      </c>
      <c r="AK53">
        <f>IF(Metadata!J53="",FALSE,TRUE)</f>
        <v>0</v>
      </c>
      <c r="AL53">
        <f>OR(AND(IF(Metadata!K53="",FALSE,TRUE),OR(exact(Metadata!K53,"not collected"),exact(Metadata!K53,"not provided"))),AND(IF(Metadata!K53="",FALSE,ISNUMBER(VALUE(Metadata!K53))),Metadata!K53&gt;0))</f>
        <v>0</v>
      </c>
      <c r="AM53">
        <f>AND(IF(Metadata!L53="",FALSE,TRUE),exact(Metadata!L53,"cm"))</f>
        <v>0</v>
      </c>
      <c r="AN53">
        <f>IF(Metadata!M53="",FALSE,TRUE)</f>
        <v>0</v>
      </c>
      <c r="AO53">
        <f>OR(AND(IF(Metadata!N53="",FALSE,TRUE),OR(exact(Metadata!N53,"not applicable"),exact(Metadata!N53,"not collected"),exact(Metadata!N53,"not provided"))),AND(IF(Metadata!N53="",FALSE,IF(ISERROR(INT(Metadata!N53)),FALSE,INT(Metadata!N53)=Metadata!N53)),Metadata!N53&gt;0))</f>
        <v>0</v>
      </c>
      <c r="AP53">
        <f>OR(AND(IF(Metadata!O53="",FALSE,TRUE),OR(exact(Metadata!O53,"not collected"),exact(Metadata!O53,"not provided"))),AND(IF(Metadata!O53="",FALSE,ISNUMBER(VALUE(Metadata!O53))),Metadata!O53&gt;0))</f>
        <v>0</v>
      </c>
      <c r="AQ53">
        <f>AND(IF(Metadata!P53="",FALSE,TRUE),exact(Metadata!P53,"kg"))</f>
        <v>0</v>
      </c>
      <c r="AR53">
        <f>OR(AND(IF(Metadata!Q53="",FALSE,TRUE),OR(exact(Metadata!Q53,"not applicable"),exact(Metadata!Q53,"not collected"),exact(Metadata!Q53,"not provided"),exact(Metadata!Q53,"restricted access"))),IF(Metadata!Q53="",FALSE,IF(ISERROR(INT(Metadata!Q53)),FALSE,INT(Metadata!Q53)=Metadata!Q53)))</f>
        <v>0</v>
      </c>
      <c r="AS53">
        <f>AND(IF(Metadata!R53="",FALSE,TRUE),exact(Metadata!R53,"Not applicable"))</f>
        <v>0</v>
      </c>
    </row>
    <row r="54" spans="1:45">
      <c r="A54" s="4">
        <f>IF(B54=" "," ",HYPERLINK(CONCATENATE("#metadata!",ADDRESS(INDEX($X$2:$X$1001,MATCH(ROWS($V$2:V54),$V$2:$V$1001,0),0),2)),INDEX($AA$2:$AA$1001,MATCH(ROWS($V$2:V54),$V$2:$V$1001,0),0)))</f>
        <v>0</v>
      </c>
      <c r="B54" s="5">
        <f>IF(OR(INDEX($W$2:$W$1001,MATCH(ROWS($V$2:V54),$V$2:$V$1001,0),1)&gt;=100000,INDEX($AC$1005:$AS$1005,1,MATCH(COLUMNS($AC$1006:AC1006),$AC$1006:$AS$1006,0))&gt;=100000), " ",IF(INDEX($AC$2:$AS$1001,MATCH(ROWS($V$2:V54),$V$2:$V$1001,0),MATCH(COLUMNS($AC$1006:AC1006),$AC$1006:$AS$1006,0)), HYPERLINK("#",""), HYPERLINK(CONCATENATE("#Metadata!", ADDRESS(INDEX($X$2:$X$1001,MATCH(ROWS($V$2:V54),$V$2:$V$1001,0),0), INDEX($AC$1004:$AS$1004,1,MATCH(COLUMNS($AC$1006:AC1006),$AC$1006:$AS$1006,0)))),"Fix")))</f>
        <v>0</v>
      </c>
      <c r="C54" s="5">
        <f>IF(OR(INDEX($W$2:$W$1001,MATCH(ROWS($V$2:V54),$V$2:$V$1001,0),1)&gt;=100000,INDEX($AC$1005:$AS$1005,1,MATCH(COLUMNS($AC$1006:AD1006),$AC$1006:$AS$1006,0))&gt;=100000), " ",IF(INDEX($AC$2:$AS$1001,MATCH(ROWS($V$2:V54),$V$2:$V$1001,0),MATCH(COLUMNS($AC$1006:AD1006),$AC$1006:$AS$1006,0)), HYPERLINK("#",""), HYPERLINK(CONCATENATE("#Metadata!", ADDRESS(INDEX($X$2:$X$1001,MATCH(ROWS($V$2:V54),$V$2:$V$1001,0),0), INDEX($AC$1004:$AS$1004,1,MATCH(COLUMNS($AC$1006:AD1006),$AC$1006:$AS$1006,0)))),"Fix")))</f>
        <v>0</v>
      </c>
      <c r="D54" s="5">
        <f>IF(OR(INDEX($W$2:$W$1001,MATCH(ROWS($V$2:V54),$V$2:$V$1001,0),1)&gt;=100000,INDEX($AC$1005:$AS$1005,1,MATCH(COLUMNS($AC$1006:AE1006),$AC$1006:$AS$1006,0))&gt;=100000), " ",IF(INDEX($AC$2:$AS$1001,MATCH(ROWS($V$2:V54),$V$2:$V$1001,0),MATCH(COLUMNS($AC$1006:AE1006),$AC$1006:$AS$1006,0)), HYPERLINK("#",""), HYPERLINK(CONCATENATE("#Metadata!", ADDRESS(INDEX($X$2:$X$1001,MATCH(ROWS($V$2:V54),$V$2:$V$1001,0),0), INDEX($AC$1004:$AS$1004,1,MATCH(COLUMNS($AC$1006:AE1006),$AC$1006:$AS$1006,0)))),"Fix")))</f>
        <v>0</v>
      </c>
      <c r="E54" s="5">
        <f>IF(OR(INDEX($W$2:$W$1001,MATCH(ROWS($V$2:V54),$V$2:$V$1001,0),1)&gt;=100000,INDEX($AC$1005:$AS$1005,1,MATCH(COLUMNS($AC$1006:AF1006),$AC$1006:$AS$1006,0))&gt;=100000), " ",IF(INDEX($AC$2:$AS$1001,MATCH(ROWS($V$2:V54),$V$2:$V$1001,0),MATCH(COLUMNS($AC$1006:AF1006),$AC$1006:$AS$1006,0)), HYPERLINK("#",""), HYPERLINK(CONCATENATE("#Metadata!", ADDRESS(INDEX($X$2:$X$1001,MATCH(ROWS($V$2:V54),$V$2:$V$1001,0),0), INDEX($AC$1004:$AS$1004,1,MATCH(COLUMNS($AC$1006:AF1006),$AC$1006:$AS$1006,0)))),"Fix")))</f>
        <v>0</v>
      </c>
      <c r="F54" s="5">
        <f>IF(OR(INDEX($W$2:$W$1001,MATCH(ROWS($V$2:V54),$V$2:$V$1001,0),1)&gt;=100000,INDEX($AC$1005:$AS$1005,1,MATCH(COLUMNS($AC$1006:AG1006),$AC$1006:$AS$1006,0))&gt;=100000), " ",IF(INDEX($AC$2:$AS$1001,MATCH(ROWS($V$2:V54),$V$2:$V$1001,0),MATCH(COLUMNS($AC$1006:AG1006),$AC$1006:$AS$1006,0)), HYPERLINK("#",""), HYPERLINK(CONCATENATE("#Metadata!", ADDRESS(INDEX($X$2:$X$1001,MATCH(ROWS($V$2:V54),$V$2:$V$1001,0),0), INDEX($AC$1004:$AS$1004,1,MATCH(COLUMNS($AC$1006:AG1006),$AC$1006:$AS$1006,0)))),"Fix")))</f>
        <v>0</v>
      </c>
      <c r="G54" s="5">
        <f>IF(OR(INDEX($W$2:$W$1001,MATCH(ROWS($V$2:V54),$V$2:$V$1001,0),1)&gt;=100000,INDEX($AC$1005:$AS$1005,1,MATCH(COLUMNS($AC$1006:AH1006),$AC$1006:$AS$1006,0))&gt;=100000), " ",IF(INDEX($AC$2:$AS$1001,MATCH(ROWS($V$2:V54),$V$2:$V$1001,0),MATCH(COLUMNS($AC$1006:AH1006),$AC$1006:$AS$1006,0)), HYPERLINK("#",""), HYPERLINK(CONCATENATE("#Metadata!", ADDRESS(INDEX($X$2:$X$1001,MATCH(ROWS($V$2:V54),$V$2:$V$1001,0),0), INDEX($AC$1004:$AS$1004,1,MATCH(COLUMNS($AC$1006:AH1006),$AC$1006:$AS$1006,0)))),"Fix")))</f>
        <v>0</v>
      </c>
      <c r="H54" s="5">
        <f>IF(OR(INDEX($W$2:$W$1001,MATCH(ROWS($V$2:V54),$V$2:$V$1001,0),1)&gt;=100000,INDEX($AC$1005:$AS$1005,1,MATCH(COLUMNS($AC$1006:AI1006),$AC$1006:$AS$1006,0))&gt;=100000), " ",IF(INDEX($AC$2:$AS$1001,MATCH(ROWS($V$2:V54),$V$2:$V$1001,0),MATCH(COLUMNS($AC$1006:AI1006),$AC$1006:$AS$1006,0)), HYPERLINK("#",""), HYPERLINK(CONCATENATE("#Metadata!", ADDRESS(INDEX($X$2:$X$1001,MATCH(ROWS($V$2:V54),$V$2:$V$1001,0),0), INDEX($AC$1004:$AS$1004,1,MATCH(COLUMNS($AC$1006:AI1006),$AC$1006:$AS$1006,0)))),"Fix")))</f>
        <v>0</v>
      </c>
      <c r="I54" s="5">
        <f>IF(OR(INDEX($W$2:$W$1001,MATCH(ROWS($V$2:V54),$V$2:$V$1001,0),1)&gt;=100000,INDEX($AC$1005:$AS$1005,1,MATCH(COLUMNS($AC$1006:AJ1006),$AC$1006:$AS$1006,0))&gt;=100000), " ",IF(INDEX($AC$2:$AS$1001,MATCH(ROWS($V$2:V54),$V$2:$V$1001,0),MATCH(COLUMNS($AC$1006:AJ1006),$AC$1006:$AS$1006,0)), HYPERLINK("#",""), HYPERLINK(CONCATENATE("#Metadata!", ADDRESS(INDEX($X$2:$X$1001,MATCH(ROWS($V$2:V54),$V$2:$V$1001,0),0), INDEX($AC$1004:$AS$1004,1,MATCH(COLUMNS($AC$1006:AJ1006),$AC$1006:$AS$1006,0)))),"Fix")))</f>
        <v>0</v>
      </c>
      <c r="J54" s="5">
        <f>IF(OR(INDEX($W$2:$W$1001,MATCH(ROWS($V$2:V54),$V$2:$V$1001,0),1)&gt;=100000,INDEX($AC$1005:$AS$1005,1,MATCH(COLUMNS($AC$1006:AK1006),$AC$1006:$AS$1006,0))&gt;=100000), " ",IF(INDEX($AC$2:$AS$1001,MATCH(ROWS($V$2:V54),$V$2:$V$1001,0),MATCH(COLUMNS($AC$1006:AK1006),$AC$1006:$AS$1006,0)), HYPERLINK("#",""), HYPERLINK(CONCATENATE("#Metadata!", ADDRESS(INDEX($X$2:$X$1001,MATCH(ROWS($V$2:V54),$V$2:$V$1001,0),0), INDEX($AC$1004:$AS$1004,1,MATCH(COLUMNS($AC$1006:AK1006),$AC$1006:$AS$1006,0)))),"Fix")))</f>
        <v>0</v>
      </c>
      <c r="K54" s="5">
        <f>IF(OR(INDEX($W$2:$W$1001,MATCH(ROWS($V$2:V54),$V$2:$V$1001,0),1)&gt;=100000,INDEX($AC$1005:$AS$1005,1,MATCH(COLUMNS($AC$1006:AL1006),$AC$1006:$AS$1006,0))&gt;=100000), " ",IF(INDEX($AC$2:$AS$1001,MATCH(ROWS($V$2:V54),$V$2:$V$1001,0),MATCH(COLUMNS($AC$1006:AL1006),$AC$1006:$AS$1006,0)), HYPERLINK("#",""), HYPERLINK(CONCATENATE("#Metadata!", ADDRESS(INDEX($X$2:$X$1001,MATCH(ROWS($V$2:V54),$V$2:$V$1001,0),0), INDEX($AC$1004:$AS$1004,1,MATCH(COLUMNS($AC$1006:AL1006),$AC$1006:$AS$1006,0)))),"Fix")))</f>
        <v>0</v>
      </c>
      <c r="L54" s="5">
        <f>IF(OR(INDEX($W$2:$W$1001,MATCH(ROWS($V$2:V54),$V$2:$V$1001,0),1)&gt;=100000,INDEX($AC$1005:$AS$1005,1,MATCH(COLUMNS($AC$1006:AM1006),$AC$1006:$AS$1006,0))&gt;=100000), " ",IF(INDEX($AC$2:$AS$1001,MATCH(ROWS($V$2:V54),$V$2:$V$1001,0),MATCH(COLUMNS($AC$1006:AM1006),$AC$1006:$AS$1006,0)), HYPERLINK("#",""), HYPERLINK(CONCATENATE("#Metadata!", ADDRESS(INDEX($X$2:$X$1001,MATCH(ROWS($V$2:V54),$V$2:$V$1001,0),0), INDEX($AC$1004:$AS$1004,1,MATCH(COLUMNS($AC$1006:AM1006),$AC$1006:$AS$1006,0)))),"Fix")))</f>
        <v>0</v>
      </c>
      <c r="M54" s="5">
        <f>IF(OR(INDEX($W$2:$W$1001,MATCH(ROWS($V$2:V54),$V$2:$V$1001,0),1)&gt;=100000,INDEX($AC$1005:$AS$1005,1,MATCH(COLUMNS($AC$1006:AN1006),$AC$1006:$AS$1006,0))&gt;=100000), " ",IF(INDEX($AC$2:$AS$1001,MATCH(ROWS($V$2:V54),$V$2:$V$1001,0),MATCH(COLUMNS($AC$1006:AN1006),$AC$1006:$AS$1006,0)), HYPERLINK("#",""), HYPERLINK(CONCATENATE("#Metadata!", ADDRESS(INDEX($X$2:$X$1001,MATCH(ROWS($V$2:V54),$V$2:$V$1001,0),0), INDEX($AC$1004:$AS$1004,1,MATCH(COLUMNS($AC$1006:AN1006),$AC$1006:$AS$1006,0)))),"Fix")))</f>
        <v>0</v>
      </c>
      <c r="N54" s="5">
        <f>IF(OR(INDEX($W$2:$W$1001,MATCH(ROWS($V$2:V54),$V$2:$V$1001,0),1)&gt;=100000,INDEX($AC$1005:$AS$1005,1,MATCH(COLUMNS($AC$1006:AO1006),$AC$1006:$AS$1006,0))&gt;=100000), " ",IF(INDEX($AC$2:$AS$1001,MATCH(ROWS($V$2:V54),$V$2:$V$1001,0),MATCH(COLUMNS($AC$1006:AO1006),$AC$1006:$AS$1006,0)), HYPERLINK("#",""), HYPERLINK(CONCATENATE("#Metadata!", ADDRESS(INDEX($X$2:$X$1001,MATCH(ROWS($V$2:V54),$V$2:$V$1001,0),0), INDEX($AC$1004:$AS$1004,1,MATCH(COLUMNS($AC$1006:AO1006),$AC$1006:$AS$1006,0)))),"Fix")))</f>
        <v>0</v>
      </c>
      <c r="O54" s="5">
        <f>IF(OR(INDEX($W$2:$W$1001,MATCH(ROWS($V$2:V54),$V$2:$V$1001,0),1)&gt;=100000,INDEX($AC$1005:$AS$1005,1,MATCH(COLUMNS($AC$1006:AP1006),$AC$1006:$AS$1006,0))&gt;=100000), " ",IF(INDEX($AC$2:$AS$1001,MATCH(ROWS($V$2:V54),$V$2:$V$1001,0),MATCH(COLUMNS($AC$1006:AP1006),$AC$1006:$AS$1006,0)), HYPERLINK("#",""), HYPERLINK(CONCATENATE("#Metadata!", ADDRESS(INDEX($X$2:$X$1001,MATCH(ROWS($V$2:V54),$V$2:$V$1001,0),0), INDEX($AC$1004:$AS$1004,1,MATCH(COLUMNS($AC$1006:AP1006),$AC$1006:$AS$1006,0)))),"Fix")))</f>
        <v>0</v>
      </c>
      <c r="P54" s="5">
        <f>IF(OR(INDEX($W$2:$W$1001,MATCH(ROWS($V$2:V54),$V$2:$V$1001,0),1)&gt;=100000,INDEX($AC$1005:$AS$1005,1,MATCH(COLUMNS($AC$1006:AQ1006),$AC$1006:$AS$1006,0))&gt;=100000), " ",IF(INDEX($AC$2:$AS$1001,MATCH(ROWS($V$2:V54),$V$2:$V$1001,0),MATCH(COLUMNS($AC$1006:AQ1006),$AC$1006:$AS$1006,0)), HYPERLINK("#",""), HYPERLINK(CONCATENATE("#Metadata!", ADDRESS(INDEX($X$2:$X$1001,MATCH(ROWS($V$2:V54),$V$2:$V$1001,0),0), INDEX($AC$1004:$AS$1004,1,MATCH(COLUMNS($AC$1006:AQ1006),$AC$1006:$AS$1006,0)))),"Fix")))</f>
        <v>0</v>
      </c>
      <c r="Q54" s="5">
        <f>IF(OR(INDEX($W$2:$W$1001,MATCH(ROWS($V$2:V54),$V$2:$V$1001,0),1)&gt;=100000,INDEX($AC$1005:$AS$1005,1,MATCH(COLUMNS($AC$1006:AR1006),$AC$1006:$AS$1006,0))&gt;=100000), " ",IF(INDEX($AC$2:$AS$1001,MATCH(ROWS($V$2:V54),$V$2:$V$1001,0),MATCH(COLUMNS($AC$1006:AR1006),$AC$1006:$AS$1006,0)), HYPERLINK("#",""), HYPERLINK(CONCATENATE("#Metadata!", ADDRESS(INDEX($X$2:$X$1001,MATCH(ROWS($V$2:V54),$V$2:$V$1001,0),0), INDEX($AC$1004:$AS$1004,1,MATCH(COLUMNS($AC$1006:AR1006),$AC$1006:$AS$1006,0)))),"Fix")))</f>
        <v>0</v>
      </c>
      <c r="R54" s="5">
        <f>IF(OR(INDEX($W$2:$W$1001,MATCH(ROWS($V$2:V54),$V$2:$V$1001,0),1)&gt;=100000,INDEX($AC$1005:$AS$1005,1,MATCH(COLUMNS($AC$1006:AS1006),$AC$1006:$AS$1006,0))&gt;=100000), " ",IF(INDEX($AC$2:$AS$1001,MATCH(ROWS($V$2:V54),$V$2:$V$1001,0),MATCH(COLUMNS($AC$1006:AS1006),$AC$1006:$AS$1006,0)), HYPERLINK("#",""), HYPERLINK(CONCATENATE("#Metadata!", ADDRESS(INDEX($X$2:$X$1001,MATCH(ROWS($V$2:V54),$V$2:$V$1001,0),0), INDEX($AC$1004:$AS$1004,1,MATCH(COLUMNS($AC$1006:AS1006),$AC$1006:$AS$1006,0)))),"Fix")))</f>
        <v>0</v>
      </c>
      <c r="V54">
        <v>0</v>
      </c>
      <c r="W54">
        <v>0</v>
      </c>
      <c r="X54">
        <v>0</v>
      </c>
      <c r="Y54">
        <f>IF(Z54,TRUE,AND(AC54:AS54))</f>
        <v>0</v>
      </c>
      <c r="Z54">
        <f>COUNTBLANK(Metadata!B54:R54)=COLUMNS(Metadata!B54:R54)</f>
        <v>0</v>
      </c>
      <c r="AA54">
        <v>0</v>
      </c>
      <c r="AC54">
        <f>AND(IF(Metadata!B54="",FALSE,TRUE),COUNTIF(Metadata!B:B, Metadata!B54) = 1,NOT(ISERROR(SUMPRODUCT(SEARCH(MID(Metadata!B54,ROW(INDIRECT("1:"&amp;LEN(Metadata!B54))), 1),"0123456789abcdefghijklmnopqrstuvwxyzABCDEFGHIJKLMNOPQRSTUVWXYZ.")))))</f>
        <v>0</v>
      </c>
      <c r="AD54">
        <f>AND(IF(Metadata!C54="",FALSE,TRUE),exact(Metadata!C54,"Host-associated"))</f>
        <v>0</v>
      </c>
      <c r="AE54">
        <f>AND(IF(Metadata!D54="",FALSE,TRUE),OR(exact(Metadata!D54,"Animal"),exact(Metadata!D54,"Fungus"),exact(Metadata!D54,"Plant")))</f>
        <v>0</v>
      </c>
      <c r="AF54">
        <f>AND(IF(Metadata!E54="",FALSE,TRUE),OR(exact(Metadata!E54,"Plant secretion"),exact(Metadata!E54,"Plant rhizosphere"),exact(Metadata!E54,"Plant surface"),exact(Metadata!E54,"Plant corpus"),exact(Metadata!E54,"Fungus surface"),exact(Metadata!E54,"Fungus corpus"),exact(Metadata!E54,"Animal surface"),exact(Metadata!E54,"Animal proximal gut"),exact(Metadata!E54,"Animal corpus"),exact(Metadata!E54,"Animal distal gut"),exact(Metadata!E54,"Animal secretion")))</f>
        <v>0</v>
      </c>
      <c r="AG54">
        <f>OR(AND(IF(Metadata!F54="",FALSE,TRUE),OR(exact(Metadata!F54,"not collected"),exact(Metadata!F54,"not provided"),exact(Metadata!F54,"restricted access"))),AND(IF(Metadata!F54="",FALSE,TRUE),OR(exact(Metadata!F54,"organism-associated habitat"),exact(Metadata!F54,"plant-associated habitat"),exact(Metadata!F54,"animal-associated habitat"),exact(Metadata!F54,"insecta-associated habitat"),exact(Metadata!F54,"mammalia-associated habitat"),exact(Metadata!F54,"human-associated habitat"),exact(Metadata!F54,"livestock-associated habitat"))))</f>
        <v>0</v>
      </c>
      <c r="AH54">
        <f>AND(IF(Metadata!G54="",FALSE,TRUE),exact(Metadata!G54,"host-associated"))</f>
        <v>0</v>
      </c>
      <c r="AI54">
        <f>OR(AND(IF(Metadata!H54="",FALSE,TRUE),OR(exact(Metadata!H54,"not collected"),exact(Metadata!H54,"not provided"))),AND(IF(Metadata!H54="",FALSE,ISNUMBER(VALUE(Metadata!H54))),Metadata!H54&gt;0))</f>
        <v>0</v>
      </c>
      <c r="AJ54">
        <f>AND(IF(Metadata!I54="",FALSE,TRUE),exact(Metadata!I54,"years"))</f>
        <v>0</v>
      </c>
      <c r="AK54">
        <f>IF(Metadata!J54="",FALSE,TRUE)</f>
        <v>0</v>
      </c>
      <c r="AL54">
        <f>OR(AND(IF(Metadata!K54="",FALSE,TRUE),OR(exact(Metadata!K54,"not collected"),exact(Metadata!K54,"not provided"))),AND(IF(Metadata!K54="",FALSE,ISNUMBER(VALUE(Metadata!K54))),Metadata!K54&gt;0))</f>
        <v>0</v>
      </c>
      <c r="AM54">
        <f>AND(IF(Metadata!L54="",FALSE,TRUE),exact(Metadata!L54,"cm"))</f>
        <v>0</v>
      </c>
      <c r="AN54">
        <f>IF(Metadata!M54="",FALSE,TRUE)</f>
        <v>0</v>
      </c>
      <c r="AO54">
        <f>OR(AND(IF(Metadata!N54="",FALSE,TRUE),OR(exact(Metadata!N54,"not applicable"),exact(Metadata!N54,"not collected"),exact(Metadata!N54,"not provided"))),AND(IF(Metadata!N54="",FALSE,IF(ISERROR(INT(Metadata!N54)),FALSE,INT(Metadata!N54)=Metadata!N54)),Metadata!N54&gt;0))</f>
        <v>0</v>
      </c>
      <c r="AP54">
        <f>OR(AND(IF(Metadata!O54="",FALSE,TRUE),OR(exact(Metadata!O54,"not collected"),exact(Metadata!O54,"not provided"))),AND(IF(Metadata!O54="",FALSE,ISNUMBER(VALUE(Metadata!O54))),Metadata!O54&gt;0))</f>
        <v>0</v>
      </c>
      <c r="AQ54">
        <f>AND(IF(Metadata!P54="",FALSE,TRUE),exact(Metadata!P54,"kg"))</f>
        <v>0</v>
      </c>
      <c r="AR54">
        <f>OR(AND(IF(Metadata!Q54="",FALSE,TRUE),OR(exact(Metadata!Q54,"not applicable"),exact(Metadata!Q54,"not collected"),exact(Metadata!Q54,"not provided"),exact(Metadata!Q54,"restricted access"))),IF(Metadata!Q54="",FALSE,IF(ISERROR(INT(Metadata!Q54)),FALSE,INT(Metadata!Q54)=Metadata!Q54)))</f>
        <v>0</v>
      </c>
      <c r="AS54">
        <f>AND(IF(Metadata!R54="",FALSE,TRUE),exact(Metadata!R54,"Not applicable"))</f>
        <v>0</v>
      </c>
    </row>
    <row r="55" spans="1:45">
      <c r="A55" s="4">
        <f>IF(B55=" "," ",HYPERLINK(CONCATENATE("#metadata!",ADDRESS(INDEX($X$2:$X$1001,MATCH(ROWS($V$2:V55),$V$2:$V$1001,0),0),2)),INDEX($AA$2:$AA$1001,MATCH(ROWS($V$2:V55),$V$2:$V$1001,0),0)))</f>
        <v>0</v>
      </c>
      <c r="B55" s="5">
        <f>IF(OR(INDEX($W$2:$W$1001,MATCH(ROWS($V$2:V55),$V$2:$V$1001,0),1)&gt;=100000,INDEX($AC$1005:$AS$1005,1,MATCH(COLUMNS($AC$1006:AC1006),$AC$1006:$AS$1006,0))&gt;=100000), " ",IF(INDEX($AC$2:$AS$1001,MATCH(ROWS($V$2:V55),$V$2:$V$1001,0),MATCH(COLUMNS($AC$1006:AC1006),$AC$1006:$AS$1006,0)), HYPERLINK("#",""), HYPERLINK(CONCATENATE("#Metadata!", ADDRESS(INDEX($X$2:$X$1001,MATCH(ROWS($V$2:V55),$V$2:$V$1001,0),0), INDEX($AC$1004:$AS$1004,1,MATCH(COLUMNS($AC$1006:AC1006),$AC$1006:$AS$1006,0)))),"Fix")))</f>
        <v>0</v>
      </c>
      <c r="C55" s="5">
        <f>IF(OR(INDEX($W$2:$W$1001,MATCH(ROWS($V$2:V55),$V$2:$V$1001,0),1)&gt;=100000,INDEX($AC$1005:$AS$1005,1,MATCH(COLUMNS($AC$1006:AD1006),$AC$1006:$AS$1006,0))&gt;=100000), " ",IF(INDEX($AC$2:$AS$1001,MATCH(ROWS($V$2:V55),$V$2:$V$1001,0),MATCH(COLUMNS($AC$1006:AD1006),$AC$1006:$AS$1006,0)), HYPERLINK("#",""), HYPERLINK(CONCATENATE("#Metadata!", ADDRESS(INDEX($X$2:$X$1001,MATCH(ROWS($V$2:V55),$V$2:$V$1001,0),0), INDEX($AC$1004:$AS$1004,1,MATCH(COLUMNS($AC$1006:AD1006),$AC$1006:$AS$1006,0)))),"Fix")))</f>
        <v>0</v>
      </c>
      <c r="D55" s="5">
        <f>IF(OR(INDEX($W$2:$W$1001,MATCH(ROWS($V$2:V55),$V$2:$V$1001,0),1)&gt;=100000,INDEX($AC$1005:$AS$1005,1,MATCH(COLUMNS($AC$1006:AE1006),$AC$1006:$AS$1006,0))&gt;=100000), " ",IF(INDEX($AC$2:$AS$1001,MATCH(ROWS($V$2:V55),$V$2:$V$1001,0),MATCH(COLUMNS($AC$1006:AE1006),$AC$1006:$AS$1006,0)), HYPERLINK("#",""), HYPERLINK(CONCATENATE("#Metadata!", ADDRESS(INDEX($X$2:$X$1001,MATCH(ROWS($V$2:V55),$V$2:$V$1001,0),0), INDEX($AC$1004:$AS$1004,1,MATCH(COLUMNS($AC$1006:AE1006),$AC$1006:$AS$1006,0)))),"Fix")))</f>
        <v>0</v>
      </c>
      <c r="E55" s="5">
        <f>IF(OR(INDEX($W$2:$W$1001,MATCH(ROWS($V$2:V55),$V$2:$V$1001,0),1)&gt;=100000,INDEX($AC$1005:$AS$1005,1,MATCH(COLUMNS($AC$1006:AF1006),$AC$1006:$AS$1006,0))&gt;=100000), " ",IF(INDEX($AC$2:$AS$1001,MATCH(ROWS($V$2:V55),$V$2:$V$1001,0),MATCH(COLUMNS($AC$1006:AF1006),$AC$1006:$AS$1006,0)), HYPERLINK("#",""), HYPERLINK(CONCATENATE("#Metadata!", ADDRESS(INDEX($X$2:$X$1001,MATCH(ROWS($V$2:V55),$V$2:$V$1001,0),0), INDEX($AC$1004:$AS$1004,1,MATCH(COLUMNS($AC$1006:AF1006),$AC$1006:$AS$1006,0)))),"Fix")))</f>
        <v>0</v>
      </c>
      <c r="F55" s="5">
        <f>IF(OR(INDEX($W$2:$W$1001,MATCH(ROWS($V$2:V55),$V$2:$V$1001,0),1)&gt;=100000,INDEX($AC$1005:$AS$1005,1,MATCH(COLUMNS($AC$1006:AG1006),$AC$1006:$AS$1006,0))&gt;=100000), " ",IF(INDEX($AC$2:$AS$1001,MATCH(ROWS($V$2:V55),$V$2:$V$1001,0),MATCH(COLUMNS($AC$1006:AG1006),$AC$1006:$AS$1006,0)), HYPERLINK("#",""), HYPERLINK(CONCATENATE("#Metadata!", ADDRESS(INDEX($X$2:$X$1001,MATCH(ROWS($V$2:V55),$V$2:$V$1001,0),0), INDEX($AC$1004:$AS$1004,1,MATCH(COLUMNS($AC$1006:AG1006),$AC$1006:$AS$1006,0)))),"Fix")))</f>
        <v>0</v>
      </c>
      <c r="G55" s="5">
        <f>IF(OR(INDEX($W$2:$W$1001,MATCH(ROWS($V$2:V55),$V$2:$V$1001,0),1)&gt;=100000,INDEX($AC$1005:$AS$1005,1,MATCH(COLUMNS($AC$1006:AH1006),$AC$1006:$AS$1006,0))&gt;=100000), " ",IF(INDEX($AC$2:$AS$1001,MATCH(ROWS($V$2:V55),$V$2:$V$1001,0),MATCH(COLUMNS($AC$1006:AH1006),$AC$1006:$AS$1006,0)), HYPERLINK("#",""), HYPERLINK(CONCATENATE("#Metadata!", ADDRESS(INDEX($X$2:$X$1001,MATCH(ROWS($V$2:V55),$V$2:$V$1001,0),0), INDEX($AC$1004:$AS$1004,1,MATCH(COLUMNS($AC$1006:AH1006),$AC$1006:$AS$1006,0)))),"Fix")))</f>
        <v>0</v>
      </c>
      <c r="H55" s="5">
        <f>IF(OR(INDEX($W$2:$W$1001,MATCH(ROWS($V$2:V55),$V$2:$V$1001,0),1)&gt;=100000,INDEX($AC$1005:$AS$1005,1,MATCH(COLUMNS($AC$1006:AI1006),$AC$1006:$AS$1006,0))&gt;=100000), " ",IF(INDEX($AC$2:$AS$1001,MATCH(ROWS($V$2:V55),$V$2:$V$1001,0),MATCH(COLUMNS($AC$1006:AI1006),$AC$1006:$AS$1006,0)), HYPERLINK("#",""), HYPERLINK(CONCATENATE("#Metadata!", ADDRESS(INDEX($X$2:$X$1001,MATCH(ROWS($V$2:V55),$V$2:$V$1001,0),0), INDEX($AC$1004:$AS$1004,1,MATCH(COLUMNS($AC$1006:AI1006),$AC$1006:$AS$1006,0)))),"Fix")))</f>
        <v>0</v>
      </c>
      <c r="I55" s="5">
        <f>IF(OR(INDEX($W$2:$W$1001,MATCH(ROWS($V$2:V55),$V$2:$V$1001,0),1)&gt;=100000,INDEX($AC$1005:$AS$1005,1,MATCH(COLUMNS($AC$1006:AJ1006),$AC$1006:$AS$1006,0))&gt;=100000), " ",IF(INDEX($AC$2:$AS$1001,MATCH(ROWS($V$2:V55),$V$2:$V$1001,0),MATCH(COLUMNS($AC$1006:AJ1006),$AC$1006:$AS$1006,0)), HYPERLINK("#",""), HYPERLINK(CONCATENATE("#Metadata!", ADDRESS(INDEX($X$2:$X$1001,MATCH(ROWS($V$2:V55),$V$2:$V$1001,0),0), INDEX($AC$1004:$AS$1004,1,MATCH(COLUMNS($AC$1006:AJ1006),$AC$1006:$AS$1006,0)))),"Fix")))</f>
        <v>0</v>
      </c>
      <c r="J55" s="5">
        <f>IF(OR(INDEX($W$2:$W$1001,MATCH(ROWS($V$2:V55),$V$2:$V$1001,0),1)&gt;=100000,INDEX($AC$1005:$AS$1005,1,MATCH(COLUMNS($AC$1006:AK1006),$AC$1006:$AS$1006,0))&gt;=100000), " ",IF(INDEX($AC$2:$AS$1001,MATCH(ROWS($V$2:V55),$V$2:$V$1001,0),MATCH(COLUMNS($AC$1006:AK1006),$AC$1006:$AS$1006,0)), HYPERLINK("#",""), HYPERLINK(CONCATENATE("#Metadata!", ADDRESS(INDEX($X$2:$X$1001,MATCH(ROWS($V$2:V55),$V$2:$V$1001,0),0), INDEX($AC$1004:$AS$1004,1,MATCH(COLUMNS($AC$1006:AK1006),$AC$1006:$AS$1006,0)))),"Fix")))</f>
        <v>0</v>
      </c>
      <c r="K55" s="5">
        <f>IF(OR(INDEX($W$2:$W$1001,MATCH(ROWS($V$2:V55),$V$2:$V$1001,0),1)&gt;=100000,INDEX($AC$1005:$AS$1005,1,MATCH(COLUMNS($AC$1006:AL1006),$AC$1006:$AS$1006,0))&gt;=100000), " ",IF(INDEX($AC$2:$AS$1001,MATCH(ROWS($V$2:V55),$V$2:$V$1001,0),MATCH(COLUMNS($AC$1006:AL1006),$AC$1006:$AS$1006,0)), HYPERLINK("#",""), HYPERLINK(CONCATENATE("#Metadata!", ADDRESS(INDEX($X$2:$X$1001,MATCH(ROWS($V$2:V55),$V$2:$V$1001,0),0), INDEX($AC$1004:$AS$1004,1,MATCH(COLUMNS($AC$1006:AL1006),$AC$1006:$AS$1006,0)))),"Fix")))</f>
        <v>0</v>
      </c>
      <c r="L55" s="5">
        <f>IF(OR(INDEX($W$2:$W$1001,MATCH(ROWS($V$2:V55),$V$2:$V$1001,0),1)&gt;=100000,INDEX($AC$1005:$AS$1005,1,MATCH(COLUMNS($AC$1006:AM1006),$AC$1006:$AS$1006,0))&gt;=100000), " ",IF(INDEX($AC$2:$AS$1001,MATCH(ROWS($V$2:V55),$V$2:$V$1001,0),MATCH(COLUMNS($AC$1006:AM1006),$AC$1006:$AS$1006,0)), HYPERLINK("#",""), HYPERLINK(CONCATENATE("#Metadata!", ADDRESS(INDEX($X$2:$X$1001,MATCH(ROWS($V$2:V55),$V$2:$V$1001,0),0), INDEX($AC$1004:$AS$1004,1,MATCH(COLUMNS($AC$1006:AM1006),$AC$1006:$AS$1006,0)))),"Fix")))</f>
        <v>0</v>
      </c>
      <c r="M55" s="5">
        <f>IF(OR(INDEX($W$2:$W$1001,MATCH(ROWS($V$2:V55),$V$2:$V$1001,0),1)&gt;=100000,INDEX($AC$1005:$AS$1005,1,MATCH(COLUMNS($AC$1006:AN1006),$AC$1006:$AS$1006,0))&gt;=100000), " ",IF(INDEX($AC$2:$AS$1001,MATCH(ROWS($V$2:V55),$V$2:$V$1001,0),MATCH(COLUMNS($AC$1006:AN1006),$AC$1006:$AS$1006,0)), HYPERLINK("#",""), HYPERLINK(CONCATENATE("#Metadata!", ADDRESS(INDEX($X$2:$X$1001,MATCH(ROWS($V$2:V55),$V$2:$V$1001,0),0), INDEX($AC$1004:$AS$1004,1,MATCH(COLUMNS($AC$1006:AN1006),$AC$1006:$AS$1006,0)))),"Fix")))</f>
        <v>0</v>
      </c>
      <c r="N55" s="5">
        <f>IF(OR(INDEX($W$2:$W$1001,MATCH(ROWS($V$2:V55),$V$2:$V$1001,0),1)&gt;=100000,INDEX($AC$1005:$AS$1005,1,MATCH(COLUMNS($AC$1006:AO1006),$AC$1006:$AS$1006,0))&gt;=100000), " ",IF(INDEX($AC$2:$AS$1001,MATCH(ROWS($V$2:V55),$V$2:$V$1001,0),MATCH(COLUMNS($AC$1006:AO1006),$AC$1006:$AS$1006,0)), HYPERLINK("#",""), HYPERLINK(CONCATENATE("#Metadata!", ADDRESS(INDEX($X$2:$X$1001,MATCH(ROWS($V$2:V55),$V$2:$V$1001,0),0), INDEX($AC$1004:$AS$1004,1,MATCH(COLUMNS($AC$1006:AO1006),$AC$1006:$AS$1006,0)))),"Fix")))</f>
        <v>0</v>
      </c>
      <c r="O55" s="5">
        <f>IF(OR(INDEX($W$2:$W$1001,MATCH(ROWS($V$2:V55),$V$2:$V$1001,0),1)&gt;=100000,INDEX($AC$1005:$AS$1005,1,MATCH(COLUMNS($AC$1006:AP1006),$AC$1006:$AS$1006,0))&gt;=100000), " ",IF(INDEX($AC$2:$AS$1001,MATCH(ROWS($V$2:V55),$V$2:$V$1001,0),MATCH(COLUMNS($AC$1006:AP1006),$AC$1006:$AS$1006,0)), HYPERLINK("#",""), HYPERLINK(CONCATENATE("#Metadata!", ADDRESS(INDEX($X$2:$X$1001,MATCH(ROWS($V$2:V55),$V$2:$V$1001,0),0), INDEX($AC$1004:$AS$1004,1,MATCH(COLUMNS($AC$1006:AP1006),$AC$1006:$AS$1006,0)))),"Fix")))</f>
        <v>0</v>
      </c>
      <c r="P55" s="5">
        <f>IF(OR(INDEX($W$2:$W$1001,MATCH(ROWS($V$2:V55),$V$2:$V$1001,0),1)&gt;=100000,INDEX($AC$1005:$AS$1005,1,MATCH(COLUMNS($AC$1006:AQ1006),$AC$1006:$AS$1006,0))&gt;=100000), " ",IF(INDEX($AC$2:$AS$1001,MATCH(ROWS($V$2:V55),$V$2:$V$1001,0),MATCH(COLUMNS($AC$1006:AQ1006),$AC$1006:$AS$1006,0)), HYPERLINK("#",""), HYPERLINK(CONCATENATE("#Metadata!", ADDRESS(INDEX($X$2:$X$1001,MATCH(ROWS($V$2:V55),$V$2:$V$1001,0),0), INDEX($AC$1004:$AS$1004,1,MATCH(COLUMNS($AC$1006:AQ1006),$AC$1006:$AS$1006,0)))),"Fix")))</f>
        <v>0</v>
      </c>
      <c r="Q55" s="5">
        <f>IF(OR(INDEX($W$2:$W$1001,MATCH(ROWS($V$2:V55),$V$2:$V$1001,0),1)&gt;=100000,INDEX($AC$1005:$AS$1005,1,MATCH(COLUMNS($AC$1006:AR1006),$AC$1006:$AS$1006,0))&gt;=100000), " ",IF(INDEX($AC$2:$AS$1001,MATCH(ROWS($V$2:V55),$V$2:$V$1001,0),MATCH(COLUMNS($AC$1006:AR1006),$AC$1006:$AS$1006,0)), HYPERLINK("#",""), HYPERLINK(CONCATENATE("#Metadata!", ADDRESS(INDEX($X$2:$X$1001,MATCH(ROWS($V$2:V55),$V$2:$V$1001,0),0), INDEX($AC$1004:$AS$1004,1,MATCH(COLUMNS($AC$1006:AR1006),$AC$1006:$AS$1006,0)))),"Fix")))</f>
        <v>0</v>
      </c>
      <c r="R55" s="5">
        <f>IF(OR(INDEX($W$2:$W$1001,MATCH(ROWS($V$2:V55),$V$2:$V$1001,0),1)&gt;=100000,INDEX($AC$1005:$AS$1005,1,MATCH(COLUMNS($AC$1006:AS1006),$AC$1006:$AS$1006,0))&gt;=100000), " ",IF(INDEX($AC$2:$AS$1001,MATCH(ROWS($V$2:V55),$V$2:$V$1001,0),MATCH(COLUMNS($AC$1006:AS1006),$AC$1006:$AS$1006,0)), HYPERLINK("#",""), HYPERLINK(CONCATENATE("#Metadata!", ADDRESS(INDEX($X$2:$X$1001,MATCH(ROWS($V$2:V55),$V$2:$V$1001,0),0), INDEX($AC$1004:$AS$1004,1,MATCH(COLUMNS($AC$1006:AS1006),$AC$1006:$AS$1006,0)))),"Fix")))</f>
        <v>0</v>
      </c>
      <c r="V55">
        <v>0</v>
      </c>
      <c r="W55">
        <v>0</v>
      </c>
      <c r="X55">
        <v>0</v>
      </c>
      <c r="Y55">
        <f>IF(Z55,TRUE,AND(AC55:AS55))</f>
        <v>0</v>
      </c>
      <c r="Z55">
        <f>COUNTBLANK(Metadata!B55:R55)=COLUMNS(Metadata!B55:R55)</f>
        <v>0</v>
      </c>
      <c r="AA55">
        <v>0</v>
      </c>
      <c r="AC55">
        <f>AND(IF(Metadata!B55="",FALSE,TRUE),COUNTIF(Metadata!B:B, Metadata!B55) = 1,NOT(ISERROR(SUMPRODUCT(SEARCH(MID(Metadata!B55,ROW(INDIRECT("1:"&amp;LEN(Metadata!B55))), 1),"0123456789abcdefghijklmnopqrstuvwxyzABCDEFGHIJKLMNOPQRSTUVWXYZ.")))))</f>
        <v>0</v>
      </c>
      <c r="AD55">
        <f>AND(IF(Metadata!C55="",FALSE,TRUE),exact(Metadata!C55,"Host-associated"))</f>
        <v>0</v>
      </c>
      <c r="AE55">
        <f>AND(IF(Metadata!D55="",FALSE,TRUE),OR(exact(Metadata!D55,"Animal"),exact(Metadata!D55,"Fungus"),exact(Metadata!D55,"Plant")))</f>
        <v>0</v>
      </c>
      <c r="AF55">
        <f>AND(IF(Metadata!E55="",FALSE,TRUE),OR(exact(Metadata!E55,"Plant secretion"),exact(Metadata!E55,"Plant rhizosphere"),exact(Metadata!E55,"Plant surface"),exact(Metadata!E55,"Plant corpus"),exact(Metadata!E55,"Fungus surface"),exact(Metadata!E55,"Fungus corpus"),exact(Metadata!E55,"Animal surface"),exact(Metadata!E55,"Animal proximal gut"),exact(Metadata!E55,"Animal corpus"),exact(Metadata!E55,"Animal distal gut"),exact(Metadata!E55,"Animal secretion")))</f>
        <v>0</v>
      </c>
      <c r="AG55">
        <f>OR(AND(IF(Metadata!F55="",FALSE,TRUE),OR(exact(Metadata!F55,"not collected"),exact(Metadata!F55,"not provided"),exact(Metadata!F55,"restricted access"))),AND(IF(Metadata!F55="",FALSE,TRUE),OR(exact(Metadata!F55,"organism-associated habitat"),exact(Metadata!F55,"plant-associated habitat"),exact(Metadata!F55,"animal-associated habitat"),exact(Metadata!F55,"insecta-associated habitat"),exact(Metadata!F55,"mammalia-associated habitat"),exact(Metadata!F55,"human-associated habitat"),exact(Metadata!F55,"livestock-associated habitat"))))</f>
        <v>0</v>
      </c>
      <c r="AH55">
        <f>AND(IF(Metadata!G55="",FALSE,TRUE),exact(Metadata!G55,"host-associated"))</f>
        <v>0</v>
      </c>
      <c r="AI55">
        <f>OR(AND(IF(Metadata!H55="",FALSE,TRUE),OR(exact(Metadata!H55,"not collected"),exact(Metadata!H55,"not provided"))),AND(IF(Metadata!H55="",FALSE,ISNUMBER(VALUE(Metadata!H55))),Metadata!H55&gt;0))</f>
        <v>0</v>
      </c>
      <c r="AJ55">
        <f>AND(IF(Metadata!I55="",FALSE,TRUE),exact(Metadata!I55,"years"))</f>
        <v>0</v>
      </c>
      <c r="AK55">
        <f>IF(Metadata!J55="",FALSE,TRUE)</f>
        <v>0</v>
      </c>
      <c r="AL55">
        <f>OR(AND(IF(Metadata!K55="",FALSE,TRUE),OR(exact(Metadata!K55,"not collected"),exact(Metadata!K55,"not provided"))),AND(IF(Metadata!K55="",FALSE,ISNUMBER(VALUE(Metadata!K55))),Metadata!K55&gt;0))</f>
        <v>0</v>
      </c>
      <c r="AM55">
        <f>AND(IF(Metadata!L55="",FALSE,TRUE),exact(Metadata!L55,"cm"))</f>
        <v>0</v>
      </c>
      <c r="AN55">
        <f>IF(Metadata!M55="",FALSE,TRUE)</f>
        <v>0</v>
      </c>
      <c r="AO55">
        <f>OR(AND(IF(Metadata!N55="",FALSE,TRUE),OR(exact(Metadata!N55,"not applicable"),exact(Metadata!N55,"not collected"),exact(Metadata!N55,"not provided"))),AND(IF(Metadata!N55="",FALSE,IF(ISERROR(INT(Metadata!N55)),FALSE,INT(Metadata!N55)=Metadata!N55)),Metadata!N55&gt;0))</f>
        <v>0</v>
      </c>
      <c r="AP55">
        <f>OR(AND(IF(Metadata!O55="",FALSE,TRUE),OR(exact(Metadata!O55,"not collected"),exact(Metadata!O55,"not provided"))),AND(IF(Metadata!O55="",FALSE,ISNUMBER(VALUE(Metadata!O55))),Metadata!O55&gt;0))</f>
        <v>0</v>
      </c>
      <c r="AQ55">
        <f>AND(IF(Metadata!P55="",FALSE,TRUE),exact(Metadata!P55,"kg"))</f>
        <v>0</v>
      </c>
      <c r="AR55">
        <f>OR(AND(IF(Metadata!Q55="",FALSE,TRUE),OR(exact(Metadata!Q55,"not applicable"),exact(Metadata!Q55,"not collected"),exact(Metadata!Q55,"not provided"),exact(Metadata!Q55,"restricted access"))),IF(Metadata!Q55="",FALSE,IF(ISERROR(INT(Metadata!Q55)),FALSE,INT(Metadata!Q55)=Metadata!Q55)))</f>
        <v>0</v>
      </c>
      <c r="AS55">
        <f>AND(IF(Metadata!R55="",FALSE,TRUE),exact(Metadata!R55,"Not applicable"))</f>
        <v>0</v>
      </c>
    </row>
    <row r="56" spans="1:45">
      <c r="A56" s="4">
        <f>IF(B56=" "," ",HYPERLINK(CONCATENATE("#metadata!",ADDRESS(INDEX($X$2:$X$1001,MATCH(ROWS($V$2:V56),$V$2:$V$1001,0),0),2)),INDEX($AA$2:$AA$1001,MATCH(ROWS($V$2:V56),$V$2:$V$1001,0),0)))</f>
        <v>0</v>
      </c>
      <c r="B56" s="5">
        <f>IF(OR(INDEX($W$2:$W$1001,MATCH(ROWS($V$2:V56),$V$2:$V$1001,0),1)&gt;=100000,INDEX($AC$1005:$AS$1005,1,MATCH(COLUMNS($AC$1006:AC1006),$AC$1006:$AS$1006,0))&gt;=100000), " ",IF(INDEX($AC$2:$AS$1001,MATCH(ROWS($V$2:V56),$V$2:$V$1001,0),MATCH(COLUMNS($AC$1006:AC1006),$AC$1006:$AS$1006,0)), HYPERLINK("#",""), HYPERLINK(CONCATENATE("#Metadata!", ADDRESS(INDEX($X$2:$X$1001,MATCH(ROWS($V$2:V56),$V$2:$V$1001,0),0), INDEX($AC$1004:$AS$1004,1,MATCH(COLUMNS($AC$1006:AC1006),$AC$1006:$AS$1006,0)))),"Fix")))</f>
        <v>0</v>
      </c>
      <c r="C56" s="5">
        <f>IF(OR(INDEX($W$2:$W$1001,MATCH(ROWS($V$2:V56),$V$2:$V$1001,0),1)&gt;=100000,INDEX($AC$1005:$AS$1005,1,MATCH(COLUMNS($AC$1006:AD1006),$AC$1006:$AS$1006,0))&gt;=100000), " ",IF(INDEX($AC$2:$AS$1001,MATCH(ROWS($V$2:V56),$V$2:$V$1001,0),MATCH(COLUMNS($AC$1006:AD1006),$AC$1006:$AS$1006,0)), HYPERLINK("#",""), HYPERLINK(CONCATENATE("#Metadata!", ADDRESS(INDEX($X$2:$X$1001,MATCH(ROWS($V$2:V56),$V$2:$V$1001,0),0), INDEX($AC$1004:$AS$1004,1,MATCH(COLUMNS($AC$1006:AD1006),$AC$1006:$AS$1006,0)))),"Fix")))</f>
        <v>0</v>
      </c>
      <c r="D56" s="5">
        <f>IF(OR(INDEX($W$2:$W$1001,MATCH(ROWS($V$2:V56),$V$2:$V$1001,0),1)&gt;=100000,INDEX($AC$1005:$AS$1005,1,MATCH(COLUMNS($AC$1006:AE1006),$AC$1006:$AS$1006,0))&gt;=100000), " ",IF(INDEX($AC$2:$AS$1001,MATCH(ROWS($V$2:V56),$V$2:$V$1001,0),MATCH(COLUMNS($AC$1006:AE1006),$AC$1006:$AS$1006,0)), HYPERLINK("#",""), HYPERLINK(CONCATENATE("#Metadata!", ADDRESS(INDEX($X$2:$X$1001,MATCH(ROWS($V$2:V56),$V$2:$V$1001,0),0), INDEX($AC$1004:$AS$1004,1,MATCH(COLUMNS($AC$1006:AE1006),$AC$1006:$AS$1006,0)))),"Fix")))</f>
        <v>0</v>
      </c>
      <c r="E56" s="5">
        <f>IF(OR(INDEX($W$2:$W$1001,MATCH(ROWS($V$2:V56),$V$2:$V$1001,0),1)&gt;=100000,INDEX($AC$1005:$AS$1005,1,MATCH(COLUMNS($AC$1006:AF1006),$AC$1006:$AS$1006,0))&gt;=100000), " ",IF(INDEX($AC$2:$AS$1001,MATCH(ROWS($V$2:V56),$V$2:$V$1001,0),MATCH(COLUMNS($AC$1006:AF1006),$AC$1006:$AS$1006,0)), HYPERLINK("#",""), HYPERLINK(CONCATENATE("#Metadata!", ADDRESS(INDEX($X$2:$X$1001,MATCH(ROWS($V$2:V56),$V$2:$V$1001,0),0), INDEX($AC$1004:$AS$1004,1,MATCH(COLUMNS($AC$1006:AF1006),$AC$1006:$AS$1006,0)))),"Fix")))</f>
        <v>0</v>
      </c>
      <c r="F56" s="5">
        <f>IF(OR(INDEX($W$2:$W$1001,MATCH(ROWS($V$2:V56),$V$2:$V$1001,0),1)&gt;=100000,INDEX($AC$1005:$AS$1005,1,MATCH(COLUMNS($AC$1006:AG1006),$AC$1006:$AS$1006,0))&gt;=100000), " ",IF(INDEX($AC$2:$AS$1001,MATCH(ROWS($V$2:V56),$V$2:$V$1001,0),MATCH(COLUMNS($AC$1006:AG1006),$AC$1006:$AS$1006,0)), HYPERLINK("#",""), HYPERLINK(CONCATENATE("#Metadata!", ADDRESS(INDEX($X$2:$X$1001,MATCH(ROWS($V$2:V56),$V$2:$V$1001,0),0), INDEX($AC$1004:$AS$1004,1,MATCH(COLUMNS($AC$1006:AG1006),$AC$1006:$AS$1006,0)))),"Fix")))</f>
        <v>0</v>
      </c>
      <c r="G56" s="5">
        <f>IF(OR(INDEX($W$2:$W$1001,MATCH(ROWS($V$2:V56),$V$2:$V$1001,0),1)&gt;=100000,INDEX($AC$1005:$AS$1005,1,MATCH(COLUMNS($AC$1006:AH1006),$AC$1006:$AS$1006,0))&gt;=100000), " ",IF(INDEX($AC$2:$AS$1001,MATCH(ROWS($V$2:V56),$V$2:$V$1001,0),MATCH(COLUMNS($AC$1006:AH1006),$AC$1006:$AS$1006,0)), HYPERLINK("#",""), HYPERLINK(CONCATENATE("#Metadata!", ADDRESS(INDEX($X$2:$X$1001,MATCH(ROWS($V$2:V56),$V$2:$V$1001,0),0), INDEX($AC$1004:$AS$1004,1,MATCH(COLUMNS($AC$1006:AH1006),$AC$1006:$AS$1006,0)))),"Fix")))</f>
        <v>0</v>
      </c>
      <c r="H56" s="5">
        <f>IF(OR(INDEX($W$2:$W$1001,MATCH(ROWS($V$2:V56),$V$2:$V$1001,0),1)&gt;=100000,INDEX($AC$1005:$AS$1005,1,MATCH(COLUMNS($AC$1006:AI1006),$AC$1006:$AS$1006,0))&gt;=100000), " ",IF(INDEX($AC$2:$AS$1001,MATCH(ROWS($V$2:V56),$V$2:$V$1001,0),MATCH(COLUMNS($AC$1006:AI1006),$AC$1006:$AS$1006,0)), HYPERLINK("#",""), HYPERLINK(CONCATENATE("#Metadata!", ADDRESS(INDEX($X$2:$X$1001,MATCH(ROWS($V$2:V56),$V$2:$V$1001,0),0), INDEX($AC$1004:$AS$1004,1,MATCH(COLUMNS($AC$1006:AI1006),$AC$1006:$AS$1006,0)))),"Fix")))</f>
        <v>0</v>
      </c>
      <c r="I56" s="5">
        <f>IF(OR(INDEX($W$2:$W$1001,MATCH(ROWS($V$2:V56),$V$2:$V$1001,0),1)&gt;=100000,INDEX($AC$1005:$AS$1005,1,MATCH(COLUMNS($AC$1006:AJ1006),$AC$1006:$AS$1006,0))&gt;=100000), " ",IF(INDEX($AC$2:$AS$1001,MATCH(ROWS($V$2:V56),$V$2:$V$1001,0),MATCH(COLUMNS($AC$1006:AJ1006),$AC$1006:$AS$1006,0)), HYPERLINK("#",""), HYPERLINK(CONCATENATE("#Metadata!", ADDRESS(INDEX($X$2:$X$1001,MATCH(ROWS($V$2:V56),$V$2:$V$1001,0),0), INDEX($AC$1004:$AS$1004,1,MATCH(COLUMNS($AC$1006:AJ1006),$AC$1006:$AS$1006,0)))),"Fix")))</f>
        <v>0</v>
      </c>
      <c r="J56" s="5">
        <f>IF(OR(INDEX($W$2:$W$1001,MATCH(ROWS($V$2:V56),$V$2:$V$1001,0),1)&gt;=100000,INDEX($AC$1005:$AS$1005,1,MATCH(COLUMNS($AC$1006:AK1006),$AC$1006:$AS$1006,0))&gt;=100000), " ",IF(INDEX($AC$2:$AS$1001,MATCH(ROWS($V$2:V56),$V$2:$V$1001,0),MATCH(COLUMNS($AC$1006:AK1006),$AC$1006:$AS$1006,0)), HYPERLINK("#",""), HYPERLINK(CONCATENATE("#Metadata!", ADDRESS(INDEX($X$2:$X$1001,MATCH(ROWS($V$2:V56),$V$2:$V$1001,0),0), INDEX($AC$1004:$AS$1004,1,MATCH(COLUMNS($AC$1006:AK1006),$AC$1006:$AS$1006,0)))),"Fix")))</f>
        <v>0</v>
      </c>
      <c r="K56" s="5">
        <f>IF(OR(INDEX($W$2:$W$1001,MATCH(ROWS($V$2:V56),$V$2:$V$1001,0),1)&gt;=100000,INDEX($AC$1005:$AS$1005,1,MATCH(COLUMNS($AC$1006:AL1006),$AC$1006:$AS$1006,0))&gt;=100000), " ",IF(INDEX($AC$2:$AS$1001,MATCH(ROWS($V$2:V56),$V$2:$V$1001,0),MATCH(COLUMNS($AC$1006:AL1006),$AC$1006:$AS$1006,0)), HYPERLINK("#",""), HYPERLINK(CONCATENATE("#Metadata!", ADDRESS(INDEX($X$2:$X$1001,MATCH(ROWS($V$2:V56),$V$2:$V$1001,0),0), INDEX($AC$1004:$AS$1004,1,MATCH(COLUMNS($AC$1006:AL1006),$AC$1006:$AS$1006,0)))),"Fix")))</f>
        <v>0</v>
      </c>
      <c r="L56" s="5">
        <f>IF(OR(INDEX($W$2:$W$1001,MATCH(ROWS($V$2:V56),$V$2:$V$1001,0),1)&gt;=100000,INDEX($AC$1005:$AS$1005,1,MATCH(COLUMNS($AC$1006:AM1006),$AC$1006:$AS$1006,0))&gt;=100000), " ",IF(INDEX($AC$2:$AS$1001,MATCH(ROWS($V$2:V56),$V$2:$V$1001,0),MATCH(COLUMNS($AC$1006:AM1006),$AC$1006:$AS$1006,0)), HYPERLINK("#",""), HYPERLINK(CONCATENATE("#Metadata!", ADDRESS(INDEX($X$2:$X$1001,MATCH(ROWS($V$2:V56),$V$2:$V$1001,0),0), INDEX($AC$1004:$AS$1004,1,MATCH(COLUMNS($AC$1006:AM1006),$AC$1006:$AS$1006,0)))),"Fix")))</f>
        <v>0</v>
      </c>
      <c r="M56" s="5">
        <f>IF(OR(INDEX($W$2:$W$1001,MATCH(ROWS($V$2:V56),$V$2:$V$1001,0),1)&gt;=100000,INDEX($AC$1005:$AS$1005,1,MATCH(COLUMNS($AC$1006:AN1006),$AC$1006:$AS$1006,0))&gt;=100000), " ",IF(INDEX($AC$2:$AS$1001,MATCH(ROWS($V$2:V56),$V$2:$V$1001,0),MATCH(COLUMNS($AC$1006:AN1006),$AC$1006:$AS$1006,0)), HYPERLINK("#",""), HYPERLINK(CONCATENATE("#Metadata!", ADDRESS(INDEX($X$2:$X$1001,MATCH(ROWS($V$2:V56),$V$2:$V$1001,0),0), INDEX($AC$1004:$AS$1004,1,MATCH(COLUMNS($AC$1006:AN1006),$AC$1006:$AS$1006,0)))),"Fix")))</f>
        <v>0</v>
      </c>
      <c r="N56" s="5">
        <f>IF(OR(INDEX($W$2:$W$1001,MATCH(ROWS($V$2:V56),$V$2:$V$1001,0),1)&gt;=100000,INDEX($AC$1005:$AS$1005,1,MATCH(COLUMNS($AC$1006:AO1006),$AC$1006:$AS$1006,0))&gt;=100000), " ",IF(INDEX($AC$2:$AS$1001,MATCH(ROWS($V$2:V56),$V$2:$V$1001,0),MATCH(COLUMNS($AC$1006:AO1006),$AC$1006:$AS$1006,0)), HYPERLINK("#",""), HYPERLINK(CONCATENATE("#Metadata!", ADDRESS(INDEX($X$2:$X$1001,MATCH(ROWS($V$2:V56),$V$2:$V$1001,0),0), INDEX($AC$1004:$AS$1004,1,MATCH(COLUMNS($AC$1006:AO1006),$AC$1006:$AS$1006,0)))),"Fix")))</f>
        <v>0</v>
      </c>
      <c r="O56" s="5">
        <f>IF(OR(INDEX($W$2:$W$1001,MATCH(ROWS($V$2:V56),$V$2:$V$1001,0),1)&gt;=100000,INDEX($AC$1005:$AS$1005,1,MATCH(COLUMNS($AC$1006:AP1006),$AC$1006:$AS$1006,0))&gt;=100000), " ",IF(INDEX($AC$2:$AS$1001,MATCH(ROWS($V$2:V56),$V$2:$V$1001,0),MATCH(COLUMNS($AC$1006:AP1006),$AC$1006:$AS$1006,0)), HYPERLINK("#",""), HYPERLINK(CONCATENATE("#Metadata!", ADDRESS(INDEX($X$2:$X$1001,MATCH(ROWS($V$2:V56),$V$2:$V$1001,0),0), INDEX($AC$1004:$AS$1004,1,MATCH(COLUMNS($AC$1006:AP1006),$AC$1006:$AS$1006,0)))),"Fix")))</f>
        <v>0</v>
      </c>
      <c r="P56" s="5">
        <f>IF(OR(INDEX($W$2:$W$1001,MATCH(ROWS($V$2:V56),$V$2:$V$1001,0),1)&gt;=100000,INDEX($AC$1005:$AS$1005,1,MATCH(COLUMNS($AC$1006:AQ1006),$AC$1006:$AS$1006,0))&gt;=100000), " ",IF(INDEX($AC$2:$AS$1001,MATCH(ROWS($V$2:V56),$V$2:$V$1001,0),MATCH(COLUMNS($AC$1006:AQ1006),$AC$1006:$AS$1006,0)), HYPERLINK("#",""), HYPERLINK(CONCATENATE("#Metadata!", ADDRESS(INDEX($X$2:$X$1001,MATCH(ROWS($V$2:V56),$V$2:$V$1001,0),0), INDEX($AC$1004:$AS$1004,1,MATCH(COLUMNS($AC$1006:AQ1006),$AC$1006:$AS$1006,0)))),"Fix")))</f>
        <v>0</v>
      </c>
      <c r="Q56" s="5">
        <f>IF(OR(INDEX($W$2:$W$1001,MATCH(ROWS($V$2:V56),$V$2:$V$1001,0),1)&gt;=100000,INDEX($AC$1005:$AS$1005,1,MATCH(COLUMNS($AC$1006:AR1006),$AC$1006:$AS$1006,0))&gt;=100000), " ",IF(INDEX($AC$2:$AS$1001,MATCH(ROWS($V$2:V56),$V$2:$V$1001,0),MATCH(COLUMNS($AC$1006:AR1006),$AC$1006:$AS$1006,0)), HYPERLINK("#",""), HYPERLINK(CONCATENATE("#Metadata!", ADDRESS(INDEX($X$2:$X$1001,MATCH(ROWS($V$2:V56),$V$2:$V$1001,0),0), INDEX($AC$1004:$AS$1004,1,MATCH(COLUMNS($AC$1006:AR1006),$AC$1006:$AS$1006,0)))),"Fix")))</f>
        <v>0</v>
      </c>
      <c r="R56" s="5">
        <f>IF(OR(INDEX($W$2:$W$1001,MATCH(ROWS($V$2:V56),$V$2:$V$1001,0),1)&gt;=100000,INDEX($AC$1005:$AS$1005,1,MATCH(COLUMNS($AC$1006:AS1006),$AC$1006:$AS$1006,0))&gt;=100000), " ",IF(INDEX($AC$2:$AS$1001,MATCH(ROWS($V$2:V56),$V$2:$V$1001,0),MATCH(COLUMNS($AC$1006:AS1006),$AC$1006:$AS$1006,0)), HYPERLINK("#",""), HYPERLINK(CONCATENATE("#Metadata!", ADDRESS(INDEX($X$2:$X$1001,MATCH(ROWS($V$2:V56),$V$2:$V$1001,0),0), INDEX($AC$1004:$AS$1004,1,MATCH(COLUMNS($AC$1006:AS1006),$AC$1006:$AS$1006,0)))),"Fix")))</f>
        <v>0</v>
      </c>
      <c r="V56">
        <v>0</v>
      </c>
      <c r="W56">
        <v>0</v>
      </c>
      <c r="X56">
        <v>0</v>
      </c>
      <c r="Y56">
        <f>IF(Z56,TRUE,AND(AC56:AS56))</f>
        <v>0</v>
      </c>
      <c r="Z56">
        <f>COUNTBLANK(Metadata!B56:R56)=COLUMNS(Metadata!B56:R56)</f>
        <v>0</v>
      </c>
      <c r="AA56">
        <v>0</v>
      </c>
      <c r="AC56">
        <f>AND(IF(Metadata!B56="",FALSE,TRUE),COUNTIF(Metadata!B:B, Metadata!B56) = 1,NOT(ISERROR(SUMPRODUCT(SEARCH(MID(Metadata!B56,ROW(INDIRECT("1:"&amp;LEN(Metadata!B56))), 1),"0123456789abcdefghijklmnopqrstuvwxyzABCDEFGHIJKLMNOPQRSTUVWXYZ.")))))</f>
        <v>0</v>
      </c>
      <c r="AD56">
        <f>AND(IF(Metadata!C56="",FALSE,TRUE),exact(Metadata!C56,"Host-associated"))</f>
        <v>0</v>
      </c>
      <c r="AE56">
        <f>AND(IF(Metadata!D56="",FALSE,TRUE),OR(exact(Metadata!D56,"Animal"),exact(Metadata!D56,"Fungus"),exact(Metadata!D56,"Plant")))</f>
        <v>0</v>
      </c>
      <c r="AF56">
        <f>AND(IF(Metadata!E56="",FALSE,TRUE),OR(exact(Metadata!E56,"Plant secretion"),exact(Metadata!E56,"Plant rhizosphere"),exact(Metadata!E56,"Plant surface"),exact(Metadata!E56,"Plant corpus"),exact(Metadata!E56,"Fungus surface"),exact(Metadata!E56,"Fungus corpus"),exact(Metadata!E56,"Animal surface"),exact(Metadata!E56,"Animal proximal gut"),exact(Metadata!E56,"Animal corpus"),exact(Metadata!E56,"Animal distal gut"),exact(Metadata!E56,"Animal secretion")))</f>
        <v>0</v>
      </c>
      <c r="AG56">
        <f>OR(AND(IF(Metadata!F56="",FALSE,TRUE),OR(exact(Metadata!F56,"not collected"),exact(Metadata!F56,"not provided"),exact(Metadata!F56,"restricted access"))),AND(IF(Metadata!F56="",FALSE,TRUE),OR(exact(Metadata!F56,"organism-associated habitat"),exact(Metadata!F56,"plant-associated habitat"),exact(Metadata!F56,"animal-associated habitat"),exact(Metadata!F56,"insecta-associated habitat"),exact(Metadata!F56,"mammalia-associated habitat"),exact(Metadata!F56,"human-associated habitat"),exact(Metadata!F56,"livestock-associated habitat"))))</f>
        <v>0</v>
      </c>
      <c r="AH56">
        <f>AND(IF(Metadata!G56="",FALSE,TRUE),exact(Metadata!G56,"host-associated"))</f>
        <v>0</v>
      </c>
      <c r="AI56">
        <f>OR(AND(IF(Metadata!H56="",FALSE,TRUE),OR(exact(Metadata!H56,"not collected"),exact(Metadata!H56,"not provided"))),AND(IF(Metadata!H56="",FALSE,ISNUMBER(VALUE(Metadata!H56))),Metadata!H56&gt;0))</f>
        <v>0</v>
      </c>
      <c r="AJ56">
        <f>AND(IF(Metadata!I56="",FALSE,TRUE),exact(Metadata!I56,"years"))</f>
        <v>0</v>
      </c>
      <c r="AK56">
        <f>IF(Metadata!J56="",FALSE,TRUE)</f>
        <v>0</v>
      </c>
      <c r="AL56">
        <f>OR(AND(IF(Metadata!K56="",FALSE,TRUE),OR(exact(Metadata!K56,"not collected"),exact(Metadata!K56,"not provided"))),AND(IF(Metadata!K56="",FALSE,ISNUMBER(VALUE(Metadata!K56))),Metadata!K56&gt;0))</f>
        <v>0</v>
      </c>
      <c r="AM56">
        <f>AND(IF(Metadata!L56="",FALSE,TRUE),exact(Metadata!L56,"cm"))</f>
        <v>0</v>
      </c>
      <c r="AN56">
        <f>IF(Metadata!M56="",FALSE,TRUE)</f>
        <v>0</v>
      </c>
      <c r="AO56">
        <f>OR(AND(IF(Metadata!N56="",FALSE,TRUE),OR(exact(Metadata!N56,"not applicable"),exact(Metadata!N56,"not collected"),exact(Metadata!N56,"not provided"))),AND(IF(Metadata!N56="",FALSE,IF(ISERROR(INT(Metadata!N56)),FALSE,INT(Metadata!N56)=Metadata!N56)),Metadata!N56&gt;0))</f>
        <v>0</v>
      </c>
      <c r="AP56">
        <f>OR(AND(IF(Metadata!O56="",FALSE,TRUE),OR(exact(Metadata!O56,"not collected"),exact(Metadata!O56,"not provided"))),AND(IF(Metadata!O56="",FALSE,ISNUMBER(VALUE(Metadata!O56))),Metadata!O56&gt;0))</f>
        <v>0</v>
      </c>
      <c r="AQ56">
        <f>AND(IF(Metadata!P56="",FALSE,TRUE),exact(Metadata!P56,"kg"))</f>
        <v>0</v>
      </c>
      <c r="AR56">
        <f>OR(AND(IF(Metadata!Q56="",FALSE,TRUE),OR(exact(Metadata!Q56,"not applicable"),exact(Metadata!Q56,"not collected"),exact(Metadata!Q56,"not provided"),exact(Metadata!Q56,"restricted access"))),IF(Metadata!Q56="",FALSE,IF(ISERROR(INT(Metadata!Q56)),FALSE,INT(Metadata!Q56)=Metadata!Q56)))</f>
        <v>0</v>
      </c>
      <c r="AS56">
        <f>AND(IF(Metadata!R56="",FALSE,TRUE),exact(Metadata!R56,"Not applicable"))</f>
        <v>0</v>
      </c>
    </row>
    <row r="57" spans="1:45">
      <c r="A57" s="4">
        <f>IF(B57=" "," ",HYPERLINK(CONCATENATE("#metadata!",ADDRESS(INDEX($X$2:$X$1001,MATCH(ROWS($V$2:V57),$V$2:$V$1001,0),0),2)),INDEX($AA$2:$AA$1001,MATCH(ROWS($V$2:V57),$V$2:$V$1001,0),0)))</f>
        <v>0</v>
      </c>
      <c r="B57" s="5">
        <f>IF(OR(INDEX($W$2:$W$1001,MATCH(ROWS($V$2:V57),$V$2:$V$1001,0),1)&gt;=100000,INDEX($AC$1005:$AS$1005,1,MATCH(COLUMNS($AC$1006:AC1006),$AC$1006:$AS$1006,0))&gt;=100000), " ",IF(INDEX($AC$2:$AS$1001,MATCH(ROWS($V$2:V57),$V$2:$V$1001,0),MATCH(COLUMNS($AC$1006:AC1006),$AC$1006:$AS$1006,0)), HYPERLINK("#",""), HYPERLINK(CONCATENATE("#Metadata!", ADDRESS(INDEX($X$2:$X$1001,MATCH(ROWS($V$2:V57),$V$2:$V$1001,0),0), INDEX($AC$1004:$AS$1004,1,MATCH(COLUMNS($AC$1006:AC1006),$AC$1006:$AS$1006,0)))),"Fix")))</f>
        <v>0</v>
      </c>
      <c r="C57" s="5">
        <f>IF(OR(INDEX($W$2:$W$1001,MATCH(ROWS($V$2:V57),$V$2:$V$1001,0),1)&gt;=100000,INDEX($AC$1005:$AS$1005,1,MATCH(COLUMNS($AC$1006:AD1006),$AC$1006:$AS$1006,0))&gt;=100000), " ",IF(INDEX($AC$2:$AS$1001,MATCH(ROWS($V$2:V57),$V$2:$V$1001,0),MATCH(COLUMNS($AC$1006:AD1006),$AC$1006:$AS$1006,0)), HYPERLINK("#",""), HYPERLINK(CONCATENATE("#Metadata!", ADDRESS(INDEX($X$2:$X$1001,MATCH(ROWS($V$2:V57),$V$2:$V$1001,0),0), INDEX($AC$1004:$AS$1004,1,MATCH(COLUMNS($AC$1006:AD1006),$AC$1006:$AS$1006,0)))),"Fix")))</f>
        <v>0</v>
      </c>
      <c r="D57" s="5">
        <f>IF(OR(INDEX($W$2:$W$1001,MATCH(ROWS($V$2:V57),$V$2:$V$1001,0),1)&gt;=100000,INDEX($AC$1005:$AS$1005,1,MATCH(COLUMNS($AC$1006:AE1006),$AC$1006:$AS$1006,0))&gt;=100000), " ",IF(INDEX($AC$2:$AS$1001,MATCH(ROWS($V$2:V57),$V$2:$V$1001,0),MATCH(COLUMNS($AC$1006:AE1006),$AC$1006:$AS$1006,0)), HYPERLINK("#",""), HYPERLINK(CONCATENATE("#Metadata!", ADDRESS(INDEX($X$2:$X$1001,MATCH(ROWS($V$2:V57),$V$2:$V$1001,0),0), INDEX($AC$1004:$AS$1004,1,MATCH(COLUMNS($AC$1006:AE1006),$AC$1006:$AS$1006,0)))),"Fix")))</f>
        <v>0</v>
      </c>
      <c r="E57" s="5">
        <f>IF(OR(INDEX($W$2:$W$1001,MATCH(ROWS($V$2:V57),$V$2:$V$1001,0),1)&gt;=100000,INDEX($AC$1005:$AS$1005,1,MATCH(COLUMNS($AC$1006:AF1006),$AC$1006:$AS$1006,0))&gt;=100000), " ",IF(INDEX($AC$2:$AS$1001,MATCH(ROWS($V$2:V57),$V$2:$V$1001,0),MATCH(COLUMNS($AC$1006:AF1006),$AC$1006:$AS$1006,0)), HYPERLINK("#",""), HYPERLINK(CONCATENATE("#Metadata!", ADDRESS(INDEX($X$2:$X$1001,MATCH(ROWS($V$2:V57),$V$2:$V$1001,0),0), INDEX($AC$1004:$AS$1004,1,MATCH(COLUMNS($AC$1006:AF1006),$AC$1006:$AS$1006,0)))),"Fix")))</f>
        <v>0</v>
      </c>
      <c r="F57" s="5">
        <f>IF(OR(INDEX($W$2:$W$1001,MATCH(ROWS($V$2:V57),$V$2:$V$1001,0),1)&gt;=100000,INDEX($AC$1005:$AS$1005,1,MATCH(COLUMNS($AC$1006:AG1006),$AC$1006:$AS$1006,0))&gt;=100000), " ",IF(INDEX($AC$2:$AS$1001,MATCH(ROWS($V$2:V57),$V$2:$V$1001,0),MATCH(COLUMNS($AC$1006:AG1006),$AC$1006:$AS$1006,0)), HYPERLINK("#",""), HYPERLINK(CONCATENATE("#Metadata!", ADDRESS(INDEX($X$2:$X$1001,MATCH(ROWS($V$2:V57),$V$2:$V$1001,0),0), INDEX($AC$1004:$AS$1004,1,MATCH(COLUMNS($AC$1006:AG1006),$AC$1006:$AS$1006,0)))),"Fix")))</f>
        <v>0</v>
      </c>
      <c r="G57" s="5">
        <f>IF(OR(INDEX($W$2:$W$1001,MATCH(ROWS($V$2:V57),$V$2:$V$1001,0),1)&gt;=100000,INDEX($AC$1005:$AS$1005,1,MATCH(COLUMNS($AC$1006:AH1006),$AC$1006:$AS$1006,0))&gt;=100000), " ",IF(INDEX($AC$2:$AS$1001,MATCH(ROWS($V$2:V57),$V$2:$V$1001,0),MATCH(COLUMNS($AC$1006:AH1006),$AC$1006:$AS$1006,0)), HYPERLINK("#",""), HYPERLINK(CONCATENATE("#Metadata!", ADDRESS(INDEX($X$2:$X$1001,MATCH(ROWS($V$2:V57),$V$2:$V$1001,0),0), INDEX($AC$1004:$AS$1004,1,MATCH(COLUMNS($AC$1006:AH1006),$AC$1006:$AS$1006,0)))),"Fix")))</f>
        <v>0</v>
      </c>
      <c r="H57" s="5">
        <f>IF(OR(INDEX($W$2:$W$1001,MATCH(ROWS($V$2:V57),$V$2:$V$1001,0),1)&gt;=100000,INDEX($AC$1005:$AS$1005,1,MATCH(COLUMNS($AC$1006:AI1006),$AC$1006:$AS$1006,0))&gt;=100000), " ",IF(INDEX($AC$2:$AS$1001,MATCH(ROWS($V$2:V57),$V$2:$V$1001,0),MATCH(COLUMNS($AC$1006:AI1006),$AC$1006:$AS$1006,0)), HYPERLINK("#",""), HYPERLINK(CONCATENATE("#Metadata!", ADDRESS(INDEX($X$2:$X$1001,MATCH(ROWS($V$2:V57),$V$2:$V$1001,0),0), INDEX($AC$1004:$AS$1004,1,MATCH(COLUMNS($AC$1006:AI1006),$AC$1006:$AS$1006,0)))),"Fix")))</f>
        <v>0</v>
      </c>
      <c r="I57" s="5">
        <f>IF(OR(INDEX($W$2:$W$1001,MATCH(ROWS($V$2:V57),$V$2:$V$1001,0),1)&gt;=100000,INDEX($AC$1005:$AS$1005,1,MATCH(COLUMNS($AC$1006:AJ1006),$AC$1006:$AS$1006,0))&gt;=100000), " ",IF(INDEX($AC$2:$AS$1001,MATCH(ROWS($V$2:V57),$V$2:$V$1001,0),MATCH(COLUMNS($AC$1006:AJ1006),$AC$1006:$AS$1006,0)), HYPERLINK("#",""), HYPERLINK(CONCATENATE("#Metadata!", ADDRESS(INDEX($X$2:$X$1001,MATCH(ROWS($V$2:V57),$V$2:$V$1001,0),0), INDEX($AC$1004:$AS$1004,1,MATCH(COLUMNS($AC$1006:AJ1006),$AC$1006:$AS$1006,0)))),"Fix")))</f>
        <v>0</v>
      </c>
      <c r="J57" s="5">
        <f>IF(OR(INDEX($W$2:$W$1001,MATCH(ROWS($V$2:V57),$V$2:$V$1001,0),1)&gt;=100000,INDEX($AC$1005:$AS$1005,1,MATCH(COLUMNS($AC$1006:AK1006),$AC$1006:$AS$1006,0))&gt;=100000), " ",IF(INDEX($AC$2:$AS$1001,MATCH(ROWS($V$2:V57),$V$2:$V$1001,0),MATCH(COLUMNS($AC$1006:AK1006),$AC$1006:$AS$1006,0)), HYPERLINK("#",""), HYPERLINK(CONCATENATE("#Metadata!", ADDRESS(INDEX($X$2:$X$1001,MATCH(ROWS($V$2:V57),$V$2:$V$1001,0),0), INDEX($AC$1004:$AS$1004,1,MATCH(COLUMNS($AC$1006:AK1006),$AC$1006:$AS$1006,0)))),"Fix")))</f>
        <v>0</v>
      </c>
      <c r="K57" s="5">
        <f>IF(OR(INDEX($W$2:$W$1001,MATCH(ROWS($V$2:V57),$V$2:$V$1001,0),1)&gt;=100000,INDEX($AC$1005:$AS$1005,1,MATCH(COLUMNS($AC$1006:AL1006),$AC$1006:$AS$1006,0))&gt;=100000), " ",IF(INDEX($AC$2:$AS$1001,MATCH(ROWS($V$2:V57),$V$2:$V$1001,0),MATCH(COLUMNS($AC$1006:AL1006),$AC$1006:$AS$1006,0)), HYPERLINK("#",""), HYPERLINK(CONCATENATE("#Metadata!", ADDRESS(INDEX($X$2:$X$1001,MATCH(ROWS($V$2:V57),$V$2:$V$1001,0),0), INDEX($AC$1004:$AS$1004,1,MATCH(COLUMNS($AC$1006:AL1006),$AC$1006:$AS$1006,0)))),"Fix")))</f>
        <v>0</v>
      </c>
      <c r="L57" s="5">
        <f>IF(OR(INDEX($W$2:$W$1001,MATCH(ROWS($V$2:V57),$V$2:$V$1001,0),1)&gt;=100000,INDEX($AC$1005:$AS$1005,1,MATCH(COLUMNS($AC$1006:AM1006),$AC$1006:$AS$1006,0))&gt;=100000), " ",IF(INDEX($AC$2:$AS$1001,MATCH(ROWS($V$2:V57),$V$2:$V$1001,0),MATCH(COLUMNS($AC$1006:AM1006),$AC$1006:$AS$1006,0)), HYPERLINK("#",""), HYPERLINK(CONCATENATE("#Metadata!", ADDRESS(INDEX($X$2:$X$1001,MATCH(ROWS($V$2:V57),$V$2:$V$1001,0),0), INDEX($AC$1004:$AS$1004,1,MATCH(COLUMNS($AC$1006:AM1006),$AC$1006:$AS$1006,0)))),"Fix")))</f>
        <v>0</v>
      </c>
      <c r="M57" s="5">
        <f>IF(OR(INDEX($W$2:$W$1001,MATCH(ROWS($V$2:V57),$V$2:$V$1001,0),1)&gt;=100000,INDEX($AC$1005:$AS$1005,1,MATCH(COLUMNS($AC$1006:AN1006),$AC$1006:$AS$1006,0))&gt;=100000), " ",IF(INDEX($AC$2:$AS$1001,MATCH(ROWS($V$2:V57),$V$2:$V$1001,0),MATCH(COLUMNS($AC$1006:AN1006),$AC$1006:$AS$1006,0)), HYPERLINK("#",""), HYPERLINK(CONCATENATE("#Metadata!", ADDRESS(INDEX($X$2:$X$1001,MATCH(ROWS($V$2:V57),$V$2:$V$1001,0),0), INDEX($AC$1004:$AS$1004,1,MATCH(COLUMNS($AC$1006:AN1006),$AC$1006:$AS$1006,0)))),"Fix")))</f>
        <v>0</v>
      </c>
      <c r="N57" s="5">
        <f>IF(OR(INDEX($W$2:$W$1001,MATCH(ROWS($V$2:V57),$V$2:$V$1001,0),1)&gt;=100000,INDEX($AC$1005:$AS$1005,1,MATCH(COLUMNS($AC$1006:AO1006),$AC$1006:$AS$1006,0))&gt;=100000), " ",IF(INDEX($AC$2:$AS$1001,MATCH(ROWS($V$2:V57),$V$2:$V$1001,0),MATCH(COLUMNS($AC$1006:AO1006),$AC$1006:$AS$1006,0)), HYPERLINK("#",""), HYPERLINK(CONCATENATE("#Metadata!", ADDRESS(INDEX($X$2:$X$1001,MATCH(ROWS($V$2:V57),$V$2:$V$1001,0),0), INDEX($AC$1004:$AS$1004,1,MATCH(COLUMNS($AC$1006:AO1006),$AC$1006:$AS$1006,0)))),"Fix")))</f>
        <v>0</v>
      </c>
      <c r="O57" s="5">
        <f>IF(OR(INDEX($W$2:$W$1001,MATCH(ROWS($V$2:V57),$V$2:$V$1001,0),1)&gt;=100000,INDEX($AC$1005:$AS$1005,1,MATCH(COLUMNS($AC$1006:AP1006),$AC$1006:$AS$1006,0))&gt;=100000), " ",IF(INDEX($AC$2:$AS$1001,MATCH(ROWS($V$2:V57),$V$2:$V$1001,0),MATCH(COLUMNS($AC$1006:AP1006),$AC$1006:$AS$1006,0)), HYPERLINK("#",""), HYPERLINK(CONCATENATE("#Metadata!", ADDRESS(INDEX($X$2:$X$1001,MATCH(ROWS($V$2:V57),$V$2:$V$1001,0),0), INDEX($AC$1004:$AS$1004,1,MATCH(COLUMNS($AC$1006:AP1006),$AC$1006:$AS$1006,0)))),"Fix")))</f>
        <v>0</v>
      </c>
      <c r="P57" s="5">
        <f>IF(OR(INDEX($W$2:$W$1001,MATCH(ROWS($V$2:V57),$V$2:$V$1001,0),1)&gt;=100000,INDEX($AC$1005:$AS$1005,1,MATCH(COLUMNS($AC$1006:AQ1006),$AC$1006:$AS$1006,0))&gt;=100000), " ",IF(INDEX($AC$2:$AS$1001,MATCH(ROWS($V$2:V57),$V$2:$V$1001,0),MATCH(COLUMNS($AC$1006:AQ1006),$AC$1006:$AS$1006,0)), HYPERLINK("#",""), HYPERLINK(CONCATENATE("#Metadata!", ADDRESS(INDEX($X$2:$X$1001,MATCH(ROWS($V$2:V57),$V$2:$V$1001,0),0), INDEX($AC$1004:$AS$1004,1,MATCH(COLUMNS($AC$1006:AQ1006),$AC$1006:$AS$1006,0)))),"Fix")))</f>
        <v>0</v>
      </c>
      <c r="Q57" s="5">
        <f>IF(OR(INDEX($W$2:$W$1001,MATCH(ROWS($V$2:V57),$V$2:$V$1001,0),1)&gt;=100000,INDEX($AC$1005:$AS$1005,1,MATCH(COLUMNS($AC$1006:AR1006),$AC$1006:$AS$1006,0))&gt;=100000), " ",IF(INDEX($AC$2:$AS$1001,MATCH(ROWS($V$2:V57),$V$2:$V$1001,0),MATCH(COLUMNS($AC$1006:AR1006),$AC$1006:$AS$1006,0)), HYPERLINK("#",""), HYPERLINK(CONCATENATE("#Metadata!", ADDRESS(INDEX($X$2:$X$1001,MATCH(ROWS($V$2:V57),$V$2:$V$1001,0),0), INDEX($AC$1004:$AS$1004,1,MATCH(COLUMNS($AC$1006:AR1006),$AC$1006:$AS$1006,0)))),"Fix")))</f>
        <v>0</v>
      </c>
      <c r="R57" s="5">
        <f>IF(OR(INDEX($W$2:$W$1001,MATCH(ROWS($V$2:V57),$V$2:$V$1001,0),1)&gt;=100000,INDEX($AC$1005:$AS$1005,1,MATCH(COLUMNS($AC$1006:AS1006),$AC$1006:$AS$1006,0))&gt;=100000), " ",IF(INDEX($AC$2:$AS$1001,MATCH(ROWS($V$2:V57),$V$2:$V$1001,0),MATCH(COLUMNS($AC$1006:AS1006),$AC$1006:$AS$1006,0)), HYPERLINK("#",""), HYPERLINK(CONCATENATE("#Metadata!", ADDRESS(INDEX($X$2:$X$1001,MATCH(ROWS($V$2:V57),$V$2:$V$1001,0),0), INDEX($AC$1004:$AS$1004,1,MATCH(COLUMNS($AC$1006:AS1006),$AC$1006:$AS$1006,0)))),"Fix")))</f>
        <v>0</v>
      </c>
      <c r="V57">
        <v>0</v>
      </c>
      <c r="W57">
        <v>0</v>
      </c>
      <c r="X57">
        <v>0</v>
      </c>
      <c r="Y57">
        <f>IF(Z57,TRUE,AND(AC57:AS57))</f>
        <v>0</v>
      </c>
      <c r="Z57">
        <f>COUNTBLANK(Metadata!B57:R57)=COLUMNS(Metadata!B57:R57)</f>
        <v>0</v>
      </c>
      <c r="AA57">
        <v>0</v>
      </c>
      <c r="AC57">
        <f>AND(IF(Metadata!B57="",FALSE,TRUE),COUNTIF(Metadata!B:B, Metadata!B57) = 1,NOT(ISERROR(SUMPRODUCT(SEARCH(MID(Metadata!B57,ROW(INDIRECT("1:"&amp;LEN(Metadata!B57))), 1),"0123456789abcdefghijklmnopqrstuvwxyzABCDEFGHIJKLMNOPQRSTUVWXYZ.")))))</f>
        <v>0</v>
      </c>
      <c r="AD57">
        <f>AND(IF(Metadata!C57="",FALSE,TRUE),exact(Metadata!C57,"Host-associated"))</f>
        <v>0</v>
      </c>
      <c r="AE57">
        <f>AND(IF(Metadata!D57="",FALSE,TRUE),OR(exact(Metadata!D57,"Animal"),exact(Metadata!D57,"Fungus"),exact(Metadata!D57,"Plant")))</f>
        <v>0</v>
      </c>
      <c r="AF57">
        <f>AND(IF(Metadata!E57="",FALSE,TRUE),OR(exact(Metadata!E57,"Plant secretion"),exact(Metadata!E57,"Plant rhizosphere"),exact(Metadata!E57,"Plant surface"),exact(Metadata!E57,"Plant corpus"),exact(Metadata!E57,"Fungus surface"),exact(Metadata!E57,"Fungus corpus"),exact(Metadata!E57,"Animal surface"),exact(Metadata!E57,"Animal proximal gut"),exact(Metadata!E57,"Animal corpus"),exact(Metadata!E57,"Animal distal gut"),exact(Metadata!E57,"Animal secretion")))</f>
        <v>0</v>
      </c>
      <c r="AG57">
        <f>OR(AND(IF(Metadata!F57="",FALSE,TRUE),OR(exact(Metadata!F57,"not collected"),exact(Metadata!F57,"not provided"),exact(Metadata!F57,"restricted access"))),AND(IF(Metadata!F57="",FALSE,TRUE),OR(exact(Metadata!F57,"organism-associated habitat"),exact(Metadata!F57,"plant-associated habitat"),exact(Metadata!F57,"animal-associated habitat"),exact(Metadata!F57,"insecta-associated habitat"),exact(Metadata!F57,"mammalia-associated habitat"),exact(Metadata!F57,"human-associated habitat"),exact(Metadata!F57,"livestock-associated habitat"))))</f>
        <v>0</v>
      </c>
      <c r="AH57">
        <f>AND(IF(Metadata!G57="",FALSE,TRUE),exact(Metadata!G57,"host-associated"))</f>
        <v>0</v>
      </c>
      <c r="AI57">
        <f>OR(AND(IF(Metadata!H57="",FALSE,TRUE),OR(exact(Metadata!H57,"not collected"),exact(Metadata!H57,"not provided"))),AND(IF(Metadata!H57="",FALSE,ISNUMBER(VALUE(Metadata!H57))),Metadata!H57&gt;0))</f>
        <v>0</v>
      </c>
      <c r="AJ57">
        <f>AND(IF(Metadata!I57="",FALSE,TRUE),exact(Metadata!I57,"years"))</f>
        <v>0</v>
      </c>
      <c r="AK57">
        <f>IF(Metadata!J57="",FALSE,TRUE)</f>
        <v>0</v>
      </c>
      <c r="AL57">
        <f>OR(AND(IF(Metadata!K57="",FALSE,TRUE),OR(exact(Metadata!K57,"not collected"),exact(Metadata!K57,"not provided"))),AND(IF(Metadata!K57="",FALSE,ISNUMBER(VALUE(Metadata!K57))),Metadata!K57&gt;0))</f>
        <v>0</v>
      </c>
      <c r="AM57">
        <f>AND(IF(Metadata!L57="",FALSE,TRUE),exact(Metadata!L57,"cm"))</f>
        <v>0</v>
      </c>
      <c r="AN57">
        <f>IF(Metadata!M57="",FALSE,TRUE)</f>
        <v>0</v>
      </c>
      <c r="AO57">
        <f>OR(AND(IF(Metadata!N57="",FALSE,TRUE),OR(exact(Metadata!N57,"not applicable"),exact(Metadata!N57,"not collected"),exact(Metadata!N57,"not provided"))),AND(IF(Metadata!N57="",FALSE,IF(ISERROR(INT(Metadata!N57)),FALSE,INT(Metadata!N57)=Metadata!N57)),Metadata!N57&gt;0))</f>
        <v>0</v>
      </c>
      <c r="AP57">
        <f>OR(AND(IF(Metadata!O57="",FALSE,TRUE),OR(exact(Metadata!O57,"not collected"),exact(Metadata!O57,"not provided"))),AND(IF(Metadata!O57="",FALSE,ISNUMBER(VALUE(Metadata!O57))),Metadata!O57&gt;0))</f>
        <v>0</v>
      </c>
      <c r="AQ57">
        <f>AND(IF(Metadata!P57="",FALSE,TRUE),exact(Metadata!P57,"kg"))</f>
        <v>0</v>
      </c>
      <c r="AR57">
        <f>OR(AND(IF(Metadata!Q57="",FALSE,TRUE),OR(exact(Metadata!Q57,"not applicable"),exact(Metadata!Q57,"not collected"),exact(Metadata!Q57,"not provided"),exact(Metadata!Q57,"restricted access"))),IF(Metadata!Q57="",FALSE,IF(ISERROR(INT(Metadata!Q57)),FALSE,INT(Metadata!Q57)=Metadata!Q57)))</f>
        <v>0</v>
      </c>
      <c r="AS57">
        <f>AND(IF(Metadata!R57="",FALSE,TRUE),exact(Metadata!R57,"Not applicable"))</f>
        <v>0</v>
      </c>
    </row>
    <row r="58" spans="1:45">
      <c r="A58" s="4">
        <f>IF(B58=" "," ",HYPERLINK(CONCATENATE("#metadata!",ADDRESS(INDEX($X$2:$X$1001,MATCH(ROWS($V$2:V58),$V$2:$V$1001,0),0),2)),INDEX($AA$2:$AA$1001,MATCH(ROWS($V$2:V58),$V$2:$V$1001,0),0)))</f>
        <v>0</v>
      </c>
      <c r="B58" s="5">
        <f>IF(OR(INDEX($W$2:$W$1001,MATCH(ROWS($V$2:V58),$V$2:$V$1001,0),1)&gt;=100000,INDEX($AC$1005:$AS$1005,1,MATCH(COLUMNS($AC$1006:AC1006),$AC$1006:$AS$1006,0))&gt;=100000), " ",IF(INDEX($AC$2:$AS$1001,MATCH(ROWS($V$2:V58),$V$2:$V$1001,0),MATCH(COLUMNS($AC$1006:AC1006),$AC$1006:$AS$1006,0)), HYPERLINK("#",""), HYPERLINK(CONCATENATE("#Metadata!", ADDRESS(INDEX($X$2:$X$1001,MATCH(ROWS($V$2:V58),$V$2:$V$1001,0),0), INDEX($AC$1004:$AS$1004,1,MATCH(COLUMNS($AC$1006:AC1006),$AC$1006:$AS$1006,0)))),"Fix")))</f>
        <v>0</v>
      </c>
      <c r="C58" s="5">
        <f>IF(OR(INDEX($W$2:$W$1001,MATCH(ROWS($V$2:V58),$V$2:$V$1001,0),1)&gt;=100000,INDEX($AC$1005:$AS$1005,1,MATCH(COLUMNS($AC$1006:AD1006),$AC$1006:$AS$1006,0))&gt;=100000), " ",IF(INDEX($AC$2:$AS$1001,MATCH(ROWS($V$2:V58),$V$2:$V$1001,0),MATCH(COLUMNS($AC$1006:AD1006),$AC$1006:$AS$1006,0)), HYPERLINK("#",""), HYPERLINK(CONCATENATE("#Metadata!", ADDRESS(INDEX($X$2:$X$1001,MATCH(ROWS($V$2:V58),$V$2:$V$1001,0),0), INDEX($AC$1004:$AS$1004,1,MATCH(COLUMNS($AC$1006:AD1006),$AC$1006:$AS$1006,0)))),"Fix")))</f>
        <v>0</v>
      </c>
      <c r="D58" s="5">
        <f>IF(OR(INDEX($W$2:$W$1001,MATCH(ROWS($V$2:V58),$V$2:$V$1001,0),1)&gt;=100000,INDEX($AC$1005:$AS$1005,1,MATCH(COLUMNS($AC$1006:AE1006),$AC$1006:$AS$1006,0))&gt;=100000), " ",IF(INDEX($AC$2:$AS$1001,MATCH(ROWS($V$2:V58),$V$2:$V$1001,0),MATCH(COLUMNS($AC$1006:AE1006),$AC$1006:$AS$1006,0)), HYPERLINK("#",""), HYPERLINK(CONCATENATE("#Metadata!", ADDRESS(INDEX($X$2:$X$1001,MATCH(ROWS($V$2:V58),$V$2:$V$1001,0),0), INDEX($AC$1004:$AS$1004,1,MATCH(COLUMNS($AC$1006:AE1006),$AC$1006:$AS$1006,0)))),"Fix")))</f>
        <v>0</v>
      </c>
      <c r="E58" s="5">
        <f>IF(OR(INDEX($W$2:$W$1001,MATCH(ROWS($V$2:V58),$V$2:$V$1001,0),1)&gt;=100000,INDEX($AC$1005:$AS$1005,1,MATCH(COLUMNS($AC$1006:AF1006),$AC$1006:$AS$1006,0))&gt;=100000), " ",IF(INDEX($AC$2:$AS$1001,MATCH(ROWS($V$2:V58),$V$2:$V$1001,0),MATCH(COLUMNS($AC$1006:AF1006),$AC$1006:$AS$1006,0)), HYPERLINK("#",""), HYPERLINK(CONCATENATE("#Metadata!", ADDRESS(INDEX($X$2:$X$1001,MATCH(ROWS($V$2:V58),$V$2:$V$1001,0),0), INDEX($AC$1004:$AS$1004,1,MATCH(COLUMNS($AC$1006:AF1006),$AC$1006:$AS$1006,0)))),"Fix")))</f>
        <v>0</v>
      </c>
      <c r="F58" s="5">
        <f>IF(OR(INDEX($W$2:$W$1001,MATCH(ROWS($V$2:V58),$V$2:$V$1001,0),1)&gt;=100000,INDEX($AC$1005:$AS$1005,1,MATCH(COLUMNS($AC$1006:AG1006),$AC$1006:$AS$1006,0))&gt;=100000), " ",IF(INDEX($AC$2:$AS$1001,MATCH(ROWS($V$2:V58),$V$2:$V$1001,0),MATCH(COLUMNS($AC$1006:AG1006),$AC$1006:$AS$1006,0)), HYPERLINK("#",""), HYPERLINK(CONCATENATE("#Metadata!", ADDRESS(INDEX($X$2:$X$1001,MATCH(ROWS($V$2:V58),$V$2:$V$1001,0),0), INDEX($AC$1004:$AS$1004,1,MATCH(COLUMNS($AC$1006:AG1006),$AC$1006:$AS$1006,0)))),"Fix")))</f>
        <v>0</v>
      </c>
      <c r="G58" s="5">
        <f>IF(OR(INDEX($W$2:$W$1001,MATCH(ROWS($V$2:V58),$V$2:$V$1001,0),1)&gt;=100000,INDEX($AC$1005:$AS$1005,1,MATCH(COLUMNS($AC$1006:AH1006),$AC$1006:$AS$1006,0))&gt;=100000), " ",IF(INDEX($AC$2:$AS$1001,MATCH(ROWS($V$2:V58),$V$2:$V$1001,0),MATCH(COLUMNS($AC$1006:AH1006),$AC$1006:$AS$1006,0)), HYPERLINK("#",""), HYPERLINK(CONCATENATE("#Metadata!", ADDRESS(INDEX($X$2:$X$1001,MATCH(ROWS($V$2:V58),$V$2:$V$1001,0),0), INDEX($AC$1004:$AS$1004,1,MATCH(COLUMNS($AC$1006:AH1006),$AC$1006:$AS$1006,0)))),"Fix")))</f>
        <v>0</v>
      </c>
      <c r="H58" s="5">
        <f>IF(OR(INDEX($W$2:$W$1001,MATCH(ROWS($V$2:V58),$V$2:$V$1001,0),1)&gt;=100000,INDEX($AC$1005:$AS$1005,1,MATCH(COLUMNS($AC$1006:AI1006),$AC$1006:$AS$1006,0))&gt;=100000), " ",IF(INDEX($AC$2:$AS$1001,MATCH(ROWS($V$2:V58),$V$2:$V$1001,0),MATCH(COLUMNS($AC$1006:AI1006),$AC$1006:$AS$1006,0)), HYPERLINK("#",""), HYPERLINK(CONCATENATE("#Metadata!", ADDRESS(INDEX($X$2:$X$1001,MATCH(ROWS($V$2:V58),$V$2:$V$1001,0),0), INDEX($AC$1004:$AS$1004,1,MATCH(COLUMNS($AC$1006:AI1006),$AC$1006:$AS$1006,0)))),"Fix")))</f>
        <v>0</v>
      </c>
      <c r="I58" s="5">
        <f>IF(OR(INDEX($W$2:$W$1001,MATCH(ROWS($V$2:V58),$V$2:$V$1001,0),1)&gt;=100000,INDEX($AC$1005:$AS$1005,1,MATCH(COLUMNS($AC$1006:AJ1006),$AC$1006:$AS$1006,0))&gt;=100000), " ",IF(INDEX($AC$2:$AS$1001,MATCH(ROWS($V$2:V58),$V$2:$V$1001,0),MATCH(COLUMNS($AC$1006:AJ1006),$AC$1006:$AS$1006,0)), HYPERLINK("#",""), HYPERLINK(CONCATENATE("#Metadata!", ADDRESS(INDEX($X$2:$X$1001,MATCH(ROWS($V$2:V58),$V$2:$V$1001,0),0), INDEX($AC$1004:$AS$1004,1,MATCH(COLUMNS($AC$1006:AJ1006),$AC$1006:$AS$1006,0)))),"Fix")))</f>
        <v>0</v>
      </c>
      <c r="J58" s="5">
        <f>IF(OR(INDEX($W$2:$W$1001,MATCH(ROWS($V$2:V58),$V$2:$V$1001,0),1)&gt;=100000,INDEX($AC$1005:$AS$1005,1,MATCH(COLUMNS($AC$1006:AK1006),$AC$1006:$AS$1006,0))&gt;=100000), " ",IF(INDEX($AC$2:$AS$1001,MATCH(ROWS($V$2:V58),$V$2:$V$1001,0),MATCH(COLUMNS($AC$1006:AK1006),$AC$1006:$AS$1006,0)), HYPERLINK("#",""), HYPERLINK(CONCATENATE("#Metadata!", ADDRESS(INDEX($X$2:$X$1001,MATCH(ROWS($V$2:V58),$V$2:$V$1001,0),0), INDEX($AC$1004:$AS$1004,1,MATCH(COLUMNS($AC$1006:AK1006),$AC$1006:$AS$1006,0)))),"Fix")))</f>
        <v>0</v>
      </c>
      <c r="K58" s="5">
        <f>IF(OR(INDEX($W$2:$W$1001,MATCH(ROWS($V$2:V58),$V$2:$V$1001,0),1)&gt;=100000,INDEX($AC$1005:$AS$1005,1,MATCH(COLUMNS($AC$1006:AL1006),$AC$1006:$AS$1006,0))&gt;=100000), " ",IF(INDEX($AC$2:$AS$1001,MATCH(ROWS($V$2:V58),$V$2:$V$1001,0),MATCH(COLUMNS($AC$1006:AL1006),$AC$1006:$AS$1006,0)), HYPERLINK("#",""), HYPERLINK(CONCATENATE("#Metadata!", ADDRESS(INDEX($X$2:$X$1001,MATCH(ROWS($V$2:V58),$V$2:$V$1001,0),0), INDEX($AC$1004:$AS$1004,1,MATCH(COLUMNS($AC$1006:AL1006),$AC$1006:$AS$1006,0)))),"Fix")))</f>
        <v>0</v>
      </c>
      <c r="L58" s="5">
        <f>IF(OR(INDEX($W$2:$W$1001,MATCH(ROWS($V$2:V58),$V$2:$V$1001,0),1)&gt;=100000,INDEX($AC$1005:$AS$1005,1,MATCH(COLUMNS($AC$1006:AM1006),$AC$1006:$AS$1006,0))&gt;=100000), " ",IF(INDEX($AC$2:$AS$1001,MATCH(ROWS($V$2:V58),$V$2:$V$1001,0),MATCH(COLUMNS($AC$1006:AM1006),$AC$1006:$AS$1006,0)), HYPERLINK("#",""), HYPERLINK(CONCATENATE("#Metadata!", ADDRESS(INDEX($X$2:$X$1001,MATCH(ROWS($V$2:V58),$V$2:$V$1001,0),0), INDEX($AC$1004:$AS$1004,1,MATCH(COLUMNS($AC$1006:AM1006),$AC$1006:$AS$1006,0)))),"Fix")))</f>
        <v>0</v>
      </c>
      <c r="M58" s="5">
        <f>IF(OR(INDEX($W$2:$W$1001,MATCH(ROWS($V$2:V58),$V$2:$V$1001,0),1)&gt;=100000,INDEX($AC$1005:$AS$1005,1,MATCH(COLUMNS($AC$1006:AN1006),$AC$1006:$AS$1006,0))&gt;=100000), " ",IF(INDEX($AC$2:$AS$1001,MATCH(ROWS($V$2:V58),$V$2:$V$1001,0),MATCH(COLUMNS($AC$1006:AN1006),$AC$1006:$AS$1006,0)), HYPERLINK("#",""), HYPERLINK(CONCATENATE("#Metadata!", ADDRESS(INDEX($X$2:$X$1001,MATCH(ROWS($V$2:V58),$V$2:$V$1001,0),0), INDEX($AC$1004:$AS$1004,1,MATCH(COLUMNS($AC$1006:AN1006),$AC$1006:$AS$1006,0)))),"Fix")))</f>
        <v>0</v>
      </c>
      <c r="N58" s="5">
        <f>IF(OR(INDEX($W$2:$W$1001,MATCH(ROWS($V$2:V58),$V$2:$V$1001,0),1)&gt;=100000,INDEX($AC$1005:$AS$1005,1,MATCH(COLUMNS($AC$1006:AO1006),$AC$1006:$AS$1006,0))&gt;=100000), " ",IF(INDEX($AC$2:$AS$1001,MATCH(ROWS($V$2:V58),$V$2:$V$1001,0),MATCH(COLUMNS($AC$1006:AO1006),$AC$1006:$AS$1006,0)), HYPERLINK("#",""), HYPERLINK(CONCATENATE("#Metadata!", ADDRESS(INDEX($X$2:$X$1001,MATCH(ROWS($V$2:V58),$V$2:$V$1001,0),0), INDEX($AC$1004:$AS$1004,1,MATCH(COLUMNS($AC$1006:AO1006),$AC$1006:$AS$1006,0)))),"Fix")))</f>
        <v>0</v>
      </c>
      <c r="O58" s="5">
        <f>IF(OR(INDEX($W$2:$W$1001,MATCH(ROWS($V$2:V58),$V$2:$V$1001,0),1)&gt;=100000,INDEX($AC$1005:$AS$1005,1,MATCH(COLUMNS($AC$1006:AP1006),$AC$1006:$AS$1006,0))&gt;=100000), " ",IF(INDEX($AC$2:$AS$1001,MATCH(ROWS($V$2:V58),$V$2:$V$1001,0),MATCH(COLUMNS($AC$1006:AP1006),$AC$1006:$AS$1006,0)), HYPERLINK("#",""), HYPERLINK(CONCATENATE("#Metadata!", ADDRESS(INDEX($X$2:$X$1001,MATCH(ROWS($V$2:V58),$V$2:$V$1001,0),0), INDEX($AC$1004:$AS$1004,1,MATCH(COLUMNS($AC$1006:AP1006),$AC$1006:$AS$1006,0)))),"Fix")))</f>
        <v>0</v>
      </c>
      <c r="P58" s="5">
        <f>IF(OR(INDEX($W$2:$W$1001,MATCH(ROWS($V$2:V58),$V$2:$V$1001,0),1)&gt;=100000,INDEX($AC$1005:$AS$1005,1,MATCH(COLUMNS($AC$1006:AQ1006),$AC$1006:$AS$1006,0))&gt;=100000), " ",IF(INDEX($AC$2:$AS$1001,MATCH(ROWS($V$2:V58),$V$2:$V$1001,0),MATCH(COLUMNS($AC$1006:AQ1006),$AC$1006:$AS$1006,0)), HYPERLINK("#",""), HYPERLINK(CONCATENATE("#Metadata!", ADDRESS(INDEX($X$2:$X$1001,MATCH(ROWS($V$2:V58),$V$2:$V$1001,0),0), INDEX($AC$1004:$AS$1004,1,MATCH(COLUMNS($AC$1006:AQ1006),$AC$1006:$AS$1006,0)))),"Fix")))</f>
        <v>0</v>
      </c>
      <c r="Q58" s="5">
        <f>IF(OR(INDEX($W$2:$W$1001,MATCH(ROWS($V$2:V58),$V$2:$V$1001,0),1)&gt;=100000,INDEX($AC$1005:$AS$1005,1,MATCH(COLUMNS($AC$1006:AR1006),$AC$1006:$AS$1006,0))&gt;=100000), " ",IF(INDEX($AC$2:$AS$1001,MATCH(ROWS($V$2:V58),$V$2:$V$1001,0),MATCH(COLUMNS($AC$1006:AR1006),$AC$1006:$AS$1006,0)), HYPERLINK("#",""), HYPERLINK(CONCATENATE("#Metadata!", ADDRESS(INDEX($X$2:$X$1001,MATCH(ROWS($V$2:V58),$V$2:$V$1001,0),0), INDEX($AC$1004:$AS$1004,1,MATCH(COLUMNS($AC$1006:AR1006),$AC$1006:$AS$1006,0)))),"Fix")))</f>
        <v>0</v>
      </c>
      <c r="R58" s="5">
        <f>IF(OR(INDEX($W$2:$W$1001,MATCH(ROWS($V$2:V58),$V$2:$V$1001,0),1)&gt;=100000,INDEX($AC$1005:$AS$1005,1,MATCH(COLUMNS($AC$1006:AS1006),$AC$1006:$AS$1006,0))&gt;=100000), " ",IF(INDEX($AC$2:$AS$1001,MATCH(ROWS($V$2:V58),$V$2:$V$1001,0),MATCH(COLUMNS($AC$1006:AS1006),$AC$1006:$AS$1006,0)), HYPERLINK("#",""), HYPERLINK(CONCATENATE("#Metadata!", ADDRESS(INDEX($X$2:$X$1001,MATCH(ROWS($V$2:V58),$V$2:$V$1001,0),0), INDEX($AC$1004:$AS$1004,1,MATCH(COLUMNS($AC$1006:AS1006),$AC$1006:$AS$1006,0)))),"Fix")))</f>
        <v>0</v>
      </c>
      <c r="V58">
        <v>0</v>
      </c>
      <c r="W58">
        <v>0</v>
      </c>
      <c r="X58">
        <v>0</v>
      </c>
      <c r="Y58">
        <f>IF(Z58,TRUE,AND(AC58:AS58))</f>
        <v>0</v>
      </c>
      <c r="Z58">
        <f>COUNTBLANK(Metadata!B58:R58)=COLUMNS(Metadata!B58:R58)</f>
        <v>0</v>
      </c>
      <c r="AA58">
        <v>0</v>
      </c>
      <c r="AC58">
        <f>AND(IF(Metadata!B58="",FALSE,TRUE),COUNTIF(Metadata!B:B, Metadata!B58) = 1,NOT(ISERROR(SUMPRODUCT(SEARCH(MID(Metadata!B58,ROW(INDIRECT("1:"&amp;LEN(Metadata!B58))), 1),"0123456789abcdefghijklmnopqrstuvwxyzABCDEFGHIJKLMNOPQRSTUVWXYZ.")))))</f>
        <v>0</v>
      </c>
      <c r="AD58">
        <f>AND(IF(Metadata!C58="",FALSE,TRUE),exact(Metadata!C58,"Host-associated"))</f>
        <v>0</v>
      </c>
      <c r="AE58">
        <f>AND(IF(Metadata!D58="",FALSE,TRUE),OR(exact(Metadata!D58,"Animal"),exact(Metadata!D58,"Fungus"),exact(Metadata!D58,"Plant")))</f>
        <v>0</v>
      </c>
      <c r="AF58">
        <f>AND(IF(Metadata!E58="",FALSE,TRUE),OR(exact(Metadata!E58,"Plant secretion"),exact(Metadata!E58,"Plant rhizosphere"),exact(Metadata!E58,"Plant surface"),exact(Metadata!E58,"Plant corpus"),exact(Metadata!E58,"Fungus surface"),exact(Metadata!E58,"Fungus corpus"),exact(Metadata!E58,"Animal surface"),exact(Metadata!E58,"Animal proximal gut"),exact(Metadata!E58,"Animal corpus"),exact(Metadata!E58,"Animal distal gut"),exact(Metadata!E58,"Animal secretion")))</f>
        <v>0</v>
      </c>
      <c r="AG58">
        <f>OR(AND(IF(Metadata!F58="",FALSE,TRUE),OR(exact(Metadata!F58,"not collected"),exact(Metadata!F58,"not provided"),exact(Metadata!F58,"restricted access"))),AND(IF(Metadata!F58="",FALSE,TRUE),OR(exact(Metadata!F58,"organism-associated habitat"),exact(Metadata!F58,"plant-associated habitat"),exact(Metadata!F58,"animal-associated habitat"),exact(Metadata!F58,"insecta-associated habitat"),exact(Metadata!F58,"mammalia-associated habitat"),exact(Metadata!F58,"human-associated habitat"),exact(Metadata!F58,"livestock-associated habitat"))))</f>
        <v>0</v>
      </c>
      <c r="AH58">
        <f>AND(IF(Metadata!G58="",FALSE,TRUE),exact(Metadata!G58,"host-associated"))</f>
        <v>0</v>
      </c>
      <c r="AI58">
        <f>OR(AND(IF(Metadata!H58="",FALSE,TRUE),OR(exact(Metadata!H58,"not collected"),exact(Metadata!H58,"not provided"))),AND(IF(Metadata!H58="",FALSE,ISNUMBER(VALUE(Metadata!H58))),Metadata!H58&gt;0))</f>
        <v>0</v>
      </c>
      <c r="AJ58">
        <f>AND(IF(Metadata!I58="",FALSE,TRUE),exact(Metadata!I58,"years"))</f>
        <v>0</v>
      </c>
      <c r="AK58">
        <f>IF(Metadata!J58="",FALSE,TRUE)</f>
        <v>0</v>
      </c>
      <c r="AL58">
        <f>OR(AND(IF(Metadata!K58="",FALSE,TRUE),OR(exact(Metadata!K58,"not collected"),exact(Metadata!K58,"not provided"))),AND(IF(Metadata!K58="",FALSE,ISNUMBER(VALUE(Metadata!K58))),Metadata!K58&gt;0))</f>
        <v>0</v>
      </c>
      <c r="AM58">
        <f>AND(IF(Metadata!L58="",FALSE,TRUE),exact(Metadata!L58,"cm"))</f>
        <v>0</v>
      </c>
      <c r="AN58">
        <f>IF(Metadata!M58="",FALSE,TRUE)</f>
        <v>0</v>
      </c>
      <c r="AO58">
        <f>OR(AND(IF(Metadata!N58="",FALSE,TRUE),OR(exact(Metadata!N58,"not applicable"),exact(Metadata!N58,"not collected"),exact(Metadata!N58,"not provided"))),AND(IF(Metadata!N58="",FALSE,IF(ISERROR(INT(Metadata!N58)),FALSE,INT(Metadata!N58)=Metadata!N58)),Metadata!N58&gt;0))</f>
        <v>0</v>
      </c>
      <c r="AP58">
        <f>OR(AND(IF(Metadata!O58="",FALSE,TRUE),OR(exact(Metadata!O58,"not collected"),exact(Metadata!O58,"not provided"))),AND(IF(Metadata!O58="",FALSE,ISNUMBER(VALUE(Metadata!O58))),Metadata!O58&gt;0))</f>
        <v>0</v>
      </c>
      <c r="AQ58">
        <f>AND(IF(Metadata!P58="",FALSE,TRUE),exact(Metadata!P58,"kg"))</f>
        <v>0</v>
      </c>
      <c r="AR58">
        <f>OR(AND(IF(Metadata!Q58="",FALSE,TRUE),OR(exact(Metadata!Q58,"not applicable"),exact(Metadata!Q58,"not collected"),exact(Metadata!Q58,"not provided"),exact(Metadata!Q58,"restricted access"))),IF(Metadata!Q58="",FALSE,IF(ISERROR(INT(Metadata!Q58)),FALSE,INT(Metadata!Q58)=Metadata!Q58)))</f>
        <v>0</v>
      </c>
      <c r="AS58">
        <f>AND(IF(Metadata!R58="",FALSE,TRUE),exact(Metadata!R58,"Not applicable"))</f>
        <v>0</v>
      </c>
    </row>
    <row r="59" spans="1:45">
      <c r="A59" s="4">
        <f>IF(B59=" "," ",HYPERLINK(CONCATENATE("#metadata!",ADDRESS(INDEX($X$2:$X$1001,MATCH(ROWS($V$2:V59),$V$2:$V$1001,0),0),2)),INDEX($AA$2:$AA$1001,MATCH(ROWS($V$2:V59),$V$2:$V$1001,0),0)))</f>
        <v>0</v>
      </c>
      <c r="B59" s="5">
        <f>IF(OR(INDEX($W$2:$W$1001,MATCH(ROWS($V$2:V59),$V$2:$V$1001,0),1)&gt;=100000,INDEX($AC$1005:$AS$1005,1,MATCH(COLUMNS($AC$1006:AC1006),$AC$1006:$AS$1006,0))&gt;=100000), " ",IF(INDEX($AC$2:$AS$1001,MATCH(ROWS($V$2:V59),$V$2:$V$1001,0),MATCH(COLUMNS($AC$1006:AC1006),$AC$1006:$AS$1006,0)), HYPERLINK("#",""), HYPERLINK(CONCATENATE("#Metadata!", ADDRESS(INDEX($X$2:$X$1001,MATCH(ROWS($V$2:V59),$V$2:$V$1001,0),0), INDEX($AC$1004:$AS$1004,1,MATCH(COLUMNS($AC$1006:AC1006),$AC$1006:$AS$1006,0)))),"Fix")))</f>
        <v>0</v>
      </c>
      <c r="C59" s="5">
        <f>IF(OR(INDEX($W$2:$W$1001,MATCH(ROWS($V$2:V59),$V$2:$V$1001,0),1)&gt;=100000,INDEX($AC$1005:$AS$1005,1,MATCH(COLUMNS($AC$1006:AD1006),$AC$1006:$AS$1006,0))&gt;=100000), " ",IF(INDEX($AC$2:$AS$1001,MATCH(ROWS($V$2:V59),$V$2:$V$1001,0),MATCH(COLUMNS($AC$1006:AD1006),$AC$1006:$AS$1006,0)), HYPERLINK("#",""), HYPERLINK(CONCATENATE("#Metadata!", ADDRESS(INDEX($X$2:$X$1001,MATCH(ROWS($V$2:V59),$V$2:$V$1001,0),0), INDEX($AC$1004:$AS$1004,1,MATCH(COLUMNS($AC$1006:AD1006),$AC$1006:$AS$1006,0)))),"Fix")))</f>
        <v>0</v>
      </c>
      <c r="D59" s="5">
        <f>IF(OR(INDEX($W$2:$W$1001,MATCH(ROWS($V$2:V59),$V$2:$V$1001,0),1)&gt;=100000,INDEX($AC$1005:$AS$1005,1,MATCH(COLUMNS($AC$1006:AE1006),$AC$1006:$AS$1006,0))&gt;=100000), " ",IF(INDEX($AC$2:$AS$1001,MATCH(ROWS($V$2:V59),$V$2:$V$1001,0),MATCH(COLUMNS($AC$1006:AE1006),$AC$1006:$AS$1006,0)), HYPERLINK("#",""), HYPERLINK(CONCATENATE("#Metadata!", ADDRESS(INDEX($X$2:$X$1001,MATCH(ROWS($V$2:V59),$V$2:$V$1001,0),0), INDEX($AC$1004:$AS$1004,1,MATCH(COLUMNS($AC$1006:AE1006),$AC$1006:$AS$1006,0)))),"Fix")))</f>
        <v>0</v>
      </c>
      <c r="E59" s="5">
        <f>IF(OR(INDEX($W$2:$W$1001,MATCH(ROWS($V$2:V59),$V$2:$V$1001,0),1)&gt;=100000,INDEX($AC$1005:$AS$1005,1,MATCH(COLUMNS($AC$1006:AF1006),$AC$1006:$AS$1006,0))&gt;=100000), " ",IF(INDEX($AC$2:$AS$1001,MATCH(ROWS($V$2:V59),$V$2:$V$1001,0),MATCH(COLUMNS($AC$1006:AF1006),$AC$1006:$AS$1006,0)), HYPERLINK("#",""), HYPERLINK(CONCATENATE("#Metadata!", ADDRESS(INDEX($X$2:$X$1001,MATCH(ROWS($V$2:V59),$V$2:$V$1001,0),0), INDEX($AC$1004:$AS$1004,1,MATCH(COLUMNS($AC$1006:AF1006),$AC$1006:$AS$1006,0)))),"Fix")))</f>
        <v>0</v>
      </c>
      <c r="F59" s="5">
        <f>IF(OR(INDEX($W$2:$W$1001,MATCH(ROWS($V$2:V59),$V$2:$V$1001,0),1)&gt;=100000,INDEX($AC$1005:$AS$1005,1,MATCH(COLUMNS($AC$1006:AG1006),$AC$1006:$AS$1006,0))&gt;=100000), " ",IF(INDEX($AC$2:$AS$1001,MATCH(ROWS($V$2:V59),$V$2:$V$1001,0),MATCH(COLUMNS($AC$1006:AG1006),$AC$1006:$AS$1006,0)), HYPERLINK("#",""), HYPERLINK(CONCATENATE("#Metadata!", ADDRESS(INDEX($X$2:$X$1001,MATCH(ROWS($V$2:V59),$V$2:$V$1001,0),0), INDEX($AC$1004:$AS$1004,1,MATCH(COLUMNS($AC$1006:AG1006),$AC$1006:$AS$1006,0)))),"Fix")))</f>
        <v>0</v>
      </c>
      <c r="G59" s="5">
        <f>IF(OR(INDEX($W$2:$W$1001,MATCH(ROWS($V$2:V59),$V$2:$V$1001,0),1)&gt;=100000,INDEX($AC$1005:$AS$1005,1,MATCH(COLUMNS($AC$1006:AH1006),$AC$1006:$AS$1006,0))&gt;=100000), " ",IF(INDEX($AC$2:$AS$1001,MATCH(ROWS($V$2:V59),$V$2:$V$1001,0),MATCH(COLUMNS($AC$1006:AH1006),$AC$1006:$AS$1006,0)), HYPERLINK("#",""), HYPERLINK(CONCATENATE("#Metadata!", ADDRESS(INDEX($X$2:$X$1001,MATCH(ROWS($V$2:V59),$V$2:$V$1001,0),0), INDEX($AC$1004:$AS$1004,1,MATCH(COLUMNS($AC$1006:AH1006),$AC$1006:$AS$1006,0)))),"Fix")))</f>
        <v>0</v>
      </c>
      <c r="H59" s="5">
        <f>IF(OR(INDEX($W$2:$W$1001,MATCH(ROWS($V$2:V59),$V$2:$V$1001,0),1)&gt;=100000,INDEX($AC$1005:$AS$1005,1,MATCH(COLUMNS($AC$1006:AI1006),$AC$1006:$AS$1006,0))&gt;=100000), " ",IF(INDEX($AC$2:$AS$1001,MATCH(ROWS($V$2:V59),$V$2:$V$1001,0),MATCH(COLUMNS($AC$1006:AI1006),$AC$1006:$AS$1006,0)), HYPERLINK("#",""), HYPERLINK(CONCATENATE("#Metadata!", ADDRESS(INDEX($X$2:$X$1001,MATCH(ROWS($V$2:V59),$V$2:$V$1001,0),0), INDEX($AC$1004:$AS$1004,1,MATCH(COLUMNS($AC$1006:AI1006),$AC$1006:$AS$1006,0)))),"Fix")))</f>
        <v>0</v>
      </c>
      <c r="I59" s="5">
        <f>IF(OR(INDEX($W$2:$W$1001,MATCH(ROWS($V$2:V59),$V$2:$V$1001,0),1)&gt;=100000,INDEX($AC$1005:$AS$1005,1,MATCH(COLUMNS($AC$1006:AJ1006),$AC$1006:$AS$1006,0))&gt;=100000), " ",IF(INDEX($AC$2:$AS$1001,MATCH(ROWS($V$2:V59),$V$2:$V$1001,0),MATCH(COLUMNS($AC$1006:AJ1006),$AC$1006:$AS$1006,0)), HYPERLINK("#",""), HYPERLINK(CONCATENATE("#Metadata!", ADDRESS(INDEX($X$2:$X$1001,MATCH(ROWS($V$2:V59),$V$2:$V$1001,0),0), INDEX($AC$1004:$AS$1004,1,MATCH(COLUMNS($AC$1006:AJ1006),$AC$1006:$AS$1006,0)))),"Fix")))</f>
        <v>0</v>
      </c>
      <c r="J59" s="5">
        <f>IF(OR(INDEX($W$2:$W$1001,MATCH(ROWS($V$2:V59),$V$2:$V$1001,0),1)&gt;=100000,INDEX($AC$1005:$AS$1005,1,MATCH(COLUMNS($AC$1006:AK1006),$AC$1006:$AS$1006,0))&gt;=100000), " ",IF(INDEX($AC$2:$AS$1001,MATCH(ROWS($V$2:V59),$V$2:$V$1001,0),MATCH(COLUMNS($AC$1006:AK1006),$AC$1006:$AS$1006,0)), HYPERLINK("#",""), HYPERLINK(CONCATENATE("#Metadata!", ADDRESS(INDEX($X$2:$X$1001,MATCH(ROWS($V$2:V59),$V$2:$V$1001,0),0), INDEX($AC$1004:$AS$1004,1,MATCH(COLUMNS($AC$1006:AK1006),$AC$1006:$AS$1006,0)))),"Fix")))</f>
        <v>0</v>
      </c>
      <c r="K59" s="5">
        <f>IF(OR(INDEX($W$2:$W$1001,MATCH(ROWS($V$2:V59),$V$2:$V$1001,0),1)&gt;=100000,INDEX($AC$1005:$AS$1005,1,MATCH(COLUMNS($AC$1006:AL1006),$AC$1006:$AS$1006,0))&gt;=100000), " ",IF(INDEX($AC$2:$AS$1001,MATCH(ROWS($V$2:V59),$V$2:$V$1001,0),MATCH(COLUMNS($AC$1006:AL1006),$AC$1006:$AS$1006,0)), HYPERLINK("#",""), HYPERLINK(CONCATENATE("#Metadata!", ADDRESS(INDEX($X$2:$X$1001,MATCH(ROWS($V$2:V59),$V$2:$V$1001,0),0), INDEX($AC$1004:$AS$1004,1,MATCH(COLUMNS($AC$1006:AL1006),$AC$1006:$AS$1006,0)))),"Fix")))</f>
        <v>0</v>
      </c>
      <c r="L59" s="5">
        <f>IF(OR(INDEX($W$2:$W$1001,MATCH(ROWS($V$2:V59),$V$2:$V$1001,0),1)&gt;=100000,INDEX($AC$1005:$AS$1005,1,MATCH(COLUMNS($AC$1006:AM1006),$AC$1006:$AS$1006,0))&gt;=100000), " ",IF(INDEX($AC$2:$AS$1001,MATCH(ROWS($V$2:V59),$V$2:$V$1001,0),MATCH(COLUMNS($AC$1006:AM1006),$AC$1006:$AS$1006,0)), HYPERLINK("#",""), HYPERLINK(CONCATENATE("#Metadata!", ADDRESS(INDEX($X$2:$X$1001,MATCH(ROWS($V$2:V59),$V$2:$V$1001,0),0), INDEX($AC$1004:$AS$1004,1,MATCH(COLUMNS($AC$1006:AM1006),$AC$1006:$AS$1006,0)))),"Fix")))</f>
        <v>0</v>
      </c>
      <c r="M59" s="5">
        <f>IF(OR(INDEX($W$2:$W$1001,MATCH(ROWS($V$2:V59),$V$2:$V$1001,0),1)&gt;=100000,INDEX($AC$1005:$AS$1005,1,MATCH(COLUMNS($AC$1006:AN1006),$AC$1006:$AS$1006,0))&gt;=100000), " ",IF(INDEX($AC$2:$AS$1001,MATCH(ROWS($V$2:V59),$V$2:$V$1001,0),MATCH(COLUMNS($AC$1006:AN1006),$AC$1006:$AS$1006,0)), HYPERLINK("#",""), HYPERLINK(CONCATENATE("#Metadata!", ADDRESS(INDEX($X$2:$X$1001,MATCH(ROWS($V$2:V59),$V$2:$V$1001,0),0), INDEX($AC$1004:$AS$1004,1,MATCH(COLUMNS($AC$1006:AN1006),$AC$1006:$AS$1006,0)))),"Fix")))</f>
        <v>0</v>
      </c>
      <c r="N59" s="5">
        <f>IF(OR(INDEX($W$2:$W$1001,MATCH(ROWS($V$2:V59),$V$2:$V$1001,0),1)&gt;=100000,INDEX($AC$1005:$AS$1005,1,MATCH(COLUMNS($AC$1006:AO1006),$AC$1006:$AS$1006,0))&gt;=100000), " ",IF(INDEX($AC$2:$AS$1001,MATCH(ROWS($V$2:V59),$V$2:$V$1001,0),MATCH(COLUMNS($AC$1006:AO1006),$AC$1006:$AS$1006,0)), HYPERLINK("#",""), HYPERLINK(CONCATENATE("#Metadata!", ADDRESS(INDEX($X$2:$X$1001,MATCH(ROWS($V$2:V59),$V$2:$V$1001,0),0), INDEX($AC$1004:$AS$1004,1,MATCH(COLUMNS($AC$1006:AO1006),$AC$1006:$AS$1006,0)))),"Fix")))</f>
        <v>0</v>
      </c>
      <c r="O59" s="5">
        <f>IF(OR(INDEX($W$2:$W$1001,MATCH(ROWS($V$2:V59),$V$2:$V$1001,0),1)&gt;=100000,INDEX($AC$1005:$AS$1005,1,MATCH(COLUMNS($AC$1006:AP1006),$AC$1006:$AS$1006,0))&gt;=100000), " ",IF(INDEX($AC$2:$AS$1001,MATCH(ROWS($V$2:V59),$V$2:$V$1001,0),MATCH(COLUMNS($AC$1006:AP1006),$AC$1006:$AS$1006,0)), HYPERLINK("#",""), HYPERLINK(CONCATENATE("#Metadata!", ADDRESS(INDEX($X$2:$X$1001,MATCH(ROWS($V$2:V59),$V$2:$V$1001,0),0), INDEX($AC$1004:$AS$1004,1,MATCH(COLUMNS($AC$1006:AP1006),$AC$1006:$AS$1006,0)))),"Fix")))</f>
        <v>0</v>
      </c>
      <c r="P59" s="5">
        <f>IF(OR(INDEX($W$2:$W$1001,MATCH(ROWS($V$2:V59),$V$2:$V$1001,0),1)&gt;=100000,INDEX($AC$1005:$AS$1005,1,MATCH(COLUMNS($AC$1006:AQ1006),$AC$1006:$AS$1006,0))&gt;=100000), " ",IF(INDEX($AC$2:$AS$1001,MATCH(ROWS($V$2:V59),$V$2:$V$1001,0),MATCH(COLUMNS($AC$1006:AQ1006),$AC$1006:$AS$1006,0)), HYPERLINK("#",""), HYPERLINK(CONCATENATE("#Metadata!", ADDRESS(INDEX($X$2:$X$1001,MATCH(ROWS($V$2:V59),$V$2:$V$1001,0),0), INDEX($AC$1004:$AS$1004,1,MATCH(COLUMNS($AC$1006:AQ1006),$AC$1006:$AS$1006,0)))),"Fix")))</f>
        <v>0</v>
      </c>
      <c r="Q59" s="5">
        <f>IF(OR(INDEX($W$2:$W$1001,MATCH(ROWS($V$2:V59),$V$2:$V$1001,0),1)&gt;=100000,INDEX($AC$1005:$AS$1005,1,MATCH(COLUMNS($AC$1006:AR1006),$AC$1006:$AS$1006,0))&gt;=100000), " ",IF(INDEX($AC$2:$AS$1001,MATCH(ROWS($V$2:V59),$V$2:$V$1001,0),MATCH(COLUMNS($AC$1006:AR1006),$AC$1006:$AS$1006,0)), HYPERLINK("#",""), HYPERLINK(CONCATENATE("#Metadata!", ADDRESS(INDEX($X$2:$X$1001,MATCH(ROWS($V$2:V59),$V$2:$V$1001,0),0), INDEX($AC$1004:$AS$1004,1,MATCH(COLUMNS($AC$1006:AR1006),$AC$1006:$AS$1006,0)))),"Fix")))</f>
        <v>0</v>
      </c>
      <c r="R59" s="5">
        <f>IF(OR(INDEX($W$2:$W$1001,MATCH(ROWS($V$2:V59),$V$2:$V$1001,0),1)&gt;=100000,INDEX($AC$1005:$AS$1005,1,MATCH(COLUMNS($AC$1006:AS1006),$AC$1006:$AS$1006,0))&gt;=100000), " ",IF(INDEX($AC$2:$AS$1001,MATCH(ROWS($V$2:V59),$V$2:$V$1001,0),MATCH(COLUMNS($AC$1006:AS1006),$AC$1006:$AS$1006,0)), HYPERLINK("#",""), HYPERLINK(CONCATENATE("#Metadata!", ADDRESS(INDEX($X$2:$X$1001,MATCH(ROWS($V$2:V59),$V$2:$V$1001,0),0), INDEX($AC$1004:$AS$1004,1,MATCH(COLUMNS($AC$1006:AS1006),$AC$1006:$AS$1006,0)))),"Fix")))</f>
        <v>0</v>
      </c>
      <c r="V59">
        <v>0</v>
      </c>
      <c r="W59">
        <v>0</v>
      </c>
      <c r="X59">
        <v>0</v>
      </c>
      <c r="Y59">
        <f>IF(Z59,TRUE,AND(AC59:AS59))</f>
        <v>0</v>
      </c>
      <c r="Z59">
        <f>COUNTBLANK(Metadata!B59:R59)=COLUMNS(Metadata!B59:R59)</f>
        <v>0</v>
      </c>
      <c r="AA59">
        <v>0</v>
      </c>
      <c r="AC59">
        <f>AND(IF(Metadata!B59="",FALSE,TRUE),COUNTIF(Metadata!B:B, Metadata!B59) = 1,NOT(ISERROR(SUMPRODUCT(SEARCH(MID(Metadata!B59,ROW(INDIRECT("1:"&amp;LEN(Metadata!B59))), 1),"0123456789abcdefghijklmnopqrstuvwxyzABCDEFGHIJKLMNOPQRSTUVWXYZ.")))))</f>
        <v>0</v>
      </c>
      <c r="AD59">
        <f>AND(IF(Metadata!C59="",FALSE,TRUE),exact(Metadata!C59,"Host-associated"))</f>
        <v>0</v>
      </c>
      <c r="AE59">
        <f>AND(IF(Metadata!D59="",FALSE,TRUE),OR(exact(Metadata!D59,"Animal"),exact(Metadata!D59,"Fungus"),exact(Metadata!D59,"Plant")))</f>
        <v>0</v>
      </c>
      <c r="AF59">
        <f>AND(IF(Metadata!E59="",FALSE,TRUE),OR(exact(Metadata!E59,"Plant secretion"),exact(Metadata!E59,"Plant rhizosphere"),exact(Metadata!E59,"Plant surface"),exact(Metadata!E59,"Plant corpus"),exact(Metadata!E59,"Fungus surface"),exact(Metadata!E59,"Fungus corpus"),exact(Metadata!E59,"Animal surface"),exact(Metadata!E59,"Animal proximal gut"),exact(Metadata!E59,"Animal corpus"),exact(Metadata!E59,"Animal distal gut"),exact(Metadata!E59,"Animal secretion")))</f>
        <v>0</v>
      </c>
      <c r="AG59">
        <f>OR(AND(IF(Metadata!F59="",FALSE,TRUE),OR(exact(Metadata!F59,"not collected"),exact(Metadata!F59,"not provided"),exact(Metadata!F59,"restricted access"))),AND(IF(Metadata!F59="",FALSE,TRUE),OR(exact(Metadata!F59,"organism-associated habitat"),exact(Metadata!F59,"plant-associated habitat"),exact(Metadata!F59,"animal-associated habitat"),exact(Metadata!F59,"insecta-associated habitat"),exact(Metadata!F59,"mammalia-associated habitat"),exact(Metadata!F59,"human-associated habitat"),exact(Metadata!F59,"livestock-associated habitat"))))</f>
        <v>0</v>
      </c>
      <c r="AH59">
        <f>AND(IF(Metadata!G59="",FALSE,TRUE),exact(Metadata!G59,"host-associated"))</f>
        <v>0</v>
      </c>
      <c r="AI59">
        <f>OR(AND(IF(Metadata!H59="",FALSE,TRUE),OR(exact(Metadata!H59,"not collected"),exact(Metadata!H59,"not provided"))),AND(IF(Metadata!H59="",FALSE,ISNUMBER(VALUE(Metadata!H59))),Metadata!H59&gt;0))</f>
        <v>0</v>
      </c>
      <c r="AJ59">
        <f>AND(IF(Metadata!I59="",FALSE,TRUE),exact(Metadata!I59,"years"))</f>
        <v>0</v>
      </c>
      <c r="AK59">
        <f>IF(Metadata!J59="",FALSE,TRUE)</f>
        <v>0</v>
      </c>
      <c r="AL59">
        <f>OR(AND(IF(Metadata!K59="",FALSE,TRUE),OR(exact(Metadata!K59,"not collected"),exact(Metadata!K59,"not provided"))),AND(IF(Metadata!K59="",FALSE,ISNUMBER(VALUE(Metadata!K59))),Metadata!K59&gt;0))</f>
        <v>0</v>
      </c>
      <c r="AM59">
        <f>AND(IF(Metadata!L59="",FALSE,TRUE),exact(Metadata!L59,"cm"))</f>
        <v>0</v>
      </c>
      <c r="AN59">
        <f>IF(Metadata!M59="",FALSE,TRUE)</f>
        <v>0</v>
      </c>
      <c r="AO59">
        <f>OR(AND(IF(Metadata!N59="",FALSE,TRUE),OR(exact(Metadata!N59,"not applicable"),exact(Metadata!N59,"not collected"),exact(Metadata!N59,"not provided"))),AND(IF(Metadata!N59="",FALSE,IF(ISERROR(INT(Metadata!N59)),FALSE,INT(Metadata!N59)=Metadata!N59)),Metadata!N59&gt;0))</f>
        <v>0</v>
      </c>
      <c r="AP59">
        <f>OR(AND(IF(Metadata!O59="",FALSE,TRUE),OR(exact(Metadata!O59,"not collected"),exact(Metadata!O59,"not provided"))),AND(IF(Metadata!O59="",FALSE,ISNUMBER(VALUE(Metadata!O59))),Metadata!O59&gt;0))</f>
        <v>0</v>
      </c>
      <c r="AQ59">
        <f>AND(IF(Metadata!P59="",FALSE,TRUE),exact(Metadata!P59,"kg"))</f>
        <v>0</v>
      </c>
      <c r="AR59">
        <f>OR(AND(IF(Metadata!Q59="",FALSE,TRUE),OR(exact(Metadata!Q59,"not applicable"),exact(Metadata!Q59,"not collected"),exact(Metadata!Q59,"not provided"),exact(Metadata!Q59,"restricted access"))),IF(Metadata!Q59="",FALSE,IF(ISERROR(INT(Metadata!Q59)),FALSE,INT(Metadata!Q59)=Metadata!Q59)))</f>
        <v>0</v>
      </c>
      <c r="AS59">
        <f>AND(IF(Metadata!R59="",FALSE,TRUE),exact(Metadata!R59,"Not applicable"))</f>
        <v>0</v>
      </c>
    </row>
    <row r="60" spans="1:45">
      <c r="A60" s="4">
        <f>IF(B60=" "," ",HYPERLINK(CONCATENATE("#metadata!",ADDRESS(INDEX($X$2:$X$1001,MATCH(ROWS($V$2:V60),$V$2:$V$1001,0),0),2)),INDEX($AA$2:$AA$1001,MATCH(ROWS($V$2:V60),$V$2:$V$1001,0),0)))</f>
        <v>0</v>
      </c>
      <c r="B60" s="5">
        <f>IF(OR(INDEX($W$2:$W$1001,MATCH(ROWS($V$2:V60),$V$2:$V$1001,0),1)&gt;=100000,INDEX($AC$1005:$AS$1005,1,MATCH(COLUMNS($AC$1006:AC1006),$AC$1006:$AS$1006,0))&gt;=100000), " ",IF(INDEX($AC$2:$AS$1001,MATCH(ROWS($V$2:V60),$V$2:$V$1001,0),MATCH(COLUMNS($AC$1006:AC1006),$AC$1006:$AS$1006,0)), HYPERLINK("#",""), HYPERLINK(CONCATENATE("#Metadata!", ADDRESS(INDEX($X$2:$X$1001,MATCH(ROWS($V$2:V60),$V$2:$V$1001,0),0), INDEX($AC$1004:$AS$1004,1,MATCH(COLUMNS($AC$1006:AC1006),$AC$1006:$AS$1006,0)))),"Fix")))</f>
        <v>0</v>
      </c>
      <c r="C60" s="5">
        <f>IF(OR(INDEX($W$2:$W$1001,MATCH(ROWS($V$2:V60),$V$2:$V$1001,0),1)&gt;=100000,INDEX($AC$1005:$AS$1005,1,MATCH(COLUMNS($AC$1006:AD1006),$AC$1006:$AS$1006,0))&gt;=100000), " ",IF(INDEX($AC$2:$AS$1001,MATCH(ROWS($V$2:V60),$V$2:$V$1001,0),MATCH(COLUMNS($AC$1006:AD1006),$AC$1006:$AS$1006,0)), HYPERLINK("#",""), HYPERLINK(CONCATENATE("#Metadata!", ADDRESS(INDEX($X$2:$X$1001,MATCH(ROWS($V$2:V60),$V$2:$V$1001,0),0), INDEX($AC$1004:$AS$1004,1,MATCH(COLUMNS($AC$1006:AD1006),$AC$1006:$AS$1006,0)))),"Fix")))</f>
        <v>0</v>
      </c>
      <c r="D60" s="5">
        <f>IF(OR(INDEX($W$2:$W$1001,MATCH(ROWS($V$2:V60),$V$2:$V$1001,0),1)&gt;=100000,INDEX($AC$1005:$AS$1005,1,MATCH(COLUMNS($AC$1006:AE1006),$AC$1006:$AS$1006,0))&gt;=100000), " ",IF(INDEX($AC$2:$AS$1001,MATCH(ROWS($V$2:V60),$V$2:$V$1001,0),MATCH(COLUMNS($AC$1006:AE1006),$AC$1006:$AS$1006,0)), HYPERLINK("#",""), HYPERLINK(CONCATENATE("#Metadata!", ADDRESS(INDEX($X$2:$X$1001,MATCH(ROWS($V$2:V60),$V$2:$V$1001,0),0), INDEX($AC$1004:$AS$1004,1,MATCH(COLUMNS($AC$1006:AE1006),$AC$1006:$AS$1006,0)))),"Fix")))</f>
        <v>0</v>
      </c>
      <c r="E60" s="5">
        <f>IF(OR(INDEX($W$2:$W$1001,MATCH(ROWS($V$2:V60),$V$2:$V$1001,0),1)&gt;=100000,INDEX($AC$1005:$AS$1005,1,MATCH(COLUMNS($AC$1006:AF1006),$AC$1006:$AS$1006,0))&gt;=100000), " ",IF(INDEX($AC$2:$AS$1001,MATCH(ROWS($V$2:V60),$V$2:$V$1001,0),MATCH(COLUMNS($AC$1006:AF1006),$AC$1006:$AS$1006,0)), HYPERLINK("#",""), HYPERLINK(CONCATENATE("#Metadata!", ADDRESS(INDEX($X$2:$X$1001,MATCH(ROWS($V$2:V60),$V$2:$V$1001,0),0), INDEX($AC$1004:$AS$1004,1,MATCH(COLUMNS($AC$1006:AF1006),$AC$1006:$AS$1006,0)))),"Fix")))</f>
        <v>0</v>
      </c>
      <c r="F60" s="5">
        <f>IF(OR(INDEX($W$2:$W$1001,MATCH(ROWS($V$2:V60),$V$2:$V$1001,0),1)&gt;=100000,INDEX($AC$1005:$AS$1005,1,MATCH(COLUMNS($AC$1006:AG1006),$AC$1006:$AS$1006,0))&gt;=100000), " ",IF(INDEX($AC$2:$AS$1001,MATCH(ROWS($V$2:V60),$V$2:$V$1001,0),MATCH(COLUMNS($AC$1006:AG1006),$AC$1006:$AS$1006,0)), HYPERLINK("#",""), HYPERLINK(CONCATENATE("#Metadata!", ADDRESS(INDEX($X$2:$X$1001,MATCH(ROWS($V$2:V60),$V$2:$V$1001,0),0), INDEX($AC$1004:$AS$1004,1,MATCH(COLUMNS($AC$1006:AG1006),$AC$1006:$AS$1006,0)))),"Fix")))</f>
        <v>0</v>
      </c>
      <c r="G60" s="5">
        <f>IF(OR(INDEX($W$2:$W$1001,MATCH(ROWS($V$2:V60),$V$2:$V$1001,0),1)&gt;=100000,INDEX($AC$1005:$AS$1005,1,MATCH(COLUMNS($AC$1006:AH1006),$AC$1006:$AS$1006,0))&gt;=100000), " ",IF(INDEX($AC$2:$AS$1001,MATCH(ROWS($V$2:V60),$V$2:$V$1001,0),MATCH(COLUMNS($AC$1006:AH1006),$AC$1006:$AS$1006,0)), HYPERLINK("#",""), HYPERLINK(CONCATENATE("#Metadata!", ADDRESS(INDEX($X$2:$X$1001,MATCH(ROWS($V$2:V60),$V$2:$V$1001,0),0), INDEX($AC$1004:$AS$1004,1,MATCH(COLUMNS($AC$1006:AH1006),$AC$1006:$AS$1006,0)))),"Fix")))</f>
        <v>0</v>
      </c>
      <c r="H60" s="5">
        <f>IF(OR(INDEX($W$2:$W$1001,MATCH(ROWS($V$2:V60),$V$2:$V$1001,0),1)&gt;=100000,INDEX($AC$1005:$AS$1005,1,MATCH(COLUMNS($AC$1006:AI1006),$AC$1006:$AS$1006,0))&gt;=100000), " ",IF(INDEX($AC$2:$AS$1001,MATCH(ROWS($V$2:V60),$V$2:$V$1001,0),MATCH(COLUMNS($AC$1006:AI1006),$AC$1006:$AS$1006,0)), HYPERLINK("#",""), HYPERLINK(CONCATENATE("#Metadata!", ADDRESS(INDEX($X$2:$X$1001,MATCH(ROWS($V$2:V60),$V$2:$V$1001,0),0), INDEX($AC$1004:$AS$1004,1,MATCH(COLUMNS($AC$1006:AI1006),$AC$1006:$AS$1006,0)))),"Fix")))</f>
        <v>0</v>
      </c>
      <c r="I60" s="5">
        <f>IF(OR(INDEX($W$2:$W$1001,MATCH(ROWS($V$2:V60),$V$2:$V$1001,0),1)&gt;=100000,INDEX($AC$1005:$AS$1005,1,MATCH(COLUMNS($AC$1006:AJ1006),$AC$1006:$AS$1006,0))&gt;=100000), " ",IF(INDEX($AC$2:$AS$1001,MATCH(ROWS($V$2:V60),$V$2:$V$1001,0),MATCH(COLUMNS($AC$1006:AJ1006),$AC$1006:$AS$1006,0)), HYPERLINK("#",""), HYPERLINK(CONCATENATE("#Metadata!", ADDRESS(INDEX($X$2:$X$1001,MATCH(ROWS($V$2:V60),$V$2:$V$1001,0),0), INDEX($AC$1004:$AS$1004,1,MATCH(COLUMNS($AC$1006:AJ1006),$AC$1006:$AS$1006,0)))),"Fix")))</f>
        <v>0</v>
      </c>
      <c r="J60" s="5">
        <f>IF(OR(INDEX($W$2:$W$1001,MATCH(ROWS($V$2:V60),$V$2:$V$1001,0),1)&gt;=100000,INDEX($AC$1005:$AS$1005,1,MATCH(COLUMNS($AC$1006:AK1006),$AC$1006:$AS$1006,0))&gt;=100000), " ",IF(INDEX($AC$2:$AS$1001,MATCH(ROWS($V$2:V60),$V$2:$V$1001,0),MATCH(COLUMNS($AC$1006:AK1006),$AC$1006:$AS$1006,0)), HYPERLINK("#",""), HYPERLINK(CONCATENATE("#Metadata!", ADDRESS(INDEX($X$2:$X$1001,MATCH(ROWS($V$2:V60),$V$2:$V$1001,0),0), INDEX($AC$1004:$AS$1004,1,MATCH(COLUMNS($AC$1006:AK1006),$AC$1006:$AS$1006,0)))),"Fix")))</f>
        <v>0</v>
      </c>
      <c r="K60" s="5">
        <f>IF(OR(INDEX($W$2:$W$1001,MATCH(ROWS($V$2:V60),$V$2:$V$1001,0),1)&gt;=100000,INDEX($AC$1005:$AS$1005,1,MATCH(COLUMNS($AC$1006:AL1006),$AC$1006:$AS$1006,0))&gt;=100000), " ",IF(INDEX($AC$2:$AS$1001,MATCH(ROWS($V$2:V60),$V$2:$V$1001,0),MATCH(COLUMNS($AC$1006:AL1006),$AC$1006:$AS$1006,0)), HYPERLINK("#",""), HYPERLINK(CONCATENATE("#Metadata!", ADDRESS(INDEX($X$2:$X$1001,MATCH(ROWS($V$2:V60),$V$2:$V$1001,0),0), INDEX($AC$1004:$AS$1004,1,MATCH(COLUMNS($AC$1006:AL1006),$AC$1006:$AS$1006,0)))),"Fix")))</f>
        <v>0</v>
      </c>
      <c r="L60" s="5">
        <f>IF(OR(INDEX($W$2:$W$1001,MATCH(ROWS($V$2:V60),$V$2:$V$1001,0),1)&gt;=100000,INDEX($AC$1005:$AS$1005,1,MATCH(COLUMNS($AC$1006:AM1006),$AC$1006:$AS$1006,0))&gt;=100000), " ",IF(INDEX($AC$2:$AS$1001,MATCH(ROWS($V$2:V60),$V$2:$V$1001,0),MATCH(COLUMNS($AC$1006:AM1006),$AC$1006:$AS$1006,0)), HYPERLINK("#",""), HYPERLINK(CONCATENATE("#Metadata!", ADDRESS(INDEX($X$2:$X$1001,MATCH(ROWS($V$2:V60),$V$2:$V$1001,0),0), INDEX($AC$1004:$AS$1004,1,MATCH(COLUMNS($AC$1006:AM1006),$AC$1006:$AS$1006,0)))),"Fix")))</f>
        <v>0</v>
      </c>
      <c r="M60" s="5">
        <f>IF(OR(INDEX($W$2:$W$1001,MATCH(ROWS($V$2:V60),$V$2:$V$1001,0),1)&gt;=100000,INDEX($AC$1005:$AS$1005,1,MATCH(COLUMNS($AC$1006:AN1006),$AC$1006:$AS$1006,0))&gt;=100000), " ",IF(INDEX($AC$2:$AS$1001,MATCH(ROWS($V$2:V60),$V$2:$V$1001,0),MATCH(COLUMNS($AC$1006:AN1006),$AC$1006:$AS$1006,0)), HYPERLINK("#",""), HYPERLINK(CONCATENATE("#Metadata!", ADDRESS(INDEX($X$2:$X$1001,MATCH(ROWS($V$2:V60),$V$2:$V$1001,0),0), INDEX($AC$1004:$AS$1004,1,MATCH(COLUMNS($AC$1006:AN1006),$AC$1006:$AS$1006,0)))),"Fix")))</f>
        <v>0</v>
      </c>
      <c r="N60" s="5">
        <f>IF(OR(INDEX($W$2:$W$1001,MATCH(ROWS($V$2:V60),$V$2:$V$1001,0),1)&gt;=100000,INDEX($AC$1005:$AS$1005,1,MATCH(COLUMNS($AC$1006:AO1006),$AC$1006:$AS$1006,0))&gt;=100000), " ",IF(INDEX($AC$2:$AS$1001,MATCH(ROWS($V$2:V60),$V$2:$V$1001,0),MATCH(COLUMNS($AC$1006:AO1006),$AC$1006:$AS$1006,0)), HYPERLINK("#",""), HYPERLINK(CONCATENATE("#Metadata!", ADDRESS(INDEX($X$2:$X$1001,MATCH(ROWS($V$2:V60),$V$2:$V$1001,0),0), INDEX($AC$1004:$AS$1004,1,MATCH(COLUMNS($AC$1006:AO1006),$AC$1006:$AS$1006,0)))),"Fix")))</f>
        <v>0</v>
      </c>
      <c r="O60" s="5">
        <f>IF(OR(INDEX($W$2:$W$1001,MATCH(ROWS($V$2:V60),$V$2:$V$1001,0),1)&gt;=100000,INDEX($AC$1005:$AS$1005,1,MATCH(COLUMNS($AC$1006:AP1006),$AC$1006:$AS$1006,0))&gt;=100000), " ",IF(INDEX($AC$2:$AS$1001,MATCH(ROWS($V$2:V60),$V$2:$V$1001,0),MATCH(COLUMNS($AC$1006:AP1006),$AC$1006:$AS$1006,0)), HYPERLINK("#",""), HYPERLINK(CONCATENATE("#Metadata!", ADDRESS(INDEX($X$2:$X$1001,MATCH(ROWS($V$2:V60),$V$2:$V$1001,0),0), INDEX($AC$1004:$AS$1004,1,MATCH(COLUMNS($AC$1006:AP1006),$AC$1006:$AS$1006,0)))),"Fix")))</f>
        <v>0</v>
      </c>
      <c r="P60" s="5">
        <f>IF(OR(INDEX($W$2:$W$1001,MATCH(ROWS($V$2:V60),$V$2:$V$1001,0),1)&gt;=100000,INDEX($AC$1005:$AS$1005,1,MATCH(COLUMNS($AC$1006:AQ1006),$AC$1006:$AS$1006,0))&gt;=100000), " ",IF(INDEX($AC$2:$AS$1001,MATCH(ROWS($V$2:V60),$V$2:$V$1001,0),MATCH(COLUMNS($AC$1006:AQ1006),$AC$1006:$AS$1006,0)), HYPERLINK("#",""), HYPERLINK(CONCATENATE("#Metadata!", ADDRESS(INDEX($X$2:$X$1001,MATCH(ROWS($V$2:V60),$V$2:$V$1001,0),0), INDEX($AC$1004:$AS$1004,1,MATCH(COLUMNS($AC$1006:AQ1006),$AC$1006:$AS$1006,0)))),"Fix")))</f>
        <v>0</v>
      </c>
      <c r="Q60" s="5">
        <f>IF(OR(INDEX($W$2:$W$1001,MATCH(ROWS($V$2:V60),$V$2:$V$1001,0),1)&gt;=100000,INDEX($AC$1005:$AS$1005,1,MATCH(COLUMNS($AC$1006:AR1006),$AC$1006:$AS$1006,0))&gt;=100000), " ",IF(INDEX($AC$2:$AS$1001,MATCH(ROWS($V$2:V60),$V$2:$V$1001,0),MATCH(COLUMNS($AC$1006:AR1006),$AC$1006:$AS$1006,0)), HYPERLINK("#",""), HYPERLINK(CONCATENATE("#Metadata!", ADDRESS(INDEX($X$2:$X$1001,MATCH(ROWS($V$2:V60),$V$2:$V$1001,0),0), INDEX($AC$1004:$AS$1004,1,MATCH(COLUMNS($AC$1006:AR1006),$AC$1006:$AS$1006,0)))),"Fix")))</f>
        <v>0</v>
      </c>
      <c r="R60" s="5">
        <f>IF(OR(INDEX($W$2:$W$1001,MATCH(ROWS($V$2:V60),$V$2:$V$1001,0),1)&gt;=100000,INDEX($AC$1005:$AS$1005,1,MATCH(COLUMNS($AC$1006:AS1006),$AC$1006:$AS$1006,0))&gt;=100000), " ",IF(INDEX($AC$2:$AS$1001,MATCH(ROWS($V$2:V60),$V$2:$V$1001,0),MATCH(COLUMNS($AC$1006:AS1006),$AC$1006:$AS$1006,0)), HYPERLINK("#",""), HYPERLINK(CONCATENATE("#Metadata!", ADDRESS(INDEX($X$2:$X$1001,MATCH(ROWS($V$2:V60),$V$2:$V$1001,0),0), INDEX($AC$1004:$AS$1004,1,MATCH(COLUMNS($AC$1006:AS1006),$AC$1006:$AS$1006,0)))),"Fix")))</f>
        <v>0</v>
      </c>
      <c r="V60">
        <v>0</v>
      </c>
      <c r="W60">
        <v>0</v>
      </c>
      <c r="X60">
        <v>0</v>
      </c>
      <c r="Y60">
        <f>IF(Z60,TRUE,AND(AC60:AS60))</f>
        <v>0</v>
      </c>
      <c r="Z60">
        <f>COUNTBLANK(Metadata!B60:R60)=COLUMNS(Metadata!B60:R60)</f>
        <v>0</v>
      </c>
      <c r="AA60">
        <v>0</v>
      </c>
      <c r="AC60">
        <f>AND(IF(Metadata!B60="",FALSE,TRUE),COUNTIF(Metadata!B:B, Metadata!B60) = 1,NOT(ISERROR(SUMPRODUCT(SEARCH(MID(Metadata!B60,ROW(INDIRECT("1:"&amp;LEN(Metadata!B60))), 1),"0123456789abcdefghijklmnopqrstuvwxyzABCDEFGHIJKLMNOPQRSTUVWXYZ.")))))</f>
        <v>0</v>
      </c>
      <c r="AD60">
        <f>AND(IF(Metadata!C60="",FALSE,TRUE),exact(Metadata!C60,"Host-associated"))</f>
        <v>0</v>
      </c>
      <c r="AE60">
        <f>AND(IF(Metadata!D60="",FALSE,TRUE),OR(exact(Metadata!D60,"Animal"),exact(Metadata!D60,"Fungus"),exact(Metadata!D60,"Plant")))</f>
        <v>0</v>
      </c>
      <c r="AF60">
        <f>AND(IF(Metadata!E60="",FALSE,TRUE),OR(exact(Metadata!E60,"Plant secretion"),exact(Metadata!E60,"Plant rhizosphere"),exact(Metadata!E60,"Plant surface"),exact(Metadata!E60,"Plant corpus"),exact(Metadata!E60,"Fungus surface"),exact(Metadata!E60,"Fungus corpus"),exact(Metadata!E60,"Animal surface"),exact(Metadata!E60,"Animal proximal gut"),exact(Metadata!E60,"Animal corpus"),exact(Metadata!E60,"Animal distal gut"),exact(Metadata!E60,"Animal secretion")))</f>
        <v>0</v>
      </c>
      <c r="AG60">
        <f>OR(AND(IF(Metadata!F60="",FALSE,TRUE),OR(exact(Metadata!F60,"not collected"),exact(Metadata!F60,"not provided"),exact(Metadata!F60,"restricted access"))),AND(IF(Metadata!F60="",FALSE,TRUE),OR(exact(Metadata!F60,"organism-associated habitat"),exact(Metadata!F60,"plant-associated habitat"),exact(Metadata!F60,"animal-associated habitat"),exact(Metadata!F60,"insecta-associated habitat"),exact(Metadata!F60,"mammalia-associated habitat"),exact(Metadata!F60,"human-associated habitat"),exact(Metadata!F60,"livestock-associated habitat"))))</f>
        <v>0</v>
      </c>
      <c r="AH60">
        <f>AND(IF(Metadata!G60="",FALSE,TRUE),exact(Metadata!G60,"host-associated"))</f>
        <v>0</v>
      </c>
      <c r="AI60">
        <f>OR(AND(IF(Metadata!H60="",FALSE,TRUE),OR(exact(Metadata!H60,"not collected"),exact(Metadata!H60,"not provided"))),AND(IF(Metadata!H60="",FALSE,ISNUMBER(VALUE(Metadata!H60))),Metadata!H60&gt;0))</f>
        <v>0</v>
      </c>
      <c r="AJ60">
        <f>AND(IF(Metadata!I60="",FALSE,TRUE),exact(Metadata!I60,"years"))</f>
        <v>0</v>
      </c>
      <c r="AK60">
        <f>IF(Metadata!J60="",FALSE,TRUE)</f>
        <v>0</v>
      </c>
      <c r="AL60">
        <f>OR(AND(IF(Metadata!K60="",FALSE,TRUE),OR(exact(Metadata!K60,"not collected"),exact(Metadata!K60,"not provided"))),AND(IF(Metadata!K60="",FALSE,ISNUMBER(VALUE(Metadata!K60))),Metadata!K60&gt;0))</f>
        <v>0</v>
      </c>
      <c r="AM60">
        <f>AND(IF(Metadata!L60="",FALSE,TRUE),exact(Metadata!L60,"cm"))</f>
        <v>0</v>
      </c>
      <c r="AN60">
        <f>IF(Metadata!M60="",FALSE,TRUE)</f>
        <v>0</v>
      </c>
      <c r="AO60">
        <f>OR(AND(IF(Metadata!N60="",FALSE,TRUE),OR(exact(Metadata!N60,"not applicable"),exact(Metadata!N60,"not collected"),exact(Metadata!N60,"not provided"))),AND(IF(Metadata!N60="",FALSE,IF(ISERROR(INT(Metadata!N60)),FALSE,INT(Metadata!N60)=Metadata!N60)),Metadata!N60&gt;0))</f>
        <v>0</v>
      </c>
      <c r="AP60">
        <f>OR(AND(IF(Metadata!O60="",FALSE,TRUE),OR(exact(Metadata!O60,"not collected"),exact(Metadata!O60,"not provided"))),AND(IF(Metadata!O60="",FALSE,ISNUMBER(VALUE(Metadata!O60))),Metadata!O60&gt;0))</f>
        <v>0</v>
      </c>
      <c r="AQ60">
        <f>AND(IF(Metadata!P60="",FALSE,TRUE),exact(Metadata!P60,"kg"))</f>
        <v>0</v>
      </c>
      <c r="AR60">
        <f>OR(AND(IF(Metadata!Q60="",FALSE,TRUE),OR(exact(Metadata!Q60,"not applicable"),exact(Metadata!Q60,"not collected"),exact(Metadata!Q60,"not provided"),exact(Metadata!Q60,"restricted access"))),IF(Metadata!Q60="",FALSE,IF(ISERROR(INT(Metadata!Q60)),FALSE,INT(Metadata!Q60)=Metadata!Q60)))</f>
        <v>0</v>
      </c>
      <c r="AS60">
        <f>AND(IF(Metadata!R60="",FALSE,TRUE),exact(Metadata!R60,"Not applicable"))</f>
        <v>0</v>
      </c>
    </row>
    <row r="61" spans="1:45">
      <c r="A61" s="4">
        <f>IF(B61=" "," ",HYPERLINK(CONCATENATE("#metadata!",ADDRESS(INDEX($X$2:$X$1001,MATCH(ROWS($V$2:V61),$V$2:$V$1001,0),0),2)),INDEX($AA$2:$AA$1001,MATCH(ROWS($V$2:V61),$V$2:$V$1001,0),0)))</f>
        <v>0</v>
      </c>
      <c r="B61" s="5">
        <f>IF(OR(INDEX($W$2:$W$1001,MATCH(ROWS($V$2:V61),$V$2:$V$1001,0),1)&gt;=100000,INDEX($AC$1005:$AS$1005,1,MATCH(COLUMNS($AC$1006:AC1006),$AC$1006:$AS$1006,0))&gt;=100000), " ",IF(INDEX($AC$2:$AS$1001,MATCH(ROWS($V$2:V61),$V$2:$V$1001,0),MATCH(COLUMNS($AC$1006:AC1006),$AC$1006:$AS$1006,0)), HYPERLINK("#",""), HYPERLINK(CONCATENATE("#Metadata!", ADDRESS(INDEX($X$2:$X$1001,MATCH(ROWS($V$2:V61),$V$2:$V$1001,0),0), INDEX($AC$1004:$AS$1004,1,MATCH(COLUMNS($AC$1006:AC1006),$AC$1006:$AS$1006,0)))),"Fix")))</f>
        <v>0</v>
      </c>
      <c r="C61" s="5">
        <f>IF(OR(INDEX($W$2:$W$1001,MATCH(ROWS($V$2:V61),$V$2:$V$1001,0),1)&gt;=100000,INDEX($AC$1005:$AS$1005,1,MATCH(COLUMNS($AC$1006:AD1006),$AC$1006:$AS$1006,0))&gt;=100000), " ",IF(INDEX($AC$2:$AS$1001,MATCH(ROWS($V$2:V61),$V$2:$V$1001,0),MATCH(COLUMNS($AC$1006:AD1006),$AC$1006:$AS$1006,0)), HYPERLINK("#",""), HYPERLINK(CONCATENATE("#Metadata!", ADDRESS(INDEX($X$2:$X$1001,MATCH(ROWS($V$2:V61),$V$2:$V$1001,0),0), INDEX($AC$1004:$AS$1004,1,MATCH(COLUMNS($AC$1006:AD1006),$AC$1006:$AS$1006,0)))),"Fix")))</f>
        <v>0</v>
      </c>
      <c r="D61" s="5">
        <f>IF(OR(INDEX($W$2:$W$1001,MATCH(ROWS($V$2:V61),$V$2:$V$1001,0),1)&gt;=100000,INDEX($AC$1005:$AS$1005,1,MATCH(COLUMNS($AC$1006:AE1006),$AC$1006:$AS$1006,0))&gt;=100000), " ",IF(INDEX($AC$2:$AS$1001,MATCH(ROWS($V$2:V61),$V$2:$V$1001,0),MATCH(COLUMNS($AC$1006:AE1006),$AC$1006:$AS$1006,0)), HYPERLINK("#",""), HYPERLINK(CONCATENATE("#Metadata!", ADDRESS(INDEX($X$2:$X$1001,MATCH(ROWS($V$2:V61),$V$2:$V$1001,0),0), INDEX($AC$1004:$AS$1004,1,MATCH(COLUMNS($AC$1006:AE1006),$AC$1006:$AS$1006,0)))),"Fix")))</f>
        <v>0</v>
      </c>
      <c r="E61" s="5">
        <f>IF(OR(INDEX($W$2:$W$1001,MATCH(ROWS($V$2:V61),$V$2:$V$1001,0),1)&gt;=100000,INDEX($AC$1005:$AS$1005,1,MATCH(COLUMNS($AC$1006:AF1006),$AC$1006:$AS$1006,0))&gt;=100000), " ",IF(INDEX($AC$2:$AS$1001,MATCH(ROWS($V$2:V61),$V$2:$V$1001,0),MATCH(COLUMNS($AC$1006:AF1006),$AC$1006:$AS$1006,0)), HYPERLINK("#",""), HYPERLINK(CONCATENATE("#Metadata!", ADDRESS(INDEX($X$2:$X$1001,MATCH(ROWS($V$2:V61),$V$2:$V$1001,0),0), INDEX($AC$1004:$AS$1004,1,MATCH(COLUMNS($AC$1006:AF1006),$AC$1006:$AS$1006,0)))),"Fix")))</f>
        <v>0</v>
      </c>
      <c r="F61" s="5">
        <f>IF(OR(INDEX($W$2:$W$1001,MATCH(ROWS($V$2:V61),$V$2:$V$1001,0),1)&gt;=100000,INDEX($AC$1005:$AS$1005,1,MATCH(COLUMNS($AC$1006:AG1006),$AC$1006:$AS$1006,0))&gt;=100000), " ",IF(INDEX($AC$2:$AS$1001,MATCH(ROWS($V$2:V61),$V$2:$V$1001,0),MATCH(COLUMNS($AC$1006:AG1006),$AC$1006:$AS$1006,0)), HYPERLINK("#",""), HYPERLINK(CONCATENATE("#Metadata!", ADDRESS(INDEX($X$2:$X$1001,MATCH(ROWS($V$2:V61),$V$2:$V$1001,0),0), INDEX($AC$1004:$AS$1004,1,MATCH(COLUMNS($AC$1006:AG1006),$AC$1006:$AS$1006,0)))),"Fix")))</f>
        <v>0</v>
      </c>
      <c r="G61" s="5">
        <f>IF(OR(INDEX($W$2:$W$1001,MATCH(ROWS($V$2:V61),$V$2:$V$1001,0),1)&gt;=100000,INDEX($AC$1005:$AS$1005,1,MATCH(COLUMNS($AC$1006:AH1006),$AC$1006:$AS$1006,0))&gt;=100000), " ",IF(INDEX($AC$2:$AS$1001,MATCH(ROWS($V$2:V61),$V$2:$V$1001,0),MATCH(COLUMNS($AC$1006:AH1006),$AC$1006:$AS$1006,0)), HYPERLINK("#",""), HYPERLINK(CONCATENATE("#Metadata!", ADDRESS(INDEX($X$2:$X$1001,MATCH(ROWS($V$2:V61),$V$2:$V$1001,0),0), INDEX($AC$1004:$AS$1004,1,MATCH(COLUMNS($AC$1006:AH1006),$AC$1006:$AS$1006,0)))),"Fix")))</f>
        <v>0</v>
      </c>
      <c r="H61" s="5">
        <f>IF(OR(INDEX($W$2:$W$1001,MATCH(ROWS($V$2:V61),$V$2:$V$1001,0),1)&gt;=100000,INDEX($AC$1005:$AS$1005,1,MATCH(COLUMNS($AC$1006:AI1006),$AC$1006:$AS$1006,0))&gt;=100000), " ",IF(INDEX($AC$2:$AS$1001,MATCH(ROWS($V$2:V61),$V$2:$V$1001,0),MATCH(COLUMNS($AC$1006:AI1006),$AC$1006:$AS$1006,0)), HYPERLINK("#",""), HYPERLINK(CONCATENATE("#Metadata!", ADDRESS(INDEX($X$2:$X$1001,MATCH(ROWS($V$2:V61),$V$2:$V$1001,0),0), INDEX($AC$1004:$AS$1004,1,MATCH(COLUMNS($AC$1006:AI1006),$AC$1006:$AS$1006,0)))),"Fix")))</f>
        <v>0</v>
      </c>
      <c r="I61" s="5">
        <f>IF(OR(INDEX($W$2:$W$1001,MATCH(ROWS($V$2:V61),$V$2:$V$1001,0),1)&gt;=100000,INDEX($AC$1005:$AS$1005,1,MATCH(COLUMNS($AC$1006:AJ1006),$AC$1006:$AS$1006,0))&gt;=100000), " ",IF(INDEX($AC$2:$AS$1001,MATCH(ROWS($V$2:V61),$V$2:$V$1001,0),MATCH(COLUMNS($AC$1006:AJ1006),$AC$1006:$AS$1006,0)), HYPERLINK("#",""), HYPERLINK(CONCATENATE("#Metadata!", ADDRESS(INDEX($X$2:$X$1001,MATCH(ROWS($V$2:V61),$V$2:$V$1001,0),0), INDEX($AC$1004:$AS$1004,1,MATCH(COLUMNS($AC$1006:AJ1006),$AC$1006:$AS$1006,0)))),"Fix")))</f>
        <v>0</v>
      </c>
      <c r="J61" s="5">
        <f>IF(OR(INDEX($W$2:$W$1001,MATCH(ROWS($V$2:V61),$V$2:$V$1001,0),1)&gt;=100000,INDEX($AC$1005:$AS$1005,1,MATCH(COLUMNS($AC$1006:AK1006),$AC$1006:$AS$1006,0))&gt;=100000), " ",IF(INDEX($AC$2:$AS$1001,MATCH(ROWS($V$2:V61),$V$2:$V$1001,0),MATCH(COLUMNS($AC$1006:AK1006),$AC$1006:$AS$1006,0)), HYPERLINK("#",""), HYPERLINK(CONCATENATE("#Metadata!", ADDRESS(INDEX($X$2:$X$1001,MATCH(ROWS($V$2:V61),$V$2:$V$1001,0),0), INDEX($AC$1004:$AS$1004,1,MATCH(COLUMNS($AC$1006:AK1006),$AC$1006:$AS$1006,0)))),"Fix")))</f>
        <v>0</v>
      </c>
      <c r="K61" s="5">
        <f>IF(OR(INDEX($W$2:$W$1001,MATCH(ROWS($V$2:V61),$V$2:$V$1001,0),1)&gt;=100000,INDEX($AC$1005:$AS$1005,1,MATCH(COLUMNS($AC$1006:AL1006),$AC$1006:$AS$1006,0))&gt;=100000), " ",IF(INDEX($AC$2:$AS$1001,MATCH(ROWS($V$2:V61),$V$2:$V$1001,0),MATCH(COLUMNS($AC$1006:AL1006),$AC$1006:$AS$1006,0)), HYPERLINK("#",""), HYPERLINK(CONCATENATE("#Metadata!", ADDRESS(INDEX($X$2:$X$1001,MATCH(ROWS($V$2:V61),$V$2:$V$1001,0),0), INDEX($AC$1004:$AS$1004,1,MATCH(COLUMNS($AC$1006:AL1006),$AC$1006:$AS$1006,0)))),"Fix")))</f>
        <v>0</v>
      </c>
      <c r="L61" s="5">
        <f>IF(OR(INDEX($W$2:$W$1001,MATCH(ROWS($V$2:V61),$V$2:$V$1001,0),1)&gt;=100000,INDEX($AC$1005:$AS$1005,1,MATCH(COLUMNS($AC$1006:AM1006),$AC$1006:$AS$1006,0))&gt;=100000), " ",IF(INDEX($AC$2:$AS$1001,MATCH(ROWS($V$2:V61),$V$2:$V$1001,0),MATCH(COLUMNS($AC$1006:AM1006),$AC$1006:$AS$1006,0)), HYPERLINK("#",""), HYPERLINK(CONCATENATE("#Metadata!", ADDRESS(INDEX($X$2:$X$1001,MATCH(ROWS($V$2:V61),$V$2:$V$1001,0),0), INDEX($AC$1004:$AS$1004,1,MATCH(COLUMNS($AC$1006:AM1006),$AC$1006:$AS$1006,0)))),"Fix")))</f>
        <v>0</v>
      </c>
      <c r="M61" s="5">
        <f>IF(OR(INDEX($W$2:$W$1001,MATCH(ROWS($V$2:V61),$V$2:$V$1001,0),1)&gt;=100000,INDEX($AC$1005:$AS$1005,1,MATCH(COLUMNS($AC$1006:AN1006),$AC$1006:$AS$1006,0))&gt;=100000), " ",IF(INDEX($AC$2:$AS$1001,MATCH(ROWS($V$2:V61),$V$2:$V$1001,0),MATCH(COLUMNS($AC$1006:AN1006),$AC$1006:$AS$1006,0)), HYPERLINK("#",""), HYPERLINK(CONCATENATE("#Metadata!", ADDRESS(INDEX($X$2:$X$1001,MATCH(ROWS($V$2:V61),$V$2:$V$1001,0),0), INDEX($AC$1004:$AS$1004,1,MATCH(COLUMNS($AC$1006:AN1006),$AC$1006:$AS$1006,0)))),"Fix")))</f>
        <v>0</v>
      </c>
      <c r="N61" s="5">
        <f>IF(OR(INDEX($W$2:$W$1001,MATCH(ROWS($V$2:V61),$V$2:$V$1001,0),1)&gt;=100000,INDEX($AC$1005:$AS$1005,1,MATCH(COLUMNS($AC$1006:AO1006),$AC$1006:$AS$1006,0))&gt;=100000), " ",IF(INDEX($AC$2:$AS$1001,MATCH(ROWS($V$2:V61),$V$2:$V$1001,0),MATCH(COLUMNS($AC$1006:AO1006),$AC$1006:$AS$1006,0)), HYPERLINK("#",""), HYPERLINK(CONCATENATE("#Metadata!", ADDRESS(INDEX($X$2:$X$1001,MATCH(ROWS($V$2:V61),$V$2:$V$1001,0),0), INDEX($AC$1004:$AS$1004,1,MATCH(COLUMNS($AC$1006:AO1006),$AC$1006:$AS$1006,0)))),"Fix")))</f>
        <v>0</v>
      </c>
      <c r="O61" s="5">
        <f>IF(OR(INDEX($W$2:$W$1001,MATCH(ROWS($V$2:V61),$V$2:$V$1001,0),1)&gt;=100000,INDEX($AC$1005:$AS$1005,1,MATCH(COLUMNS($AC$1006:AP1006),$AC$1006:$AS$1006,0))&gt;=100000), " ",IF(INDEX($AC$2:$AS$1001,MATCH(ROWS($V$2:V61),$V$2:$V$1001,0),MATCH(COLUMNS($AC$1006:AP1006),$AC$1006:$AS$1006,0)), HYPERLINK("#",""), HYPERLINK(CONCATENATE("#Metadata!", ADDRESS(INDEX($X$2:$X$1001,MATCH(ROWS($V$2:V61),$V$2:$V$1001,0),0), INDEX($AC$1004:$AS$1004,1,MATCH(COLUMNS($AC$1006:AP1006),$AC$1006:$AS$1006,0)))),"Fix")))</f>
        <v>0</v>
      </c>
      <c r="P61" s="5">
        <f>IF(OR(INDEX($W$2:$W$1001,MATCH(ROWS($V$2:V61),$V$2:$V$1001,0),1)&gt;=100000,INDEX($AC$1005:$AS$1005,1,MATCH(COLUMNS($AC$1006:AQ1006),$AC$1006:$AS$1006,0))&gt;=100000), " ",IF(INDEX($AC$2:$AS$1001,MATCH(ROWS($V$2:V61),$V$2:$V$1001,0),MATCH(COLUMNS($AC$1006:AQ1006),$AC$1006:$AS$1006,0)), HYPERLINK("#",""), HYPERLINK(CONCATENATE("#Metadata!", ADDRESS(INDEX($X$2:$X$1001,MATCH(ROWS($V$2:V61),$V$2:$V$1001,0),0), INDEX($AC$1004:$AS$1004,1,MATCH(COLUMNS($AC$1006:AQ1006),$AC$1006:$AS$1006,0)))),"Fix")))</f>
        <v>0</v>
      </c>
      <c r="Q61" s="5">
        <f>IF(OR(INDEX($W$2:$W$1001,MATCH(ROWS($V$2:V61),$V$2:$V$1001,0),1)&gt;=100000,INDEX($AC$1005:$AS$1005,1,MATCH(COLUMNS($AC$1006:AR1006),$AC$1006:$AS$1006,0))&gt;=100000), " ",IF(INDEX($AC$2:$AS$1001,MATCH(ROWS($V$2:V61),$V$2:$V$1001,0),MATCH(COLUMNS($AC$1006:AR1006),$AC$1006:$AS$1006,0)), HYPERLINK("#",""), HYPERLINK(CONCATENATE("#Metadata!", ADDRESS(INDEX($X$2:$X$1001,MATCH(ROWS($V$2:V61),$V$2:$V$1001,0),0), INDEX($AC$1004:$AS$1004,1,MATCH(COLUMNS($AC$1006:AR1006),$AC$1006:$AS$1006,0)))),"Fix")))</f>
        <v>0</v>
      </c>
      <c r="R61" s="5">
        <f>IF(OR(INDEX($W$2:$W$1001,MATCH(ROWS($V$2:V61),$V$2:$V$1001,0),1)&gt;=100000,INDEX($AC$1005:$AS$1005,1,MATCH(COLUMNS($AC$1006:AS1006),$AC$1006:$AS$1006,0))&gt;=100000), " ",IF(INDEX($AC$2:$AS$1001,MATCH(ROWS($V$2:V61),$V$2:$V$1001,0),MATCH(COLUMNS($AC$1006:AS1006),$AC$1006:$AS$1006,0)), HYPERLINK("#",""), HYPERLINK(CONCATENATE("#Metadata!", ADDRESS(INDEX($X$2:$X$1001,MATCH(ROWS($V$2:V61),$V$2:$V$1001,0),0), INDEX($AC$1004:$AS$1004,1,MATCH(COLUMNS($AC$1006:AS1006),$AC$1006:$AS$1006,0)))),"Fix")))</f>
        <v>0</v>
      </c>
      <c r="V61">
        <v>0</v>
      </c>
      <c r="W61">
        <v>0</v>
      </c>
      <c r="X61">
        <v>0</v>
      </c>
      <c r="Y61">
        <f>IF(Z61,TRUE,AND(AC61:AS61))</f>
        <v>0</v>
      </c>
      <c r="Z61">
        <f>COUNTBLANK(Metadata!B61:R61)=COLUMNS(Metadata!B61:R61)</f>
        <v>0</v>
      </c>
      <c r="AA61">
        <v>0</v>
      </c>
      <c r="AC61">
        <f>AND(IF(Metadata!B61="",FALSE,TRUE),COUNTIF(Metadata!B:B, Metadata!B61) = 1,NOT(ISERROR(SUMPRODUCT(SEARCH(MID(Metadata!B61,ROW(INDIRECT("1:"&amp;LEN(Metadata!B61))), 1),"0123456789abcdefghijklmnopqrstuvwxyzABCDEFGHIJKLMNOPQRSTUVWXYZ.")))))</f>
        <v>0</v>
      </c>
      <c r="AD61">
        <f>AND(IF(Metadata!C61="",FALSE,TRUE),exact(Metadata!C61,"Host-associated"))</f>
        <v>0</v>
      </c>
      <c r="AE61">
        <f>AND(IF(Metadata!D61="",FALSE,TRUE),OR(exact(Metadata!D61,"Animal"),exact(Metadata!D61,"Fungus"),exact(Metadata!D61,"Plant")))</f>
        <v>0</v>
      </c>
      <c r="AF61">
        <f>AND(IF(Metadata!E61="",FALSE,TRUE),OR(exact(Metadata!E61,"Plant secretion"),exact(Metadata!E61,"Plant rhizosphere"),exact(Metadata!E61,"Plant surface"),exact(Metadata!E61,"Plant corpus"),exact(Metadata!E61,"Fungus surface"),exact(Metadata!E61,"Fungus corpus"),exact(Metadata!E61,"Animal surface"),exact(Metadata!E61,"Animal proximal gut"),exact(Metadata!E61,"Animal corpus"),exact(Metadata!E61,"Animal distal gut"),exact(Metadata!E61,"Animal secretion")))</f>
        <v>0</v>
      </c>
      <c r="AG61">
        <f>OR(AND(IF(Metadata!F61="",FALSE,TRUE),OR(exact(Metadata!F61,"not collected"),exact(Metadata!F61,"not provided"),exact(Metadata!F61,"restricted access"))),AND(IF(Metadata!F61="",FALSE,TRUE),OR(exact(Metadata!F61,"organism-associated habitat"),exact(Metadata!F61,"plant-associated habitat"),exact(Metadata!F61,"animal-associated habitat"),exact(Metadata!F61,"insecta-associated habitat"),exact(Metadata!F61,"mammalia-associated habitat"),exact(Metadata!F61,"human-associated habitat"),exact(Metadata!F61,"livestock-associated habitat"))))</f>
        <v>0</v>
      </c>
      <c r="AH61">
        <f>AND(IF(Metadata!G61="",FALSE,TRUE),exact(Metadata!G61,"host-associated"))</f>
        <v>0</v>
      </c>
      <c r="AI61">
        <f>OR(AND(IF(Metadata!H61="",FALSE,TRUE),OR(exact(Metadata!H61,"not collected"),exact(Metadata!H61,"not provided"))),AND(IF(Metadata!H61="",FALSE,ISNUMBER(VALUE(Metadata!H61))),Metadata!H61&gt;0))</f>
        <v>0</v>
      </c>
      <c r="AJ61">
        <f>AND(IF(Metadata!I61="",FALSE,TRUE),exact(Metadata!I61,"years"))</f>
        <v>0</v>
      </c>
      <c r="AK61">
        <f>IF(Metadata!J61="",FALSE,TRUE)</f>
        <v>0</v>
      </c>
      <c r="AL61">
        <f>OR(AND(IF(Metadata!K61="",FALSE,TRUE),OR(exact(Metadata!K61,"not collected"),exact(Metadata!K61,"not provided"))),AND(IF(Metadata!K61="",FALSE,ISNUMBER(VALUE(Metadata!K61))),Metadata!K61&gt;0))</f>
        <v>0</v>
      </c>
      <c r="AM61">
        <f>AND(IF(Metadata!L61="",FALSE,TRUE),exact(Metadata!L61,"cm"))</f>
        <v>0</v>
      </c>
      <c r="AN61">
        <f>IF(Metadata!M61="",FALSE,TRUE)</f>
        <v>0</v>
      </c>
      <c r="AO61">
        <f>OR(AND(IF(Metadata!N61="",FALSE,TRUE),OR(exact(Metadata!N61,"not applicable"),exact(Metadata!N61,"not collected"),exact(Metadata!N61,"not provided"))),AND(IF(Metadata!N61="",FALSE,IF(ISERROR(INT(Metadata!N61)),FALSE,INT(Metadata!N61)=Metadata!N61)),Metadata!N61&gt;0))</f>
        <v>0</v>
      </c>
      <c r="AP61">
        <f>OR(AND(IF(Metadata!O61="",FALSE,TRUE),OR(exact(Metadata!O61,"not collected"),exact(Metadata!O61,"not provided"))),AND(IF(Metadata!O61="",FALSE,ISNUMBER(VALUE(Metadata!O61))),Metadata!O61&gt;0))</f>
        <v>0</v>
      </c>
      <c r="AQ61">
        <f>AND(IF(Metadata!P61="",FALSE,TRUE),exact(Metadata!P61,"kg"))</f>
        <v>0</v>
      </c>
      <c r="AR61">
        <f>OR(AND(IF(Metadata!Q61="",FALSE,TRUE),OR(exact(Metadata!Q61,"not applicable"),exact(Metadata!Q61,"not collected"),exact(Metadata!Q61,"not provided"),exact(Metadata!Q61,"restricted access"))),IF(Metadata!Q61="",FALSE,IF(ISERROR(INT(Metadata!Q61)),FALSE,INT(Metadata!Q61)=Metadata!Q61)))</f>
        <v>0</v>
      </c>
      <c r="AS61">
        <f>AND(IF(Metadata!R61="",FALSE,TRUE),exact(Metadata!R61,"Not applicable"))</f>
        <v>0</v>
      </c>
    </row>
    <row r="62" spans="1:45">
      <c r="A62" s="4">
        <f>IF(B62=" "," ",HYPERLINK(CONCATENATE("#metadata!",ADDRESS(INDEX($X$2:$X$1001,MATCH(ROWS($V$2:V62),$V$2:$V$1001,0),0),2)),INDEX($AA$2:$AA$1001,MATCH(ROWS($V$2:V62),$V$2:$V$1001,0),0)))</f>
        <v>0</v>
      </c>
      <c r="B62" s="5">
        <f>IF(OR(INDEX($W$2:$W$1001,MATCH(ROWS($V$2:V62),$V$2:$V$1001,0),1)&gt;=100000,INDEX($AC$1005:$AS$1005,1,MATCH(COLUMNS($AC$1006:AC1006),$AC$1006:$AS$1006,0))&gt;=100000), " ",IF(INDEX($AC$2:$AS$1001,MATCH(ROWS($V$2:V62),$V$2:$V$1001,0),MATCH(COLUMNS($AC$1006:AC1006),$AC$1006:$AS$1006,0)), HYPERLINK("#",""), HYPERLINK(CONCATENATE("#Metadata!", ADDRESS(INDEX($X$2:$X$1001,MATCH(ROWS($V$2:V62),$V$2:$V$1001,0),0), INDEX($AC$1004:$AS$1004,1,MATCH(COLUMNS($AC$1006:AC1006),$AC$1006:$AS$1006,0)))),"Fix")))</f>
        <v>0</v>
      </c>
      <c r="C62" s="5">
        <f>IF(OR(INDEX($W$2:$W$1001,MATCH(ROWS($V$2:V62),$V$2:$V$1001,0),1)&gt;=100000,INDEX($AC$1005:$AS$1005,1,MATCH(COLUMNS($AC$1006:AD1006),$AC$1006:$AS$1006,0))&gt;=100000), " ",IF(INDEX($AC$2:$AS$1001,MATCH(ROWS($V$2:V62),$V$2:$V$1001,0),MATCH(COLUMNS($AC$1006:AD1006),$AC$1006:$AS$1006,0)), HYPERLINK("#",""), HYPERLINK(CONCATENATE("#Metadata!", ADDRESS(INDEX($X$2:$X$1001,MATCH(ROWS($V$2:V62),$V$2:$V$1001,0),0), INDEX($AC$1004:$AS$1004,1,MATCH(COLUMNS($AC$1006:AD1006),$AC$1006:$AS$1006,0)))),"Fix")))</f>
        <v>0</v>
      </c>
      <c r="D62" s="5">
        <f>IF(OR(INDEX($W$2:$W$1001,MATCH(ROWS($V$2:V62),$V$2:$V$1001,0),1)&gt;=100000,INDEX($AC$1005:$AS$1005,1,MATCH(COLUMNS($AC$1006:AE1006),$AC$1006:$AS$1006,0))&gt;=100000), " ",IF(INDEX($AC$2:$AS$1001,MATCH(ROWS($V$2:V62),$V$2:$V$1001,0),MATCH(COLUMNS($AC$1006:AE1006),$AC$1006:$AS$1006,0)), HYPERLINK("#",""), HYPERLINK(CONCATENATE("#Metadata!", ADDRESS(INDEX($X$2:$X$1001,MATCH(ROWS($V$2:V62),$V$2:$V$1001,0),0), INDEX($AC$1004:$AS$1004,1,MATCH(COLUMNS($AC$1006:AE1006),$AC$1006:$AS$1006,0)))),"Fix")))</f>
        <v>0</v>
      </c>
      <c r="E62" s="5">
        <f>IF(OR(INDEX($W$2:$W$1001,MATCH(ROWS($V$2:V62),$V$2:$V$1001,0),1)&gt;=100000,INDEX($AC$1005:$AS$1005,1,MATCH(COLUMNS($AC$1006:AF1006),$AC$1006:$AS$1006,0))&gt;=100000), " ",IF(INDEX($AC$2:$AS$1001,MATCH(ROWS($V$2:V62),$V$2:$V$1001,0),MATCH(COLUMNS($AC$1006:AF1006),$AC$1006:$AS$1006,0)), HYPERLINK("#",""), HYPERLINK(CONCATENATE("#Metadata!", ADDRESS(INDEX($X$2:$X$1001,MATCH(ROWS($V$2:V62),$V$2:$V$1001,0),0), INDEX($AC$1004:$AS$1004,1,MATCH(COLUMNS($AC$1006:AF1006),$AC$1006:$AS$1006,0)))),"Fix")))</f>
        <v>0</v>
      </c>
      <c r="F62" s="5">
        <f>IF(OR(INDEX($W$2:$W$1001,MATCH(ROWS($V$2:V62),$V$2:$V$1001,0),1)&gt;=100000,INDEX($AC$1005:$AS$1005,1,MATCH(COLUMNS($AC$1006:AG1006),$AC$1006:$AS$1006,0))&gt;=100000), " ",IF(INDEX($AC$2:$AS$1001,MATCH(ROWS($V$2:V62),$V$2:$V$1001,0),MATCH(COLUMNS($AC$1006:AG1006),$AC$1006:$AS$1006,0)), HYPERLINK("#",""), HYPERLINK(CONCATENATE("#Metadata!", ADDRESS(INDEX($X$2:$X$1001,MATCH(ROWS($V$2:V62),$V$2:$V$1001,0),0), INDEX($AC$1004:$AS$1004,1,MATCH(COLUMNS($AC$1006:AG1006),$AC$1006:$AS$1006,0)))),"Fix")))</f>
        <v>0</v>
      </c>
      <c r="G62" s="5">
        <f>IF(OR(INDEX($W$2:$W$1001,MATCH(ROWS($V$2:V62),$V$2:$V$1001,0),1)&gt;=100000,INDEX($AC$1005:$AS$1005,1,MATCH(COLUMNS($AC$1006:AH1006),$AC$1006:$AS$1006,0))&gt;=100000), " ",IF(INDEX($AC$2:$AS$1001,MATCH(ROWS($V$2:V62),$V$2:$V$1001,0),MATCH(COLUMNS($AC$1006:AH1006),$AC$1006:$AS$1006,0)), HYPERLINK("#",""), HYPERLINK(CONCATENATE("#Metadata!", ADDRESS(INDEX($X$2:$X$1001,MATCH(ROWS($V$2:V62),$V$2:$V$1001,0),0), INDEX($AC$1004:$AS$1004,1,MATCH(COLUMNS($AC$1006:AH1006),$AC$1006:$AS$1006,0)))),"Fix")))</f>
        <v>0</v>
      </c>
      <c r="H62" s="5">
        <f>IF(OR(INDEX($W$2:$W$1001,MATCH(ROWS($V$2:V62),$V$2:$V$1001,0),1)&gt;=100000,INDEX($AC$1005:$AS$1005,1,MATCH(COLUMNS($AC$1006:AI1006),$AC$1006:$AS$1006,0))&gt;=100000), " ",IF(INDEX($AC$2:$AS$1001,MATCH(ROWS($V$2:V62),$V$2:$V$1001,0),MATCH(COLUMNS($AC$1006:AI1006),$AC$1006:$AS$1006,0)), HYPERLINK("#",""), HYPERLINK(CONCATENATE("#Metadata!", ADDRESS(INDEX($X$2:$X$1001,MATCH(ROWS($V$2:V62),$V$2:$V$1001,0),0), INDEX($AC$1004:$AS$1004,1,MATCH(COLUMNS($AC$1006:AI1006),$AC$1006:$AS$1006,0)))),"Fix")))</f>
        <v>0</v>
      </c>
      <c r="I62" s="5">
        <f>IF(OR(INDEX($W$2:$W$1001,MATCH(ROWS($V$2:V62),$V$2:$V$1001,0),1)&gt;=100000,INDEX($AC$1005:$AS$1005,1,MATCH(COLUMNS($AC$1006:AJ1006),$AC$1006:$AS$1006,0))&gt;=100000), " ",IF(INDEX($AC$2:$AS$1001,MATCH(ROWS($V$2:V62),$V$2:$V$1001,0),MATCH(COLUMNS($AC$1006:AJ1006),$AC$1006:$AS$1006,0)), HYPERLINK("#",""), HYPERLINK(CONCATENATE("#Metadata!", ADDRESS(INDEX($X$2:$X$1001,MATCH(ROWS($V$2:V62),$V$2:$V$1001,0),0), INDEX($AC$1004:$AS$1004,1,MATCH(COLUMNS($AC$1006:AJ1006),$AC$1006:$AS$1006,0)))),"Fix")))</f>
        <v>0</v>
      </c>
      <c r="J62" s="5">
        <f>IF(OR(INDEX($W$2:$W$1001,MATCH(ROWS($V$2:V62),$V$2:$V$1001,0),1)&gt;=100000,INDEX($AC$1005:$AS$1005,1,MATCH(COLUMNS($AC$1006:AK1006),$AC$1006:$AS$1006,0))&gt;=100000), " ",IF(INDEX($AC$2:$AS$1001,MATCH(ROWS($V$2:V62),$V$2:$V$1001,0),MATCH(COLUMNS($AC$1006:AK1006),$AC$1006:$AS$1006,0)), HYPERLINK("#",""), HYPERLINK(CONCATENATE("#Metadata!", ADDRESS(INDEX($X$2:$X$1001,MATCH(ROWS($V$2:V62),$V$2:$V$1001,0),0), INDEX($AC$1004:$AS$1004,1,MATCH(COLUMNS($AC$1006:AK1006),$AC$1006:$AS$1006,0)))),"Fix")))</f>
        <v>0</v>
      </c>
      <c r="K62" s="5">
        <f>IF(OR(INDEX($W$2:$W$1001,MATCH(ROWS($V$2:V62),$V$2:$V$1001,0),1)&gt;=100000,INDEX($AC$1005:$AS$1005,1,MATCH(COLUMNS($AC$1006:AL1006),$AC$1006:$AS$1006,0))&gt;=100000), " ",IF(INDEX($AC$2:$AS$1001,MATCH(ROWS($V$2:V62),$V$2:$V$1001,0),MATCH(COLUMNS($AC$1006:AL1006),$AC$1006:$AS$1006,0)), HYPERLINK("#",""), HYPERLINK(CONCATENATE("#Metadata!", ADDRESS(INDEX($X$2:$X$1001,MATCH(ROWS($V$2:V62),$V$2:$V$1001,0),0), INDEX($AC$1004:$AS$1004,1,MATCH(COLUMNS($AC$1006:AL1006),$AC$1006:$AS$1006,0)))),"Fix")))</f>
        <v>0</v>
      </c>
      <c r="L62" s="5">
        <f>IF(OR(INDEX($W$2:$W$1001,MATCH(ROWS($V$2:V62),$V$2:$V$1001,0),1)&gt;=100000,INDEX($AC$1005:$AS$1005,1,MATCH(COLUMNS($AC$1006:AM1006),$AC$1006:$AS$1006,0))&gt;=100000), " ",IF(INDEX($AC$2:$AS$1001,MATCH(ROWS($V$2:V62),$V$2:$V$1001,0),MATCH(COLUMNS($AC$1006:AM1006),$AC$1006:$AS$1006,0)), HYPERLINK("#",""), HYPERLINK(CONCATENATE("#Metadata!", ADDRESS(INDEX($X$2:$X$1001,MATCH(ROWS($V$2:V62),$V$2:$V$1001,0),0), INDEX($AC$1004:$AS$1004,1,MATCH(COLUMNS($AC$1006:AM1006),$AC$1006:$AS$1006,0)))),"Fix")))</f>
        <v>0</v>
      </c>
      <c r="M62" s="5">
        <f>IF(OR(INDEX($W$2:$W$1001,MATCH(ROWS($V$2:V62),$V$2:$V$1001,0),1)&gt;=100000,INDEX($AC$1005:$AS$1005,1,MATCH(COLUMNS($AC$1006:AN1006),$AC$1006:$AS$1006,0))&gt;=100000), " ",IF(INDEX($AC$2:$AS$1001,MATCH(ROWS($V$2:V62),$V$2:$V$1001,0),MATCH(COLUMNS($AC$1006:AN1006),$AC$1006:$AS$1006,0)), HYPERLINK("#",""), HYPERLINK(CONCATENATE("#Metadata!", ADDRESS(INDEX($X$2:$X$1001,MATCH(ROWS($V$2:V62),$V$2:$V$1001,0),0), INDEX($AC$1004:$AS$1004,1,MATCH(COLUMNS($AC$1006:AN1006),$AC$1006:$AS$1006,0)))),"Fix")))</f>
        <v>0</v>
      </c>
      <c r="N62" s="5">
        <f>IF(OR(INDEX($W$2:$W$1001,MATCH(ROWS($V$2:V62),$V$2:$V$1001,0),1)&gt;=100000,INDEX($AC$1005:$AS$1005,1,MATCH(COLUMNS($AC$1006:AO1006),$AC$1006:$AS$1006,0))&gt;=100000), " ",IF(INDEX($AC$2:$AS$1001,MATCH(ROWS($V$2:V62),$V$2:$V$1001,0),MATCH(COLUMNS($AC$1006:AO1006),$AC$1006:$AS$1006,0)), HYPERLINK("#",""), HYPERLINK(CONCATENATE("#Metadata!", ADDRESS(INDEX($X$2:$X$1001,MATCH(ROWS($V$2:V62),$V$2:$V$1001,0),0), INDEX($AC$1004:$AS$1004,1,MATCH(COLUMNS($AC$1006:AO1006),$AC$1006:$AS$1006,0)))),"Fix")))</f>
        <v>0</v>
      </c>
      <c r="O62" s="5">
        <f>IF(OR(INDEX($W$2:$W$1001,MATCH(ROWS($V$2:V62),$V$2:$V$1001,0),1)&gt;=100000,INDEX($AC$1005:$AS$1005,1,MATCH(COLUMNS($AC$1006:AP1006),$AC$1006:$AS$1006,0))&gt;=100000), " ",IF(INDEX($AC$2:$AS$1001,MATCH(ROWS($V$2:V62),$V$2:$V$1001,0),MATCH(COLUMNS($AC$1006:AP1006),$AC$1006:$AS$1006,0)), HYPERLINK("#",""), HYPERLINK(CONCATENATE("#Metadata!", ADDRESS(INDEX($X$2:$X$1001,MATCH(ROWS($V$2:V62),$V$2:$V$1001,0),0), INDEX($AC$1004:$AS$1004,1,MATCH(COLUMNS($AC$1006:AP1006),$AC$1006:$AS$1006,0)))),"Fix")))</f>
        <v>0</v>
      </c>
      <c r="P62" s="5">
        <f>IF(OR(INDEX($W$2:$W$1001,MATCH(ROWS($V$2:V62),$V$2:$V$1001,0),1)&gt;=100000,INDEX($AC$1005:$AS$1005,1,MATCH(COLUMNS($AC$1006:AQ1006),$AC$1006:$AS$1006,0))&gt;=100000), " ",IF(INDEX($AC$2:$AS$1001,MATCH(ROWS($V$2:V62),$V$2:$V$1001,0),MATCH(COLUMNS($AC$1006:AQ1006),$AC$1006:$AS$1006,0)), HYPERLINK("#",""), HYPERLINK(CONCATENATE("#Metadata!", ADDRESS(INDEX($X$2:$X$1001,MATCH(ROWS($V$2:V62),$V$2:$V$1001,0),0), INDEX($AC$1004:$AS$1004,1,MATCH(COLUMNS($AC$1006:AQ1006),$AC$1006:$AS$1006,0)))),"Fix")))</f>
        <v>0</v>
      </c>
      <c r="Q62" s="5">
        <f>IF(OR(INDEX($W$2:$W$1001,MATCH(ROWS($V$2:V62),$V$2:$V$1001,0),1)&gt;=100000,INDEX($AC$1005:$AS$1005,1,MATCH(COLUMNS($AC$1006:AR1006),$AC$1006:$AS$1006,0))&gt;=100000), " ",IF(INDEX($AC$2:$AS$1001,MATCH(ROWS($V$2:V62),$V$2:$V$1001,0),MATCH(COLUMNS($AC$1006:AR1006),$AC$1006:$AS$1006,0)), HYPERLINK("#",""), HYPERLINK(CONCATENATE("#Metadata!", ADDRESS(INDEX($X$2:$X$1001,MATCH(ROWS($V$2:V62),$V$2:$V$1001,0),0), INDEX($AC$1004:$AS$1004,1,MATCH(COLUMNS($AC$1006:AR1006),$AC$1006:$AS$1006,0)))),"Fix")))</f>
        <v>0</v>
      </c>
      <c r="R62" s="5">
        <f>IF(OR(INDEX($W$2:$W$1001,MATCH(ROWS($V$2:V62),$V$2:$V$1001,0),1)&gt;=100000,INDEX($AC$1005:$AS$1005,1,MATCH(COLUMNS($AC$1006:AS1006),$AC$1006:$AS$1006,0))&gt;=100000), " ",IF(INDEX($AC$2:$AS$1001,MATCH(ROWS($V$2:V62),$V$2:$V$1001,0),MATCH(COLUMNS($AC$1006:AS1006),$AC$1006:$AS$1006,0)), HYPERLINK("#",""), HYPERLINK(CONCATENATE("#Metadata!", ADDRESS(INDEX($X$2:$X$1001,MATCH(ROWS($V$2:V62),$V$2:$V$1001,0),0), INDEX($AC$1004:$AS$1004,1,MATCH(COLUMNS($AC$1006:AS1006),$AC$1006:$AS$1006,0)))),"Fix")))</f>
        <v>0</v>
      </c>
      <c r="V62">
        <v>0</v>
      </c>
      <c r="W62">
        <v>0</v>
      </c>
      <c r="X62">
        <v>0</v>
      </c>
      <c r="Y62">
        <f>IF(Z62,TRUE,AND(AC62:AS62))</f>
        <v>0</v>
      </c>
      <c r="Z62">
        <f>COUNTBLANK(Metadata!B62:R62)=COLUMNS(Metadata!B62:R62)</f>
        <v>0</v>
      </c>
      <c r="AA62">
        <v>0</v>
      </c>
      <c r="AC62">
        <f>AND(IF(Metadata!B62="",FALSE,TRUE),COUNTIF(Metadata!B:B, Metadata!B62) = 1,NOT(ISERROR(SUMPRODUCT(SEARCH(MID(Metadata!B62,ROW(INDIRECT("1:"&amp;LEN(Metadata!B62))), 1),"0123456789abcdefghijklmnopqrstuvwxyzABCDEFGHIJKLMNOPQRSTUVWXYZ.")))))</f>
        <v>0</v>
      </c>
      <c r="AD62">
        <f>AND(IF(Metadata!C62="",FALSE,TRUE),exact(Metadata!C62,"Host-associated"))</f>
        <v>0</v>
      </c>
      <c r="AE62">
        <f>AND(IF(Metadata!D62="",FALSE,TRUE),OR(exact(Metadata!D62,"Animal"),exact(Metadata!D62,"Fungus"),exact(Metadata!D62,"Plant")))</f>
        <v>0</v>
      </c>
      <c r="AF62">
        <f>AND(IF(Metadata!E62="",FALSE,TRUE),OR(exact(Metadata!E62,"Plant secretion"),exact(Metadata!E62,"Plant rhizosphere"),exact(Metadata!E62,"Plant surface"),exact(Metadata!E62,"Plant corpus"),exact(Metadata!E62,"Fungus surface"),exact(Metadata!E62,"Fungus corpus"),exact(Metadata!E62,"Animal surface"),exact(Metadata!E62,"Animal proximal gut"),exact(Metadata!E62,"Animal corpus"),exact(Metadata!E62,"Animal distal gut"),exact(Metadata!E62,"Animal secretion")))</f>
        <v>0</v>
      </c>
      <c r="AG62">
        <f>OR(AND(IF(Metadata!F62="",FALSE,TRUE),OR(exact(Metadata!F62,"not collected"),exact(Metadata!F62,"not provided"),exact(Metadata!F62,"restricted access"))),AND(IF(Metadata!F62="",FALSE,TRUE),OR(exact(Metadata!F62,"organism-associated habitat"),exact(Metadata!F62,"plant-associated habitat"),exact(Metadata!F62,"animal-associated habitat"),exact(Metadata!F62,"insecta-associated habitat"),exact(Metadata!F62,"mammalia-associated habitat"),exact(Metadata!F62,"human-associated habitat"),exact(Metadata!F62,"livestock-associated habitat"))))</f>
        <v>0</v>
      </c>
      <c r="AH62">
        <f>AND(IF(Metadata!G62="",FALSE,TRUE),exact(Metadata!G62,"host-associated"))</f>
        <v>0</v>
      </c>
      <c r="AI62">
        <f>OR(AND(IF(Metadata!H62="",FALSE,TRUE),OR(exact(Metadata!H62,"not collected"),exact(Metadata!H62,"not provided"))),AND(IF(Metadata!H62="",FALSE,ISNUMBER(VALUE(Metadata!H62))),Metadata!H62&gt;0))</f>
        <v>0</v>
      </c>
      <c r="AJ62">
        <f>AND(IF(Metadata!I62="",FALSE,TRUE),exact(Metadata!I62,"years"))</f>
        <v>0</v>
      </c>
      <c r="AK62">
        <f>IF(Metadata!J62="",FALSE,TRUE)</f>
        <v>0</v>
      </c>
      <c r="AL62">
        <f>OR(AND(IF(Metadata!K62="",FALSE,TRUE),OR(exact(Metadata!K62,"not collected"),exact(Metadata!K62,"not provided"))),AND(IF(Metadata!K62="",FALSE,ISNUMBER(VALUE(Metadata!K62))),Metadata!K62&gt;0))</f>
        <v>0</v>
      </c>
      <c r="AM62">
        <f>AND(IF(Metadata!L62="",FALSE,TRUE),exact(Metadata!L62,"cm"))</f>
        <v>0</v>
      </c>
      <c r="AN62">
        <f>IF(Metadata!M62="",FALSE,TRUE)</f>
        <v>0</v>
      </c>
      <c r="AO62">
        <f>OR(AND(IF(Metadata!N62="",FALSE,TRUE),OR(exact(Metadata!N62,"not applicable"),exact(Metadata!N62,"not collected"),exact(Metadata!N62,"not provided"))),AND(IF(Metadata!N62="",FALSE,IF(ISERROR(INT(Metadata!N62)),FALSE,INT(Metadata!N62)=Metadata!N62)),Metadata!N62&gt;0))</f>
        <v>0</v>
      </c>
      <c r="AP62">
        <f>OR(AND(IF(Metadata!O62="",FALSE,TRUE),OR(exact(Metadata!O62,"not collected"),exact(Metadata!O62,"not provided"))),AND(IF(Metadata!O62="",FALSE,ISNUMBER(VALUE(Metadata!O62))),Metadata!O62&gt;0))</f>
        <v>0</v>
      </c>
      <c r="AQ62">
        <f>AND(IF(Metadata!P62="",FALSE,TRUE),exact(Metadata!P62,"kg"))</f>
        <v>0</v>
      </c>
      <c r="AR62">
        <f>OR(AND(IF(Metadata!Q62="",FALSE,TRUE),OR(exact(Metadata!Q62,"not applicable"),exact(Metadata!Q62,"not collected"),exact(Metadata!Q62,"not provided"),exact(Metadata!Q62,"restricted access"))),IF(Metadata!Q62="",FALSE,IF(ISERROR(INT(Metadata!Q62)),FALSE,INT(Metadata!Q62)=Metadata!Q62)))</f>
        <v>0</v>
      </c>
      <c r="AS62">
        <f>AND(IF(Metadata!R62="",FALSE,TRUE),exact(Metadata!R62,"Not applicable"))</f>
        <v>0</v>
      </c>
    </row>
    <row r="63" spans="1:45">
      <c r="A63" s="4">
        <f>IF(B63=" "," ",HYPERLINK(CONCATENATE("#metadata!",ADDRESS(INDEX($X$2:$X$1001,MATCH(ROWS($V$2:V63),$V$2:$V$1001,0),0),2)),INDEX($AA$2:$AA$1001,MATCH(ROWS($V$2:V63),$V$2:$V$1001,0),0)))</f>
        <v>0</v>
      </c>
      <c r="B63" s="5">
        <f>IF(OR(INDEX($W$2:$W$1001,MATCH(ROWS($V$2:V63),$V$2:$V$1001,0),1)&gt;=100000,INDEX($AC$1005:$AS$1005,1,MATCH(COLUMNS($AC$1006:AC1006),$AC$1006:$AS$1006,0))&gt;=100000), " ",IF(INDEX($AC$2:$AS$1001,MATCH(ROWS($V$2:V63),$V$2:$V$1001,0),MATCH(COLUMNS($AC$1006:AC1006),$AC$1006:$AS$1006,0)), HYPERLINK("#",""), HYPERLINK(CONCATENATE("#Metadata!", ADDRESS(INDEX($X$2:$X$1001,MATCH(ROWS($V$2:V63),$V$2:$V$1001,0),0), INDEX($AC$1004:$AS$1004,1,MATCH(COLUMNS($AC$1006:AC1006),$AC$1006:$AS$1006,0)))),"Fix")))</f>
        <v>0</v>
      </c>
      <c r="C63" s="5">
        <f>IF(OR(INDEX($W$2:$W$1001,MATCH(ROWS($V$2:V63),$V$2:$V$1001,0),1)&gt;=100000,INDEX($AC$1005:$AS$1005,1,MATCH(COLUMNS($AC$1006:AD1006),$AC$1006:$AS$1006,0))&gt;=100000), " ",IF(INDEX($AC$2:$AS$1001,MATCH(ROWS($V$2:V63),$V$2:$V$1001,0),MATCH(COLUMNS($AC$1006:AD1006),$AC$1006:$AS$1006,0)), HYPERLINK("#",""), HYPERLINK(CONCATENATE("#Metadata!", ADDRESS(INDEX($X$2:$X$1001,MATCH(ROWS($V$2:V63),$V$2:$V$1001,0),0), INDEX($AC$1004:$AS$1004,1,MATCH(COLUMNS($AC$1006:AD1006),$AC$1006:$AS$1006,0)))),"Fix")))</f>
        <v>0</v>
      </c>
      <c r="D63" s="5">
        <f>IF(OR(INDEX($W$2:$W$1001,MATCH(ROWS($V$2:V63),$V$2:$V$1001,0),1)&gt;=100000,INDEX($AC$1005:$AS$1005,1,MATCH(COLUMNS($AC$1006:AE1006),$AC$1006:$AS$1006,0))&gt;=100000), " ",IF(INDEX($AC$2:$AS$1001,MATCH(ROWS($V$2:V63),$V$2:$V$1001,0),MATCH(COLUMNS($AC$1006:AE1006),$AC$1006:$AS$1006,0)), HYPERLINK("#",""), HYPERLINK(CONCATENATE("#Metadata!", ADDRESS(INDEX($X$2:$X$1001,MATCH(ROWS($V$2:V63),$V$2:$V$1001,0),0), INDEX($AC$1004:$AS$1004,1,MATCH(COLUMNS($AC$1006:AE1006),$AC$1006:$AS$1006,0)))),"Fix")))</f>
        <v>0</v>
      </c>
      <c r="E63" s="5">
        <f>IF(OR(INDEX($W$2:$W$1001,MATCH(ROWS($V$2:V63),$V$2:$V$1001,0),1)&gt;=100000,INDEX($AC$1005:$AS$1005,1,MATCH(COLUMNS($AC$1006:AF1006),$AC$1006:$AS$1006,0))&gt;=100000), " ",IF(INDEX($AC$2:$AS$1001,MATCH(ROWS($V$2:V63),$V$2:$V$1001,0),MATCH(COLUMNS($AC$1006:AF1006),$AC$1006:$AS$1006,0)), HYPERLINK("#",""), HYPERLINK(CONCATENATE("#Metadata!", ADDRESS(INDEX($X$2:$X$1001,MATCH(ROWS($V$2:V63),$V$2:$V$1001,0),0), INDEX($AC$1004:$AS$1004,1,MATCH(COLUMNS($AC$1006:AF1006),$AC$1006:$AS$1006,0)))),"Fix")))</f>
        <v>0</v>
      </c>
      <c r="F63" s="5">
        <f>IF(OR(INDEX($W$2:$W$1001,MATCH(ROWS($V$2:V63),$V$2:$V$1001,0),1)&gt;=100000,INDEX($AC$1005:$AS$1005,1,MATCH(COLUMNS($AC$1006:AG1006),$AC$1006:$AS$1006,0))&gt;=100000), " ",IF(INDEX($AC$2:$AS$1001,MATCH(ROWS($V$2:V63),$V$2:$V$1001,0),MATCH(COLUMNS($AC$1006:AG1006),$AC$1006:$AS$1006,0)), HYPERLINK("#",""), HYPERLINK(CONCATENATE("#Metadata!", ADDRESS(INDEX($X$2:$X$1001,MATCH(ROWS($V$2:V63),$V$2:$V$1001,0),0), INDEX($AC$1004:$AS$1004,1,MATCH(COLUMNS($AC$1006:AG1006),$AC$1006:$AS$1006,0)))),"Fix")))</f>
        <v>0</v>
      </c>
      <c r="G63" s="5">
        <f>IF(OR(INDEX($W$2:$W$1001,MATCH(ROWS($V$2:V63),$V$2:$V$1001,0),1)&gt;=100000,INDEX($AC$1005:$AS$1005,1,MATCH(COLUMNS($AC$1006:AH1006),$AC$1006:$AS$1006,0))&gt;=100000), " ",IF(INDEX($AC$2:$AS$1001,MATCH(ROWS($V$2:V63),$V$2:$V$1001,0),MATCH(COLUMNS($AC$1006:AH1006),$AC$1006:$AS$1006,0)), HYPERLINK("#",""), HYPERLINK(CONCATENATE("#Metadata!", ADDRESS(INDEX($X$2:$X$1001,MATCH(ROWS($V$2:V63),$V$2:$V$1001,0),0), INDEX($AC$1004:$AS$1004,1,MATCH(COLUMNS($AC$1006:AH1006),$AC$1006:$AS$1006,0)))),"Fix")))</f>
        <v>0</v>
      </c>
      <c r="H63" s="5">
        <f>IF(OR(INDEX($W$2:$W$1001,MATCH(ROWS($V$2:V63),$V$2:$V$1001,0),1)&gt;=100000,INDEX($AC$1005:$AS$1005,1,MATCH(COLUMNS($AC$1006:AI1006),$AC$1006:$AS$1006,0))&gt;=100000), " ",IF(INDEX($AC$2:$AS$1001,MATCH(ROWS($V$2:V63),$V$2:$V$1001,0),MATCH(COLUMNS($AC$1006:AI1006),$AC$1006:$AS$1006,0)), HYPERLINK("#",""), HYPERLINK(CONCATENATE("#Metadata!", ADDRESS(INDEX($X$2:$X$1001,MATCH(ROWS($V$2:V63),$V$2:$V$1001,0),0), INDEX($AC$1004:$AS$1004,1,MATCH(COLUMNS($AC$1006:AI1006),$AC$1006:$AS$1006,0)))),"Fix")))</f>
        <v>0</v>
      </c>
      <c r="I63" s="5">
        <f>IF(OR(INDEX($W$2:$W$1001,MATCH(ROWS($V$2:V63),$V$2:$V$1001,0),1)&gt;=100000,INDEX($AC$1005:$AS$1005,1,MATCH(COLUMNS($AC$1006:AJ1006),$AC$1006:$AS$1006,0))&gt;=100000), " ",IF(INDEX($AC$2:$AS$1001,MATCH(ROWS($V$2:V63),$V$2:$V$1001,0),MATCH(COLUMNS($AC$1006:AJ1006),$AC$1006:$AS$1006,0)), HYPERLINK("#",""), HYPERLINK(CONCATENATE("#Metadata!", ADDRESS(INDEX($X$2:$X$1001,MATCH(ROWS($V$2:V63),$V$2:$V$1001,0),0), INDEX($AC$1004:$AS$1004,1,MATCH(COLUMNS($AC$1006:AJ1006),$AC$1006:$AS$1006,0)))),"Fix")))</f>
        <v>0</v>
      </c>
      <c r="J63" s="5">
        <f>IF(OR(INDEX($W$2:$W$1001,MATCH(ROWS($V$2:V63),$V$2:$V$1001,0),1)&gt;=100000,INDEX($AC$1005:$AS$1005,1,MATCH(COLUMNS($AC$1006:AK1006),$AC$1006:$AS$1006,0))&gt;=100000), " ",IF(INDEX($AC$2:$AS$1001,MATCH(ROWS($V$2:V63),$V$2:$V$1001,0),MATCH(COLUMNS($AC$1006:AK1006),$AC$1006:$AS$1006,0)), HYPERLINK("#",""), HYPERLINK(CONCATENATE("#Metadata!", ADDRESS(INDEX($X$2:$X$1001,MATCH(ROWS($V$2:V63),$V$2:$V$1001,0),0), INDEX($AC$1004:$AS$1004,1,MATCH(COLUMNS($AC$1006:AK1006),$AC$1006:$AS$1006,0)))),"Fix")))</f>
        <v>0</v>
      </c>
      <c r="K63" s="5">
        <f>IF(OR(INDEX($W$2:$W$1001,MATCH(ROWS($V$2:V63),$V$2:$V$1001,0),1)&gt;=100000,INDEX($AC$1005:$AS$1005,1,MATCH(COLUMNS($AC$1006:AL1006),$AC$1006:$AS$1006,0))&gt;=100000), " ",IF(INDEX($AC$2:$AS$1001,MATCH(ROWS($V$2:V63),$V$2:$V$1001,0),MATCH(COLUMNS($AC$1006:AL1006),$AC$1006:$AS$1006,0)), HYPERLINK("#",""), HYPERLINK(CONCATENATE("#Metadata!", ADDRESS(INDEX($X$2:$X$1001,MATCH(ROWS($V$2:V63),$V$2:$V$1001,0),0), INDEX($AC$1004:$AS$1004,1,MATCH(COLUMNS($AC$1006:AL1006),$AC$1006:$AS$1006,0)))),"Fix")))</f>
        <v>0</v>
      </c>
      <c r="L63" s="5">
        <f>IF(OR(INDEX($W$2:$W$1001,MATCH(ROWS($V$2:V63),$V$2:$V$1001,0),1)&gt;=100000,INDEX($AC$1005:$AS$1005,1,MATCH(COLUMNS($AC$1006:AM1006),$AC$1006:$AS$1006,0))&gt;=100000), " ",IF(INDEX($AC$2:$AS$1001,MATCH(ROWS($V$2:V63),$V$2:$V$1001,0),MATCH(COLUMNS($AC$1006:AM1006),$AC$1006:$AS$1006,0)), HYPERLINK("#",""), HYPERLINK(CONCATENATE("#Metadata!", ADDRESS(INDEX($X$2:$X$1001,MATCH(ROWS($V$2:V63),$V$2:$V$1001,0),0), INDEX($AC$1004:$AS$1004,1,MATCH(COLUMNS($AC$1006:AM1006),$AC$1006:$AS$1006,0)))),"Fix")))</f>
        <v>0</v>
      </c>
      <c r="M63" s="5">
        <f>IF(OR(INDEX($W$2:$W$1001,MATCH(ROWS($V$2:V63),$V$2:$V$1001,0),1)&gt;=100000,INDEX($AC$1005:$AS$1005,1,MATCH(COLUMNS($AC$1006:AN1006),$AC$1006:$AS$1006,0))&gt;=100000), " ",IF(INDEX($AC$2:$AS$1001,MATCH(ROWS($V$2:V63),$V$2:$V$1001,0),MATCH(COLUMNS($AC$1006:AN1006),$AC$1006:$AS$1006,0)), HYPERLINK("#",""), HYPERLINK(CONCATENATE("#Metadata!", ADDRESS(INDEX($X$2:$X$1001,MATCH(ROWS($V$2:V63),$V$2:$V$1001,0),0), INDEX($AC$1004:$AS$1004,1,MATCH(COLUMNS($AC$1006:AN1006),$AC$1006:$AS$1006,0)))),"Fix")))</f>
        <v>0</v>
      </c>
      <c r="N63" s="5">
        <f>IF(OR(INDEX($W$2:$W$1001,MATCH(ROWS($V$2:V63),$V$2:$V$1001,0),1)&gt;=100000,INDEX($AC$1005:$AS$1005,1,MATCH(COLUMNS($AC$1006:AO1006),$AC$1006:$AS$1006,0))&gt;=100000), " ",IF(INDEX($AC$2:$AS$1001,MATCH(ROWS($V$2:V63),$V$2:$V$1001,0),MATCH(COLUMNS($AC$1006:AO1006),$AC$1006:$AS$1006,0)), HYPERLINK("#",""), HYPERLINK(CONCATENATE("#Metadata!", ADDRESS(INDEX($X$2:$X$1001,MATCH(ROWS($V$2:V63),$V$2:$V$1001,0),0), INDEX($AC$1004:$AS$1004,1,MATCH(COLUMNS($AC$1006:AO1006),$AC$1006:$AS$1006,0)))),"Fix")))</f>
        <v>0</v>
      </c>
      <c r="O63" s="5">
        <f>IF(OR(INDEX($W$2:$W$1001,MATCH(ROWS($V$2:V63),$V$2:$V$1001,0),1)&gt;=100000,INDEX($AC$1005:$AS$1005,1,MATCH(COLUMNS($AC$1006:AP1006),$AC$1006:$AS$1006,0))&gt;=100000), " ",IF(INDEX($AC$2:$AS$1001,MATCH(ROWS($V$2:V63),$V$2:$V$1001,0),MATCH(COLUMNS($AC$1006:AP1006),$AC$1006:$AS$1006,0)), HYPERLINK("#",""), HYPERLINK(CONCATENATE("#Metadata!", ADDRESS(INDEX($X$2:$X$1001,MATCH(ROWS($V$2:V63),$V$2:$V$1001,0),0), INDEX($AC$1004:$AS$1004,1,MATCH(COLUMNS($AC$1006:AP1006),$AC$1006:$AS$1006,0)))),"Fix")))</f>
        <v>0</v>
      </c>
      <c r="P63" s="5">
        <f>IF(OR(INDEX($W$2:$W$1001,MATCH(ROWS($V$2:V63),$V$2:$V$1001,0),1)&gt;=100000,INDEX($AC$1005:$AS$1005,1,MATCH(COLUMNS($AC$1006:AQ1006),$AC$1006:$AS$1006,0))&gt;=100000), " ",IF(INDEX($AC$2:$AS$1001,MATCH(ROWS($V$2:V63),$V$2:$V$1001,0),MATCH(COLUMNS($AC$1006:AQ1006),$AC$1006:$AS$1006,0)), HYPERLINK("#",""), HYPERLINK(CONCATENATE("#Metadata!", ADDRESS(INDEX($X$2:$X$1001,MATCH(ROWS($V$2:V63),$V$2:$V$1001,0),0), INDEX($AC$1004:$AS$1004,1,MATCH(COLUMNS($AC$1006:AQ1006),$AC$1006:$AS$1006,0)))),"Fix")))</f>
        <v>0</v>
      </c>
      <c r="Q63" s="5">
        <f>IF(OR(INDEX($W$2:$W$1001,MATCH(ROWS($V$2:V63),$V$2:$V$1001,0),1)&gt;=100000,INDEX($AC$1005:$AS$1005,1,MATCH(COLUMNS($AC$1006:AR1006),$AC$1006:$AS$1006,0))&gt;=100000), " ",IF(INDEX($AC$2:$AS$1001,MATCH(ROWS($V$2:V63),$V$2:$V$1001,0),MATCH(COLUMNS($AC$1006:AR1006),$AC$1006:$AS$1006,0)), HYPERLINK("#",""), HYPERLINK(CONCATENATE("#Metadata!", ADDRESS(INDEX($X$2:$X$1001,MATCH(ROWS($V$2:V63),$V$2:$V$1001,0),0), INDEX($AC$1004:$AS$1004,1,MATCH(COLUMNS($AC$1006:AR1006),$AC$1006:$AS$1006,0)))),"Fix")))</f>
        <v>0</v>
      </c>
      <c r="R63" s="5">
        <f>IF(OR(INDEX($W$2:$W$1001,MATCH(ROWS($V$2:V63),$V$2:$V$1001,0),1)&gt;=100000,INDEX($AC$1005:$AS$1005,1,MATCH(COLUMNS($AC$1006:AS1006),$AC$1006:$AS$1006,0))&gt;=100000), " ",IF(INDEX($AC$2:$AS$1001,MATCH(ROWS($V$2:V63),$V$2:$V$1001,0),MATCH(COLUMNS($AC$1006:AS1006),$AC$1006:$AS$1006,0)), HYPERLINK("#",""), HYPERLINK(CONCATENATE("#Metadata!", ADDRESS(INDEX($X$2:$X$1001,MATCH(ROWS($V$2:V63),$V$2:$V$1001,0),0), INDEX($AC$1004:$AS$1004,1,MATCH(COLUMNS($AC$1006:AS1006),$AC$1006:$AS$1006,0)))),"Fix")))</f>
        <v>0</v>
      </c>
      <c r="V63">
        <v>0</v>
      </c>
      <c r="W63">
        <v>0</v>
      </c>
      <c r="X63">
        <v>0</v>
      </c>
      <c r="Y63">
        <f>IF(Z63,TRUE,AND(AC63:AS63))</f>
        <v>0</v>
      </c>
      <c r="Z63">
        <f>COUNTBLANK(Metadata!B63:R63)=COLUMNS(Metadata!B63:R63)</f>
        <v>0</v>
      </c>
      <c r="AA63">
        <v>0</v>
      </c>
      <c r="AC63">
        <f>AND(IF(Metadata!B63="",FALSE,TRUE),COUNTIF(Metadata!B:B, Metadata!B63) = 1,NOT(ISERROR(SUMPRODUCT(SEARCH(MID(Metadata!B63,ROW(INDIRECT("1:"&amp;LEN(Metadata!B63))), 1),"0123456789abcdefghijklmnopqrstuvwxyzABCDEFGHIJKLMNOPQRSTUVWXYZ.")))))</f>
        <v>0</v>
      </c>
      <c r="AD63">
        <f>AND(IF(Metadata!C63="",FALSE,TRUE),exact(Metadata!C63,"Host-associated"))</f>
        <v>0</v>
      </c>
      <c r="AE63">
        <f>AND(IF(Metadata!D63="",FALSE,TRUE),OR(exact(Metadata!D63,"Animal"),exact(Metadata!D63,"Fungus"),exact(Metadata!D63,"Plant")))</f>
        <v>0</v>
      </c>
      <c r="AF63">
        <f>AND(IF(Metadata!E63="",FALSE,TRUE),OR(exact(Metadata!E63,"Plant secretion"),exact(Metadata!E63,"Plant rhizosphere"),exact(Metadata!E63,"Plant surface"),exact(Metadata!E63,"Plant corpus"),exact(Metadata!E63,"Fungus surface"),exact(Metadata!E63,"Fungus corpus"),exact(Metadata!E63,"Animal surface"),exact(Metadata!E63,"Animal proximal gut"),exact(Metadata!E63,"Animal corpus"),exact(Metadata!E63,"Animal distal gut"),exact(Metadata!E63,"Animal secretion")))</f>
        <v>0</v>
      </c>
      <c r="AG63">
        <f>OR(AND(IF(Metadata!F63="",FALSE,TRUE),OR(exact(Metadata!F63,"not collected"),exact(Metadata!F63,"not provided"),exact(Metadata!F63,"restricted access"))),AND(IF(Metadata!F63="",FALSE,TRUE),OR(exact(Metadata!F63,"organism-associated habitat"),exact(Metadata!F63,"plant-associated habitat"),exact(Metadata!F63,"animal-associated habitat"),exact(Metadata!F63,"insecta-associated habitat"),exact(Metadata!F63,"mammalia-associated habitat"),exact(Metadata!F63,"human-associated habitat"),exact(Metadata!F63,"livestock-associated habitat"))))</f>
        <v>0</v>
      </c>
      <c r="AH63">
        <f>AND(IF(Metadata!G63="",FALSE,TRUE),exact(Metadata!G63,"host-associated"))</f>
        <v>0</v>
      </c>
      <c r="AI63">
        <f>OR(AND(IF(Metadata!H63="",FALSE,TRUE),OR(exact(Metadata!H63,"not collected"),exact(Metadata!H63,"not provided"))),AND(IF(Metadata!H63="",FALSE,ISNUMBER(VALUE(Metadata!H63))),Metadata!H63&gt;0))</f>
        <v>0</v>
      </c>
      <c r="AJ63">
        <f>AND(IF(Metadata!I63="",FALSE,TRUE),exact(Metadata!I63,"years"))</f>
        <v>0</v>
      </c>
      <c r="AK63">
        <f>IF(Metadata!J63="",FALSE,TRUE)</f>
        <v>0</v>
      </c>
      <c r="AL63">
        <f>OR(AND(IF(Metadata!K63="",FALSE,TRUE),OR(exact(Metadata!K63,"not collected"),exact(Metadata!K63,"not provided"))),AND(IF(Metadata!K63="",FALSE,ISNUMBER(VALUE(Metadata!K63))),Metadata!K63&gt;0))</f>
        <v>0</v>
      </c>
      <c r="AM63">
        <f>AND(IF(Metadata!L63="",FALSE,TRUE),exact(Metadata!L63,"cm"))</f>
        <v>0</v>
      </c>
      <c r="AN63">
        <f>IF(Metadata!M63="",FALSE,TRUE)</f>
        <v>0</v>
      </c>
      <c r="AO63">
        <f>OR(AND(IF(Metadata!N63="",FALSE,TRUE),OR(exact(Metadata!N63,"not applicable"),exact(Metadata!N63,"not collected"),exact(Metadata!N63,"not provided"))),AND(IF(Metadata!N63="",FALSE,IF(ISERROR(INT(Metadata!N63)),FALSE,INT(Metadata!N63)=Metadata!N63)),Metadata!N63&gt;0))</f>
        <v>0</v>
      </c>
      <c r="AP63">
        <f>OR(AND(IF(Metadata!O63="",FALSE,TRUE),OR(exact(Metadata!O63,"not collected"),exact(Metadata!O63,"not provided"))),AND(IF(Metadata!O63="",FALSE,ISNUMBER(VALUE(Metadata!O63))),Metadata!O63&gt;0))</f>
        <v>0</v>
      </c>
      <c r="AQ63">
        <f>AND(IF(Metadata!P63="",FALSE,TRUE),exact(Metadata!P63,"kg"))</f>
        <v>0</v>
      </c>
      <c r="AR63">
        <f>OR(AND(IF(Metadata!Q63="",FALSE,TRUE),OR(exact(Metadata!Q63,"not applicable"),exact(Metadata!Q63,"not collected"),exact(Metadata!Q63,"not provided"),exact(Metadata!Q63,"restricted access"))),IF(Metadata!Q63="",FALSE,IF(ISERROR(INT(Metadata!Q63)),FALSE,INT(Metadata!Q63)=Metadata!Q63)))</f>
        <v>0</v>
      </c>
      <c r="AS63">
        <f>AND(IF(Metadata!R63="",FALSE,TRUE),exact(Metadata!R63,"Not applicable"))</f>
        <v>0</v>
      </c>
    </row>
    <row r="64" spans="1:45">
      <c r="A64" s="4">
        <f>IF(B64=" "," ",HYPERLINK(CONCATENATE("#metadata!",ADDRESS(INDEX($X$2:$X$1001,MATCH(ROWS($V$2:V64),$V$2:$V$1001,0),0),2)),INDEX($AA$2:$AA$1001,MATCH(ROWS($V$2:V64),$V$2:$V$1001,0),0)))</f>
        <v>0</v>
      </c>
      <c r="B64" s="5">
        <f>IF(OR(INDEX($W$2:$W$1001,MATCH(ROWS($V$2:V64),$V$2:$V$1001,0),1)&gt;=100000,INDEX($AC$1005:$AS$1005,1,MATCH(COLUMNS($AC$1006:AC1006),$AC$1006:$AS$1006,0))&gt;=100000), " ",IF(INDEX($AC$2:$AS$1001,MATCH(ROWS($V$2:V64),$V$2:$V$1001,0),MATCH(COLUMNS($AC$1006:AC1006),$AC$1006:$AS$1006,0)), HYPERLINK("#",""), HYPERLINK(CONCATENATE("#Metadata!", ADDRESS(INDEX($X$2:$X$1001,MATCH(ROWS($V$2:V64),$V$2:$V$1001,0),0), INDEX($AC$1004:$AS$1004,1,MATCH(COLUMNS($AC$1006:AC1006),$AC$1006:$AS$1006,0)))),"Fix")))</f>
        <v>0</v>
      </c>
      <c r="C64" s="5">
        <f>IF(OR(INDEX($W$2:$W$1001,MATCH(ROWS($V$2:V64),$V$2:$V$1001,0),1)&gt;=100000,INDEX($AC$1005:$AS$1005,1,MATCH(COLUMNS($AC$1006:AD1006),$AC$1006:$AS$1006,0))&gt;=100000), " ",IF(INDEX($AC$2:$AS$1001,MATCH(ROWS($V$2:V64),$V$2:$V$1001,0),MATCH(COLUMNS($AC$1006:AD1006),$AC$1006:$AS$1006,0)), HYPERLINK("#",""), HYPERLINK(CONCATENATE("#Metadata!", ADDRESS(INDEX($X$2:$X$1001,MATCH(ROWS($V$2:V64),$V$2:$V$1001,0),0), INDEX($AC$1004:$AS$1004,1,MATCH(COLUMNS($AC$1006:AD1006),$AC$1006:$AS$1006,0)))),"Fix")))</f>
        <v>0</v>
      </c>
      <c r="D64" s="5">
        <f>IF(OR(INDEX($W$2:$W$1001,MATCH(ROWS($V$2:V64),$V$2:$V$1001,0),1)&gt;=100000,INDEX($AC$1005:$AS$1005,1,MATCH(COLUMNS($AC$1006:AE1006),$AC$1006:$AS$1006,0))&gt;=100000), " ",IF(INDEX($AC$2:$AS$1001,MATCH(ROWS($V$2:V64),$V$2:$V$1001,0),MATCH(COLUMNS($AC$1006:AE1006),$AC$1006:$AS$1006,0)), HYPERLINK("#",""), HYPERLINK(CONCATENATE("#Metadata!", ADDRESS(INDEX($X$2:$X$1001,MATCH(ROWS($V$2:V64),$V$2:$V$1001,0),0), INDEX($AC$1004:$AS$1004,1,MATCH(COLUMNS($AC$1006:AE1006),$AC$1006:$AS$1006,0)))),"Fix")))</f>
        <v>0</v>
      </c>
      <c r="E64" s="5">
        <f>IF(OR(INDEX($W$2:$W$1001,MATCH(ROWS($V$2:V64),$V$2:$V$1001,0),1)&gt;=100000,INDEX($AC$1005:$AS$1005,1,MATCH(COLUMNS($AC$1006:AF1006),$AC$1006:$AS$1006,0))&gt;=100000), " ",IF(INDEX($AC$2:$AS$1001,MATCH(ROWS($V$2:V64),$V$2:$V$1001,0),MATCH(COLUMNS($AC$1006:AF1006),$AC$1006:$AS$1006,0)), HYPERLINK("#",""), HYPERLINK(CONCATENATE("#Metadata!", ADDRESS(INDEX($X$2:$X$1001,MATCH(ROWS($V$2:V64),$V$2:$V$1001,0),0), INDEX($AC$1004:$AS$1004,1,MATCH(COLUMNS($AC$1006:AF1006),$AC$1006:$AS$1006,0)))),"Fix")))</f>
        <v>0</v>
      </c>
      <c r="F64" s="5">
        <f>IF(OR(INDEX($W$2:$W$1001,MATCH(ROWS($V$2:V64),$V$2:$V$1001,0),1)&gt;=100000,INDEX($AC$1005:$AS$1005,1,MATCH(COLUMNS($AC$1006:AG1006),$AC$1006:$AS$1006,0))&gt;=100000), " ",IF(INDEX($AC$2:$AS$1001,MATCH(ROWS($V$2:V64),$V$2:$V$1001,0),MATCH(COLUMNS($AC$1006:AG1006),$AC$1006:$AS$1006,0)), HYPERLINK("#",""), HYPERLINK(CONCATENATE("#Metadata!", ADDRESS(INDEX($X$2:$X$1001,MATCH(ROWS($V$2:V64),$V$2:$V$1001,0),0), INDEX($AC$1004:$AS$1004,1,MATCH(COLUMNS($AC$1006:AG1006),$AC$1006:$AS$1006,0)))),"Fix")))</f>
        <v>0</v>
      </c>
      <c r="G64" s="5">
        <f>IF(OR(INDEX($W$2:$W$1001,MATCH(ROWS($V$2:V64),$V$2:$V$1001,0),1)&gt;=100000,INDEX($AC$1005:$AS$1005,1,MATCH(COLUMNS($AC$1006:AH1006),$AC$1006:$AS$1006,0))&gt;=100000), " ",IF(INDEX($AC$2:$AS$1001,MATCH(ROWS($V$2:V64),$V$2:$V$1001,0),MATCH(COLUMNS($AC$1006:AH1006),$AC$1006:$AS$1006,0)), HYPERLINK("#",""), HYPERLINK(CONCATENATE("#Metadata!", ADDRESS(INDEX($X$2:$X$1001,MATCH(ROWS($V$2:V64),$V$2:$V$1001,0),0), INDEX($AC$1004:$AS$1004,1,MATCH(COLUMNS($AC$1006:AH1006),$AC$1006:$AS$1006,0)))),"Fix")))</f>
        <v>0</v>
      </c>
      <c r="H64" s="5">
        <f>IF(OR(INDEX($W$2:$W$1001,MATCH(ROWS($V$2:V64),$V$2:$V$1001,0),1)&gt;=100000,INDEX($AC$1005:$AS$1005,1,MATCH(COLUMNS($AC$1006:AI1006),$AC$1006:$AS$1006,0))&gt;=100000), " ",IF(INDEX($AC$2:$AS$1001,MATCH(ROWS($V$2:V64),$V$2:$V$1001,0),MATCH(COLUMNS($AC$1006:AI1006),$AC$1006:$AS$1006,0)), HYPERLINK("#",""), HYPERLINK(CONCATENATE("#Metadata!", ADDRESS(INDEX($X$2:$X$1001,MATCH(ROWS($V$2:V64),$V$2:$V$1001,0),0), INDEX($AC$1004:$AS$1004,1,MATCH(COLUMNS($AC$1006:AI1006),$AC$1006:$AS$1006,0)))),"Fix")))</f>
        <v>0</v>
      </c>
      <c r="I64" s="5">
        <f>IF(OR(INDEX($W$2:$W$1001,MATCH(ROWS($V$2:V64),$V$2:$V$1001,0),1)&gt;=100000,INDEX($AC$1005:$AS$1005,1,MATCH(COLUMNS($AC$1006:AJ1006),$AC$1006:$AS$1006,0))&gt;=100000), " ",IF(INDEX($AC$2:$AS$1001,MATCH(ROWS($V$2:V64),$V$2:$V$1001,0),MATCH(COLUMNS($AC$1006:AJ1006),$AC$1006:$AS$1006,0)), HYPERLINK("#",""), HYPERLINK(CONCATENATE("#Metadata!", ADDRESS(INDEX($X$2:$X$1001,MATCH(ROWS($V$2:V64),$V$2:$V$1001,0),0), INDEX($AC$1004:$AS$1004,1,MATCH(COLUMNS($AC$1006:AJ1006),$AC$1006:$AS$1006,0)))),"Fix")))</f>
        <v>0</v>
      </c>
      <c r="J64" s="5">
        <f>IF(OR(INDEX($W$2:$W$1001,MATCH(ROWS($V$2:V64),$V$2:$V$1001,0),1)&gt;=100000,INDEX($AC$1005:$AS$1005,1,MATCH(COLUMNS($AC$1006:AK1006),$AC$1006:$AS$1006,0))&gt;=100000), " ",IF(INDEX($AC$2:$AS$1001,MATCH(ROWS($V$2:V64),$V$2:$V$1001,0),MATCH(COLUMNS($AC$1006:AK1006),$AC$1006:$AS$1006,0)), HYPERLINK("#",""), HYPERLINK(CONCATENATE("#Metadata!", ADDRESS(INDEX($X$2:$X$1001,MATCH(ROWS($V$2:V64),$V$2:$V$1001,0),0), INDEX($AC$1004:$AS$1004,1,MATCH(COLUMNS($AC$1006:AK1006),$AC$1006:$AS$1006,0)))),"Fix")))</f>
        <v>0</v>
      </c>
      <c r="K64" s="5">
        <f>IF(OR(INDEX($W$2:$W$1001,MATCH(ROWS($V$2:V64),$V$2:$V$1001,0),1)&gt;=100000,INDEX($AC$1005:$AS$1005,1,MATCH(COLUMNS($AC$1006:AL1006),$AC$1006:$AS$1006,0))&gt;=100000), " ",IF(INDEX($AC$2:$AS$1001,MATCH(ROWS($V$2:V64),$V$2:$V$1001,0),MATCH(COLUMNS($AC$1006:AL1006),$AC$1006:$AS$1006,0)), HYPERLINK("#",""), HYPERLINK(CONCATENATE("#Metadata!", ADDRESS(INDEX($X$2:$X$1001,MATCH(ROWS($V$2:V64),$V$2:$V$1001,0),0), INDEX($AC$1004:$AS$1004,1,MATCH(COLUMNS($AC$1006:AL1006),$AC$1006:$AS$1006,0)))),"Fix")))</f>
        <v>0</v>
      </c>
      <c r="L64" s="5">
        <f>IF(OR(INDEX($W$2:$W$1001,MATCH(ROWS($V$2:V64),$V$2:$V$1001,0),1)&gt;=100000,INDEX($AC$1005:$AS$1005,1,MATCH(COLUMNS($AC$1006:AM1006),$AC$1006:$AS$1006,0))&gt;=100000), " ",IF(INDEX($AC$2:$AS$1001,MATCH(ROWS($V$2:V64),$V$2:$V$1001,0),MATCH(COLUMNS($AC$1006:AM1006),$AC$1006:$AS$1006,0)), HYPERLINK("#",""), HYPERLINK(CONCATENATE("#Metadata!", ADDRESS(INDEX($X$2:$X$1001,MATCH(ROWS($V$2:V64),$V$2:$V$1001,0),0), INDEX($AC$1004:$AS$1004,1,MATCH(COLUMNS($AC$1006:AM1006),$AC$1006:$AS$1006,0)))),"Fix")))</f>
        <v>0</v>
      </c>
      <c r="M64" s="5">
        <f>IF(OR(INDEX($W$2:$W$1001,MATCH(ROWS($V$2:V64),$V$2:$V$1001,0),1)&gt;=100000,INDEX($AC$1005:$AS$1005,1,MATCH(COLUMNS($AC$1006:AN1006),$AC$1006:$AS$1006,0))&gt;=100000), " ",IF(INDEX($AC$2:$AS$1001,MATCH(ROWS($V$2:V64),$V$2:$V$1001,0),MATCH(COLUMNS($AC$1006:AN1006),$AC$1006:$AS$1006,0)), HYPERLINK("#",""), HYPERLINK(CONCATENATE("#Metadata!", ADDRESS(INDEX($X$2:$X$1001,MATCH(ROWS($V$2:V64),$V$2:$V$1001,0),0), INDEX($AC$1004:$AS$1004,1,MATCH(COLUMNS($AC$1006:AN1006),$AC$1006:$AS$1006,0)))),"Fix")))</f>
        <v>0</v>
      </c>
      <c r="N64" s="5">
        <f>IF(OR(INDEX($W$2:$W$1001,MATCH(ROWS($V$2:V64),$V$2:$V$1001,0),1)&gt;=100000,INDEX($AC$1005:$AS$1005,1,MATCH(COLUMNS($AC$1006:AO1006),$AC$1006:$AS$1006,0))&gt;=100000), " ",IF(INDEX($AC$2:$AS$1001,MATCH(ROWS($V$2:V64),$V$2:$V$1001,0),MATCH(COLUMNS($AC$1006:AO1006),$AC$1006:$AS$1006,0)), HYPERLINK("#",""), HYPERLINK(CONCATENATE("#Metadata!", ADDRESS(INDEX($X$2:$X$1001,MATCH(ROWS($V$2:V64),$V$2:$V$1001,0),0), INDEX($AC$1004:$AS$1004,1,MATCH(COLUMNS($AC$1006:AO1006),$AC$1006:$AS$1006,0)))),"Fix")))</f>
        <v>0</v>
      </c>
      <c r="O64" s="5">
        <f>IF(OR(INDEX($W$2:$W$1001,MATCH(ROWS($V$2:V64),$V$2:$V$1001,0),1)&gt;=100000,INDEX($AC$1005:$AS$1005,1,MATCH(COLUMNS($AC$1006:AP1006),$AC$1006:$AS$1006,0))&gt;=100000), " ",IF(INDEX($AC$2:$AS$1001,MATCH(ROWS($V$2:V64),$V$2:$V$1001,0),MATCH(COLUMNS($AC$1006:AP1006),$AC$1006:$AS$1006,0)), HYPERLINK("#",""), HYPERLINK(CONCATENATE("#Metadata!", ADDRESS(INDEX($X$2:$X$1001,MATCH(ROWS($V$2:V64),$V$2:$V$1001,0),0), INDEX($AC$1004:$AS$1004,1,MATCH(COLUMNS($AC$1006:AP1006),$AC$1006:$AS$1006,0)))),"Fix")))</f>
        <v>0</v>
      </c>
      <c r="P64" s="5">
        <f>IF(OR(INDEX($W$2:$W$1001,MATCH(ROWS($V$2:V64),$V$2:$V$1001,0),1)&gt;=100000,INDEX($AC$1005:$AS$1005,1,MATCH(COLUMNS($AC$1006:AQ1006),$AC$1006:$AS$1006,0))&gt;=100000), " ",IF(INDEX($AC$2:$AS$1001,MATCH(ROWS($V$2:V64),$V$2:$V$1001,0),MATCH(COLUMNS($AC$1006:AQ1006),$AC$1006:$AS$1006,0)), HYPERLINK("#",""), HYPERLINK(CONCATENATE("#Metadata!", ADDRESS(INDEX($X$2:$X$1001,MATCH(ROWS($V$2:V64),$V$2:$V$1001,0),0), INDEX($AC$1004:$AS$1004,1,MATCH(COLUMNS($AC$1006:AQ1006),$AC$1006:$AS$1006,0)))),"Fix")))</f>
        <v>0</v>
      </c>
      <c r="Q64" s="5">
        <f>IF(OR(INDEX($W$2:$W$1001,MATCH(ROWS($V$2:V64),$V$2:$V$1001,0),1)&gt;=100000,INDEX($AC$1005:$AS$1005,1,MATCH(COLUMNS($AC$1006:AR1006),$AC$1006:$AS$1006,0))&gt;=100000), " ",IF(INDEX($AC$2:$AS$1001,MATCH(ROWS($V$2:V64),$V$2:$V$1001,0),MATCH(COLUMNS($AC$1006:AR1006),$AC$1006:$AS$1006,0)), HYPERLINK("#",""), HYPERLINK(CONCATENATE("#Metadata!", ADDRESS(INDEX($X$2:$X$1001,MATCH(ROWS($V$2:V64),$V$2:$V$1001,0),0), INDEX($AC$1004:$AS$1004,1,MATCH(COLUMNS($AC$1006:AR1006),$AC$1006:$AS$1006,0)))),"Fix")))</f>
        <v>0</v>
      </c>
      <c r="R64" s="5">
        <f>IF(OR(INDEX($W$2:$W$1001,MATCH(ROWS($V$2:V64),$V$2:$V$1001,0),1)&gt;=100000,INDEX($AC$1005:$AS$1005,1,MATCH(COLUMNS($AC$1006:AS1006),$AC$1006:$AS$1006,0))&gt;=100000), " ",IF(INDEX($AC$2:$AS$1001,MATCH(ROWS($V$2:V64),$V$2:$V$1001,0),MATCH(COLUMNS($AC$1006:AS1006),$AC$1006:$AS$1006,0)), HYPERLINK("#",""), HYPERLINK(CONCATENATE("#Metadata!", ADDRESS(INDEX($X$2:$X$1001,MATCH(ROWS($V$2:V64),$V$2:$V$1001,0),0), INDEX($AC$1004:$AS$1004,1,MATCH(COLUMNS($AC$1006:AS1006),$AC$1006:$AS$1006,0)))),"Fix")))</f>
        <v>0</v>
      </c>
      <c r="V64">
        <v>0</v>
      </c>
      <c r="W64">
        <v>0</v>
      </c>
      <c r="X64">
        <v>0</v>
      </c>
      <c r="Y64">
        <f>IF(Z64,TRUE,AND(AC64:AS64))</f>
        <v>0</v>
      </c>
      <c r="Z64">
        <f>COUNTBLANK(Metadata!B64:R64)=COLUMNS(Metadata!B64:R64)</f>
        <v>0</v>
      </c>
      <c r="AA64">
        <v>0</v>
      </c>
      <c r="AC64">
        <f>AND(IF(Metadata!B64="",FALSE,TRUE),COUNTIF(Metadata!B:B, Metadata!B64) = 1,NOT(ISERROR(SUMPRODUCT(SEARCH(MID(Metadata!B64,ROW(INDIRECT("1:"&amp;LEN(Metadata!B64))), 1),"0123456789abcdefghijklmnopqrstuvwxyzABCDEFGHIJKLMNOPQRSTUVWXYZ.")))))</f>
        <v>0</v>
      </c>
      <c r="AD64">
        <f>AND(IF(Metadata!C64="",FALSE,TRUE),exact(Metadata!C64,"Host-associated"))</f>
        <v>0</v>
      </c>
      <c r="AE64">
        <f>AND(IF(Metadata!D64="",FALSE,TRUE),OR(exact(Metadata!D64,"Animal"),exact(Metadata!D64,"Fungus"),exact(Metadata!D64,"Plant")))</f>
        <v>0</v>
      </c>
      <c r="AF64">
        <f>AND(IF(Metadata!E64="",FALSE,TRUE),OR(exact(Metadata!E64,"Plant secretion"),exact(Metadata!E64,"Plant rhizosphere"),exact(Metadata!E64,"Plant surface"),exact(Metadata!E64,"Plant corpus"),exact(Metadata!E64,"Fungus surface"),exact(Metadata!E64,"Fungus corpus"),exact(Metadata!E64,"Animal surface"),exact(Metadata!E64,"Animal proximal gut"),exact(Metadata!E64,"Animal corpus"),exact(Metadata!E64,"Animal distal gut"),exact(Metadata!E64,"Animal secretion")))</f>
        <v>0</v>
      </c>
      <c r="AG64">
        <f>OR(AND(IF(Metadata!F64="",FALSE,TRUE),OR(exact(Metadata!F64,"not collected"),exact(Metadata!F64,"not provided"),exact(Metadata!F64,"restricted access"))),AND(IF(Metadata!F64="",FALSE,TRUE),OR(exact(Metadata!F64,"organism-associated habitat"),exact(Metadata!F64,"plant-associated habitat"),exact(Metadata!F64,"animal-associated habitat"),exact(Metadata!F64,"insecta-associated habitat"),exact(Metadata!F64,"mammalia-associated habitat"),exact(Metadata!F64,"human-associated habitat"),exact(Metadata!F64,"livestock-associated habitat"))))</f>
        <v>0</v>
      </c>
      <c r="AH64">
        <f>AND(IF(Metadata!G64="",FALSE,TRUE),exact(Metadata!G64,"host-associated"))</f>
        <v>0</v>
      </c>
      <c r="AI64">
        <f>OR(AND(IF(Metadata!H64="",FALSE,TRUE),OR(exact(Metadata!H64,"not collected"),exact(Metadata!H64,"not provided"))),AND(IF(Metadata!H64="",FALSE,ISNUMBER(VALUE(Metadata!H64))),Metadata!H64&gt;0))</f>
        <v>0</v>
      </c>
      <c r="AJ64">
        <f>AND(IF(Metadata!I64="",FALSE,TRUE),exact(Metadata!I64,"years"))</f>
        <v>0</v>
      </c>
      <c r="AK64">
        <f>IF(Metadata!J64="",FALSE,TRUE)</f>
        <v>0</v>
      </c>
      <c r="AL64">
        <f>OR(AND(IF(Metadata!K64="",FALSE,TRUE),OR(exact(Metadata!K64,"not collected"),exact(Metadata!K64,"not provided"))),AND(IF(Metadata!K64="",FALSE,ISNUMBER(VALUE(Metadata!K64))),Metadata!K64&gt;0))</f>
        <v>0</v>
      </c>
      <c r="AM64">
        <f>AND(IF(Metadata!L64="",FALSE,TRUE),exact(Metadata!L64,"cm"))</f>
        <v>0</v>
      </c>
      <c r="AN64">
        <f>IF(Metadata!M64="",FALSE,TRUE)</f>
        <v>0</v>
      </c>
      <c r="AO64">
        <f>OR(AND(IF(Metadata!N64="",FALSE,TRUE),OR(exact(Metadata!N64,"not applicable"),exact(Metadata!N64,"not collected"),exact(Metadata!N64,"not provided"))),AND(IF(Metadata!N64="",FALSE,IF(ISERROR(INT(Metadata!N64)),FALSE,INT(Metadata!N64)=Metadata!N64)),Metadata!N64&gt;0))</f>
        <v>0</v>
      </c>
      <c r="AP64">
        <f>OR(AND(IF(Metadata!O64="",FALSE,TRUE),OR(exact(Metadata!O64,"not collected"),exact(Metadata!O64,"not provided"))),AND(IF(Metadata!O64="",FALSE,ISNUMBER(VALUE(Metadata!O64))),Metadata!O64&gt;0))</f>
        <v>0</v>
      </c>
      <c r="AQ64">
        <f>AND(IF(Metadata!P64="",FALSE,TRUE),exact(Metadata!P64,"kg"))</f>
        <v>0</v>
      </c>
      <c r="AR64">
        <f>OR(AND(IF(Metadata!Q64="",FALSE,TRUE),OR(exact(Metadata!Q64,"not applicable"),exact(Metadata!Q64,"not collected"),exact(Metadata!Q64,"not provided"),exact(Metadata!Q64,"restricted access"))),IF(Metadata!Q64="",FALSE,IF(ISERROR(INT(Metadata!Q64)),FALSE,INT(Metadata!Q64)=Metadata!Q64)))</f>
        <v>0</v>
      </c>
      <c r="AS64">
        <f>AND(IF(Metadata!R64="",FALSE,TRUE),exact(Metadata!R64,"Not applicable"))</f>
        <v>0</v>
      </c>
    </row>
    <row r="65" spans="1:45">
      <c r="A65" s="4">
        <f>IF(B65=" "," ",HYPERLINK(CONCATENATE("#metadata!",ADDRESS(INDEX($X$2:$X$1001,MATCH(ROWS($V$2:V65),$V$2:$V$1001,0),0),2)),INDEX($AA$2:$AA$1001,MATCH(ROWS($V$2:V65),$V$2:$V$1001,0),0)))</f>
        <v>0</v>
      </c>
      <c r="B65" s="5">
        <f>IF(OR(INDEX($W$2:$W$1001,MATCH(ROWS($V$2:V65),$V$2:$V$1001,0),1)&gt;=100000,INDEX($AC$1005:$AS$1005,1,MATCH(COLUMNS($AC$1006:AC1006),$AC$1006:$AS$1006,0))&gt;=100000), " ",IF(INDEX($AC$2:$AS$1001,MATCH(ROWS($V$2:V65),$V$2:$V$1001,0),MATCH(COLUMNS($AC$1006:AC1006),$AC$1006:$AS$1006,0)), HYPERLINK("#",""), HYPERLINK(CONCATENATE("#Metadata!", ADDRESS(INDEX($X$2:$X$1001,MATCH(ROWS($V$2:V65),$V$2:$V$1001,0),0), INDEX($AC$1004:$AS$1004,1,MATCH(COLUMNS($AC$1006:AC1006),$AC$1006:$AS$1006,0)))),"Fix")))</f>
        <v>0</v>
      </c>
      <c r="C65" s="5">
        <f>IF(OR(INDEX($W$2:$W$1001,MATCH(ROWS($V$2:V65),$V$2:$V$1001,0),1)&gt;=100000,INDEX($AC$1005:$AS$1005,1,MATCH(COLUMNS($AC$1006:AD1006),$AC$1006:$AS$1006,0))&gt;=100000), " ",IF(INDEX($AC$2:$AS$1001,MATCH(ROWS($V$2:V65),$V$2:$V$1001,0),MATCH(COLUMNS($AC$1006:AD1006),$AC$1006:$AS$1006,0)), HYPERLINK("#",""), HYPERLINK(CONCATENATE("#Metadata!", ADDRESS(INDEX($X$2:$X$1001,MATCH(ROWS($V$2:V65),$V$2:$V$1001,0),0), INDEX($AC$1004:$AS$1004,1,MATCH(COLUMNS($AC$1006:AD1006),$AC$1006:$AS$1006,0)))),"Fix")))</f>
        <v>0</v>
      </c>
      <c r="D65" s="5">
        <f>IF(OR(INDEX($W$2:$W$1001,MATCH(ROWS($V$2:V65),$V$2:$V$1001,0),1)&gt;=100000,INDEX($AC$1005:$AS$1005,1,MATCH(COLUMNS($AC$1006:AE1006),$AC$1006:$AS$1006,0))&gt;=100000), " ",IF(INDEX($AC$2:$AS$1001,MATCH(ROWS($V$2:V65),$V$2:$V$1001,0),MATCH(COLUMNS($AC$1006:AE1006),$AC$1006:$AS$1006,0)), HYPERLINK("#",""), HYPERLINK(CONCATENATE("#Metadata!", ADDRESS(INDEX($X$2:$X$1001,MATCH(ROWS($V$2:V65),$V$2:$V$1001,0),0), INDEX($AC$1004:$AS$1004,1,MATCH(COLUMNS($AC$1006:AE1006),$AC$1006:$AS$1006,0)))),"Fix")))</f>
        <v>0</v>
      </c>
      <c r="E65" s="5">
        <f>IF(OR(INDEX($W$2:$W$1001,MATCH(ROWS($V$2:V65),$V$2:$V$1001,0),1)&gt;=100000,INDEX($AC$1005:$AS$1005,1,MATCH(COLUMNS($AC$1006:AF1006),$AC$1006:$AS$1006,0))&gt;=100000), " ",IF(INDEX($AC$2:$AS$1001,MATCH(ROWS($V$2:V65),$V$2:$V$1001,0),MATCH(COLUMNS($AC$1006:AF1006),$AC$1006:$AS$1006,0)), HYPERLINK("#",""), HYPERLINK(CONCATENATE("#Metadata!", ADDRESS(INDEX($X$2:$X$1001,MATCH(ROWS($V$2:V65),$V$2:$V$1001,0),0), INDEX($AC$1004:$AS$1004,1,MATCH(COLUMNS($AC$1006:AF1006),$AC$1006:$AS$1006,0)))),"Fix")))</f>
        <v>0</v>
      </c>
      <c r="F65" s="5">
        <f>IF(OR(INDEX($W$2:$W$1001,MATCH(ROWS($V$2:V65),$V$2:$V$1001,0),1)&gt;=100000,INDEX($AC$1005:$AS$1005,1,MATCH(COLUMNS($AC$1006:AG1006),$AC$1006:$AS$1006,0))&gt;=100000), " ",IF(INDEX($AC$2:$AS$1001,MATCH(ROWS($V$2:V65),$V$2:$V$1001,0),MATCH(COLUMNS($AC$1006:AG1006),$AC$1006:$AS$1006,0)), HYPERLINK("#",""), HYPERLINK(CONCATENATE("#Metadata!", ADDRESS(INDEX($X$2:$X$1001,MATCH(ROWS($V$2:V65),$V$2:$V$1001,0),0), INDEX($AC$1004:$AS$1004,1,MATCH(COLUMNS($AC$1006:AG1006),$AC$1006:$AS$1006,0)))),"Fix")))</f>
        <v>0</v>
      </c>
      <c r="G65" s="5">
        <f>IF(OR(INDEX($W$2:$W$1001,MATCH(ROWS($V$2:V65),$V$2:$V$1001,0),1)&gt;=100000,INDEX($AC$1005:$AS$1005,1,MATCH(COLUMNS($AC$1006:AH1006),$AC$1006:$AS$1006,0))&gt;=100000), " ",IF(INDEX($AC$2:$AS$1001,MATCH(ROWS($V$2:V65),$V$2:$V$1001,0),MATCH(COLUMNS($AC$1006:AH1006),$AC$1006:$AS$1006,0)), HYPERLINK("#",""), HYPERLINK(CONCATENATE("#Metadata!", ADDRESS(INDEX($X$2:$X$1001,MATCH(ROWS($V$2:V65),$V$2:$V$1001,0),0), INDEX($AC$1004:$AS$1004,1,MATCH(COLUMNS($AC$1006:AH1006),$AC$1006:$AS$1006,0)))),"Fix")))</f>
        <v>0</v>
      </c>
      <c r="H65" s="5">
        <f>IF(OR(INDEX($W$2:$W$1001,MATCH(ROWS($V$2:V65),$V$2:$V$1001,0),1)&gt;=100000,INDEX($AC$1005:$AS$1005,1,MATCH(COLUMNS($AC$1006:AI1006),$AC$1006:$AS$1006,0))&gt;=100000), " ",IF(INDEX($AC$2:$AS$1001,MATCH(ROWS($V$2:V65),$V$2:$V$1001,0),MATCH(COLUMNS($AC$1006:AI1006),$AC$1006:$AS$1006,0)), HYPERLINK("#",""), HYPERLINK(CONCATENATE("#Metadata!", ADDRESS(INDEX($X$2:$X$1001,MATCH(ROWS($V$2:V65),$V$2:$V$1001,0),0), INDEX($AC$1004:$AS$1004,1,MATCH(COLUMNS($AC$1006:AI1006),$AC$1006:$AS$1006,0)))),"Fix")))</f>
        <v>0</v>
      </c>
      <c r="I65" s="5">
        <f>IF(OR(INDEX($W$2:$W$1001,MATCH(ROWS($V$2:V65),$V$2:$V$1001,0),1)&gt;=100000,INDEX($AC$1005:$AS$1005,1,MATCH(COLUMNS($AC$1006:AJ1006),$AC$1006:$AS$1006,0))&gt;=100000), " ",IF(INDEX($AC$2:$AS$1001,MATCH(ROWS($V$2:V65),$V$2:$V$1001,0),MATCH(COLUMNS($AC$1006:AJ1006),$AC$1006:$AS$1006,0)), HYPERLINK("#",""), HYPERLINK(CONCATENATE("#Metadata!", ADDRESS(INDEX($X$2:$X$1001,MATCH(ROWS($V$2:V65),$V$2:$V$1001,0),0), INDEX($AC$1004:$AS$1004,1,MATCH(COLUMNS($AC$1006:AJ1006),$AC$1006:$AS$1006,0)))),"Fix")))</f>
        <v>0</v>
      </c>
      <c r="J65" s="5">
        <f>IF(OR(INDEX($W$2:$W$1001,MATCH(ROWS($V$2:V65),$V$2:$V$1001,0),1)&gt;=100000,INDEX($AC$1005:$AS$1005,1,MATCH(COLUMNS($AC$1006:AK1006),$AC$1006:$AS$1006,0))&gt;=100000), " ",IF(INDEX($AC$2:$AS$1001,MATCH(ROWS($V$2:V65),$V$2:$V$1001,0),MATCH(COLUMNS($AC$1006:AK1006),$AC$1006:$AS$1006,0)), HYPERLINK("#",""), HYPERLINK(CONCATENATE("#Metadata!", ADDRESS(INDEX($X$2:$X$1001,MATCH(ROWS($V$2:V65),$V$2:$V$1001,0),0), INDEX($AC$1004:$AS$1004,1,MATCH(COLUMNS($AC$1006:AK1006),$AC$1006:$AS$1006,0)))),"Fix")))</f>
        <v>0</v>
      </c>
      <c r="K65" s="5">
        <f>IF(OR(INDEX($W$2:$W$1001,MATCH(ROWS($V$2:V65),$V$2:$V$1001,0),1)&gt;=100000,INDEX($AC$1005:$AS$1005,1,MATCH(COLUMNS($AC$1006:AL1006),$AC$1006:$AS$1006,0))&gt;=100000), " ",IF(INDEX($AC$2:$AS$1001,MATCH(ROWS($V$2:V65),$V$2:$V$1001,0),MATCH(COLUMNS($AC$1006:AL1006),$AC$1006:$AS$1006,0)), HYPERLINK("#",""), HYPERLINK(CONCATENATE("#Metadata!", ADDRESS(INDEX($X$2:$X$1001,MATCH(ROWS($V$2:V65),$V$2:$V$1001,0),0), INDEX($AC$1004:$AS$1004,1,MATCH(COLUMNS($AC$1006:AL1006),$AC$1006:$AS$1006,0)))),"Fix")))</f>
        <v>0</v>
      </c>
      <c r="L65" s="5">
        <f>IF(OR(INDEX($W$2:$W$1001,MATCH(ROWS($V$2:V65),$V$2:$V$1001,0),1)&gt;=100000,INDEX($AC$1005:$AS$1005,1,MATCH(COLUMNS($AC$1006:AM1006),$AC$1006:$AS$1006,0))&gt;=100000), " ",IF(INDEX($AC$2:$AS$1001,MATCH(ROWS($V$2:V65),$V$2:$V$1001,0),MATCH(COLUMNS($AC$1006:AM1006),$AC$1006:$AS$1006,0)), HYPERLINK("#",""), HYPERLINK(CONCATENATE("#Metadata!", ADDRESS(INDEX($X$2:$X$1001,MATCH(ROWS($V$2:V65),$V$2:$V$1001,0),0), INDEX($AC$1004:$AS$1004,1,MATCH(COLUMNS($AC$1006:AM1006),$AC$1006:$AS$1006,0)))),"Fix")))</f>
        <v>0</v>
      </c>
      <c r="M65" s="5">
        <f>IF(OR(INDEX($W$2:$W$1001,MATCH(ROWS($V$2:V65),$V$2:$V$1001,0),1)&gt;=100000,INDEX($AC$1005:$AS$1005,1,MATCH(COLUMNS($AC$1006:AN1006),$AC$1006:$AS$1006,0))&gt;=100000), " ",IF(INDEX($AC$2:$AS$1001,MATCH(ROWS($V$2:V65),$V$2:$V$1001,0),MATCH(COLUMNS($AC$1006:AN1006),$AC$1006:$AS$1006,0)), HYPERLINK("#",""), HYPERLINK(CONCATENATE("#Metadata!", ADDRESS(INDEX($X$2:$X$1001,MATCH(ROWS($V$2:V65),$V$2:$V$1001,0),0), INDEX($AC$1004:$AS$1004,1,MATCH(COLUMNS($AC$1006:AN1006),$AC$1006:$AS$1006,0)))),"Fix")))</f>
        <v>0</v>
      </c>
      <c r="N65" s="5">
        <f>IF(OR(INDEX($W$2:$W$1001,MATCH(ROWS($V$2:V65),$V$2:$V$1001,0),1)&gt;=100000,INDEX($AC$1005:$AS$1005,1,MATCH(COLUMNS($AC$1006:AO1006),$AC$1006:$AS$1006,0))&gt;=100000), " ",IF(INDEX($AC$2:$AS$1001,MATCH(ROWS($V$2:V65),$V$2:$V$1001,0),MATCH(COLUMNS($AC$1006:AO1006),$AC$1006:$AS$1006,0)), HYPERLINK("#",""), HYPERLINK(CONCATENATE("#Metadata!", ADDRESS(INDEX($X$2:$X$1001,MATCH(ROWS($V$2:V65),$V$2:$V$1001,0),0), INDEX($AC$1004:$AS$1004,1,MATCH(COLUMNS($AC$1006:AO1006),$AC$1006:$AS$1006,0)))),"Fix")))</f>
        <v>0</v>
      </c>
      <c r="O65" s="5">
        <f>IF(OR(INDEX($W$2:$W$1001,MATCH(ROWS($V$2:V65),$V$2:$V$1001,0),1)&gt;=100000,INDEX($AC$1005:$AS$1005,1,MATCH(COLUMNS($AC$1006:AP1006),$AC$1006:$AS$1006,0))&gt;=100000), " ",IF(INDEX($AC$2:$AS$1001,MATCH(ROWS($V$2:V65),$V$2:$V$1001,0),MATCH(COLUMNS($AC$1006:AP1006),$AC$1006:$AS$1006,0)), HYPERLINK("#",""), HYPERLINK(CONCATENATE("#Metadata!", ADDRESS(INDEX($X$2:$X$1001,MATCH(ROWS($V$2:V65),$V$2:$V$1001,0),0), INDEX($AC$1004:$AS$1004,1,MATCH(COLUMNS($AC$1006:AP1006),$AC$1006:$AS$1006,0)))),"Fix")))</f>
        <v>0</v>
      </c>
      <c r="P65" s="5">
        <f>IF(OR(INDEX($W$2:$W$1001,MATCH(ROWS($V$2:V65),$V$2:$V$1001,0),1)&gt;=100000,INDEX($AC$1005:$AS$1005,1,MATCH(COLUMNS($AC$1006:AQ1006),$AC$1006:$AS$1006,0))&gt;=100000), " ",IF(INDEX($AC$2:$AS$1001,MATCH(ROWS($V$2:V65),$V$2:$V$1001,0),MATCH(COLUMNS($AC$1006:AQ1006),$AC$1006:$AS$1006,0)), HYPERLINK("#",""), HYPERLINK(CONCATENATE("#Metadata!", ADDRESS(INDEX($X$2:$X$1001,MATCH(ROWS($V$2:V65),$V$2:$V$1001,0),0), INDEX($AC$1004:$AS$1004,1,MATCH(COLUMNS($AC$1006:AQ1006),$AC$1006:$AS$1006,0)))),"Fix")))</f>
        <v>0</v>
      </c>
      <c r="Q65" s="5">
        <f>IF(OR(INDEX($W$2:$W$1001,MATCH(ROWS($V$2:V65),$V$2:$V$1001,0),1)&gt;=100000,INDEX($AC$1005:$AS$1005,1,MATCH(COLUMNS($AC$1006:AR1006),$AC$1006:$AS$1006,0))&gt;=100000), " ",IF(INDEX($AC$2:$AS$1001,MATCH(ROWS($V$2:V65),$V$2:$V$1001,0),MATCH(COLUMNS($AC$1006:AR1006),$AC$1006:$AS$1006,0)), HYPERLINK("#",""), HYPERLINK(CONCATENATE("#Metadata!", ADDRESS(INDEX($X$2:$X$1001,MATCH(ROWS($V$2:V65),$V$2:$V$1001,0),0), INDEX($AC$1004:$AS$1004,1,MATCH(COLUMNS($AC$1006:AR1006),$AC$1006:$AS$1006,0)))),"Fix")))</f>
        <v>0</v>
      </c>
      <c r="R65" s="5">
        <f>IF(OR(INDEX($W$2:$W$1001,MATCH(ROWS($V$2:V65),$V$2:$V$1001,0),1)&gt;=100000,INDEX($AC$1005:$AS$1005,1,MATCH(COLUMNS($AC$1006:AS1006),$AC$1006:$AS$1006,0))&gt;=100000), " ",IF(INDEX($AC$2:$AS$1001,MATCH(ROWS($V$2:V65),$V$2:$V$1001,0),MATCH(COLUMNS($AC$1006:AS1006),$AC$1006:$AS$1006,0)), HYPERLINK("#",""), HYPERLINK(CONCATENATE("#Metadata!", ADDRESS(INDEX($X$2:$X$1001,MATCH(ROWS($V$2:V65),$V$2:$V$1001,0),0), INDEX($AC$1004:$AS$1004,1,MATCH(COLUMNS($AC$1006:AS1006),$AC$1006:$AS$1006,0)))),"Fix")))</f>
        <v>0</v>
      </c>
      <c r="V65">
        <v>0</v>
      </c>
      <c r="W65">
        <v>0</v>
      </c>
      <c r="X65">
        <v>0</v>
      </c>
      <c r="Y65">
        <f>IF(Z65,TRUE,AND(AC65:AS65))</f>
        <v>0</v>
      </c>
      <c r="Z65">
        <f>COUNTBLANK(Metadata!B65:R65)=COLUMNS(Metadata!B65:R65)</f>
        <v>0</v>
      </c>
      <c r="AA65">
        <v>0</v>
      </c>
      <c r="AC65">
        <f>AND(IF(Metadata!B65="",FALSE,TRUE),COUNTIF(Metadata!B:B, Metadata!B65) = 1,NOT(ISERROR(SUMPRODUCT(SEARCH(MID(Metadata!B65,ROW(INDIRECT("1:"&amp;LEN(Metadata!B65))), 1),"0123456789abcdefghijklmnopqrstuvwxyzABCDEFGHIJKLMNOPQRSTUVWXYZ.")))))</f>
        <v>0</v>
      </c>
      <c r="AD65">
        <f>AND(IF(Metadata!C65="",FALSE,TRUE),exact(Metadata!C65,"Host-associated"))</f>
        <v>0</v>
      </c>
      <c r="AE65">
        <f>AND(IF(Metadata!D65="",FALSE,TRUE),OR(exact(Metadata!D65,"Animal"),exact(Metadata!D65,"Fungus"),exact(Metadata!D65,"Plant")))</f>
        <v>0</v>
      </c>
      <c r="AF65">
        <f>AND(IF(Metadata!E65="",FALSE,TRUE),OR(exact(Metadata!E65,"Plant secretion"),exact(Metadata!E65,"Plant rhizosphere"),exact(Metadata!E65,"Plant surface"),exact(Metadata!E65,"Plant corpus"),exact(Metadata!E65,"Fungus surface"),exact(Metadata!E65,"Fungus corpus"),exact(Metadata!E65,"Animal surface"),exact(Metadata!E65,"Animal proximal gut"),exact(Metadata!E65,"Animal corpus"),exact(Metadata!E65,"Animal distal gut"),exact(Metadata!E65,"Animal secretion")))</f>
        <v>0</v>
      </c>
      <c r="AG65">
        <f>OR(AND(IF(Metadata!F65="",FALSE,TRUE),OR(exact(Metadata!F65,"not collected"),exact(Metadata!F65,"not provided"),exact(Metadata!F65,"restricted access"))),AND(IF(Metadata!F65="",FALSE,TRUE),OR(exact(Metadata!F65,"organism-associated habitat"),exact(Metadata!F65,"plant-associated habitat"),exact(Metadata!F65,"animal-associated habitat"),exact(Metadata!F65,"insecta-associated habitat"),exact(Metadata!F65,"mammalia-associated habitat"),exact(Metadata!F65,"human-associated habitat"),exact(Metadata!F65,"livestock-associated habitat"))))</f>
        <v>0</v>
      </c>
      <c r="AH65">
        <f>AND(IF(Metadata!G65="",FALSE,TRUE),exact(Metadata!G65,"host-associated"))</f>
        <v>0</v>
      </c>
      <c r="AI65">
        <f>OR(AND(IF(Metadata!H65="",FALSE,TRUE),OR(exact(Metadata!H65,"not collected"),exact(Metadata!H65,"not provided"))),AND(IF(Metadata!H65="",FALSE,ISNUMBER(VALUE(Metadata!H65))),Metadata!H65&gt;0))</f>
        <v>0</v>
      </c>
      <c r="AJ65">
        <f>AND(IF(Metadata!I65="",FALSE,TRUE),exact(Metadata!I65,"years"))</f>
        <v>0</v>
      </c>
      <c r="AK65">
        <f>IF(Metadata!J65="",FALSE,TRUE)</f>
        <v>0</v>
      </c>
      <c r="AL65">
        <f>OR(AND(IF(Metadata!K65="",FALSE,TRUE),OR(exact(Metadata!K65,"not collected"),exact(Metadata!K65,"not provided"))),AND(IF(Metadata!K65="",FALSE,ISNUMBER(VALUE(Metadata!K65))),Metadata!K65&gt;0))</f>
        <v>0</v>
      </c>
      <c r="AM65">
        <f>AND(IF(Metadata!L65="",FALSE,TRUE),exact(Metadata!L65,"cm"))</f>
        <v>0</v>
      </c>
      <c r="AN65">
        <f>IF(Metadata!M65="",FALSE,TRUE)</f>
        <v>0</v>
      </c>
      <c r="AO65">
        <f>OR(AND(IF(Metadata!N65="",FALSE,TRUE),OR(exact(Metadata!N65,"not applicable"),exact(Metadata!N65,"not collected"),exact(Metadata!N65,"not provided"))),AND(IF(Metadata!N65="",FALSE,IF(ISERROR(INT(Metadata!N65)),FALSE,INT(Metadata!N65)=Metadata!N65)),Metadata!N65&gt;0))</f>
        <v>0</v>
      </c>
      <c r="AP65">
        <f>OR(AND(IF(Metadata!O65="",FALSE,TRUE),OR(exact(Metadata!O65,"not collected"),exact(Metadata!O65,"not provided"))),AND(IF(Metadata!O65="",FALSE,ISNUMBER(VALUE(Metadata!O65))),Metadata!O65&gt;0))</f>
        <v>0</v>
      </c>
      <c r="AQ65">
        <f>AND(IF(Metadata!P65="",FALSE,TRUE),exact(Metadata!P65,"kg"))</f>
        <v>0</v>
      </c>
      <c r="AR65">
        <f>OR(AND(IF(Metadata!Q65="",FALSE,TRUE),OR(exact(Metadata!Q65,"not applicable"),exact(Metadata!Q65,"not collected"),exact(Metadata!Q65,"not provided"),exact(Metadata!Q65,"restricted access"))),IF(Metadata!Q65="",FALSE,IF(ISERROR(INT(Metadata!Q65)),FALSE,INT(Metadata!Q65)=Metadata!Q65)))</f>
        <v>0</v>
      </c>
      <c r="AS65">
        <f>AND(IF(Metadata!R65="",FALSE,TRUE),exact(Metadata!R65,"Not applicable"))</f>
        <v>0</v>
      </c>
    </row>
    <row r="66" spans="1:45">
      <c r="A66" s="4">
        <f>IF(B66=" "," ",HYPERLINK(CONCATENATE("#metadata!",ADDRESS(INDEX($X$2:$X$1001,MATCH(ROWS($V$2:V66),$V$2:$V$1001,0),0),2)),INDEX($AA$2:$AA$1001,MATCH(ROWS($V$2:V66),$V$2:$V$1001,0),0)))</f>
        <v>0</v>
      </c>
      <c r="B66" s="5">
        <f>IF(OR(INDEX($W$2:$W$1001,MATCH(ROWS($V$2:V66),$V$2:$V$1001,0),1)&gt;=100000,INDEX($AC$1005:$AS$1005,1,MATCH(COLUMNS($AC$1006:AC1006),$AC$1006:$AS$1006,0))&gt;=100000), " ",IF(INDEX($AC$2:$AS$1001,MATCH(ROWS($V$2:V66),$V$2:$V$1001,0),MATCH(COLUMNS($AC$1006:AC1006),$AC$1006:$AS$1006,0)), HYPERLINK("#",""), HYPERLINK(CONCATENATE("#Metadata!", ADDRESS(INDEX($X$2:$X$1001,MATCH(ROWS($V$2:V66),$V$2:$V$1001,0),0), INDEX($AC$1004:$AS$1004,1,MATCH(COLUMNS($AC$1006:AC1006),$AC$1006:$AS$1006,0)))),"Fix")))</f>
        <v>0</v>
      </c>
      <c r="C66" s="5">
        <f>IF(OR(INDEX($W$2:$W$1001,MATCH(ROWS($V$2:V66),$V$2:$V$1001,0),1)&gt;=100000,INDEX($AC$1005:$AS$1005,1,MATCH(COLUMNS($AC$1006:AD1006),$AC$1006:$AS$1006,0))&gt;=100000), " ",IF(INDEX($AC$2:$AS$1001,MATCH(ROWS($V$2:V66),$V$2:$V$1001,0),MATCH(COLUMNS($AC$1006:AD1006),$AC$1006:$AS$1006,0)), HYPERLINK("#",""), HYPERLINK(CONCATENATE("#Metadata!", ADDRESS(INDEX($X$2:$X$1001,MATCH(ROWS($V$2:V66),$V$2:$V$1001,0),0), INDEX($AC$1004:$AS$1004,1,MATCH(COLUMNS($AC$1006:AD1006),$AC$1006:$AS$1006,0)))),"Fix")))</f>
        <v>0</v>
      </c>
      <c r="D66" s="5">
        <f>IF(OR(INDEX($W$2:$W$1001,MATCH(ROWS($V$2:V66),$V$2:$V$1001,0),1)&gt;=100000,INDEX($AC$1005:$AS$1005,1,MATCH(COLUMNS($AC$1006:AE1006),$AC$1006:$AS$1006,0))&gt;=100000), " ",IF(INDEX($AC$2:$AS$1001,MATCH(ROWS($V$2:V66),$V$2:$V$1001,0),MATCH(COLUMNS($AC$1006:AE1006),$AC$1006:$AS$1006,0)), HYPERLINK("#",""), HYPERLINK(CONCATENATE("#Metadata!", ADDRESS(INDEX($X$2:$X$1001,MATCH(ROWS($V$2:V66),$V$2:$V$1001,0),0), INDEX($AC$1004:$AS$1004,1,MATCH(COLUMNS($AC$1006:AE1006),$AC$1006:$AS$1006,0)))),"Fix")))</f>
        <v>0</v>
      </c>
      <c r="E66" s="5">
        <f>IF(OR(INDEX($W$2:$W$1001,MATCH(ROWS($V$2:V66),$V$2:$V$1001,0),1)&gt;=100000,INDEX($AC$1005:$AS$1005,1,MATCH(COLUMNS($AC$1006:AF1006),$AC$1006:$AS$1006,0))&gt;=100000), " ",IF(INDEX($AC$2:$AS$1001,MATCH(ROWS($V$2:V66),$V$2:$V$1001,0),MATCH(COLUMNS($AC$1006:AF1006),$AC$1006:$AS$1006,0)), HYPERLINK("#",""), HYPERLINK(CONCATENATE("#Metadata!", ADDRESS(INDEX($X$2:$X$1001,MATCH(ROWS($V$2:V66),$V$2:$V$1001,0),0), INDEX($AC$1004:$AS$1004,1,MATCH(COLUMNS($AC$1006:AF1006),$AC$1006:$AS$1006,0)))),"Fix")))</f>
        <v>0</v>
      </c>
      <c r="F66" s="5">
        <f>IF(OR(INDEX($W$2:$W$1001,MATCH(ROWS($V$2:V66),$V$2:$V$1001,0),1)&gt;=100000,INDEX($AC$1005:$AS$1005,1,MATCH(COLUMNS($AC$1006:AG1006),$AC$1006:$AS$1006,0))&gt;=100000), " ",IF(INDEX($AC$2:$AS$1001,MATCH(ROWS($V$2:V66),$V$2:$V$1001,0),MATCH(COLUMNS($AC$1006:AG1006),$AC$1006:$AS$1006,0)), HYPERLINK("#",""), HYPERLINK(CONCATENATE("#Metadata!", ADDRESS(INDEX($X$2:$X$1001,MATCH(ROWS($V$2:V66),$V$2:$V$1001,0),0), INDEX($AC$1004:$AS$1004,1,MATCH(COLUMNS($AC$1006:AG1006),$AC$1006:$AS$1006,0)))),"Fix")))</f>
        <v>0</v>
      </c>
      <c r="G66" s="5">
        <f>IF(OR(INDEX($W$2:$W$1001,MATCH(ROWS($V$2:V66),$V$2:$V$1001,0),1)&gt;=100000,INDEX($AC$1005:$AS$1005,1,MATCH(COLUMNS($AC$1006:AH1006),$AC$1006:$AS$1006,0))&gt;=100000), " ",IF(INDEX($AC$2:$AS$1001,MATCH(ROWS($V$2:V66),$V$2:$V$1001,0),MATCH(COLUMNS($AC$1006:AH1006),$AC$1006:$AS$1006,0)), HYPERLINK("#",""), HYPERLINK(CONCATENATE("#Metadata!", ADDRESS(INDEX($X$2:$X$1001,MATCH(ROWS($V$2:V66),$V$2:$V$1001,0),0), INDEX($AC$1004:$AS$1004,1,MATCH(COLUMNS($AC$1006:AH1006),$AC$1006:$AS$1006,0)))),"Fix")))</f>
        <v>0</v>
      </c>
      <c r="H66" s="5">
        <f>IF(OR(INDEX($W$2:$W$1001,MATCH(ROWS($V$2:V66),$V$2:$V$1001,0),1)&gt;=100000,INDEX($AC$1005:$AS$1005,1,MATCH(COLUMNS($AC$1006:AI1006),$AC$1006:$AS$1006,0))&gt;=100000), " ",IF(INDEX($AC$2:$AS$1001,MATCH(ROWS($V$2:V66),$V$2:$V$1001,0),MATCH(COLUMNS($AC$1006:AI1006),$AC$1006:$AS$1006,0)), HYPERLINK("#",""), HYPERLINK(CONCATENATE("#Metadata!", ADDRESS(INDEX($X$2:$X$1001,MATCH(ROWS($V$2:V66),$V$2:$V$1001,0),0), INDEX($AC$1004:$AS$1004,1,MATCH(COLUMNS($AC$1006:AI1006),$AC$1006:$AS$1006,0)))),"Fix")))</f>
        <v>0</v>
      </c>
      <c r="I66" s="5">
        <f>IF(OR(INDEX($W$2:$W$1001,MATCH(ROWS($V$2:V66),$V$2:$V$1001,0),1)&gt;=100000,INDEX($AC$1005:$AS$1005,1,MATCH(COLUMNS($AC$1006:AJ1006),$AC$1006:$AS$1006,0))&gt;=100000), " ",IF(INDEX($AC$2:$AS$1001,MATCH(ROWS($V$2:V66),$V$2:$V$1001,0),MATCH(COLUMNS($AC$1006:AJ1006),$AC$1006:$AS$1006,0)), HYPERLINK("#",""), HYPERLINK(CONCATENATE("#Metadata!", ADDRESS(INDEX($X$2:$X$1001,MATCH(ROWS($V$2:V66),$V$2:$V$1001,0),0), INDEX($AC$1004:$AS$1004,1,MATCH(COLUMNS($AC$1006:AJ1006),$AC$1006:$AS$1006,0)))),"Fix")))</f>
        <v>0</v>
      </c>
      <c r="J66" s="5">
        <f>IF(OR(INDEX($W$2:$W$1001,MATCH(ROWS($V$2:V66),$V$2:$V$1001,0),1)&gt;=100000,INDEX($AC$1005:$AS$1005,1,MATCH(COLUMNS($AC$1006:AK1006),$AC$1006:$AS$1006,0))&gt;=100000), " ",IF(INDEX($AC$2:$AS$1001,MATCH(ROWS($V$2:V66),$V$2:$V$1001,0),MATCH(COLUMNS($AC$1006:AK1006),$AC$1006:$AS$1006,0)), HYPERLINK("#",""), HYPERLINK(CONCATENATE("#Metadata!", ADDRESS(INDEX($X$2:$X$1001,MATCH(ROWS($V$2:V66),$V$2:$V$1001,0),0), INDEX($AC$1004:$AS$1004,1,MATCH(COLUMNS($AC$1006:AK1006),$AC$1006:$AS$1006,0)))),"Fix")))</f>
        <v>0</v>
      </c>
      <c r="K66" s="5">
        <f>IF(OR(INDEX($W$2:$W$1001,MATCH(ROWS($V$2:V66),$V$2:$V$1001,0),1)&gt;=100000,INDEX($AC$1005:$AS$1005,1,MATCH(COLUMNS($AC$1006:AL1006),$AC$1006:$AS$1006,0))&gt;=100000), " ",IF(INDEX($AC$2:$AS$1001,MATCH(ROWS($V$2:V66),$V$2:$V$1001,0),MATCH(COLUMNS($AC$1006:AL1006),$AC$1006:$AS$1006,0)), HYPERLINK("#",""), HYPERLINK(CONCATENATE("#Metadata!", ADDRESS(INDEX($X$2:$X$1001,MATCH(ROWS($V$2:V66),$V$2:$V$1001,0),0), INDEX($AC$1004:$AS$1004,1,MATCH(COLUMNS($AC$1006:AL1006),$AC$1006:$AS$1006,0)))),"Fix")))</f>
        <v>0</v>
      </c>
      <c r="L66" s="5">
        <f>IF(OR(INDEX($W$2:$W$1001,MATCH(ROWS($V$2:V66),$V$2:$V$1001,0),1)&gt;=100000,INDEX($AC$1005:$AS$1005,1,MATCH(COLUMNS($AC$1006:AM1006),$AC$1006:$AS$1006,0))&gt;=100000), " ",IF(INDEX($AC$2:$AS$1001,MATCH(ROWS($V$2:V66),$V$2:$V$1001,0),MATCH(COLUMNS($AC$1006:AM1006),$AC$1006:$AS$1006,0)), HYPERLINK("#",""), HYPERLINK(CONCATENATE("#Metadata!", ADDRESS(INDEX($X$2:$X$1001,MATCH(ROWS($V$2:V66),$V$2:$V$1001,0),0), INDEX($AC$1004:$AS$1004,1,MATCH(COLUMNS($AC$1006:AM1006),$AC$1006:$AS$1006,0)))),"Fix")))</f>
        <v>0</v>
      </c>
      <c r="M66" s="5">
        <f>IF(OR(INDEX($W$2:$W$1001,MATCH(ROWS($V$2:V66),$V$2:$V$1001,0),1)&gt;=100000,INDEX($AC$1005:$AS$1005,1,MATCH(COLUMNS($AC$1006:AN1006),$AC$1006:$AS$1006,0))&gt;=100000), " ",IF(INDEX($AC$2:$AS$1001,MATCH(ROWS($V$2:V66),$V$2:$V$1001,0),MATCH(COLUMNS($AC$1006:AN1006),$AC$1006:$AS$1006,0)), HYPERLINK("#",""), HYPERLINK(CONCATENATE("#Metadata!", ADDRESS(INDEX($X$2:$X$1001,MATCH(ROWS($V$2:V66),$V$2:$V$1001,0),0), INDEX($AC$1004:$AS$1004,1,MATCH(COLUMNS($AC$1006:AN1006),$AC$1006:$AS$1006,0)))),"Fix")))</f>
        <v>0</v>
      </c>
      <c r="N66" s="5">
        <f>IF(OR(INDEX($W$2:$W$1001,MATCH(ROWS($V$2:V66),$V$2:$V$1001,0),1)&gt;=100000,INDEX($AC$1005:$AS$1005,1,MATCH(COLUMNS($AC$1006:AO1006),$AC$1006:$AS$1006,0))&gt;=100000), " ",IF(INDEX($AC$2:$AS$1001,MATCH(ROWS($V$2:V66),$V$2:$V$1001,0),MATCH(COLUMNS($AC$1006:AO1006),$AC$1006:$AS$1006,0)), HYPERLINK("#",""), HYPERLINK(CONCATENATE("#Metadata!", ADDRESS(INDEX($X$2:$X$1001,MATCH(ROWS($V$2:V66),$V$2:$V$1001,0),0), INDEX($AC$1004:$AS$1004,1,MATCH(COLUMNS($AC$1006:AO1006),$AC$1006:$AS$1006,0)))),"Fix")))</f>
        <v>0</v>
      </c>
      <c r="O66" s="5">
        <f>IF(OR(INDEX($W$2:$W$1001,MATCH(ROWS($V$2:V66),$V$2:$V$1001,0),1)&gt;=100000,INDEX($AC$1005:$AS$1005,1,MATCH(COLUMNS($AC$1006:AP1006),$AC$1006:$AS$1006,0))&gt;=100000), " ",IF(INDEX($AC$2:$AS$1001,MATCH(ROWS($V$2:V66),$V$2:$V$1001,0),MATCH(COLUMNS($AC$1006:AP1006),$AC$1006:$AS$1006,0)), HYPERLINK("#",""), HYPERLINK(CONCATENATE("#Metadata!", ADDRESS(INDEX($X$2:$X$1001,MATCH(ROWS($V$2:V66),$V$2:$V$1001,0),0), INDEX($AC$1004:$AS$1004,1,MATCH(COLUMNS($AC$1006:AP1006),$AC$1006:$AS$1006,0)))),"Fix")))</f>
        <v>0</v>
      </c>
      <c r="P66" s="5">
        <f>IF(OR(INDEX($W$2:$W$1001,MATCH(ROWS($V$2:V66),$V$2:$V$1001,0),1)&gt;=100000,INDEX($AC$1005:$AS$1005,1,MATCH(COLUMNS($AC$1006:AQ1006),$AC$1006:$AS$1006,0))&gt;=100000), " ",IF(INDEX($AC$2:$AS$1001,MATCH(ROWS($V$2:V66),$V$2:$V$1001,0),MATCH(COLUMNS($AC$1006:AQ1006),$AC$1006:$AS$1006,0)), HYPERLINK("#",""), HYPERLINK(CONCATENATE("#Metadata!", ADDRESS(INDEX($X$2:$X$1001,MATCH(ROWS($V$2:V66),$V$2:$V$1001,0),0), INDEX($AC$1004:$AS$1004,1,MATCH(COLUMNS($AC$1006:AQ1006),$AC$1006:$AS$1006,0)))),"Fix")))</f>
        <v>0</v>
      </c>
      <c r="Q66" s="5">
        <f>IF(OR(INDEX($W$2:$W$1001,MATCH(ROWS($V$2:V66),$V$2:$V$1001,0),1)&gt;=100000,INDEX($AC$1005:$AS$1005,1,MATCH(COLUMNS($AC$1006:AR1006),$AC$1006:$AS$1006,0))&gt;=100000), " ",IF(INDEX($AC$2:$AS$1001,MATCH(ROWS($V$2:V66),$V$2:$V$1001,0),MATCH(COLUMNS($AC$1006:AR1006),$AC$1006:$AS$1006,0)), HYPERLINK("#",""), HYPERLINK(CONCATENATE("#Metadata!", ADDRESS(INDEX($X$2:$X$1001,MATCH(ROWS($V$2:V66),$V$2:$V$1001,0),0), INDEX($AC$1004:$AS$1004,1,MATCH(COLUMNS($AC$1006:AR1006),$AC$1006:$AS$1006,0)))),"Fix")))</f>
        <v>0</v>
      </c>
      <c r="R66" s="5">
        <f>IF(OR(INDEX($W$2:$W$1001,MATCH(ROWS($V$2:V66),$V$2:$V$1001,0),1)&gt;=100000,INDEX($AC$1005:$AS$1005,1,MATCH(COLUMNS($AC$1006:AS1006),$AC$1006:$AS$1006,0))&gt;=100000), " ",IF(INDEX($AC$2:$AS$1001,MATCH(ROWS($V$2:V66),$V$2:$V$1001,0),MATCH(COLUMNS($AC$1006:AS1006),$AC$1006:$AS$1006,0)), HYPERLINK("#",""), HYPERLINK(CONCATENATE("#Metadata!", ADDRESS(INDEX($X$2:$X$1001,MATCH(ROWS($V$2:V66),$V$2:$V$1001,0),0), INDEX($AC$1004:$AS$1004,1,MATCH(COLUMNS($AC$1006:AS1006),$AC$1006:$AS$1006,0)))),"Fix")))</f>
        <v>0</v>
      </c>
      <c r="V66">
        <v>0</v>
      </c>
      <c r="W66">
        <v>0</v>
      </c>
      <c r="X66">
        <v>0</v>
      </c>
      <c r="Y66">
        <f>IF(Z66,TRUE,AND(AC66:AS66))</f>
        <v>0</v>
      </c>
      <c r="Z66">
        <f>COUNTBLANK(Metadata!B66:R66)=COLUMNS(Metadata!B66:R66)</f>
        <v>0</v>
      </c>
      <c r="AA66">
        <v>0</v>
      </c>
      <c r="AC66">
        <f>AND(IF(Metadata!B66="",FALSE,TRUE),COUNTIF(Metadata!B:B, Metadata!B66) = 1,NOT(ISERROR(SUMPRODUCT(SEARCH(MID(Metadata!B66,ROW(INDIRECT("1:"&amp;LEN(Metadata!B66))), 1),"0123456789abcdefghijklmnopqrstuvwxyzABCDEFGHIJKLMNOPQRSTUVWXYZ.")))))</f>
        <v>0</v>
      </c>
      <c r="AD66">
        <f>AND(IF(Metadata!C66="",FALSE,TRUE),exact(Metadata!C66,"Host-associated"))</f>
        <v>0</v>
      </c>
      <c r="AE66">
        <f>AND(IF(Metadata!D66="",FALSE,TRUE),OR(exact(Metadata!D66,"Animal"),exact(Metadata!D66,"Fungus"),exact(Metadata!D66,"Plant")))</f>
        <v>0</v>
      </c>
      <c r="AF66">
        <f>AND(IF(Metadata!E66="",FALSE,TRUE),OR(exact(Metadata!E66,"Plant secretion"),exact(Metadata!E66,"Plant rhizosphere"),exact(Metadata!E66,"Plant surface"),exact(Metadata!E66,"Plant corpus"),exact(Metadata!E66,"Fungus surface"),exact(Metadata!E66,"Fungus corpus"),exact(Metadata!E66,"Animal surface"),exact(Metadata!E66,"Animal proximal gut"),exact(Metadata!E66,"Animal corpus"),exact(Metadata!E66,"Animal distal gut"),exact(Metadata!E66,"Animal secretion")))</f>
        <v>0</v>
      </c>
      <c r="AG66">
        <f>OR(AND(IF(Metadata!F66="",FALSE,TRUE),OR(exact(Metadata!F66,"not collected"),exact(Metadata!F66,"not provided"),exact(Metadata!F66,"restricted access"))),AND(IF(Metadata!F66="",FALSE,TRUE),OR(exact(Metadata!F66,"organism-associated habitat"),exact(Metadata!F66,"plant-associated habitat"),exact(Metadata!F66,"animal-associated habitat"),exact(Metadata!F66,"insecta-associated habitat"),exact(Metadata!F66,"mammalia-associated habitat"),exact(Metadata!F66,"human-associated habitat"),exact(Metadata!F66,"livestock-associated habitat"))))</f>
        <v>0</v>
      </c>
      <c r="AH66">
        <f>AND(IF(Metadata!G66="",FALSE,TRUE),exact(Metadata!G66,"host-associated"))</f>
        <v>0</v>
      </c>
      <c r="AI66">
        <f>OR(AND(IF(Metadata!H66="",FALSE,TRUE),OR(exact(Metadata!H66,"not collected"),exact(Metadata!H66,"not provided"))),AND(IF(Metadata!H66="",FALSE,ISNUMBER(VALUE(Metadata!H66))),Metadata!H66&gt;0))</f>
        <v>0</v>
      </c>
      <c r="AJ66">
        <f>AND(IF(Metadata!I66="",FALSE,TRUE),exact(Metadata!I66,"years"))</f>
        <v>0</v>
      </c>
      <c r="AK66">
        <f>IF(Metadata!J66="",FALSE,TRUE)</f>
        <v>0</v>
      </c>
      <c r="AL66">
        <f>OR(AND(IF(Metadata!K66="",FALSE,TRUE),OR(exact(Metadata!K66,"not collected"),exact(Metadata!K66,"not provided"))),AND(IF(Metadata!K66="",FALSE,ISNUMBER(VALUE(Metadata!K66))),Metadata!K66&gt;0))</f>
        <v>0</v>
      </c>
      <c r="AM66">
        <f>AND(IF(Metadata!L66="",FALSE,TRUE),exact(Metadata!L66,"cm"))</f>
        <v>0</v>
      </c>
      <c r="AN66">
        <f>IF(Metadata!M66="",FALSE,TRUE)</f>
        <v>0</v>
      </c>
      <c r="AO66">
        <f>OR(AND(IF(Metadata!N66="",FALSE,TRUE),OR(exact(Metadata!N66,"not applicable"),exact(Metadata!N66,"not collected"),exact(Metadata!N66,"not provided"))),AND(IF(Metadata!N66="",FALSE,IF(ISERROR(INT(Metadata!N66)),FALSE,INT(Metadata!N66)=Metadata!N66)),Metadata!N66&gt;0))</f>
        <v>0</v>
      </c>
      <c r="AP66">
        <f>OR(AND(IF(Metadata!O66="",FALSE,TRUE),OR(exact(Metadata!O66,"not collected"),exact(Metadata!O66,"not provided"))),AND(IF(Metadata!O66="",FALSE,ISNUMBER(VALUE(Metadata!O66))),Metadata!O66&gt;0))</f>
        <v>0</v>
      </c>
      <c r="AQ66">
        <f>AND(IF(Metadata!P66="",FALSE,TRUE),exact(Metadata!P66,"kg"))</f>
        <v>0</v>
      </c>
      <c r="AR66">
        <f>OR(AND(IF(Metadata!Q66="",FALSE,TRUE),OR(exact(Metadata!Q66,"not applicable"),exact(Metadata!Q66,"not collected"),exact(Metadata!Q66,"not provided"),exact(Metadata!Q66,"restricted access"))),IF(Metadata!Q66="",FALSE,IF(ISERROR(INT(Metadata!Q66)),FALSE,INT(Metadata!Q66)=Metadata!Q66)))</f>
        <v>0</v>
      </c>
      <c r="AS66">
        <f>AND(IF(Metadata!R66="",FALSE,TRUE),exact(Metadata!R66,"Not applicable"))</f>
        <v>0</v>
      </c>
    </row>
    <row r="67" spans="1:45">
      <c r="A67" s="4">
        <f>IF(B67=" "," ",HYPERLINK(CONCATENATE("#metadata!",ADDRESS(INDEX($X$2:$X$1001,MATCH(ROWS($V$2:V67),$V$2:$V$1001,0),0),2)),INDEX($AA$2:$AA$1001,MATCH(ROWS($V$2:V67),$V$2:$V$1001,0),0)))</f>
        <v>0</v>
      </c>
      <c r="B67" s="5">
        <f>IF(OR(INDEX($W$2:$W$1001,MATCH(ROWS($V$2:V67),$V$2:$V$1001,0),1)&gt;=100000,INDEX($AC$1005:$AS$1005,1,MATCH(COLUMNS($AC$1006:AC1006),$AC$1006:$AS$1006,0))&gt;=100000), " ",IF(INDEX($AC$2:$AS$1001,MATCH(ROWS($V$2:V67),$V$2:$V$1001,0),MATCH(COLUMNS($AC$1006:AC1006),$AC$1006:$AS$1006,0)), HYPERLINK("#",""), HYPERLINK(CONCATENATE("#Metadata!", ADDRESS(INDEX($X$2:$X$1001,MATCH(ROWS($V$2:V67),$V$2:$V$1001,0),0), INDEX($AC$1004:$AS$1004,1,MATCH(COLUMNS($AC$1006:AC1006),$AC$1006:$AS$1006,0)))),"Fix")))</f>
        <v>0</v>
      </c>
      <c r="C67" s="5">
        <f>IF(OR(INDEX($W$2:$W$1001,MATCH(ROWS($V$2:V67),$V$2:$V$1001,0),1)&gt;=100000,INDEX($AC$1005:$AS$1005,1,MATCH(COLUMNS($AC$1006:AD1006),$AC$1006:$AS$1006,0))&gt;=100000), " ",IF(INDEX($AC$2:$AS$1001,MATCH(ROWS($V$2:V67),$V$2:$V$1001,0),MATCH(COLUMNS($AC$1006:AD1006),$AC$1006:$AS$1006,0)), HYPERLINK("#",""), HYPERLINK(CONCATENATE("#Metadata!", ADDRESS(INDEX($X$2:$X$1001,MATCH(ROWS($V$2:V67),$V$2:$V$1001,0),0), INDEX($AC$1004:$AS$1004,1,MATCH(COLUMNS($AC$1006:AD1006),$AC$1006:$AS$1006,0)))),"Fix")))</f>
        <v>0</v>
      </c>
      <c r="D67" s="5">
        <f>IF(OR(INDEX($W$2:$W$1001,MATCH(ROWS($V$2:V67),$V$2:$V$1001,0),1)&gt;=100000,INDEX($AC$1005:$AS$1005,1,MATCH(COLUMNS($AC$1006:AE1006),$AC$1006:$AS$1006,0))&gt;=100000), " ",IF(INDEX($AC$2:$AS$1001,MATCH(ROWS($V$2:V67),$V$2:$V$1001,0),MATCH(COLUMNS($AC$1006:AE1006),$AC$1006:$AS$1006,0)), HYPERLINK("#",""), HYPERLINK(CONCATENATE("#Metadata!", ADDRESS(INDEX($X$2:$X$1001,MATCH(ROWS($V$2:V67),$V$2:$V$1001,0),0), INDEX($AC$1004:$AS$1004,1,MATCH(COLUMNS($AC$1006:AE1006),$AC$1006:$AS$1006,0)))),"Fix")))</f>
        <v>0</v>
      </c>
      <c r="E67" s="5">
        <f>IF(OR(INDEX($W$2:$W$1001,MATCH(ROWS($V$2:V67),$V$2:$V$1001,0),1)&gt;=100000,INDEX($AC$1005:$AS$1005,1,MATCH(COLUMNS($AC$1006:AF1006),$AC$1006:$AS$1006,0))&gt;=100000), " ",IF(INDEX($AC$2:$AS$1001,MATCH(ROWS($V$2:V67),$V$2:$V$1001,0),MATCH(COLUMNS($AC$1006:AF1006),$AC$1006:$AS$1006,0)), HYPERLINK("#",""), HYPERLINK(CONCATENATE("#Metadata!", ADDRESS(INDEX($X$2:$X$1001,MATCH(ROWS($V$2:V67),$V$2:$V$1001,0),0), INDEX($AC$1004:$AS$1004,1,MATCH(COLUMNS($AC$1006:AF1006),$AC$1006:$AS$1006,0)))),"Fix")))</f>
        <v>0</v>
      </c>
      <c r="F67" s="5">
        <f>IF(OR(INDEX($W$2:$W$1001,MATCH(ROWS($V$2:V67),$V$2:$V$1001,0),1)&gt;=100000,INDEX($AC$1005:$AS$1005,1,MATCH(COLUMNS($AC$1006:AG1006),$AC$1006:$AS$1006,0))&gt;=100000), " ",IF(INDEX($AC$2:$AS$1001,MATCH(ROWS($V$2:V67),$V$2:$V$1001,0),MATCH(COLUMNS($AC$1006:AG1006),$AC$1006:$AS$1006,0)), HYPERLINK("#",""), HYPERLINK(CONCATENATE("#Metadata!", ADDRESS(INDEX($X$2:$X$1001,MATCH(ROWS($V$2:V67),$V$2:$V$1001,0),0), INDEX($AC$1004:$AS$1004,1,MATCH(COLUMNS($AC$1006:AG1006),$AC$1006:$AS$1006,0)))),"Fix")))</f>
        <v>0</v>
      </c>
      <c r="G67" s="5">
        <f>IF(OR(INDEX($W$2:$W$1001,MATCH(ROWS($V$2:V67),$V$2:$V$1001,0),1)&gt;=100000,INDEX($AC$1005:$AS$1005,1,MATCH(COLUMNS($AC$1006:AH1006),$AC$1006:$AS$1006,0))&gt;=100000), " ",IF(INDEX($AC$2:$AS$1001,MATCH(ROWS($V$2:V67),$V$2:$V$1001,0),MATCH(COLUMNS($AC$1006:AH1006),$AC$1006:$AS$1006,0)), HYPERLINK("#",""), HYPERLINK(CONCATENATE("#Metadata!", ADDRESS(INDEX($X$2:$X$1001,MATCH(ROWS($V$2:V67),$V$2:$V$1001,0),0), INDEX($AC$1004:$AS$1004,1,MATCH(COLUMNS($AC$1006:AH1006),$AC$1006:$AS$1006,0)))),"Fix")))</f>
        <v>0</v>
      </c>
      <c r="H67" s="5">
        <f>IF(OR(INDEX($W$2:$W$1001,MATCH(ROWS($V$2:V67),$V$2:$V$1001,0),1)&gt;=100000,INDEX($AC$1005:$AS$1005,1,MATCH(COLUMNS($AC$1006:AI1006),$AC$1006:$AS$1006,0))&gt;=100000), " ",IF(INDEX($AC$2:$AS$1001,MATCH(ROWS($V$2:V67),$V$2:$V$1001,0),MATCH(COLUMNS($AC$1006:AI1006),$AC$1006:$AS$1006,0)), HYPERLINK("#",""), HYPERLINK(CONCATENATE("#Metadata!", ADDRESS(INDEX($X$2:$X$1001,MATCH(ROWS($V$2:V67),$V$2:$V$1001,0),0), INDEX($AC$1004:$AS$1004,1,MATCH(COLUMNS($AC$1006:AI1006),$AC$1006:$AS$1006,0)))),"Fix")))</f>
        <v>0</v>
      </c>
      <c r="I67" s="5">
        <f>IF(OR(INDEX($W$2:$W$1001,MATCH(ROWS($V$2:V67),$V$2:$V$1001,0),1)&gt;=100000,INDEX($AC$1005:$AS$1005,1,MATCH(COLUMNS($AC$1006:AJ1006),$AC$1006:$AS$1006,0))&gt;=100000), " ",IF(INDEX($AC$2:$AS$1001,MATCH(ROWS($V$2:V67),$V$2:$V$1001,0),MATCH(COLUMNS($AC$1006:AJ1006),$AC$1006:$AS$1006,0)), HYPERLINK("#",""), HYPERLINK(CONCATENATE("#Metadata!", ADDRESS(INDEX($X$2:$X$1001,MATCH(ROWS($V$2:V67),$V$2:$V$1001,0),0), INDEX($AC$1004:$AS$1004,1,MATCH(COLUMNS($AC$1006:AJ1006),$AC$1006:$AS$1006,0)))),"Fix")))</f>
        <v>0</v>
      </c>
      <c r="J67" s="5">
        <f>IF(OR(INDEX($W$2:$W$1001,MATCH(ROWS($V$2:V67),$V$2:$V$1001,0),1)&gt;=100000,INDEX($AC$1005:$AS$1005,1,MATCH(COLUMNS($AC$1006:AK1006),$AC$1006:$AS$1006,0))&gt;=100000), " ",IF(INDEX($AC$2:$AS$1001,MATCH(ROWS($V$2:V67),$V$2:$V$1001,0),MATCH(COLUMNS($AC$1006:AK1006),$AC$1006:$AS$1006,0)), HYPERLINK("#",""), HYPERLINK(CONCATENATE("#Metadata!", ADDRESS(INDEX($X$2:$X$1001,MATCH(ROWS($V$2:V67),$V$2:$V$1001,0),0), INDEX($AC$1004:$AS$1004,1,MATCH(COLUMNS($AC$1006:AK1006),$AC$1006:$AS$1006,0)))),"Fix")))</f>
        <v>0</v>
      </c>
      <c r="K67" s="5">
        <f>IF(OR(INDEX($W$2:$W$1001,MATCH(ROWS($V$2:V67),$V$2:$V$1001,0),1)&gt;=100000,INDEX($AC$1005:$AS$1005,1,MATCH(COLUMNS($AC$1006:AL1006),$AC$1006:$AS$1006,0))&gt;=100000), " ",IF(INDEX($AC$2:$AS$1001,MATCH(ROWS($V$2:V67),$V$2:$V$1001,0),MATCH(COLUMNS($AC$1006:AL1006),$AC$1006:$AS$1006,0)), HYPERLINK("#",""), HYPERLINK(CONCATENATE("#Metadata!", ADDRESS(INDEX($X$2:$X$1001,MATCH(ROWS($V$2:V67),$V$2:$V$1001,0),0), INDEX($AC$1004:$AS$1004,1,MATCH(COLUMNS($AC$1006:AL1006),$AC$1006:$AS$1006,0)))),"Fix")))</f>
        <v>0</v>
      </c>
      <c r="L67" s="5">
        <f>IF(OR(INDEX($W$2:$W$1001,MATCH(ROWS($V$2:V67),$V$2:$V$1001,0),1)&gt;=100000,INDEX($AC$1005:$AS$1005,1,MATCH(COLUMNS($AC$1006:AM1006),$AC$1006:$AS$1006,0))&gt;=100000), " ",IF(INDEX($AC$2:$AS$1001,MATCH(ROWS($V$2:V67),$V$2:$V$1001,0),MATCH(COLUMNS($AC$1006:AM1006),$AC$1006:$AS$1006,0)), HYPERLINK("#",""), HYPERLINK(CONCATENATE("#Metadata!", ADDRESS(INDEX($X$2:$X$1001,MATCH(ROWS($V$2:V67),$V$2:$V$1001,0),0), INDEX($AC$1004:$AS$1004,1,MATCH(COLUMNS($AC$1006:AM1006),$AC$1006:$AS$1006,0)))),"Fix")))</f>
        <v>0</v>
      </c>
      <c r="M67" s="5">
        <f>IF(OR(INDEX($W$2:$W$1001,MATCH(ROWS($V$2:V67),$V$2:$V$1001,0),1)&gt;=100000,INDEX($AC$1005:$AS$1005,1,MATCH(COLUMNS($AC$1006:AN1006),$AC$1006:$AS$1006,0))&gt;=100000), " ",IF(INDEX($AC$2:$AS$1001,MATCH(ROWS($V$2:V67),$V$2:$V$1001,0),MATCH(COLUMNS($AC$1006:AN1006),$AC$1006:$AS$1006,0)), HYPERLINK("#",""), HYPERLINK(CONCATENATE("#Metadata!", ADDRESS(INDEX($X$2:$X$1001,MATCH(ROWS($V$2:V67),$V$2:$V$1001,0),0), INDEX($AC$1004:$AS$1004,1,MATCH(COLUMNS($AC$1006:AN1006),$AC$1006:$AS$1006,0)))),"Fix")))</f>
        <v>0</v>
      </c>
      <c r="N67" s="5">
        <f>IF(OR(INDEX($W$2:$W$1001,MATCH(ROWS($V$2:V67),$V$2:$V$1001,0),1)&gt;=100000,INDEX($AC$1005:$AS$1005,1,MATCH(COLUMNS($AC$1006:AO1006),$AC$1006:$AS$1006,0))&gt;=100000), " ",IF(INDEX($AC$2:$AS$1001,MATCH(ROWS($V$2:V67),$V$2:$V$1001,0),MATCH(COLUMNS($AC$1006:AO1006),$AC$1006:$AS$1006,0)), HYPERLINK("#",""), HYPERLINK(CONCATENATE("#Metadata!", ADDRESS(INDEX($X$2:$X$1001,MATCH(ROWS($V$2:V67),$V$2:$V$1001,0),0), INDEX($AC$1004:$AS$1004,1,MATCH(COLUMNS($AC$1006:AO1006),$AC$1006:$AS$1006,0)))),"Fix")))</f>
        <v>0</v>
      </c>
      <c r="O67" s="5">
        <f>IF(OR(INDEX($W$2:$W$1001,MATCH(ROWS($V$2:V67),$V$2:$V$1001,0),1)&gt;=100000,INDEX($AC$1005:$AS$1005,1,MATCH(COLUMNS($AC$1006:AP1006),$AC$1006:$AS$1006,0))&gt;=100000), " ",IF(INDEX($AC$2:$AS$1001,MATCH(ROWS($V$2:V67),$V$2:$V$1001,0),MATCH(COLUMNS($AC$1006:AP1006),$AC$1006:$AS$1006,0)), HYPERLINK("#",""), HYPERLINK(CONCATENATE("#Metadata!", ADDRESS(INDEX($X$2:$X$1001,MATCH(ROWS($V$2:V67),$V$2:$V$1001,0),0), INDEX($AC$1004:$AS$1004,1,MATCH(COLUMNS($AC$1006:AP1006),$AC$1006:$AS$1006,0)))),"Fix")))</f>
        <v>0</v>
      </c>
      <c r="P67" s="5">
        <f>IF(OR(INDEX($W$2:$W$1001,MATCH(ROWS($V$2:V67),$V$2:$V$1001,0),1)&gt;=100000,INDEX($AC$1005:$AS$1005,1,MATCH(COLUMNS($AC$1006:AQ1006),$AC$1006:$AS$1006,0))&gt;=100000), " ",IF(INDEX($AC$2:$AS$1001,MATCH(ROWS($V$2:V67),$V$2:$V$1001,0),MATCH(COLUMNS($AC$1006:AQ1006),$AC$1006:$AS$1006,0)), HYPERLINK("#",""), HYPERLINK(CONCATENATE("#Metadata!", ADDRESS(INDEX($X$2:$X$1001,MATCH(ROWS($V$2:V67),$V$2:$V$1001,0),0), INDEX($AC$1004:$AS$1004,1,MATCH(COLUMNS($AC$1006:AQ1006),$AC$1006:$AS$1006,0)))),"Fix")))</f>
        <v>0</v>
      </c>
      <c r="Q67" s="5">
        <f>IF(OR(INDEX($W$2:$W$1001,MATCH(ROWS($V$2:V67),$V$2:$V$1001,0),1)&gt;=100000,INDEX($AC$1005:$AS$1005,1,MATCH(COLUMNS($AC$1006:AR1006),$AC$1006:$AS$1006,0))&gt;=100000), " ",IF(INDEX($AC$2:$AS$1001,MATCH(ROWS($V$2:V67),$V$2:$V$1001,0),MATCH(COLUMNS($AC$1006:AR1006),$AC$1006:$AS$1006,0)), HYPERLINK("#",""), HYPERLINK(CONCATENATE("#Metadata!", ADDRESS(INDEX($X$2:$X$1001,MATCH(ROWS($V$2:V67),$V$2:$V$1001,0),0), INDEX($AC$1004:$AS$1004,1,MATCH(COLUMNS($AC$1006:AR1006),$AC$1006:$AS$1006,0)))),"Fix")))</f>
        <v>0</v>
      </c>
      <c r="R67" s="5">
        <f>IF(OR(INDEX($W$2:$W$1001,MATCH(ROWS($V$2:V67),$V$2:$V$1001,0),1)&gt;=100000,INDEX($AC$1005:$AS$1005,1,MATCH(COLUMNS($AC$1006:AS1006),$AC$1006:$AS$1006,0))&gt;=100000), " ",IF(INDEX($AC$2:$AS$1001,MATCH(ROWS($V$2:V67),$V$2:$V$1001,0),MATCH(COLUMNS($AC$1006:AS1006),$AC$1006:$AS$1006,0)), HYPERLINK("#",""), HYPERLINK(CONCATENATE("#Metadata!", ADDRESS(INDEX($X$2:$X$1001,MATCH(ROWS($V$2:V67),$V$2:$V$1001,0),0), INDEX($AC$1004:$AS$1004,1,MATCH(COLUMNS($AC$1006:AS1006),$AC$1006:$AS$1006,0)))),"Fix")))</f>
        <v>0</v>
      </c>
      <c r="V67">
        <v>0</v>
      </c>
      <c r="W67">
        <v>0</v>
      </c>
      <c r="X67">
        <v>0</v>
      </c>
      <c r="Y67">
        <f>IF(Z67,TRUE,AND(AC67:AS67))</f>
        <v>0</v>
      </c>
      <c r="Z67">
        <f>COUNTBLANK(Metadata!B67:R67)=COLUMNS(Metadata!B67:R67)</f>
        <v>0</v>
      </c>
      <c r="AA67">
        <v>0</v>
      </c>
      <c r="AC67">
        <f>AND(IF(Metadata!B67="",FALSE,TRUE),COUNTIF(Metadata!B:B, Metadata!B67) = 1,NOT(ISERROR(SUMPRODUCT(SEARCH(MID(Metadata!B67,ROW(INDIRECT("1:"&amp;LEN(Metadata!B67))), 1),"0123456789abcdefghijklmnopqrstuvwxyzABCDEFGHIJKLMNOPQRSTUVWXYZ.")))))</f>
        <v>0</v>
      </c>
      <c r="AD67">
        <f>AND(IF(Metadata!C67="",FALSE,TRUE),exact(Metadata!C67,"Host-associated"))</f>
        <v>0</v>
      </c>
      <c r="AE67">
        <f>AND(IF(Metadata!D67="",FALSE,TRUE),OR(exact(Metadata!D67,"Animal"),exact(Metadata!D67,"Fungus"),exact(Metadata!D67,"Plant")))</f>
        <v>0</v>
      </c>
      <c r="AF67">
        <f>AND(IF(Metadata!E67="",FALSE,TRUE),OR(exact(Metadata!E67,"Plant secretion"),exact(Metadata!E67,"Plant rhizosphere"),exact(Metadata!E67,"Plant surface"),exact(Metadata!E67,"Plant corpus"),exact(Metadata!E67,"Fungus surface"),exact(Metadata!E67,"Fungus corpus"),exact(Metadata!E67,"Animal surface"),exact(Metadata!E67,"Animal proximal gut"),exact(Metadata!E67,"Animal corpus"),exact(Metadata!E67,"Animal distal gut"),exact(Metadata!E67,"Animal secretion")))</f>
        <v>0</v>
      </c>
      <c r="AG67">
        <f>OR(AND(IF(Metadata!F67="",FALSE,TRUE),OR(exact(Metadata!F67,"not collected"),exact(Metadata!F67,"not provided"),exact(Metadata!F67,"restricted access"))),AND(IF(Metadata!F67="",FALSE,TRUE),OR(exact(Metadata!F67,"organism-associated habitat"),exact(Metadata!F67,"plant-associated habitat"),exact(Metadata!F67,"animal-associated habitat"),exact(Metadata!F67,"insecta-associated habitat"),exact(Metadata!F67,"mammalia-associated habitat"),exact(Metadata!F67,"human-associated habitat"),exact(Metadata!F67,"livestock-associated habitat"))))</f>
        <v>0</v>
      </c>
      <c r="AH67">
        <f>AND(IF(Metadata!G67="",FALSE,TRUE),exact(Metadata!G67,"host-associated"))</f>
        <v>0</v>
      </c>
      <c r="AI67">
        <f>OR(AND(IF(Metadata!H67="",FALSE,TRUE),OR(exact(Metadata!H67,"not collected"),exact(Metadata!H67,"not provided"))),AND(IF(Metadata!H67="",FALSE,ISNUMBER(VALUE(Metadata!H67))),Metadata!H67&gt;0))</f>
        <v>0</v>
      </c>
      <c r="AJ67">
        <f>AND(IF(Metadata!I67="",FALSE,TRUE),exact(Metadata!I67,"years"))</f>
        <v>0</v>
      </c>
      <c r="AK67">
        <f>IF(Metadata!J67="",FALSE,TRUE)</f>
        <v>0</v>
      </c>
      <c r="AL67">
        <f>OR(AND(IF(Metadata!K67="",FALSE,TRUE),OR(exact(Metadata!K67,"not collected"),exact(Metadata!K67,"not provided"))),AND(IF(Metadata!K67="",FALSE,ISNUMBER(VALUE(Metadata!K67))),Metadata!K67&gt;0))</f>
        <v>0</v>
      </c>
      <c r="AM67">
        <f>AND(IF(Metadata!L67="",FALSE,TRUE),exact(Metadata!L67,"cm"))</f>
        <v>0</v>
      </c>
      <c r="AN67">
        <f>IF(Metadata!M67="",FALSE,TRUE)</f>
        <v>0</v>
      </c>
      <c r="AO67">
        <f>OR(AND(IF(Metadata!N67="",FALSE,TRUE),OR(exact(Metadata!N67,"not applicable"),exact(Metadata!N67,"not collected"),exact(Metadata!N67,"not provided"))),AND(IF(Metadata!N67="",FALSE,IF(ISERROR(INT(Metadata!N67)),FALSE,INT(Metadata!N67)=Metadata!N67)),Metadata!N67&gt;0))</f>
        <v>0</v>
      </c>
      <c r="AP67">
        <f>OR(AND(IF(Metadata!O67="",FALSE,TRUE),OR(exact(Metadata!O67,"not collected"),exact(Metadata!O67,"not provided"))),AND(IF(Metadata!O67="",FALSE,ISNUMBER(VALUE(Metadata!O67))),Metadata!O67&gt;0))</f>
        <v>0</v>
      </c>
      <c r="AQ67">
        <f>AND(IF(Metadata!P67="",FALSE,TRUE),exact(Metadata!P67,"kg"))</f>
        <v>0</v>
      </c>
      <c r="AR67">
        <f>OR(AND(IF(Metadata!Q67="",FALSE,TRUE),OR(exact(Metadata!Q67,"not applicable"),exact(Metadata!Q67,"not collected"),exact(Metadata!Q67,"not provided"),exact(Metadata!Q67,"restricted access"))),IF(Metadata!Q67="",FALSE,IF(ISERROR(INT(Metadata!Q67)),FALSE,INT(Metadata!Q67)=Metadata!Q67)))</f>
        <v>0</v>
      </c>
      <c r="AS67">
        <f>AND(IF(Metadata!R67="",FALSE,TRUE),exact(Metadata!R67,"Not applicable"))</f>
        <v>0</v>
      </c>
    </row>
    <row r="68" spans="1:45">
      <c r="A68" s="4">
        <f>IF(B68=" "," ",HYPERLINK(CONCATENATE("#metadata!",ADDRESS(INDEX($X$2:$X$1001,MATCH(ROWS($V$2:V68),$V$2:$V$1001,0),0),2)),INDEX($AA$2:$AA$1001,MATCH(ROWS($V$2:V68),$V$2:$V$1001,0),0)))</f>
        <v>0</v>
      </c>
      <c r="B68" s="5">
        <f>IF(OR(INDEX($W$2:$W$1001,MATCH(ROWS($V$2:V68),$V$2:$V$1001,0),1)&gt;=100000,INDEX($AC$1005:$AS$1005,1,MATCH(COLUMNS($AC$1006:AC1006),$AC$1006:$AS$1006,0))&gt;=100000), " ",IF(INDEX($AC$2:$AS$1001,MATCH(ROWS($V$2:V68),$V$2:$V$1001,0),MATCH(COLUMNS($AC$1006:AC1006),$AC$1006:$AS$1006,0)), HYPERLINK("#",""), HYPERLINK(CONCATENATE("#Metadata!", ADDRESS(INDEX($X$2:$X$1001,MATCH(ROWS($V$2:V68),$V$2:$V$1001,0),0), INDEX($AC$1004:$AS$1004,1,MATCH(COLUMNS($AC$1006:AC1006),$AC$1006:$AS$1006,0)))),"Fix")))</f>
        <v>0</v>
      </c>
      <c r="C68" s="5">
        <f>IF(OR(INDEX($W$2:$W$1001,MATCH(ROWS($V$2:V68),$V$2:$V$1001,0),1)&gt;=100000,INDEX($AC$1005:$AS$1005,1,MATCH(COLUMNS($AC$1006:AD1006),$AC$1006:$AS$1006,0))&gt;=100000), " ",IF(INDEX($AC$2:$AS$1001,MATCH(ROWS($V$2:V68),$V$2:$V$1001,0),MATCH(COLUMNS($AC$1006:AD1006),$AC$1006:$AS$1006,0)), HYPERLINK("#",""), HYPERLINK(CONCATENATE("#Metadata!", ADDRESS(INDEX($X$2:$X$1001,MATCH(ROWS($V$2:V68),$V$2:$V$1001,0),0), INDEX($AC$1004:$AS$1004,1,MATCH(COLUMNS($AC$1006:AD1006),$AC$1006:$AS$1006,0)))),"Fix")))</f>
        <v>0</v>
      </c>
      <c r="D68" s="5">
        <f>IF(OR(INDEX($W$2:$W$1001,MATCH(ROWS($V$2:V68),$V$2:$V$1001,0),1)&gt;=100000,INDEX($AC$1005:$AS$1005,1,MATCH(COLUMNS($AC$1006:AE1006),$AC$1006:$AS$1006,0))&gt;=100000), " ",IF(INDEX($AC$2:$AS$1001,MATCH(ROWS($V$2:V68),$V$2:$V$1001,0),MATCH(COLUMNS($AC$1006:AE1006),$AC$1006:$AS$1006,0)), HYPERLINK("#",""), HYPERLINK(CONCATENATE("#Metadata!", ADDRESS(INDEX($X$2:$X$1001,MATCH(ROWS($V$2:V68),$V$2:$V$1001,0),0), INDEX($AC$1004:$AS$1004,1,MATCH(COLUMNS($AC$1006:AE1006),$AC$1006:$AS$1006,0)))),"Fix")))</f>
        <v>0</v>
      </c>
      <c r="E68" s="5">
        <f>IF(OR(INDEX($W$2:$W$1001,MATCH(ROWS($V$2:V68),$V$2:$V$1001,0),1)&gt;=100000,INDEX($AC$1005:$AS$1005,1,MATCH(COLUMNS($AC$1006:AF1006),$AC$1006:$AS$1006,0))&gt;=100000), " ",IF(INDEX($AC$2:$AS$1001,MATCH(ROWS($V$2:V68),$V$2:$V$1001,0),MATCH(COLUMNS($AC$1006:AF1006),$AC$1006:$AS$1006,0)), HYPERLINK("#",""), HYPERLINK(CONCATENATE("#Metadata!", ADDRESS(INDEX($X$2:$X$1001,MATCH(ROWS($V$2:V68),$V$2:$V$1001,0),0), INDEX($AC$1004:$AS$1004,1,MATCH(COLUMNS($AC$1006:AF1006),$AC$1006:$AS$1006,0)))),"Fix")))</f>
        <v>0</v>
      </c>
      <c r="F68" s="5">
        <f>IF(OR(INDEX($W$2:$W$1001,MATCH(ROWS($V$2:V68),$V$2:$V$1001,0),1)&gt;=100000,INDEX($AC$1005:$AS$1005,1,MATCH(COLUMNS($AC$1006:AG1006),$AC$1006:$AS$1006,0))&gt;=100000), " ",IF(INDEX($AC$2:$AS$1001,MATCH(ROWS($V$2:V68),$V$2:$V$1001,0),MATCH(COLUMNS($AC$1006:AG1006),$AC$1006:$AS$1006,0)), HYPERLINK("#",""), HYPERLINK(CONCATENATE("#Metadata!", ADDRESS(INDEX($X$2:$X$1001,MATCH(ROWS($V$2:V68),$V$2:$V$1001,0),0), INDEX($AC$1004:$AS$1004,1,MATCH(COLUMNS($AC$1006:AG1006),$AC$1006:$AS$1006,0)))),"Fix")))</f>
        <v>0</v>
      </c>
      <c r="G68" s="5">
        <f>IF(OR(INDEX($W$2:$W$1001,MATCH(ROWS($V$2:V68),$V$2:$V$1001,0),1)&gt;=100000,INDEX($AC$1005:$AS$1005,1,MATCH(COLUMNS($AC$1006:AH1006),$AC$1006:$AS$1006,0))&gt;=100000), " ",IF(INDEX($AC$2:$AS$1001,MATCH(ROWS($V$2:V68),$V$2:$V$1001,0),MATCH(COLUMNS($AC$1006:AH1006),$AC$1006:$AS$1006,0)), HYPERLINK("#",""), HYPERLINK(CONCATENATE("#Metadata!", ADDRESS(INDEX($X$2:$X$1001,MATCH(ROWS($V$2:V68),$V$2:$V$1001,0),0), INDEX($AC$1004:$AS$1004,1,MATCH(COLUMNS($AC$1006:AH1006),$AC$1006:$AS$1006,0)))),"Fix")))</f>
        <v>0</v>
      </c>
      <c r="H68" s="5">
        <f>IF(OR(INDEX($W$2:$W$1001,MATCH(ROWS($V$2:V68),$V$2:$V$1001,0),1)&gt;=100000,INDEX($AC$1005:$AS$1005,1,MATCH(COLUMNS($AC$1006:AI1006),$AC$1006:$AS$1006,0))&gt;=100000), " ",IF(INDEX($AC$2:$AS$1001,MATCH(ROWS($V$2:V68),$V$2:$V$1001,0),MATCH(COLUMNS($AC$1006:AI1006),$AC$1006:$AS$1006,0)), HYPERLINK("#",""), HYPERLINK(CONCATENATE("#Metadata!", ADDRESS(INDEX($X$2:$X$1001,MATCH(ROWS($V$2:V68),$V$2:$V$1001,0),0), INDEX($AC$1004:$AS$1004,1,MATCH(COLUMNS($AC$1006:AI1006),$AC$1006:$AS$1006,0)))),"Fix")))</f>
        <v>0</v>
      </c>
      <c r="I68" s="5">
        <f>IF(OR(INDEX($W$2:$W$1001,MATCH(ROWS($V$2:V68),$V$2:$V$1001,0),1)&gt;=100000,INDEX($AC$1005:$AS$1005,1,MATCH(COLUMNS($AC$1006:AJ1006),$AC$1006:$AS$1006,0))&gt;=100000), " ",IF(INDEX($AC$2:$AS$1001,MATCH(ROWS($V$2:V68),$V$2:$V$1001,0),MATCH(COLUMNS($AC$1006:AJ1006),$AC$1006:$AS$1006,0)), HYPERLINK("#",""), HYPERLINK(CONCATENATE("#Metadata!", ADDRESS(INDEX($X$2:$X$1001,MATCH(ROWS($V$2:V68),$V$2:$V$1001,0),0), INDEX($AC$1004:$AS$1004,1,MATCH(COLUMNS($AC$1006:AJ1006),$AC$1006:$AS$1006,0)))),"Fix")))</f>
        <v>0</v>
      </c>
      <c r="J68" s="5">
        <f>IF(OR(INDEX($W$2:$W$1001,MATCH(ROWS($V$2:V68),$V$2:$V$1001,0),1)&gt;=100000,INDEX($AC$1005:$AS$1005,1,MATCH(COLUMNS($AC$1006:AK1006),$AC$1006:$AS$1006,0))&gt;=100000), " ",IF(INDEX($AC$2:$AS$1001,MATCH(ROWS($V$2:V68),$V$2:$V$1001,0),MATCH(COLUMNS($AC$1006:AK1006),$AC$1006:$AS$1006,0)), HYPERLINK("#",""), HYPERLINK(CONCATENATE("#Metadata!", ADDRESS(INDEX($X$2:$X$1001,MATCH(ROWS($V$2:V68),$V$2:$V$1001,0),0), INDEX($AC$1004:$AS$1004,1,MATCH(COLUMNS($AC$1006:AK1006),$AC$1006:$AS$1006,0)))),"Fix")))</f>
        <v>0</v>
      </c>
      <c r="K68" s="5">
        <f>IF(OR(INDEX($W$2:$W$1001,MATCH(ROWS($V$2:V68),$V$2:$V$1001,0),1)&gt;=100000,INDEX($AC$1005:$AS$1005,1,MATCH(COLUMNS($AC$1006:AL1006),$AC$1006:$AS$1006,0))&gt;=100000), " ",IF(INDEX($AC$2:$AS$1001,MATCH(ROWS($V$2:V68),$V$2:$V$1001,0),MATCH(COLUMNS($AC$1006:AL1006),$AC$1006:$AS$1006,0)), HYPERLINK("#",""), HYPERLINK(CONCATENATE("#Metadata!", ADDRESS(INDEX($X$2:$X$1001,MATCH(ROWS($V$2:V68),$V$2:$V$1001,0),0), INDEX($AC$1004:$AS$1004,1,MATCH(COLUMNS($AC$1006:AL1006),$AC$1006:$AS$1006,0)))),"Fix")))</f>
        <v>0</v>
      </c>
      <c r="L68" s="5">
        <f>IF(OR(INDEX($W$2:$W$1001,MATCH(ROWS($V$2:V68),$V$2:$V$1001,0),1)&gt;=100000,INDEX($AC$1005:$AS$1005,1,MATCH(COLUMNS($AC$1006:AM1006),$AC$1006:$AS$1006,0))&gt;=100000), " ",IF(INDEX($AC$2:$AS$1001,MATCH(ROWS($V$2:V68),$V$2:$V$1001,0),MATCH(COLUMNS($AC$1006:AM1006),$AC$1006:$AS$1006,0)), HYPERLINK("#",""), HYPERLINK(CONCATENATE("#Metadata!", ADDRESS(INDEX($X$2:$X$1001,MATCH(ROWS($V$2:V68),$V$2:$V$1001,0),0), INDEX($AC$1004:$AS$1004,1,MATCH(COLUMNS($AC$1006:AM1006),$AC$1006:$AS$1006,0)))),"Fix")))</f>
        <v>0</v>
      </c>
      <c r="M68" s="5">
        <f>IF(OR(INDEX($W$2:$W$1001,MATCH(ROWS($V$2:V68),$V$2:$V$1001,0),1)&gt;=100000,INDEX($AC$1005:$AS$1005,1,MATCH(COLUMNS($AC$1006:AN1006),$AC$1006:$AS$1006,0))&gt;=100000), " ",IF(INDEX($AC$2:$AS$1001,MATCH(ROWS($V$2:V68),$V$2:$V$1001,0),MATCH(COLUMNS($AC$1006:AN1006),$AC$1006:$AS$1006,0)), HYPERLINK("#",""), HYPERLINK(CONCATENATE("#Metadata!", ADDRESS(INDEX($X$2:$X$1001,MATCH(ROWS($V$2:V68),$V$2:$V$1001,0),0), INDEX($AC$1004:$AS$1004,1,MATCH(COLUMNS($AC$1006:AN1006),$AC$1006:$AS$1006,0)))),"Fix")))</f>
        <v>0</v>
      </c>
      <c r="N68" s="5">
        <f>IF(OR(INDEX($W$2:$W$1001,MATCH(ROWS($V$2:V68),$V$2:$V$1001,0),1)&gt;=100000,INDEX($AC$1005:$AS$1005,1,MATCH(COLUMNS($AC$1006:AO1006),$AC$1006:$AS$1006,0))&gt;=100000), " ",IF(INDEX($AC$2:$AS$1001,MATCH(ROWS($V$2:V68),$V$2:$V$1001,0),MATCH(COLUMNS($AC$1006:AO1006),$AC$1006:$AS$1006,0)), HYPERLINK("#",""), HYPERLINK(CONCATENATE("#Metadata!", ADDRESS(INDEX($X$2:$X$1001,MATCH(ROWS($V$2:V68),$V$2:$V$1001,0),0), INDEX($AC$1004:$AS$1004,1,MATCH(COLUMNS($AC$1006:AO1006),$AC$1006:$AS$1006,0)))),"Fix")))</f>
        <v>0</v>
      </c>
      <c r="O68" s="5">
        <f>IF(OR(INDEX($W$2:$W$1001,MATCH(ROWS($V$2:V68),$V$2:$V$1001,0),1)&gt;=100000,INDEX($AC$1005:$AS$1005,1,MATCH(COLUMNS($AC$1006:AP1006),$AC$1006:$AS$1006,0))&gt;=100000), " ",IF(INDEX($AC$2:$AS$1001,MATCH(ROWS($V$2:V68),$V$2:$V$1001,0),MATCH(COLUMNS($AC$1006:AP1006),$AC$1006:$AS$1006,0)), HYPERLINK("#",""), HYPERLINK(CONCATENATE("#Metadata!", ADDRESS(INDEX($X$2:$X$1001,MATCH(ROWS($V$2:V68),$V$2:$V$1001,0),0), INDEX($AC$1004:$AS$1004,1,MATCH(COLUMNS($AC$1006:AP1006),$AC$1006:$AS$1006,0)))),"Fix")))</f>
        <v>0</v>
      </c>
      <c r="P68" s="5">
        <f>IF(OR(INDEX($W$2:$W$1001,MATCH(ROWS($V$2:V68),$V$2:$V$1001,0),1)&gt;=100000,INDEX($AC$1005:$AS$1005,1,MATCH(COLUMNS($AC$1006:AQ1006),$AC$1006:$AS$1006,0))&gt;=100000), " ",IF(INDEX($AC$2:$AS$1001,MATCH(ROWS($V$2:V68),$V$2:$V$1001,0),MATCH(COLUMNS($AC$1006:AQ1006),$AC$1006:$AS$1006,0)), HYPERLINK("#",""), HYPERLINK(CONCATENATE("#Metadata!", ADDRESS(INDEX($X$2:$X$1001,MATCH(ROWS($V$2:V68),$V$2:$V$1001,0),0), INDEX($AC$1004:$AS$1004,1,MATCH(COLUMNS($AC$1006:AQ1006),$AC$1006:$AS$1006,0)))),"Fix")))</f>
        <v>0</v>
      </c>
      <c r="Q68" s="5">
        <f>IF(OR(INDEX($W$2:$W$1001,MATCH(ROWS($V$2:V68),$V$2:$V$1001,0),1)&gt;=100000,INDEX($AC$1005:$AS$1005,1,MATCH(COLUMNS($AC$1006:AR1006),$AC$1006:$AS$1006,0))&gt;=100000), " ",IF(INDEX($AC$2:$AS$1001,MATCH(ROWS($V$2:V68),$V$2:$V$1001,0),MATCH(COLUMNS($AC$1006:AR1006),$AC$1006:$AS$1006,0)), HYPERLINK("#",""), HYPERLINK(CONCATENATE("#Metadata!", ADDRESS(INDEX($X$2:$X$1001,MATCH(ROWS($V$2:V68),$V$2:$V$1001,0),0), INDEX($AC$1004:$AS$1004,1,MATCH(COLUMNS($AC$1006:AR1006),$AC$1006:$AS$1006,0)))),"Fix")))</f>
        <v>0</v>
      </c>
      <c r="R68" s="5">
        <f>IF(OR(INDEX($W$2:$W$1001,MATCH(ROWS($V$2:V68),$V$2:$V$1001,0),1)&gt;=100000,INDEX($AC$1005:$AS$1005,1,MATCH(COLUMNS($AC$1006:AS1006),$AC$1006:$AS$1006,0))&gt;=100000), " ",IF(INDEX($AC$2:$AS$1001,MATCH(ROWS($V$2:V68),$V$2:$V$1001,0),MATCH(COLUMNS($AC$1006:AS1006),$AC$1006:$AS$1006,0)), HYPERLINK("#",""), HYPERLINK(CONCATENATE("#Metadata!", ADDRESS(INDEX($X$2:$X$1001,MATCH(ROWS($V$2:V68),$V$2:$V$1001,0),0), INDEX($AC$1004:$AS$1004,1,MATCH(COLUMNS($AC$1006:AS1006),$AC$1006:$AS$1006,0)))),"Fix")))</f>
        <v>0</v>
      </c>
      <c r="V68">
        <v>0</v>
      </c>
      <c r="W68">
        <v>0</v>
      </c>
      <c r="X68">
        <v>0</v>
      </c>
      <c r="Y68">
        <f>IF(Z68,TRUE,AND(AC68:AS68))</f>
        <v>0</v>
      </c>
      <c r="Z68">
        <f>COUNTBLANK(Metadata!B68:R68)=COLUMNS(Metadata!B68:R68)</f>
        <v>0</v>
      </c>
      <c r="AA68">
        <v>0</v>
      </c>
      <c r="AC68">
        <f>AND(IF(Metadata!B68="",FALSE,TRUE),COUNTIF(Metadata!B:B, Metadata!B68) = 1,NOT(ISERROR(SUMPRODUCT(SEARCH(MID(Metadata!B68,ROW(INDIRECT("1:"&amp;LEN(Metadata!B68))), 1),"0123456789abcdefghijklmnopqrstuvwxyzABCDEFGHIJKLMNOPQRSTUVWXYZ.")))))</f>
        <v>0</v>
      </c>
      <c r="AD68">
        <f>AND(IF(Metadata!C68="",FALSE,TRUE),exact(Metadata!C68,"Host-associated"))</f>
        <v>0</v>
      </c>
      <c r="AE68">
        <f>AND(IF(Metadata!D68="",FALSE,TRUE),OR(exact(Metadata!D68,"Animal"),exact(Metadata!D68,"Fungus"),exact(Metadata!D68,"Plant")))</f>
        <v>0</v>
      </c>
      <c r="AF68">
        <f>AND(IF(Metadata!E68="",FALSE,TRUE),OR(exact(Metadata!E68,"Plant secretion"),exact(Metadata!E68,"Plant rhizosphere"),exact(Metadata!E68,"Plant surface"),exact(Metadata!E68,"Plant corpus"),exact(Metadata!E68,"Fungus surface"),exact(Metadata!E68,"Fungus corpus"),exact(Metadata!E68,"Animal surface"),exact(Metadata!E68,"Animal proximal gut"),exact(Metadata!E68,"Animal corpus"),exact(Metadata!E68,"Animal distal gut"),exact(Metadata!E68,"Animal secretion")))</f>
        <v>0</v>
      </c>
      <c r="AG68">
        <f>OR(AND(IF(Metadata!F68="",FALSE,TRUE),OR(exact(Metadata!F68,"not collected"),exact(Metadata!F68,"not provided"),exact(Metadata!F68,"restricted access"))),AND(IF(Metadata!F68="",FALSE,TRUE),OR(exact(Metadata!F68,"organism-associated habitat"),exact(Metadata!F68,"plant-associated habitat"),exact(Metadata!F68,"animal-associated habitat"),exact(Metadata!F68,"insecta-associated habitat"),exact(Metadata!F68,"mammalia-associated habitat"),exact(Metadata!F68,"human-associated habitat"),exact(Metadata!F68,"livestock-associated habitat"))))</f>
        <v>0</v>
      </c>
      <c r="AH68">
        <f>AND(IF(Metadata!G68="",FALSE,TRUE),exact(Metadata!G68,"host-associated"))</f>
        <v>0</v>
      </c>
      <c r="AI68">
        <f>OR(AND(IF(Metadata!H68="",FALSE,TRUE),OR(exact(Metadata!H68,"not collected"),exact(Metadata!H68,"not provided"))),AND(IF(Metadata!H68="",FALSE,ISNUMBER(VALUE(Metadata!H68))),Metadata!H68&gt;0))</f>
        <v>0</v>
      </c>
      <c r="AJ68">
        <f>AND(IF(Metadata!I68="",FALSE,TRUE),exact(Metadata!I68,"years"))</f>
        <v>0</v>
      </c>
      <c r="AK68">
        <f>IF(Metadata!J68="",FALSE,TRUE)</f>
        <v>0</v>
      </c>
      <c r="AL68">
        <f>OR(AND(IF(Metadata!K68="",FALSE,TRUE),OR(exact(Metadata!K68,"not collected"),exact(Metadata!K68,"not provided"))),AND(IF(Metadata!K68="",FALSE,ISNUMBER(VALUE(Metadata!K68))),Metadata!K68&gt;0))</f>
        <v>0</v>
      </c>
      <c r="AM68">
        <f>AND(IF(Metadata!L68="",FALSE,TRUE),exact(Metadata!L68,"cm"))</f>
        <v>0</v>
      </c>
      <c r="AN68">
        <f>IF(Metadata!M68="",FALSE,TRUE)</f>
        <v>0</v>
      </c>
      <c r="AO68">
        <f>OR(AND(IF(Metadata!N68="",FALSE,TRUE),OR(exact(Metadata!N68,"not applicable"),exact(Metadata!N68,"not collected"),exact(Metadata!N68,"not provided"))),AND(IF(Metadata!N68="",FALSE,IF(ISERROR(INT(Metadata!N68)),FALSE,INT(Metadata!N68)=Metadata!N68)),Metadata!N68&gt;0))</f>
        <v>0</v>
      </c>
      <c r="AP68">
        <f>OR(AND(IF(Metadata!O68="",FALSE,TRUE),OR(exact(Metadata!O68,"not collected"),exact(Metadata!O68,"not provided"))),AND(IF(Metadata!O68="",FALSE,ISNUMBER(VALUE(Metadata!O68))),Metadata!O68&gt;0))</f>
        <v>0</v>
      </c>
      <c r="AQ68">
        <f>AND(IF(Metadata!P68="",FALSE,TRUE),exact(Metadata!P68,"kg"))</f>
        <v>0</v>
      </c>
      <c r="AR68">
        <f>OR(AND(IF(Metadata!Q68="",FALSE,TRUE),OR(exact(Metadata!Q68,"not applicable"),exact(Metadata!Q68,"not collected"),exact(Metadata!Q68,"not provided"),exact(Metadata!Q68,"restricted access"))),IF(Metadata!Q68="",FALSE,IF(ISERROR(INT(Metadata!Q68)),FALSE,INT(Metadata!Q68)=Metadata!Q68)))</f>
        <v>0</v>
      </c>
      <c r="AS68">
        <f>AND(IF(Metadata!R68="",FALSE,TRUE),exact(Metadata!R68,"Not applicable"))</f>
        <v>0</v>
      </c>
    </row>
    <row r="69" spans="1:45">
      <c r="A69" s="4">
        <f>IF(B69=" "," ",HYPERLINK(CONCATENATE("#metadata!",ADDRESS(INDEX($X$2:$X$1001,MATCH(ROWS($V$2:V69),$V$2:$V$1001,0),0),2)),INDEX($AA$2:$AA$1001,MATCH(ROWS($V$2:V69),$V$2:$V$1001,0),0)))</f>
        <v>0</v>
      </c>
      <c r="B69" s="5">
        <f>IF(OR(INDEX($W$2:$W$1001,MATCH(ROWS($V$2:V69),$V$2:$V$1001,0),1)&gt;=100000,INDEX($AC$1005:$AS$1005,1,MATCH(COLUMNS($AC$1006:AC1006),$AC$1006:$AS$1006,0))&gt;=100000), " ",IF(INDEX($AC$2:$AS$1001,MATCH(ROWS($V$2:V69),$V$2:$V$1001,0),MATCH(COLUMNS($AC$1006:AC1006),$AC$1006:$AS$1006,0)), HYPERLINK("#",""), HYPERLINK(CONCATENATE("#Metadata!", ADDRESS(INDEX($X$2:$X$1001,MATCH(ROWS($V$2:V69),$V$2:$V$1001,0),0), INDEX($AC$1004:$AS$1004,1,MATCH(COLUMNS($AC$1006:AC1006),$AC$1006:$AS$1006,0)))),"Fix")))</f>
        <v>0</v>
      </c>
      <c r="C69" s="5">
        <f>IF(OR(INDEX($W$2:$W$1001,MATCH(ROWS($V$2:V69),$V$2:$V$1001,0),1)&gt;=100000,INDEX($AC$1005:$AS$1005,1,MATCH(COLUMNS($AC$1006:AD1006),$AC$1006:$AS$1006,0))&gt;=100000), " ",IF(INDEX($AC$2:$AS$1001,MATCH(ROWS($V$2:V69),$V$2:$V$1001,0),MATCH(COLUMNS($AC$1006:AD1006),$AC$1006:$AS$1006,0)), HYPERLINK("#",""), HYPERLINK(CONCATENATE("#Metadata!", ADDRESS(INDEX($X$2:$X$1001,MATCH(ROWS($V$2:V69),$V$2:$V$1001,0),0), INDEX($AC$1004:$AS$1004,1,MATCH(COLUMNS($AC$1006:AD1006),$AC$1006:$AS$1006,0)))),"Fix")))</f>
        <v>0</v>
      </c>
      <c r="D69" s="5">
        <f>IF(OR(INDEX($W$2:$W$1001,MATCH(ROWS($V$2:V69),$V$2:$V$1001,0),1)&gt;=100000,INDEX($AC$1005:$AS$1005,1,MATCH(COLUMNS($AC$1006:AE1006),$AC$1006:$AS$1006,0))&gt;=100000), " ",IF(INDEX($AC$2:$AS$1001,MATCH(ROWS($V$2:V69),$V$2:$V$1001,0),MATCH(COLUMNS($AC$1006:AE1006),$AC$1006:$AS$1006,0)), HYPERLINK("#",""), HYPERLINK(CONCATENATE("#Metadata!", ADDRESS(INDEX($X$2:$X$1001,MATCH(ROWS($V$2:V69),$V$2:$V$1001,0),0), INDEX($AC$1004:$AS$1004,1,MATCH(COLUMNS($AC$1006:AE1006),$AC$1006:$AS$1006,0)))),"Fix")))</f>
        <v>0</v>
      </c>
      <c r="E69" s="5">
        <f>IF(OR(INDEX($W$2:$W$1001,MATCH(ROWS($V$2:V69),$V$2:$V$1001,0),1)&gt;=100000,INDEX($AC$1005:$AS$1005,1,MATCH(COLUMNS($AC$1006:AF1006),$AC$1006:$AS$1006,0))&gt;=100000), " ",IF(INDEX($AC$2:$AS$1001,MATCH(ROWS($V$2:V69),$V$2:$V$1001,0),MATCH(COLUMNS($AC$1006:AF1006),$AC$1006:$AS$1006,0)), HYPERLINK("#",""), HYPERLINK(CONCATENATE("#Metadata!", ADDRESS(INDEX($X$2:$X$1001,MATCH(ROWS($V$2:V69),$V$2:$V$1001,0),0), INDEX($AC$1004:$AS$1004,1,MATCH(COLUMNS($AC$1006:AF1006),$AC$1006:$AS$1006,0)))),"Fix")))</f>
        <v>0</v>
      </c>
      <c r="F69" s="5">
        <f>IF(OR(INDEX($W$2:$W$1001,MATCH(ROWS($V$2:V69),$V$2:$V$1001,0),1)&gt;=100000,INDEX($AC$1005:$AS$1005,1,MATCH(COLUMNS($AC$1006:AG1006),$AC$1006:$AS$1006,0))&gt;=100000), " ",IF(INDEX($AC$2:$AS$1001,MATCH(ROWS($V$2:V69),$V$2:$V$1001,0),MATCH(COLUMNS($AC$1006:AG1006),$AC$1006:$AS$1006,0)), HYPERLINK("#",""), HYPERLINK(CONCATENATE("#Metadata!", ADDRESS(INDEX($X$2:$X$1001,MATCH(ROWS($V$2:V69),$V$2:$V$1001,0),0), INDEX($AC$1004:$AS$1004,1,MATCH(COLUMNS($AC$1006:AG1006),$AC$1006:$AS$1006,0)))),"Fix")))</f>
        <v>0</v>
      </c>
      <c r="G69" s="5">
        <f>IF(OR(INDEX($W$2:$W$1001,MATCH(ROWS($V$2:V69),$V$2:$V$1001,0),1)&gt;=100000,INDEX($AC$1005:$AS$1005,1,MATCH(COLUMNS($AC$1006:AH1006),$AC$1006:$AS$1006,0))&gt;=100000), " ",IF(INDEX($AC$2:$AS$1001,MATCH(ROWS($V$2:V69),$V$2:$V$1001,0),MATCH(COLUMNS($AC$1006:AH1006),$AC$1006:$AS$1006,0)), HYPERLINK("#",""), HYPERLINK(CONCATENATE("#Metadata!", ADDRESS(INDEX($X$2:$X$1001,MATCH(ROWS($V$2:V69),$V$2:$V$1001,0),0), INDEX($AC$1004:$AS$1004,1,MATCH(COLUMNS($AC$1006:AH1006),$AC$1006:$AS$1006,0)))),"Fix")))</f>
        <v>0</v>
      </c>
      <c r="H69" s="5">
        <f>IF(OR(INDEX($W$2:$W$1001,MATCH(ROWS($V$2:V69),$V$2:$V$1001,0),1)&gt;=100000,INDEX($AC$1005:$AS$1005,1,MATCH(COLUMNS($AC$1006:AI1006),$AC$1006:$AS$1006,0))&gt;=100000), " ",IF(INDEX($AC$2:$AS$1001,MATCH(ROWS($V$2:V69),$V$2:$V$1001,0),MATCH(COLUMNS($AC$1006:AI1006),$AC$1006:$AS$1006,0)), HYPERLINK("#",""), HYPERLINK(CONCATENATE("#Metadata!", ADDRESS(INDEX($X$2:$X$1001,MATCH(ROWS($V$2:V69),$V$2:$V$1001,0),0), INDEX($AC$1004:$AS$1004,1,MATCH(COLUMNS($AC$1006:AI1006),$AC$1006:$AS$1006,0)))),"Fix")))</f>
        <v>0</v>
      </c>
      <c r="I69" s="5">
        <f>IF(OR(INDEX($W$2:$W$1001,MATCH(ROWS($V$2:V69),$V$2:$V$1001,0),1)&gt;=100000,INDEX($AC$1005:$AS$1005,1,MATCH(COLUMNS($AC$1006:AJ1006),$AC$1006:$AS$1006,0))&gt;=100000), " ",IF(INDEX($AC$2:$AS$1001,MATCH(ROWS($V$2:V69),$V$2:$V$1001,0),MATCH(COLUMNS($AC$1006:AJ1006),$AC$1006:$AS$1006,0)), HYPERLINK("#",""), HYPERLINK(CONCATENATE("#Metadata!", ADDRESS(INDEX($X$2:$X$1001,MATCH(ROWS($V$2:V69),$V$2:$V$1001,0),0), INDEX($AC$1004:$AS$1004,1,MATCH(COLUMNS($AC$1006:AJ1006),$AC$1006:$AS$1006,0)))),"Fix")))</f>
        <v>0</v>
      </c>
      <c r="J69" s="5">
        <f>IF(OR(INDEX($W$2:$W$1001,MATCH(ROWS($V$2:V69),$V$2:$V$1001,0),1)&gt;=100000,INDEX($AC$1005:$AS$1005,1,MATCH(COLUMNS($AC$1006:AK1006),$AC$1006:$AS$1006,0))&gt;=100000), " ",IF(INDEX($AC$2:$AS$1001,MATCH(ROWS($V$2:V69),$V$2:$V$1001,0),MATCH(COLUMNS($AC$1006:AK1006),$AC$1006:$AS$1006,0)), HYPERLINK("#",""), HYPERLINK(CONCATENATE("#Metadata!", ADDRESS(INDEX($X$2:$X$1001,MATCH(ROWS($V$2:V69),$V$2:$V$1001,0),0), INDEX($AC$1004:$AS$1004,1,MATCH(COLUMNS($AC$1006:AK1006),$AC$1006:$AS$1006,0)))),"Fix")))</f>
        <v>0</v>
      </c>
      <c r="K69" s="5">
        <f>IF(OR(INDEX($W$2:$W$1001,MATCH(ROWS($V$2:V69),$V$2:$V$1001,0),1)&gt;=100000,INDEX($AC$1005:$AS$1005,1,MATCH(COLUMNS($AC$1006:AL1006),$AC$1006:$AS$1006,0))&gt;=100000), " ",IF(INDEX($AC$2:$AS$1001,MATCH(ROWS($V$2:V69),$V$2:$V$1001,0),MATCH(COLUMNS($AC$1006:AL1006),$AC$1006:$AS$1006,0)), HYPERLINK("#",""), HYPERLINK(CONCATENATE("#Metadata!", ADDRESS(INDEX($X$2:$X$1001,MATCH(ROWS($V$2:V69),$V$2:$V$1001,0),0), INDEX($AC$1004:$AS$1004,1,MATCH(COLUMNS($AC$1006:AL1006),$AC$1006:$AS$1006,0)))),"Fix")))</f>
        <v>0</v>
      </c>
      <c r="L69" s="5">
        <f>IF(OR(INDEX($W$2:$W$1001,MATCH(ROWS($V$2:V69),$V$2:$V$1001,0),1)&gt;=100000,INDEX($AC$1005:$AS$1005,1,MATCH(COLUMNS($AC$1006:AM1006),$AC$1006:$AS$1006,0))&gt;=100000), " ",IF(INDEX($AC$2:$AS$1001,MATCH(ROWS($V$2:V69),$V$2:$V$1001,0),MATCH(COLUMNS($AC$1006:AM1006),$AC$1006:$AS$1006,0)), HYPERLINK("#",""), HYPERLINK(CONCATENATE("#Metadata!", ADDRESS(INDEX($X$2:$X$1001,MATCH(ROWS($V$2:V69),$V$2:$V$1001,0),0), INDEX($AC$1004:$AS$1004,1,MATCH(COLUMNS($AC$1006:AM1006),$AC$1006:$AS$1006,0)))),"Fix")))</f>
        <v>0</v>
      </c>
      <c r="M69" s="5">
        <f>IF(OR(INDEX($W$2:$W$1001,MATCH(ROWS($V$2:V69),$V$2:$V$1001,0),1)&gt;=100000,INDEX($AC$1005:$AS$1005,1,MATCH(COLUMNS($AC$1006:AN1006),$AC$1006:$AS$1006,0))&gt;=100000), " ",IF(INDEX($AC$2:$AS$1001,MATCH(ROWS($V$2:V69),$V$2:$V$1001,0),MATCH(COLUMNS($AC$1006:AN1006),$AC$1006:$AS$1006,0)), HYPERLINK("#",""), HYPERLINK(CONCATENATE("#Metadata!", ADDRESS(INDEX($X$2:$X$1001,MATCH(ROWS($V$2:V69),$V$2:$V$1001,0),0), INDEX($AC$1004:$AS$1004,1,MATCH(COLUMNS($AC$1006:AN1006),$AC$1006:$AS$1006,0)))),"Fix")))</f>
        <v>0</v>
      </c>
      <c r="N69" s="5">
        <f>IF(OR(INDEX($W$2:$W$1001,MATCH(ROWS($V$2:V69),$V$2:$V$1001,0),1)&gt;=100000,INDEX($AC$1005:$AS$1005,1,MATCH(COLUMNS($AC$1006:AO1006),$AC$1006:$AS$1006,0))&gt;=100000), " ",IF(INDEX($AC$2:$AS$1001,MATCH(ROWS($V$2:V69),$V$2:$V$1001,0),MATCH(COLUMNS($AC$1006:AO1006),$AC$1006:$AS$1006,0)), HYPERLINK("#",""), HYPERLINK(CONCATENATE("#Metadata!", ADDRESS(INDEX($X$2:$X$1001,MATCH(ROWS($V$2:V69),$V$2:$V$1001,0),0), INDEX($AC$1004:$AS$1004,1,MATCH(COLUMNS($AC$1006:AO1006),$AC$1006:$AS$1006,0)))),"Fix")))</f>
        <v>0</v>
      </c>
      <c r="O69" s="5">
        <f>IF(OR(INDEX($W$2:$W$1001,MATCH(ROWS($V$2:V69),$V$2:$V$1001,0),1)&gt;=100000,INDEX($AC$1005:$AS$1005,1,MATCH(COLUMNS($AC$1006:AP1006),$AC$1006:$AS$1006,0))&gt;=100000), " ",IF(INDEX($AC$2:$AS$1001,MATCH(ROWS($V$2:V69),$V$2:$V$1001,0),MATCH(COLUMNS($AC$1006:AP1006),$AC$1006:$AS$1006,0)), HYPERLINK("#",""), HYPERLINK(CONCATENATE("#Metadata!", ADDRESS(INDEX($X$2:$X$1001,MATCH(ROWS($V$2:V69),$V$2:$V$1001,0),0), INDEX($AC$1004:$AS$1004,1,MATCH(COLUMNS($AC$1006:AP1006),$AC$1006:$AS$1006,0)))),"Fix")))</f>
        <v>0</v>
      </c>
      <c r="P69" s="5">
        <f>IF(OR(INDEX($W$2:$W$1001,MATCH(ROWS($V$2:V69),$V$2:$V$1001,0),1)&gt;=100000,INDEX($AC$1005:$AS$1005,1,MATCH(COLUMNS($AC$1006:AQ1006),$AC$1006:$AS$1006,0))&gt;=100000), " ",IF(INDEX($AC$2:$AS$1001,MATCH(ROWS($V$2:V69),$V$2:$V$1001,0),MATCH(COLUMNS($AC$1006:AQ1006),$AC$1006:$AS$1006,0)), HYPERLINK("#",""), HYPERLINK(CONCATENATE("#Metadata!", ADDRESS(INDEX($X$2:$X$1001,MATCH(ROWS($V$2:V69),$V$2:$V$1001,0),0), INDEX($AC$1004:$AS$1004,1,MATCH(COLUMNS($AC$1006:AQ1006),$AC$1006:$AS$1006,0)))),"Fix")))</f>
        <v>0</v>
      </c>
      <c r="Q69" s="5">
        <f>IF(OR(INDEX($W$2:$W$1001,MATCH(ROWS($V$2:V69),$V$2:$V$1001,0),1)&gt;=100000,INDEX($AC$1005:$AS$1005,1,MATCH(COLUMNS($AC$1006:AR1006),$AC$1006:$AS$1006,0))&gt;=100000), " ",IF(INDEX($AC$2:$AS$1001,MATCH(ROWS($V$2:V69),$V$2:$V$1001,0),MATCH(COLUMNS($AC$1006:AR1006),$AC$1006:$AS$1006,0)), HYPERLINK("#",""), HYPERLINK(CONCATENATE("#Metadata!", ADDRESS(INDEX($X$2:$X$1001,MATCH(ROWS($V$2:V69),$V$2:$V$1001,0),0), INDEX($AC$1004:$AS$1004,1,MATCH(COLUMNS($AC$1006:AR1006),$AC$1006:$AS$1006,0)))),"Fix")))</f>
        <v>0</v>
      </c>
      <c r="R69" s="5">
        <f>IF(OR(INDEX($W$2:$W$1001,MATCH(ROWS($V$2:V69),$V$2:$V$1001,0),1)&gt;=100000,INDEX($AC$1005:$AS$1005,1,MATCH(COLUMNS($AC$1006:AS1006),$AC$1006:$AS$1006,0))&gt;=100000), " ",IF(INDEX($AC$2:$AS$1001,MATCH(ROWS($V$2:V69),$V$2:$V$1001,0),MATCH(COLUMNS($AC$1006:AS1006),$AC$1006:$AS$1006,0)), HYPERLINK("#",""), HYPERLINK(CONCATENATE("#Metadata!", ADDRESS(INDEX($X$2:$X$1001,MATCH(ROWS($V$2:V69),$V$2:$V$1001,0),0), INDEX($AC$1004:$AS$1004,1,MATCH(COLUMNS($AC$1006:AS1006),$AC$1006:$AS$1006,0)))),"Fix")))</f>
        <v>0</v>
      </c>
      <c r="V69">
        <v>0</v>
      </c>
      <c r="W69">
        <v>0</v>
      </c>
      <c r="X69">
        <v>0</v>
      </c>
      <c r="Y69">
        <f>IF(Z69,TRUE,AND(AC69:AS69))</f>
        <v>0</v>
      </c>
      <c r="Z69">
        <f>COUNTBLANK(Metadata!B69:R69)=COLUMNS(Metadata!B69:R69)</f>
        <v>0</v>
      </c>
      <c r="AA69">
        <v>0</v>
      </c>
      <c r="AC69">
        <f>AND(IF(Metadata!B69="",FALSE,TRUE),COUNTIF(Metadata!B:B, Metadata!B69) = 1,NOT(ISERROR(SUMPRODUCT(SEARCH(MID(Metadata!B69,ROW(INDIRECT("1:"&amp;LEN(Metadata!B69))), 1),"0123456789abcdefghijklmnopqrstuvwxyzABCDEFGHIJKLMNOPQRSTUVWXYZ.")))))</f>
        <v>0</v>
      </c>
      <c r="AD69">
        <f>AND(IF(Metadata!C69="",FALSE,TRUE),exact(Metadata!C69,"Host-associated"))</f>
        <v>0</v>
      </c>
      <c r="AE69">
        <f>AND(IF(Metadata!D69="",FALSE,TRUE),OR(exact(Metadata!D69,"Animal"),exact(Metadata!D69,"Fungus"),exact(Metadata!D69,"Plant")))</f>
        <v>0</v>
      </c>
      <c r="AF69">
        <f>AND(IF(Metadata!E69="",FALSE,TRUE),OR(exact(Metadata!E69,"Plant secretion"),exact(Metadata!E69,"Plant rhizosphere"),exact(Metadata!E69,"Plant surface"),exact(Metadata!E69,"Plant corpus"),exact(Metadata!E69,"Fungus surface"),exact(Metadata!E69,"Fungus corpus"),exact(Metadata!E69,"Animal surface"),exact(Metadata!E69,"Animal proximal gut"),exact(Metadata!E69,"Animal corpus"),exact(Metadata!E69,"Animal distal gut"),exact(Metadata!E69,"Animal secretion")))</f>
        <v>0</v>
      </c>
      <c r="AG69">
        <f>OR(AND(IF(Metadata!F69="",FALSE,TRUE),OR(exact(Metadata!F69,"not collected"),exact(Metadata!F69,"not provided"),exact(Metadata!F69,"restricted access"))),AND(IF(Metadata!F69="",FALSE,TRUE),OR(exact(Metadata!F69,"organism-associated habitat"),exact(Metadata!F69,"plant-associated habitat"),exact(Metadata!F69,"animal-associated habitat"),exact(Metadata!F69,"insecta-associated habitat"),exact(Metadata!F69,"mammalia-associated habitat"),exact(Metadata!F69,"human-associated habitat"),exact(Metadata!F69,"livestock-associated habitat"))))</f>
        <v>0</v>
      </c>
      <c r="AH69">
        <f>AND(IF(Metadata!G69="",FALSE,TRUE),exact(Metadata!G69,"host-associated"))</f>
        <v>0</v>
      </c>
      <c r="AI69">
        <f>OR(AND(IF(Metadata!H69="",FALSE,TRUE),OR(exact(Metadata!H69,"not collected"),exact(Metadata!H69,"not provided"))),AND(IF(Metadata!H69="",FALSE,ISNUMBER(VALUE(Metadata!H69))),Metadata!H69&gt;0))</f>
        <v>0</v>
      </c>
      <c r="AJ69">
        <f>AND(IF(Metadata!I69="",FALSE,TRUE),exact(Metadata!I69,"years"))</f>
        <v>0</v>
      </c>
      <c r="AK69">
        <f>IF(Metadata!J69="",FALSE,TRUE)</f>
        <v>0</v>
      </c>
      <c r="AL69">
        <f>OR(AND(IF(Metadata!K69="",FALSE,TRUE),OR(exact(Metadata!K69,"not collected"),exact(Metadata!K69,"not provided"))),AND(IF(Metadata!K69="",FALSE,ISNUMBER(VALUE(Metadata!K69))),Metadata!K69&gt;0))</f>
        <v>0</v>
      </c>
      <c r="AM69">
        <f>AND(IF(Metadata!L69="",FALSE,TRUE),exact(Metadata!L69,"cm"))</f>
        <v>0</v>
      </c>
      <c r="AN69">
        <f>IF(Metadata!M69="",FALSE,TRUE)</f>
        <v>0</v>
      </c>
      <c r="AO69">
        <f>OR(AND(IF(Metadata!N69="",FALSE,TRUE),OR(exact(Metadata!N69,"not applicable"),exact(Metadata!N69,"not collected"),exact(Metadata!N69,"not provided"))),AND(IF(Metadata!N69="",FALSE,IF(ISERROR(INT(Metadata!N69)),FALSE,INT(Metadata!N69)=Metadata!N69)),Metadata!N69&gt;0))</f>
        <v>0</v>
      </c>
      <c r="AP69">
        <f>OR(AND(IF(Metadata!O69="",FALSE,TRUE),OR(exact(Metadata!O69,"not collected"),exact(Metadata!O69,"not provided"))),AND(IF(Metadata!O69="",FALSE,ISNUMBER(VALUE(Metadata!O69))),Metadata!O69&gt;0))</f>
        <v>0</v>
      </c>
      <c r="AQ69">
        <f>AND(IF(Metadata!P69="",FALSE,TRUE),exact(Metadata!P69,"kg"))</f>
        <v>0</v>
      </c>
      <c r="AR69">
        <f>OR(AND(IF(Metadata!Q69="",FALSE,TRUE),OR(exact(Metadata!Q69,"not applicable"),exact(Metadata!Q69,"not collected"),exact(Metadata!Q69,"not provided"),exact(Metadata!Q69,"restricted access"))),IF(Metadata!Q69="",FALSE,IF(ISERROR(INT(Metadata!Q69)),FALSE,INT(Metadata!Q69)=Metadata!Q69)))</f>
        <v>0</v>
      </c>
      <c r="AS69">
        <f>AND(IF(Metadata!R69="",FALSE,TRUE),exact(Metadata!R69,"Not applicable"))</f>
        <v>0</v>
      </c>
    </row>
    <row r="70" spans="1:45">
      <c r="A70" s="4">
        <f>IF(B70=" "," ",HYPERLINK(CONCATENATE("#metadata!",ADDRESS(INDEX($X$2:$X$1001,MATCH(ROWS($V$2:V70),$V$2:$V$1001,0),0),2)),INDEX($AA$2:$AA$1001,MATCH(ROWS($V$2:V70),$V$2:$V$1001,0),0)))</f>
        <v>0</v>
      </c>
      <c r="B70" s="5">
        <f>IF(OR(INDEX($W$2:$W$1001,MATCH(ROWS($V$2:V70),$V$2:$V$1001,0),1)&gt;=100000,INDEX($AC$1005:$AS$1005,1,MATCH(COLUMNS($AC$1006:AC1006),$AC$1006:$AS$1006,0))&gt;=100000), " ",IF(INDEX($AC$2:$AS$1001,MATCH(ROWS($V$2:V70),$V$2:$V$1001,0),MATCH(COLUMNS($AC$1006:AC1006),$AC$1006:$AS$1006,0)), HYPERLINK("#",""), HYPERLINK(CONCATENATE("#Metadata!", ADDRESS(INDEX($X$2:$X$1001,MATCH(ROWS($V$2:V70),$V$2:$V$1001,0),0), INDEX($AC$1004:$AS$1004,1,MATCH(COLUMNS($AC$1006:AC1006),$AC$1006:$AS$1006,0)))),"Fix")))</f>
        <v>0</v>
      </c>
      <c r="C70" s="5">
        <f>IF(OR(INDEX($W$2:$W$1001,MATCH(ROWS($V$2:V70),$V$2:$V$1001,0),1)&gt;=100000,INDEX($AC$1005:$AS$1005,1,MATCH(COLUMNS($AC$1006:AD1006),$AC$1006:$AS$1006,0))&gt;=100000), " ",IF(INDEX($AC$2:$AS$1001,MATCH(ROWS($V$2:V70),$V$2:$V$1001,0),MATCH(COLUMNS($AC$1006:AD1006),$AC$1006:$AS$1006,0)), HYPERLINK("#",""), HYPERLINK(CONCATENATE("#Metadata!", ADDRESS(INDEX($X$2:$X$1001,MATCH(ROWS($V$2:V70),$V$2:$V$1001,0),0), INDEX($AC$1004:$AS$1004,1,MATCH(COLUMNS($AC$1006:AD1006),$AC$1006:$AS$1006,0)))),"Fix")))</f>
        <v>0</v>
      </c>
      <c r="D70" s="5">
        <f>IF(OR(INDEX($W$2:$W$1001,MATCH(ROWS($V$2:V70),$V$2:$V$1001,0),1)&gt;=100000,INDEX($AC$1005:$AS$1005,1,MATCH(COLUMNS($AC$1006:AE1006),$AC$1006:$AS$1006,0))&gt;=100000), " ",IF(INDEX($AC$2:$AS$1001,MATCH(ROWS($V$2:V70),$V$2:$V$1001,0),MATCH(COLUMNS($AC$1006:AE1006),$AC$1006:$AS$1006,0)), HYPERLINK("#",""), HYPERLINK(CONCATENATE("#Metadata!", ADDRESS(INDEX($X$2:$X$1001,MATCH(ROWS($V$2:V70),$V$2:$V$1001,0),0), INDEX($AC$1004:$AS$1004,1,MATCH(COLUMNS($AC$1006:AE1006),$AC$1006:$AS$1006,0)))),"Fix")))</f>
        <v>0</v>
      </c>
      <c r="E70" s="5">
        <f>IF(OR(INDEX($W$2:$W$1001,MATCH(ROWS($V$2:V70),$V$2:$V$1001,0),1)&gt;=100000,INDEX($AC$1005:$AS$1005,1,MATCH(COLUMNS($AC$1006:AF1006),$AC$1006:$AS$1006,0))&gt;=100000), " ",IF(INDEX($AC$2:$AS$1001,MATCH(ROWS($V$2:V70),$V$2:$V$1001,0),MATCH(COLUMNS($AC$1006:AF1006),$AC$1006:$AS$1006,0)), HYPERLINK("#",""), HYPERLINK(CONCATENATE("#Metadata!", ADDRESS(INDEX($X$2:$X$1001,MATCH(ROWS($V$2:V70),$V$2:$V$1001,0),0), INDEX($AC$1004:$AS$1004,1,MATCH(COLUMNS($AC$1006:AF1006),$AC$1006:$AS$1006,0)))),"Fix")))</f>
        <v>0</v>
      </c>
      <c r="F70" s="5">
        <f>IF(OR(INDEX($W$2:$W$1001,MATCH(ROWS($V$2:V70),$V$2:$V$1001,0),1)&gt;=100000,INDEX($AC$1005:$AS$1005,1,MATCH(COLUMNS($AC$1006:AG1006),$AC$1006:$AS$1006,0))&gt;=100000), " ",IF(INDEX($AC$2:$AS$1001,MATCH(ROWS($V$2:V70),$V$2:$V$1001,0),MATCH(COLUMNS($AC$1006:AG1006),$AC$1006:$AS$1006,0)), HYPERLINK("#",""), HYPERLINK(CONCATENATE("#Metadata!", ADDRESS(INDEX($X$2:$X$1001,MATCH(ROWS($V$2:V70),$V$2:$V$1001,0),0), INDEX($AC$1004:$AS$1004,1,MATCH(COLUMNS($AC$1006:AG1006),$AC$1006:$AS$1006,0)))),"Fix")))</f>
        <v>0</v>
      </c>
      <c r="G70" s="5">
        <f>IF(OR(INDEX($W$2:$W$1001,MATCH(ROWS($V$2:V70),$V$2:$V$1001,0),1)&gt;=100000,INDEX($AC$1005:$AS$1005,1,MATCH(COLUMNS($AC$1006:AH1006),$AC$1006:$AS$1006,0))&gt;=100000), " ",IF(INDEX($AC$2:$AS$1001,MATCH(ROWS($V$2:V70),$V$2:$V$1001,0),MATCH(COLUMNS($AC$1006:AH1006),$AC$1006:$AS$1006,0)), HYPERLINK("#",""), HYPERLINK(CONCATENATE("#Metadata!", ADDRESS(INDEX($X$2:$X$1001,MATCH(ROWS($V$2:V70),$V$2:$V$1001,0),0), INDEX($AC$1004:$AS$1004,1,MATCH(COLUMNS($AC$1006:AH1006),$AC$1006:$AS$1006,0)))),"Fix")))</f>
        <v>0</v>
      </c>
      <c r="H70" s="5">
        <f>IF(OR(INDEX($W$2:$W$1001,MATCH(ROWS($V$2:V70),$V$2:$V$1001,0),1)&gt;=100000,INDEX($AC$1005:$AS$1005,1,MATCH(COLUMNS($AC$1006:AI1006),$AC$1006:$AS$1006,0))&gt;=100000), " ",IF(INDEX($AC$2:$AS$1001,MATCH(ROWS($V$2:V70),$V$2:$V$1001,0),MATCH(COLUMNS($AC$1006:AI1006),$AC$1006:$AS$1006,0)), HYPERLINK("#",""), HYPERLINK(CONCATENATE("#Metadata!", ADDRESS(INDEX($X$2:$X$1001,MATCH(ROWS($V$2:V70),$V$2:$V$1001,0),0), INDEX($AC$1004:$AS$1004,1,MATCH(COLUMNS($AC$1006:AI1006),$AC$1006:$AS$1006,0)))),"Fix")))</f>
        <v>0</v>
      </c>
      <c r="I70" s="5">
        <f>IF(OR(INDEX($W$2:$W$1001,MATCH(ROWS($V$2:V70),$V$2:$V$1001,0),1)&gt;=100000,INDEX($AC$1005:$AS$1005,1,MATCH(COLUMNS($AC$1006:AJ1006),$AC$1006:$AS$1006,0))&gt;=100000), " ",IF(INDEX($AC$2:$AS$1001,MATCH(ROWS($V$2:V70),$V$2:$V$1001,0),MATCH(COLUMNS($AC$1006:AJ1006),$AC$1006:$AS$1006,0)), HYPERLINK("#",""), HYPERLINK(CONCATENATE("#Metadata!", ADDRESS(INDEX($X$2:$X$1001,MATCH(ROWS($V$2:V70),$V$2:$V$1001,0),0), INDEX($AC$1004:$AS$1004,1,MATCH(COLUMNS($AC$1006:AJ1006),$AC$1006:$AS$1006,0)))),"Fix")))</f>
        <v>0</v>
      </c>
      <c r="J70" s="5">
        <f>IF(OR(INDEX($W$2:$W$1001,MATCH(ROWS($V$2:V70),$V$2:$V$1001,0),1)&gt;=100000,INDEX($AC$1005:$AS$1005,1,MATCH(COLUMNS($AC$1006:AK1006),$AC$1006:$AS$1006,0))&gt;=100000), " ",IF(INDEX($AC$2:$AS$1001,MATCH(ROWS($V$2:V70),$V$2:$V$1001,0),MATCH(COLUMNS($AC$1006:AK1006),$AC$1006:$AS$1006,0)), HYPERLINK("#",""), HYPERLINK(CONCATENATE("#Metadata!", ADDRESS(INDEX($X$2:$X$1001,MATCH(ROWS($V$2:V70),$V$2:$V$1001,0),0), INDEX($AC$1004:$AS$1004,1,MATCH(COLUMNS($AC$1006:AK1006),$AC$1006:$AS$1006,0)))),"Fix")))</f>
        <v>0</v>
      </c>
      <c r="K70" s="5">
        <f>IF(OR(INDEX($W$2:$W$1001,MATCH(ROWS($V$2:V70),$V$2:$V$1001,0),1)&gt;=100000,INDEX($AC$1005:$AS$1005,1,MATCH(COLUMNS($AC$1006:AL1006),$AC$1006:$AS$1006,0))&gt;=100000), " ",IF(INDEX($AC$2:$AS$1001,MATCH(ROWS($V$2:V70),$V$2:$V$1001,0),MATCH(COLUMNS($AC$1006:AL1006),$AC$1006:$AS$1006,0)), HYPERLINK("#",""), HYPERLINK(CONCATENATE("#Metadata!", ADDRESS(INDEX($X$2:$X$1001,MATCH(ROWS($V$2:V70),$V$2:$V$1001,0),0), INDEX($AC$1004:$AS$1004,1,MATCH(COLUMNS($AC$1006:AL1006),$AC$1006:$AS$1006,0)))),"Fix")))</f>
        <v>0</v>
      </c>
      <c r="L70" s="5">
        <f>IF(OR(INDEX($W$2:$W$1001,MATCH(ROWS($V$2:V70),$V$2:$V$1001,0),1)&gt;=100000,INDEX($AC$1005:$AS$1005,1,MATCH(COLUMNS($AC$1006:AM1006),$AC$1006:$AS$1006,0))&gt;=100000), " ",IF(INDEX($AC$2:$AS$1001,MATCH(ROWS($V$2:V70),$V$2:$V$1001,0),MATCH(COLUMNS($AC$1006:AM1006),$AC$1006:$AS$1006,0)), HYPERLINK("#",""), HYPERLINK(CONCATENATE("#Metadata!", ADDRESS(INDEX($X$2:$X$1001,MATCH(ROWS($V$2:V70),$V$2:$V$1001,0),0), INDEX($AC$1004:$AS$1004,1,MATCH(COLUMNS($AC$1006:AM1006),$AC$1006:$AS$1006,0)))),"Fix")))</f>
        <v>0</v>
      </c>
      <c r="M70" s="5">
        <f>IF(OR(INDEX($W$2:$W$1001,MATCH(ROWS($V$2:V70),$V$2:$V$1001,0),1)&gt;=100000,INDEX($AC$1005:$AS$1005,1,MATCH(COLUMNS($AC$1006:AN1006),$AC$1006:$AS$1006,0))&gt;=100000), " ",IF(INDEX($AC$2:$AS$1001,MATCH(ROWS($V$2:V70),$V$2:$V$1001,0),MATCH(COLUMNS($AC$1006:AN1006),$AC$1006:$AS$1006,0)), HYPERLINK("#",""), HYPERLINK(CONCATENATE("#Metadata!", ADDRESS(INDEX($X$2:$X$1001,MATCH(ROWS($V$2:V70),$V$2:$V$1001,0),0), INDEX($AC$1004:$AS$1004,1,MATCH(COLUMNS($AC$1006:AN1006),$AC$1006:$AS$1006,0)))),"Fix")))</f>
        <v>0</v>
      </c>
      <c r="N70" s="5">
        <f>IF(OR(INDEX($W$2:$W$1001,MATCH(ROWS($V$2:V70),$V$2:$V$1001,0),1)&gt;=100000,INDEX($AC$1005:$AS$1005,1,MATCH(COLUMNS($AC$1006:AO1006),$AC$1006:$AS$1006,0))&gt;=100000), " ",IF(INDEX($AC$2:$AS$1001,MATCH(ROWS($V$2:V70),$V$2:$V$1001,0),MATCH(COLUMNS($AC$1006:AO1006),$AC$1006:$AS$1006,0)), HYPERLINK("#",""), HYPERLINK(CONCATENATE("#Metadata!", ADDRESS(INDEX($X$2:$X$1001,MATCH(ROWS($V$2:V70),$V$2:$V$1001,0),0), INDEX($AC$1004:$AS$1004,1,MATCH(COLUMNS($AC$1006:AO1006),$AC$1006:$AS$1006,0)))),"Fix")))</f>
        <v>0</v>
      </c>
      <c r="O70" s="5">
        <f>IF(OR(INDEX($W$2:$W$1001,MATCH(ROWS($V$2:V70),$V$2:$V$1001,0),1)&gt;=100000,INDEX($AC$1005:$AS$1005,1,MATCH(COLUMNS($AC$1006:AP1006),$AC$1006:$AS$1006,0))&gt;=100000), " ",IF(INDEX($AC$2:$AS$1001,MATCH(ROWS($V$2:V70),$V$2:$V$1001,0),MATCH(COLUMNS($AC$1006:AP1006),$AC$1006:$AS$1006,0)), HYPERLINK("#",""), HYPERLINK(CONCATENATE("#Metadata!", ADDRESS(INDEX($X$2:$X$1001,MATCH(ROWS($V$2:V70),$V$2:$V$1001,0),0), INDEX($AC$1004:$AS$1004,1,MATCH(COLUMNS($AC$1006:AP1006),$AC$1006:$AS$1006,0)))),"Fix")))</f>
        <v>0</v>
      </c>
      <c r="P70" s="5">
        <f>IF(OR(INDEX($W$2:$W$1001,MATCH(ROWS($V$2:V70),$V$2:$V$1001,0),1)&gt;=100000,INDEX($AC$1005:$AS$1005,1,MATCH(COLUMNS($AC$1006:AQ1006),$AC$1006:$AS$1006,0))&gt;=100000), " ",IF(INDEX($AC$2:$AS$1001,MATCH(ROWS($V$2:V70),$V$2:$V$1001,0),MATCH(COLUMNS($AC$1006:AQ1006),$AC$1006:$AS$1006,0)), HYPERLINK("#",""), HYPERLINK(CONCATENATE("#Metadata!", ADDRESS(INDEX($X$2:$X$1001,MATCH(ROWS($V$2:V70),$V$2:$V$1001,0),0), INDEX($AC$1004:$AS$1004,1,MATCH(COLUMNS($AC$1006:AQ1006),$AC$1006:$AS$1006,0)))),"Fix")))</f>
        <v>0</v>
      </c>
      <c r="Q70" s="5">
        <f>IF(OR(INDEX($W$2:$W$1001,MATCH(ROWS($V$2:V70),$V$2:$V$1001,0),1)&gt;=100000,INDEX($AC$1005:$AS$1005,1,MATCH(COLUMNS($AC$1006:AR1006),$AC$1006:$AS$1006,0))&gt;=100000), " ",IF(INDEX($AC$2:$AS$1001,MATCH(ROWS($V$2:V70),$V$2:$V$1001,0),MATCH(COLUMNS($AC$1006:AR1006),$AC$1006:$AS$1006,0)), HYPERLINK("#",""), HYPERLINK(CONCATENATE("#Metadata!", ADDRESS(INDEX($X$2:$X$1001,MATCH(ROWS($V$2:V70),$V$2:$V$1001,0),0), INDEX($AC$1004:$AS$1004,1,MATCH(COLUMNS($AC$1006:AR1006),$AC$1006:$AS$1006,0)))),"Fix")))</f>
        <v>0</v>
      </c>
      <c r="R70" s="5">
        <f>IF(OR(INDEX($W$2:$W$1001,MATCH(ROWS($V$2:V70),$V$2:$V$1001,0),1)&gt;=100000,INDEX($AC$1005:$AS$1005,1,MATCH(COLUMNS($AC$1006:AS1006),$AC$1006:$AS$1006,0))&gt;=100000), " ",IF(INDEX($AC$2:$AS$1001,MATCH(ROWS($V$2:V70),$V$2:$V$1001,0),MATCH(COLUMNS($AC$1006:AS1006),$AC$1006:$AS$1006,0)), HYPERLINK("#",""), HYPERLINK(CONCATENATE("#Metadata!", ADDRESS(INDEX($X$2:$X$1001,MATCH(ROWS($V$2:V70),$V$2:$V$1001,0),0), INDEX($AC$1004:$AS$1004,1,MATCH(COLUMNS($AC$1006:AS1006),$AC$1006:$AS$1006,0)))),"Fix")))</f>
        <v>0</v>
      </c>
      <c r="V70">
        <v>0</v>
      </c>
      <c r="W70">
        <v>0</v>
      </c>
      <c r="X70">
        <v>0</v>
      </c>
      <c r="Y70">
        <f>IF(Z70,TRUE,AND(AC70:AS70))</f>
        <v>0</v>
      </c>
      <c r="Z70">
        <f>COUNTBLANK(Metadata!B70:R70)=COLUMNS(Metadata!B70:R70)</f>
        <v>0</v>
      </c>
      <c r="AA70">
        <v>0</v>
      </c>
      <c r="AC70">
        <f>AND(IF(Metadata!B70="",FALSE,TRUE),COUNTIF(Metadata!B:B, Metadata!B70) = 1,NOT(ISERROR(SUMPRODUCT(SEARCH(MID(Metadata!B70,ROW(INDIRECT("1:"&amp;LEN(Metadata!B70))), 1),"0123456789abcdefghijklmnopqrstuvwxyzABCDEFGHIJKLMNOPQRSTUVWXYZ.")))))</f>
        <v>0</v>
      </c>
      <c r="AD70">
        <f>AND(IF(Metadata!C70="",FALSE,TRUE),exact(Metadata!C70,"Host-associated"))</f>
        <v>0</v>
      </c>
      <c r="AE70">
        <f>AND(IF(Metadata!D70="",FALSE,TRUE),OR(exact(Metadata!D70,"Animal"),exact(Metadata!D70,"Fungus"),exact(Metadata!D70,"Plant")))</f>
        <v>0</v>
      </c>
      <c r="AF70">
        <f>AND(IF(Metadata!E70="",FALSE,TRUE),OR(exact(Metadata!E70,"Plant secretion"),exact(Metadata!E70,"Plant rhizosphere"),exact(Metadata!E70,"Plant surface"),exact(Metadata!E70,"Plant corpus"),exact(Metadata!E70,"Fungus surface"),exact(Metadata!E70,"Fungus corpus"),exact(Metadata!E70,"Animal surface"),exact(Metadata!E70,"Animal proximal gut"),exact(Metadata!E70,"Animal corpus"),exact(Metadata!E70,"Animal distal gut"),exact(Metadata!E70,"Animal secretion")))</f>
        <v>0</v>
      </c>
      <c r="AG70">
        <f>OR(AND(IF(Metadata!F70="",FALSE,TRUE),OR(exact(Metadata!F70,"not collected"),exact(Metadata!F70,"not provided"),exact(Metadata!F70,"restricted access"))),AND(IF(Metadata!F70="",FALSE,TRUE),OR(exact(Metadata!F70,"organism-associated habitat"),exact(Metadata!F70,"plant-associated habitat"),exact(Metadata!F70,"animal-associated habitat"),exact(Metadata!F70,"insecta-associated habitat"),exact(Metadata!F70,"mammalia-associated habitat"),exact(Metadata!F70,"human-associated habitat"),exact(Metadata!F70,"livestock-associated habitat"))))</f>
        <v>0</v>
      </c>
      <c r="AH70">
        <f>AND(IF(Metadata!G70="",FALSE,TRUE),exact(Metadata!G70,"host-associated"))</f>
        <v>0</v>
      </c>
      <c r="AI70">
        <f>OR(AND(IF(Metadata!H70="",FALSE,TRUE),OR(exact(Metadata!H70,"not collected"),exact(Metadata!H70,"not provided"))),AND(IF(Metadata!H70="",FALSE,ISNUMBER(VALUE(Metadata!H70))),Metadata!H70&gt;0))</f>
        <v>0</v>
      </c>
      <c r="AJ70">
        <f>AND(IF(Metadata!I70="",FALSE,TRUE),exact(Metadata!I70,"years"))</f>
        <v>0</v>
      </c>
      <c r="AK70">
        <f>IF(Metadata!J70="",FALSE,TRUE)</f>
        <v>0</v>
      </c>
      <c r="AL70">
        <f>OR(AND(IF(Metadata!K70="",FALSE,TRUE),OR(exact(Metadata!K70,"not collected"),exact(Metadata!K70,"not provided"))),AND(IF(Metadata!K70="",FALSE,ISNUMBER(VALUE(Metadata!K70))),Metadata!K70&gt;0))</f>
        <v>0</v>
      </c>
      <c r="AM70">
        <f>AND(IF(Metadata!L70="",FALSE,TRUE),exact(Metadata!L70,"cm"))</f>
        <v>0</v>
      </c>
      <c r="AN70">
        <f>IF(Metadata!M70="",FALSE,TRUE)</f>
        <v>0</v>
      </c>
      <c r="AO70">
        <f>OR(AND(IF(Metadata!N70="",FALSE,TRUE),OR(exact(Metadata!N70,"not applicable"),exact(Metadata!N70,"not collected"),exact(Metadata!N70,"not provided"))),AND(IF(Metadata!N70="",FALSE,IF(ISERROR(INT(Metadata!N70)),FALSE,INT(Metadata!N70)=Metadata!N70)),Metadata!N70&gt;0))</f>
        <v>0</v>
      </c>
      <c r="AP70">
        <f>OR(AND(IF(Metadata!O70="",FALSE,TRUE),OR(exact(Metadata!O70,"not collected"),exact(Metadata!O70,"not provided"))),AND(IF(Metadata!O70="",FALSE,ISNUMBER(VALUE(Metadata!O70))),Metadata!O70&gt;0))</f>
        <v>0</v>
      </c>
      <c r="AQ70">
        <f>AND(IF(Metadata!P70="",FALSE,TRUE),exact(Metadata!P70,"kg"))</f>
        <v>0</v>
      </c>
      <c r="AR70">
        <f>OR(AND(IF(Metadata!Q70="",FALSE,TRUE),OR(exact(Metadata!Q70,"not applicable"),exact(Metadata!Q70,"not collected"),exact(Metadata!Q70,"not provided"),exact(Metadata!Q70,"restricted access"))),IF(Metadata!Q70="",FALSE,IF(ISERROR(INT(Metadata!Q70)),FALSE,INT(Metadata!Q70)=Metadata!Q70)))</f>
        <v>0</v>
      </c>
      <c r="AS70">
        <f>AND(IF(Metadata!R70="",FALSE,TRUE),exact(Metadata!R70,"Not applicable"))</f>
        <v>0</v>
      </c>
    </row>
    <row r="71" spans="1:45">
      <c r="A71" s="4">
        <f>IF(B71=" "," ",HYPERLINK(CONCATENATE("#metadata!",ADDRESS(INDEX($X$2:$X$1001,MATCH(ROWS($V$2:V71),$V$2:$V$1001,0),0),2)),INDEX($AA$2:$AA$1001,MATCH(ROWS($V$2:V71),$V$2:$V$1001,0),0)))</f>
        <v>0</v>
      </c>
      <c r="B71" s="5">
        <f>IF(OR(INDEX($W$2:$W$1001,MATCH(ROWS($V$2:V71),$V$2:$V$1001,0),1)&gt;=100000,INDEX($AC$1005:$AS$1005,1,MATCH(COLUMNS($AC$1006:AC1006),$AC$1006:$AS$1006,0))&gt;=100000), " ",IF(INDEX($AC$2:$AS$1001,MATCH(ROWS($V$2:V71),$V$2:$V$1001,0),MATCH(COLUMNS($AC$1006:AC1006),$AC$1006:$AS$1006,0)), HYPERLINK("#",""), HYPERLINK(CONCATENATE("#Metadata!", ADDRESS(INDEX($X$2:$X$1001,MATCH(ROWS($V$2:V71),$V$2:$V$1001,0),0), INDEX($AC$1004:$AS$1004,1,MATCH(COLUMNS($AC$1006:AC1006),$AC$1006:$AS$1006,0)))),"Fix")))</f>
        <v>0</v>
      </c>
      <c r="C71" s="5">
        <f>IF(OR(INDEX($W$2:$W$1001,MATCH(ROWS($V$2:V71),$V$2:$V$1001,0),1)&gt;=100000,INDEX($AC$1005:$AS$1005,1,MATCH(COLUMNS($AC$1006:AD1006),$AC$1006:$AS$1006,0))&gt;=100000), " ",IF(INDEX($AC$2:$AS$1001,MATCH(ROWS($V$2:V71),$V$2:$V$1001,0),MATCH(COLUMNS($AC$1006:AD1006),$AC$1006:$AS$1006,0)), HYPERLINK("#",""), HYPERLINK(CONCATENATE("#Metadata!", ADDRESS(INDEX($X$2:$X$1001,MATCH(ROWS($V$2:V71),$V$2:$V$1001,0),0), INDEX($AC$1004:$AS$1004,1,MATCH(COLUMNS($AC$1006:AD1006),$AC$1006:$AS$1006,0)))),"Fix")))</f>
        <v>0</v>
      </c>
      <c r="D71" s="5">
        <f>IF(OR(INDEX($W$2:$W$1001,MATCH(ROWS($V$2:V71),$V$2:$V$1001,0),1)&gt;=100000,INDEX($AC$1005:$AS$1005,1,MATCH(COLUMNS($AC$1006:AE1006),$AC$1006:$AS$1006,0))&gt;=100000), " ",IF(INDEX($AC$2:$AS$1001,MATCH(ROWS($V$2:V71),$V$2:$V$1001,0),MATCH(COLUMNS($AC$1006:AE1006),$AC$1006:$AS$1006,0)), HYPERLINK("#",""), HYPERLINK(CONCATENATE("#Metadata!", ADDRESS(INDEX($X$2:$X$1001,MATCH(ROWS($V$2:V71),$V$2:$V$1001,0),0), INDEX($AC$1004:$AS$1004,1,MATCH(COLUMNS($AC$1006:AE1006),$AC$1006:$AS$1006,0)))),"Fix")))</f>
        <v>0</v>
      </c>
      <c r="E71" s="5">
        <f>IF(OR(INDEX($W$2:$W$1001,MATCH(ROWS($V$2:V71),$V$2:$V$1001,0),1)&gt;=100000,INDEX($AC$1005:$AS$1005,1,MATCH(COLUMNS($AC$1006:AF1006),$AC$1006:$AS$1006,0))&gt;=100000), " ",IF(INDEX($AC$2:$AS$1001,MATCH(ROWS($V$2:V71),$V$2:$V$1001,0),MATCH(COLUMNS($AC$1006:AF1006),$AC$1006:$AS$1006,0)), HYPERLINK("#",""), HYPERLINK(CONCATENATE("#Metadata!", ADDRESS(INDEX($X$2:$X$1001,MATCH(ROWS($V$2:V71),$V$2:$V$1001,0),0), INDEX($AC$1004:$AS$1004,1,MATCH(COLUMNS($AC$1006:AF1006),$AC$1006:$AS$1006,0)))),"Fix")))</f>
        <v>0</v>
      </c>
      <c r="F71" s="5">
        <f>IF(OR(INDEX($W$2:$W$1001,MATCH(ROWS($V$2:V71),$V$2:$V$1001,0),1)&gt;=100000,INDEX($AC$1005:$AS$1005,1,MATCH(COLUMNS($AC$1006:AG1006),$AC$1006:$AS$1006,0))&gt;=100000), " ",IF(INDEX($AC$2:$AS$1001,MATCH(ROWS($V$2:V71),$V$2:$V$1001,0),MATCH(COLUMNS($AC$1006:AG1006),$AC$1006:$AS$1006,0)), HYPERLINK("#",""), HYPERLINK(CONCATENATE("#Metadata!", ADDRESS(INDEX($X$2:$X$1001,MATCH(ROWS($V$2:V71),$V$2:$V$1001,0),0), INDEX($AC$1004:$AS$1004,1,MATCH(COLUMNS($AC$1006:AG1006),$AC$1006:$AS$1006,0)))),"Fix")))</f>
        <v>0</v>
      </c>
      <c r="G71" s="5">
        <f>IF(OR(INDEX($W$2:$W$1001,MATCH(ROWS($V$2:V71),$V$2:$V$1001,0),1)&gt;=100000,INDEX($AC$1005:$AS$1005,1,MATCH(COLUMNS($AC$1006:AH1006),$AC$1006:$AS$1006,0))&gt;=100000), " ",IF(INDEX($AC$2:$AS$1001,MATCH(ROWS($V$2:V71),$V$2:$V$1001,0),MATCH(COLUMNS($AC$1006:AH1006),$AC$1006:$AS$1006,0)), HYPERLINK("#",""), HYPERLINK(CONCATENATE("#Metadata!", ADDRESS(INDEX($X$2:$X$1001,MATCH(ROWS($V$2:V71),$V$2:$V$1001,0),0), INDEX($AC$1004:$AS$1004,1,MATCH(COLUMNS($AC$1006:AH1006),$AC$1006:$AS$1006,0)))),"Fix")))</f>
        <v>0</v>
      </c>
      <c r="H71" s="5">
        <f>IF(OR(INDEX($W$2:$W$1001,MATCH(ROWS($V$2:V71),$V$2:$V$1001,0),1)&gt;=100000,INDEX($AC$1005:$AS$1005,1,MATCH(COLUMNS($AC$1006:AI1006),$AC$1006:$AS$1006,0))&gt;=100000), " ",IF(INDEX($AC$2:$AS$1001,MATCH(ROWS($V$2:V71),$V$2:$V$1001,0),MATCH(COLUMNS($AC$1006:AI1006),$AC$1006:$AS$1006,0)), HYPERLINK("#",""), HYPERLINK(CONCATENATE("#Metadata!", ADDRESS(INDEX($X$2:$X$1001,MATCH(ROWS($V$2:V71),$V$2:$V$1001,0),0), INDEX($AC$1004:$AS$1004,1,MATCH(COLUMNS($AC$1006:AI1006),$AC$1006:$AS$1006,0)))),"Fix")))</f>
        <v>0</v>
      </c>
      <c r="I71" s="5">
        <f>IF(OR(INDEX($W$2:$W$1001,MATCH(ROWS($V$2:V71),$V$2:$V$1001,0),1)&gt;=100000,INDEX($AC$1005:$AS$1005,1,MATCH(COLUMNS($AC$1006:AJ1006),$AC$1006:$AS$1006,0))&gt;=100000), " ",IF(INDEX($AC$2:$AS$1001,MATCH(ROWS($V$2:V71),$V$2:$V$1001,0),MATCH(COLUMNS($AC$1006:AJ1006),$AC$1006:$AS$1006,0)), HYPERLINK("#",""), HYPERLINK(CONCATENATE("#Metadata!", ADDRESS(INDEX($X$2:$X$1001,MATCH(ROWS($V$2:V71),$V$2:$V$1001,0),0), INDEX($AC$1004:$AS$1004,1,MATCH(COLUMNS($AC$1006:AJ1006),$AC$1006:$AS$1006,0)))),"Fix")))</f>
        <v>0</v>
      </c>
      <c r="J71" s="5">
        <f>IF(OR(INDEX($W$2:$W$1001,MATCH(ROWS($V$2:V71),$V$2:$V$1001,0),1)&gt;=100000,INDEX($AC$1005:$AS$1005,1,MATCH(COLUMNS($AC$1006:AK1006),$AC$1006:$AS$1006,0))&gt;=100000), " ",IF(INDEX($AC$2:$AS$1001,MATCH(ROWS($V$2:V71),$V$2:$V$1001,0),MATCH(COLUMNS($AC$1006:AK1006),$AC$1006:$AS$1006,0)), HYPERLINK("#",""), HYPERLINK(CONCATENATE("#Metadata!", ADDRESS(INDEX($X$2:$X$1001,MATCH(ROWS($V$2:V71),$V$2:$V$1001,0),0), INDEX($AC$1004:$AS$1004,1,MATCH(COLUMNS($AC$1006:AK1006),$AC$1006:$AS$1006,0)))),"Fix")))</f>
        <v>0</v>
      </c>
      <c r="K71" s="5">
        <f>IF(OR(INDEX($W$2:$W$1001,MATCH(ROWS($V$2:V71),$V$2:$V$1001,0),1)&gt;=100000,INDEX($AC$1005:$AS$1005,1,MATCH(COLUMNS($AC$1006:AL1006),$AC$1006:$AS$1006,0))&gt;=100000), " ",IF(INDEX($AC$2:$AS$1001,MATCH(ROWS($V$2:V71),$V$2:$V$1001,0),MATCH(COLUMNS($AC$1006:AL1006),$AC$1006:$AS$1006,0)), HYPERLINK("#",""), HYPERLINK(CONCATENATE("#Metadata!", ADDRESS(INDEX($X$2:$X$1001,MATCH(ROWS($V$2:V71),$V$2:$V$1001,0),0), INDEX($AC$1004:$AS$1004,1,MATCH(COLUMNS($AC$1006:AL1006),$AC$1006:$AS$1006,0)))),"Fix")))</f>
        <v>0</v>
      </c>
      <c r="L71" s="5">
        <f>IF(OR(INDEX($W$2:$W$1001,MATCH(ROWS($V$2:V71),$V$2:$V$1001,0),1)&gt;=100000,INDEX($AC$1005:$AS$1005,1,MATCH(COLUMNS($AC$1006:AM1006),$AC$1006:$AS$1006,0))&gt;=100000), " ",IF(INDEX($AC$2:$AS$1001,MATCH(ROWS($V$2:V71),$V$2:$V$1001,0),MATCH(COLUMNS($AC$1006:AM1006),$AC$1006:$AS$1006,0)), HYPERLINK("#",""), HYPERLINK(CONCATENATE("#Metadata!", ADDRESS(INDEX($X$2:$X$1001,MATCH(ROWS($V$2:V71),$V$2:$V$1001,0),0), INDEX($AC$1004:$AS$1004,1,MATCH(COLUMNS($AC$1006:AM1006),$AC$1006:$AS$1006,0)))),"Fix")))</f>
        <v>0</v>
      </c>
      <c r="M71" s="5">
        <f>IF(OR(INDEX($W$2:$W$1001,MATCH(ROWS($V$2:V71),$V$2:$V$1001,0),1)&gt;=100000,INDEX($AC$1005:$AS$1005,1,MATCH(COLUMNS($AC$1006:AN1006),$AC$1006:$AS$1006,0))&gt;=100000), " ",IF(INDEX($AC$2:$AS$1001,MATCH(ROWS($V$2:V71),$V$2:$V$1001,0),MATCH(COLUMNS($AC$1006:AN1006),$AC$1006:$AS$1006,0)), HYPERLINK("#",""), HYPERLINK(CONCATENATE("#Metadata!", ADDRESS(INDEX($X$2:$X$1001,MATCH(ROWS($V$2:V71),$V$2:$V$1001,0),0), INDEX($AC$1004:$AS$1004,1,MATCH(COLUMNS($AC$1006:AN1006),$AC$1006:$AS$1006,0)))),"Fix")))</f>
        <v>0</v>
      </c>
      <c r="N71" s="5">
        <f>IF(OR(INDEX($W$2:$W$1001,MATCH(ROWS($V$2:V71),$V$2:$V$1001,0),1)&gt;=100000,INDEX($AC$1005:$AS$1005,1,MATCH(COLUMNS($AC$1006:AO1006),$AC$1006:$AS$1006,0))&gt;=100000), " ",IF(INDEX($AC$2:$AS$1001,MATCH(ROWS($V$2:V71),$V$2:$V$1001,0),MATCH(COLUMNS($AC$1006:AO1006),$AC$1006:$AS$1006,0)), HYPERLINK("#",""), HYPERLINK(CONCATENATE("#Metadata!", ADDRESS(INDEX($X$2:$X$1001,MATCH(ROWS($V$2:V71),$V$2:$V$1001,0),0), INDEX($AC$1004:$AS$1004,1,MATCH(COLUMNS($AC$1006:AO1006),$AC$1006:$AS$1006,0)))),"Fix")))</f>
        <v>0</v>
      </c>
      <c r="O71" s="5">
        <f>IF(OR(INDEX($W$2:$W$1001,MATCH(ROWS($V$2:V71),$V$2:$V$1001,0),1)&gt;=100000,INDEX($AC$1005:$AS$1005,1,MATCH(COLUMNS($AC$1006:AP1006),$AC$1006:$AS$1006,0))&gt;=100000), " ",IF(INDEX($AC$2:$AS$1001,MATCH(ROWS($V$2:V71),$V$2:$V$1001,0),MATCH(COLUMNS($AC$1006:AP1006),$AC$1006:$AS$1006,0)), HYPERLINK("#",""), HYPERLINK(CONCATENATE("#Metadata!", ADDRESS(INDEX($X$2:$X$1001,MATCH(ROWS($V$2:V71),$V$2:$V$1001,0),0), INDEX($AC$1004:$AS$1004,1,MATCH(COLUMNS($AC$1006:AP1006),$AC$1006:$AS$1006,0)))),"Fix")))</f>
        <v>0</v>
      </c>
      <c r="P71" s="5">
        <f>IF(OR(INDEX($W$2:$W$1001,MATCH(ROWS($V$2:V71),$V$2:$V$1001,0),1)&gt;=100000,INDEX($AC$1005:$AS$1005,1,MATCH(COLUMNS($AC$1006:AQ1006),$AC$1006:$AS$1006,0))&gt;=100000), " ",IF(INDEX($AC$2:$AS$1001,MATCH(ROWS($V$2:V71),$V$2:$V$1001,0),MATCH(COLUMNS($AC$1006:AQ1006),$AC$1006:$AS$1006,0)), HYPERLINK("#",""), HYPERLINK(CONCATENATE("#Metadata!", ADDRESS(INDEX($X$2:$X$1001,MATCH(ROWS($V$2:V71),$V$2:$V$1001,0),0), INDEX($AC$1004:$AS$1004,1,MATCH(COLUMNS($AC$1006:AQ1006),$AC$1006:$AS$1006,0)))),"Fix")))</f>
        <v>0</v>
      </c>
      <c r="Q71" s="5">
        <f>IF(OR(INDEX($W$2:$W$1001,MATCH(ROWS($V$2:V71),$V$2:$V$1001,0),1)&gt;=100000,INDEX($AC$1005:$AS$1005,1,MATCH(COLUMNS($AC$1006:AR1006),$AC$1006:$AS$1006,0))&gt;=100000), " ",IF(INDEX($AC$2:$AS$1001,MATCH(ROWS($V$2:V71),$V$2:$V$1001,0),MATCH(COLUMNS($AC$1006:AR1006),$AC$1006:$AS$1006,0)), HYPERLINK("#",""), HYPERLINK(CONCATENATE("#Metadata!", ADDRESS(INDEX($X$2:$X$1001,MATCH(ROWS($V$2:V71),$V$2:$V$1001,0),0), INDEX($AC$1004:$AS$1004,1,MATCH(COLUMNS($AC$1006:AR1006),$AC$1006:$AS$1006,0)))),"Fix")))</f>
        <v>0</v>
      </c>
      <c r="R71" s="5">
        <f>IF(OR(INDEX($W$2:$W$1001,MATCH(ROWS($V$2:V71),$V$2:$V$1001,0),1)&gt;=100000,INDEX($AC$1005:$AS$1005,1,MATCH(COLUMNS($AC$1006:AS1006),$AC$1006:$AS$1006,0))&gt;=100000), " ",IF(INDEX($AC$2:$AS$1001,MATCH(ROWS($V$2:V71),$V$2:$V$1001,0),MATCH(COLUMNS($AC$1006:AS1006),$AC$1006:$AS$1006,0)), HYPERLINK("#",""), HYPERLINK(CONCATENATE("#Metadata!", ADDRESS(INDEX($X$2:$X$1001,MATCH(ROWS($V$2:V71),$V$2:$V$1001,0),0), INDEX($AC$1004:$AS$1004,1,MATCH(COLUMNS($AC$1006:AS1006),$AC$1006:$AS$1006,0)))),"Fix")))</f>
        <v>0</v>
      </c>
      <c r="V71">
        <v>0</v>
      </c>
      <c r="W71">
        <v>0</v>
      </c>
      <c r="X71">
        <v>0</v>
      </c>
      <c r="Y71">
        <f>IF(Z71,TRUE,AND(AC71:AS71))</f>
        <v>0</v>
      </c>
      <c r="Z71">
        <f>COUNTBLANK(Metadata!B71:R71)=COLUMNS(Metadata!B71:R71)</f>
        <v>0</v>
      </c>
      <c r="AA71">
        <v>0</v>
      </c>
      <c r="AC71">
        <f>AND(IF(Metadata!B71="",FALSE,TRUE),COUNTIF(Metadata!B:B, Metadata!B71) = 1,NOT(ISERROR(SUMPRODUCT(SEARCH(MID(Metadata!B71,ROW(INDIRECT("1:"&amp;LEN(Metadata!B71))), 1),"0123456789abcdefghijklmnopqrstuvwxyzABCDEFGHIJKLMNOPQRSTUVWXYZ.")))))</f>
        <v>0</v>
      </c>
      <c r="AD71">
        <f>AND(IF(Metadata!C71="",FALSE,TRUE),exact(Metadata!C71,"Host-associated"))</f>
        <v>0</v>
      </c>
      <c r="AE71">
        <f>AND(IF(Metadata!D71="",FALSE,TRUE),OR(exact(Metadata!D71,"Animal"),exact(Metadata!D71,"Fungus"),exact(Metadata!D71,"Plant")))</f>
        <v>0</v>
      </c>
      <c r="AF71">
        <f>AND(IF(Metadata!E71="",FALSE,TRUE),OR(exact(Metadata!E71,"Plant secretion"),exact(Metadata!E71,"Plant rhizosphere"),exact(Metadata!E71,"Plant surface"),exact(Metadata!E71,"Plant corpus"),exact(Metadata!E71,"Fungus surface"),exact(Metadata!E71,"Fungus corpus"),exact(Metadata!E71,"Animal surface"),exact(Metadata!E71,"Animal proximal gut"),exact(Metadata!E71,"Animal corpus"),exact(Metadata!E71,"Animal distal gut"),exact(Metadata!E71,"Animal secretion")))</f>
        <v>0</v>
      </c>
      <c r="AG71">
        <f>OR(AND(IF(Metadata!F71="",FALSE,TRUE),OR(exact(Metadata!F71,"not collected"),exact(Metadata!F71,"not provided"),exact(Metadata!F71,"restricted access"))),AND(IF(Metadata!F71="",FALSE,TRUE),OR(exact(Metadata!F71,"organism-associated habitat"),exact(Metadata!F71,"plant-associated habitat"),exact(Metadata!F71,"animal-associated habitat"),exact(Metadata!F71,"insecta-associated habitat"),exact(Metadata!F71,"mammalia-associated habitat"),exact(Metadata!F71,"human-associated habitat"),exact(Metadata!F71,"livestock-associated habitat"))))</f>
        <v>0</v>
      </c>
      <c r="AH71">
        <f>AND(IF(Metadata!G71="",FALSE,TRUE),exact(Metadata!G71,"host-associated"))</f>
        <v>0</v>
      </c>
      <c r="AI71">
        <f>OR(AND(IF(Metadata!H71="",FALSE,TRUE),OR(exact(Metadata!H71,"not collected"),exact(Metadata!H71,"not provided"))),AND(IF(Metadata!H71="",FALSE,ISNUMBER(VALUE(Metadata!H71))),Metadata!H71&gt;0))</f>
        <v>0</v>
      </c>
      <c r="AJ71">
        <f>AND(IF(Metadata!I71="",FALSE,TRUE),exact(Metadata!I71,"years"))</f>
        <v>0</v>
      </c>
      <c r="AK71">
        <f>IF(Metadata!J71="",FALSE,TRUE)</f>
        <v>0</v>
      </c>
      <c r="AL71">
        <f>OR(AND(IF(Metadata!K71="",FALSE,TRUE),OR(exact(Metadata!K71,"not collected"),exact(Metadata!K71,"not provided"))),AND(IF(Metadata!K71="",FALSE,ISNUMBER(VALUE(Metadata!K71))),Metadata!K71&gt;0))</f>
        <v>0</v>
      </c>
      <c r="AM71">
        <f>AND(IF(Metadata!L71="",FALSE,TRUE),exact(Metadata!L71,"cm"))</f>
        <v>0</v>
      </c>
      <c r="AN71">
        <f>IF(Metadata!M71="",FALSE,TRUE)</f>
        <v>0</v>
      </c>
      <c r="AO71">
        <f>OR(AND(IF(Metadata!N71="",FALSE,TRUE),OR(exact(Metadata!N71,"not applicable"),exact(Metadata!N71,"not collected"),exact(Metadata!N71,"not provided"))),AND(IF(Metadata!N71="",FALSE,IF(ISERROR(INT(Metadata!N71)),FALSE,INT(Metadata!N71)=Metadata!N71)),Metadata!N71&gt;0))</f>
        <v>0</v>
      </c>
      <c r="AP71">
        <f>OR(AND(IF(Metadata!O71="",FALSE,TRUE),OR(exact(Metadata!O71,"not collected"),exact(Metadata!O71,"not provided"))),AND(IF(Metadata!O71="",FALSE,ISNUMBER(VALUE(Metadata!O71))),Metadata!O71&gt;0))</f>
        <v>0</v>
      </c>
      <c r="AQ71">
        <f>AND(IF(Metadata!P71="",FALSE,TRUE),exact(Metadata!P71,"kg"))</f>
        <v>0</v>
      </c>
      <c r="AR71">
        <f>OR(AND(IF(Metadata!Q71="",FALSE,TRUE),OR(exact(Metadata!Q71,"not applicable"),exact(Metadata!Q71,"not collected"),exact(Metadata!Q71,"not provided"),exact(Metadata!Q71,"restricted access"))),IF(Metadata!Q71="",FALSE,IF(ISERROR(INT(Metadata!Q71)),FALSE,INT(Metadata!Q71)=Metadata!Q71)))</f>
        <v>0</v>
      </c>
      <c r="AS71">
        <f>AND(IF(Metadata!R71="",FALSE,TRUE),exact(Metadata!R71,"Not applicable"))</f>
        <v>0</v>
      </c>
    </row>
    <row r="72" spans="1:45">
      <c r="A72" s="4">
        <f>IF(B72=" "," ",HYPERLINK(CONCATENATE("#metadata!",ADDRESS(INDEX($X$2:$X$1001,MATCH(ROWS($V$2:V72),$V$2:$V$1001,0),0),2)),INDEX($AA$2:$AA$1001,MATCH(ROWS($V$2:V72),$V$2:$V$1001,0),0)))</f>
        <v>0</v>
      </c>
      <c r="B72" s="5">
        <f>IF(OR(INDEX($W$2:$W$1001,MATCH(ROWS($V$2:V72),$V$2:$V$1001,0),1)&gt;=100000,INDEX($AC$1005:$AS$1005,1,MATCH(COLUMNS($AC$1006:AC1006),$AC$1006:$AS$1006,0))&gt;=100000), " ",IF(INDEX($AC$2:$AS$1001,MATCH(ROWS($V$2:V72),$V$2:$V$1001,0),MATCH(COLUMNS($AC$1006:AC1006),$AC$1006:$AS$1006,0)), HYPERLINK("#",""), HYPERLINK(CONCATENATE("#Metadata!", ADDRESS(INDEX($X$2:$X$1001,MATCH(ROWS($V$2:V72),$V$2:$V$1001,0),0), INDEX($AC$1004:$AS$1004,1,MATCH(COLUMNS($AC$1006:AC1006),$AC$1006:$AS$1006,0)))),"Fix")))</f>
        <v>0</v>
      </c>
      <c r="C72" s="5">
        <f>IF(OR(INDEX($W$2:$W$1001,MATCH(ROWS($V$2:V72),$V$2:$V$1001,0),1)&gt;=100000,INDEX($AC$1005:$AS$1005,1,MATCH(COLUMNS($AC$1006:AD1006),$AC$1006:$AS$1006,0))&gt;=100000), " ",IF(INDEX($AC$2:$AS$1001,MATCH(ROWS($V$2:V72),$V$2:$V$1001,0),MATCH(COLUMNS($AC$1006:AD1006),$AC$1006:$AS$1006,0)), HYPERLINK("#",""), HYPERLINK(CONCATENATE("#Metadata!", ADDRESS(INDEX($X$2:$X$1001,MATCH(ROWS($V$2:V72),$V$2:$V$1001,0),0), INDEX($AC$1004:$AS$1004,1,MATCH(COLUMNS($AC$1006:AD1006),$AC$1006:$AS$1006,0)))),"Fix")))</f>
        <v>0</v>
      </c>
      <c r="D72" s="5">
        <f>IF(OR(INDEX($W$2:$W$1001,MATCH(ROWS($V$2:V72),$V$2:$V$1001,0),1)&gt;=100000,INDEX($AC$1005:$AS$1005,1,MATCH(COLUMNS($AC$1006:AE1006),$AC$1006:$AS$1006,0))&gt;=100000), " ",IF(INDEX($AC$2:$AS$1001,MATCH(ROWS($V$2:V72),$V$2:$V$1001,0),MATCH(COLUMNS($AC$1006:AE1006),$AC$1006:$AS$1006,0)), HYPERLINK("#",""), HYPERLINK(CONCATENATE("#Metadata!", ADDRESS(INDEX($X$2:$X$1001,MATCH(ROWS($V$2:V72),$V$2:$V$1001,0),0), INDEX($AC$1004:$AS$1004,1,MATCH(COLUMNS($AC$1006:AE1006),$AC$1006:$AS$1006,0)))),"Fix")))</f>
        <v>0</v>
      </c>
      <c r="E72" s="5">
        <f>IF(OR(INDEX($W$2:$W$1001,MATCH(ROWS($V$2:V72),$V$2:$V$1001,0),1)&gt;=100000,INDEX($AC$1005:$AS$1005,1,MATCH(COLUMNS($AC$1006:AF1006),$AC$1006:$AS$1006,0))&gt;=100000), " ",IF(INDEX($AC$2:$AS$1001,MATCH(ROWS($V$2:V72),$V$2:$V$1001,0),MATCH(COLUMNS($AC$1006:AF1006),$AC$1006:$AS$1006,0)), HYPERLINK("#",""), HYPERLINK(CONCATENATE("#Metadata!", ADDRESS(INDEX($X$2:$X$1001,MATCH(ROWS($V$2:V72),$V$2:$V$1001,0),0), INDEX($AC$1004:$AS$1004,1,MATCH(COLUMNS($AC$1006:AF1006),$AC$1006:$AS$1006,0)))),"Fix")))</f>
        <v>0</v>
      </c>
      <c r="F72" s="5">
        <f>IF(OR(INDEX($W$2:$W$1001,MATCH(ROWS($V$2:V72),$V$2:$V$1001,0),1)&gt;=100000,INDEX($AC$1005:$AS$1005,1,MATCH(COLUMNS($AC$1006:AG1006),$AC$1006:$AS$1006,0))&gt;=100000), " ",IF(INDEX($AC$2:$AS$1001,MATCH(ROWS($V$2:V72),$V$2:$V$1001,0),MATCH(COLUMNS($AC$1006:AG1006),$AC$1006:$AS$1006,0)), HYPERLINK("#",""), HYPERLINK(CONCATENATE("#Metadata!", ADDRESS(INDEX($X$2:$X$1001,MATCH(ROWS($V$2:V72),$V$2:$V$1001,0),0), INDEX($AC$1004:$AS$1004,1,MATCH(COLUMNS($AC$1006:AG1006),$AC$1006:$AS$1006,0)))),"Fix")))</f>
        <v>0</v>
      </c>
      <c r="G72" s="5">
        <f>IF(OR(INDEX($W$2:$W$1001,MATCH(ROWS($V$2:V72),$V$2:$V$1001,0),1)&gt;=100000,INDEX($AC$1005:$AS$1005,1,MATCH(COLUMNS($AC$1006:AH1006),$AC$1006:$AS$1006,0))&gt;=100000), " ",IF(INDEX($AC$2:$AS$1001,MATCH(ROWS($V$2:V72),$V$2:$V$1001,0),MATCH(COLUMNS($AC$1006:AH1006),$AC$1006:$AS$1006,0)), HYPERLINK("#",""), HYPERLINK(CONCATENATE("#Metadata!", ADDRESS(INDEX($X$2:$X$1001,MATCH(ROWS($V$2:V72),$V$2:$V$1001,0),0), INDEX($AC$1004:$AS$1004,1,MATCH(COLUMNS($AC$1006:AH1006),$AC$1006:$AS$1006,0)))),"Fix")))</f>
        <v>0</v>
      </c>
      <c r="H72" s="5">
        <f>IF(OR(INDEX($W$2:$W$1001,MATCH(ROWS($V$2:V72),$V$2:$V$1001,0),1)&gt;=100000,INDEX($AC$1005:$AS$1005,1,MATCH(COLUMNS($AC$1006:AI1006),$AC$1006:$AS$1006,0))&gt;=100000), " ",IF(INDEX($AC$2:$AS$1001,MATCH(ROWS($V$2:V72),$V$2:$V$1001,0),MATCH(COLUMNS($AC$1006:AI1006),$AC$1006:$AS$1006,0)), HYPERLINK("#",""), HYPERLINK(CONCATENATE("#Metadata!", ADDRESS(INDEX($X$2:$X$1001,MATCH(ROWS($V$2:V72),$V$2:$V$1001,0),0), INDEX($AC$1004:$AS$1004,1,MATCH(COLUMNS($AC$1006:AI1006),$AC$1006:$AS$1006,0)))),"Fix")))</f>
        <v>0</v>
      </c>
      <c r="I72" s="5">
        <f>IF(OR(INDEX($W$2:$W$1001,MATCH(ROWS($V$2:V72),$V$2:$V$1001,0),1)&gt;=100000,INDEX($AC$1005:$AS$1005,1,MATCH(COLUMNS($AC$1006:AJ1006),$AC$1006:$AS$1006,0))&gt;=100000), " ",IF(INDEX($AC$2:$AS$1001,MATCH(ROWS($V$2:V72),$V$2:$V$1001,0),MATCH(COLUMNS($AC$1006:AJ1006),$AC$1006:$AS$1006,0)), HYPERLINK("#",""), HYPERLINK(CONCATENATE("#Metadata!", ADDRESS(INDEX($X$2:$X$1001,MATCH(ROWS($V$2:V72),$V$2:$V$1001,0),0), INDEX($AC$1004:$AS$1004,1,MATCH(COLUMNS($AC$1006:AJ1006),$AC$1006:$AS$1006,0)))),"Fix")))</f>
        <v>0</v>
      </c>
      <c r="J72" s="5">
        <f>IF(OR(INDEX($W$2:$W$1001,MATCH(ROWS($V$2:V72),$V$2:$V$1001,0),1)&gt;=100000,INDEX($AC$1005:$AS$1005,1,MATCH(COLUMNS($AC$1006:AK1006),$AC$1006:$AS$1006,0))&gt;=100000), " ",IF(INDEX($AC$2:$AS$1001,MATCH(ROWS($V$2:V72),$V$2:$V$1001,0),MATCH(COLUMNS($AC$1006:AK1006),$AC$1006:$AS$1006,0)), HYPERLINK("#",""), HYPERLINK(CONCATENATE("#Metadata!", ADDRESS(INDEX($X$2:$X$1001,MATCH(ROWS($V$2:V72),$V$2:$V$1001,0),0), INDEX($AC$1004:$AS$1004,1,MATCH(COLUMNS($AC$1006:AK1006),$AC$1006:$AS$1006,0)))),"Fix")))</f>
        <v>0</v>
      </c>
      <c r="K72" s="5">
        <f>IF(OR(INDEX($W$2:$W$1001,MATCH(ROWS($V$2:V72),$V$2:$V$1001,0),1)&gt;=100000,INDEX($AC$1005:$AS$1005,1,MATCH(COLUMNS($AC$1006:AL1006),$AC$1006:$AS$1006,0))&gt;=100000), " ",IF(INDEX($AC$2:$AS$1001,MATCH(ROWS($V$2:V72),$V$2:$V$1001,0),MATCH(COLUMNS($AC$1006:AL1006),$AC$1006:$AS$1006,0)), HYPERLINK("#",""), HYPERLINK(CONCATENATE("#Metadata!", ADDRESS(INDEX($X$2:$X$1001,MATCH(ROWS($V$2:V72),$V$2:$V$1001,0),0), INDEX($AC$1004:$AS$1004,1,MATCH(COLUMNS($AC$1006:AL1006),$AC$1006:$AS$1006,0)))),"Fix")))</f>
        <v>0</v>
      </c>
      <c r="L72" s="5">
        <f>IF(OR(INDEX($W$2:$W$1001,MATCH(ROWS($V$2:V72),$V$2:$V$1001,0),1)&gt;=100000,INDEX($AC$1005:$AS$1005,1,MATCH(COLUMNS($AC$1006:AM1006),$AC$1006:$AS$1006,0))&gt;=100000), " ",IF(INDEX($AC$2:$AS$1001,MATCH(ROWS($V$2:V72),$V$2:$V$1001,0),MATCH(COLUMNS($AC$1006:AM1006),$AC$1006:$AS$1006,0)), HYPERLINK("#",""), HYPERLINK(CONCATENATE("#Metadata!", ADDRESS(INDEX($X$2:$X$1001,MATCH(ROWS($V$2:V72),$V$2:$V$1001,0),0), INDEX($AC$1004:$AS$1004,1,MATCH(COLUMNS($AC$1006:AM1006),$AC$1006:$AS$1006,0)))),"Fix")))</f>
        <v>0</v>
      </c>
      <c r="M72" s="5">
        <f>IF(OR(INDEX($W$2:$W$1001,MATCH(ROWS($V$2:V72),$V$2:$V$1001,0),1)&gt;=100000,INDEX($AC$1005:$AS$1005,1,MATCH(COLUMNS($AC$1006:AN1006),$AC$1006:$AS$1006,0))&gt;=100000), " ",IF(INDEX($AC$2:$AS$1001,MATCH(ROWS($V$2:V72),$V$2:$V$1001,0),MATCH(COLUMNS($AC$1006:AN1006),$AC$1006:$AS$1006,0)), HYPERLINK("#",""), HYPERLINK(CONCATENATE("#Metadata!", ADDRESS(INDEX($X$2:$X$1001,MATCH(ROWS($V$2:V72),$V$2:$V$1001,0),0), INDEX($AC$1004:$AS$1004,1,MATCH(COLUMNS($AC$1006:AN1006),$AC$1006:$AS$1006,0)))),"Fix")))</f>
        <v>0</v>
      </c>
      <c r="N72" s="5">
        <f>IF(OR(INDEX($W$2:$W$1001,MATCH(ROWS($V$2:V72),$V$2:$V$1001,0),1)&gt;=100000,INDEX($AC$1005:$AS$1005,1,MATCH(COLUMNS($AC$1006:AO1006),$AC$1006:$AS$1006,0))&gt;=100000), " ",IF(INDEX($AC$2:$AS$1001,MATCH(ROWS($V$2:V72),$V$2:$V$1001,0),MATCH(COLUMNS($AC$1006:AO1006),$AC$1006:$AS$1006,0)), HYPERLINK("#",""), HYPERLINK(CONCATENATE("#Metadata!", ADDRESS(INDEX($X$2:$X$1001,MATCH(ROWS($V$2:V72),$V$2:$V$1001,0),0), INDEX($AC$1004:$AS$1004,1,MATCH(COLUMNS($AC$1006:AO1006),$AC$1006:$AS$1006,0)))),"Fix")))</f>
        <v>0</v>
      </c>
      <c r="O72" s="5">
        <f>IF(OR(INDEX($W$2:$W$1001,MATCH(ROWS($V$2:V72),$V$2:$V$1001,0),1)&gt;=100000,INDEX($AC$1005:$AS$1005,1,MATCH(COLUMNS($AC$1006:AP1006),$AC$1006:$AS$1006,0))&gt;=100000), " ",IF(INDEX($AC$2:$AS$1001,MATCH(ROWS($V$2:V72),$V$2:$V$1001,0),MATCH(COLUMNS($AC$1006:AP1006),$AC$1006:$AS$1006,0)), HYPERLINK("#",""), HYPERLINK(CONCATENATE("#Metadata!", ADDRESS(INDEX($X$2:$X$1001,MATCH(ROWS($V$2:V72),$V$2:$V$1001,0),0), INDEX($AC$1004:$AS$1004,1,MATCH(COLUMNS($AC$1006:AP1006),$AC$1006:$AS$1006,0)))),"Fix")))</f>
        <v>0</v>
      </c>
      <c r="P72" s="5">
        <f>IF(OR(INDEX($W$2:$W$1001,MATCH(ROWS($V$2:V72),$V$2:$V$1001,0),1)&gt;=100000,INDEX($AC$1005:$AS$1005,1,MATCH(COLUMNS($AC$1006:AQ1006),$AC$1006:$AS$1006,0))&gt;=100000), " ",IF(INDEX($AC$2:$AS$1001,MATCH(ROWS($V$2:V72),$V$2:$V$1001,0),MATCH(COLUMNS($AC$1006:AQ1006),$AC$1006:$AS$1006,0)), HYPERLINK("#",""), HYPERLINK(CONCATENATE("#Metadata!", ADDRESS(INDEX($X$2:$X$1001,MATCH(ROWS($V$2:V72),$V$2:$V$1001,0),0), INDEX($AC$1004:$AS$1004,1,MATCH(COLUMNS($AC$1006:AQ1006),$AC$1006:$AS$1006,0)))),"Fix")))</f>
        <v>0</v>
      </c>
      <c r="Q72" s="5">
        <f>IF(OR(INDEX($W$2:$W$1001,MATCH(ROWS($V$2:V72),$V$2:$V$1001,0),1)&gt;=100000,INDEX($AC$1005:$AS$1005,1,MATCH(COLUMNS($AC$1006:AR1006),$AC$1006:$AS$1006,0))&gt;=100000), " ",IF(INDEX($AC$2:$AS$1001,MATCH(ROWS($V$2:V72),$V$2:$V$1001,0),MATCH(COLUMNS($AC$1006:AR1006),$AC$1006:$AS$1006,0)), HYPERLINK("#",""), HYPERLINK(CONCATENATE("#Metadata!", ADDRESS(INDEX($X$2:$X$1001,MATCH(ROWS($V$2:V72),$V$2:$V$1001,0),0), INDEX($AC$1004:$AS$1004,1,MATCH(COLUMNS($AC$1006:AR1006),$AC$1006:$AS$1006,0)))),"Fix")))</f>
        <v>0</v>
      </c>
      <c r="R72" s="5">
        <f>IF(OR(INDEX($W$2:$W$1001,MATCH(ROWS($V$2:V72),$V$2:$V$1001,0),1)&gt;=100000,INDEX($AC$1005:$AS$1005,1,MATCH(COLUMNS($AC$1006:AS1006),$AC$1006:$AS$1006,0))&gt;=100000), " ",IF(INDEX($AC$2:$AS$1001,MATCH(ROWS($V$2:V72),$V$2:$V$1001,0),MATCH(COLUMNS($AC$1006:AS1006),$AC$1006:$AS$1006,0)), HYPERLINK("#",""), HYPERLINK(CONCATENATE("#Metadata!", ADDRESS(INDEX($X$2:$X$1001,MATCH(ROWS($V$2:V72),$V$2:$V$1001,0),0), INDEX($AC$1004:$AS$1004,1,MATCH(COLUMNS($AC$1006:AS1006),$AC$1006:$AS$1006,0)))),"Fix")))</f>
        <v>0</v>
      </c>
      <c r="V72">
        <v>0</v>
      </c>
      <c r="W72">
        <v>0</v>
      </c>
      <c r="X72">
        <v>0</v>
      </c>
      <c r="Y72">
        <f>IF(Z72,TRUE,AND(AC72:AS72))</f>
        <v>0</v>
      </c>
      <c r="Z72">
        <f>COUNTBLANK(Metadata!B72:R72)=COLUMNS(Metadata!B72:R72)</f>
        <v>0</v>
      </c>
      <c r="AA72">
        <v>0</v>
      </c>
      <c r="AC72">
        <f>AND(IF(Metadata!B72="",FALSE,TRUE),COUNTIF(Metadata!B:B, Metadata!B72) = 1,NOT(ISERROR(SUMPRODUCT(SEARCH(MID(Metadata!B72,ROW(INDIRECT("1:"&amp;LEN(Metadata!B72))), 1),"0123456789abcdefghijklmnopqrstuvwxyzABCDEFGHIJKLMNOPQRSTUVWXYZ.")))))</f>
        <v>0</v>
      </c>
      <c r="AD72">
        <f>AND(IF(Metadata!C72="",FALSE,TRUE),exact(Metadata!C72,"Host-associated"))</f>
        <v>0</v>
      </c>
      <c r="AE72">
        <f>AND(IF(Metadata!D72="",FALSE,TRUE),OR(exact(Metadata!D72,"Animal"),exact(Metadata!D72,"Fungus"),exact(Metadata!D72,"Plant")))</f>
        <v>0</v>
      </c>
      <c r="AF72">
        <f>AND(IF(Metadata!E72="",FALSE,TRUE),OR(exact(Metadata!E72,"Plant secretion"),exact(Metadata!E72,"Plant rhizosphere"),exact(Metadata!E72,"Plant surface"),exact(Metadata!E72,"Plant corpus"),exact(Metadata!E72,"Fungus surface"),exact(Metadata!E72,"Fungus corpus"),exact(Metadata!E72,"Animal surface"),exact(Metadata!E72,"Animal proximal gut"),exact(Metadata!E72,"Animal corpus"),exact(Metadata!E72,"Animal distal gut"),exact(Metadata!E72,"Animal secretion")))</f>
        <v>0</v>
      </c>
      <c r="AG72">
        <f>OR(AND(IF(Metadata!F72="",FALSE,TRUE),OR(exact(Metadata!F72,"not collected"),exact(Metadata!F72,"not provided"),exact(Metadata!F72,"restricted access"))),AND(IF(Metadata!F72="",FALSE,TRUE),OR(exact(Metadata!F72,"organism-associated habitat"),exact(Metadata!F72,"plant-associated habitat"),exact(Metadata!F72,"animal-associated habitat"),exact(Metadata!F72,"insecta-associated habitat"),exact(Metadata!F72,"mammalia-associated habitat"),exact(Metadata!F72,"human-associated habitat"),exact(Metadata!F72,"livestock-associated habitat"))))</f>
        <v>0</v>
      </c>
      <c r="AH72">
        <f>AND(IF(Metadata!G72="",FALSE,TRUE),exact(Metadata!G72,"host-associated"))</f>
        <v>0</v>
      </c>
      <c r="AI72">
        <f>OR(AND(IF(Metadata!H72="",FALSE,TRUE),OR(exact(Metadata!H72,"not collected"),exact(Metadata!H72,"not provided"))),AND(IF(Metadata!H72="",FALSE,ISNUMBER(VALUE(Metadata!H72))),Metadata!H72&gt;0))</f>
        <v>0</v>
      </c>
      <c r="AJ72">
        <f>AND(IF(Metadata!I72="",FALSE,TRUE),exact(Metadata!I72,"years"))</f>
        <v>0</v>
      </c>
      <c r="AK72">
        <f>IF(Metadata!J72="",FALSE,TRUE)</f>
        <v>0</v>
      </c>
      <c r="AL72">
        <f>OR(AND(IF(Metadata!K72="",FALSE,TRUE),OR(exact(Metadata!K72,"not collected"),exact(Metadata!K72,"not provided"))),AND(IF(Metadata!K72="",FALSE,ISNUMBER(VALUE(Metadata!K72))),Metadata!K72&gt;0))</f>
        <v>0</v>
      </c>
      <c r="AM72">
        <f>AND(IF(Metadata!L72="",FALSE,TRUE),exact(Metadata!L72,"cm"))</f>
        <v>0</v>
      </c>
      <c r="AN72">
        <f>IF(Metadata!M72="",FALSE,TRUE)</f>
        <v>0</v>
      </c>
      <c r="AO72">
        <f>OR(AND(IF(Metadata!N72="",FALSE,TRUE),OR(exact(Metadata!N72,"not applicable"),exact(Metadata!N72,"not collected"),exact(Metadata!N72,"not provided"))),AND(IF(Metadata!N72="",FALSE,IF(ISERROR(INT(Metadata!N72)),FALSE,INT(Metadata!N72)=Metadata!N72)),Metadata!N72&gt;0))</f>
        <v>0</v>
      </c>
      <c r="AP72">
        <f>OR(AND(IF(Metadata!O72="",FALSE,TRUE),OR(exact(Metadata!O72,"not collected"),exact(Metadata!O72,"not provided"))),AND(IF(Metadata!O72="",FALSE,ISNUMBER(VALUE(Metadata!O72))),Metadata!O72&gt;0))</f>
        <v>0</v>
      </c>
      <c r="AQ72">
        <f>AND(IF(Metadata!P72="",FALSE,TRUE),exact(Metadata!P72,"kg"))</f>
        <v>0</v>
      </c>
      <c r="AR72">
        <f>OR(AND(IF(Metadata!Q72="",FALSE,TRUE),OR(exact(Metadata!Q72,"not applicable"),exact(Metadata!Q72,"not collected"),exact(Metadata!Q72,"not provided"),exact(Metadata!Q72,"restricted access"))),IF(Metadata!Q72="",FALSE,IF(ISERROR(INT(Metadata!Q72)),FALSE,INT(Metadata!Q72)=Metadata!Q72)))</f>
        <v>0</v>
      </c>
      <c r="AS72">
        <f>AND(IF(Metadata!R72="",FALSE,TRUE),exact(Metadata!R72,"Not applicable"))</f>
        <v>0</v>
      </c>
    </row>
    <row r="73" spans="1:45">
      <c r="A73" s="4">
        <f>IF(B73=" "," ",HYPERLINK(CONCATENATE("#metadata!",ADDRESS(INDEX($X$2:$X$1001,MATCH(ROWS($V$2:V73),$V$2:$V$1001,0),0),2)),INDEX($AA$2:$AA$1001,MATCH(ROWS($V$2:V73),$V$2:$V$1001,0),0)))</f>
        <v>0</v>
      </c>
      <c r="B73" s="5">
        <f>IF(OR(INDEX($W$2:$W$1001,MATCH(ROWS($V$2:V73),$V$2:$V$1001,0),1)&gt;=100000,INDEX($AC$1005:$AS$1005,1,MATCH(COLUMNS($AC$1006:AC1006),$AC$1006:$AS$1006,0))&gt;=100000), " ",IF(INDEX($AC$2:$AS$1001,MATCH(ROWS($V$2:V73),$V$2:$V$1001,0),MATCH(COLUMNS($AC$1006:AC1006),$AC$1006:$AS$1006,0)), HYPERLINK("#",""), HYPERLINK(CONCATENATE("#Metadata!", ADDRESS(INDEX($X$2:$X$1001,MATCH(ROWS($V$2:V73),$V$2:$V$1001,0),0), INDEX($AC$1004:$AS$1004,1,MATCH(COLUMNS($AC$1006:AC1006),$AC$1006:$AS$1006,0)))),"Fix")))</f>
        <v>0</v>
      </c>
      <c r="C73" s="5">
        <f>IF(OR(INDEX($W$2:$W$1001,MATCH(ROWS($V$2:V73),$V$2:$V$1001,0),1)&gt;=100000,INDEX($AC$1005:$AS$1005,1,MATCH(COLUMNS($AC$1006:AD1006),$AC$1006:$AS$1006,0))&gt;=100000), " ",IF(INDEX($AC$2:$AS$1001,MATCH(ROWS($V$2:V73),$V$2:$V$1001,0),MATCH(COLUMNS($AC$1006:AD1006),$AC$1006:$AS$1006,0)), HYPERLINK("#",""), HYPERLINK(CONCATENATE("#Metadata!", ADDRESS(INDEX($X$2:$X$1001,MATCH(ROWS($V$2:V73),$V$2:$V$1001,0),0), INDEX($AC$1004:$AS$1004,1,MATCH(COLUMNS($AC$1006:AD1006),$AC$1006:$AS$1006,0)))),"Fix")))</f>
        <v>0</v>
      </c>
      <c r="D73" s="5">
        <f>IF(OR(INDEX($W$2:$W$1001,MATCH(ROWS($V$2:V73),$V$2:$V$1001,0),1)&gt;=100000,INDEX($AC$1005:$AS$1005,1,MATCH(COLUMNS($AC$1006:AE1006),$AC$1006:$AS$1006,0))&gt;=100000), " ",IF(INDEX($AC$2:$AS$1001,MATCH(ROWS($V$2:V73),$V$2:$V$1001,0),MATCH(COLUMNS($AC$1006:AE1006),$AC$1006:$AS$1006,0)), HYPERLINK("#",""), HYPERLINK(CONCATENATE("#Metadata!", ADDRESS(INDEX($X$2:$X$1001,MATCH(ROWS($V$2:V73),$V$2:$V$1001,0),0), INDEX($AC$1004:$AS$1004,1,MATCH(COLUMNS($AC$1006:AE1006),$AC$1006:$AS$1006,0)))),"Fix")))</f>
        <v>0</v>
      </c>
      <c r="E73" s="5">
        <f>IF(OR(INDEX($W$2:$W$1001,MATCH(ROWS($V$2:V73),$V$2:$V$1001,0),1)&gt;=100000,INDEX($AC$1005:$AS$1005,1,MATCH(COLUMNS($AC$1006:AF1006),$AC$1006:$AS$1006,0))&gt;=100000), " ",IF(INDEX($AC$2:$AS$1001,MATCH(ROWS($V$2:V73),$V$2:$V$1001,0),MATCH(COLUMNS($AC$1006:AF1006),$AC$1006:$AS$1006,0)), HYPERLINK("#",""), HYPERLINK(CONCATENATE("#Metadata!", ADDRESS(INDEX($X$2:$X$1001,MATCH(ROWS($V$2:V73),$V$2:$V$1001,0),0), INDEX($AC$1004:$AS$1004,1,MATCH(COLUMNS($AC$1006:AF1006),$AC$1006:$AS$1006,0)))),"Fix")))</f>
        <v>0</v>
      </c>
      <c r="F73" s="5">
        <f>IF(OR(INDEX($W$2:$W$1001,MATCH(ROWS($V$2:V73),$V$2:$V$1001,0),1)&gt;=100000,INDEX($AC$1005:$AS$1005,1,MATCH(COLUMNS($AC$1006:AG1006),$AC$1006:$AS$1006,0))&gt;=100000), " ",IF(INDEX($AC$2:$AS$1001,MATCH(ROWS($V$2:V73),$V$2:$V$1001,0),MATCH(COLUMNS($AC$1006:AG1006),$AC$1006:$AS$1006,0)), HYPERLINK("#",""), HYPERLINK(CONCATENATE("#Metadata!", ADDRESS(INDEX($X$2:$X$1001,MATCH(ROWS($V$2:V73),$V$2:$V$1001,0),0), INDEX($AC$1004:$AS$1004,1,MATCH(COLUMNS($AC$1006:AG1006),$AC$1006:$AS$1006,0)))),"Fix")))</f>
        <v>0</v>
      </c>
      <c r="G73" s="5">
        <f>IF(OR(INDEX($W$2:$W$1001,MATCH(ROWS($V$2:V73),$V$2:$V$1001,0),1)&gt;=100000,INDEX($AC$1005:$AS$1005,1,MATCH(COLUMNS($AC$1006:AH1006),$AC$1006:$AS$1006,0))&gt;=100000), " ",IF(INDEX($AC$2:$AS$1001,MATCH(ROWS($V$2:V73),$V$2:$V$1001,0),MATCH(COLUMNS($AC$1006:AH1006),$AC$1006:$AS$1006,0)), HYPERLINK("#",""), HYPERLINK(CONCATENATE("#Metadata!", ADDRESS(INDEX($X$2:$X$1001,MATCH(ROWS($V$2:V73),$V$2:$V$1001,0),0), INDEX($AC$1004:$AS$1004,1,MATCH(COLUMNS($AC$1006:AH1006),$AC$1006:$AS$1006,0)))),"Fix")))</f>
        <v>0</v>
      </c>
      <c r="H73" s="5">
        <f>IF(OR(INDEX($W$2:$W$1001,MATCH(ROWS($V$2:V73),$V$2:$V$1001,0),1)&gt;=100000,INDEX($AC$1005:$AS$1005,1,MATCH(COLUMNS($AC$1006:AI1006),$AC$1006:$AS$1006,0))&gt;=100000), " ",IF(INDEX($AC$2:$AS$1001,MATCH(ROWS($V$2:V73),$V$2:$V$1001,0),MATCH(COLUMNS($AC$1006:AI1006),$AC$1006:$AS$1006,0)), HYPERLINK("#",""), HYPERLINK(CONCATENATE("#Metadata!", ADDRESS(INDEX($X$2:$X$1001,MATCH(ROWS($V$2:V73),$V$2:$V$1001,0),0), INDEX($AC$1004:$AS$1004,1,MATCH(COLUMNS($AC$1006:AI1006),$AC$1006:$AS$1006,0)))),"Fix")))</f>
        <v>0</v>
      </c>
      <c r="I73" s="5">
        <f>IF(OR(INDEX($W$2:$W$1001,MATCH(ROWS($V$2:V73),$V$2:$V$1001,0),1)&gt;=100000,INDEX($AC$1005:$AS$1005,1,MATCH(COLUMNS($AC$1006:AJ1006),$AC$1006:$AS$1006,0))&gt;=100000), " ",IF(INDEX($AC$2:$AS$1001,MATCH(ROWS($V$2:V73),$V$2:$V$1001,0),MATCH(COLUMNS($AC$1006:AJ1006),$AC$1006:$AS$1006,0)), HYPERLINK("#",""), HYPERLINK(CONCATENATE("#Metadata!", ADDRESS(INDEX($X$2:$X$1001,MATCH(ROWS($V$2:V73),$V$2:$V$1001,0),0), INDEX($AC$1004:$AS$1004,1,MATCH(COLUMNS($AC$1006:AJ1006),$AC$1006:$AS$1006,0)))),"Fix")))</f>
        <v>0</v>
      </c>
      <c r="J73" s="5">
        <f>IF(OR(INDEX($W$2:$W$1001,MATCH(ROWS($V$2:V73),$V$2:$V$1001,0),1)&gt;=100000,INDEX($AC$1005:$AS$1005,1,MATCH(COLUMNS($AC$1006:AK1006),$AC$1006:$AS$1006,0))&gt;=100000), " ",IF(INDEX($AC$2:$AS$1001,MATCH(ROWS($V$2:V73),$V$2:$V$1001,0),MATCH(COLUMNS($AC$1006:AK1006),$AC$1006:$AS$1006,0)), HYPERLINK("#",""), HYPERLINK(CONCATENATE("#Metadata!", ADDRESS(INDEX($X$2:$X$1001,MATCH(ROWS($V$2:V73),$V$2:$V$1001,0),0), INDEX($AC$1004:$AS$1004,1,MATCH(COLUMNS($AC$1006:AK1006),$AC$1006:$AS$1006,0)))),"Fix")))</f>
        <v>0</v>
      </c>
      <c r="K73" s="5">
        <f>IF(OR(INDEX($W$2:$W$1001,MATCH(ROWS($V$2:V73),$V$2:$V$1001,0),1)&gt;=100000,INDEX($AC$1005:$AS$1005,1,MATCH(COLUMNS($AC$1006:AL1006),$AC$1006:$AS$1006,0))&gt;=100000), " ",IF(INDEX($AC$2:$AS$1001,MATCH(ROWS($V$2:V73),$V$2:$V$1001,0),MATCH(COLUMNS($AC$1006:AL1006),$AC$1006:$AS$1006,0)), HYPERLINK("#",""), HYPERLINK(CONCATENATE("#Metadata!", ADDRESS(INDEX($X$2:$X$1001,MATCH(ROWS($V$2:V73),$V$2:$V$1001,0),0), INDEX($AC$1004:$AS$1004,1,MATCH(COLUMNS($AC$1006:AL1006),$AC$1006:$AS$1006,0)))),"Fix")))</f>
        <v>0</v>
      </c>
      <c r="L73" s="5">
        <f>IF(OR(INDEX($W$2:$W$1001,MATCH(ROWS($V$2:V73),$V$2:$V$1001,0),1)&gt;=100000,INDEX($AC$1005:$AS$1005,1,MATCH(COLUMNS($AC$1006:AM1006),$AC$1006:$AS$1006,0))&gt;=100000), " ",IF(INDEX($AC$2:$AS$1001,MATCH(ROWS($V$2:V73),$V$2:$V$1001,0),MATCH(COLUMNS($AC$1006:AM1006),$AC$1006:$AS$1006,0)), HYPERLINK("#",""), HYPERLINK(CONCATENATE("#Metadata!", ADDRESS(INDEX($X$2:$X$1001,MATCH(ROWS($V$2:V73),$V$2:$V$1001,0),0), INDEX($AC$1004:$AS$1004,1,MATCH(COLUMNS($AC$1006:AM1006),$AC$1006:$AS$1006,0)))),"Fix")))</f>
        <v>0</v>
      </c>
      <c r="M73" s="5">
        <f>IF(OR(INDEX($W$2:$W$1001,MATCH(ROWS($V$2:V73),$V$2:$V$1001,0),1)&gt;=100000,INDEX($AC$1005:$AS$1005,1,MATCH(COLUMNS($AC$1006:AN1006),$AC$1006:$AS$1006,0))&gt;=100000), " ",IF(INDEX($AC$2:$AS$1001,MATCH(ROWS($V$2:V73),$V$2:$V$1001,0),MATCH(COLUMNS($AC$1006:AN1006),$AC$1006:$AS$1006,0)), HYPERLINK("#",""), HYPERLINK(CONCATENATE("#Metadata!", ADDRESS(INDEX($X$2:$X$1001,MATCH(ROWS($V$2:V73),$V$2:$V$1001,0),0), INDEX($AC$1004:$AS$1004,1,MATCH(COLUMNS($AC$1006:AN1006),$AC$1006:$AS$1006,0)))),"Fix")))</f>
        <v>0</v>
      </c>
      <c r="N73" s="5">
        <f>IF(OR(INDEX($W$2:$W$1001,MATCH(ROWS($V$2:V73),$V$2:$V$1001,0),1)&gt;=100000,INDEX($AC$1005:$AS$1005,1,MATCH(COLUMNS($AC$1006:AO1006),$AC$1006:$AS$1006,0))&gt;=100000), " ",IF(INDEX($AC$2:$AS$1001,MATCH(ROWS($V$2:V73),$V$2:$V$1001,0),MATCH(COLUMNS($AC$1006:AO1006),$AC$1006:$AS$1006,0)), HYPERLINK("#",""), HYPERLINK(CONCATENATE("#Metadata!", ADDRESS(INDEX($X$2:$X$1001,MATCH(ROWS($V$2:V73),$V$2:$V$1001,0),0), INDEX($AC$1004:$AS$1004,1,MATCH(COLUMNS($AC$1006:AO1006),$AC$1006:$AS$1006,0)))),"Fix")))</f>
        <v>0</v>
      </c>
      <c r="O73" s="5">
        <f>IF(OR(INDEX($W$2:$W$1001,MATCH(ROWS($V$2:V73),$V$2:$V$1001,0),1)&gt;=100000,INDEX($AC$1005:$AS$1005,1,MATCH(COLUMNS($AC$1006:AP1006),$AC$1006:$AS$1006,0))&gt;=100000), " ",IF(INDEX($AC$2:$AS$1001,MATCH(ROWS($V$2:V73),$V$2:$V$1001,0),MATCH(COLUMNS($AC$1006:AP1006),$AC$1006:$AS$1006,0)), HYPERLINK("#",""), HYPERLINK(CONCATENATE("#Metadata!", ADDRESS(INDEX($X$2:$X$1001,MATCH(ROWS($V$2:V73),$V$2:$V$1001,0),0), INDEX($AC$1004:$AS$1004,1,MATCH(COLUMNS($AC$1006:AP1006),$AC$1006:$AS$1006,0)))),"Fix")))</f>
        <v>0</v>
      </c>
      <c r="P73" s="5">
        <f>IF(OR(INDEX($W$2:$W$1001,MATCH(ROWS($V$2:V73),$V$2:$V$1001,0),1)&gt;=100000,INDEX($AC$1005:$AS$1005,1,MATCH(COLUMNS($AC$1006:AQ1006),$AC$1006:$AS$1006,0))&gt;=100000), " ",IF(INDEX($AC$2:$AS$1001,MATCH(ROWS($V$2:V73),$V$2:$V$1001,0),MATCH(COLUMNS($AC$1006:AQ1006),$AC$1006:$AS$1006,0)), HYPERLINK("#",""), HYPERLINK(CONCATENATE("#Metadata!", ADDRESS(INDEX($X$2:$X$1001,MATCH(ROWS($V$2:V73),$V$2:$V$1001,0),0), INDEX($AC$1004:$AS$1004,1,MATCH(COLUMNS($AC$1006:AQ1006),$AC$1006:$AS$1006,0)))),"Fix")))</f>
        <v>0</v>
      </c>
      <c r="Q73" s="5">
        <f>IF(OR(INDEX($W$2:$W$1001,MATCH(ROWS($V$2:V73),$V$2:$V$1001,0),1)&gt;=100000,INDEX($AC$1005:$AS$1005,1,MATCH(COLUMNS($AC$1006:AR1006),$AC$1006:$AS$1006,0))&gt;=100000), " ",IF(INDEX($AC$2:$AS$1001,MATCH(ROWS($V$2:V73),$V$2:$V$1001,0),MATCH(COLUMNS($AC$1006:AR1006),$AC$1006:$AS$1006,0)), HYPERLINK("#",""), HYPERLINK(CONCATENATE("#Metadata!", ADDRESS(INDEX($X$2:$X$1001,MATCH(ROWS($V$2:V73),$V$2:$V$1001,0),0), INDEX($AC$1004:$AS$1004,1,MATCH(COLUMNS($AC$1006:AR1006),$AC$1006:$AS$1006,0)))),"Fix")))</f>
        <v>0</v>
      </c>
      <c r="R73" s="5">
        <f>IF(OR(INDEX($W$2:$W$1001,MATCH(ROWS($V$2:V73),$V$2:$V$1001,0),1)&gt;=100000,INDEX($AC$1005:$AS$1005,1,MATCH(COLUMNS($AC$1006:AS1006),$AC$1006:$AS$1006,0))&gt;=100000), " ",IF(INDEX($AC$2:$AS$1001,MATCH(ROWS($V$2:V73),$V$2:$V$1001,0),MATCH(COLUMNS($AC$1006:AS1006),$AC$1006:$AS$1006,0)), HYPERLINK("#",""), HYPERLINK(CONCATENATE("#Metadata!", ADDRESS(INDEX($X$2:$X$1001,MATCH(ROWS($V$2:V73),$V$2:$V$1001,0),0), INDEX($AC$1004:$AS$1004,1,MATCH(COLUMNS($AC$1006:AS1006),$AC$1006:$AS$1006,0)))),"Fix")))</f>
        <v>0</v>
      </c>
      <c r="V73">
        <v>0</v>
      </c>
      <c r="W73">
        <v>0</v>
      </c>
      <c r="X73">
        <v>0</v>
      </c>
      <c r="Y73">
        <f>IF(Z73,TRUE,AND(AC73:AS73))</f>
        <v>0</v>
      </c>
      <c r="Z73">
        <f>COUNTBLANK(Metadata!B73:R73)=COLUMNS(Metadata!B73:R73)</f>
        <v>0</v>
      </c>
      <c r="AA73">
        <v>0</v>
      </c>
      <c r="AC73">
        <f>AND(IF(Metadata!B73="",FALSE,TRUE),COUNTIF(Metadata!B:B, Metadata!B73) = 1,NOT(ISERROR(SUMPRODUCT(SEARCH(MID(Metadata!B73,ROW(INDIRECT("1:"&amp;LEN(Metadata!B73))), 1),"0123456789abcdefghijklmnopqrstuvwxyzABCDEFGHIJKLMNOPQRSTUVWXYZ.")))))</f>
        <v>0</v>
      </c>
      <c r="AD73">
        <f>AND(IF(Metadata!C73="",FALSE,TRUE),exact(Metadata!C73,"Host-associated"))</f>
        <v>0</v>
      </c>
      <c r="AE73">
        <f>AND(IF(Metadata!D73="",FALSE,TRUE),OR(exact(Metadata!D73,"Animal"),exact(Metadata!D73,"Fungus"),exact(Metadata!D73,"Plant")))</f>
        <v>0</v>
      </c>
      <c r="AF73">
        <f>AND(IF(Metadata!E73="",FALSE,TRUE),OR(exact(Metadata!E73,"Plant secretion"),exact(Metadata!E73,"Plant rhizosphere"),exact(Metadata!E73,"Plant surface"),exact(Metadata!E73,"Plant corpus"),exact(Metadata!E73,"Fungus surface"),exact(Metadata!E73,"Fungus corpus"),exact(Metadata!E73,"Animal surface"),exact(Metadata!E73,"Animal proximal gut"),exact(Metadata!E73,"Animal corpus"),exact(Metadata!E73,"Animal distal gut"),exact(Metadata!E73,"Animal secretion")))</f>
        <v>0</v>
      </c>
      <c r="AG73">
        <f>OR(AND(IF(Metadata!F73="",FALSE,TRUE),OR(exact(Metadata!F73,"not collected"),exact(Metadata!F73,"not provided"),exact(Metadata!F73,"restricted access"))),AND(IF(Metadata!F73="",FALSE,TRUE),OR(exact(Metadata!F73,"organism-associated habitat"),exact(Metadata!F73,"plant-associated habitat"),exact(Metadata!F73,"animal-associated habitat"),exact(Metadata!F73,"insecta-associated habitat"),exact(Metadata!F73,"mammalia-associated habitat"),exact(Metadata!F73,"human-associated habitat"),exact(Metadata!F73,"livestock-associated habitat"))))</f>
        <v>0</v>
      </c>
      <c r="AH73">
        <f>AND(IF(Metadata!G73="",FALSE,TRUE),exact(Metadata!G73,"host-associated"))</f>
        <v>0</v>
      </c>
      <c r="AI73">
        <f>OR(AND(IF(Metadata!H73="",FALSE,TRUE),OR(exact(Metadata!H73,"not collected"),exact(Metadata!H73,"not provided"))),AND(IF(Metadata!H73="",FALSE,ISNUMBER(VALUE(Metadata!H73))),Metadata!H73&gt;0))</f>
        <v>0</v>
      </c>
      <c r="AJ73">
        <f>AND(IF(Metadata!I73="",FALSE,TRUE),exact(Metadata!I73,"years"))</f>
        <v>0</v>
      </c>
      <c r="AK73">
        <f>IF(Metadata!J73="",FALSE,TRUE)</f>
        <v>0</v>
      </c>
      <c r="AL73">
        <f>OR(AND(IF(Metadata!K73="",FALSE,TRUE),OR(exact(Metadata!K73,"not collected"),exact(Metadata!K73,"not provided"))),AND(IF(Metadata!K73="",FALSE,ISNUMBER(VALUE(Metadata!K73))),Metadata!K73&gt;0))</f>
        <v>0</v>
      </c>
      <c r="AM73">
        <f>AND(IF(Metadata!L73="",FALSE,TRUE),exact(Metadata!L73,"cm"))</f>
        <v>0</v>
      </c>
      <c r="AN73">
        <f>IF(Metadata!M73="",FALSE,TRUE)</f>
        <v>0</v>
      </c>
      <c r="AO73">
        <f>OR(AND(IF(Metadata!N73="",FALSE,TRUE),OR(exact(Metadata!N73,"not applicable"),exact(Metadata!N73,"not collected"),exact(Metadata!N73,"not provided"))),AND(IF(Metadata!N73="",FALSE,IF(ISERROR(INT(Metadata!N73)),FALSE,INT(Metadata!N73)=Metadata!N73)),Metadata!N73&gt;0))</f>
        <v>0</v>
      </c>
      <c r="AP73">
        <f>OR(AND(IF(Metadata!O73="",FALSE,TRUE),OR(exact(Metadata!O73,"not collected"),exact(Metadata!O73,"not provided"))),AND(IF(Metadata!O73="",FALSE,ISNUMBER(VALUE(Metadata!O73))),Metadata!O73&gt;0))</f>
        <v>0</v>
      </c>
      <c r="AQ73">
        <f>AND(IF(Metadata!P73="",FALSE,TRUE),exact(Metadata!P73,"kg"))</f>
        <v>0</v>
      </c>
      <c r="AR73">
        <f>OR(AND(IF(Metadata!Q73="",FALSE,TRUE),OR(exact(Metadata!Q73,"not applicable"),exact(Metadata!Q73,"not collected"),exact(Metadata!Q73,"not provided"),exact(Metadata!Q73,"restricted access"))),IF(Metadata!Q73="",FALSE,IF(ISERROR(INT(Metadata!Q73)),FALSE,INT(Metadata!Q73)=Metadata!Q73)))</f>
        <v>0</v>
      </c>
      <c r="AS73">
        <f>AND(IF(Metadata!R73="",FALSE,TRUE),exact(Metadata!R73,"Not applicable"))</f>
        <v>0</v>
      </c>
    </row>
    <row r="74" spans="1:45">
      <c r="A74" s="4">
        <f>IF(B74=" "," ",HYPERLINK(CONCATENATE("#metadata!",ADDRESS(INDEX($X$2:$X$1001,MATCH(ROWS($V$2:V74),$V$2:$V$1001,0),0),2)),INDEX($AA$2:$AA$1001,MATCH(ROWS($V$2:V74),$V$2:$V$1001,0),0)))</f>
        <v>0</v>
      </c>
      <c r="B74" s="5">
        <f>IF(OR(INDEX($W$2:$W$1001,MATCH(ROWS($V$2:V74),$V$2:$V$1001,0),1)&gt;=100000,INDEX($AC$1005:$AS$1005,1,MATCH(COLUMNS($AC$1006:AC1006),$AC$1006:$AS$1006,0))&gt;=100000), " ",IF(INDEX($AC$2:$AS$1001,MATCH(ROWS($V$2:V74),$V$2:$V$1001,0),MATCH(COLUMNS($AC$1006:AC1006),$AC$1006:$AS$1006,0)), HYPERLINK("#",""), HYPERLINK(CONCATENATE("#Metadata!", ADDRESS(INDEX($X$2:$X$1001,MATCH(ROWS($V$2:V74),$V$2:$V$1001,0),0), INDEX($AC$1004:$AS$1004,1,MATCH(COLUMNS($AC$1006:AC1006),$AC$1006:$AS$1006,0)))),"Fix")))</f>
        <v>0</v>
      </c>
      <c r="C74" s="5">
        <f>IF(OR(INDEX($W$2:$W$1001,MATCH(ROWS($V$2:V74),$V$2:$V$1001,0),1)&gt;=100000,INDEX($AC$1005:$AS$1005,1,MATCH(COLUMNS($AC$1006:AD1006),$AC$1006:$AS$1006,0))&gt;=100000), " ",IF(INDEX($AC$2:$AS$1001,MATCH(ROWS($V$2:V74),$V$2:$V$1001,0),MATCH(COLUMNS($AC$1006:AD1006),$AC$1006:$AS$1006,0)), HYPERLINK("#",""), HYPERLINK(CONCATENATE("#Metadata!", ADDRESS(INDEX($X$2:$X$1001,MATCH(ROWS($V$2:V74),$V$2:$V$1001,0),0), INDEX($AC$1004:$AS$1004,1,MATCH(COLUMNS($AC$1006:AD1006),$AC$1006:$AS$1006,0)))),"Fix")))</f>
        <v>0</v>
      </c>
      <c r="D74" s="5">
        <f>IF(OR(INDEX($W$2:$W$1001,MATCH(ROWS($V$2:V74),$V$2:$V$1001,0),1)&gt;=100000,INDEX($AC$1005:$AS$1005,1,MATCH(COLUMNS($AC$1006:AE1006),$AC$1006:$AS$1006,0))&gt;=100000), " ",IF(INDEX($AC$2:$AS$1001,MATCH(ROWS($V$2:V74),$V$2:$V$1001,0),MATCH(COLUMNS($AC$1006:AE1006),$AC$1006:$AS$1006,0)), HYPERLINK("#",""), HYPERLINK(CONCATENATE("#Metadata!", ADDRESS(INDEX($X$2:$X$1001,MATCH(ROWS($V$2:V74),$V$2:$V$1001,0),0), INDEX($AC$1004:$AS$1004,1,MATCH(COLUMNS($AC$1006:AE1006),$AC$1006:$AS$1006,0)))),"Fix")))</f>
        <v>0</v>
      </c>
      <c r="E74" s="5">
        <f>IF(OR(INDEX($W$2:$W$1001,MATCH(ROWS($V$2:V74),$V$2:$V$1001,0),1)&gt;=100000,INDEX($AC$1005:$AS$1005,1,MATCH(COLUMNS($AC$1006:AF1006),$AC$1006:$AS$1006,0))&gt;=100000), " ",IF(INDEX($AC$2:$AS$1001,MATCH(ROWS($V$2:V74),$V$2:$V$1001,0),MATCH(COLUMNS($AC$1006:AF1006),$AC$1006:$AS$1006,0)), HYPERLINK("#",""), HYPERLINK(CONCATENATE("#Metadata!", ADDRESS(INDEX($X$2:$X$1001,MATCH(ROWS($V$2:V74),$V$2:$V$1001,0),0), INDEX($AC$1004:$AS$1004,1,MATCH(COLUMNS($AC$1006:AF1006),$AC$1006:$AS$1006,0)))),"Fix")))</f>
        <v>0</v>
      </c>
      <c r="F74" s="5">
        <f>IF(OR(INDEX($W$2:$W$1001,MATCH(ROWS($V$2:V74),$V$2:$V$1001,0),1)&gt;=100000,INDEX($AC$1005:$AS$1005,1,MATCH(COLUMNS($AC$1006:AG1006),$AC$1006:$AS$1006,0))&gt;=100000), " ",IF(INDEX($AC$2:$AS$1001,MATCH(ROWS($V$2:V74),$V$2:$V$1001,0),MATCH(COLUMNS($AC$1006:AG1006),$AC$1006:$AS$1006,0)), HYPERLINK("#",""), HYPERLINK(CONCATENATE("#Metadata!", ADDRESS(INDEX($X$2:$X$1001,MATCH(ROWS($V$2:V74),$V$2:$V$1001,0),0), INDEX($AC$1004:$AS$1004,1,MATCH(COLUMNS($AC$1006:AG1006),$AC$1006:$AS$1006,0)))),"Fix")))</f>
        <v>0</v>
      </c>
      <c r="G74" s="5">
        <f>IF(OR(INDEX($W$2:$W$1001,MATCH(ROWS($V$2:V74),$V$2:$V$1001,0),1)&gt;=100000,INDEX($AC$1005:$AS$1005,1,MATCH(COLUMNS($AC$1006:AH1006),$AC$1006:$AS$1006,0))&gt;=100000), " ",IF(INDEX($AC$2:$AS$1001,MATCH(ROWS($V$2:V74),$V$2:$V$1001,0),MATCH(COLUMNS($AC$1006:AH1006),$AC$1006:$AS$1006,0)), HYPERLINK("#",""), HYPERLINK(CONCATENATE("#Metadata!", ADDRESS(INDEX($X$2:$X$1001,MATCH(ROWS($V$2:V74),$V$2:$V$1001,0),0), INDEX($AC$1004:$AS$1004,1,MATCH(COLUMNS($AC$1006:AH1006),$AC$1006:$AS$1006,0)))),"Fix")))</f>
        <v>0</v>
      </c>
      <c r="H74" s="5">
        <f>IF(OR(INDEX($W$2:$W$1001,MATCH(ROWS($V$2:V74),$V$2:$V$1001,0),1)&gt;=100000,INDEX($AC$1005:$AS$1005,1,MATCH(COLUMNS($AC$1006:AI1006),$AC$1006:$AS$1006,0))&gt;=100000), " ",IF(INDEX($AC$2:$AS$1001,MATCH(ROWS($V$2:V74),$V$2:$V$1001,0),MATCH(COLUMNS($AC$1006:AI1006),$AC$1006:$AS$1006,0)), HYPERLINK("#",""), HYPERLINK(CONCATENATE("#Metadata!", ADDRESS(INDEX($X$2:$X$1001,MATCH(ROWS($V$2:V74),$V$2:$V$1001,0),0), INDEX($AC$1004:$AS$1004,1,MATCH(COLUMNS($AC$1006:AI1006),$AC$1006:$AS$1006,0)))),"Fix")))</f>
        <v>0</v>
      </c>
      <c r="I74" s="5">
        <f>IF(OR(INDEX($W$2:$W$1001,MATCH(ROWS($V$2:V74),$V$2:$V$1001,0),1)&gt;=100000,INDEX($AC$1005:$AS$1005,1,MATCH(COLUMNS($AC$1006:AJ1006),$AC$1006:$AS$1006,0))&gt;=100000), " ",IF(INDEX($AC$2:$AS$1001,MATCH(ROWS($V$2:V74),$V$2:$V$1001,0),MATCH(COLUMNS($AC$1006:AJ1006),$AC$1006:$AS$1006,0)), HYPERLINK("#",""), HYPERLINK(CONCATENATE("#Metadata!", ADDRESS(INDEX($X$2:$X$1001,MATCH(ROWS($V$2:V74),$V$2:$V$1001,0),0), INDEX($AC$1004:$AS$1004,1,MATCH(COLUMNS($AC$1006:AJ1006),$AC$1006:$AS$1006,0)))),"Fix")))</f>
        <v>0</v>
      </c>
      <c r="J74" s="5">
        <f>IF(OR(INDEX($W$2:$W$1001,MATCH(ROWS($V$2:V74),$V$2:$V$1001,0),1)&gt;=100000,INDEX($AC$1005:$AS$1005,1,MATCH(COLUMNS($AC$1006:AK1006),$AC$1006:$AS$1006,0))&gt;=100000), " ",IF(INDEX($AC$2:$AS$1001,MATCH(ROWS($V$2:V74),$V$2:$V$1001,0),MATCH(COLUMNS($AC$1006:AK1006),$AC$1006:$AS$1006,0)), HYPERLINK("#",""), HYPERLINK(CONCATENATE("#Metadata!", ADDRESS(INDEX($X$2:$X$1001,MATCH(ROWS($V$2:V74),$V$2:$V$1001,0),0), INDEX($AC$1004:$AS$1004,1,MATCH(COLUMNS($AC$1006:AK1006),$AC$1006:$AS$1006,0)))),"Fix")))</f>
        <v>0</v>
      </c>
      <c r="K74" s="5">
        <f>IF(OR(INDEX($W$2:$W$1001,MATCH(ROWS($V$2:V74),$V$2:$V$1001,0),1)&gt;=100000,INDEX($AC$1005:$AS$1005,1,MATCH(COLUMNS($AC$1006:AL1006),$AC$1006:$AS$1006,0))&gt;=100000), " ",IF(INDEX($AC$2:$AS$1001,MATCH(ROWS($V$2:V74),$V$2:$V$1001,0),MATCH(COLUMNS($AC$1006:AL1006),$AC$1006:$AS$1006,0)), HYPERLINK("#",""), HYPERLINK(CONCATENATE("#Metadata!", ADDRESS(INDEX($X$2:$X$1001,MATCH(ROWS($V$2:V74),$V$2:$V$1001,0),0), INDEX($AC$1004:$AS$1004,1,MATCH(COLUMNS($AC$1006:AL1006),$AC$1006:$AS$1006,0)))),"Fix")))</f>
        <v>0</v>
      </c>
      <c r="L74" s="5">
        <f>IF(OR(INDEX($W$2:$W$1001,MATCH(ROWS($V$2:V74),$V$2:$V$1001,0),1)&gt;=100000,INDEX($AC$1005:$AS$1005,1,MATCH(COLUMNS($AC$1006:AM1006),$AC$1006:$AS$1006,0))&gt;=100000), " ",IF(INDEX($AC$2:$AS$1001,MATCH(ROWS($V$2:V74),$V$2:$V$1001,0),MATCH(COLUMNS($AC$1006:AM1006),$AC$1006:$AS$1006,0)), HYPERLINK("#",""), HYPERLINK(CONCATENATE("#Metadata!", ADDRESS(INDEX($X$2:$X$1001,MATCH(ROWS($V$2:V74),$V$2:$V$1001,0),0), INDEX($AC$1004:$AS$1004,1,MATCH(COLUMNS($AC$1006:AM1006),$AC$1006:$AS$1006,0)))),"Fix")))</f>
        <v>0</v>
      </c>
      <c r="M74" s="5">
        <f>IF(OR(INDEX($W$2:$W$1001,MATCH(ROWS($V$2:V74),$V$2:$V$1001,0),1)&gt;=100000,INDEX($AC$1005:$AS$1005,1,MATCH(COLUMNS($AC$1006:AN1006),$AC$1006:$AS$1006,0))&gt;=100000), " ",IF(INDEX($AC$2:$AS$1001,MATCH(ROWS($V$2:V74),$V$2:$V$1001,0),MATCH(COLUMNS($AC$1006:AN1006),$AC$1006:$AS$1006,0)), HYPERLINK("#",""), HYPERLINK(CONCATENATE("#Metadata!", ADDRESS(INDEX($X$2:$X$1001,MATCH(ROWS($V$2:V74),$V$2:$V$1001,0),0), INDEX($AC$1004:$AS$1004,1,MATCH(COLUMNS($AC$1006:AN1006),$AC$1006:$AS$1006,0)))),"Fix")))</f>
        <v>0</v>
      </c>
      <c r="N74" s="5">
        <f>IF(OR(INDEX($W$2:$W$1001,MATCH(ROWS($V$2:V74),$V$2:$V$1001,0),1)&gt;=100000,INDEX($AC$1005:$AS$1005,1,MATCH(COLUMNS($AC$1006:AO1006),$AC$1006:$AS$1006,0))&gt;=100000), " ",IF(INDEX($AC$2:$AS$1001,MATCH(ROWS($V$2:V74),$V$2:$V$1001,0),MATCH(COLUMNS($AC$1006:AO1006),$AC$1006:$AS$1006,0)), HYPERLINK("#",""), HYPERLINK(CONCATENATE("#Metadata!", ADDRESS(INDEX($X$2:$X$1001,MATCH(ROWS($V$2:V74),$V$2:$V$1001,0),0), INDEX($AC$1004:$AS$1004,1,MATCH(COLUMNS($AC$1006:AO1006),$AC$1006:$AS$1006,0)))),"Fix")))</f>
        <v>0</v>
      </c>
      <c r="O74" s="5">
        <f>IF(OR(INDEX($W$2:$W$1001,MATCH(ROWS($V$2:V74),$V$2:$V$1001,0),1)&gt;=100000,INDEX($AC$1005:$AS$1005,1,MATCH(COLUMNS($AC$1006:AP1006),$AC$1006:$AS$1006,0))&gt;=100000), " ",IF(INDEX($AC$2:$AS$1001,MATCH(ROWS($V$2:V74),$V$2:$V$1001,0),MATCH(COLUMNS($AC$1006:AP1006),$AC$1006:$AS$1006,0)), HYPERLINK("#",""), HYPERLINK(CONCATENATE("#Metadata!", ADDRESS(INDEX($X$2:$X$1001,MATCH(ROWS($V$2:V74),$V$2:$V$1001,0),0), INDEX($AC$1004:$AS$1004,1,MATCH(COLUMNS($AC$1006:AP1006),$AC$1006:$AS$1006,0)))),"Fix")))</f>
        <v>0</v>
      </c>
      <c r="P74" s="5">
        <f>IF(OR(INDEX($W$2:$W$1001,MATCH(ROWS($V$2:V74),$V$2:$V$1001,0),1)&gt;=100000,INDEX($AC$1005:$AS$1005,1,MATCH(COLUMNS($AC$1006:AQ1006),$AC$1006:$AS$1006,0))&gt;=100000), " ",IF(INDEX($AC$2:$AS$1001,MATCH(ROWS($V$2:V74),$V$2:$V$1001,0),MATCH(COLUMNS($AC$1006:AQ1006),$AC$1006:$AS$1006,0)), HYPERLINK("#",""), HYPERLINK(CONCATENATE("#Metadata!", ADDRESS(INDEX($X$2:$X$1001,MATCH(ROWS($V$2:V74),$V$2:$V$1001,0),0), INDEX($AC$1004:$AS$1004,1,MATCH(COLUMNS($AC$1006:AQ1006),$AC$1006:$AS$1006,0)))),"Fix")))</f>
        <v>0</v>
      </c>
      <c r="Q74" s="5">
        <f>IF(OR(INDEX($W$2:$W$1001,MATCH(ROWS($V$2:V74),$V$2:$V$1001,0),1)&gt;=100000,INDEX($AC$1005:$AS$1005,1,MATCH(COLUMNS($AC$1006:AR1006),$AC$1006:$AS$1006,0))&gt;=100000), " ",IF(INDEX($AC$2:$AS$1001,MATCH(ROWS($V$2:V74),$V$2:$V$1001,0),MATCH(COLUMNS($AC$1006:AR1006),$AC$1006:$AS$1006,0)), HYPERLINK("#",""), HYPERLINK(CONCATENATE("#Metadata!", ADDRESS(INDEX($X$2:$X$1001,MATCH(ROWS($V$2:V74),$V$2:$V$1001,0),0), INDEX($AC$1004:$AS$1004,1,MATCH(COLUMNS($AC$1006:AR1006),$AC$1006:$AS$1006,0)))),"Fix")))</f>
        <v>0</v>
      </c>
      <c r="R74" s="5">
        <f>IF(OR(INDEX($W$2:$W$1001,MATCH(ROWS($V$2:V74),$V$2:$V$1001,0),1)&gt;=100000,INDEX($AC$1005:$AS$1005,1,MATCH(COLUMNS($AC$1006:AS1006),$AC$1006:$AS$1006,0))&gt;=100000), " ",IF(INDEX($AC$2:$AS$1001,MATCH(ROWS($V$2:V74),$V$2:$V$1001,0),MATCH(COLUMNS($AC$1006:AS1006),$AC$1006:$AS$1006,0)), HYPERLINK("#",""), HYPERLINK(CONCATENATE("#Metadata!", ADDRESS(INDEX($X$2:$X$1001,MATCH(ROWS($V$2:V74),$V$2:$V$1001,0),0), INDEX($AC$1004:$AS$1004,1,MATCH(COLUMNS($AC$1006:AS1006),$AC$1006:$AS$1006,0)))),"Fix")))</f>
        <v>0</v>
      </c>
      <c r="V74">
        <v>0</v>
      </c>
      <c r="W74">
        <v>0</v>
      </c>
      <c r="X74">
        <v>0</v>
      </c>
      <c r="Y74">
        <f>IF(Z74,TRUE,AND(AC74:AS74))</f>
        <v>0</v>
      </c>
      <c r="Z74">
        <f>COUNTBLANK(Metadata!B74:R74)=COLUMNS(Metadata!B74:R74)</f>
        <v>0</v>
      </c>
      <c r="AA74">
        <v>0</v>
      </c>
      <c r="AC74">
        <f>AND(IF(Metadata!B74="",FALSE,TRUE),COUNTIF(Metadata!B:B, Metadata!B74) = 1,NOT(ISERROR(SUMPRODUCT(SEARCH(MID(Metadata!B74,ROW(INDIRECT("1:"&amp;LEN(Metadata!B74))), 1),"0123456789abcdefghijklmnopqrstuvwxyzABCDEFGHIJKLMNOPQRSTUVWXYZ.")))))</f>
        <v>0</v>
      </c>
      <c r="AD74">
        <f>AND(IF(Metadata!C74="",FALSE,TRUE),exact(Metadata!C74,"Host-associated"))</f>
        <v>0</v>
      </c>
      <c r="AE74">
        <f>AND(IF(Metadata!D74="",FALSE,TRUE),OR(exact(Metadata!D74,"Animal"),exact(Metadata!D74,"Fungus"),exact(Metadata!D74,"Plant")))</f>
        <v>0</v>
      </c>
      <c r="AF74">
        <f>AND(IF(Metadata!E74="",FALSE,TRUE),OR(exact(Metadata!E74,"Plant secretion"),exact(Metadata!E74,"Plant rhizosphere"),exact(Metadata!E74,"Plant surface"),exact(Metadata!E74,"Plant corpus"),exact(Metadata!E74,"Fungus surface"),exact(Metadata!E74,"Fungus corpus"),exact(Metadata!E74,"Animal surface"),exact(Metadata!E74,"Animal proximal gut"),exact(Metadata!E74,"Animal corpus"),exact(Metadata!E74,"Animal distal gut"),exact(Metadata!E74,"Animal secretion")))</f>
        <v>0</v>
      </c>
      <c r="AG74">
        <f>OR(AND(IF(Metadata!F74="",FALSE,TRUE),OR(exact(Metadata!F74,"not collected"),exact(Metadata!F74,"not provided"),exact(Metadata!F74,"restricted access"))),AND(IF(Metadata!F74="",FALSE,TRUE),OR(exact(Metadata!F74,"organism-associated habitat"),exact(Metadata!F74,"plant-associated habitat"),exact(Metadata!F74,"animal-associated habitat"),exact(Metadata!F74,"insecta-associated habitat"),exact(Metadata!F74,"mammalia-associated habitat"),exact(Metadata!F74,"human-associated habitat"),exact(Metadata!F74,"livestock-associated habitat"))))</f>
        <v>0</v>
      </c>
      <c r="AH74">
        <f>AND(IF(Metadata!G74="",FALSE,TRUE),exact(Metadata!G74,"host-associated"))</f>
        <v>0</v>
      </c>
      <c r="AI74">
        <f>OR(AND(IF(Metadata!H74="",FALSE,TRUE),OR(exact(Metadata!H74,"not collected"),exact(Metadata!H74,"not provided"))),AND(IF(Metadata!H74="",FALSE,ISNUMBER(VALUE(Metadata!H74))),Metadata!H74&gt;0))</f>
        <v>0</v>
      </c>
      <c r="AJ74">
        <f>AND(IF(Metadata!I74="",FALSE,TRUE),exact(Metadata!I74,"years"))</f>
        <v>0</v>
      </c>
      <c r="AK74">
        <f>IF(Metadata!J74="",FALSE,TRUE)</f>
        <v>0</v>
      </c>
      <c r="AL74">
        <f>OR(AND(IF(Metadata!K74="",FALSE,TRUE),OR(exact(Metadata!K74,"not collected"),exact(Metadata!K74,"not provided"))),AND(IF(Metadata!K74="",FALSE,ISNUMBER(VALUE(Metadata!K74))),Metadata!K74&gt;0))</f>
        <v>0</v>
      </c>
      <c r="AM74">
        <f>AND(IF(Metadata!L74="",FALSE,TRUE),exact(Metadata!L74,"cm"))</f>
        <v>0</v>
      </c>
      <c r="AN74">
        <f>IF(Metadata!M74="",FALSE,TRUE)</f>
        <v>0</v>
      </c>
      <c r="AO74">
        <f>OR(AND(IF(Metadata!N74="",FALSE,TRUE),OR(exact(Metadata!N74,"not applicable"),exact(Metadata!N74,"not collected"),exact(Metadata!N74,"not provided"))),AND(IF(Metadata!N74="",FALSE,IF(ISERROR(INT(Metadata!N74)),FALSE,INT(Metadata!N74)=Metadata!N74)),Metadata!N74&gt;0))</f>
        <v>0</v>
      </c>
      <c r="AP74">
        <f>OR(AND(IF(Metadata!O74="",FALSE,TRUE),OR(exact(Metadata!O74,"not collected"),exact(Metadata!O74,"not provided"))),AND(IF(Metadata!O74="",FALSE,ISNUMBER(VALUE(Metadata!O74))),Metadata!O74&gt;0))</f>
        <v>0</v>
      </c>
      <c r="AQ74">
        <f>AND(IF(Metadata!P74="",FALSE,TRUE),exact(Metadata!P74,"kg"))</f>
        <v>0</v>
      </c>
      <c r="AR74">
        <f>OR(AND(IF(Metadata!Q74="",FALSE,TRUE),OR(exact(Metadata!Q74,"not applicable"),exact(Metadata!Q74,"not collected"),exact(Metadata!Q74,"not provided"),exact(Metadata!Q74,"restricted access"))),IF(Metadata!Q74="",FALSE,IF(ISERROR(INT(Metadata!Q74)),FALSE,INT(Metadata!Q74)=Metadata!Q74)))</f>
        <v>0</v>
      </c>
      <c r="AS74">
        <f>AND(IF(Metadata!R74="",FALSE,TRUE),exact(Metadata!R74,"Not applicable"))</f>
        <v>0</v>
      </c>
    </row>
    <row r="75" spans="1:45">
      <c r="A75" s="4">
        <f>IF(B75=" "," ",HYPERLINK(CONCATENATE("#metadata!",ADDRESS(INDEX($X$2:$X$1001,MATCH(ROWS($V$2:V75),$V$2:$V$1001,0),0),2)),INDEX($AA$2:$AA$1001,MATCH(ROWS($V$2:V75),$V$2:$V$1001,0),0)))</f>
        <v>0</v>
      </c>
      <c r="B75" s="5">
        <f>IF(OR(INDEX($W$2:$W$1001,MATCH(ROWS($V$2:V75),$V$2:$V$1001,0),1)&gt;=100000,INDEX($AC$1005:$AS$1005,1,MATCH(COLUMNS($AC$1006:AC1006),$AC$1006:$AS$1006,0))&gt;=100000), " ",IF(INDEX($AC$2:$AS$1001,MATCH(ROWS($V$2:V75),$V$2:$V$1001,0),MATCH(COLUMNS($AC$1006:AC1006),$AC$1006:$AS$1006,0)), HYPERLINK("#",""), HYPERLINK(CONCATENATE("#Metadata!", ADDRESS(INDEX($X$2:$X$1001,MATCH(ROWS($V$2:V75),$V$2:$V$1001,0),0), INDEX($AC$1004:$AS$1004,1,MATCH(COLUMNS($AC$1006:AC1006),$AC$1006:$AS$1006,0)))),"Fix")))</f>
        <v>0</v>
      </c>
      <c r="C75" s="5">
        <f>IF(OR(INDEX($W$2:$W$1001,MATCH(ROWS($V$2:V75),$V$2:$V$1001,0),1)&gt;=100000,INDEX($AC$1005:$AS$1005,1,MATCH(COLUMNS($AC$1006:AD1006),$AC$1006:$AS$1006,0))&gt;=100000), " ",IF(INDEX($AC$2:$AS$1001,MATCH(ROWS($V$2:V75),$V$2:$V$1001,0),MATCH(COLUMNS($AC$1006:AD1006),$AC$1006:$AS$1006,0)), HYPERLINK("#",""), HYPERLINK(CONCATENATE("#Metadata!", ADDRESS(INDEX($X$2:$X$1001,MATCH(ROWS($V$2:V75),$V$2:$V$1001,0),0), INDEX($AC$1004:$AS$1004,1,MATCH(COLUMNS($AC$1006:AD1006),$AC$1006:$AS$1006,0)))),"Fix")))</f>
        <v>0</v>
      </c>
      <c r="D75" s="5">
        <f>IF(OR(INDEX($W$2:$W$1001,MATCH(ROWS($V$2:V75),$V$2:$V$1001,0),1)&gt;=100000,INDEX($AC$1005:$AS$1005,1,MATCH(COLUMNS($AC$1006:AE1006),$AC$1006:$AS$1006,0))&gt;=100000), " ",IF(INDEX($AC$2:$AS$1001,MATCH(ROWS($V$2:V75),$V$2:$V$1001,0),MATCH(COLUMNS($AC$1006:AE1006),$AC$1006:$AS$1006,0)), HYPERLINK("#",""), HYPERLINK(CONCATENATE("#Metadata!", ADDRESS(INDEX($X$2:$X$1001,MATCH(ROWS($V$2:V75),$V$2:$V$1001,0),0), INDEX($AC$1004:$AS$1004,1,MATCH(COLUMNS($AC$1006:AE1006),$AC$1006:$AS$1006,0)))),"Fix")))</f>
        <v>0</v>
      </c>
      <c r="E75" s="5">
        <f>IF(OR(INDEX($W$2:$W$1001,MATCH(ROWS($V$2:V75),$V$2:$V$1001,0),1)&gt;=100000,INDEX($AC$1005:$AS$1005,1,MATCH(COLUMNS($AC$1006:AF1006),$AC$1006:$AS$1006,0))&gt;=100000), " ",IF(INDEX($AC$2:$AS$1001,MATCH(ROWS($V$2:V75),$V$2:$V$1001,0),MATCH(COLUMNS($AC$1006:AF1006),$AC$1006:$AS$1006,0)), HYPERLINK("#",""), HYPERLINK(CONCATENATE("#Metadata!", ADDRESS(INDEX($X$2:$X$1001,MATCH(ROWS($V$2:V75),$V$2:$V$1001,0),0), INDEX($AC$1004:$AS$1004,1,MATCH(COLUMNS($AC$1006:AF1006),$AC$1006:$AS$1006,0)))),"Fix")))</f>
        <v>0</v>
      </c>
      <c r="F75" s="5">
        <f>IF(OR(INDEX($W$2:$W$1001,MATCH(ROWS($V$2:V75),$V$2:$V$1001,0),1)&gt;=100000,INDEX($AC$1005:$AS$1005,1,MATCH(COLUMNS($AC$1006:AG1006),$AC$1006:$AS$1006,0))&gt;=100000), " ",IF(INDEX($AC$2:$AS$1001,MATCH(ROWS($V$2:V75),$V$2:$V$1001,0),MATCH(COLUMNS($AC$1006:AG1006),$AC$1006:$AS$1006,0)), HYPERLINK("#",""), HYPERLINK(CONCATENATE("#Metadata!", ADDRESS(INDEX($X$2:$X$1001,MATCH(ROWS($V$2:V75),$V$2:$V$1001,0),0), INDEX($AC$1004:$AS$1004,1,MATCH(COLUMNS($AC$1006:AG1006),$AC$1006:$AS$1006,0)))),"Fix")))</f>
        <v>0</v>
      </c>
      <c r="G75" s="5">
        <f>IF(OR(INDEX($W$2:$W$1001,MATCH(ROWS($V$2:V75),$V$2:$V$1001,0),1)&gt;=100000,INDEX($AC$1005:$AS$1005,1,MATCH(COLUMNS($AC$1006:AH1006),$AC$1006:$AS$1006,0))&gt;=100000), " ",IF(INDEX($AC$2:$AS$1001,MATCH(ROWS($V$2:V75),$V$2:$V$1001,0),MATCH(COLUMNS($AC$1006:AH1006),$AC$1006:$AS$1006,0)), HYPERLINK("#",""), HYPERLINK(CONCATENATE("#Metadata!", ADDRESS(INDEX($X$2:$X$1001,MATCH(ROWS($V$2:V75),$V$2:$V$1001,0),0), INDEX($AC$1004:$AS$1004,1,MATCH(COLUMNS($AC$1006:AH1006),$AC$1006:$AS$1006,0)))),"Fix")))</f>
        <v>0</v>
      </c>
      <c r="H75" s="5">
        <f>IF(OR(INDEX($W$2:$W$1001,MATCH(ROWS($V$2:V75),$V$2:$V$1001,0),1)&gt;=100000,INDEX($AC$1005:$AS$1005,1,MATCH(COLUMNS($AC$1006:AI1006),$AC$1006:$AS$1006,0))&gt;=100000), " ",IF(INDEX($AC$2:$AS$1001,MATCH(ROWS($V$2:V75),$V$2:$V$1001,0),MATCH(COLUMNS($AC$1006:AI1006),$AC$1006:$AS$1006,0)), HYPERLINK("#",""), HYPERLINK(CONCATENATE("#Metadata!", ADDRESS(INDEX($X$2:$X$1001,MATCH(ROWS($V$2:V75),$V$2:$V$1001,0),0), INDEX($AC$1004:$AS$1004,1,MATCH(COLUMNS($AC$1006:AI1006),$AC$1006:$AS$1006,0)))),"Fix")))</f>
        <v>0</v>
      </c>
      <c r="I75" s="5">
        <f>IF(OR(INDEX($W$2:$W$1001,MATCH(ROWS($V$2:V75),$V$2:$V$1001,0),1)&gt;=100000,INDEX($AC$1005:$AS$1005,1,MATCH(COLUMNS($AC$1006:AJ1006),$AC$1006:$AS$1006,0))&gt;=100000), " ",IF(INDEX($AC$2:$AS$1001,MATCH(ROWS($V$2:V75),$V$2:$V$1001,0),MATCH(COLUMNS($AC$1006:AJ1006),$AC$1006:$AS$1006,0)), HYPERLINK("#",""), HYPERLINK(CONCATENATE("#Metadata!", ADDRESS(INDEX($X$2:$X$1001,MATCH(ROWS($V$2:V75),$V$2:$V$1001,0),0), INDEX($AC$1004:$AS$1004,1,MATCH(COLUMNS($AC$1006:AJ1006),$AC$1006:$AS$1006,0)))),"Fix")))</f>
        <v>0</v>
      </c>
      <c r="J75" s="5">
        <f>IF(OR(INDEX($W$2:$W$1001,MATCH(ROWS($V$2:V75),$V$2:$V$1001,0),1)&gt;=100000,INDEX($AC$1005:$AS$1005,1,MATCH(COLUMNS($AC$1006:AK1006),$AC$1006:$AS$1006,0))&gt;=100000), " ",IF(INDEX($AC$2:$AS$1001,MATCH(ROWS($V$2:V75),$V$2:$V$1001,0),MATCH(COLUMNS($AC$1006:AK1006),$AC$1006:$AS$1006,0)), HYPERLINK("#",""), HYPERLINK(CONCATENATE("#Metadata!", ADDRESS(INDEX($X$2:$X$1001,MATCH(ROWS($V$2:V75),$V$2:$V$1001,0),0), INDEX($AC$1004:$AS$1004,1,MATCH(COLUMNS($AC$1006:AK1006),$AC$1006:$AS$1006,0)))),"Fix")))</f>
        <v>0</v>
      </c>
      <c r="K75" s="5">
        <f>IF(OR(INDEX($W$2:$W$1001,MATCH(ROWS($V$2:V75),$V$2:$V$1001,0),1)&gt;=100000,INDEX($AC$1005:$AS$1005,1,MATCH(COLUMNS($AC$1006:AL1006),$AC$1006:$AS$1006,0))&gt;=100000), " ",IF(INDEX($AC$2:$AS$1001,MATCH(ROWS($V$2:V75),$V$2:$V$1001,0),MATCH(COLUMNS($AC$1006:AL1006),$AC$1006:$AS$1006,0)), HYPERLINK("#",""), HYPERLINK(CONCATENATE("#Metadata!", ADDRESS(INDEX($X$2:$X$1001,MATCH(ROWS($V$2:V75),$V$2:$V$1001,0),0), INDEX($AC$1004:$AS$1004,1,MATCH(COLUMNS($AC$1006:AL1006),$AC$1006:$AS$1006,0)))),"Fix")))</f>
        <v>0</v>
      </c>
      <c r="L75" s="5">
        <f>IF(OR(INDEX($W$2:$W$1001,MATCH(ROWS($V$2:V75),$V$2:$V$1001,0),1)&gt;=100000,INDEX($AC$1005:$AS$1005,1,MATCH(COLUMNS($AC$1006:AM1006),$AC$1006:$AS$1006,0))&gt;=100000), " ",IF(INDEX($AC$2:$AS$1001,MATCH(ROWS($V$2:V75),$V$2:$V$1001,0),MATCH(COLUMNS($AC$1006:AM1006),$AC$1006:$AS$1006,0)), HYPERLINK("#",""), HYPERLINK(CONCATENATE("#Metadata!", ADDRESS(INDEX($X$2:$X$1001,MATCH(ROWS($V$2:V75),$V$2:$V$1001,0),0), INDEX($AC$1004:$AS$1004,1,MATCH(COLUMNS($AC$1006:AM1006),$AC$1006:$AS$1006,0)))),"Fix")))</f>
        <v>0</v>
      </c>
      <c r="M75" s="5">
        <f>IF(OR(INDEX($W$2:$W$1001,MATCH(ROWS($V$2:V75),$V$2:$V$1001,0),1)&gt;=100000,INDEX($AC$1005:$AS$1005,1,MATCH(COLUMNS($AC$1006:AN1006),$AC$1006:$AS$1006,0))&gt;=100000), " ",IF(INDEX($AC$2:$AS$1001,MATCH(ROWS($V$2:V75),$V$2:$V$1001,0),MATCH(COLUMNS($AC$1006:AN1006),$AC$1006:$AS$1006,0)), HYPERLINK("#",""), HYPERLINK(CONCATENATE("#Metadata!", ADDRESS(INDEX($X$2:$X$1001,MATCH(ROWS($V$2:V75),$V$2:$V$1001,0),0), INDEX($AC$1004:$AS$1004,1,MATCH(COLUMNS($AC$1006:AN1006),$AC$1006:$AS$1006,0)))),"Fix")))</f>
        <v>0</v>
      </c>
      <c r="N75" s="5">
        <f>IF(OR(INDEX($W$2:$W$1001,MATCH(ROWS($V$2:V75),$V$2:$V$1001,0),1)&gt;=100000,INDEX($AC$1005:$AS$1005,1,MATCH(COLUMNS($AC$1006:AO1006),$AC$1006:$AS$1006,0))&gt;=100000), " ",IF(INDEX($AC$2:$AS$1001,MATCH(ROWS($V$2:V75),$V$2:$V$1001,0),MATCH(COLUMNS($AC$1006:AO1006),$AC$1006:$AS$1006,0)), HYPERLINK("#",""), HYPERLINK(CONCATENATE("#Metadata!", ADDRESS(INDEX($X$2:$X$1001,MATCH(ROWS($V$2:V75),$V$2:$V$1001,0),0), INDEX($AC$1004:$AS$1004,1,MATCH(COLUMNS($AC$1006:AO1006),$AC$1006:$AS$1006,0)))),"Fix")))</f>
        <v>0</v>
      </c>
      <c r="O75" s="5">
        <f>IF(OR(INDEX($W$2:$W$1001,MATCH(ROWS($V$2:V75),$V$2:$V$1001,0),1)&gt;=100000,INDEX($AC$1005:$AS$1005,1,MATCH(COLUMNS($AC$1006:AP1006),$AC$1006:$AS$1006,0))&gt;=100000), " ",IF(INDEX($AC$2:$AS$1001,MATCH(ROWS($V$2:V75),$V$2:$V$1001,0),MATCH(COLUMNS($AC$1006:AP1006),$AC$1006:$AS$1006,0)), HYPERLINK("#",""), HYPERLINK(CONCATENATE("#Metadata!", ADDRESS(INDEX($X$2:$X$1001,MATCH(ROWS($V$2:V75),$V$2:$V$1001,0),0), INDEX($AC$1004:$AS$1004,1,MATCH(COLUMNS($AC$1006:AP1006),$AC$1006:$AS$1006,0)))),"Fix")))</f>
        <v>0</v>
      </c>
      <c r="P75" s="5">
        <f>IF(OR(INDEX($W$2:$W$1001,MATCH(ROWS($V$2:V75),$V$2:$V$1001,0),1)&gt;=100000,INDEX($AC$1005:$AS$1005,1,MATCH(COLUMNS($AC$1006:AQ1006),$AC$1006:$AS$1006,0))&gt;=100000), " ",IF(INDEX($AC$2:$AS$1001,MATCH(ROWS($V$2:V75),$V$2:$V$1001,0),MATCH(COLUMNS($AC$1006:AQ1006),$AC$1006:$AS$1006,0)), HYPERLINK("#",""), HYPERLINK(CONCATENATE("#Metadata!", ADDRESS(INDEX($X$2:$X$1001,MATCH(ROWS($V$2:V75),$V$2:$V$1001,0),0), INDEX($AC$1004:$AS$1004,1,MATCH(COLUMNS($AC$1006:AQ1006),$AC$1006:$AS$1006,0)))),"Fix")))</f>
        <v>0</v>
      </c>
      <c r="Q75" s="5">
        <f>IF(OR(INDEX($W$2:$W$1001,MATCH(ROWS($V$2:V75),$V$2:$V$1001,0),1)&gt;=100000,INDEX($AC$1005:$AS$1005,1,MATCH(COLUMNS($AC$1006:AR1006),$AC$1006:$AS$1006,0))&gt;=100000), " ",IF(INDEX($AC$2:$AS$1001,MATCH(ROWS($V$2:V75),$V$2:$V$1001,0),MATCH(COLUMNS($AC$1006:AR1006),$AC$1006:$AS$1006,0)), HYPERLINK("#",""), HYPERLINK(CONCATENATE("#Metadata!", ADDRESS(INDEX($X$2:$X$1001,MATCH(ROWS($V$2:V75),$V$2:$V$1001,0),0), INDEX($AC$1004:$AS$1004,1,MATCH(COLUMNS($AC$1006:AR1006),$AC$1006:$AS$1006,0)))),"Fix")))</f>
        <v>0</v>
      </c>
      <c r="R75" s="5">
        <f>IF(OR(INDEX($W$2:$W$1001,MATCH(ROWS($V$2:V75),$V$2:$V$1001,0),1)&gt;=100000,INDEX($AC$1005:$AS$1005,1,MATCH(COLUMNS($AC$1006:AS1006),$AC$1006:$AS$1006,0))&gt;=100000), " ",IF(INDEX($AC$2:$AS$1001,MATCH(ROWS($V$2:V75),$V$2:$V$1001,0),MATCH(COLUMNS($AC$1006:AS1006),$AC$1006:$AS$1006,0)), HYPERLINK("#",""), HYPERLINK(CONCATENATE("#Metadata!", ADDRESS(INDEX($X$2:$X$1001,MATCH(ROWS($V$2:V75),$V$2:$V$1001,0),0), INDEX($AC$1004:$AS$1004,1,MATCH(COLUMNS($AC$1006:AS1006),$AC$1006:$AS$1006,0)))),"Fix")))</f>
        <v>0</v>
      </c>
      <c r="V75">
        <v>0</v>
      </c>
      <c r="W75">
        <v>0</v>
      </c>
      <c r="X75">
        <v>0</v>
      </c>
      <c r="Y75">
        <f>IF(Z75,TRUE,AND(AC75:AS75))</f>
        <v>0</v>
      </c>
      <c r="Z75">
        <f>COUNTBLANK(Metadata!B75:R75)=COLUMNS(Metadata!B75:R75)</f>
        <v>0</v>
      </c>
      <c r="AA75">
        <v>0</v>
      </c>
      <c r="AC75">
        <f>AND(IF(Metadata!B75="",FALSE,TRUE),COUNTIF(Metadata!B:B, Metadata!B75) = 1,NOT(ISERROR(SUMPRODUCT(SEARCH(MID(Metadata!B75,ROW(INDIRECT("1:"&amp;LEN(Metadata!B75))), 1),"0123456789abcdefghijklmnopqrstuvwxyzABCDEFGHIJKLMNOPQRSTUVWXYZ.")))))</f>
        <v>0</v>
      </c>
      <c r="AD75">
        <f>AND(IF(Metadata!C75="",FALSE,TRUE),exact(Metadata!C75,"Host-associated"))</f>
        <v>0</v>
      </c>
      <c r="AE75">
        <f>AND(IF(Metadata!D75="",FALSE,TRUE),OR(exact(Metadata!D75,"Animal"),exact(Metadata!D75,"Fungus"),exact(Metadata!D75,"Plant")))</f>
        <v>0</v>
      </c>
      <c r="AF75">
        <f>AND(IF(Metadata!E75="",FALSE,TRUE),OR(exact(Metadata!E75,"Plant secretion"),exact(Metadata!E75,"Plant rhizosphere"),exact(Metadata!E75,"Plant surface"),exact(Metadata!E75,"Plant corpus"),exact(Metadata!E75,"Fungus surface"),exact(Metadata!E75,"Fungus corpus"),exact(Metadata!E75,"Animal surface"),exact(Metadata!E75,"Animal proximal gut"),exact(Metadata!E75,"Animal corpus"),exact(Metadata!E75,"Animal distal gut"),exact(Metadata!E75,"Animal secretion")))</f>
        <v>0</v>
      </c>
      <c r="AG75">
        <f>OR(AND(IF(Metadata!F75="",FALSE,TRUE),OR(exact(Metadata!F75,"not collected"),exact(Metadata!F75,"not provided"),exact(Metadata!F75,"restricted access"))),AND(IF(Metadata!F75="",FALSE,TRUE),OR(exact(Metadata!F75,"organism-associated habitat"),exact(Metadata!F75,"plant-associated habitat"),exact(Metadata!F75,"animal-associated habitat"),exact(Metadata!F75,"insecta-associated habitat"),exact(Metadata!F75,"mammalia-associated habitat"),exact(Metadata!F75,"human-associated habitat"),exact(Metadata!F75,"livestock-associated habitat"))))</f>
        <v>0</v>
      </c>
      <c r="AH75">
        <f>AND(IF(Metadata!G75="",FALSE,TRUE),exact(Metadata!G75,"host-associated"))</f>
        <v>0</v>
      </c>
      <c r="AI75">
        <f>OR(AND(IF(Metadata!H75="",FALSE,TRUE),OR(exact(Metadata!H75,"not collected"),exact(Metadata!H75,"not provided"))),AND(IF(Metadata!H75="",FALSE,ISNUMBER(VALUE(Metadata!H75))),Metadata!H75&gt;0))</f>
        <v>0</v>
      </c>
      <c r="AJ75">
        <f>AND(IF(Metadata!I75="",FALSE,TRUE),exact(Metadata!I75,"years"))</f>
        <v>0</v>
      </c>
      <c r="AK75">
        <f>IF(Metadata!J75="",FALSE,TRUE)</f>
        <v>0</v>
      </c>
      <c r="AL75">
        <f>OR(AND(IF(Metadata!K75="",FALSE,TRUE),OR(exact(Metadata!K75,"not collected"),exact(Metadata!K75,"not provided"))),AND(IF(Metadata!K75="",FALSE,ISNUMBER(VALUE(Metadata!K75))),Metadata!K75&gt;0))</f>
        <v>0</v>
      </c>
      <c r="AM75">
        <f>AND(IF(Metadata!L75="",FALSE,TRUE),exact(Metadata!L75,"cm"))</f>
        <v>0</v>
      </c>
      <c r="AN75">
        <f>IF(Metadata!M75="",FALSE,TRUE)</f>
        <v>0</v>
      </c>
      <c r="AO75">
        <f>OR(AND(IF(Metadata!N75="",FALSE,TRUE),OR(exact(Metadata!N75,"not applicable"),exact(Metadata!N75,"not collected"),exact(Metadata!N75,"not provided"))),AND(IF(Metadata!N75="",FALSE,IF(ISERROR(INT(Metadata!N75)),FALSE,INT(Metadata!N75)=Metadata!N75)),Metadata!N75&gt;0))</f>
        <v>0</v>
      </c>
      <c r="AP75">
        <f>OR(AND(IF(Metadata!O75="",FALSE,TRUE),OR(exact(Metadata!O75,"not collected"),exact(Metadata!O75,"not provided"))),AND(IF(Metadata!O75="",FALSE,ISNUMBER(VALUE(Metadata!O75))),Metadata!O75&gt;0))</f>
        <v>0</v>
      </c>
      <c r="AQ75">
        <f>AND(IF(Metadata!P75="",FALSE,TRUE),exact(Metadata!P75,"kg"))</f>
        <v>0</v>
      </c>
      <c r="AR75">
        <f>OR(AND(IF(Metadata!Q75="",FALSE,TRUE),OR(exact(Metadata!Q75,"not applicable"),exact(Metadata!Q75,"not collected"),exact(Metadata!Q75,"not provided"),exact(Metadata!Q75,"restricted access"))),IF(Metadata!Q75="",FALSE,IF(ISERROR(INT(Metadata!Q75)),FALSE,INT(Metadata!Q75)=Metadata!Q75)))</f>
        <v>0</v>
      </c>
      <c r="AS75">
        <f>AND(IF(Metadata!R75="",FALSE,TRUE),exact(Metadata!R75,"Not applicable"))</f>
        <v>0</v>
      </c>
    </row>
    <row r="76" spans="1:45">
      <c r="A76" s="4">
        <f>IF(B76=" "," ",HYPERLINK(CONCATENATE("#metadata!",ADDRESS(INDEX($X$2:$X$1001,MATCH(ROWS($V$2:V76),$V$2:$V$1001,0),0),2)),INDEX($AA$2:$AA$1001,MATCH(ROWS($V$2:V76),$V$2:$V$1001,0),0)))</f>
        <v>0</v>
      </c>
      <c r="B76" s="5">
        <f>IF(OR(INDEX($W$2:$W$1001,MATCH(ROWS($V$2:V76),$V$2:$V$1001,0),1)&gt;=100000,INDEX($AC$1005:$AS$1005,1,MATCH(COLUMNS($AC$1006:AC1006),$AC$1006:$AS$1006,0))&gt;=100000), " ",IF(INDEX($AC$2:$AS$1001,MATCH(ROWS($V$2:V76),$V$2:$V$1001,0),MATCH(COLUMNS($AC$1006:AC1006),$AC$1006:$AS$1006,0)), HYPERLINK("#",""), HYPERLINK(CONCATENATE("#Metadata!", ADDRESS(INDEX($X$2:$X$1001,MATCH(ROWS($V$2:V76),$V$2:$V$1001,0),0), INDEX($AC$1004:$AS$1004,1,MATCH(COLUMNS($AC$1006:AC1006),$AC$1006:$AS$1006,0)))),"Fix")))</f>
        <v>0</v>
      </c>
      <c r="C76" s="5">
        <f>IF(OR(INDEX($W$2:$W$1001,MATCH(ROWS($V$2:V76),$V$2:$V$1001,0),1)&gt;=100000,INDEX($AC$1005:$AS$1005,1,MATCH(COLUMNS($AC$1006:AD1006),$AC$1006:$AS$1006,0))&gt;=100000), " ",IF(INDEX($AC$2:$AS$1001,MATCH(ROWS($V$2:V76),$V$2:$V$1001,0),MATCH(COLUMNS($AC$1006:AD1006),$AC$1006:$AS$1006,0)), HYPERLINK("#",""), HYPERLINK(CONCATENATE("#Metadata!", ADDRESS(INDEX($X$2:$X$1001,MATCH(ROWS($V$2:V76),$V$2:$V$1001,0),0), INDEX($AC$1004:$AS$1004,1,MATCH(COLUMNS($AC$1006:AD1006),$AC$1006:$AS$1006,0)))),"Fix")))</f>
        <v>0</v>
      </c>
      <c r="D76" s="5">
        <f>IF(OR(INDEX($W$2:$W$1001,MATCH(ROWS($V$2:V76),$V$2:$V$1001,0),1)&gt;=100000,INDEX($AC$1005:$AS$1005,1,MATCH(COLUMNS($AC$1006:AE1006),$AC$1006:$AS$1006,0))&gt;=100000), " ",IF(INDEX($AC$2:$AS$1001,MATCH(ROWS($V$2:V76),$V$2:$V$1001,0),MATCH(COLUMNS($AC$1006:AE1006),$AC$1006:$AS$1006,0)), HYPERLINK("#",""), HYPERLINK(CONCATENATE("#Metadata!", ADDRESS(INDEX($X$2:$X$1001,MATCH(ROWS($V$2:V76),$V$2:$V$1001,0),0), INDEX($AC$1004:$AS$1004,1,MATCH(COLUMNS($AC$1006:AE1006),$AC$1006:$AS$1006,0)))),"Fix")))</f>
        <v>0</v>
      </c>
      <c r="E76" s="5">
        <f>IF(OR(INDEX($W$2:$W$1001,MATCH(ROWS($V$2:V76),$V$2:$V$1001,0),1)&gt;=100000,INDEX($AC$1005:$AS$1005,1,MATCH(COLUMNS($AC$1006:AF1006),$AC$1006:$AS$1006,0))&gt;=100000), " ",IF(INDEX($AC$2:$AS$1001,MATCH(ROWS($V$2:V76),$V$2:$V$1001,0),MATCH(COLUMNS($AC$1006:AF1006),$AC$1006:$AS$1006,0)), HYPERLINK("#",""), HYPERLINK(CONCATENATE("#Metadata!", ADDRESS(INDEX($X$2:$X$1001,MATCH(ROWS($V$2:V76),$V$2:$V$1001,0),0), INDEX($AC$1004:$AS$1004,1,MATCH(COLUMNS($AC$1006:AF1006),$AC$1006:$AS$1006,0)))),"Fix")))</f>
        <v>0</v>
      </c>
      <c r="F76" s="5">
        <f>IF(OR(INDEX($W$2:$W$1001,MATCH(ROWS($V$2:V76),$V$2:$V$1001,0),1)&gt;=100000,INDEX($AC$1005:$AS$1005,1,MATCH(COLUMNS($AC$1006:AG1006),$AC$1006:$AS$1006,0))&gt;=100000), " ",IF(INDEX($AC$2:$AS$1001,MATCH(ROWS($V$2:V76),$V$2:$V$1001,0),MATCH(COLUMNS($AC$1006:AG1006),$AC$1006:$AS$1006,0)), HYPERLINK("#",""), HYPERLINK(CONCATENATE("#Metadata!", ADDRESS(INDEX($X$2:$X$1001,MATCH(ROWS($V$2:V76),$V$2:$V$1001,0),0), INDEX($AC$1004:$AS$1004,1,MATCH(COLUMNS($AC$1006:AG1006),$AC$1006:$AS$1006,0)))),"Fix")))</f>
        <v>0</v>
      </c>
      <c r="G76" s="5">
        <f>IF(OR(INDEX($W$2:$W$1001,MATCH(ROWS($V$2:V76),$V$2:$V$1001,0),1)&gt;=100000,INDEX($AC$1005:$AS$1005,1,MATCH(COLUMNS($AC$1006:AH1006),$AC$1006:$AS$1006,0))&gt;=100000), " ",IF(INDEX($AC$2:$AS$1001,MATCH(ROWS($V$2:V76),$V$2:$V$1001,0),MATCH(COLUMNS($AC$1006:AH1006),$AC$1006:$AS$1006,0)), HYPERLINK("#",""), HYPERLINK(CONCATENATE("#Metadata!", ADDRESS(INDEX($X$2:$X$1001,MATCH(ROWS($V$2:V76),$V$2:$V$1001,0),0), INDEX($AC$1004:$AS$1004,1,MATCH(COLUMNS($AC$1006:AH1006),$AC$1006:$AS$1006,0)))),"Fix")))</f>
        <v>0</v>
      </c>
      <c r="H76" s="5">
        <f>IF(OR(INDEX($W$2:$W$1001,MATCH(ROWS($V$2:V76),$V$2:$V$1001,0),1)&gt;=100000,INDEX($AC$1005:$AS$1005,1,MATCH(COLUMNS($AC$1006:AI1006),$AC$1006:$AS$1006,0))&gt;=100000), " ",IF(INDEX($AC$2:$AS$1001,MATCH(ROWS($V$2:V76),$V$2:$V$1001,0),MATCH(COLUMNS($AC$1006:AI1006),$AC$1006:$AS$1006,0)), HYPERLINK("#",""), HYPERLINK(CONCATENATE("#Metadata!", ADDRESS(INDEX($X$2:$X$1001,MATCH(ROWS($V$2:V76),$V$2:$V$1001,0),0), INDEX($AC$1004:$AS$1004,1,MATCH(COLUMNS($AC$1006:AI1006),$AC$1006:$AS$1006,0)))),"Fix")))</f>
        <v>0</v>
      </c>
      <c r="I76" s="5">
        <f>IF(OR(INDEX($W$2:$W$1001,MATCH(ROWS($V$2:V76),$V$2:$V$1001,0),1)&gt;=100000,INDEX($AC$1005:$AS$1005,1,MATCH(COLUMNS($AC$1006:AJ1006),$AC$1006:$AS$1006,0))&gt;=100000), " ",IF(INDEX($AC$2:$AS$1001,MATCH(ROWS($V$2:V76),$V$2:$V$1001,0),MATCH(COLUMNS($AC$1006:AJ1006),$AC$1006:$AS$1006,0)), HYPERLINK("#",""), HYPERLINK(CONCATENATE("#Metadata!", ADDRESS(INDEX($X$2:$X$1001,MATCH(ROWS($V$2:V76),$V$2:$V$1001,0),0), INDEX($AC$1004:$AS$1004,1,MATCH(COLUMNS($AC$1006:AJ1006),$AC$1006:$AS$1006,0)))),"Fix")))</f>
        <v>0</v>
      </c>
      <c r="J76" s="5">
        <f>IF(OR(INDEX($W$2:$W$1001,MATCH(ROWS($V$2:V76),$V$2:$V$1001,0),1)&gt;=100000,INDEX($AC$1005:$AS$1005,1,MATCH(COLUMNS($AC$1006:AK1006),$AC$1006:$AS$1006,0))&gt;=100000), " ",IF(INDEX($AC$2:$AS$1001,MATCH(ROWS($V$2:V76),$V$2:$V$1001,0),MATCH(COLUMNS($AC$1006:AK1006),$AC$1006:$AS$1006,0)), HYPERLINK("#",""), HYPERLINK(CONCATENATE("#Metadata!", ADDRESS(INDEX($X$2:$X$1001,MATCH(ROWS($V$2:V76),$V$2:$V$1001,0),0), INDEX($AC$1004:$AS$1004,1,MATCH(COLUMNS($AC$1006:AK1006),$AC$1006:$AS$1006,0)))),"Fix")))</f>
        <v>0</v>
      </c>
      <c r="K76" s="5">
        <f>IF(OR(INDEX($W$2:$W$1001,MATCH(ROWS($V$2:V76),$V$2:$V$1001,0),1)&gt;=100000,INDEX($AC$1005:$AS$1005,1,MATCH(COLUMNS($AC$1006:AL1006),$AC$1006:$AS$1006,0))&gt;=100000), " ",IF(INDEX($AC$2:$AS$1001,MATCH(ROWS($V$2:V76),$V$2:$V$1001,0),MATCH(COLUMNS($AC$1006:AL1006),$AC$1006:$AS$1006,0)), HYPERLINK("#",""), HYPERLINK(CONCATENATE("#Metadata!", ADDRESS(INDEX($X$2:$X$1001,MATCH(ROWS($V$2:V76),$V$2:$V$1001,0),0), INDEX($AC$1004:$AS$1004,1,MATCH(COLUMNS($AC$1006:AL1006),$AC$1006:$AS$1006,0)))),"Fix")))</f>
        <v>0</v>
      </c>
      <c r="L76" s="5">
        <f>IF(OR(INDEX($W$2:$W$1001,MATCH(ROWS($V$2:V76),$V$2:$V$1001,0),1)&gt;=100000,INDEX($AC$1005:$AS$1005,1,MATCH(COLUMNS($AC$1006:AM1006),$AC$1006:$AS$1006,0))&gt;=100000), " ",IF(INDEX($AC$2:$AS$1001,MATCH(ROWS($V$2:V76),$V$2:$V$1001,0),MATCH(COLUMNS($AC$1006:AM1006),$AC$1006:$AS$1006,0)), HYPERLINK("#",""), HYPERLINK(CONCATENATE("#Metadata!", ADDRESS(INDEX($X$2:$X$1001,MATCH(ROWS($V$2:V76),$V$2:$V$1001,0),0), INDEX($AC$1004:$AS$1004,1,MATCH(COLUMNS($AC$1006:AM1006),$AC$1006:$AS$1006,0)))),"Fix")))</f>
        <v>0</v>
      </c>
      <c r="M76" s="5">
        <f>IF(OR(INDEX($W$2:$W$1001,MATCH(ROWS($V$2:V76),$V$2:$V$1001,0),1)&gt;=100000,INDEX($AC$1005:$AS$1005,1,MATCH(COLUMNS($AC$1006:AN1006),$AC$1006:$AS$1006,0))&gt;=100000), " ",IF(INDEX($AC$2:$AS$1001,MATCH(ROWS($V$2:V76),$V$2:$V$1001,0),MATCH(COLUMNS($AC$1006:AN1006),$AC$1006:$AS$1006,0)), HYPERLINK("#",""), HYPERLINK(CONCATENATE("#Metadata!", ADDRESS(INDEX($X$2:$X$1001,MATCH(ROWS($V$2:V76),$V$2:$V$1001,0),0), INDEX($AC$1004:$AS$1004,1,MATCH(COLUMNS($AC$1006:AN1006),$AC$1006:$AS$1006,0)))),"Fix")))</f>
        <v>0</v>
      </c>
      <c r="N76" s="5">
        <f>IF(OR(INDEX($W$2:$W$1001,MATCH(ROWS($V$2:V76),$V$2:$V$1001,0),1)&gt;=100000,INDEX($AC$1005:$AS$1005,1,MATCH(COLUMNS($AC$1006:AO1006),$AC$1006:$AS$1006,0))&gt;=100000), " ",IF(INDEX($AC$2:$AS$1001,MATCH(ROWS($V$2:V76),$V$2:$V$1001,0),MATCH(COLUMNS($AC$1006:AO1006),$AC$1006:$AS$1006,0)), HYPERLINK("#",""), HYPERLINK(CONCATENATE("#Metadata!", ADDRESS(INDEX($X$2:$X$1001,MATCH(ROWS($V$2:V76),$V$2:$V$1001,0),0), INDEX($AC$1004:$AS$1004,1,MATCH(COLUMNS($AC$1006:AO1006),$AC$1006:$AS$1006,0)))),"Fix")))</f>
        <v>0</v>
      </c>
      <c r="O76" s="5">
        <f>IF(OR(INDEX($W$2:$W$1001,MATCH(ROWS($V$2:V76),$V$2:$V$1001,0),1)&gt;=100000,INDEX($AC$1005:$AS$1005,1,MATCH(COLUMNS($AC$1006:AP1006),$AC$1006:$AS$1006,0))&gt;=100000), " ",IF(INDEX($AC$2:$AS$1001,MATCH(ROWS($V$2:V76),$V$2:$V$1001,0),MATCH(COLUMNS($AC$1006:AP1006),$AC$1006:$AS$1006,0)), HYPERLINK("#",""), HYPERLINK(CONCATENATE("#Metadata!", ADDRESS(INDEX($X$2:$X$1001,MATCH(ROWS($V$2:V76),$V$2:$V$1001,0),0), INDEX($AC$1004:$AS$1004,1,MATCH(COLUMNS($AC$1006:AP1006),$AC$1006:$AS$1006,0)))),"Fix")))</f>
        <v>0</v>
      </c>
      <c r="P76" s="5">
        <f>IF(OR(INDEX($W$2:$W$1001,MATCH(ROWS($V$2:V76),$V$2:$V$1001,0),1)&gt;=100000,INDEX($AC$1005:$AS$1005,1,MATCH(COLUMNS($AC$1006:AQ1006),$AC$1006:$AS$1006,0))&gt;=100000), " ",IF(INDEX($AC$2:$AS$1001,MATCH(ROWS($V$2:V76),$V$2:$V$1001,0),MATCH(COLUMNS($AC$1006:AQ1006),$AC$1006:$AS$1006,0)), HYPERLINK("#",""), HYPERLINK(CONCATENATE("#Metadata!", ADDRESS(INDEX($X$2:$X$1001,MATCH(ROWS($V$2:V76),$V$2:$V$1001,0),0), INDEX($AC$1004:$AS$1004,1,MATCH(COLUMNS($AC$1006:AQ1006),$AC$1006:$AS$1006,0)))),"Fix")))</f>
        <v>0</v>
      </c>
      <c r="Q76" s="5">
        <f>IF(OR(INDEX($W$2:$W$1001,MATCH(ROWS($V$2:V76),$V$2:$V$1001,0),1)&gt;=100000,INDEX($AC$1005:$AS$1005,1,MATCH(COLUMNS($AC$1006:AR1006),$AC$1006:$AS$1006,0))&gt;=100000), " ",IF(INDEX($AC$2:$AS$1001,MATCH(ROWS($V$2:V76),$V$2:$V$1001,0),MATCH(COLUMNS($AC$1006:AR1006),$AC$1006:$AS$1006,0)), HYPERLINK("#",""), HYPERLINK(CONCATENATE("#Metadata!", ADDRESS(INDEX($X$2:$X$1001,MATCH(ROWS($V$2:V76),$V$2:$V$1001,0),0), INDEX($AC$1004:$AS$1004,1,MATCH(COLUMNS($AC$1006:AR1006),$AC$1006:$AS$1006,0)))),"Fix")))</f>
        <v>0</v>
      </c>
      <c r="R76" s="5">
        <f>IF(OR(INDEX($W$2:$W$1001,MATCH(ROWS($V$2:V76),$V$2:$V$1001,0),1)&gt;=100000,INDEX($AC$1005:$AS$1005,1,MATCH(COLUMNS($AC$1006:AS1006),$AC$1006:$AS$1006,0))&gt;=100000), " ",IF(INDEX($AC$2:$AS$1001,MATCH(ROWS($V$2:V76),$V$2:$V$1001,0),MATCH(COLUMNS($AC$1006:AS1006),$AC$1006:$AS$1006,0)), HYPERLINK("#",""), HYPERLINK(CONCATENATE("#Metadata!", ADDRESS(INDEX($X$2:$X$1001,MATCH(ROWS($V$2:V76),$V$2:$V$1001,0),0), INDEX($AC$1004:$AS$1004,1,MATCH(COLUMNS($AC$1006:AS1006),$AC$1006:$AS$1006,0)))),"Fix")))</f>
        <v>0</v>
      </c>
      <c r="V76">
        <v>0</v>
      </c>
      <c r="W76">
        <v>0</v>
      </c>
      <c r="X76">
        <v>0</v>
      </c>
      <c r="Y76">
        <f>IF(Z76,TRUE,AND(AC76:AS76))</f>
        <v>0</v>
      </c>
      <c r="Z76">
        <f>COUNTBLANK(Metadata!B76:R76)=COLUMNS(Metadata!B76:R76)</f>
        <v>0</v>
      </c>
      <c r="AA76">
        <v>0</v>
      </c>
      <c r="AC76">
        <f>AND(IF(Metadata!B76="",FALSE,TRUE),COUNTIF(Metadata!B:B, Metadata!B76) = 1,NOT(ISERROR(SUMPRODUCT(SEARCH(MID(Metadata!B76,ROW(INDIRECT("1:"&amp;LEN(Metadata!B76))), 1),"0123456789abcdefghijklmnopqrstuvwxyzABCDEFGHIJKLMNOPQRSTUVWXYZ.")))))</f>
        <v>0</v>
      </c>
      <c r="AD76">
        <f>AND(IF(Metadata!C76="",FALSE,TRUE),exact(Metadata!C76,"Host-associated"))</f>
        <v>0</v>
      </c>
      <c r="AE76">
        <f>AND(IF(Metadata!D76="",FALSE,TRUE),OR(exact(Metadata!D76,"Animal"),exact(Metadata!D76,"Fungus"),exact(Metadata!D76,"Plant")))</f>
        <v>0</v>
      </c>
      <c r="AF76">
        <f>AND(IF(Metadata!E76="",FALSE,TRUE),OR(exact(Metadata!E76,"Plant secretion"),exact(Metadata!E76,"Plant rhizosphere"),exact(Metadata!E76,"Plant surface"),exact(Metadata!E76,"Plant corpus"),exact(Metadata!E76,"Fungus surface"),exact(Metadata!E76,"Fungus corpus"),exact(Metadata!E76,"Animal surface"),exact(Metadata!E76,"Animal proximal gut"),exact(Metadata!E76,"Animal corpus"),exact(Metadata!E76,"Animal distal gut"),exact(Metadata!E76,"Animal secretion")))</f>
        <v>0</v>
      </c>
      <c r="AG76">
        <f>OR(AND(IF(Metadata!F76="",FALSE,TRUE),OR(exact(Metadata!F76,"not collected"),exact(Metadata!F76,"not provided"),exact(Metadata!F76,"restricted access"))),AND(IF(Metadata!F76="",FALSE,TRUE),OR(exact(Metadata!F76,"organism-associated habitat"),exact(Metadata!F76,"plant-associated habitat"),exact(Metadata!F76,"animal-associated habitat"),exact(Metadata!F76,"insecta-associated habitat"),exact(Metadata!F76,"mammalia-associated habitat"),exact(Metadata!F76,"human-associated habitat"),exact(Metadata!F76,"livestock-associated habitat"))))</f>
        <v>0</v>
      </c>
      <c r="AH76">
        <f>AND(IF(Metadata!G76="",FALSE,TRUE),exact(Metadata!G76,"host-associated"))</f>
        <v>0</v>
      </c>
      <c r="AI76">
        <f>OR(AND(IF(Metadata!H76="",FALSE,TRUE),OR(exact(Metadata!H76,"not collected"),exact(Metadata!H76,"not provided"))),AND(IF(Metadata!H76="",FALSE,ISNUMBER(VALUE(Metadata!H76))),Metadata!H76&gt;0))</f>
        <v>0</v>
      </c>
      <c r="AJ76">
        <f>AND(IF(Metadata!I76="",FALSE,TRUE),exact(Metadata!I76,"years"))</f>
        <v>0</v>
      </c>
      <c r="AK76">
        <f>IF(Metadata!J76="",FALSE,TRUE)</f>
        <v>0</v>
      </c>
      <c r="AL76">
        <f>OR(AND(IF(Metadata!K76="",FALSE,TRUE),OR(exact(Metadata!K76,"not collected"),exact(Metadata!K76,"not provided"))),AND(IF(Metadata!K76="",FALSE,ISNUMBER(VALUE(Metadata!K76))),Metadata!K76&gt;0))</f>
        <v>0</v>
      </c>
      <c r="AM76">
        <f>AND(IF(Metadata!L76="",FALSE,TRUE),exact(Metadata!L76,"cm"))</f>
        <v>0</v>
      </c>
      <c r="AN76">
        <f>IF(Metadata!M76="",FALSE,TRUE)</f>
        <v>0</v>
      </c>
      <c r="AO76">
        <f>OR(AND(IF(Metadata!N76="",FALSE,TRUE),OR(exact(Metadata!N76,"not applicable"),exact(Metadata!N76,"not collected"),exact(Metadata!N76,"not provided"))),AND(IF(Metadata!N76="",FALSE,IF(ISERROR(INT(Metadata!N76)),FALSE,INT(Metadata!N76)=Metadata!N76)),Metadata!N76&gt;0))</f>
        <v>0</v>
      </c>
      <c r="AP76">
        <f>OR(AND(IF(Metadata!O76="",FALSE,TRUE),OR(exact(Metadata!O76,"not collected"),exact(Metadata!O76,"not provided"))),AND(IF(Metadata!O76="",FALSE,ISNUMBER(VALUE(Metadata!O76))),Metadata!O76&gt;0))</f>
        <v>0</v>
      </c>
      <c r="AQ76">
        <f>AND(IF(Metadata!P76="",FALSE,TRUE),exact(Metadata!P76,"kg"))</f>
        <v>0</v>
      </c>
      <c r="AR76">
        <f>OR(AND(IF(Metadata!Q76="",FALSE,TRUE),OR(exact(Metadata!Q76,"not applicable"),exact(Metadata!Q76,"not collected"),exact(Metadata!Q76,"not provided"),exact(Metadata!Q76,"restricted access"))),IF(Metadata!Q76="",FALSE,IF(ISERROR(INT(Metadata!Q76)),FALSE,INT(Metadata!Q76)=Metadata!Q76)))</f>
        <v>0</v>
      </c>
      <c r="AS76">
        <f>AND(IF(Metadata!R76="",FALSE,TRUE),exact(Metadata!R76,"Not applicable"))</f>
        <v>0</v>
      </c>
    </row>
    <row r="77" spans="1:45">
      <c r="A77" s="4">
        <f>IF(B77=" "," ",HYPERLINK(CONCATENATE("#metadata!",ADDRESS(INDEX($X$2:$X$1001,MATCH(ROWS($V$2:V77),$V$2:$V$1001,0),0),2)),INDEX($AA$2:$AA$1001,MATCH(ROWS($V$2:V77),$V$2:$V$1001,0),0)))</f>
        <v>0</v>
      </c>
      <c r="B77" s="5">
        <f>IF(OR(INDEX($W$2:$W$1001,MATCH(ROWS($V$2:V77),$V$2:$V$1001,0),1)&gt;=100000,INDEX($AC$1005:$AS$1005,1,MATCH(COLUMNS($AC$1006:AC1006),$AC$1006:$AS$1006,0))&gt;=100000), " ",IF(INDEX($AC$2:$AS$1001,MATCH(ROWS($V$2:V77),$V$2:$V$1001,0),MATCH(COLUMNS($AC$1006:AC1006),$AC$1006:$AS$1006,0)), HYPERLINK("#",""), HYPERLINK(CONCATENATE("#Metadata!", ADDRESS(INDEX($X$2:$X$1001,MATCH(ROWS($V$2:V77),$V$2:$V$1001,0),0), INDEX($AC$1004:$AS$1004,1,MATCH(COLUMNS($AC$1006:AC1006),$AC$1006:$AS$1006,0)))),"Fix")))</f>
        <v>0</v>
      </c>
      <c r="C77" s="5">
        <f>IF(OR(INDEX($W$2:$W$1001,MATCH(ROWS($V$2:V77),$V$2:$V$1001,0),1)&gt;=100000,INDEX($AC$1005:$AS$1005,1,MATCH(COLUMNS($AC$1006:AD1006),$AC$1006:$AS$1006,0))&gt;=100000), " ",IF(INDEX($AC$2:$AS$1001,MATCH(ROWS($V$2:V77),$V$2:$V$1001,0),MATCH(COLUMNS($AC$1006:AD1006),$AC$1006:$AS$1006,0)), HYPERLINK("#",""), HYPERLINK(CONCATENATE("#Metadata!", ADDRESS(INDEX($X$2:$X$1001,MATCH(ROWS($V$2:V77),$V$2:$V$1001,0),0), INDEX($AC$1004:$AS$1004,1,MATCH(COLUMNS($AC$1006:AD1006),$AC$1006:$AS$1006,0)))),"Fix")))</f>
        <v>0</v>
      </c>
      <c r="D77" s="5">
        <f>IF(OR(INDEX($W$2:$W$1001,MATCH(ROWS($V$2:V77),$V$2:$V$1001,0),1)&gt;=100000,INDEX($AC$1005:$AS$1005,1,MATCH(COLUMNS($AC$1006:AE1006),$AC$1006:$AS$1006,0))&gt;=100000), " ",IF(INDEX($AC$2:$AS$1001,MATCH(ROWS($V$2:V77),$V$2:$V$1001,0),MATCH(COLUMNS($AC$1006:AE1006),$AC$1006:$AS$1006,0)), HYPERLINK("#",""), HYPERLINK(CONCATENATE("#Metadata!", ADDRESS(INDEX($X$2:$X$1001,MATCH(ROWS($V$2:V77),$V$2:$V$1001,0),0), INDEX($AC$1004:$AS$1004,1,MATCH(COLUMNS($AC$1006:AE1006),$AC$1006:$AS$1006,0)))),"Fix")))</f>
        <v>0</v>
      </c>
      <c r="E77" s="5">
        <f>IF(OR(INDEX($W$2:$W$1001,MATCH(ROWS($V$2:V77),$V$2:$V$1001,0),1)&gt;=100000,INDEX($AC$1005:$AS$1005,1,MATCH(COLUMNS($AC$1006:AF1006),$AC$1006:$AS$1006,0))&gt;=100000), " ",IF(INDEX($AC$2:$AS$1001,MATCH(ROWS($V$2:V77),$V$2:$V$1001,0),MATCH(COLUMNS($AC$1006:AF1006),$AC$1006:$AS$1006,0)), HYPERLINK("#",""), HYPERLINK(CONCATENATE("#Metadata!", ADDRESS(INDEX($X$2:$X$1001,MATCH(ROWS($V$2:V77),$V$2:$V$1001,0),0), INDEX($AC$1004:$AS$1004,1,MATCH(COLUMNS($AC$1006:AF1006),$AC$1006:$AS$1006,0)))),"Fix")))</f>
        <v>0</v>
      </c>
      <c r="F77" s="5">
        <f>IF(OR(INDEX($W$2:$W$1001,MATCH(ROWS($V$2:V77),$V$2:$V$1001,0),1)&gt;=100000,INDEX($AC$1005:$AS$1005,1,MATCH(COLUMNS($AC$1006:AG1006),$AC$1006:$AS$1006,0))&gt;=100000), " ",IF(INDEX($AC$2:$AS$1001,MATCH(ROWS($V$2:V77),$V$2:$V$1001,0),MATCH(COLUMNS($AC$1006:AG1006),$AC$1006:$AS$1006,0)), HYPERLINK("#",""), HYPERLINK(CONCATENATE("#Metadata!", ADDRESS(INDEX($X$2:$X$1001,MATCH(ROWS($V$2:V77),$V$2:$V$1001,0),0), INDEX($AC$1004:$AS$1004,1,MATCH(COLUMNS($AC$1006:AG1006),$AC$1006:$AS$1006,0)))),"Fix")))</f>
        <v>0</v>
      </c>
      <c r="G77" s="5">
        <f>IF(OR(INDEX($W$2:$W$1001,MATCH(ROWS($V$2:V77),$V$2:$V$1001,0),1)&gt;=100000,INDEX($AC$1005:$AS$1005,1,MATCH(COLUMNS($AC$1006:AH1006),$AC$1006:$AS$1006,0))&gt;=100000), " ",IF(INDEX($AC$2:$AS$1001,MATCH(ROWS($V$2:V77),$V$2:$V$1001,0),MATCH(COLUMNS($AC$1006:AH1006),$AC$1006:$AS$1006,0)), HYPERLINK("#",""), HYPERLINK(CONCATENATE("#Metadata!", ADDRESS(INDEX($X$2:$X$1001,MATCH(ROWS($V$2:V77),$V$2:$V$1001,0),0), INDEX($AC$1004:$AS$1004,1,MATCH(COLUMNS($AC$1006:AH1006),$AC$1006:$AS$1006,0)))),"Fix")))</f>
        <v>0</v>
      </c>
      <c r="H77" s="5">
        <f>IF(OR(INDEX($W$2:$W$1001,MATCH(ROWS($V$2:V77),$V$2:$V$1001,0),1)&gt;=100000,INDEX($AC$1005:$AS$1005,1,MATCH(COLUMNS($AC$1006:AI1006),$AC$1006:$AS$1006,0))&gt;=100000), " ",IF(INDEX($AC$2:$AS$1001,MATCH(ROWS($V$2:V77),$V$2:$V$1001,0),MATCH(COLUMNS($AC$1006:AI1006),$AC$1006:$AS$1006,0)), HYPERLINK("#",""), HYPERLINK(CONCATENATE("#Metadata!", ADDRESS(INDEX($X$2:$X$1001,MATCH(ROWS($V$2:V77),$V$2:$V$1001,0),0), INDEX($AC$1004:$AS$1004,1,MATCH(COLUMNS($AC$1006:AI1006),$AC$1006:$AS$1006,0)))),"Fix")))</f>
        <v>0</v>
      </c>
      <c r="I77" s="5">
        <f>IF(OR(INDEX($W$2:$W$1001,MATCH(ROWS($V$2:V77),$V$2:$V$1001,0),1)&gt;=100000,INDEX($AC$1005:$AS$1005,1,MATCH(COLUMNS($AC$1006:AJ1006),$AC$1006:$AS$1006,0))&gt;=100000), " ",IF(INDEX($AC$2:$AS$1001,MATCH(ROWS($V$2:V77),$V$2:$V$1001,0),MATCH(COLUMNS($AC$1006:AJ1006),$AC$1006:$AS$1006,0)), HYPERLINK("#",""), HYPERLINK(CONCATENATE("#Metadata!", ADDRESS(INDEX($X$2:$X$1001,MATCH(ROWS($V$2:V77),$V$2:$V$1001,0),0), INDEX($AC$1004:$AS$1004,1,MATCH(COLUMNS($AC$1006:AJ1006),$AC$1006:$AS$1006,0)))),"Fix")))</f>
        <v>0</v>
      </c>
      <c r="J77" s="5">
        <f>IF(OR(INDEX($W$2:$W$1001,MATCH(ROWS($V$2:V77),$V$2:$V$1001,0),1)&gt;=100000,INDEX($AC$1005:$AS$1005,1,MATCH(COLUMNS($AC$1006:AK1006),$AC$1006:$AS$1006,0))&gt;=100000), " ",IF(INDEX($AC$2:$AS$1001,MATCH(ROWS($V$2:V77),$V$2:$V$1001,0),MATCH(COLUMNS($AC$1006:AK1006),$AC$1006:$AS$1006,0)), HYPERLINK("#",""), HYPERLINK(CONCATENATE("#Metadata!", ADDRESS(INDEX($X$2:$X$1001,MATCH(ROWS($V$2:V77),$V$2:$V$1001,0),0), INDEX($AC$1004:$AS$1004,1,MATCH(COLUMNS($AC$1006:AK1006),$AC$1006:$AS$1006,0)))),"Fix")))</f>
        <v>0</v>
      </c>
      <c r="K77" s="5">
        <f>IF(OR(INDEX($W$2:$W$1001,MATCH(ROWS($V$2:V77),$V$2:$V$1001,0),1)&gt;=100000,INDEX($AC$1005:$AS$1005,1,MATCH(COLUMNS($AC$1006:AL1006),$AC$1006:$AS$1006,0))&gt;=100000), " ",IF(INDEX($AC$2:$AS$1001,MATCH(ROWS($V$2:V77),$V$2:$V$1001,0),MATCH(COLUMNS($AC$1006:AL1006),$AC$1006:$AS$1006,0)), HYPERLINK("#",""), HYPERLINK(CONCATENATE("#Metadata!", ADDRESS(INDEX($X$2:$X$1001,MATCH(ROWS($V$2:V77),$V$2:$V$1001,0),0), INDEX($AC$1004:$AS$1004,1,MATCH(COLUMNS($AC$1006:AL1006),$AC$1006:$AS$1006,0)))),"Fix")))</f>
        <v>0</v>
      </c>
      <c r="L77" s="5">
        <f>IF(OR(INDEX($W$2:$W$1001,MATCH(ROWS($V$2:V77),$V$2:$V$1001,0),1)&gt;=100000,INDEX($AC$1005:$AS$1005,1,MATCH(COLUMNS($AC$1006:AM1006),$AC$1006:$AS$1006,0))&gt;=100000), " ",IF(INDEX($AC$2:$AS$1001,MATCH(ROWS($V$2:V77),$V$2:$V$1001,0),MATCH(COLUMNS($AC$1006:AM1006),$AC$1006:$AS$1006,0)), HYPERLINK("#",""), HYPERLINK(CONCATENATE("#Metadata!", ADDRESS(INDEX($X$2:$X$1001,MATCH(ROWS($V$2:V77),$V$2:$V$1001,0),0), INDEX($AC$1004:$AS$1004,1,MATCH(COLUMNS($AC$1006:AM1006),$AC$1006:$AS$1006,0)))),"Fix")))</f>
        <v>0</v>
      </c>
      <c r="M77" s="5">
        <f>IF(OR(INDEX($W$2:$W$1001,MATCH(ROWS($V$2:V77),$V$2:$V$1001,0),1)&gt;=100000,INDEX($AC$1005:$AS$1005,1,MATCH(COLUMNS($AC$1006:AN1006),$AC$1006:$AS$1006,0))&gt;=100000), " ",IF(INDEX($AC$2:$AS$1001,MATCH(ROWS($V$2:V77),$V$2:$V$1001,0),MATCH(COLUMNS($AC$1006:AN1006),$AC$1006:$AS$1006,0)), HYPERLINK("#",""), HYPERLINK(CONCATENATE("#Metadata!", ADDRESS(INDEX($X$2:$X$1001,MATCH(ROWS($V$2:V77),$V$2:$V$1001,0),0), INDEX($AC$1004:$AS$1004,1,MATCH(COLUMNS($AC$1006:AN1006),$AC$1006:$AS$1006,0)))),"Fix")))</f>
        <v>0</v>
      </c>
      <c r="N77" s="5">
        <f>IF(OR(INDEX($W$2:$W$1001,MATCH(ROWS($V$2:V77),$V$2:$V$1001,0),1)&gt;=100000,INDEX($AC$1005:$AS$1005,1,MATCH(COLUMNS($AC$1006:AO1006),$AC$1006:$AS$1006,0))&gt;=100000), " ",IF(INDEX($AC$2:$AS$1001,MATCH(ROWS($V$2:V77),$V$2:$V$1001,0),MATCH(COLUMNS($AC$1006:AO1006),$AC$1006:$AS$1006,0)), HYPERLINK("#",""), HYPERLINK(CONCATENATE("#Metadata!", ADDRESS(INDEX($X$2:$X$1001,MATCH(ROWS($V$2:V77),$V$2:$V$1001,0),0), INDEX($AC$1004:$AS$1004,1,MATCH(COLUMNS($AC$1006:AO1006),$AC$1006:$AS$1006,0)))),"Fix")))</f>
        <v>0</v>
      </c>
      <c r="O77" s="5">
        <f>IF(OR(INDEX($W$2:$W$1001,MATCH(ROWS($V$2:V77),$V$2:$V$1001,0),1)&gt;=100000,INDEX($AC$1005:$AS$1005,1,MATCH(COLUMNS($AC$1006:AP1006),$AC$1006:$AS$1006,0))&gt;=100000), " ",IF(INDEX($AC$2:$AS$1001,MATCH(ROWS($V$2:V77),$V$2:$V$1001,0),MATCH(COLUMNS($AC$1006:AP1006),$AC$1006:$AS$1006,0)), HYPERLINK("#",""), HYPERLINK(CONCATENATE("#Metadata!", ADDRESS(INDEX($X$2:$X$1001,MATCH(ROWS($V$2:V77),$V$2:$V$1001,0),0), INDEX($AC$1004:$AS$1004,1,MATCH(COLUMNS($AC$1006:AP1006),$AC$1006:$AS$1006,0)))),"Fix")))</f>
        <v>0</v>
      </c>
      <c r="P77" s="5">
        <f>IF(OR(INDEX($W$2:$W$1001,MATCH(ROWS($V$2:V77),$V$2:$V$1001,0),1)&gt;=100000,INDEX($AC$1005:$AS$1005,1,MATCH(COLUMNS($AC$1006:AQ1006),$AC$1006:$AS$1006,0))&gt;=100000), " ",IF(INDEX($AC$2:$AS$1001,MATCH(ROWS($V$2:V77),$V$2:$V$1001,0),MATCH(COLUMNS($AC$1006:AQ1006),$AC$1006:$AS$1006,0)), HYPERLINK("#",""), HYPERLINK(CONCATENATE("#Metadata!", ADDRESS(INDEX($X$2:$X$1001,MATCH(ROWS($V$2:V77),$V$2:$V$1001,0),0), INDEX($AC$1004:$AS$1004,1,MATCH(COLUMNS($AC$1006:AQ1006),$AC$1006:$AS$1006,0)))),"Fix")))</f>
        <v>0</v>
      </c>
      <c r="Q77" s="5">
        <f>IF(OR(INDEX($W$2:$W$1001,MATCH(ROWS($V$2:V77),$V$2:$V$1001,0),1)&gt;=100000,INDEX($AC$1005:$AS$1005,1,MATCH(COLUMNS($AC$1006:AR1006),$AC$1006:$AS$1006,0))&gt;=100000), " ",IF(INDEX($AC$2:$AS$1001,MATCH(ROWS($V$2:V77),$V$2:$V$1001,0),MATCH(COLUMNS($AC$1006:AR1006),$AC$1006:$AS$1006,0)), HYPERLINK("#",""), HYPERLINK(CONCATENATE("#Metadata!", ADDRESS(INDEX($X$2:$X$1001,MATCH(ROWS($V$2:V77),$V$2:$V$1001,0),0), INDEX($AC$1004:$AS$1004,1,MATCH(COLUMNS($AC$1006:AR1006),$AC$1006:$AS$1006,0)))),"Fix")))</f>
        <v>0</v>
      </c>
      <c r="R77" s="5">
        <f>IF(OR(INDEX($W$2:$W$1001,MATCH(ROWS($V$2:V77),$V$2:$V$1001,0),1)&gt;=100000,INDEX($AC$1005:$AS$1005,1,MATCH(COLUMNS($AC$1006:AS1006),$AC$1006:$AS$1006,0))&gt;=100000), " ",IF(INDEX($AC$2:$AS$1001,MATCH(ROWS($V$2:V77),$V$2:$V$1001,0),MATCH(COLUMNS($AC$1006:AS1006),$AC$1006:$AS$1006,0)), HYPERLINK("#",""), HYPERLINK(CONCATENATE("#Metadata!", ADDRESS(INDEX($X$2:$X$1001,MATCH(ROWS($V$2:V77),$V$2:$V$1001,0),0), INDEX($AC$1004:$AS$1004,1,MATCH(COLUMNS($AC$1006:AS1006),$AC$1006:$AS$1006,0)))),"Fix")))</f>
        <v>0</v>
      </c>
      <c r="V77">
        <v>0</v>
      </c>
      <c r="W77">
        <v>0</v>
      </c>
      <c r="X77">
        <v>0</v>
      </c>
      <c r="Y77">
        <f>IF(Z77,TRUE,AND(AC77:AS77))</f>
        <v>0</v>
      </c>
      <c r="Z77">
        <f>COUNTBLANK(Metadata!B77:R77)=COLUMNS(Metadata!B77:R77)</f>
        <v>0</v>
      </c>
      <c r="AA77">
        <v>0</v>
      </c>
      <c r="AC77">
        <f>AND(IF(Metadata!B77="",FALSE,TRUE),COUNTIF(Metadata!B:B, Metadata!B77) = 1,NOT(ISERROR(SUMPRODUCT(SEARCH(MID(Metadata!B77,ROW(INDIRECT("1:"&amp;LEN(Metadata!B77))), 1),"0123456789abcdefghijklmnopqrstuvwxyzABCDEFGHIJKLMNOPQRSTUVWXYZ.")))))</f>
        <v>0</v>
      </c>
      <c r="AD77">
        <f>AND(IF(Metadata!C77="",FALSE,TRUE),exact(Metadata!C77,"Host-associated"))</f>
        <v>0</v>
      </c>
      <c r="AE77">
        <f>AND(IF(Metadata!D77="",FALSE,TRUE),OR(exact(Metadata!D77,"Animal"),exact(Metadata!D77,"Fungus"),exact(Metadata!D77,"Plant")))</f>
        <v>0</v>
      </c>
      <c r="AF77">
        <f>AND(IF(Metadata!E77="",FALSE,TRUE),OR(exact(Metadata!E77,"Plant secretion"),exact(Metadata!E77,"Plant rhizosphere"),exact(Metadata!E77,"Plant surface"),exact(Metadata!E77,"Plant corpus"),exact(Metadata!E77,"Fungus surface"),exact(Metadata!E77,"Fungus corpus"),exact(Metadata!E77,"Animal surface"),exact(Metadata!E77,"Animal proximal gut"),exact(Metadata!E77,"Animal corpus"),exact(Metadata!E77,"Animal distal gut"),exact(Metadata!E77,"Animal secretion")))</f>
        <v>0</v>
      </c>
      <c r="AG77">
        <f>OR(AND(IF(Metadata!F77="",FALSE,TRUE),OR(exact(Metadata!F77,"not collected"),exact(Metadata!F77,"not provided"),exact(Metadata!F77,"restricted access"))),AND(IF(Metadata!F77="",FALSE,TRUE),OR(exact(Metadata!F77,"organism-associated habitat"),exact(Metadata!F77,"plant-associated habitat"),exact(Metadata!F77,"animal-associated habitat"),exact(Metadata!F77,"insecta-associated habitat"),exact(Metadata!F77,"mammalia-associated habitat"),exact(Metadata!F77,"human-associated habitat"),exact(Metadata!F77,"livestock-associated habitat"))))</f>
        <v>0</v>
      </c>
      <c r="AH77">
        <f>AND(IF(Metadata!G77="",FALSE,TRUE),exact(Metadata!G77,"host-associated"))</f>
        <v>0</v>
      </c>
      <c r="AI77">
        <f>OR(AND(IF(Metadata!H77="",FALSE,TRUE),OR(exact(Metadata!H77,"not collected"),exact(Metadata!H77,"not provided"))),AND(IF(Metadata!H77="",FALSE,ISNUMBER(VALUE(Metadata!H77))),Metadata!H77&gt;0))</f>
        <v>0</v>
      </c>
      <c r="AJ77">
        <f>AND(IF(Metadata!I77="",FALSE,TRUE),exact(Metadata!I77,"years"))</f>
        <v>0</v>
      </c>
      <c r="AK77">
        <f>IF(Metadata!J77="",FALSE,TRUE)</f>
        <v>0</v>
      </c>
      <c r="AL77">
        <f>OR(AND(IF(Metadata!K77="",FALSE,TRUE),OR(exact(Metadata!K77,"not collected"),exact(Metadata!K77,"not provided"))),AND(IF(Metadata!K77="",FALSE,ISNUMBER(VALUE(Metadata!K77))),Metadata!K77&gt;0))</f>
        <v>0</v>
      </c>
      <c r="AM77">
        <f>AND(IF(Metadata!L77="",FALSE,TRUE),exact(Metadata!L77,"cm"))</f>
        <v>0</v>
      </c>
      <c r="AN77">
        <f>IF(Metadata!M77="",FALSE,TRUE)</f>
        <v>0</v>
      </c>
      <c r="AO77">
        <f>OR(AND(IF(Metadata!N77="",FALSE,TRUE),OR(exact(Metadata!N77,"not applicable"),exact(Metadata!N77,"not collected"),exact(Metadata!N77,"not provided"))),AND(IF(Metadata!N77="",FALSE,IF(ISERROR(INT(Metadata!N77)),FALSE,INT(Metadata!N77)=Metadata!N77)),Metadata!N77&gt;0))</f>
        <v>0</v>
      </c>
      <c r="AP77">
        <f>OR(AND(IF(Metadata!O77="",FALSE,TRUE),OR(exact(Metadata!O77,"not collected"),exact(Metadata!O77,"not provided"))),AND(IF(Metadata!O77="",FALSE,ISNUMBER(VALUE(Metadata!O77))),Metadata!O77&gt;0))</f>
        <v>0</v>
      </c>
      <c r="AQ77">
        <f>AND(IF(Metadata!P77="",FALSE,TRUE),exact(Metadata!P77,"kg"))</f>
        <v>0</v>
      </c>
      <c r="AR77">
        <f>OR(AND(IF(Metadata!Q77="",FALSE,TRUE),OR(exact(Metadata!Q77,"not applicable"),exact(Metadata!Q77,"not collected"),exact(Metadata!Q77,"not provided"),exact(Metadata!Q77,"restricted access"))),IF(Metadata!Q77="",FALSE,IF(ISERROR(INT(Metadata!Q77)),FALSE,INT(Metadata!Q77)=Metadata!Q77)))</f>
        <v>0</v>
      </c>
      <c r="AS77">
        <f>AND(IF(Metadata!R77="",FALSE,TRUE),exact(Metadata!R77,"Not applicable"))</f>
        <v>0</v>
      </c>
    </row>
    <row r="78" spans="1:45">
      <c r="A78" s="4">
        <f>IF(B78=" "," ",HYPERLINK(CONCATENATE("#metadata!",ADDRESS(INDEX($X$2:$X$1001,MATCH(ROWS($V$2:V78),$V$2:$V$1001,0),0),2)),INDEX($AA$2:$AA$1001,MATCH(ROWS($V$2:V78),$V$2:$V$1001,0),0)))</f>
        <v>0</v>
      </c>
      <c r="B78" s="5">
        <f>IF(OR(INDEX($W$2:$W$1001,MATCH(ROWS($V$2:V78),$V$2:$V$1001,0),1)&gt;=100000,INDEX($AC$1005:$AS$1005,1,MATCH(COLUMNS($AC$1006:AC1006),$AC$1006:$AS$1006,0))&gt;=100000), " ",IF(INDEX($AC$2:$AS$1001,MATCH(ROWS($V$2:V78),$V$2:$V$1001,0),MATCH(COLUMNS($AC$1006:AC1006),$AC$1006:$AS$1006,0)), HYPERLINK("#",""), HYPERLINK(CONCATENATE("#Metadata!", ADDRESS(INDEX($X$2:$X$1001,MATCH(ROWS($V$2:V78),$V$2:$V$1001,0),0), INDEX($AC$1004:$AS$1004,1,MATCH(COLUMNS($AC$1006:AC1006),$AC$1006:$AS$1006,0)))),"Fix")))</f>
        <v>0</v>
      </c>
      <c r="C78" s="5">
        <f>IF(OR(INDEX($W$2:$W$1001,MATCH(ROWS($V$2:V78),$V$2:$V$1001,0),1)&gt;=100000,INDEX($AC$1005:$AS$1005,1,MATCH(COLUMNS($AC$1006:AD1006),$AC$1006:$AS$1006,0))&gt;=100000), " ",IF(INDEX($AC$2:$AS$1001,MATCH(ROWS($V$2:V78),$V$2:$V$1001,0),MATCH(COLUMNS($AC$1006:AD1006),$AC$1006:$AS$1006,0)), HYPERLINK("#",""), HYPERLINK(CONCATENATE("#Metadata!", ADDRESS(INDEX($X$2:$X$1001,MATCH(ROWS($V$2:V78),$V$2:$V$1001,0),0), INDEX($AC$1004:$AS$1004,1,MATCH(COLUMNS($AC$1006:AD1006),$AC$1006:$AS$1006,0)))),"Fix")))</f>
        <v>0</v>
      </c>
      <c r="D78" s="5">
        <f>IF(OR(INDEX($W$2:$W$1001,MATCH(ROWS($V$2:V78),$V$2:$V$1001,0),1)&gt;=100000,INDEX($AC$1005:$AS$1005,1,MATCH(COLUMNS($AC$1006:AE1006),$AC$1006:$AS$1006,0))&gt;=100000), " ",IF(INDEX($AC$2:$AS$1001,MATCH(ROWS($V$2:V78),$V$2:$V$1001,0),MATCH(COLUMNS($AC$1006:AE1006),$AC$1006:$AS$1006,0)), HYPERLINK("#",""), HYPERLINK(CONCATENATE("#Metadata!", ADDRESS(INDEX($X$2:$X$1001,MATCH(ROWS($V$2:V78),$V$2:$V$1001,0),0), INDEX($AC$1004:$AS$1004,1,MATCH(COLUMNS($AC$1006:AE1006),$AC$1006:$AS$1006,0)))),"Fix")))</f>
        <v>0</v>
      </c>
      <c r="E78" s="5">
        <f>IF(OR(INDEX($W$2:$W$1001,MATCH(ROWS($V$2:V78),$V$2:$V$1001,0),1)&gt;=100000,INDEX($AC$1005:$AS$1005,1,MATCH(COLUMNS($AC$1006:AF1006),$AC$1006:$AS$1006,0))&gt;=100000), " ",IF(INDEX($AC$2:$AS$1001,MATCH(ROWS($V$2:V78),$V$2:$V$1001,0),MATCH(COLUMNS($AC$1006:AF1006),$AC$1006:$AS$1006,0)), HYPERLINK("#",""), HYPERLINK(CONCATENATE("#Metadata!", ADDRESS(INDEX($X$2:$X$1001,MATCH(ROWS($V$2:V78),$V$2:$V$1001,0),0), INDEX($AC$1004:$AS$1004,1,MATCH(COLUMNS($AC$1006:AF1006),$AC$1006:$AS$1006,0)))),"Fix")))</f>
        <v>0</v>
      </c>
      <c r="F78" s="5">
        <f>IF(OR(INDEX($W$2:$W$1001,MATCH(ROWS($V$2:V78),$V$2:$V$1001,0),1)&gt;=100000,INDEX($AC$1005:$AS$1005,1,MATCH(COLUMNS($AC$1006:AG1006),$AC$1006:$AS$1006,0))&gt;=100000), " ",IF(INDEX($AC$2:$AS$1001,MATCH(ROWS($V$2:V78),$V$2:$V$1001,0),MATCH(COLUMNS($AC$1006:AG1006),$AC$1006:$AS$1006,0)), HYPERLINK("#",""), HYPERLINK(CONCATENATE("#Metadata!", ADDRESS(INDEX($X$2:$X$1001,MATCH(ROWS($V$2:V78),$V$2:$V$1001,0),0), INDEX($AC$1004:$AS$1004,1,MATCH(COLUMNS($AC$1006:AG1006),$AC$1006:$AS$1006,0)))),"Fix")))</f>
        <v>0</v>
      </c>
      <c r="G78" s="5">
        <f>IF(OR(INDEX($W$2:$W$1001,MATCH(ROWS($V$2:V78),$V$2:$V$1001,0),1)&gt;=100000,INDEX($AC$1005:$AS$1005,1,MATCH(COLUMNS($AC$1006:AH1006),$AC$1006:$AS$1006,0))&gt;=100000), " ",IF(INDEX($AC$2:$AS$1001,MATCH(ROWS($V$2:V78),$V$2:$V$1001,0),MATCH(COLUMNS($AC$1006:AH1006),$AC$1006:$AS$1006,0)), HYPERLINK("#",""), HYPERLINK(CONCATENATE("#Metadata!", ADDRESS(INDEX($X$2:$X$1001,MATCH(ROWS($V$2:V78),$V$2:$V$1001,0),0), INDEX($AC$1004:$AS$1004,1,MATCH(COLUMNS($AC$1006:AH1006),$AC$1006:$AS$1006,0)))),"Fix")))</f>
        <v>0</v>
      </c>
      <c r="H78" s="5">
        <f>IF(OR(INDEX($W$2:$W$1001,MATCH(ROWS($V$2:V78),$V$2:$V$1001,0),1)&gt;=100000,INDEX($AC$1005:$AS$1005,1,MATCH(COLUMNS($AC$1006:AI1006),$AC$1006:$AS$1006,0))&gt;=100000), " ",IF(INDEX($AC$2:$AS$1001,MATCH(ROWS($V$2:V78),$V$2:$V$1001,0),MATCH(COLUMNS($AC$1006:AI1006),$AC$1006:$AS$1006,0)), HYPERLINK("#",""), HYPERLINK(CONCATENATE("#Metadata!", ADDRESS(INDEX($X$2:$X$1001,MATCH(ROWS($V$2:V78),$V$2:$V$1001,0),0), INDEX($AC$1004:$AS$1004,1,MATCH(COLUMNS($AC$1006:AI1006),$AC$1006:$AS$1006,0)))),"Fix")))</f>
        <v>0</v>
      </c>
      <c r="I78" s="5">
        <f>IF(OR(INDEX($W$2:$W$1001,MATCH(ROWS($V$2:V78),$V$2:$V$1001,0),1)&gt;=100000,INDEX($AC$1005:$AS$1005,1,MATCH(COLUMNS($AC$1006:AJ1006),$AC$1006:$AS$1006,0))&gt;=100000), " ",IF(INDEX($AC$2:$AS$1001,MATCH(ROWS($V$2:V78),$V$2:$V$1001,0),MATCH(COLUMNS($AC$1006:AJ1006),$AC$1006:$AS$1006,0)), HYPERLINK("#",""), HYPERLINK(CONCATENATE("#Metadata!", ADDRESS(INDEX($X$2:$X$1001,MATCH(ROWS($V$2:V78),$V$2:$V$1001,0),0), INDEX($AC$1004:$AS$1004,1,MATCH(COLUMNS($AC$1006:AJ1006),$AC$1006:$AS$1006,0)))),"Fix")))</f>
        <v>0</v>
      </c>
      <c r="J78" s="5">
        <f>IF(OR(INDEX($W$2:$W$1001,MATCH(ROWS($V$2:V78),$V$2:$V$1001,0),1)&gt;=100000,INDEX($AC$1005:$AS$1005,1,MATCH(COLUMNS($AC$1006:AK1006),$AC$1006:$AS$1006,0))&gt;=100000), " ",IF(INDEX($AC$2:$AS$1001,MATCH(ROWS($V$2:V78),$V$2:$V$1001,0),MATCH(COLUMNS($AC$1006:AK1006),$AC$1006:$AS$1006,0)), HYPERLINK("#",""), HYPERLINK(CONCATENATE("#Metadata!", ADDRESS(INDEX($X$2:$X$1001,MATCH(ROWS($V$2:V78),$V$2:$V$1001,0),0), INDEX($AC$1004:$AS$1004,1,MATCH(COLUMNS($AC$1006:AK1006),$AC$1006:$AS$1006,0)))),"Fix")))</f>
        <v>0</v>
      </c>
      <c r="K78" s="5">
        <f>IF(OR(INDEX($W$2:$W$1001,MATCH(ROWS($V$2:V78),$V$2:$V$1001,0),1)&gt;=100000,INDEX($AC$1005:$AS$1005,1,MATCH(COLUMNS($AC$1006:AL1006),$AC$1006:$AS$1006,0))&gt;=100000), " ",IF(INDEX($AC$2:$AS$1001,MATCH(ROWS($V$2:V78),$V$2:$V$1001,0),MATCH(COLUMNS($AC$1006:AL1006),$AC$1006:$AS$1006,0)), HYPERLINK("#",""), HYPERLINK(CONCATENATE("#Metadata!", ADDRESS(INDEX($X$2:$X$1001,MATCH(ROWS($V$2:V78),$V$2:$V$1001,0),0), INDEX($AC$1004:$AS$1004,1,MATCH(COLUMNS($AC$1006:AL1006),$AC$1006:$AS$1006,0)))),"Fix")))</f>
        <v>0</v>
      </c>
      <c r="L78" s="5">
        <f>IF(OR(INDEX($W$2:$W$1001,MATCH(ROWS($V$2:V78),$V$2:$V$1001,0),1)&gt;=100000,INDEX($AC$1005:$AS$1005,1,MATCH(COLUMNS($AC$1006:AM1006),$AC$1006:$AS$1006,0))&gt;=100000), " ",IF(INDEX($AC$2:$AS$1001,MATCH(ROWS($V$2:V78),$V$2:$V$1001,0),MATCH(COLUMNS($AC$1006:AM1006),$AC$1006:$AS$1006,0)), HYPERLINK("#",""), HYPERLINK(CONCATENATE("#Metadata!", ADDRESS(INDEX($X$2:$X$1001,MATCH(ROWS($V$2:V78),$V$2:$V$1001,0),0), INDEX($AC$1004:$AS$1004,1,MATCH(COLUMNS($AC$1006:AM1006),$AC$1006:$AS$1006,0)))),"Fix")))</f>
        <v>0</v>
      </c>
      <c r="M78" s="5">
        <f>IF(OR(INDEX($W$2:$W$1001,MATCH(ROWS($V$2:V78),$V$2:$V$1001,0),1)&gt;=100000,INDEX($AC$1005:$AS$1005,1,MATCH(COLUMNS($AC$1006:AN1006),$AC$1006:$AS$1006,0))&gt;=100000), " ",IF(INDEX($AC$2:$AS$1001,MATCH(ROWS($V$2:V78),$V$2:$V$1001,0),MATCH(COLUMNS($AC$1006:AN1006),$AC$1006:$AS$1006,0)), HYPERLINK("#",""), HYPERLINK(CONCATENATE("#Metadata!", ADDRESS(INDEX($X$2:$X$1001,MATCH(ROWS($V$2:V78),$V$2:$V$1001,0),0), INDEX($AC$1004:$AS$1004,1,MATCH(COLUMNS($AC$1006:AN1006),$AC$1006:$AS$1006,0)))),"Fix")))</f>
        <v>0</v>
      </c>
      <c r="N78" s="5">
        <f>IF(OR(INDEX($W$2:$W$1001,MATCH(ROWS($V$2:V78),$V$2:$V$1001,0),1)&gt;=100000,INDEX($AC$1005:$AS$1005,1,MATCH(COLUMNS($AC$1006:AO1006),$AC$1006:$AS$1006,0))&gt;=100000), " ",IF(INDEX($AC$2:$AS$1001,MATCH(ROWS($V$2:V78),$V$2:$V$1001,0),MATCH(COLUMNS($AC$1006:AO1006),$AC$1006:$AS$1006,0)), HYPERLINK("#",""), HYPERLINK(CONCATENATE("#Metadata!", ADDRESS(INDEX($X$2:$X$1001,MATCH(ROWS($V$2:V78),$V$2:$V$1001,0),0), INDEX($AC$1004:$AS$1004,1,MATCH(COLUMNS($AC$1006:AO1006),$AC$1006:$AS$1006,0)))),"Fix")))</f>
        <v>0</v>
      </c>
      <c r="O78" s="5">
        <f>IF(OR(INDEX($W$2:$W$1001,MATCH(ROWS($V$2:V78),$V$2:$V$1001,0),1)&gt;=100000,INDEX($AC$1005:$AS$1005,1,MATCH(COLUMNS($AC$1006:AP1006),$AC$1006:$AS$1006,0))&gt;=100000), " ",IF(INDEX($AC$2:$AS$1001,MATCH(ROWS($V$2:V78),$V$2:$V$1001,0),MATCH(COLUMNS($AC$1006:AP1006),$AC$1006:$AS$1006,0)), HYPERLINK("#",""), HYPERLINK(CONCATENATE("#Metadata!", ADDRESS(INDEX($X$2:$X$1001,MATCH(ROWS($V$2:V78),$V$2:$V$1001,0),0), INDEX($AC$1004:$AS$1004,1,MATCH(COLUMNS($AC$1006:AP1006),$AC$1006:$AS$1006,0)))),"Fix")))</f>
        <v>0</v>
      </c>
      <c r="P78" s="5">
        <f>IF(OR(INDEX($W$2:$W$1001,MATCH(ROWS($V$2:V78),$V$2:$V$1001,0),1)&gt;=100000,INDEX($AC$1005:$AS$1005,1,MATCH(COLUMNS($AC$1006:AQ1006),$AC$1006:$AS$1006,0))&gt;=100000), " ",IF(INDEX($AC$2:$AS$1001,MATCH(ROWS($V$2:V78),$V$2:$V$1001,0),MATCH(COLUMNS($AC$1006:AQ1006),$AC$1006:$AS$1006,0)), HYPERLINK("#",""), HYPERLINK(CONCATENATE("#Metadata!", ADDRESS(INDEX($X$2:$X$1001,MATCH(ROWS($V$2:V78),$V$2:$V$1001,0),0), INDEX($AC$1004:$AS$1004,1,MATCH(COLUMNS($AC$1006:AQ1006),$AC$1006:$AS$1006,0)))),"Fix")))</f>
        <v>0</v>
      </c>
      <c r="Q78" s="5">
        <f>IF(OR(INDEX($W$2:$W$1001,MATCH(ROWS($V$2:V78),$V$2:$V$1001,0),1)&gt;=100000,INDEX($AC$1005:$AS$1005,1,MATCH(COLUMNS($AC$1006:AR1006),$AC$1006:$AS$1006,0))&gt;=100000), " ",IF(INDEX($AC$2:$AS$1001,MATCH(ROWS($V$2:V78),$V$2:$V$1001,0),MATCH(COLUMNS($AC$1006:AR1006),$AC$1006:$AS$1006,0)), HYPERLINK("#",""), HYPERLINK(CONCATENATE("#Metadata!", ADDRESS(INDEX($X$2:$X$1001,MATCH(ROWS($V$2:V78),$V$2:$V$1001,0),0), INDEX($AC$1004:$AS$1004,1,MATCH(COLUMNS($AC$1006:AR1006),$AC$1006:$AS$1006,0)))),"Fix")))</f>
        <v>0</v>
      </c>
      <c r="R78" s="5">
        <f>IF(OR(INDEX($W$2:$W$1001,MATCH(ROWS($V$2:V78),$V$2:$V$1001,0),1)&gt;=100000,INDEX($AC$1005:$AS$1005,1,MATCH(COLUMNS($AC$1006:AS1006),$AC$1006:$AS$1006,0))&gt;=100000), " ",IF(INDEX($AC$2:$AS$1001,MATCH(ROWS($V$2:V78),$V$2:$V$1001,0),MATCH(COLUMNS($AC$1006:AS1006),$AC$1006:$AS$1006,0)), HYPERLINK("#",""), HYPERLINK(CONCATENATE("#Metadata!", ADDRESS(INDEX($X$2:$X$1001,MATCH(ROWS($V$2:V78),$V$2:$V$1001,0),0), INDEX($AC$1004:$AS$1004,1,MATCH(COLUMNS($AC$1006:AS1006),$AC$1006:$AS$1006,0)))),"Fix")))</f>
        <v>0</v>
      </c>
      <c r="V78">
        <v>0</v>
      </c>
      <c r="W78">
        <v>0</v>
      </c>
      <c r="X78">
        <v>0</v>
      </c>
      <c r="Y78">
        <f>IF(Z78,TRUE,AND(AC78:AS78))</f>
        <v>0</v>
      </c>
      <c r="Z78">
        <f>COUNTBLANK(Metadata!B78:R78)=COLUMNS(Metadata!B78:R78)</f>
        <v>0</v>
      </c>
      <c r="AA78">
        <v>0</v>
      </c>
      <c r="AC78">
        <f>AND(IF(Metadata!B78="",FALSE,TRUE),COUNTIF(Metadata!B:B, Metadata!B78) = 1,NOT(ISERROR(SUMPRODUCT(SEARCH(MID(Metadata!B78,ROW(INDIRECT("1:"&amp;LEN(Metadata!B78))), 1),"0123456789abcdefghijklmnopqrstuvwxyzABCDEFGHIJKLMNOPQRSTUVWXYZ.")))))</f>
        <v>0</v>
      </c>
      <c r="AD78">
        <f>AND(IF(Metadata!C78="",FALSE,TRUE),exact(Metadata!C78,"Host-associated"))</f>
        <v>0</v>
      </c>
      <c r="AE78">
        <f>AND(IF(Metadata!D78="",FALSE,TRUE),OR(exact(Metadata!D78,"Animal"),exact(Metadata!D78,"Fungus"),exact(Metadata!D78,"Plant")))</f>
        <v>0</v>
      </c>
      <c r="AF78">
        <f>AND(IF(Metadata!E78="",FALSE,TRUE),OR(exact(Metadata!E78,"Plant secretion"),exact(Metadata!E78,"Plant rhizosphere"),exact(Metadata!E78,"Plant surface"),exact(Metadata!E78,"Plant corpus"),exact(Metadata!E78,"Fungus surface"),exact(Metadata!E78,"Fungus corpus"),exact(Metadata!E78,"Animal surface"),exact(Metadata!E78,"Animal proximal gut"),exact(Metadata!E78,"Animal corpus"),exact(Metadata!E78,"Animal distal gut"),exact(Metadata!E78,"Animal secretion")))</f>
        <v>0</v>
      </c>
      <c r="AG78">
        <f>OR(AND(IF(Metadata!F78="",FALSE,TRUE),OR(exact(Metadata!F78,"not collected"),exact(Metadata!F78,"not provided"),exact(Metadata!F78,"restricted access"))),AND(IF(Metadata!F78="",FALSE,TRUE),OR(exact(Metadata!F78,"organism-associated habitat"),exact(Metadata!F78,"plant-associated habitat"),exact(Metadata!F78,"animal-associated habitat"),exact(Metadata!F78,"insecta-associated habitat"),exact(Metadata!F78,"mammalia-associated habitat"),exact(Metadata!F78,"human-associated habitat"),exact(Metadata!F78,"livestock-associated habitat"))))</f>
        <v>0</v>
      </c>
      <c r="AH78">
        <f>AND(IF(Metadata!G78="",FALSE,TRUE),exact(Metadata!G78,"host-associated"))</f>
        <v>0</v>
      </c>
      <c r="AI78">
        <f>OR(AND(IF(Metadata!H78="",FALSE,TRUE),OR(exact(Metadata!H78,"not collected"),exact(Metadata!H78,"not provided"))),AND(IF(Metadata!H78="",FALSE,ISNUMBER(VALUE(Metadata!H78))),Metadata!H78&gt;0))</f>
        <v>0</v>
      </c>
      <c r="AJ78">
        <f>AND(IF(Metadata!I78="",FALSE,TRUE),exact(Metadata!I78,"years"))</f>
        <v>0</v>
      </c>
      <c r="AK78">
        <f>IF(Metadata!J78="",FALSE,TRUE)</f>
        <v>0</v>
      </c>
      <c r="AL78">
        <f>OR(AND(IF(Metadata!K78="",FALSE,TRUE),OR(exact(Metadata!K78,"not collected"),exact(Metadata!K78,"not provided"))),AND(IF(Metadata!K78="",FALSE,ISNUMBER(VALUE(Metadata!K78))),Metadata!K78&gt;0))</f>
        <v>0</v>
      </c>
      <c r="AM78">
        <f>AND(IF(Metadata!L78="",FALSE,TRUE),exact(Metadata!L78,"cm"))</f>
        <v>0</v>
      </c>
      <c r="AN78">
        <f>IF(Metadata!M78="",FALSE,TRUE)</f>
        <v>0</v>
      </c>
      <c r="AO78">
        <f>OR(AND(IF(Metadata!N78="",FALSE,TRUE),OR(exact(Metadata!N78,"not applicable"),exact(Metadata!N78,"not collected"),exact(Metadata!N78,"not provided"))),AND(IF(Metadata!N78="",FALSE,IF(ISERROR(INT(Metadata!N78)),FALSE,INT(Metadata!N78)=Metadata!N78)),Metadata!N78&gt;0))</f>
        <v>0</v>
      </c>
      <c r="AP78">
        <f>OR(AND(IF(Metadata!O78="",FALSE,TRUE),OR(exact(Metadata!O78,"not collected"),exact(Metadata!O78,"not provided"))),AND(IF(Metadata!O78="",FALSE,ISNUMBER(VALUE(Metadata!O78))),Metadata!O78&gt;0))</f>
        <v>0</v>
      </c>
      <c r="AQ78">
        <f>AND(IF(Metadata!P78="",FALSE,TRUE),exact(Metadata!P78,"kg"))</f>
        <v>0</v>
      </c>
      <c r="AR78">
        <f>OR(AND(IF(Metadata!Q78="",FALSE,TRUE),OR(exact(Metadata!Q78,"not applicable"),exact(Metadata!Q78,"not collected"),exact(Metadata!Q78,"not provided"),exact(Metadata!Q78,"restricted access"))),IF(Metadata!Q78="",FALSE,IF(ISERROR(INT(Metadata!Q78)),FALSE,INT(Metadata!Q78)=Metadata!Q78)))</f>
        <v>0</v>
      </c>
      <c r="AS78">
        <f>AND(IF(Metadata!R78="",FALSE,TRUE),exact(Metadata!R78,"Not applicable"))</f>
        <v>0</v>
      </c>
    </row>
    <row r="79" spans="1:45">
      <c r="A79" s="4">
        <f>IF(B79=" "," ",HYPERLINK(CONCATENATE("#metadata!",ADDRESS(INDEX($X$2:$X$1001,MATCH(ROWS($V$2:V79),$V$2:$V$1001,0),0),2)),INDEX($AA$2:$AA$1001,MATCH(ROWS($V$2:V79),$V$2:$V$1001,0),0)))</f>
        <v>0</v>
      </c>
      <c r="B79" s="5">
        <f>IF(OR(INDEX($W$2:$W$1001,MATCH(ROWS($V$2:V79),$V$2:$V$1001,0),1)&gt;=100000,INDEX($AC$1005:$AS$1005,1,MATCH(COLUMNS($AC$1006:AC1006),$AC$1006:$AS$1006,0))&gt;=100000), " ",IF(INDEX($AC$2:$AS$1001,MATCH(ROWS($V$2:V79),$V$2:$V$1001,0),MATCH(COLUMNS($AC$1006:AC1006),$AC$1006:$AS$1006,0)), HYPERLINK("#",""), HYPERLINK(CONCATENATE("#Metadata!", ADDRESS(INDEX($X$2:$X$1001,MATCH(ROWS($V$2:V79),$V$2:$V$1001,0),0), INDEX($AC$1004:$AS$1004,1,MATCH(COLUMNS($AC$1006:AC1006),$AC$1006:$AS$1006,0)))),"Fix")))</f>
        <v>0</v>
      </c>
      <c r="C79" s="5">
        <f>IF(OR(INDEX($W$2:$W$1001,MATCH(ROWS($V$2:V79),$V$2:$V$1001,0),1)&gt;=100000,INDEX($AC$1005:$AS$1005,1,MATCH(COLUMNS($AC$1006:AD1006),$AC$1006:$AS$1006,0))&gt;=100000), " ",IF(INDEX($AC$2:$AS$1001,MATCH(ROWS($V$2:V79),$V$2:$V$1001,0),MATCH(COLUMNS($AC$1006:AD1006),$AC$1006:$AS$1006,0)), HYPERLINK("#",""), HYPERLINK(CONCATENATE("#Metadata!", ADDRESS(INDEX($X$2:$X$1001,MATCH(ROWS($V$2:V79),$V$2:$V$1001,0),0), INDEX($AC$1004:$AS$1004,1,MATCH(COLUMNS($AC$1006:AD1006),$AC$1006:$AS$1006,0)))),"Fix")))</f>
        <v>0</v>
      </c>
      <c r="D79" s="5">
        <f>IF(OR(INDEX($W$2:$W$1001,MATCH(ROWS($V$2:V79),$V$2:$V$1001,0),1)&gt;=100000,INDEX($AC$1005:$AS$1005,1,MATCH(COLUMNS($AC$1006:AE1006),$AC$1006:$AS$1006,0))&gt;=100000), " ",IF(INDEX($AC$2:$AS$1001,MATCH(ROWS($V$2:V79),$V$2:$V$1001,0),MATCH(COLUMNS($AC$1006:AE1006),$AC$1006:$AS$1006,0)), HYPERLINK("#",""), HYPERLINK(CONCATENATE("#Metadata!", ADDRESS(INDEX($X$2:$X$1001,MATCH(ROWS($V$2:V79),$V$2:$V$1001,0),0), INDEX($AC$1004:$AS$1004,1,MATCH(COLUMNS($AC$1006:AE1006),$AC$1006:$AS$1006,0)))),"Fix")))</f>
        <v>0</v>
      </c>
      <c r="E79" s="5">
        <f>IF(OR(INDEX($W$2:$W$1001,MATCH(ROWS($V$2:V79),$V$2:$V$1001,0),1)&gt;=100000,INDEX($AC$1005:$AS$1005,1,MATCH(COLUMNS($AC$1006:AF1006),$AC$1006:$AS$1006,0))&gt;=100000), " ",IF(INDEX($AC$2:$AS$1001,MATCH(ROWS($V$2:V79),$V$2:$V$1001,0),MATCH(COLUMNS($AC$1006:AF1006),$AC$1006:$AS$1006,0)), HYPERLINK("#",""), HYPERLINK(CONCATENATE("#Metadata!", ADDRESS(INDEX($X$2:$X$1001,MATCH(ROWS($V$2:V79),$V$2:$V$1001,0),0), INDEX($AC$1004:$AS$1004,1,MATCH(COLUMNS($AC$1006:AF1006),$AC$1006:$AS$1006,0)))),"Fix")))</f>
        <v>0</v>
      </c>
      <c r="F79" s="5">
        <f>IF(OR(INDEX($W$2:$W$1001,MATCH(ROWS($V$2:V79),$V$2:$V$1001,0),1)&gt;=100000,INDEX($AC$1005:$AS$1005,1,MATCH(COLUMNS($AC$1006:AG1006),$AC$1006:$AS$1006,0))&gt;=100000), " ",IF(INDEX($AC$2:$AS$1001,MATCH(ROWS($V$2:V79),$V$2:$V$1001,0),MATCH(COLUMNS($AC$1006:AG1006),$AC$1006:$AS$1006,0)), HYPERLINK("#",""), HYPERLINK(CONCATENATE("#Metadata!", ADDRESS(INDEX($X$2:$X$1001,MATCH(ROWS($V$2:V79),$V$2:$V$1001,0),0), INDEX($AC$1004:$AS$1004,1,MATCH(COLUMNS($AC$1006:AG1006),$AC$1006:$AS$1006,0)))),"Fix")))</f>
        <v>0</v>
      </c>
      <c r="G79" s="5">
        <f>IF(OR(INDEX($W$2:$W$1001,MATCH(ROWS($V$2:V79),$V$2:$V$1001,0),1)&gt;=100000,INDEX($AC$1005:$AS$1005,1,MATCH(COLUMNS($AC$1006:AH1006),$AC$1006:$AS$1006,0))&gt;=100000), " ",IF(INDEX($AC$2:$AS$1001,MATCH(ROWS($V$2:V79),$V$2:$V$1001,0),MATCH(COLUMNS($AC$1006:AH1006),$AC$1006:$AS$1006,0)), HYPERLINK("#",""), HYPERLINK(CONCATENATE("#Metadata!", ADDRESS(INDEX($X$2:$X$1001,MATCH(ROWS($V$2:V79),$V$2:$V$1001,0),0), INDEX($AC$1004:$AS$1004,1,MATCH(COLUMNS($AC$1006:AH1006),$AC$1006:$AS$1006,0)))),"Fix")))</f>
        <v>0</v>
      </c>
      <c r="H79" s="5">
        <f>IF(OR(INDEX($W$2:$W$1001,MATCH(ROWS($V$2:V79),$V$2:$V$1001,0),1)&gt;=100000,INDEX($AC$1005:$AS$1005,1,MATCH(COLUMNS($AC$1006:AI1006),$AC$1006:$AS$1006,0))&gt;=100000), " ",IF(INDEX($AC$2:$AS$1001,MATCH(ROWS($V$2:V79),$V$2:$V$1001,0),MATCH(COLUMNS($AC$1006:AI1006),$AC$1006:$AS$1006,0)), HYPERLINK("#",""), HYPERLINK(CONCATENATE("#Metadata!", ADDRESS(INDEX($X$2:$X$1001,MATCH(ROWS($V$2:V79),$V$2:$V$1001,0),0), INDEX($AC$1004:$AS$1004,1,MATCH(COLUMNS($AC$1006:AI1006),$AC$1006:$AS$1006,0)))),"Fix")))</f>
        <v>0</v>
      </c>
      <c r="I79" s="5">
        <f>IF(OR(INDEX($W$2:$W$1001,MATCH(ROWS($V$2:V79),$V$2:$V$1001,0),1)&gt;=100000,INDEX($AC$1005:$AS$1005,1,MATCH(COLUMNS($AC$1006:AJ1006),$AC$1006:$AS$1006,0))&gt;=100000), " ",IF(INDEX($AC$2:$AS$1001,MATCH(ROWS($V$2:V79),$V$2:$V$1001,0),MATCH(COLUMNS($AC$1006:AJ1006),$AC$1006:$AS$1006,0)), HYPERLINK("#",""), HYPERLINK(CONCATENATE("#Metadata!", ADDRESS(INDEX($X$2:$X$1001,MATCH(ROWS($V$2:V79),$V$2:$V$1001,0),0), INDEX($AC$1004:$AS$1004,1,MATCH(COLUMNS($AC$1006:AJ1006),$AC$1006:$AS$1006,0)))),"Fix")))</f>
        <v>0</v>
      </c>
      <c r="J79" s="5">
        <f>IF(OR(INDEX($W$2:$W$1001,MATCH(ROWS($V$2:V79),$V$2:$V$1001,0),1)&gt;=100000,INDEX($AC$1005:$AS$1005,1,MATCH(COLUMNS($AC$1006:AK1006),$AC$1006:$AS$1006,0))&gt;=100000), " ",IF(INDEX($AC$2:$AS$1001,MATCH(ROWS($V$2:V79),$V$2:$V$1001,0),MATCH(COLUMNS($AC$1006:AK1006),$AC$1006:$AS$1006,0)), HYPERLINK("#",""), HYPERLINK(CONCATENATE("#Metadata!", ADDRESS(INDEX($X$2:$X$1001,MATCH(ROWS($V$2:V79),$V$2:$V$1001,0),0), INDEX($AC$1004:$AS$1004,1,MATCH(COLUMNS($AC$1006:AK1006),$AC$1006:$AS$1006,0)))),"Fix")))</f>
        <v>0</v>
      </c>
      <c r="K79" s="5">
        <f>IF(OR(INDEX($W$2:$W$1001,MATCH(ROWS($V$2:V79),$V$2:$V$1001,0),1)&gt;=100000,INDEX($AC$1005:$AS$1005,1,MATCH(COLUMNS($AC$1006:AL1006),$AC$1006:$AS$1006,0))&gt;=100000), " ",IF(INDEX($AC$2:$AS$1001,MATCH(ROWS($V$2:V79),$V$2:$V$1001,0),MATCH(COLUMNS($AC$1006:AL1006),$AC$1006:$AS$1006,0)), HYPERLINK("#",""), HYPERLINK(CONCATENATE("#Metadata!", ADDRESS(INDEX($X$2:$X$1001,MATCH(ROWS($V$2:V79),$V$2:$V$1001,0),0), INDEX($AC$1004:$AS$1004,1,MATCH(COLUMNS($AC$1006:AL1006),$AC$1006:$AS$1006,0)))),"Fix")))</f>
        <v>0</v>
      </c>
      <c r="L79" s="5">
        <f>IF(OR(INDEX($W$2:$W$1001,MATCH(ROWS($V$2:V79),$V$2:$V$1001,0),1)&gt;=100000,INDEX($AC$1005:$AS$1005,1,MATCH(COLUMNS($AC$1006:AM1006),$AC$1006:$AS$1006,0))&gt;=100000), " ",IF(INDEX($AC$2:$AS$1001,MATCH(ROWS($V$2:V79),$V$2:$V$1001,0),MATCH(COLUMNS($AC$1006:AM1006),$AC$1006:$AS$1006,0)), HYPERLINK("#",""), HYPERLINK(CONCATENATE("#Metadata!", ADDRESS(INDEX($X$2:$X$1001,MATCH(ROWS($V$2:V79),$V$2:$V$1001,0),0), INDEX($AC$1004:$AS$1004,1,MATCH(COLUMNS($AC$1006:AM1006),$AC$1006:$AS$1006,0)))),"Fix")))</f>
        <v>0</v>
      </c>
      <c r="M79" s="5">
        <f>IF(OR(INDEX($W$2:$W$1001,MATCH(ROWS($V$2:V79),$V$2:$V$1001,0),1)&gt;=100000,INDEX($AC$1005:$AS$1005,1,MATCH(COLUMNS($AC$1006:AN1006),$AC$1006:$AS$1006,0))&gt;=100000), " ",IF(INDEX($AC$2:$AS$1001,MATCH(ROWS($V$2:V79),$V$2:$V$1001,0),MATCH(COLUMNS($AC$1006:AN1006),$AC$1006:$AS$1006,0)), HYPERLINK("#",""), HYPERLINK(CONCATENATE("#Metadata!", ADDRESS(INDEX($X$2:$X$1001,MATCH(ROWS($V$2:V79),$V$2:$V$1001,0),0), INDEX($AC$1004:$AS$1004,1,MATCH(COLUMNS($AC$1006:AN1006),$AC$1006:$AS$1006,0)))),"Fix")))</f>
        <v>0</v>
      </c>
      <c r="N79" s="5">
        <f>IF(OR(INDEX($W$2:$W$1001,MATCH(ROWS($V$2:V79),$V$2:$V$1001,0),1)&gt;=100000,INDEX($AC$1005:$AS$1005,1,MATCH(COLUMNS($AC$1006:AO1006),$AC$1006:$AS$1006,0))&gt;=100000), " ",IF(INDEX($AC$2:$AS$1001,MATCH(ROWS($V$2:V79),$V$2:$V$1001,0),MATCH(COLUMNS($AC$1006:AO1006),$AC$1006:$AS$1006,0)), HYPERLINK("#",""), HYPERLINK(CONCATENATE("#Metadata!", ADDRESS(INDEX($X$2:$X$1001,MATCH(ROWS($V$2:V79),$V$2:$V$1001,0),0), INDEX($AC$1004:$AS$1004,1,MATCH(COLUMNS($AC$1006:AO1006),$AC$1006:$AS$1006,0)))),"Fix")))</f>
        <v>0</v>
      </c>
      <c r="O79" s="5">
        <f>IF(OR(INDEX($W$2:$W$1001,MATCH(ROWS($V$2:V79),$V$2:$V$1001,0),1)&gt;=100000,INDEX($AC$1005:$AS$1005,1,MATCH(COLUMNS($AC$1006:AP1006),$AC$1006:$AS$1006,0))&gt;=100000), " ",IF(INDEX($AC$2:$AS$1001,MATCH(ROWS($V$2:V79),$V$2:$V$1001,0),MATCH(COLUMNS($AC$1006:AP1006),$AC$1006:$AS$1006,0)), HYPERLINK("#",""), HYPERLINK(CONCATENATE("#Metadata!", ADDRESS(INDEX($X$2:$X$1001,MATCH(ROWS($V$2:V79),$V$2:$V$1001,0),0), INDEX($AC$1004:$AS$1004,1,MATCH(COLUMNS($AC$1006:AP1006),$AC$1006:$AS$1006,0)))),"Fix")))</f>
        <v>0</v>
      </c>
      <c r="P79" s="5">
        <f>IF(OR(INDEX($W$2:$W$1001,MATCH(ROWS($V$2:V79),$V$2:$V$1001,0),1)&gt;=100000,INDEX($AC$1005:$AS$1005,1,MATCH(COLUMNS($AC$1006:AQ1006),$AC$1006:$AS$1006,0))&gt;=100000), " ",IF(INDEX($AC$2:$AS$1001,MATCH(ROWS($V$2:V79),$V$2:$V$1001,0),MATCH(COLUMNS($AC$1006:AQ1006),$AC$1006:$AS$1006,0)), HYPERLINK("#",""), HYPERLINK(CONCATENATE("#Metadata!", ADDRESS(INDEX($X$2:$X$1001,MATCH(ROWS($V$2:V79),$V$2:$V$1001,0),0), INDEX($AC$1004:$AS$1004,1,MATCH(COLUMNS($AC$1006:AQ1006),$AC$1006:$AS$1006,0)))),"Fix")))</f>
        <v>0</v>
      </c>
      <c r="Q79" s="5">
        <f>IF(OR(INDEX($W$2:$W$1001,MATCH(ROWS($V$2:V79),$V$2:$V$1001,0),1)&gt;=100000,INDEX($AC$1005:$AS$1005,1,MATCH(COLUMNS($AC$1006:AR1006),$AC$1006:$AS$1006,0))&gt;=100000), " ",IF(INDEX($AC$2:$AS$1001,MATCH(ROWS($V$2:V79),$V$2:$V$1001,0),MATCH(COLUMNS($AC$1006:AR1006),$AC$1006:$AS$1006,0)), HYPERLINK("#",""), HYPERLINK(CONCATENATE("#Metadata!", ADDRESS(INDEX($X$2:$X$1001,MATCH(ROWS($V$2:V79),$V$2:$V$1001,0),0), INDEX($AC$1004:$AS$1004,1,MATCH(COLUMNS($AC$1006:AR1006),$AC$1006:$AS$1006,0)))),"Fix")))</f>
        <v>0</v>
      </c>
      <c r="R79" s="5">
        <f>IF(OR(INDEX($W$2:$W$1001,MATCH(ROWS($V$2:V79),$V$2:$V$1001,0),1)&gt;=100000,INDEX($AC$1005:$AS$1005,1,MATCH(COLUMNS($AC$1006:AS1006),$AC$1006:$AS$1006,0))&gt;=100000), " ",IF(INDEX($AC$2:$AS$1001,MATCH(ROWS($V$2:V79),$V$2:$V$1001,0),MATCH(COLUMNS($AC$1006:AS1006),$AC$1006:$AS$1006,0)), HYPERLINK("#",""), HYPERLINK(CONCATENATE("#Metadata!", ADDRESS(INDEX($X$2:$X$1001,MATCH(ROWS($V$2:V79),$V$2:$V$1001,0),0), INDEX($AC$1004:$AS$1004,1,MATCH(COLUMNS($AC$1006:AS1006),$AC$1006:$AS$1006,0)))),"Fix")))</f>
        <v>0</v>
      </c>
      <c r="V79">
        <v>0</v>
      </c>
      <c r="W79">
        <v>0</v>
      </c>
      <c r="X79">
        <v>0</v>
      </c>
      <c r="Y79">
        <f>IF(Z79,TRUE,AND(AC79:AS79))</f>
        <v>0</v>
      </c>
      <c r="Z79">
        <f>COUNTBLANK(Metadata!B79:R79)=COLUMNS(Metadata!B79:R79)</f>
        <v>0</v>
      </c>
      <c r="AA79">
        <v>0</v>
      </c>
      <c r="AC79">
        <f>AND(IF(Metadata!B79="",FALSE,TRUE),COUNTIF(Metadata!B:B, Metadata!B79) = 1,NOT(ISERROR(SUMPRODUCT(SEARCH(MID(Metadata!B79,ROW(INDIRECT("1:"&amp;LEN(Metadata!B79))), 1),"0123456789abcdefghijklmnopqrstuvwxyzABCDEFGHIJKLMNOPQRSTUVWXYZ.")))))</f>
        <v>0</v>
      </c>
      <c r="AD79">
        <f>AND(IF(Metadata!C79="",FALSE,TRUE),exact(Metadata!C79,"Host-associated"))</f>
        <v>0</v>
      </c>
      <c r="AE79">
        <f>AND(IF(Metadata!D79="",FALSE,TRUE),OR(exact(Metadata!D79,"Animal"),exact(Metadata!D79,"Fungus"),exact(Metadata!D79,"Plant")))</f>
        <v>0</v>
      </c>
      <c r="AF79">
        <f>AND(IF(Metadata!E79="",FALSE,TRUE),OR(exact(Metadata!E79,"Plant secretion"),exact(Metadata!E79,"Plant rhizosphere"),exact(Metadata!E79,"Plant surface"),exact(Metadata!E79,"Plant corpus"),exact(Metadata!E79,"Fungus surface"),exact(Metadata!E79,"Fungus corpus"),exact(Metadata!E79,"Animal surface"),exact(Metadata!E79,"Animal proximal gut"),exact(Metadata!E79,"Animal corpus"),exact(Metadata!E79,"Animal distal gut"),exact(Metadata!E79,"Animal secretion")))</f>
        <v>0</v>
      </c>
      <c r="AG79">
        <f>OR(AND(IF(Metadata!F79="",FALSE,TRUE),OR(exact(Metadata!F79,"not collected"),exact(Metadata!F79,"not provided"),exact(Metadata!F79,"restricted access"))),AND(IF(Metadata!F79="",FALSE,TRUE),OR(exact(Metadata!F79,"organism-associated habitat"),exact(Metadata!F79,"plant-associated habitat"),exact(Metadata!F79,"animal-associated habitat"),exact(Metadata!F79,"insecta-associated habitat"),exact(Metadata!F79,"mammalia-associated habitat"),exact(Metadata!F79,"human-associated habitat"),exact(Metadata!F79,"livestock-associated habitat"))))</f>
        <v>0</v>
      </c>
      <c r="AH79">
        <f>AND(IF(Metadata!G79="",FALSE,TRUE),exact(Metadata!G79,"host-associated"))</f>
        <v>0</v>
      </c>
      <c r="AI79">
        <f>OR(AND(IF(Metadata!H79="",FALSE,TRUE),OR(exact(Metadata!H79,"not collected"),exact(Metadata!H79,"not provided"))),AND(IF(Metadata!H79="",FALSE,ISNUMBER(VALUE(Metadata!H79))),Metadata!H79&gt;0))</f>
        <v>0</v>
      </c>
      <c r="AJ79">
        <f>AND(IF(Metadata!I79="",FALSE,TRUE),exact(Metadata!I79,"years"))</f>
        <v>0</v>
      </c>
      <c r="AK79">
        <f>IF(Metadata!J79="",FALSE,TRUE)</f>
        <v>0</v>
      </c>
      <c r="AL79">
        <f>OR(AND(IF(Metadata!K79="",FALSE,TRUE),OR(exact(Metadata!K79,"not collected"),exact(Metadata!K79,"not provided"))),AND(IF(Metadata!K79="",FALSE,ISNUMBER(VALUE(Metadata!K79))),Metadata!K79&gt;0))</f>
        <v>0</v>
      </c>
      <c r="AM79">
        <f>AND(IF(Metadata!L79="",FALSE,TRUE),exact(Metadata!L79,"cm"))</f>
        <v>0</v>
      </c>
      <c r="AN79">
        <f>IF(Metadata!M79="",FALSE,TRUE)</f>
        <v>0</v>
      </c>
      <c r="AO79">
        <f>OR(AND(IF(Metadata!N79="",FALSE,TRUE),OR(exact(Metadata!N79,"not applicable"),exact(Metadata!N79,"not collected"),exact(Metadata!N79,"not provided"))),AND(IF(Metadata!N79="",FALSE,IF(ISERROR(INT(Metadata!N79)),FALSE,INT(Metadata!N79)=Metadata!N79)),Metadata!N79&gt;0))</f>
        <v>0</v>
      </c>
      <c r="AP79">
        <f>OR(AND(IF(Metadata!O79="",FALSE,TRUE),OR(exact(Metadata!O79,"not collected"),exact(Metadata!O79,"not provided"))),AND(IF(Metadata!O79="",FALSE,ISNUMBER(VALUE(Metadata!O79))),Metadata!O79&gt;0))</f>
        <v>0</v>
      </c>
      <c r="AQ79">
        <f>AND(IF(Metadata!P79="",FALSE,TRUE),exact(Metadata!P79,"kg"))</f>
        <v>0</v>
      </c>
      <c r="AR79">
        <f>OR(AND(IF(Metadata!Q79="",FALSE,TRUE),OR(exact(Metadata!Q79,"not applicable"),exact(Metadata!Q79,"not collected"),exact(Metadata!Q79,"not provided"),exact(Metadata!Q79,"restricted access"))),IF(Metadata!Q79="",FALSE,IF(ISERROR(INT(Metadata!Q79)),FALSE,INT(Metadata!Q79)=Metadata!Q79)))</f>
        <v>0</v>
      </c>
      <c r="AS79">
        <f>AND(IF(Metadata!R79="",FALSE,TRUE),exact(Metadata!R79,"Not applicable"))</f>
        <v>0</v>
      </c>
    </row>
    <row r="80" spans="1:45">
      <c r="A80" s="4">
        <f>IF(B80=" "," ",HYPERLINK(CONCATENATE("#metadata!",ADDRESS(INDEX($X$2:$X$1001,MATCH(ROWS($V$2:V80),$V$2:$V$1001,0),0),2)),INDEX($AA$2:$AA$1001,MATCH(ROWS($V$2:V80),$V$2:$V$1001,0),0)))</f>
        <v>0</v>
      </c>
      <c r="B80" s="5">
        <f>IF(OR(INDEX($W$2:$W$1001,MATCH(ROWS($V$2:V80),$V$2:$V$1001,0),1)&gt;=100000,INDEX($AC$1005:$AS$1005,1,MATCH(COLUMNS($AC$1006:AC1006),$AC$1006:$AS$1006,0))&gt;=100000), " ",IF(INDEX($AC$2:$AS$1001,MATCH(ROWS($V$2:V80),$V$2:$V$1001,0),MATCH(COLUMNS($AC$1006:AC1006),$AC$1006:$AS$1006,0)), HYPERLINK("#",""), HYPERLINK(CONCATENATE("#Metadata!", ADDRESS(INDEX($X$2:$X$1001,MATCH(ROWS($V$2:V80),$V$2:$V$1001,0),0), INDEX($AC$1004:$AS$1004,1,MATCH(COLUMNS($AC$1006:AC1006),$AC$1006:$AS$1006,0)))),"Fix")))</f>
        <v>0</v>
      </c>
      <c r="C80" s="5">
        <f>IF(OR(INDEX($W$2:$W$1001,MATCH(ROWS($V$2:V80),$V$2:$V$1001,0),1)&gt;=100000,INDEX($AC$1005:$AS$1005,1,MATCH(COLUMNS($AC$1006:AD1006),$AC$1006:$AS$1006,0))&gt;=100000), " ",IF(INDEX($AC$2:$AS$1001,MATCH(ROWS($V$2:V80),$V$2:$V$1001,0),MATCH(COLUMNS($AC$1006:AD1006),$AC$1006:$AS$1006,0)), HYPERLINK("#",""), HYPERLINK(CONCATENATE("#Metadata!", ADDRESS(INDEX($X$2:$X$1001,MATCH(ROWS($V$2:V80),$V$2:$V$1001,0),0), INDEX($AC$1004:$AS$1004,1,MATCH(COLUMNS($AC$1006:AD1006),$AC$1006:$AS$1006,0)))),"Fix")))</f>
        <v>0</v>
      </c>
      <c r="D80" s="5">
        <f>IF(OR(INDEX($W$2:$W$1001,MATCH(ROWS($V$2:V80),$V$2:$V$1001,0),1)&gt;=100000,INDEX($AC$1005:$AS$1005,1,MATCH(COLUMNS($AC$1006:AE1006),$AC$1006:$AS$1006,0))&gt;=100000), " ",IF(INDEX($AC$2:$AS$1001,MATCH(ROWS($V$2:V80),$V$2:$V$1001,0),MATCH(COLUMNS($AC$1006:AE1006),$AC$1006:$AS$1006,0)), HYPERLINK("#",""), HYPERLINK(CONCATENATE("#Metadata!", ADDRESS(INDEX($X$2:$X$1001,MATCH(ROWS($V$2:V80),$V$2:$V$1001,0),0), INDEX($AC$1004:$AS$1004,1,MATCH(COLUMNS($AC$1006:AE1006),$AC$1006:$AS$1006,0)))),"Fix")))</f>
        <v>0</v>
      </c>
      <c r="E80" s="5">
        <f>IF(OR(INDEX($W$2:$W$1001,MATCH(ROWS($V$2:V80),$V$2:$V$1001,0),1)&gt;=100000,INDEX($AC$1005:$AS$1005,1,MATCH(COLUMNS($AC$1006:AF1006),$AC$1006:$AS$1006,0))&gt;=100000), " ",IF(INDEX($AC$2:$AS$1001,MATCH(ROWS($V$2:V80),$V$2:$V$1001,0),MATCH(COLUMNS($AC$1006:AF1006),$AC$1006:$AS$1006,0)), HYPERLINK("#",""), HYPERLINK(CONCATENATE("#Metadata!", ADDRESS(INDEX($X$2:$X$1001,MATCH(ROWS($V$2:V80),$V$2:$V$1001,0),0), INDEX($AC$1004:$AS$1004,1,MATCH(COLUMNS($AC$1006:AF1006),$AC$1006:$AS$1006,0)))),"Fix")))</f>
        <v>0</v>
      </c>
      <c r="F80" s="5">
        <f>IF(OR(INDEX($W$2:$W$1001,MATCH(ROWS($V$2:V80),$V$2:$V$1001,0),1)&gt;=100000,INDEX($AC$1005:$AS$1005,1,MATCH(COLUMNS($AC$1006:AG1006),$AC$1006:$AS$1006,0))&gt;=100000), " ",IF(INDEX($AC$2:$AS$1001,MATCH(ROWS($V$2:V80),$V$2:$V$1001,0),MATCH(COLUMNS($AC$1006:AG1006),$AC$1006:$AS$1006,0)), HYPERLINK("#",""), HYPERLINK(CONCATENATE("#Metadata!", ADDRESS(INDEX($X$2:$X$1001,MATCH(ROWS($V$2:V80),$V$2:$V$1001,0),0), INDEX($AC$1004:$AS$1004,1,MATCH(COLUMNS($AC$1006:AG1006),$AC$1006:$AS$1006,0)))),"Fix")))</f>
        <v>0</v>
      </c>
      <c r="G80" s="5">
        <f>IF(OR(INDEX($W$2:$W$1001,MATCH(ROWS($V$2:V80),$V$2:$V$1001,0),1)&gt;=100000,INDEX($AC$1005:$AS$1005,1,MATCH(COLUMNS($AC$1006:AH1006),$AC$1006:$AS$1006,0))&gt;=100000), " ",IF(INDEX($AC$2:$AS$1001,MATCH(ROWS($V$2:V80),$V$2:$V$1001,0),MATCH(COLUMNS($AC$1006:AH1006),$AC$1006:$AS$1006,0)), HYPERLINK("#",""), HYPERLINK(CONCATENATE("#Metadata!", ADDRESS(INDEX($X$2:$X$1001,MATCH(ROWS($V$2:V80),$V$2:$V$1001,0),0), INDEX($AC$1004:$AS$1004,1,MATCH(COLUMNS($AC$1006:AH1006),$AC$1006:$AS$1006,0)))),"Fix")))</f>
        <v>0</v>
      </c>
      <c r="H80" s="5">
        <f>IF(OR(INDEX($W$2:$W$1001,MATCH(ROWS($V$2:V80),$V$2:$V$1001,0),1)&gt;=100000,INDEX($AC$1005:$AS$1005,1,MATCH(COLUMNS($AC$1006:AI1006),$AC$1006:$AS$1006,0))&gt;=100000), " ",IF(INDEX($AC$2:$AS$1001,MATCH(ROWS($V$2:V80),$V$2:$V$1001,0),MATCH(COLUMNS($AC$1006:AI1006),$AC$1006:$AS$1006,0)), HYPERLINK("#",""), HYPERLINK(CONCATENATE("#Metadata!", ADDRESS(INDEX($X$2:$X$1001,MATCH(ROWS($V$2:V80),$V$2:$V$1001,0),0), INDEX($AC$1004:$AS$1004,1,MATCH(COLUMNS($AC$1006:AI1006),$AC$1006:$AS$1006,0)))),"Fix")))</f>
        <v>0</v>
      </c>
      <c r="I80" s="5">
        <f>IF(OR(INDEX($W$2:$W$1001,MATCH(ROWS($V$2:V80),$V$2:$V$1001,0),1)&gt;=100000,INDEX($AC$1005:$AS$1005,1,MATCH(COLUMNS($AC$1006:AJ1006),$AC$1006:$AS$1006,0))&gt;=100000), " ",IF(INDEX($AC$2:$AS$1001,MATCH(ROWS($V$2:V80),$V$2:$V$1001,0),MATCH(COLUMNS($AC$1006:AJ1006),$AC$1006:$AS$1006,0)), HYPERLINK("#",""), HYPERLINK(CONCATENATE("#Metadata!", ADDRESS(INDEX($X$2:$X$1001,MATCH(ROWS($V$2:V80),$V$2:$V$1001,0),0), INDEX($AC$1004:$AS$1004,1,MATCH(COLUMNS($AC$1006:AJ1006),$AC$1006:$AS$1006,0)))),"Fix")))</f>
        <v>0</v>
      </c>
      <c r="J80" s="5">
        <f>IF(OR(INDEX($W$2:$W$1001,MATCH(ROWS($V$2:V80),$V$2:$V$1001,0),1)&gt;=100000,INDEX($AC$1005:$AS$1005,1,MATCH(COLUMNS($AC$1006:AK1006),$AC$1006:$AS$1006,0))&gt;=100000), " ",IF(INDEX($AC$2:$AS$1001,MATCH(ROWS($V$2:V80),$V$2:$V$1001,0),MATCH(COLUMNS($AC$1006:AK1006),$AC$1006:$AS$1006,0)), HYPERLINK("#",""), HYPERLINK(CONCATENATE("#Metadata!", ADDRESS(INDEX($X$2:$X$1001,MATCH(ROWS($V$2:V80),$V$2:$V$1001,0),0), INDEX($AC$1004:$AS$1004,1,MATCH(COLUMNS($AC$1006:AK1006),$AC$1006:$AS$1006,0)))),"Fix")))</f>
        <v>0</v>
      </c>
      <c r="K80" s="5">
        <f>IF(OR(INDEX($W$2:$W$1001,MATCH(ROWS($V$2:V80),$V$2:$V$1001,0),1)&gt;=100000,INDEX($AC$1005:$AS$1005,1,MATCH(COLUMNS($AC$1006:AL1006),$AC$1006:$AS$1006,0))&gt;=100000), " ",IF(INDEX($AC$2:$AS$1001,MATCH(ROWS($V$2:V80),$V$2:$V$1001,0),MATCH(COLUMNS($AC$1006:AL1006),$AC$1006:$AS$1006,0)), HYPERLINK("#",""), HYPERLINK(CONCATENATE("#Metadata!", ADDRESS(INDEX($X$2:$X$1001,MATCH(ROWS($V$2:V80),$V$2:$V$1001,0),0), INDEX($AC$1004:$AS$1004,1,MATCH(COLUMNS($AC$1006:AL1006),$AC$1006:$AS$1006,0)))),"Fix")))</f>
        <v>0</v>
      </c>
      <c r="L80" s="5">
        <f>IF(OR(INDEX($W$2:$W$1001,MATCH(ROWS($V$2:V80),$V$2:$V$1001,0),1)&gt;=100000,INDEX($AC$1005:$AS$1005,1,MATCH(COLUMNS($AC$1006:AM1006),$AC$1006:$AS$1006,0))&gt;=100000), " ",IF(INDEX($AC$2:$AS$1001,MATCH(ROWS($V$2:V80),$V$2:$V$1001,0),MATCH(COLUMNS($AC$1006:AM1006),$AC$1006:$AS$1006,0)), HYPERLINK("#",""), HYPERLINK(CONCATENATE("#Metadata!", ADDRESS(INDEX($X$2:$X$1001,MATCH(ROWS($V$2:V80),$V$2:$V$1001,0),0), INDEX($AC$1004:$AS$1004,1,MATCH(COLUMNS($AC$1006:AM1006),$AC$1006:$AS$1006,0)))),"Fix")))</f>
        <v>0</v>
      </c>
      <c r="M80" s="5">
        <f>IF(OR(INDEX($W$2:$W$1001,MATCH(ROWS($V$2:V80),$V$2:$V$1001,0),1)&gt;=100000,INDEX($AC$1005:$AS$1005,1,MATCH(COLUMNS($AC$1006:AN1006),$AC$1006:$AS$1006,0))&gt;=100000), " ",IF(INDEX($AC$2:$AS$1001,MATCH(ROWS($V$2:V80),$V$2:$V$1001,0),MATCH(COLUMNS($AC$1006:AN1006),$AC$1006:$AS$1006,0)), HYPERLINK("#",""), HYPERLINK(CONCATENATE("#Metadata!", ADDRESS(INDEX($X$2:$X$1001,MATCH(ROWS($V$2:V80),$V$2:$V$1001,0),0), INDEX($AC$1004:$AS$1004,1,MATCH(COLUMNS($AC$1006:AN1006),$AC$1006:$AS$1006,0)))),"Fix")))</f>
        <v>0</v>
      </c>
      <c r="N80" s="5">
        <f>IF(OR(INDEX($W$2:$W$1001,MATCH(ROWS($V$2:V80),$V$2:$V$1001,0),1)&gt;=100000,INDEX($AC$1005:$AS$1005,1,MATCH(COLUMNS($AC$1006:AO1006),$AC$1006:$AS$1006,0))&gt;=100000), " ",IF(INDEX($AC$2:$AS$1001,MATCH(ROWS($V$2:V80),$V$2:$V$1001,0),MATCH(COLUMNS($AC$1006:AO1006),$AC$1006:$AS$1006,0)), HYPERLINK("#",""), HYPERLINK(CONCATENATE("#Metadata!", ADDRESS(INDEX($X$2:$X$1001,MATCH(ROWS($V$2:V80),$V$2:$V$1001,0),0), INDEX($AC$1004:$AS$1004,1,MATCH(COLUMNS($AC$1006:AO1006),$AC$1006:$AS$1006,0)))),"Fix")))</f>
        <v>0</v>
      </c>
      <c r="O80" s="5">
        <f>IF(OR(INDEX($W$2:$W$1001,MATCH(ROWS($V$2:V80),$V$2:$V$1001,0),1)&gt;=100000,INDEX($AC$1005:$AS$1005,1,MATCH(COLUMNS($AC$1006:AP1006),$AC$1006:$AS$1006,0))&gt;=100000), " ",IF(INDEX($AC$2:$AS$1001,MATCH(ROWS($V$2:V80),$V$2:$V$1001,0),MATCH(COLUMNS($AC$1006:AP1006),$AC$1006:$AS$1006,0)), HYPERLINK("#",""), HYPERLINK(CONCATENATE("#Metadata!", ADDRESS(INDEX($X$2:$X$1001,MATCH(ROWS($V$2:V80),$V$2:$V$1001,0),0), INDEX($AC$1004:$AS$1004,1,MATCH(COLUMNS($AC$1006:AP1006),$AC$1006:$AS$1006,0)))),"Fix")))</f>
        <v>0</v>
      </c>
      <c r="P80" s="5">
        <f>IF(OR(INDEX($W$2:$W$1001,MATCH(ROWS($V$2:V80),$V$2:$V$1001,0),1)&gt;=100000,INDEX($AC$1005:$AS$1005,1,MATCH(COLUMNS($AC$1006:AQ1006),$AC$1006:$AS$1006,0))&gt;=100000), " ",IF(INDEX($AC$2:$AS$1001,MATCH(ROWS($V$2:V80),$V$2:$V$1001,0),MATCH(COLUMNS($AC$1006:AQ1006),$AC$1006:$AS$1006,0)), HYPERLINK("#",""), HYPERLINK(CONCATENATE("#Metadata!", ADDRESS(INDEX($X$2:$X$1001,MATCH(ROWS($V$2:V80),$V$2:$V$1001,0),0), INDEX($AC$1004:$AS$1004,1,MATCH(COLUMNS($AC$1006:AQ1006),$AC$1006:$AS$1006,0)))),"Fix")))</f>
        <v>0</v>
      </c>
      <c r="Q80" s="5">
        <f>IF(OR(INDEX($W$2:$W$1001,MATCH(ROWS($V$2:V80),$V$2:$V$1001,0),1)&gt;=100000,INDEX($AC$1005:$AS$1005,1,MATCH(COLUMNS($AC$1006:AR1006),$AC$1006:$AS$1006,0))&gt;=100000), " ",IF(INDEX($AC$2:$AS$1001,MATCH(ROWS($V$2:V80),$V$2:$V$1001,0),MATCH(COLUMNS($AC$1006:AR1006),$AC$1006:$AS$1006,0)), HYPERLINK("#",""), HYPERLINK(CONCATENATE("#Metadata!", ADDRESS(INDEX($X$2:$X$1001,MATCH(ROWS($V$2:V80),$V$2:$V$1001,0),0), INDEX($AC$1004:$AS$1004,1,MATCH(COLUMNS($AC$1006:AR1006),$AC$1006:$AS$1006,0)))),"Fix")))</f>
        <v>0</v>
      </c>
      <c r="R80" s="5">
        <f>IF(OR(INDEX($W$2:$W$1001,MATCH(ROWS($V$2:V80),$V$2:$V$1001,0),1)&gt;=100000,INDEX($AC$1005:$AS$1005,1,MATCH(COLUMNS($AC$1006:AS1006),$AC$1006:$AS$1006,0))&gt;=100000), " ",IF(INDEX($AC$2:$AS$1001,MATCH(ROWS($V$2:V80),$V$2:$V$1001,0),MATCH(COLUMNS($AC$1006:AS1006),$AC$1006:$AS$1006,0)), HYPERLINK("#",""), HYPERLINK(CONCATENATE("#Metadata!", ADDRESS(INDEX($X$2:$X$1001,MATCH(ROWS($V$2:V80),$V$2:$V$1001,0),0), INDEX($AC$1004:$AS$1004,1,MATCH(COLUMNS($AC$1006:AS1006),$AC$1006:$AS$1006,0)))),"Fix")))</f>
        <v>0</v>
      </c>
      <c r="V80">
        <v>0</v>
      </c>
      <c r="W80">
        <v>0</v>
      </c>
      <c r="X80">
        <v>0</v>
      </c>
      <c r="Y80">
        <f>IF(Z80,TRUE,AND(AC80:AS80))</f>
        <v>0</v>
      </c>
      <c r="Z80">
        <f>COUNTBLANK(Metadata!B80:R80)=COLUMNS(Metadata!B80:R80)</f>
        <v>0</v>
      </c>
      <c r="AA80">
        <v>0</v>
      </c>
      <c r="AC80">
        <f>AND(IF(Metadata!B80="",FALSE,TRUE),COUNTIF(Metadata!B:B, Metadata!B80) = 1,NOT(ISERROR(SUMPRODUCT(SEARCH(MID(Metadata!B80,ROW(INDIRECT("1:"&amp;LEN(Metadata!B80))), 1),"0123456789abcdefghijklmnopqrstuvwxyzABCDEFGHIJKLMNOPQRSTUVWXYZ.")))))</f>
        <v>0</v>
      </c>
      <c r="AD80">
        <f>AND(IF(Metadata!C80="",FALSE,TRUE),exact(Metadata!C80,"Host-associated"))</f>
        <v>0</v>
      </c>
      <c r="AE80">
        <f>AND(IF(Metadata!D80="",FALSE,TRUE),OR(exact(Metadata!D80,"Animal"),exact(Metadata!D80,"Fungus"),exact(Metadata!D80,"Plant")))</f>
        <v>0</v>
      </c>
      <c r="AF80">
        <f>AND(IF(Metadata!E80="",FALSE,TRUE),OR(exact(Metadata!E80,"Plant secretion"),exact(Metadata!E80,"Plant rhizosphere"),exact(Metadata!E80,"Plant surface"),exact(Metadata!E80,"Plant corpus"),exact(Metadata!E80,"Fungus surface"),exact(Metadata!E80,"Fungus corpus"),exact(Metadata!E80,"Animal surface"),exact(Metadata!E80,"Animal proximal gut"),exact(Metadata!E80,"Animal corpus"),exact(Metadata!E80,"Animal distal gut"),exact(Metadata!E80,"Animal secretion")))</f>
        <v>0</v>
      </c>
      <c r="AG80">
        <f>OR(AND(IF(Metadata!F80="",FALSE,TRUE),OR(exact(Metadata!F80,"not collected"),exact(Metadata!F80,"not provided"),exact(Metadata!F80,"restricted access"))),AND(IF(Metadata!F80="",FALSE,TRUE),OR(exact(Metadata!F80,"organism-associated habitat"),exact(Metadata!F80,"plant-associated habitat"),exact(Metadata!F80,"animal-associated habitat"),exact(Metadata!F80,"insecta-associated habitat"),exact(Metadata!F80,"mammalia-associated habitat"),exact(Metadata!F80,"human-associated habitat"),exact(Metadata!F80,"livestock-associated habitat"))))</f>
        <v>0</v>
      </c>
      <c r="AH80">
        <f>AND(IF(Metadata!G80="",FALSE,TRUE),exact(Metadata!G80,"host-associated"))</f>
        <v>0</v>
      </c>
      <c r="AI80">
        <f>OR(AND(IF(Metadata!H80="",FALSE,TRUE),OR(exact(Metadata!H80,"not collected"),exact(Metadata!H80,"not provided"))),AND(IF(Metadata!H80="",FALSE,ISNUMBER(VALUE(Metadata!H80))),Metadata!H80&gt;0))</f>
        <v>0</v>
      </c>
      <c r="AJ80">
        <f>AND(IF(Metadata!I80="",FALSE,TRUE),exact(Metadata!I80,"years"))</f>
        <v>0</v>
      </c>
      <c r="AK80">
        <f>IF(Metadata!J80="",FALSE,TRUE)</f>
        <v>0</v>
      </c>
      <c r="AL80">
        <f>OR(AND(IF(Metadata!K80="",FALSE,TRUE),OR(exact(Metadata!K80,"not collected"),exact(Metadata!K80,"not provided"))),AND(IF(Metadata!K80="",FALSE,ISNUMBER(VALUE(Metadata!K80))),Metadata!K80&gt;0))</f>
        <v>0</v>
      </c>
      <c r="AM80">
        <f>AND(IF(Metadata!L80="",FALSE,TRUE),exact(Metadata!L80,"cm"))</f>
        <v>0</v>
      </c>
      <c r="AN80">
        <f>IF(Metadata!M80="",FALSE,TRUE)</f>
        <v>0</v>
      </c>
      <c r="AO80">
        <f>OR(AND(IF(Metadata!N80="",FALSE,TRUE),OR(exact(Metadata!N80,"not applicable"),exact(Metadata!N80,"not collected"),exact(Metadata!N80,"not provided"))),AND(IF(Metadata!N80="",FALSE,IF(ISERROR(INT(Metadata!N80)),FALSE,INT(Metadata!N80)=Metadata!N80)),Metadata!N80&gt;0))</f>
        <v>0</v>
      </c>
      <c r="AP80">
        <f>OR(AND(IF(Metadata!O80="",FALSE,TRUE),OR(exact(Metadata!O80,"not collected"),exact(Metadata!O80,"not provided"))),AND(IF(Metadata!O80="",FALSE,ISNUMBER(VALUE(Metadata!O80))),Metadata!O80&gt;0))</f>
        <v>0</v>
      </c>
      <c r="AQ80">
        <f>AND(IF(Metadata!P80="",FALSE,TRUE),exact(Metadata!P80,"kg"))</f>
        <v>0</v>
      </c>
      <c r="AR80">
        <f>OR(AND(IF(Metadata!Q80="",FALSE,TRUE),OR(exact(Metadata!Q80,"not applicable"),exact(Metadata!Q80,"not collected"),exact(Metadata!Q80,"not provided"),exact(Metadata!Q80,"restricted access"))),IF(Metadata!Q80="",FALSE,IF(ISERROR(INT(Metadata!Q80)),FALSE,INT(Metadata!Q80)=Metadata!Q80)))</f>
        <v>0</v>
      </c>
      <c r="AS80">
        <f>AND(IF(Metadata!R80="",FALSE,TRUE),exact(Metadata!R80,"Not applicable"))</f>
        <v>0</v>
      </c>
    </row>
    <row r="81" spans="1:45">
      <c r="A81" s="4">
        <f>IF(B81=" "," ",HYPERLINK(CONCATENATE("#metadata!",ADDRESS(INDEX($X$2:$X$1001,MATCH(ROWS($V$2:V81),$V$2:$V$1001,0),0),2)),INDEX($AA$2:$AA$1001,MATCH(ROWS($V$2:V81),$V$2:$V$1001,0),0)))</f>
        <v>0</v>
      </c>
      <c r="B81" s="5">
        <f>IF(OR(INDEX($W$2:$W$1001,MATCH(ROWS($V$2:V81),$V$2:$V$1001,0),1)&gt;=100000,INDEX($AC$1005:$AS$1005,1,MATCH(COLUMNS($AC$1006:AC1006),$AC$1006:$AS$1006,0))&gt;=100000), " ",IF(INDEX($AC$2:$AS$1001,MATCH(ROWS($V$2:V81),$V$2:$V$1001,0),MATCH(COLUMNS($AC$1006:AC1006),$AC$1006:$AS$1006,0)), HYPERLINK("#",""), HYPERLINK(CONCATENATE("#Metadata!", ADDRESS(INDEX($X$2:$X$1001,MATCH(ROWS($V$2:V81),$V$2:$V$1001,0),0), INDEX($AC$1004:$AS$1004,1,MATCH(COLUMNS($AC$1006:AC1006),$AC$1006:$AS$1006,0)))),"Fix")))</f>
        <v>0</v>
      </c>
      <c r="C81" s="5">
        <f>IF(OR(INDEX($W$2:$W$1001,MATCH(ROWS($V$2:V81),$V$2:$V$1001,0),1)&gt;=100000,INDEX($AC$1005:$AS$1005,1,MATCH(COLUMNS($AC$1006:AD1006),$AC$1006:$AS$1006,0))&gt;=100000), " ",IF(INDEX($AC$2:$AS$1001,MATCH(ROWS($V$2:V81),$V$2:$V$1001,0),MATCH(COLUMNS($AC$1006:AD1006),$AC$1006:$AS$1006,0)), HYPERLINK("#",""), HYPERLINK(CONCATENATE("#Metadata!", ADDRESS(INDEX($X$2:$X$1001,MATCH(ROWS($V$2:V81),$V$2:$V$1001,0),0), INDEX($AC$1004:$AS$1004,1,MATCH(COLUMNS($AC$1006:AD1006),$AC$1006:$AS$1006,0)))),"Fix")))</f>
        <v>0</v>
      </c>
      <c r="D81" s="5">
        <f>IF(OR(INDEX($W$2:$W$1001,MATCH(ROWS($V$2:V81),$V$2:$V$1001,0),1)&gt;=100000,INDEX($AC$1005:$AS$1005,1,MATCH(COLUMNS($AC$1006:AE1006),$AC$1006:$AS$1006,0))&gt;=100000), " ",IF(INDEX($AC$2:$AS$1001,MATCH(ROWS($V$2:V81),$V$2:$V$1001,0),MATCH(COLUMNS($AC$1006:AE1006),$AC$1006:$AS$1006,0)), HYPERLINK("#",""), HYPERLINK(CONCATENATE("#Metadata!", ADDRESS(INDEX($X$2:$X$1001,MATCH(ROWS($V$2:V81),$V$2:$V$1001,0),0), INDEX($AC$1004:$AS$1004,1,MATCH(COLUMNS($AC$1006:AE1006),$AC$1006:$AS$1006,0)))),"Fix")))</f>
        <v>0</v>
      </c>
      <c r="E81" s="5">
        <f>IF(OR(INDEX($W$2:$W$1001,MATCH(ROWS($V$2:V81),$V$2:$V$1001,0),1)&gt;=100000,INDEX($AC$1005:$AS$1005,1,MATCH(COLUMNS($AC$1006:AF1006),$AC$1006:$AS$1006,0))&gt;=100000), " ",IF(INDEX($AC$2:$AS$1001,MATCH(ROWS($V$2:V81),$V$2:$V$1001,0),MATCH(COLUMNS($AC$1006:AF1006),$AC$1006:$AS$1006,0)), HYPERLINK("#",""), HYPERLINK(CONCATENATE("#Metadata!", ADDRESS(INDEX($X$2:$X$1001,MATCH(ROWS($V$2:V81),$V$2:$V$1001,0),0), INDEX($AC$1004:$AS$1004,1,MATCH(COLUMNS($AC$1006:AF1006),$AC$1006:$AS$1006,0)))),"Fix")))</f>
        <v>0</v>
      </c>
      <c r="F81" s="5">
        <f>IF(OR(INDEX($W$2:$W$1001,MATCH(ROWS($V$2:V81),$V$2:$V$1001,0),1)&gt;=100000,INDEX($AC$1005:$AS$1005,1,MATCH(COLUMNS($AC$1006:AG1006),$AC$1006:$AS$1006,0))&gt;=100000), " ",IF(INDEX($AC$2:$AS$1001,MATCH(ROWS($V$2:V81),$V$2:$V$1001,0),MATCH(COLUMNS($AC$1006:AG1006),$AC$1006:$AS$1006,0)), HYPERLINK("#",""), HYPERLINK(CONCATENATE("#Metadata!", ADDRESS(INDEX($X$2:$X$1001,MATCH(ROWS($V$2:V81),$V$2:$V$1001,0),0), INDEX($AC$1004:$AS$1004,1,MATCH(COLUMNS($AC$1006:AG1006),$AC$1006:$AS$1006,0)))),"Fix")))</f>
        <v>0</v>
      </c>
      <c r="G81" s="5">
        <f>IF(OR(INDEX($W$2:$W$1001,MATCH(ROWS($V$2:V81),$V$2:$V$1001,0),1)&gt;=100000,INDEX($AC$1005:$AS$1005,1,MATCH(COLUMNS($AC$1006:AH1006),$AC$1006:$AS$1006,0))&gt;=100000), " ",IF(INDEX($AC$2:$AS$1001,MATCH(ROWS($V$2:V81),$V$2:$V$1001,0),MATCH(COLUMNS($AC$1006:AH1006),$AC$1006:$AS$1006,0)), HYPERLINK("#",""), HYPERLINK(CONCATENATE("#Metadata!", ADDRESS(INDEX($X$2:$X$1001,MATCH(ROWS($V$2:V81),$V$2:$V$1001,0),0), INDEX($AC$1004:$AS$1004,1,MATCH(COLUMNS($AC$1006:AH1006),$AC$1006:$AS$1006,0)))),"Fix")))</f>
        <v>0</v>
      </c>
      <c r="H81" s="5">
        <f>IF(OR(INDEX($W$2:$W$1001,MATCH(ROWS($V$2:V81),$V$2:$V$1001,0),1)&gt;=100000,INDEX($AC$1005:$AS$1005,1,MATCH(COLUMNS($AC$1006:AI1006),$AC$1006:$AS$1006,0))&gt;=100000), " ",IF(INDEX($AC$2:$AS$1001,MATCH(ROWS($V$2:V81),$V$2:$V$1001,0),MATCH(COLUMNS($AC$1006:AI1006),$AC$1006:$AS$1006,0)), HYPERLINK("#",""), HYPERLINK(CONCATENATE("#Metadata!", ADDRESS(INDEX($X$2:$X$1001,MATCH(ROWS($V$2:V81),$V$2:$V$1001,0),0), INDEX($AC$1004:$AS$1004,1,MATCH(COLUMNS($AC$1006:AI1006),$AC$1006:$AS$1006,0)))),"Fix")))</f>
        <v>0</v>
      </c>
      <c r="I81" s="5">
        <f>IF(OR(INDEX($W$2:$W$1001,MATCH(ROWS($V$2:V81),$V$2:$V$1001,0),1)&gt;=100000,INDEX($AC$1005:$AS$1005,1,MATCH(COLUMNS($AC$1006:AJ1006),$AC$1006:$AS$1006,0))&gt;=100000), " ",IF(INDEX($AC$2:$AS$1001,MATCH(ROWS($V$2:V81),$V$2:$V$1001,0),MATCH(COLUMNS($AC$1006:AJ1006),$AC$1006:$AS$1006,0)), HYPERLINK("#",""), HYPERLINK(CONCATENATE("#Metadata!", ADDRESS(INDEX($X$2:$X$1001,MATCH(ROWS($V$2:V81),$V$2:$V$1001,0),0), INDEX($AC$1004:$AS$1004,1,MATCH(COLUMNS($AC$1006:AJ1006),$AC$1006:$AS$1006,0)))),"Fix")))</f>
        <v>0</v>
      </c>
      <c r="J81" s="5">
        <f>IF(OR(INDEX($W$2:$W$1001,MATCH(ROWS($V$2:V81),$V$2:$V$1001,0),1)&gt;=100000,INDEX($AC$1005:$AS$1005,1,MATCH(COLUMNS($AC$1006:AK1006),$AC$1006:$AS$1006,0))&gt;=100000), " ",IF(INDEX($AC$2:$AS$1001,MATCH(ROWS($V$2:V81),$V$2:$V$1001,0),MATCH(COLUMNS($AC$1006:AK1006),$AC$1006:$AS$1006,0)), HYPERLINK("#",""), HYPERLINK(CONCATENATE("#Metadata!", ADDRESS(INDEX($X$2:$X$1001,MATCH(ROWS($V$2:V81),$V$2:$V$1001,0),0), INDEX($AC$1004:$AS$1004,1,MATCH(COLUMNS($AC$1006:AK1006),$AC$1006:$AS$1006,0)))),"Fix")))</f>
        <v>0</v>
      </c>
      <c r="K81" s="5">
        <f>IF(OR(INDEX($W$2:$W$1001,MATCH(ROWS($V$2:V81),$V$2:$V$1001,0),1)&gt;=100000,INDEX($AC$1005:$AS$1005,1,MATCH(COLUMNS($AC$1006:AL1006),$AC$1006:$AS$1006,0))&gt;=100000), " ",IF(INDEX($AC$2:$AS$1001,MATCH(ROWS($V$2:V81),$V$2:$V$1001,0),MATCH(COLUMNS($AC$1006:AL1006),$AC$1006:$AS$1006,0)), HYPERLINK("#",""), HYPERLINK(CONCATENATE("#Metadata!", ADDRESS(INDEX($X$2:$X$1001,MATCH(ROWS($V$2:V81),$V$2:$V$1001,0),0), INDEX($AC$1004:$AS$1004,1,MATCH(COLUMNS($AC$1006:AL1006),$AC$1006:$AS$1006,0)))),"Fix")))</f>
        <v>0</v>
      </c>
      <c r="L81" s="5">
        <f>IF(OR(INDEX($W$2:$W$1001,MATCH(ROWS($V$2:V81),$V$2:$V$1001,0),1)&gt;=100000,INDEX($AC$1005:$AS$1005,1,MATCH(COLUMNS($AC$1006:AM1006),$AC$1006:$AS$1006,0))&gt;=100000), " ",IF(INDEX($AC$2:$AS$1001,MATCH(ROWS($V$2:V81),$V$2:$V$1001,0),MATCH(COLUMNS($AC$1006:AM1006),$AC$1006:$AS$1006,0)), HYPERLINK("#",""), HYPERLINK(CONCATENATE("#Metadata!", ADDRESS(INDEX($X$2:$X$1001,MATCH(ROWS($V$2:V81),$V$2:$V$1001,0),0), INDEX($AC$1004:$AS$1004,1,MATCH(COLUMNS($AC$1006:AM1006),$AC$1006:$AS$1006,0)))),"Fix")))</f>
        <v>0</v>
      </c>
      <c r="M81" s="5">
        <f>IF(OR(INDEX($W$2:$W$1001,MATCH(ROWS($V$2:V81),$V$2:$V$1001,0),1)&gt;=100000,INDEX($AC$1005:$AS$1005,1,MATCH(COLUMNS($AC$1006:AN1006),$AC$1006:$AS$1006,0))&gt;=100000), " ",IF(INDEX($AC$2:$AS$1001,MATCH(ROWS($V$2:V81),$V$2:$V$1001,0),MATCH(COLUMNS($AC$1006:AN1006),$AC$1006:$AS$1006,0)), HYPERLINK("#",""), HYPERLINK(CONCATENATE("#Metadata!", ADDRESS(INDEX($X$2:$X$1001,MATCH(ROWS($V$2:V81),$V$2:$V$1001,0),0), INDEX($AC$1004:$AS$1004,1,MATCH(COLUMNS($AC$1006:AN1006),$AC$1006:$AS$1006,0)))),"Fix")))</f>
        <v>0</v>
      </c>
      <c r="N81" s="5">
        <f>IF(OR(INDEX($W$2:$W$1001,MATCH(ROWS($V$2:V81),$V$2:$V$1001,0),1)&gt;=100000,INDEX($AC$1005:$AS$1005,1,MATCH(COLUMNS($AC$1006:AO1006),$AC$1006:$AS$1006,0))&gt;=100000), " ",IF(INDEX($AC$2:$AS$1001,MATCH(ROWS($V$2:V81),$V$2:$V$1001,0),MATCH(COLUMNS($AC$1006:AO1006),$AC$1006:$AS$1006,0)), HYPERLINK("#",""), HYPERLINK(CONCATENATE("#Metadata!", ADDRESS(INDEX($X$2:$X$1001,MATCH(ROWS($V$2:V81),$V$2:$V$1001,0),0), INDEX($AC$1004:$AS$1004,1,MATCH(COLUMNS($AC$1006:AO1006),$AC$1006:$AS$1006,0)))),"Fix")))</f>
        <v>0</v>
      </c>
      <c r="O81" s="5">
        <f>IF(OR(INDEX($W$2:$W$1001,MATCH(ROWS($V$2:V81),$V$2:$V$1001,0),1)&gt;=100000,INDEX($AC$1005:$AS$1005,1,MATCH(COLUMNS($AC$1006:AP1006),$AC$1006:$AS$1006,0))&gt;=100000), " ",IF(INDEX($AC$2:$AS$1001,MATCH(ROWS($V$2:V81),$V$2:$V$1001,0),MATCH(COLUMNS($AC$1006:AP1006),$AC$1006:$AS$1006,0)), HYPERLINK("#",""), HYPERLINK(CONCATENATE("#Metadata!", ADDRESS(INDEX($X$2:$X$1001,MATCH(ROWS($V$2:V81),$V$2:$V$1001,0),0), INDEX($AC$1004:$AS$1004,1,MATCH(COLUMNS($AC$1006:AP1006),$AC$1006:$AS$1006,0)))),"Fix")))</f>
        <v>0</v>
      </c>
      <c r="P81" s="5">
        <f>IF(OR(INDEX($W$2:$W$1001,MATCH(ROWS($V$2:V81),$V$2:$V$1001,0),1)&gt;=100000,INDEX($AC$1005:$AS$1005,1,MATCH(COLUMNS($AC$1006:AQ1006),$AC$1006:$AS$1006,0))&gt;=100000), " ",IF(INDEX($AC$2:$AS$1001,MATCH(ROWS($V$2:V81),$V$2:$V$1001,0),MATCH(COLUMNS($AC$1006:AQ1006),$AC$1006:$AS$1006,0)), HYPERLINK("#",""), HYPERLINK(CONCATENATE("#Metadata!", ADDRESS(INDEX($X$2:$X$1001,MATCH(ROWS($V$2:V81),$V$2:$V$1001,0),0), INDEX($AC$1004:$AS$1004,1,MATCH(COLUMNS($AC$1006:AQ1006),$AC$1006:$AS$1006,0)))),"Fix")))</f>
        <v>0</v>
      </c>
      <c r="Q81" s="5">
        <f>IF(OR(INDEX($W$2:$W$1001,MATCH(ROWS($V$2:V81),$V$2:$V$1001,0),1)&gt;=100000,INDEX($AC$1005:$AS$1005,1,MATCH(COLUMNS($AC$1006:AR1006),$AC$1006:$AS$1006,0))&gt;=100000), " ",IF(INDEX($AC$2:$AS$1001,MATCH(ROWS($V$2:V81),$V$2:$V$1001,0),MATCH(COLUMNS($AC$1006:AR1006),$AC$1006:$AS$1006,0)), HYPERLINK("#",""), HYPERLINK(CONCATENATE("#Metadata!", ADDRESS(INDEX($X$2:$X$1001,MATCH(ROWS($V$2:V81),$V$2:$V$1001,0),0), INDEX($AC$1004:$AS$1004,1,MATCH(COLUMNS($AC$1006:AR1006),$AC$1006:$AS$1006,0)))),"Fix")))</f>
        <v>0</v>
      </c>
      <c r="R81" s="5">
        <f>IF(OR(INDEX($W$2:$W$1001,MATCH(ROWS($V$2:V81),$V$2:$V$1001,0),1)&gt;=100000,INDEX($AC$1005:$AS$1005,1,MATCH(COLUMNS($AC$1006:AS1006),$AC$1006:$AS$1006,0))&gt;=100000), " ",IF(INDEX($AC$2:$AS$1001,MATCH(ROWS($V$2:V81),$V$2:$V$1001,0),MATCH(COLUMNS($AC$1006:AS1006),$AC$1006:$AS$1006,0)), HYPERLINK("#",""), HYPERLINK(CONCATENATE("#Metadata!", ADDRESS(INDEX($X$2:$X$1001,MATCH(ROWS($V$2:V81),$V$2:$V$1001,0),0), INDEX($AC$1004:$AS$1004,1,MATCH(COLUMNS($AC$1006:AS1006),$AC$1006:$AS$1006,0)))),"Fix")))</f>
        <v>0</v>
      </c>
      <c r="V81">
        <v>0</v>
      </c>
      <c r="W81">
        <v>0</v>
      </c>
      <c r="X81">
        <v>0</v>
      </c>
      <c r="Y81">
        <f>IF(Z81,TRUE,AND(AC81:AS81))</f>
        <v>0</v>
      </c>
      <c r="Z81">
        <f>COUNTBLANK(Metadata!B81:R81)=COLUMNS(Metadata!B81:R81)</f>
        <v>0</v>
      </c>
      <c r="AA81">
        <v>0</v>
      </c>
      <c r="AC81">
        <f>AND(IF(Metadata!B81="",FALSE,TRUE),COUNTIF(Metadata!B:B, Metadata!B81) = 1,NOT(ISERROR(SUMPRODUCT(SEARCH(MID(Metadata!B81,ROW(INDIRECT("1:"&amp;LEN(Metadata!B81))), 1),"0123456789abcdefghijklmnopqrstuvwxyzABCDEFGHIJKLMNOPQRSTUVWXYZ.")))))</f>
        <v>0</v>
      </c>
      <c r="AD81">
        <f>AND(IF(Metadata!C81="",FALSE,TRUE),exact(Metadata!C81,"Host-associated"))</f>
        <v>0</v>
      </c>
      <c r="AE81">
        <f>AND(IF(Metadata!D81="",FALSE,TRUE),OR(exact(Metadata!D81,"Animal"),exact(Metadata!D81,"Fungus"),exact(Metadata!D81,"Plant")))</f>
        <v>0</v>
      </c>
      <c r="AF81">
        <f>AND(IF(Metadata!E81="",FALSE,TRUE),OR(exact(Metadata!E81,"Plant secretion"),exact(Metadata!E81,"Plant rhizosphere"),exact(Metadata!E81,"Plant surface"),exact(Metadata!E81,"Plant corpus"),exact(Metadata!E81,"Fungus surface"),exact(Metadata!E81,"Fungus corpus"),exact(Metadata!E81,"Animal surface"),exact(Metadata!E81,"Animal proximal gut"),exact(Metadata!E81,"Animal corpus"),exact(Metadata!E81,"Animal distal gut"),exact(Metadata!E81,"Animal secretion")))</f>
        <v>0</v>
      </c>
      <c r="AG81">
        <f>OR(AND(IF(Metadata!F81="",FALSE,TRUE),OR(exact(Metadata!F81,"not collected"),exact(Metadata!F81,"not provided"),exact(Metadata!F81,"restricted access"))),AND(IF(Metadata!F81="",FALSE,TRUE),OR(exact(Metadata!F81,"organism-associated habitat"),exact(Metadata!F81,"plant-associated habitat"),exact(Metadata!F81,"animal-associated habitat"),exact(Metadata!F81,"insecta-associated habitat"),exact(Metadata!F81,"mammalia-associated habitat"),exact(Metadata!F81,"human-associated habitat"),exact(Metadata!F81,"livestock-associated habitat"))))</f>
        <v>0</v>
      </c>
      <c r="AH81">
        <f>AND(IF(Metadata!G81="",FALSE,TRUE),exact(Metadata!G81,"host-associated"))</f>
        <v>0</v>
      </c>
      <c r="AI81">
        <f>OR(AND(IF(Metadata!H81="",FALSE,TRUE),OR(exact(Metadata!H81,"not collected"),exact(Metadata!H81,"not provided"))),AND(IF(Metadata!H81="",FALSE,ISNUMBER(VALUE(Metadata!H81))),Metadata!H81&gt;0))</f>
        <v>0</v>
      </c>
      <c r="AJ81">
        <f>AND(IF(Metadata!I81="",FALSE,TRUE),exact(Metadata!I81,"years"))</f>
        <v>0</v>
      </c>
      <c r="AK81">
        <f>IF(Metadata!J81="",FALSE,TRUE)</f>
        <v>0</v>
      </c>
      <c r="AL81">
        <f>OR(AND(IF(Metadata!K81="",FALSE,TRUE),OR(exact(Metadata!K81,"not collected"),exact(Metadata!K81,"not provided"))),AND(IF(Metadata!K81="",FALSE,ISNUMBER(VALUE(Metadata!K81))),Metadata!K81&gt;0))</f>
        <v>0</v>
      </c>
      <c r="AM81">
        <f>AND(IF(Metadata!L81="",FALSE,TRUE),exact(Metadata!L81,"cm"))</f>
        <v>0</v>
      </c>
      <c r="AN81">
        <f>IF(Metadata!M81="",FALSE,TRUE)</f>
        <v>0</v>
      </c>
      <c r="AO81">
        <f>OR(AND(IF(Metadata!N81="",FALSE,TRUE),OR(exact(Metadata!N81,"not applicable"),exact(Metadata!N81,"not collected"),exact(Metadata!N81,"not provided"))),AND(IF(Metadata!N81="",FALSE,IF(ISERROR(INT(Metadata!N81)),FALSE,INT(Metadata!N81)=Metadata!N81)),Metadata!N81&gt;0))</f>
        <v>0</v>
      </c>
      <c r="AP81">
        <f>OR(AND(IF(Metadata!O81="",FALSE,TRUE),OR(exact(Metadata!O81,"not collected"),exact(Metadata!O81,"not provided"))),AND(IF(Metadata!O81="",FALSE,ISNUMBER(VALUE(Metadata!O81))),Metadata!O81&gt;0))</f>
        <v>0</v>
      </c>
      <c r="AQ81">
        <f>AND(IF(Metadata!P81="",FALSE,TRUE),exact(Metadata!P81,"kg"))</f>
        <v>0</v>
      </c>
      <c r="AR81">
        <f>OR(AND(IF(Metadata!Q81="",FALSE,TRUE),OR(exact(Metadata!Q81,"not applicable"),exact(Metadata!Q81,"not collected"),exact(Metadata!Q81,"not provided"),exact(Metadata!Q81,"restricted access"))),IF(Metadata!Q81="",FALSE,IF(ISERROR(INT(Metadata!Q81)),FALSE,INT(Metadata!Q81)=Metadata!Q81)))</f>
        <v>0</v>
      </c>
      <c r="AS81">
        <f>AND(IF(Metadata!R81="",FALSE,TRUE),exact(Metadata!R81,"Not applicable"))</f>
        <v>0</v>
      </c>
    </row>
    <row r="82" spans="1:45">
      <c r="A82" s="4">
        <f>IF(B82=" "," ",HYPERLINK(CONCATENATE("#metadata!",ADDRESS(INDEX($X$2:$X$1001,MATCH(ROWS($V$2:V82),$V$2:$V$1001,0),0),2)),INDEX($AA$2:$AA$1001,MATCH(ROWS($V$2:V82),$V$2:$V$1001,0),0)))</f>
        <v>0</v>
      </c>
      <c r="B82" s="5">
        <f>IF(OR(INDEX($W$2:$W$1001,MATCH(ROWS($V$2:V82),$V$2:$V$1001,0),1)&gt;=100000,INDEX($AC$1005:$AS$1005,1,MATCH(COLUMNS($AC$1006:AC1006),$AC$1006:$AS$1006,0))&gt;=100000), " ",IF(INDEX($AC$2:$AS$1001,MATCH(ROWS($V$2:V82),$V$2:$V$1001,0),MATCH(COLUMNS($AC$1006:AC1006),$AC$1006:$AS$1006,0)), HYPERLINK("#",""), HYPERLINK(CONCATENATE("#Metadata!", ADDRESS(INDEX($X$2:$X$1001,MATCH(ROWS($V$2:V82),$V$2:$V$1001,0),0), INDEX($AC$1004:$AS$1004,1,MATCH(COLUMNS($AC$1006:AC1006),$AC$1006:$AS$1006,0)))),"Fix")))</f>
        <v>0</v>
      </c>
      <c r="C82" s="5">
        <f>IF(OR(INDEX($W$2:$W$1001,MATCH(ROWS($V$2:V82),$V$2:$V$1001,0),1)&gt;=100000,INDEX($AC$1005:$AS$1005,1,MATCH(COLUMNS($AC$1006:AD1006),$AC$1006:$AS$1006,0))&gt;=100000), " ",IF(INDEX($AC$2:$AS$1001,MATCH(ROWS($V$2:V82),$V$2:$V$1001,0),MATCH(COLUMNS($AC$1006:AD1006),$AC$1006:$AS$1006,0)), HYPERLINK("#",""), HYPERLINK(CONCATENATE("#Metadata!", ADDRESS(INDEX($X$2:$X$1001,MATCH(ROWS($V$2:V82),$V$2:$V$1001,0),0), INDEX($AC$1004:$AS$1004,1,MATCH(COLUMNS($AC$1006:AD1006),$AC$1006:$AS$1006,0)))),"Fix")))</f>
        <v>0</v>
      </c>
      <c r="D82" s="5">
        <f>IF(OR(INDEX($W$2:$W$1001,MATCH(ROWS($V$2:V82),$V$2:$V$1001,0),1)&gt;=100000,INDEX($AC$1005:$AS$1005,1,MATCH(COLUMNS($AC$1006:AE1006),$AC$1006:$AS$1006,0))&gt;=100000), " ",IF(INDEX($AC$2:$AS$1001,MATCH(ROWS($V$2:V82),$V$2:$V$1001,0),MATCH(COLUMNS($AC$1006:AE1006),$AC$1006:$AS$1006,0)), HYPERLINK("#",""), HYPERLINK(CONCATENATE("#Metadata!", ADDRESS(INDEX($X$2:$X$1001,MATCH(ROWS($V$2:V82),$V$2:$V$1001,0),0), INDEX($AC$1004:$AS$1004,1,MATCH(COLUMNS($AC$1006:AE1006),$AC$1006:$AS$1006,0)))),"Fix")))</f>
        <v>0</v>
      </c>
      <c r="E82" s="5">
        <f>IF(OR(INDEX($W$2:$W$1001,MATCH(ROWS($V$2:V82),$V$2:$V$1001,0),1)&gt;=100000,INDEX($AC$1005:$AS$1005,1,MATCH(COLUMNS($AC$1006:AF1006),$AC$1006:$AS$1006,0))&gt;=100000), " ",IF(INDEX($AC$2:$AS$1001,MATCH(ROWS($V$2:V82),$V$2:$V$1001,0),MATCH(COLUMNS($AC$1006:AF1006),$AC$1006:$AS$1006,0)), HYPERLINK("#",""), HYPERLINK(CONCATENATE("#Metadata!", ADDRESS(INDEX($X$2:$X$1001,MATCH(ROWS($V$2:V82),$V$2:$V$1001,0),0), INDEX($AC$1004:$AS$1004,1,MATCH(COLUMNS($AC$1006:AF1006),$AC$1006:$AS$1006,0)))),"Fix")))</f>
        <v>0</v>
      </c>
      <c r="F82" s="5">
        <f>IF(OR(INDEX($W$2:$W$1001,MATCH(ROWS($V$2:V82),$V$2:$V$1001,0),1)&gt;=100000,INDEX($AC$1005:$AS$1005,1,MATCH(COLUMNS($AC$1006:AG1006),$AC$1006:$AS$1006,0))&gt;=100000), " ",IF(INDEX($AC$2:$AS$1001,MATCH(ROWS($V$2:V82),$V$2:$V$1001,0),MATCH(COLUMNS($AC$1006:AG1006),$AC$1006:$AS$1006,0)), HYPERLINK("#",""), HYPERLINK(CONCATENATE("#Metadata!", ADDRESS(INDEX($X$2:$X$1001,MATCH(ROWS($V$2:V82),$V$2:$V$1001,0),0), INDEX($AC$1004:$AS$1004,1,MATCH(COLUMNS($AC$1006:AG1006),$AC$1006:$AS$1006,0)))),"Fix")))</f>
        <v>0</v>
      </c>
      <c r="G82" s="5">
        <f>IF(OR(INDEX($W$2:$W$1001,MATCH(ROWS($V$2:V82),$V$2:$V$1001,0),1)&gt;=100000,INDEX($AC$1005:$AS$1005,1,MATCH(COLUMNS($AC$1006:AH1006),$AC$1006:$AS$1006,0))&gt;=100000), " ",IF(INDEX($AC$2:$AS$1001,MATCH(ROWS($V$2:V82),$V$2:$V$1001,0),MATCH(COLUMNS($AC$1006:AH1006),$AC$1006:$AS$1006,0)), HYPERLINK("#",""), HYPERLINK(CONCATENATE("#Metadata!", ADDRESS(INDEX($X$2:$X$1001,MATCH(ROWS($V$2:V82),$V$2:$V$1001,0),0), INDEX($AC$1004:$AS$1004,1,MATCH(COLUMNS($AC$1006:AH1006),$AC$1006:$AS$1006,0)))),"Fix")))</f>
        <v>0</v>
      </c>
      <c r="H82" s="5">
        <f>IF(OR(INDEX($W$2:$W$1001,MATCH(ROWS($V$2:V82),$V$2:$V$1001,0),1)&gt;=100000,INDEX($AC$1005:$AS$1005,1,MATCH(COLUMNS($AC$1006:AI1006),$AC$1006:$AS$1006,0))&gt;=100000), " ",IF(INDEX($AC$2:$AS$1001,MATCH(ROWS($V$2:V82),$V$2:$V$1001,0),MATCH(COLUMNS($AC$1006:AI1006),$AC$1006:$AS$1006,0)), HYPERLINK("#",""), HYPERLINK(CONCATENATE("#Metadata!", ADDRESS(INDEX($X$2:$X$1001,MATCH(ROWS($V$2:V82),$V$2:$V$1001,0),0), INDEX($AC$1004:$AS$1004,1,MATCH(COLUMNS($AC$1006:AI1006),$AC$1006:$AS$1006,0)))),"Fix")))</f>
        <v>0</v>
      </c>
      <c r="I82" s="5">
        <f>IF(OR(INDEX($W$2:$W$1001,MATCH(ROWS($V$2:V82),$V$2:$V$1001,0),1)&gt;=100000,INDEX($AC$1005:$AS$1005,1,MATCH(COLUMNS($AC$1006:AJ1006),$AC$1006:$AS$1006,0))&gt;=100000), " ",IF(INDEX($AC$2:$AS$1001,MATCH(ROWS($V$2:V82),$V$2:$V$1001,0),MATCH(COLUMNS($AC$1006:AJ1006),$AC$1006:$AS$1006,0)), HYPERLINK("#",""), HYPERLINK(CONCATENATE("#Metadata!", ADDRESS(INDEX($X$2:$X$1001,MATCH(ROWS($V$2:V82),$V$2:$V$1001,0),0), INDEX($AC$1004:$AS$1004,1,MATCH(COLUMNS($AC$1006:AJ1006),$AC$1006:$AS$1006,0)))),"Fix")))</f>
        <v>0</v>
      </c>
      <c r="J82" s="5">
        <f>IF(OR(INDEX($W$2:$W$1001,MATCH(ROWS($V$2:V82),$V$2:$V$1001,0),1)&gt;=100000,INDEX($AC$1005:$AS$1005,1,MATCH(COLUMNS($AC$1006:AK1006),$AC$1006:$AS$1006,0))&gt;=100000), " ",IF(INDEX($AC$2:$AS$1001,MATCH(ROWS($V$2:V82),$V$2:$V$1001,0),MATCH(COLUMNS($AC$1006:AK1006),$AC$1006:$AS$1006,0)), HYPERLINK("#",""), HYPERLINK(CONCATENATE("#Metadata!", ADDRESS(INDEX($X$2:$X$1001,MATCH(ROWS($V$2:V82),$V$2:$V$1001,0),0), INDEX($AC$1004:$AS$1004,1,MATCH(COLUMNS($AC$1006:AK1006),$AC$1006:$AS$1006,0)))),"Fix")))</f>
        <v>0</v>
      </c>
      <c r="K82" s="5">
        <f>IF(OR(INDEX($W$2:$W$1001,MATCH(ROWS($V$2:V82),$V$2:$V$1001,0),1)&gt;=100000,INDEX($AC$1005:$AS$1005,1,MATCH(COLUMNS($AC$1006:AL1006),$AC$1006:$AS$1006,0))&gt;=100000), " ",IF(INDEX($AC$2:$AS$1001,MATCH(ROWS($V$2:V82),$V$2:$V$1001,0),MATCH(COLUMNS($AC$1006:AL1006),$AC$1006:$AS$1006,0)), HYPERLINK("#",""), HYPERLINK(CONCATENATE("#Metadata!", ADDRESS(INDEX($X$2:$X$1001,MATCH(ROWS($V$2:V82),$V$2:$V$1001,0),0), INDEX($AC$1004:$AS$1004,1,MATCH(COLUMNS($AC$1006:AL1006),$AC$1006:$AS$1006,0)))),"Fix")))</f>
        <v>0</v>
      </c>
      <c r="L82" s="5">
        <f>IF(OR(INDEX($W$2:$W$1001,MATCH(ROWS($V$2:V82),$V$2:$V$1001,0),1)&gt;=100000,INDEX($AC$1005:$AS$1005,1,MATCH(COLUMNS($AC$1006:AM1006),$AC$1006:$AS$1006,0))&gt;=100000), " ",IF(INDEX($AC$2:$AS$1001,MATCH(ROWS($V$2:V82),$V$2:$V$1001,0),MATCH(COLUMNS($AC$1006:AM1006),$AC$1006:$AS$1006,0)), HYPERLINK("#",""), HYPERLINK(CONCATENATE("#Metadata!", ADDRESS(INDEX($X$2:$X$1001,MATCH(ROWS($V$2:V82),$V$2:$V$1001,0),0), INDEX($AC$1004:$AS$1004,1,MATCH(COLUMNS($AC$1006:AM1006),$AC$1006:$AS$1006,0)))),"Fix")))</f>
        <v>0</v>
      </c>
      <c r="M82" s="5">
        <f>IF(OR(INDEX($W$2:$W$1001,MATCH(ROWS($V$2:V82),$V$2:$V$1001,0),1)&gt;=100000,INDEX($AC$1005:$AS$1005,1,MATCH(COLUMNS($AC$1006:AN1006),$AC$1006:$AS$1006,0))&gt;=100000), " ",IF(INDEX($AC$2:$AS$1001,MATCH(ROWS($V$2:V82),$V$2:$V$1001,0),MATCH(COLUMNS($AC$1006:AN1006),$AC$1006:$AS$1006,0)), HYPERLINK("#",""), HYPERLINK(CONCATENATE("#Metadata!", ADDRESS(INDEX($X$2:$X$1001,MATCH(ROWS($V$2:V82),$V$2:$V$1001,0),0), INDEX($AC$1004:$AS$1004,1,MATCH(COLUMNS($AC$1006:AN1006),$AC$1006:$AS$1006,0)))),"Fix")))</f>
        <v>0</v>
      </c>
      <c r="N82" s="5">
        <f>IF(OR(INDEX($W$2:$W$1001,MATCH(ROWS($V$2:V82),$V$2:$V$1001,0),1)&gt;=100000,INDEX($AC$1005:$AS$1005,1,MATCH(COLUMNS($AC$1006:AO1006),$AC$1006:$AS$1006,0))&gt;=100000), " ",IF(INDEX($AC$2:$AS$1001,MATCH(ROWS($V$2:V82),$V$2:$V$1001,0),MATCH(COLUMNS($AC$1006:AO1006),$AC$1006:$AS$1006,0)), HYPERLINK("#",""), HYPERLINK(CONCATENATE("#Metadata!", ADDRESS(INDEX($X$2:$X$1001,MATCH(ROWS($V$2:V82),$V$2:$V$1001,0),0), INDEX($AC$1004:$AS$1004,1,MATCH(COLUMNS($AC$1006:AO1006),$AC$1006:$AS$1006,0)))),"Fix")))</f>
        <v>0</v>
      </c>
      <c r="O82" s="5">
        <f>IF(OR(INDEX($W$2:$W$1001,MATCH(ROWS($V$2:V82),$V$2:$V$1001,0),1)&gt;=100000,INDEX($AC$1005:$AS$1005,1,MATCH(COLUMNS($AC$1006:AP1006),$AC$1006:$AS$1006,0))&gt;=100000), " ",IF(INDEX($AC$2:$AS$1001,MATCH(ROWS($V$2:V82),$V$2:$V$1001,0),MATCH(COLUMNS($AC$1006:AP1006),$AC$1006:$AS$1006,0)), HYPERLINK("#",""), HYPERLINK(CONCATENATE("#Metadata!", ADDRESS(INDEX($X$2:$X$1001,MATCH(ROWS($V$2:V82),$V$2:$V$1001,0),0), INDEX($AC$1004:$AS$1004,1,MATCH(COLUMNS($AC$1006:AP1006),$AC$1006:$AS$1006,0)))),"Fix")))</f>
        <v>0</v>
      </c>
      <c r="P82" s="5">
        <f>IF(OR(INDEX($W$2:$W$1001,MATCH(ROWS($V$2:V82),$V$2:$V$1001,0),1)&gt;=100000,INDEX($AC$1005:$AS$1005,1,MATCH(COLUMNS($AC$1006:AQ1006),$AC$1006:$AS$1006,0))&gt;=100000), " ",IF(INDEX($AC$2:$AS$1001,MATCH(ROWS($V$2:V82),$V$2:$V$1001,0),MATCH(COLUMNS($AC$1006:AQ1006),$AC$1006:$AS$1006,0)), HYPERLINK("#",""), HYPERLINK(CONCATENATE("#Metadata!", ADDRESS(INDEX($X$2:$X$1001,MATCH(ROWS($V$2:V82),$V$2:$V$1001,0),0), INDEX($AC$1004:$AS$1004,1,MATCH(COLUMNS($AC$1006:AQ1006),$AC$1006:$AS$1006,0)))),"Fix")))</f>
        <v>0</v>
      </c>
      <c r="Q82" s="5">
        <f>IF(OR(INDEX($W$2:$W$1001,MATCH(ROWS($V$2:V82),$V$2:$V$1001,0),1)&gt;=100000,INDEX($AC$1005:$AS$1005,1,MATCH(COLUMNS($AC$1006:AR1006),$AC$1006:$AS$1006,0))&gt;=100000), " ",IF(INDEX($AC$2:$AS$1001,MATCH(ROWS($V$2:V82),$V$2:$V$1001,0),MATCH(COLUMNS($AC$1006:AR1006),$AC$1006:$AS$1006,0)), HYPERLINK("#",""), HYPERLINK(CONCATENATE("#Metadata!", ADDRESS(INDEX($X$2:$X$1001,MATCH(ROWS($V$2:V82),$V$2:$V$1001,0),0), INDEX($AC$1004:$AS$1004,1,MATCH(COLUMNS($AC$1006:AR1006),$AC$1006:$AS$1006,0)))),"Fix")))</f>
        <v>0</v>
      </c>
      <c r="R82" s="5">
        <f>IF(OR(INDEX($W$2:$W$1001,MATCH(ROWS($V$2:V82),$V$2:$V$1001,0),1)&gt;=100000,INDEX($AC$1005:$AS$1005,1,MATCH(COLUMNS($AC$1006:AS1006),$AC$1006:$AS$1006,0))&gt;=100000), " ",IF(INDEX($AC$2:$AS$1001,MATCH(ROWS($V$2:V82),$V$2:$V$1001,0),MATCH(COLUMNS($AC$1006:AS1006),$AC$1006:$AS$1006,0)), HYPERLINK("#",""), HYPERLINK(CONCATENATE("#Metadata!", ADDRESS(INDEX($X$2:$X$1001,MATCH(ROWS($V$2:V82),$V$2:$V$1001,0),0), INDEX($AC$1004:$AS$1004,1,MATCH(COLUMNS($AC$1006:AS1006),$AC$1006:$AS$1006,0)))),"Fix")))</f>
        <v>0</v>
      </c>
      <c r="V82">
        <v>0</v>
      </c>
      <c r="W82">
        <v>0</v>
      </c>
      <c r="X82">
        <v>0</v>
      </c>
      <c r="Y82">
        <f>IF(Z82,TRUE,AND(AC82:AS82))</f>
        <v>0</v>
      </c>
      <c r="Z82">
        <f>COUNTBLANK(Metadata!B82:R82)=COLUMNS(Metadata!B82:R82)</f>
        <v>0</v>
      </c>
      <c r="AA82">
        <v>0</v>
      </c>
      <c r="AC82">
        <f>AND(IF(Metadata!B82="",FALSE,TRUE),COUNTIF(Metadata!B:B, Metadata!B82) = 1,NOT(ISERROR(SUMPRODUCT(SEARCH(MID(Metadata!B82,ROW(INDIRECT("1:"&amp;LEN(Metadata!B82))), 1),"0123456789abcdefghijklmnopqrstuvwxyzABCDEFGHIJKLMNOPQRSTUVWXYZ.")))))</f>
        <v>0</v>
      </c>
      <c r="AD82">
        <f>AND(IF(Metadata!C82="",FALSE,TRUE),exact(Metadata!C82,"Host-associated"))</f>
        <v>0</v>
      </c>
      <c r="AE82">
        <f>AND(IF(Metadata!D82="",FALSE,TRUE),OR(exact(Metadata!D82,"Animal"),exact(Metadata!D82,"Fungus"),exact(Metadata!D82,"Plant")))</f>
        <v>0</v>
      </c>
      <c r="AF82">
        <f>AND(IF(Metadata!E82="",FALSE,TRUE),OR(exact(Metadata!E82,"Plant secretion"),exact(Metadata!E82,"Plant rhizosphere"),exact(Metadata!E82,"Plant surface"),exact(Metadata!E82,"Plant corpus"),exact(Metadata!E82,"Fungus surface"),exact(Metadata!E82,"Fungus corpus"),exact(Metadata!E82,"Animal surface"),exact(Metadata!E82,"Animal proximal gut"),exact(Metadata!E82,"Animal corpus"),exact(Metadata!E82,"Animal distal gut"),exact(Metadata!E82,"Animal secretion")))</f>
        <v>0</v>
      </c>
      <c r="AG82">
        <f>OR(AND(IF(Metadata!F82="",FALSE,TRUE),OR(exact(Metadata!F82,"not collected"),exact(Metadata!F82,"not provided"),exact(Metadata!F82,"restricted access"))),AND(IF(Metadata!F82="",FALSE,TRUE),OR(exact(Metadata!F82,"organism-associated habitat"),exact(Metadata!F82,"plant-associated habitat"),exact(Metadata!F82,"animal-associated habitat"),exact(Metadata!F82,"insecta-associated habitat"),exact(Metadata!F82,"mammalia-associated habitat"),exact(Metadata!F82,"human-associated habitat"),exact(Metadata!F82,"livestock-associated habitat"))))</f>
        <v>0</v>
      </c>
      <c r="AH82">
        <f>AND(IF(Metadata!G82="",FALSE,TRUE),exact(Metadata!G82,"host-associated"))</f>
        <v>0</v>
      </c>
      <c r="AI82">
        <f>OR(AND(IF(Metadata!H82="",FALSE,TRUE),OR(exact(Metadata!H82,"not collected"),exact(Metadata!H82,"not provided"))),AND(IF(Metadata!H82="",FALSE,ISNUMBER(VALUE(Metadata!H82))),Metadata!H82&gt;0))</f>
        <v>0</v>
      </c>
      <c r="AJ82">
        <f>AND(IF(Metadata!I82="",FALSE,TRUE),exact(Metadata!I82,"years"))</f>
        <v>0</v>
      </c>
      <c r="AK82">
        <f>IF(Metadata!J82="",FALSE,TRUE)</f>
        <v>0</v>
      </c>
      <c r="AL82">
        <f>OR(AND(IF(Metadata!K82="",FALSE,TRUE),OR(exact(Metadata!K82,"not collected"),exact(Metadata!K82,"not provided"))),AND(IF(Metadata!K82="",FALSE,ISNUMBER(VALUE(Metadata!K82))),Metadata!K82&gt;0))</f>
        <v>0</v>
      </c>
      <c r="AM82">
        <f>AND(IF(Metadata!L82="",FALSE,TRUE),exact(Metadata!L82,"cm"))</f>
        <v>0</v>
      </c>
      <c r="AN82">
        <f>IF(Metadata!M82="",FALSE,TRUE)</f>
        <v>0</v>
      </c>
      <c r="AO82">
        <f>OR(AND(IF(Metadata!N82="",FALSE,TRUE),OR(exact(Metadata!N82,"not applicable"),exact(Metadata!N82,"not collected"),exact(Metadata!N82,"not provided"))),AND(IF(Metadata!N82="",FALSE,IF(ISERROR(INT(Metadata!N82)),FALSE,INT(Metadata!N82)=Metadata!N82)),Metadata!N82&gt;0))</f>
        <v>0</v>
      </c>
      <c r="AP82">
        <f>OR(AND(IF(Metadata!O82="",FALSE,TRUE),OR(exact(Metadata!O82,"not collected"),exact(Metadata!O82,"not provided"))),AND(IF(Metadata!O82="",FALSE,ISNUMBER(VALUE(Metadata!O82))),Metadata!O82&gt;0))</f>
        <v>0</v>
      </c>
      <c r="AQ82">
        <f>AND(IF(Metadata!P82="",FALSE,TRUE),exact(Metadata!P82,"kg"))</f>
        <v>0</v>
      </c>
      <c r="AR82">
        <f>OR(AND(IF(Metadata!Q82="",FALSE,TRUE),OR(exact(Metadata!Q82,"not applicable"),exact(Metadata!Q82,"not collected"),exact(Metadata!Q82,"not provided"),exact(Metadata!Q82,"restricted access"))),IF(Metadata!Q82="",FALSE,IF(ISERROR(INT(Metadata!Q82)),FALSE,INT(Metadata!Q82)=Metadata!Q82)))</f>
        <v>0</v>
      </c>
      <c r="AS82">
        <f>AND(IF(Metadata!R82="",FALSE,TRUE),exact(Metadata!R82,"Not applicable"))</f>
        <v>0</v>
      </c>
    </row>
    <row r="83" spans="1:45">
      <c r="A83" s="4">
        <f>IF(B83=" "," ",HYPERLINK(CONCATENATE("#metadata!",ADDRESS(INDEX($X$2:$X$1001,MATCH(ROWS($V$2:V83),$V$2:$V$1001,0),0),2)),INDEX($AA$2:$AA$1001,MATCH(ROWS($V$2:V83),$V$2:$V$1001,0),0)))</f>
        <v>0</v>
      </c>
      <c r="B83" s="5">
        <f>IF(OR(INDEX($W$2:$W$1001,MATCH(ROWS($V$2:V83),$V$2:$V$1001,0),1)&gt;=100000,INDEX($AC$1005:$AS$1005,1,MATCH(COLUMNS($AC$1006:AC1006),$AC$1006:$AS$1006,0))&gt;=100000), " ",IF(INDEX($AC$2:$AS$1001,MATCH(ROWS($V$2:V83),$V$2:$V$1001,0),MATCH(COLUMNS($AC$1006:AC1006),$AC$1006:$AS$1006,0)), HYPERLINK("#",""), HYPERLINK(CONCATENATE("#Metadata!", ADDRESS(INDEX($X$2:$X$1001,MATCH(ROWS($V$2:V83),$V$2:$V$1001,0),0), INDEX($AC$1004:$AS$1004,1,MATCH(COLUMNS($AC$1006:AC1006),$AC$1006:$AS$1006,0)))),"Fix")))</f>
        <v>0</v>
      </c>
      <c r="C83" s="5">
        <f>IF(OR(INDEX($W$2:$W$1001,MATCH(ROWS($V$2:V83),$V$2:$V$1001,0),1)&gt;=100000,INDEX($AC$1005:$AS$1005,1,MATCH(COLUMNS($AC$1006:AD1006),$AC$1006:$AS$1006,0))&gt;=100000), " ",IF(INDEX($AC$2:$AS$1001,MATCH(ROWS($V$2:V83),$V$2:$V$1001,0),MATCH(COLUMNS($AC$1006:AD1006),$AC$1006:$AS$1006,0)), HYPERLINK("#",""), HYPERLINK(CONCATENATE("#Metadata!", ADDRESS(INDEX($X$2:$X$1001,MATCH(ROWS($V$2:V83),$V$2:$V$1001,0),0), INDEX($AC$1004:$AS$1004,1,MATCH(COLUMNS($AC$1006:AD1006),$AC$1006:$AS$1006,0)))),"Fix")))</f>
        <v>0</v>
      </c>
      <c r="D83" s="5">
        <f>IF(OR(INDEX($W$2:$W$1001,MATCH(ROWS($V$2:V83),$V$2:$V$1001,0),1)&gt;=100000,INDEX($AC$1005:$AS$1005,1,MATCH(COLUMNS($AC$1006:AE1006),$AC$1006:$AS$1006,0))&gt;=100000), " ",IF(INDEX($AC$2:$AS$1001,MATCH(ROWS($V$2:V83),$V$2:$V$1001,0),MATCH(COLUMNS($AC$1006:AE1006),$AC$1006:$AS$1006,0)), HYPERLINK("#",""), HYPERLINK(CONCATENATE("#Metadata!", ADDRESS(INDEX($X$2:$X$1001,MATCH(ROWS($V$2:V83),$V$2:$V$1001,0),0), INDEX($AC$1004:$AS$1004,1,MATCH(COLUMNS($AC$1006:AE1006),$AC$1006:$AS$1006,0)))),"Fix")))</f>
        <v>0</v>
      </c>
      <c r="E83" s="5">
        <f>IF(OR(INDEX($W$2:$W$1001,MATCH(ROWS($V$2:V83),$V$2:$V$1001,0),1)&gt;=100000,INDEX($AC$1005:$AS$1005,1,MATCH(COLUMNS($AC$1006:AF1006),$AC$1006:$AS$1006,0))&gt;=100000), " ",IF(INDEX($AC$2:$AS$1001,MATCH(ROWS($V$2:V83),$V$2:$V$1001,0),MATCH(COLUMNS($AC$1006:AF1006),$AC$1006:$AS$1006,0)), HYPERLINK("#",""), HYPERLINK(CONCATENATE("#Metadata!", ADDRESS(INDEX($X$2:$X$1001,MATCH(ROWS($V$2:V83),$V$2:$V$1001,0),0), INDEX($AC$1004:$AS$1004,1,MATCH(COLUMNS($AC$1006:AF1006),$AC$1006:$AS$1006,0)))),"Fix")))</f>
        <v>0</v>
      </c>
      <c r="F83" s="5">
        <f>IF(OR(INDEX($W$2:$W$1001,MATCH(ROWS($V$2:V83),$V$2:$V$1001,0),1)&gt;=100000,INDEX($AC$1005:$AS$1005,1,MATCH(COLUMNS($AC$1006:AG1006),$AC$1006:$AS$1006,0))&gt;=100000), " ",IF(INDEX($AC$2:$AS$1001,MATCH(ROWS($V$2:V83),$V$2:$V$1001,0),MATCH(COLUMNS($AC$1006:AG1006),$AC$1006:$AS$1006,0)), HYPERLINK("#",""), HYPERLINK(CONCATENATE("#Metadata!", ADDRESS(INDEX($X$2:$X$1001,MATCH(ROWS($V$2:V83),$V$2:$V$1001,0),0), INDEX($AC$1004:$AS$1004,1,MATCH(COLUMNS($AC$1006:AG1006),$AC$1006:$AS$1006,0)))),"Fix")))</f>
        <v>0</v>
      </c>
      <c r="G83" s="5">
        <f>IF(OR(INDEX($W$2:$W$1001,MATCH(ROWS($V$2:V83),$V$2:$V$1001,0),1)&gt;=100000,INDEX($AC$1005:$AS$1005,1,MATCH(COLUMNS($AC$1006:AH1006),$AC$1006:$AS$1006,0))&gt;=100000), " ",IF(INDEX($AC$2:$AS$1001,MATCH(ROWS($V$2:V83),$V$2:$V$1001,0),MATCH(COLUMNS($AC$1006:AH1006),$AC$1006:$AS$1006,0)), HYPERLINK("#",""), HYPERLINK(CONCATENATE("#Metadata!", ADDRESS(INDEX($X$2:$X$1001,MATCH(ROWS($V$2:V83),$V$2:$V$1001,0),0), INDEX($AC$1004:$AS$1004,1,MATCH(COLUMNS($AC$1006:AH1006),$AC$1006:$AS$1006,0)))),"Fix")))</f>
        <v>0</v>
      </c>
      <c r="H83" s="5">
        <f>IF(OR(INDEX($W$2:$W$1001,MATCH(ROWS($V$2:V83),$V$2:$V$1001,0),1)&gt;=100000,INDEX($AC$1005:$AS$1005,1,MATCH(COLUMNS($AC$1006:AI1006),$AC$1006:$AS$1006,0))&gt;=100000), " ",IF(INDEX($AC$2:$AS$1001,MATCH(ROWS($V$2:V83),$V$2:$V$1001,0),MATCH(COLUMNS($AC$1006:AI1006),$AC$1006:$AS$1006,0)), HYPERLINK("#",""), HYPERLINK(CONCATENATE("#Metadata!", ADDRESS(INDEX($X$2:$X$1001,MATCH(ROWS($V$2:V83),$V$2:$V$1001,0),0), INDEX($AC$1004:$AS$1004,1,MATCH(COLUMNS($AC$1006:AI1006),$AC$1006:$AS$1006,0)))),"Fix")))</f>
        <v>0</v>
      </c>
      <c r="I83" s="5">
        <f>IF(OR(INDEX($W$2:$W$1001,MATCH(ROWS($V$2:V83),$V$2:$V$1001,0),1)&gt;=100000,INDEX($AC$1005:$AS$1005,1,MATCH(COLUMNS($AC$1006:AJ1006),$AC$1006:$AS$1006,0))&gt;=100000), " ",IF(INDEX($AC$2:$AS$1001,MATCH(ROWS($V$2:V83),$V$2:$V$1001,0),MATCH(COLUMNS($AC$1006:AJ1006),$AC$1006:$AS$1006,0)), HYPERLINK("#",""), HYPERLINK(CONCATENATE("#Metadata!", ADDRESS(INDEX($X$2:$X$1001,MATCH(ROWS($V$2:V83),$V$2:$V$1001,0),0), INDEX($AC$1004:$AS$1004,1,MATCH(COLUMNS($AC$1006:AJ1006),$AC$1006:$AS$1006,0)))),"Fix")))</f>
        <v>0</v>
      </c>
      <c r="J83" s="5">
        <f>IF(OR(INDEX($W$2:$W$1001,MATCH(ROWS($V$2:V83),$V$2:$V$1001,0),1)&gt;=100000,INDEX($AC$1005:$AS$1005,1,MATCH(COLUMNS($AC$1006:AK1006),$AC$1006:$AS$1006,0))&gt;=100000), " ",IF(INDEX($AC$2:$AS$1001,MATCH(ROWS($V$2:V83),$V$2:$V$1001,0),MATCH(COLUMNS($AC$1006:AK1006),$AC$1006:$AS$1006,0)), HYPERLINK("#",""), HYPERLINK(CONCATENATE("#Metadata!", ADDRESS(INDEX($X$2:$X$1001,MATCH(ROWS($V$2:V83),$V$2:$V$1001,0),0), INDEX($AC$1004:$AS$1004,1,MATCH(COLUMNS($AC$1006:AK1006),$AC$1006:$AS$1006,0)))),"Fix")))</f>
        <v>0</v>
      </c>
      <c r="K83" s="5">
        <f>IF(OR(INDEX($W$2:$W$1001,MATCH(ROWS($V$2:V83),$V$2:$V$1001,0),1)&gt;=100000,INDEX($AC$1005:$AS$1005,1,MATCH(COLUMNS($AC$1006:AL1006),$AC$1006:$AS$1006,0))&gt;=100000), " ",IF(INDEX($AC$2:$AS$1001,MATCH(ROWS($V$2:V83),$V$2:$V$1001,0),MATCH(COLUMNS($AC$1006:AL1006),$AC$1006:$AS$1006,0)), HYPERLINK("#",""), HYPERLINK(CONCATENATE("#Metadata!", ADDRESS(INDEX($X$2:$X$1001,MATCH(ROWS($V$2:V83),$V$2:$V$1001,0),0), INDEX($AC$1004:$AS$1004,1,MATCH(COLUMNS($AC$1006:AL1006),$AC$1006:$AS$1006,0)))),"Fix")))</f>
        <v>0</v>
      </c>
      <c r="L83" s="5">
        <f>IF(OR(INDEX($W$2:$W$1001,MATCH(ROWS($V$2:V83),$V$2:$V$1001,0),1)&gt;=100000,INDEX($AC$1005:$AS$1005,1,MATCH(COLUMNS($AC$1006:AM1006),$AC$1006:$AS$1006,0))&gt;=100000), " ",IF(INDEX($AC$2:$AS$1001,MATCH(ROWS($V$2:V83),$V$2:$V$1001,0),MATCH(COLUMNS($AC$1006:AM1006),$AC$1006:$AS$1006,0)), HYPERLINK("#",""), HYPERLINK(CONCATENATE("#Metadata!", ADDRESS(INDEX($X$2:$X$1001,MATCH(ROWS($V$2:V83),$V$2:$V$1001,0),0), INDEX($AC$1004:$AS$1004,1,MATCH(COLUMNS($AC$1006:AM1006),$AC$1006:$AS$1006,0)))),"Fix")))</f>
        <v>0</v>
      </c>
      <c r="M83" s="5">
        <f>IF(OR(INDEX($W$2:$W$1001,MATCH(ROWS($V$2:V83),$V$2:$V$1001,0),1)&gt;=100000,INDEX($AC$1005:$AS$1005,1,MATCH(COLUMNS($AC$1006:AN1006),$AC$1006:$AS$1006,0))&gt;=100000), " ",IF(INDEX($AC$2:$AS$1001,MATCH(ROWS($V$2:V83),$V$2:$V$1001,0),MATCH(COLUMNS($AC$1006:AN1006),$AC$1006:$AS$1006,0)), HYPERLINK("#",""), HYPERLINK(CONCATENATE("#Metadata!", ADDRESS(INDEX($X$2:$X$1001,MATCH(ROWS($V$2:V83),$V$2:$V$1001,0),0), INDEX($AC$1004:$AS$1004,1,MATCH(COLUMNS($AC$1006:AN1006),$AC$1006:$AS$1006,0)))),"Fix")))</f>
        <v>0</v>
      </c>
      <c r="N83" s="5">
        <f>IF(OR(INDEX($W$2:$W$1001,MATCH(ROWS($V$2:V83),$V$2:$V$1001,0),1)&gt;=100000,INDEX($AC$1005:$AS$1005,1,MATCH(COLUMNS($AC$1006:AO1006),$AC$1006:$AS$1006,0))&gt;=100000), " ",IF(INDEX($AC$2:$AS$1001,MATCH(ROWS($V$2:V83),$V$2:$V$1001,0),MATCH(COLUMNS($AC$1006:AO1006),$AC$1006:$AS$1006,0)), HYPERLINK("#",""), HYPERLINK(CONCATENATE("#Metadata!", ADDRESS(INDEX($X$2:$X$1001,MATCH(ROWS($V$2:V83),$V$2:$V$1001,0),0), INDEX($AC$1004:$AS$1004,1,MATCH(COLUMNS($AC$1006:AO1006),$AC$1006:$AS$1006,0)))),"Fix")))</f>
        <v>0</v>
      </c>
      <c r="O83" s="5">
        <f>IF(OR(INDEX($W$2:$W$1001,MATCH(ROWS($V$2:V83),$V$2:$V$1001,0),1)&gt;=100000,INDEX($AC$1005:$AS$1005,1,MATCH(COLUMNS($AC$1006:AP1006),$AC$1006:$AS$1006,0))&gt;=100000), " ",IF(INDEX($AC$2:$AS$1001,MATCH(ROWS($V$2:V83),$V$2:$V$1001,0),MATCH(COLUMNS($AC$1006:AP1006),$AC$1006:$AS$1006,0)), HYPERLINK("#",""), HYPERLINK(CONCATENATE("#Metadata!", ADDRESS(INDEX($X$2:$X$1001,MATCH(ROWS($V$2:V83),$V$2:$V$1001,0),0), INDEX($AC$1004:$AS$1004,1,MATCH(COLUMNS($AC$1006:AP1006),$AC$1006:$AS$1006,0)))),"Fix")))</f>
        <v>0</v>
      </c>
      <c r="P83" s="5">
        <f>IF(OR(INDEX($W$2:$W$1001,MATCH(ROWS($V$2:V83),$V$2:$V$1001,0),1)&gt;=100000,INDEX($AC$1005:$AS$1005,1,MATCH(COLUMNS($AC$1006:AQ1006),$AC$1006:$AS$1006,0))&gt;=100000), " ",IF(INDEX($AC$2:$AS$1001,MATCH(ROWS($V$2:V83),$V$2:$V$1001,0),MATCH(COLUMNS($AC$1006:AQ1006),$AC$1006:$AS$1006,0)), HYPERLINK("#",""), HYPERLINK(CONCATENATE("#Metadata!", ADDRESS(INDEX($X$2:$X$1001,MATCH(ROWS($V$2:V83),$V$2:$V$1001,0),0), INDEX($AC$1004:$AS$1004,1,MATCH(COLUMNS($AC$1006:AQ1006),$AC$1006:$AS$1006,0)))),"Fix")))</f>
        <v>0</v>
      </c>
      <c r="Q83" s="5">
        <f>IF(OR(INDEX($W$2:$W$1001,MATCH(ROWS($V$2:V83),$V$2:$V$1001,0),1)&gt;=100000,INDEX($AC$1005:$AS$1005,1,MATCH(COLUMNS($AC$1006:AR1006),$AC$1006:$AS$1006,0))&gt;=100000), " ",IF(INDEX($AC$2:$AS$1001,MATCH(ROWS($V$2:V83),$V$2:$V$1001,0),MATCH(COLUMNS($AC$1006:AR1006),$AC$1006:$AS$1006,0)), HYPERLINK("#",""), HYPERLINK(CONCATENATE("#Metadata!", ADDRESS(INDEX($X$2:$X$1001,MATCH(ROWS($V$2:V83),$V$2:$V$1001,0),0), INDEX($AC$1004:$AS$1004,1,MATCH(COLUMNS($AC$1006:AR1006),$AC$1006:$AS$1006,0)))),"Fix")))</f>
        <v>0</v>
      </c>
      <c r="R83" s="5">
        <f>IF(OR(INDEX($W$2:$W$1001,MATCH(ROWS($V$2:V83),$V$2:$V$1001,0),1)&gt;=100000,INDEX($AC$1005:$AS$1005,1,MATCH(COLUMNS($AC$1006:AS1006),$AC$1006:$AS$1006,0))&gt;=100000), " ",IF(INDEX($AC$2:$AS$1001,MATCH(ROWS($V$2:V83),$V$2:$V$1001,0),MATCH(COLUMNS($AC$1006:AS1006),$AC$1006:$AS$1006,0)), HYPERLINK("#",""), HYPERLINK(CONCATENATE("#Metadata!", ADDRESS(INDEX($X$2:$X$1001,MATCH(ROWS($V$2:V83),$V$2:$V$1001,0),0), INDEX($AC$1004:$AS$1004,1,MATCH(COLUMNS($AC$1006:AS1006),$AC$1006:$AS$1006,0)))),"Fix")))</f>
        <v>0</v>
      </c>
      <c r="V83">
        <v>0</v>
      </c>
      <c r="W83">
        <v>0</v>
      </c>
      <c r="X83">
        <v>0</v>
      </c>
      <c r="Y83">
        <f>IF(Z83,TRUE,AND(AC83:AS83))</f>
        <v>0</v>
      </c>
      <c r="Z83">
        <f>COUNTBLANK(Metadata!B83:R83)=COLUMNS(Metadata!B83:R83)</f>
        <v>0</v>
      </c>
      <c r="AA83">
        <v>0</v>
      </c>
      <c r="AC83">
        <f>AND(IF(Metadata!B83="",FALSE,TRUE),COUNTIF(Metadata!B:B, Metadata!B83) = 1,NOT(ISERROR(SUMPRODUCT(SEARCH(MID(Metadata!B83,ROW(INDIRECT("1:"&amp;LEN(Metadata!B83))), 1),"0123456789abcdefghijklmnopqrstuvwxyzABCDEFGHIJKLMNOPQRSTUVWXYZ.")))))</f>
        <v>0</v>
      </c>
      <c r="AD83">
        <f>AND(IF(Metadata!C83="",FALSE,TRUE),exact(Metadata!C83,"Host-associated"))</f>
        <v>0</v>
      </c>
      <c r="AE83">
        <f>AND(IF(Metadata!D83="",FALSE,TRUE),OR(exact(Metadata!D83,"Animal"),exact(Metadata!D83,"Fungus"),exact(Metadata!D83,"Plant")))</f>
        <v>0</v>
      </c>
      <c r="AF83">
        <f>AND(IF(Metadata!E83="",FALSE,TRUE),OR(exact(Metadata!E83,"Plant secretion"),exact(Metadata!E83,"Plant rhizosphere"),exact(Metadata!E83,"Plant surface"),exact(Metadata!E83,"Plant corpus"),exact(Metadata!E83,"Fungus surface"),exact(Metadata!E83,"Fungus corpus"),exact(Metadata!E83,"Animal surface"),exact(Metadata!E83,"Animal proximal gut"),exact(Metadata!E83,"Animal corpus"),exact(Metadata!E83,"Animal distal gut"),exact(Metadata!E83,"Animal secretion")))</f>
        <v>0</v>
      </c>
      <c r="AG83">
        <f>OR(AND(IF(Metadata!F83="",FALSE,TRUE),OR(exact(Metadata!F83,"not collected"),exact(Metadata!F83,"not provided"),exact(Metadata!F83,"restricted access"))),AND(IF(Metadata!F83="",FALSE,TRUE),OR(exact(Metadata!F83,"organism-associated habitat"),exact(Metadata!F83,"plant-associated habitat"),exact(Metadata!F83,"animal-associated habitat"),exact(Metadata!F83,"insecta-associated habitat"),exact(Metadata!F83,"mammalia-associated habitat"),exact(Metadata!F83,"human-associated habitat"),exact(Metadata!F83,"livestock-associated habitat"))))</f>
        <v>0</v>
      </c>
      <c r="AH83">
        <f>AND(IF(Metadata!G83="",FALSE,TRUE),exact(Metadata!G83,"host-associated"))</f>
        <v>0</v>
      </c>
      <c r="AI83">
        <f>OR(AND(IF(Metadata!H83="",FALSE,TRUE),OR(exact(Metadata!H83,"not collected"),exact(Metadata!H83,"not provided"))),AND(IF(Metadata!H83="",FALSE,ISNUMBER(VALUE(Metadata!H83))),Metadata!H83&gt;0))</f>
        <v>0</v>
      </c>
      <c r="AJ83">
        <f>AND(IF(Metadata!I83="",FALSE,TRUE),exact(Metadata!I83,"years"))</f>
        <v>0</v>
      </c>
      <c r="AK83">
        <f>IF(Metadata!J83="",FALSE,TRUE)</f>
        <v>0</v>
      </c>
      <c r="AL83">
        <f>OR(AND(IF(Metadata!K83="",FALSE,TRUE),OR(exact(Metadata!K83,"not collected"),exact(Metadata!K83,"not provided"))),AND(IF(Metadata!K83="",FALSE,ISNUMBER(VALUE(Metadata!K83))),Metadata!K83&gt;0))</f>
        <v>0</v>
      </c>
      <c r="AM83">
        <f>AND(IF(Metadata!L83="",FALSE,TRUE),exact(Metadata!L83,"cm"))</f>
        <v>0</v>
      </c>
      <c r="AN83">
        <f>IF(Metadata!M83="",FALSE,TRUE)</f>
        <v>0</v>
      </c>
      <c r="AO83">
        <f>OR(AND(IF(Metadata!N83="",FALSE,TRUE),OR(exact(Metadata!N83,"not applicable"),exact(Metadata!N83,"not collected"),exact(Metadata!N83,"not provided"))),AND(IF(Metadata!N83="",FALSE,IF(ISERROR(INT(Metadata!N83)),FALSE,INT(Metadata!N83)=Metadata!N83)),Metadata!N83&gt;0))</f>
        <v>0</v>
      </c>
      <c r="AP83">
        <f>OR(AND(IF(Metadata!O83="",FALSE,TRUE),OR(exact(Metadata!O83,"not collected"),exact(Metadata!O83,"not provided"))),AND(IF(Metadata!O83="",FALSE,ISNUMBER(VALUE(Metadata!O83))),Metadata!O83&gt;0))</f>
        <v>0</v>
      </c>
      <c r="AQ83">
        <f>AND(IF(Metadata!P83="",FALSE,TRUE),exact(Metadata!P83,"kg"))</f>
        <v>0</v>
      </c>
      <c r="AR83">
        <f>OR(AND(IF(Metadata!Q83="",FALSE,TRUE),OR(exact(Metadata!Q83,"not applicable"),exact(Metadata!Q83,"not collected"),exact(Metadata!Q83,"not provided"),exact(Metadata!Q83,"restricted access"))),IF(Metadata!Q83="",FALSE,IF(ISERROR(INT(Metadata!Q83)),FALSE,INT(Metadata!Q83)=Metadata!Q83)))</f>
        <v>0</v>
      </c>
      <c r="AS83">
        <f>AND(IF(Metadata!R83="",FALSE,TRUE),exact(Metadata!R83,"Not applicable"))</f>
        <v>0</v>
      </c>
    </row>
    <row r="84" spans="1:45">
      <c r="A84" s="4">
        <f>IF(B84=" "," ",HYPERLINK(CONCATENATE("#metadata!",ADDRESS(INDEX($X$2:$X$1001,MATCH(ROWS($V$2:V84),$V$2:$V$1001,0),0),2)),INDEX($AA$2:$AA$1001,MATCH(ROWS($V$2:V84),$V$2:$V$1001,0),0)))</f>
        <v>0</v>
      </c>
      <c r="B84" s="5">
        <f>IF(OR(INDEX($W$2:$W$1001,MATCH(ROWS($V$2:V84),$V$2:$V$1001,0),1)&gt;=100000,INDEX($AC$1005:$AS$1005,1,MATCH(COLUMNS($AC$1006:AC1006),$AC$1006:$AS$1006,0))&gt;=100000), " ",IF(INDEX($AC$2:$AS$1001,MATCH(ROWS($V$2:V84),$V$2:$V$1001,0),MATCH(COLUMNS($AC$1006:AC1006),$AC$1006:$AS$1006,0)), HYPERLINK("#",""), HYPERLINK(CONCATENATE("#Metadata!", ADDRESS(INDEX($X$2:$X$1001,MATCH(ROWS($V$2:V84),$V$2:$V$1001,0),0), INDEX($AC$1004:$AS$1004,1,MATCH(COLUMNS($AC$1006:AC1006),$AC$1006:$AS$1006,0)))),"Fix")))</f>
        <v>0</v>
      </c>
      <c r="C84" s="5">
        <f>IF(OR(INDEX($W$2:$W$1001,MATCH(ROWS($V$2:V84),$V$2:$V$1001,0),1)&gt;=100000,INDEX($AC$1005:$AS$1005,1,MATCH(COLUMNS($AC$1006:AD1006),$AC$1006:$AS$1006,0))&gt;=100000), " ",IF(INDEX($AC$2:$AS$1001,MATCH(ROWS($V$2:V84),$V$2:$V$1001,0),MATCH(COLUMNS($AC$1006:AD1006),$AC$1006:$AS$1006,0)), HYPERLINK("#",""), HYPERLINK(CONCATENATE("#Metadata!", ADDRESS(INDEX($X$2:$X$1001,MATCH(ROWS($V$2:V84),$V$2:$V$1001,0),0), INDEX($AC$1004:$AS$1004,1,MATCH(COLUMNS($AC$1006:AD1006),$AC$1006:$AS$1006,0)))),"Fix")))</f>
        <v>0</v>
      </c>
      <c r="D84" s="5">
        <f>IF(OR(INDEX($W$2:$W$1001,MATCH(ROWS($V$2:V84),$V$2:$V$1001,0),1)&gt;=100000,INDEX($AC$1005:$AS$1005,1,MATCH(COLUMNS($AC$1006:AE1006),$AC$1006:$AS$1006,0))&gt;=100000), " ",IF(INDEX($AC$2:$AS$1001,MATCH(ROWS($V$2:V84),$V$2:$V$1001,0),MATCH(COLUMNS($AC$1006:AE1006),$AC$1006:$AS$1006,0)), HYPERLINK("#",""), HYPERLINK(CONCATENATE("#Metadata!", ADDRESS(INDEX($X$2:$X$1001,MATCH(ROWS($V$2:V84),$V$2:$V$1001,0),0), INDEX($AC$1004:$AS$1004,1,MATCH(COLUMNS($AC$1006:AE1006),$AC$1006:$AS$1006,0)))),"Fix")))</f>
        <v>0</v>
      </c>
      <c r="E84" s="5">
        <f>IF(OR(INDEX($W$2:$W$1001,MATCH(ROWS($V$2:V84),$V$2:$V$1001,0),1)&gt;=100000,INDEX($AC$1005:$AS$1005,1,MATCH(COLUMNS($AC$1006:AF1006),$AC$1006:$AS$1006,0))&gt;=100000), " ",IF(INDEX($AC$2:$AS$1001,MATCH(ROWS($V$2:V84),$V$2:$V$1001,0),MATCH(COLUMNS($AC$1006:AF1006),$AC$1006:$AS$1006,0)), HYPERLINK("#",""), HYPERLINK(CONCATENATE("#Metadata!", ADDRESS(INDEX($X$2:$X$1001,MATCH(ROWS($V$2:V84),$V$2:$V$1001,0),0), INDEX($AC$1004:$AS$1004,1,MATCH(COLUMNS($AC$1006:AF1006),$AC$1006:$AS$1006,0)))),"Fix")))</f>
        <v>0</v>
      </c>
      <c r="F84" s="5">
        <f>IF(OR(INDEX($W$2:$W$1001,MATCH(ROWS($V$2:V84),$V$2:$V$1001,0),1)&gt;=100000,INDEX($AC$1005:$AS$1005,1,MATCH(COLUMNS($AC$1006:AG1006),$AC$1006:$AS$1006,0))&gt;=100000), " ",IF(INDEX($AC$2:$AS$1001,MATCH(ROWS($V$2:V84),$V$2:$V$1001,0),MATCH(COLUMNS($AC$1006:AG1006),$AC$1006:$AS$1006,0)), HYPERLINK("#",""), HYPERLINK(CONCATENATE("#Metadata!", ADDRESS(INDEX($X$2:$X$1001,MATCH(ROWS($V$2:V84),$V$2:$V$1001,0),0), INDEX($AC$1004:$AS$1004,1,MATCH(COLUMNS($AC$1006:AG1006),$AC$1006:$AS$1006,0)))),"Fix")))</f>
        <v>0</v>
      </c>
      <c r="G84" s="5">
        <f>IF(OR(INDEX($W$2:$W$1001,MATCH(ROWS($V$2:V84),$V$2:$V$1001,0),1)&gt;=100000,INDEX($AC$1005:$AS$1005,1,MATCH(COLUMNS($AC$1006:AH1006),$AC$1006:$AS$1006,0))&gt;=100000), " ",IF(INDEX($AC$2:$AS$1001,MATCH(ROWS($V$2:V84),$V$2:$V$1001,0),MATCH(COLUMNS($AC$1006:AH1006),$AC$1006:$AS$1006,0)), HYPERLINK("#",""), HYPERLINK(CONCATENATE("#Metadata!", ADDRESS(INDEX($X$2:$X$1001,MATCH(ROWS($V$2:V84),$V$2:$V$1001,0),0), INDEX($AC$1004:$AS$1004,1,MATCH(COLUMNS($AC$1006:AH1006),$AC$1006:$AS$1006,0)))),"Fix")))</f>
        <v>0</v>
      </c>
      <c r="H84" s="5">
        <f>IF(OR(INDEX($W$2:$W$1001,MATCH(ROWS($V$2:V84),$V$2:$V$1001,0),1)&gt;=100000,INDEX($AC$1005:$AS$1005,1,MATCH(COLUMNS($AC$1006:AI1006),$AC$1006:$AS$1006,0))&gt;=100000), " ",IF(INDEX($AC$2:$AS$1001,MATCH(ROWS($V$2:V84),$V$2:$V$1001,0),MATCH(COLUMNS($AC$1006:AI1006),$AC$1006:$AS$1006,0)), HYPERLINK("#",""), HYPERLINK(CONCATENATE("#Metadata!", ADDRESS(INDEX($X$2:$X$1001,MATCH(ROWS($V$2:V84),$V$2:$V$1001,0),0), INDEX($AC$1004:$AS$1004,1,MATCH(COLUMNS($AC$1006:AI1006),$AC$1006:$AS$1006,0)))),"Fix")))</f>
        <v>0</v>
      </c>
      <c r="I84" s="5">
        <f>IF(OR(INDEX($W$2:$W$1001,MATCH(ROWS($V$2:V84),$V$2:$V$1001,0),1)&gt;=100000,INDEX($AC$1005:$AS$1005,1,MATCH(COLUMNS($AC$1006:AJ1006),$AC$1006:$AS$1006,0))&gt;=100000), " ",IF(INDEX($AC$2:$AS$1001,MATCH(ROWS($V$2:V84),$V$2:$V$1001,0),MATCH(COLUMNS($AC$1006:AJ1006),$AC$1006:$AS$1006,0)), HYPERLINK("#",""), HYPERLINK(CONCATENATE("#Metadata!", ADDRESS(INDEX($X$2:$X$1001,MATCH(ROWS($V$2:V84),$V$2:$V$1001,0),0), INDEX($AC$1004:$AS$1004,1,MATCH(COLUMNS($AC$1006:AJ1006),$AC$1006:$AS$1006,0)))),"Fix")))</f>
        <v>0</v>
      </c>
      <c r="J84" s="5">
        <f>IF(OR(INDEX($W$2:$W$1001,MATCH(ROWS($V$2:V84),$V$2:$V$1001,0),1)&gt;=100000,INDEX($AC$1005:$AS$1005,1,MATCH(COLUMNS($AC$1006:AK1006),$AC$1006:$AS$1006,0))&gt;=100000), " ",IF(INDEX($AC$2:$AS$1001,MATCH(ROWS($V$2:V84),$V$2:$V$1001,0),MATCH(COLUMNS($AC$1006:AK1006),$AC$1006:$AS$1006,0)), HYPERLINK("#",""), HYPERLINK(CONCATENATE("#Metadata!", ADDRESS(INDEX($X$2:$X$1001,MATCH(ROWS($V$2:V84),$V$2:$V$1001,0),0), INDEX($AC$1004:$AS$1004,1,MATCH(COLUMNS($AC$1006:AK1006),$AC$1006:$AS$1006,0)))),"Fix")))</f>
        <v>0</v>
      </c>
      <c r="K84" s="5">
        <f>IF(OR(INDEX($W$2:$W$1001,MATCH(ROWS($V$2:V84),$V$2:$V$1001,0),1)&gt;=100000,INDEX($AC$1005:$AS$1005,1,MATCH(COLUMNS($AC$1006:AL1006),$AC$1006:$AS$1006,0))&gt;=100000), " ",IF(INDEX($AC$2:$AS$1001,MATCH(ROWS($V$2:V84),$V$2:$V$1001,0),MATCH(COLUMNS($AC$1006:AL1006),$AC$1006:$AS$1006,0)), HYPERLINK("#",""), HYPERLINK(CONCATENATE("#Metadata!", ADDRESS(INDEX($X$2:$X$1001,MATCH(ROWS($V$2:V84),$V$2:$V$1001,0),0), INDEX($AC$1004:$AS$1004,1,MATCH(COLUMNS($AC$1006:AL1006),$AC$1006:$AS$1006,0)))),"Fix")))</f>
        <v>0</v>
      </c>
      <c r="L84" s="5">
        <f>IF(OR(INDEX($W$2:$W$1001,MATCH(ROWS($V$2:V84),$V$2:$V$1001,0),1)&gt;=100000,INDEX($AC$1005:$AS$1005,1,MATCH(COLUMNS($AC$1006:AM1006),$AC$1006:$AS$1006,0))&gt;=100000), " ",IF(INDEX($AC$2:$AS$1001,MATCH(ROWS($V$2:V84),$V$2:$V$1001,0),MATCH(COLUMNS($AC$1006:AM1006),$AC$1006:$AS$1006,0)), HYPERLINK("#",""), HYPERLINK(CONCATENATE("#Metadata!", ADDRESS(INDEX($X$2:$X$1001,MATCH(ROWS($V$2:V84),$V$2:$V$1001,0),0), INDEX($AC$1004:$AS$1004,1,MATCH(COLUMNS($AC$1006:AM1006),$AC$1006:$AS$1006,0)))),"Fix")))</f>
        <v>0</v>
      </c>
      <c r="M84" s="5">
        <f>IF(OR(INDEX($W$2:$W$1001,MATCH(ROWS($V$2:V84),$V$2:$V$1001,0),1)&gt;=100000,INDEX($AC$1005:$AS$1005,1,MATCH(COLUMNS($AC$1006:AN1006),$AC$1006:$AS$1006,0))&gt;=100000), " ",IF(INDEX($AC$2:$AS$1001,MATCH(ROWS($V$2:V84),$V$2:$V$1001,0),MATCH(COLUMNS($AC$1006:AN1006),$AC$1006:$AS$1006,0)), HYPERLINK("#",""), HYPERLINK(CONCATENATE("#Metadata!", ADDRESS(INDEX($X$2:$X$1001,MATCH(ROWS($V$2:V84),$V$2:$V$1001,0),0), INDEX($AC$1004:$AS$1004,1,MATCH(COLUMNS($AC$1006:AN1006),$AC$1006:$AS$1006,0)))),"Fix")))</f>
        <v>0</v>
      </c>
      <c r="N84" s="5">
        <f>IF(OR(INDEX($W$2:$W$1001,MATCH(ROWS($V$2:V84),$V$2:$V$1001,0),1)&gt;=100000,INDEX($AC$1005:$AS$1005,1,MATCH(COLUMNS($AC$1006:AO1006),$AC$1006:$AS$1006,0))&gt;=100000), " ",IF(INDEX($AC$2:$AS$1001,MATCH(ROWS($V$2:V84),$V$2:$V$1001,0),MATCH(COLUMNS($AC$1006:AO1006),$AC$1006:$AS$1006,0)), HYPERLINK("#",""), HYPERLINK(CONCATENATE("#Metadata!", ADDRESS(INDEX($X$2:$X$1001,MATCH(ROWS($V$2:V84),$V$2:$V$1001,0),0), INDEX($AC$1004:$AS$1004,1,MATCH(COLUMNS($AC$1006:AO1006),$AC$1006:$AS$1006,0)))),"Fix")))</f>
        <v>0</v>
      </c>
      <c r="O84" s="5">
        <f>IF(OR(INDEX($W$2:$W$1001,MATCH(ROWS($V$2:V84),$V$2:$V$1001,0),1)&gt;=100000,INDEX($AC$1005:$AS$1005,1,MATCH(COLUMNS($AC$1006:AP1006),$AC$1006:$AS$1006,0))&gt;=100000), " ",IF(INDEX($AC$2:$AS$1001,MATCH(ROWS($V$2:V84),$V$2:$V$1001,0),MATCH(COLUMNS($AC$1006:AP1006),$AC$1006:$AS$1006,0)), HYPERLINK("#",""), HYPERLINK(CONCATENATE("#Metadata!", ADDRESS(INDEX($X$2:$X$1001,MATCH(ROWS($V$2:V84),$V$2:$V$1001,0),0), INDEX($AC$1004:$AS$1004,1,MATCH(COLUMNS($AC$1006:AP1006),$AC$1006:$AS$1006,0)))),"Fix")))</f>
        <v>0</v>
      </c>
      <c r="P84" s="5">
        <f>IF(OR(INDEX($W$2:$W$1001,MATCH(ROWS($V$2:V84),$V$2:$V$1001,0),1)&gt;=100000,INDEX($AC$1005:$AS$1005,1,MATCH(COLUMNS($AC$1006:AQ1006),$AC$1006:$AS$1006,0))&gt;=100000), " ",IF(INDEX($AC$2:$AS$1001,MATCH(ROWS($V$2:V84),$V$2:$V$1001,0),MATCH(COLUMNS($AC$1006:AQ1006),$AC$1006:$AS$1006,0)), HYPERLINK("#",""), HYPERLINK(CONCATENATE("#Metadata!", ADDRESS(INDEX($X$2:$X$1001,MATCH(ROWS($V$2:V84),$V$2:$V$1001,0),0), INDEX($AC$1004:$AS$1004,1,MATCH(COLUMNS($AC$1006:AQ1006),$AC$1006:$AS$1006,0)))),"Fix")))</f>
        <v>0</v>
      </c>
      <c r="Q84" s="5">
        <f>IF(OR(INDEX($W$2:$W$1001,MATCH(ROWS($V$2:V84),$V$2:$V$1001,0),1)&gt;=100000,INDEX($AC$1005:$AS$1005,1,MATCH(COLUMNS($AC$1006:AR1006),$AC$1006:$AS$1006,0))&gt;=100000), " ",IF(INDEX($AC$2:$AS$1001,MATCH(ROWS($V$2:V84),$V$2:$V$1001,0),MATCH(COLUMNS($AC$1006:AR1006),$AC$1006:$AS$1006,0)), HYPERLINK("#",""), HYPERLINK(CONCATENATE("#Metadata!", ADDRESS(INDEX($X$2:$X$1001,MATCH(ROWS($V$2:V84),$V$2:$V$1001,0),0), INDEX($AC$1004:$AS$1004,1,MATCH(COLUMNS($AC$1006:AR1006),$AC$1006:$AS$1006,0)))),"Fix")))</f>
        <v>0</v>
      </c>
      <c r="R84" s="5">
        <f>IF(OR(INDEX($W$2:$W$1001,MATCH(ROWS($V$2:V84),$V$2:$V$1001,0),1)&gt;=100000,INDEX($AC$1005:$AS$1005,1,MATCH(COLUMNS($AC$1006:AS1006),$AC$1006:$AS$1006,0))&gt;=100000), " ",IF(INDEX($AC$2:$AS$1001,MATCH(ROWS($V$2:V84),$V$2:$V$1001,0),MATCH(COLUMNS($AC$1006:AS1006),$AC$1006:$AS$1006,0)), HYPERLINK("#",""), HYPERLINK(CONCATENATE("#Metadata!", ADDRESS(INDEX($X$2:$X$1001,MATCH(ROWS($V$2:V84),$V$2:$V$1001,0),0), INDEX($AC$1004:$AS$1004,1,MATCH(COLUMNS($AC$1006:AS1006),$AC$1006:$AS$1006,0)))),"Fix")))</f>
        <v>0</v>
      </c>
      <c r="V84">
        <v>0</v>
      </c>
      <c r="W84">
        <v>0</v>
      </c>
      <c r="X84">
        <v>0</v>
      </c>
      <c r="Y84">
        <f>IF(Z84,TRUE,AND(AC84:AS84))</f>
        <v>0</v>
      </c>
      <c r="Z84">
        <f>COUNTBLANK(Metadata!B84:R84)=COLUMNS(Metadata!B84:R84)</f>
        <v>0</v>
      </c>
      <c r="AA84">
        <v>0</v>
      </c>
      <c r="AC84">
        <f>AND(IF(Metadata!B84="",FALSE,TRUE),COUNTIF(Metadata!B:B, Metadata!B84) = 1,NOT(ISERROR(SUMPRODUCT(SEARCH(MID(Metadata!B84,ROW(INDIRECT("1:"&amp;LEN(Metadata!B84))), 1),"0123456789abcdefghijklmnopqrstuvwxyzABCDEFGHIJKLMNOPQRSTUVWXYZ.")))))</f>
        <v>0</v>
      </c>
      <c r="AD84">
        <f>AND(IF(Metadata!C84="",FALSE,TRUE),exact(Metadata!C84,"Host-associated"))</f>
        <v>0</v>
      </c>
      <c r="AE84">
        <f>AND(IF(Metadata!D84="",FALSE,TRUE),OR(exact(Metadata!D84,"Animal"),exact(Metadata!D84,"Fungus"),exact(Metadata!D84,"Plant")))</f>
        <v>0</v>
      </c>
      <c r="AF84">
        <f>AND(IF(Metadata!E84="",FALSE,TRUE),OR(exact(Metadata!E84,"Plant secretion"),exact(Metadata!E84,"Plant rhizosphere"),exact(Metadata!E84,"Plant surface"),exact(Metadata!E84,"Plant corpus"),exact(Metadata!E84,"Fungus surface"),exact(Metadata!E84,"Fungus corpus"),exact(Metadata!E84,"Animal surface"),exact(Metadata!E84,"Animal proximal gut"),exact(Metadata!E84,"Animal corpus"),exact(Metadata!E84,"Animal distal gut"),exact(Metadata!E84,"Animal secretion")))</f>
        <v>0</v>
      </c>
      <c r="AG84">
        <f>OR(AND(IF(Metadata!F84="",FALSE,TRUE),OR(exact(Metadata!F84,"not collected"),exact(Metadata!F84,"not provided"),exact(Metadata!F84,"restricted access"))),AND(IF(Metadata!F84="",FALSE,TRUE),OR(exact(Metadata!F84,"organism-associated habitat"),exact(Metadata!F84,"plant-associated habitat"),exact(Metadata!F84,"animal-associated habitat"),exact(Metadata!F84,"insecta-associated habitat"),exact(Metadata!F84,"mammalia-associated habitat"),exact(Metadata!F84,"human-associated habitat"),exact(Metadata!F84,"livestock-associated habitat"))))</f>
        <v>0</v>
      </c>
      <c r="AH84">
        <f>AND(IF(Metadata!G84="",FALSE,TRUE),exact(Metadata!G84,"host-associated"))</f>
        <v>0</v>
      </c>
      <c r="AI84">
        <f>OR(AND(IF(Metadata!H84="",FALSE,TRUE),OR(exact(Metadata!H84,"not collected"),exact(Metadata!H84,"not provided"))),AND(IF(Metadata!H84="",FALSE,ISNUMBER(VALUE(Metadata!H84))),Metadata!H84&gt;0))</f>
        <v>0</v>
      </c>
      <c r="AJ84">
        <f>AND(IF(Metadata!I84="",FALSE,TRUE),exact(Metadata!I84,"years"))</f>
        <v>0</v>
      </c>
      <c r="AK84">
        <f>IF(Metadata!J84="",FALSE,TRUE)</f>
        <v>0</v>
      </c>
      <c r="AL84">
        <f>OR(AND(IF(Metadata!K84="",FALSE,TRUE),OR(exact(Metadata!K84,"not collected"),exact(Metadata!K84,"not provided"))),AND(IF(Metadata!K84="",FALSE,ISNUMBER(VALUE(Metadata!K84))),Metadata!K84&gt;0))</f>
        <v>0</v>
      </c>
      <c r="AM84">
        <f>AND(IF(Metadata!L84="",FALSE,TRUE),exact(Metadata!L84,"cm"))</f>
        <v>0</v>
      </c>
      <c r="AN84">
        <f>IF(Metadata!M84="",FALSE,TRUE)</f>
        <v>0</v>
      </c>
      <c r="AO84">
        <f>OR(AND(IF(Metadata!N84="",FALSE,TRUE),OR(exact(Metadata!N84,"not applicable"),exact(Metadata!N84,"not collected"),exact(Metadata!N84,"not provided"))),AND(IF(Metadata!N84="",FALSE,IF(ISERROR(INT(Metadata!N84)),FALSE,INT(Metadata!N84)=Metadata!N84)),Metadata!N84&gt;0))</f>
        <v>0</v>
      </c>
      <c r="AP84">
        <f>OR(AND(IF(Metadata!O84="",FALSE,TRUE),OR(exact(Metadata!O84,"not collected"),exact(Metadata!O84,"not provided"))),AND(IF(Metadata!O84="",FALSE,ISNUMBER(VALUE(Metadata!O84))),Metadata!O84&gt;0))</f>
        <v>0</v>
      </c>
      <c r="AQ84">
        <f>AND(IF(Metadata!P84="",FALSE,TRUE),exact(Metadata!P84,"kg"))</f>
        <v>0</v>
      </c>
      <c r="AR84">
        <f>OR(AND(IF(Metadata!Q84="",FALSE,TRUE),OR(exact(Metadata!Q84,"not applicable"),exact(Metadata!Q84,"not collected"),exact(Metadata!Q84,"not provided"),exact(Metadata!Q84,"restricted access"))),IF(Metadata!Q84="",FALSE,IF(ISERROR(INT(Metadata!Q84)),FALSE,INT(Metadata!Q84)=Metadata!Q84)))</f>
        <v>0</v>
      </c>
      <c r="AS84">
        <f>AND(IF(Metadata!R84="",FALSE,TRUE),exact(Metadata!R84,"Not applicable"))</f>
        <v>0</v>
      </c>
    </row>
    <row r="85" spans="1:45">
      <c r="A85" s="4">
        <f>IF(B85=" "," ",HYPERLINK(CONCATENATE("#metadata!",ADDRESS(INDEX($X$2:$X$1001,MATCH(ROWS($V$2:V85),$V$2:$V$1001,0),0),2)),INDEX($AA$2:$AA$1001,MATCH(ROWS($V$2:V85),$V$2:$V$1001,0),0)))</f>
        <v>0</v>
      </c>
      <c r="B85" s="5">
        <f>IF(OR(INDEX($W$2:$W$1001,MATCH(ROWS($V$2:V85),$V$2:$V$1001,0),1)&gt;=100000,INDEX($AC$1005:$AS$1005,1,MATCH(COLUMNS($AC$1006:AC1006),$AC$1006:$AS$1006,0))&gt;=100000), " ",IF(INDEX($AC$2:$AS$1001,MATCH(ROWS($V$2:V85),$V$2:$V$1001,0),MATCH(COLUMNS($AC$1006:AC1006),$AC$1006:$AS$1006,0)), HYPERLINK("#",""), HYPERLINK(CONCATENATE("#Metadata!", ADDRESS(INDEX($X$2:$X$1001,MATCH(ROWS($V$2:V85),$V$2:$V$1001,0),0), INDEX($AC$1004:$AS$1004,1,MATCH(COLUMNS($AC$1006:AC1006),$AC$1006:$AS$1006,0)))),"Fix")))</f>
        <v>0</v>
      </c>
      <c r="C85" s="5">
        <f>IF(OR(INDEX($W$2:$W$1001,MATCH(ROWS($V$2:V85),$V$2:$V$1001,0),1)&gt;=100000,INDEX($AC$1005:$AS$1005,1,MATCH(COLUMNS($AC$1006:AD1006),$AC$1006:$AS$1006,0))&gt;=100000), " ",IF(INDEX($AC$2:$AS$1001,MATCH(ROWS($V$2:V85),$V$2:$V$1001,0),MATCH(COLUMNS($AC$1006:AD1006),$AC$1006:$AS$1006,0)), HYPERLINK("#",""), HYPERLINK(CONCATENATE("#Metadata!", ADDRESS(INDEX($X$2:$X$1001,MATCH(ROWS($V$2:V85),$V$2:$V$1001,0),0), INDEX($AC$1004:$AS$1004,1,MATCH(COLUMNS($AC$1006:AD1006),$AC$1006:$AS$1006,0)))),"Fix")))</f>
        <v>0</v>
      </c>
      <c r="D85" s="5">
        <f>IF(OR(INDEX($W$2:$W$1001,MATCH(ROWS($V$2:V85),$V$2:$V$1001,0),1)&gt;=100000,INDEX($AC$1005:$AS$1005,1,MATCH(COLUMNS($AC$1006:AE1006),$AC$1006:$AS$1006,0))&gt;=100000), " ",IF(INDEX($AC$2:$AS$1001,MATCH(ROWS($V$2:V85),$V$2:$V$1001,0),MATCH(COLUMNS($AC$1006:AE1006),$AC$1006:$AS$1006,0)), HYPERLINK("#",""), HYPERLINK(CONCATENATE("#Metadata!", ADDRESS(INDEX($X$2:$X$1001,MATCH(ROWS($V$2:V85),$V$2:$V$1001,0),0), INDEX($AC$1004:$AS$1004,1,MATCH(COLUMNS($AC$1006:AE1006),$AC$1006:$AS$1006,0)))),"Fix")))</f>
        <v>0</v>
      </c>
      <c r="E85" s="5">
        <f>IF(OR(INDEX($W$2:$W$1001,MATCH(ROWS($V$2:V85),$V$2:$V$1001,0),1)&gt;=100000,INDEX($AC$1005:$AS$1005,1,MATCH(COLUMNS($AC$1006:AF1006),$AC$1006:$AS$1006,0))&gt;=100000), " ",IF(INDEX($AC$2:$AS$1001,MATCH(ROWS($V$2:V85),$V$2:$V$1001,0),MATCH(COLUMNS($AC$1006:AF1006),$AC$1006:$AS$1006,0)), HYPERLINK("#",""), HYPERLINK(CONCATENATE("#Metadata!", ADDRESS(INDEX($X$2:$X$1001,MATCH(ROWS($V$2:V85),$V$2:$V$1001,0),0), INDEX($AC$1004:$AS$1004,1,MATCH(COLUMNS($AC$1006:AF1006),$AC$1006:$AS$1006,0)))),"Fix")))</f>
        <v>0</v>
      </c>
      <c r="F85" s="5">
        <f>IF(OR(INDEX($W$2:$W$1001,MATCH(ROWS($V$2:V85),$V$2:$V$1001,0),1)&gt;=100000,INDEX($AC$1005:$AS$1005,1,MATCH(COLUMNS($AC$1006:AG1006),$AC$1006:$AS$1006,0))&gt;=100000), " ",IF(INDEX($AC$2:$AS$1001,MATCH(ROWS($V$2:V85),$V$2:$V$1001,0),MATCH(COLUMNS($AC$1006:AG1006),$AC$1006:$AS$1006,0)), HYPERLINK("#",""), HYPERLINK(CONCATENATE("#Metadata!", ADDRESS(INDEX($X$2:$X$1001,MATCH(ROWS($V$2:V85),$V$2:$V$1001,0),0), INDEX($AC$1004:$AS$1004,1,MATCH(COLUMNS($AC$1006:AG1006),$AC$1006:$AS$1006,0)))),"Fix")))</f>
        <v>0</v>
      </c>
      <c r="G85" s="5">
        <f>IF(OR(INDEX($W$2:$W$1001,MATCH(ROWS($V$2:V85),$V$2:$V$1001,0),1)&gt;=100000,INDEX($AC$1005:$AS$1005,1,MATCH(COLUMNS($AC$1006:AH1006),$AC$1006:$AS$1006,0))&gt;=100000), " ",IF(INDEX($AC$2:$AS$1001,MATCH(ROWS($V$2:V85),$V$2:$V$1001,0),MATCH(COLUMNS($AC$1006:AH1006),$AC$1006:$AS$1006,0)), HYPERLINK("#",""), HYPERLINK(CONCATENATE("#Metadata!", ADDRESS(INDEX($X$2:$X$1001,MATCH(ROWS($V$2:V85),$V$2:$V$1001,0),0), INDEX($AC$1004:$AS$1004,1,MATCH(COLUMNS($AC$1006:AH1006),$AC$1006:$AS$1006,0)))),"Fix")))</f>
        <v>0</v>
      </c>
      <c r="H85" s="5">
        <f>IF(OR(INDEX($W$2:$W$1001,MATCH(ROWS($V$2:V85),$V$2:$V$1001,0),1)&gt;=100000,INDEX($AC$1005:$AS$1005,1,MATCH(COLUMNS($AC$1006:AI1006),$AC$1006:$AS$1006,0))&gt;=100000), " ",IF(INDEX($AC$2:$AS$1001,MATCH(ROWS($V$2:V85),$V$2:$V$1001,0),MATCH(COLUMNS($AC$1006:AI1006),$AC$1006:$AS$1006,0)), HYPERLINK("#",""), HYPERLINK(CONCATENATE("#Metadata!", ADDRESS(INDEX($X$2:$X$1001,MATCH(ROWS($V$2:V85),$V$2:$V$1001,0),0), INDEX($AC$1004:$AS$1004,1,MATCH(COLUMNS($AC$1006:AI1006),$AC$1006:$AS$1006,0)))),"Fix")))</f>
        <v>0</v>
      </c>
      <c r="I85" s="5">
        <f>IF(OR(INDEX($W$2:$W$1001,MATCH(ROWS($V$2:V85),$V$2:$V$1001,0),1)&gt;=100000,INDEX($AC$1005:$AS$1005,1,MATCH(COLUMNS($AC$1006:AJ1006),$AC$1006:$AS$1006,0))&gt;=100000), " ",IF(INDEX($AC$2:$AS$1001,MATCH(ROWS($V$2:V85),$V$2:$V$1001,0),MATCH(COLUMNS($AC$1006:AJ1006),$AC$1006:$AS$1006,0)), HYPERLINK("#",""), HYPERLINK(CONCATENATE("#Metadata!", ADDRESS(INDEX($X$2:$X$1001,MATCH(ROWS($V$2:V85),$V$2:$V$1001,0),0), INDEX($AC$1004:$AS$1004,1,MATCH(COLUMNS($AC$1006:AJ1006),$AC$1006:$AS$1006,0)))),"Fix")))</f>
        <v>0</v>
      </c>
      <c r="J85" s="5">
        <f>IF(OR(INDEX($W$2:$W$1001,MATCH(ROWS($V$2:V85),$V$2:$V$1001,0),1)&gt;=100000,INDEX($AC$1005:$AS$1005,1,MATCH(COLUMNS($AC$1006:AK1006),$AC$1006:$AS$1006,0))&gt;=100000), " ",IF(INDEX($AC$2:$AS$1001,MATCH(ROWS($V$2:V85),$V$2:$V$1001,0),MATCH(COLUMNS($AC$1006:AK1006),$AC$1006:$AS$1006,0)), HYPERLINK("#",""), HYPERLINK(CONCATENATE("#Metadata!", ADDRESS(INDEX($X$2:$X$1001,MATCH(ROWS($V$2:V85),$V$2:$V$1001,0),0), INDEX($AC$1004:$AS$1004,1,MATCH(COLUMNS($AC$1006:AK1006),$AC$1006:$AS$1006,0)))),"Fix")))</f>
        <v>0</v>
      </c>
      <c r="K85" s="5">
        <f>IF(OR(INDEX($W$2:$W$1001,MATCH(ROWS($V$2:V85),$V$2:$V$1001,0),1)&gt;=100000,INDEX($AC$1005:$AS$1005,1,MATCH(COLUMNS($AC$1006:AL1006),$AC$1006:$AS$1006,0))&gt;=100000), " ",IF(INDEX($AC$2:$AS$1001,MATCH(ROWS($V$2:V85),$V$2:$V$1001,0),MATCH(COLUMNS($AC$1006:AL1006),$AC$1006:$AS$1006,0)), HYPERLINK("#",""), HYPERLINK(CONCATENATE("#Metadata!", ADDRESS(INDEX($X$2:$X$1001,MATCH(ROWS($V$2:V85),$V$2:$V$1001,0),0), INDEX($AC$1004:$AS$1004,1,MATCH(COLUMNS($AC$1006:AL1006),$AC$1006:$AS$1006,0)))),"Fix")))</f>
        <v>0</v>
      </c>
      <c r="L85" s="5">
        <f>IF(OR(INDEX($W$2:$W$1001,MATCH(ROWS($V$2:V85),$V$2:$V$1001,0),1)&gt;=100000,INDEX($AC$1005:$AS$1005,1,MATCH(COLUMNS($AC$1006:AM1006),$AC$1006:$AS$1006,0))&gt;=100000), " ",IF(INDEX($AC$2:$AS$1001,MATCH(ROWS($V$2:V85),$V$2:$V$1001,0),MATCH(COLUMNS($AC$1006:AM1006),$AC$1006:$AS$1006,0)), HYPERLINK("#",""), HYPERLINK(CONCATENATE("#Metadata!", ADDRESS(INDEX($X$2:$X$1001,MATCH(ROWS($V$2:V85),$V$2:$V$1001,0),0), INDEX($AC$1004:$AS$1004,1,MATCH(COLUMNS($AC$1006:AM1006),$AC$1006:$AS$1006,0)))),"Fix")))</f>
        <v>0</v>
      </c>
      <c r="M85" s="5">
        <f>IF(OR(INDEX($W$2:$W$1001,MATCH(ROWS($V$2:V85),$V$2:$V$1001,0),1)&gt;=100000,INDEX($AC$1005:$AS$1005,1,MATCH(COLUMNS($AC$1006:AN1006),$AC$1006:$AS$1006,0))&gt;=100000), " ",IF(INDEX($AC$2:$AS$1001,MATCH(ROWS($V$2:V85),$V$2:$V$1001,0),MATCH(COLUMNS($AC$1006:AN1006),$AC$1006:$AS$1006,0)), HYPERLINK("#",""), HYPERLINK(CONCATENATE("#Metadata!", ADDRESS(INDEX($X$2:$X$1001,MATCH(ROWS($V$2:V85),$V$2:$V$1001,0),0), INDEX($AC$1004:$AS$1004,1,MATCH(COLUMNS($AC$1006:AN1006),$AC$1006:$AS$1006,0)))),"Fix")))</f>
        <v>0</v>
      </c>
      <c r="N85" s="5">
        <f>IF(OR(INDEX($W$2:$W$1001,MATCH(ROWS($V$2:V85),$V$2:$V$1001,0),1)&gt;=100000,INDEX($AC$1005:$AS$1005,1,MATCH(COLUMNS($AC$1006:AO1006),$AC$1006:$AS$1006,0))&gt;=100000), " ",IF(INDEX($AC$2:$AS$1001,MATCH(ROWS($V$2:V85),$V$2:$V$1001,0),MATCH(COLUMNS($AC$1006:AO1006),$AC$1006:$AS$1006,0)), HYPERLINK("#",""), HYPERLINK(CONCATENATE("#Metadata!", ADDRESS(INDEX($X$2:$X$1001,MATCH(ROWS($V$2:V85),$V$2:$V$1001,0),0), INDEX($AC$1004:$AS$1004,1,MATCH(COLUMNS($AC$1006:AO1006),$AC$1006:$AS$1006,0)))),"Fix")))</f>
        <v>0</v>
      </c>
      <c r="O85" s="5">
        <f>IF(OR(INDEX($W$2:$W$1001,MATCH(ROWS($V$2:V85),$V$2:$V$1001,0),1)&gt;=100000,INDEX($AC$1005:$AS$1005,1,MATCH(COLUMNS($AC$1006:AP1006),$AC$1006:$AS$1006,0))&gt;=100000), " ",IF(INDEX($AC$2:$AS$1001,MATCH(ROWS($V$2:V85),$V$2:$V$1001,0),MATCH(COLUMNS($AC$1006:AP1006),$AC$1006:$AS$1006,0)), HYPERLINK("#",""), HYPERLINK(CONCATENATE("#Metadata!", ADDRESS(INDEX($X$2:$X$1001,MATCH(ROWS($V$2:V85),$V$2:$V$1001,0),0), INDEX($AC$1004:$AS$1004,1,MATCH(COLUMNS($AC$1006:AP1006),$AC$1006:$AS$1006,0)))),"Fix")))</f>
        <v>0</v>
      </c>
      <c r="P85" s="5">
        <f>IF(OR(INDEX($W$2:$W$1001,MATCH(ROWS($V$2:V85),$V$2:$V$1001,0),1)&gt;=100000,INDEX($AC$1005:$AS$1005,1,MATCH(COLUMNS($AC$1006:AQ1006),$AC$1006:$AS$1006,0))&gt;=100000), " ",IF(INDEX($AC$2:$AS$1001,MATCH(ROWS($V$2:V85),$V$2:$V$1001,0),MATCH(COLUMNS($AC$1006:AQ1006),$AC$1006:$AS$1006,0)), HYPERLINK("#",""), HYPERLINK(CONCATENATE("#Metadata!", ADDRESS(INDEX($X$2:$X$1001,MATCH(ROWS($V$2:V85),$V$2:$V$1001,0),0), INDEX($AC$1004:$AS$1004,1,MATCH(COLUMNS($AC$1006:AQ1006),$AC$1006:$AS$1006,0)))),"Fix")))</f>
        <v>0</v>
      </c>
      <c r="Q85" s="5">
        <f>IF(OR(INDEX($W$2:$W$1001,MATCH(ROWS($V$2:V85),$V$2:$V$1001,0),1)&gt;=100000,INDEX($AC$1005:$AS$1005,1,MATCH(COLUMNS($AC$1006:AR1006),$AC$1006:$AS$1006,0))&gt;=100000), " ",IF(INDEX($AC$2:$AS$1001,MATCH(ROWS($V$2:V85),$V$2:$V$1001,0),MATCH(COLUMNS($AC$1006:AR1006),$AC$1006:$AS$1006,0)), HYPERLINK("#",""), HYPERLINK(CONCATENATE("#Metadata!", ADDRESS(INDEX($X$2:$X$1001,MATCH(ROWS($V$2:V85),$V$2:$V$1001,0),0), INDEX($AC$1004:$AS$1004,1,MATCH(COLUMNS($AC$1006:AR1006),$AC$1006:$AS$1006,0)))),"Fix")))</f>
        <v>0</v>
      </c>
      <c r="R85" s="5">
        <f>IF(OR(INDEX($W$2:$W$1001,MATCH(ROWS($V$2:V85),$V$2:$V$1001,0),1)&gt;=100000,INDEX($AC$1005:$AS$1005,1,MATCH(COLUMNS($AC$1006:AS1006),$AC$1006:$AS$1006,0))&gt;=100000), " ",IF(INDEX($AC$2:$AS$1001,MATCH(ROWS($V$2:V85),$V$2:$V$1001,0),MATCH(COLUMNS($AC$1006:AS1006),$AC$1006:$AS$1006,0)), HYPERLINK("#",""), HYPERLINK(CONCATENATE("#Metadata!", ADDRESS(INDEX($X$2:$X$1001,MATCH(ROWS($V$2:V85),$V$2:$V$1001,0),0), INDEX($AC$1004:$AS$1004,1,MATCH(COLUMNS($AC$1006:AS1006),$AC$1006:$AS$1006,0)))),"Fix")))</f>
        <v>0</v>
      </c>
      <c r="V85">
        <v>0</v>
      </c>
      <c r="W85">
        <v>0</v>
      </c>
      <c r="X85">
        <v>0</v>
      </c>
      <c r="Y85">
        <f>IF(Z85,TRUE,AND(AC85:AS85))</f>
        <v>0</v>
      </c>
      <c r="Z85">
        <f>COUNTBLANK(Metadata!B85:R85)=COLUMNS(Metadata!B85:R85)</f>
        <v>0</v>
      </c>
      <c r="AA85">
        <v>0</v>
      </c>
      <c r="AC85">
        <f>AND(IF(Metadata!B85="",FALSE,TRUE),COUNTIF(Metadata!B:B, Metadata!B85) = 1,NOT(ISERROR(SUMPRODUCT(SEARCH(MID(Metadata!B85,ROW(INDIRECT("1:"&amp;LEN(Metadata!B85))), 1),"0123456789abcdefghijklmnopqrstuvwxyzABCDEFGHIJKLMNOPQRSTUVWXYZ.")))))</f>
        <v>0</v>
      </c>
      <c r="AD85">
        <f>AND(IF(Metadata!C85="",FALSE,TRUE),exact(Metadata!C85,"Host-associated"))</f>
        <v>0</v>
      </c>
      <c r="AE85">
        <f>AND(IF(Metadata!D85="",FALSE,TRUE),OR(exact(Metadata!D85,"Animal"),exact(Metadata!D85,"Fungus"),exact(Metadata!D85,"Plant")))</f>
        <v>0</v>
      </c>
      <c r="AF85">
        <f>AND(IF(Metadata!E85="",FALSE,TRUE),OR(exact(Metadata!E85,"Plant secretion"),exact(Metadata!E85,"Plant rhizosphere"),exact(Metadata!E85,"Plant surface"),exact(Metadata!E85,"Plant corpus"),exact(Metadata!E85,"Fungus surface"),exact(Metadata!E85,"Fungus corpus"),exact(Metadata!E85,"Animal surface"),exact(Metadata!E85,"Animal proximal gut"),exact(Metadata!E85,"Animal corpus"),exact(Metadata!E85,"Animal distal gut"),exact(Metadata!E85,"Animal secretion")))</f>
        <v>0</v>
      </c>
      <c r="AG85">
        <f>OR(AND(IF(Metadata!F85="",FALSE,TRUE),OR(exact(Metadata!F85,"not collected"),exact(Metadata!F85,"not provided"),exact(Metadata!F85,"restricted access"))),AND(IF(Metadata!F85="",FALSE,TRUE),OR(exact(Metadata!F85,"organism-associated habitat"),exact(Metadata!F85,"plant-associated habitat"),exact(Metadata!F85,"animal-associated habitat"),exact(Metadata!F85,"insecta-associated habitat"),exact(Metadata!F85,"mammalia-associated habitat"),exact(Metadata!F85,"human-associated habitat"),exact(Metadata!F85,"livestock-associated habitat"))))</f>
        <v>0</v>
      </c>
      <c r="AH85">
        <f>AND(IF(Metadata!G85="",FALSE,TRUE),exact(Metadata!G85,"host-associated"))</f>
        <v>0</v>
      </c>
      <c r="AI85">
        <f>OR(AND(IF(Metadata!H85="",FALSE,TRUE),OR(exact(Metadata!H85,"not collected"),exact(Metadata!H85,"not provided"))),AND(IF(Metadata!H85="",FALSE,ISNUMBER(VALUE(Metadata!H85))),Metadata!H85&gt;0))</f>
        <v>0</v>
      </c>
      <c r="AJ85">
        <f>AND(IF(Metadata!I85="",FALSE,TRUE),exact(Metadata!I85,"years"))</f>
        <v>0</v>
      </c>
      <c r="AK85">
        <f>IF(Metadata!J85="",FALSE,TRUE)</f>
        <v>0</v>
      </c>
      <c r="AL85">
        <f>OR(AND(IF(Metadata!K85="",FALSE,TRUE),OR(exact(Metadata!K85,"not collected"),exact(Metadata!K85,"not provided"))),AND(IF(Metadata!K85="",FALSE,ISNUMBER(VALUE(Metadata!K85))),Metadata!K85&gt;0))</f>
        <v>0</v>
      </c>
      <c r="AM85">
        <f>AND(IF(Metadata!L85="",FALSE,TRUE),exact(Metadata!L85,"cm"))</f>
        <v>0</v>
      </c>
      <c r="AN85">
        <f>IF(Metadata!M85="",FALSE,TRUE)</f>
        <v>0</v>
      </c>
      <c r="AO85">
        <f>OR(AND(IF(Metadata!N85="",FALSE,TRUE),OR(exact(Metadata!N85,"not applicable"),exact(Metadata!N85,"not collected"),exact(Metadata!N85,"not provided"))),AND(IF(Metadata!N85="",FALSE,IF(ISERROR(INT(Metadata!N85)),FALSE,INT(Metadata!N85)=Metadata!N85)),Metadata!N85&gt;0))</f>
        <v>0</v>
      </c>
      <c r="AP85">
        <f>OR(AND(IF(Metadata!O85="",FALSE,TRUE),OR(exact(Metadata!O85,"not collected"),exact(Metadata!O85,"not provided"))),AND(IF(Metadata!O85="",FALSE,ISNUMBER(VALUE(Metadata!O85))),Metadata!O85&gt;0))</f>
        <v>0</v>
      </c>
      <c r="AQ85">
        <f>AND(IF(Metadata!P85="",FALSE,TRUE),exact(Metadata!P85,"kg"))</f>
        <v>0</v>
      </c>
      <c r="AR85">
        <f>OR(AND(IF(Metadata!Q85="",FALSE,TRUE),OR(exact(Metadata!Q85,"not applicable"),exact(Metadata!Q85,"not collected"),exact(Metadata!Q85,"not provided"),exact(Metadata!Q85,"restricted access"))),IF(Metadata!Q85="",FALSE,IF(ISERROR(INT(Metadata!Q85)),FALSE,INT(Metadata!Q85)=Metadata!Q85)))</f>
        <v>0</v>
      </c>
      <c r="AS85">
        <f>AND(IF(Metadata!R85="",FALSE,TRUE),exact(Metadata!R85,"Not applicable"))</f>
        <v>0</v>
      </c>
    </row>
    <row r="86" spans="1:45">
      <c r="A86" s="4">
        <f>IF(B86=" "," ",HYPERLINK(CONCATENATE("#metadata!",ADDRESS(INDEX($X$2:$X$1001,MATCH(ROWS($V$2:V86),$V$2:$V$1001,0),0),2)),INDEX($AA$2:$AA$1001,MATCH(ROWS($V$2:V86),$V$2:$V$1001,0),0)))</f>
        <v>0</v>
      </c>
      <c r="B86" s="5">
        <f>IF(OR(INDEX($W$2:$W$1001,MATCH(ROWS($V$2:V86),$V$2:$V$1001,0),1)&gt;=100000,INDEX($AC$1005:$AS$1005,1,MATCH(COLUMNS($AC$1006:AC1006),$AC$1006:$AS$1006,0))&gt;=100000), " ",IF(INDEX($AC$2:$AS$1001,MATCH(ROWS($V$2:V86),$V$2:$V$1001,0),MATCH(COLUMNS($AC$1006:AC1006),$AC$1006:$AS$1006,0)), HYPERLINK("#",""), HYPERLINK(CONCATENATE("#Metadata!", ADDRESS(INDEX($X$2:$X$1001,MATCH(ROWS($V$2:V86),$V$2:$V$1001,0),0), INDEX($AC$1004:$AS$1004,1,MATCH(COLUMNS($AC$1006:AC1006),$AC$1006:$AS$1006,0)))),"Fix")))</f>
        <v>0</v>
      </c>
      <c r="C86" s="5">
        <f>IF(OR(INDEX($W$2:$W$1001,MATCH(ROWS($V$2:V86),$V$2:$V$1001,0),1)&gt;=100000,INDEX($AC$1005:$AS$1005,1,MATCH(COLUMNS($AC$1006:AD1006),$AC$1006:$AS$1006,0))&gt;=100000), " ",IF(INDEX($AC$2:$AS$1001,MATCH(ROWS($V$2:V86),$V$2:$V$1001,0),MATCH(COLUMNS($AC$1006:AD1006),$AC$1006:$AS$1006,0)), HYPERLINK("#",""), HYPERLINK(CONCATENATE("#Metadata!", ADDRESS(INDEX($X$2:$X$1001,MATCH(ROWS($V$2:V86),$V$2:$V$1001,0),0), INDEX($AC$1004:$AS$1004,1,MATCH(COLUMNS($AC$1006:AD1006),$AC$1006:$AS$1006,0)))),"Fix")))</f>
        <v>0</v>
      </c>
      <c r="D86" s="5">
        <f>IF(OR(INDEX($W$2:$W$1001,MATCH(ROWS($V$2:V86),$V$2:$V$1001,0),1)&gt;=100000,INDEX($AC$1005:$AS$1005,1,MATCH(COLUMNS($AC$1006:AE1006),$AC$1006:$AS$1006,0))&gt;=100000), " ",IF(INDEX($AC$2:$AS$1001,MATCH(ROWS($V$2:V86),$V$2:$V$1001,0),MATCH(COLUMNS($AC$1006:AE1006),$AC$1006:$AS$1006,0)), HYPERLINK("#",""), HYPERLINK(CONCATENATE("#Metadata!", ADDRESS(INDEX($X$2:$X$1001,MATCH(ROWS($V$2:V86),$V$2:$V$1001,0),0), INDEX($AC$1004:$AS$1004,1,MATCH(COLUMNS($AC$1006:AE1006),$AC$1006:$AS$1006,0)))),"Fix")))</f>
        <v>0</v>
      </c>
      <c r="E86" s="5">
        <f>IF(OR(INDEX($W$2:$W$1001,MATCH(ROWS($V$2:V86),$V$2:$V$1001,0),1)&gt;=100000,INDEX($AC$1005:$AS$1005,1,MATCH(COLUMNS($AC$1006:AF1006),$AC$1006:$AS$1006,0))&gt;=100000), " ",IF(INDEX($AC$2:$AS$1001,MATCH(ROWS($V$2:V86),$V$2:$V$1001,0),MATCH(COLUMNS($AC$1006:AF1006),$AC$1006:$AS$1006,0)), HYPERLINK("#",""), HYPERLINK(CONCATENATE("#Metadata!", ADDRESS(INDEX($X$2:$X$1001,MATCH(ROWS($V$2:V86),$V$2:$V$1001,0),0), INDEX($AC$1004:$AS$1004,1,MATCH(COLUMNS($AC$1006:AF1006),$AC$1006:$AS$1006,0)))),"Fix")))</f>
        <v>0</v>
      </c>
      <c r="F86" s="5">
        <f>IF(OR(INDEX($W$2:$W$1001,MATCH(ROWS($V$2:V86),$V$2:$V$1001,0),1)&gt;=100000,INDEX($AC$1005:$AS$1005,1,MATCH(COLUMNS($AC$1006:AG1006),$AC$1006:$AS$1006,0))&gt;=100000), " ",IF(INDEX($AC$2:$AS$1001,MATCH(ROWS($V$2:V86),$V$2:$V$1001,0),MATCH(COLUMNS($AC$1006:AG1006),$AC$1006:$AS$1006,0)), HYPERLINK("#",""), HYPERLINK(CONCATENATE("#Metadata!", ADDRESS(INDEX($X$2:$X$1001,MATCH(ROWS($V$2:V86),$V$2:$V$1001,0),0), INDEX($AC$1004:$AS$1004,1,MATCH(COLUMNS($AC$1006:AG1006),$AC$1006:$AS$1006,0)))),"Fix")))</f>
        <v>0</v>
      </c>
      <c r="G86" s="5">
        <f>IF(OR(INDEX($W$2:$W$1001,MATCH(ROWS($V$2:V86),$V$2:$V$1001,0),1)&gt;=100000,INDEX($AC$1005:$AS$1005,1,MATCH(COLUMNS($AC$1006:AH1006),$AC$1006:$AS$1006,0))&gt;=100000), " ",IF(INDEX($AC$2:$AS$1001,MATCH(ROWS($V$2:V86),$V$2:$V$1001,0),MATCH(COLUMNS($AC$1006:AH1006),$AC$1006:$AS$1006,0)), HYPERLINK("#",""), HYPERLINK(CONCATENATE("#Metadata!", ADDRESS(INDEX($X$2:$X$1001,MATCH(ROWS($V$2:V86),$V$2:$V$1001,0),0), INDEX($AC$1004:$AS$1004,1,MATCH(COLUMNS($AC$1006:AH1006),$AC$1006:$AS$1006,0)))),"Fix")))</f>
        <v>0</v>
      </c>
      <c r="H86" s="5">
        <f>IF(OR(INDEX($W$2:$W$1001,MATCH(ROWS($V$2:V86),$V$2:$V$1001,0),1)&gt;=100000,INDEX($AC$1005:$AS$1005,1,MATCH(COLUMNS($AC$1006:AI1006),$AC$1006:$AS$1006,0))&gt;=100000), " ",IF(INDEX($AC$2:$AS$1001,MATCH(ROWS($V$2:V86),$V$2:$V$1001,0),MATCH(COLUMNS($AC$1006:AI1006),$AC$1006:$AS$1006,0)), HYPERLINK("#",""), HYPERLINK(CONCATENATE("#Metadata!", ADDRESS(INDEX($X$2:$X$1001,MATCH(ROWS($V$2:V86),$V$2:$V$1001,0),0), INDEX($AC$1004:$AS$1004,1,MATCH(COLUMNS($AC$1006:AI1006),$AC$1006:$AS$1006,0)))),"Fix")))</f>
        <v>0</v>
      </c>
      <c r="I86" s="5">
        <f>IF(OR(INDEX($W$2:$W$1001,MATCH(ROWS($V$2:V86),$V$2:$V$1001,0),1)&gt;=100000,INDEX($AC$1005:$AS$1005,1,MATCH(COLUMNS($AC$1006:AJ1006),$AC$1006:$AS$1006,0))&gt;=100000), " ",IF(INDEX($AC$2:$AS$1001,MATCH(ROWS($V$2:V86),$V$2:$V$1001,0),MATCH(COLUMNS($AC$1006:AJ1006),$AC$1006:$AS$1006,0)), HYPERLINK("#",""), HYPERLINK(CONCATENATE("#Metadata!", ADDRESS(INDEX($X$2:$X$1001,MATCH(ROWS($V$2:V86),$V$2:$V$1001,0),0), INDEX($AC$1004:$AS$1004,1,MATCH(COLUMNS($AC$1006:AJ1006),$AC$1006:$AS$1006,0)))),"Fix")))</f>
        <v>0</v>
      </c>
      <c r="J86" s="5">
        <f>IF(OR(INDEX($W$2:$W$1001,MATCH(ROWS($V$2:V86),$V$2:$V$1001,0),1)&gt;=100000,INDEX($AC$1005:$AS$1005,1,MATCH(COLUMNS($AC$1006:AK1006),$AC$1006:$AS$1006,0))&gt;=100000), " ",IF(INDEX($AC$2:$AS$1001,MATCH(ROWS($V$2:V86),$V$2:$V$1001,0),MATCH(COLUMNS($AC$1006:AK1006),$AC$1006:$AS$1006,0)), HYPERLINK("#",""), HYPERLINK(CONCATENATE("#Metadata!", ADDRESS(INDEX($X$2:$X$1001,MATCH(ROWS($V$2:V86),$V$2:$V$1001,0),0), INDEX($AC$1004:$AS$1004,1,MATCH(COLUMNS($AC$1006:AK1006),$AC$1006:$AS$1006,0)))),"Fix")))</f>
        <v>0</v>
      </c>
      <c r="K86" s="5">
        <f>IF(OR(INDEX($W$2:$W$1001,MATCH(ROWS($V$2:V86),$V$2:$V$1001,0),1)&gt;=100000,INDEX($AC$1005:$AS$1005,1,MATCH(COLUMNS($AC$1006:AL1006),$AC$1006:$AS$1006,0))&gt;=100000), " ",IF(INDEX($AC$2:$AS$1001,MATCH(ROWS($V$2:V86),$V$2:$V$1001,0),MATCH(COLUMNS($AC$1006:AL1006),$AC$1006:$AS$1006,0)), HYPERLINK("#",""), HYPERLINK(CONCATENATE("#Metadata!", ADDRESS(INDEX($X$2:$X$1001,MATCH(ROWS($V$2:V86),$V$2:$V$1001,0),0), INDEX($AC$1004:$AS$1004,1,MATCH(COLUMNS($AC$1006:AL1006),$AC$1006:$AS$1006,0)))),"Fix")))</f>
        <v>0</v>
      </c>
      <c r="L86" s="5">
        <f>IF(OR(INDEX($W$2:$W$1001,MATCH(ROWS($V$2:V86),$V$2:$V$1001,0),1)&gt;=100000,INDEX($AC$1005:$AS$1005,1,MATCH(COLUMNS($AC$1006:AM1006),$AC$1006:$AS$1006,0))&gt;=100000), " ",IF(INDEX($AC$2:$AS$1001,MATCH(ROWS($V$2:V86),$V$2:$V$1001,0),MATCH(COLUMNS($AC$1006:AM1006),$AC$1006:$AS$1006,0)), HYPERLINK("#",""), HYPERLINK(CONCATENATE("#Metadata!", ADDRESS(INDEX($X$2:$X$1001,MATCH(ROWS($V$2:V86),$V$2:$V$1001,0),0), INDEX($AC$1004:$AS$1004,1,MATCH(COLUMNS($AC$1006:AM1006),$AC$1006:$AS$1006,0)))),"Fix")))</f>
        <v>0</v>
      </c>
      <c r="M86" s="5">
        <f>IF(OR(INDEX($W$2:$W$1001,MATCH(ROWS($V$2:V86),$V$2:$V$1001,0),1)&gt;=100000,INDEX($AC$1005:$AS$1005,1,MATCH(COLUMNS($AC$1006:AN1006),$AC$1006:$AS$1006,0))&gt;=100000), " ",IF(INDEX($AC$2:$AS$1001,MATCH(ROWS($V$2:V86),$V$2:$V$1001,0),MATCH(COLUMNS($AC$1006:AN1006),$AC$1006:$AS$1006,0)), HYPERLINK("#",""), HYPERLINK(CONCATENATE("#Metadata!", ADDRESS(INDEX($X$2:$X$1001,MATCH(ROWS($V$2:V86),$V$2:$V$1001,0),0), INDEX($AC$1004:$AS$1004,1,MATCH(COLUMNS($AC$1006:AN1006),$AC$1006:$AS$1006,0)))),"Fix")))</f>
        <v>0</v>
      </c>
      <c r="N86" s="5">
        <f>IF(OR(INDEX($W$2:$W$1001,MATCH(ROWS($V$2:V86),$V$2:$V$1001,0),1)&gt;=100000,INDEX($AC$1005:$AS$1005,1,MATCH(COLUMNS($AC$1006:AO1006),$AC$1006:$AS$1006,0))&gt;=100000), " ",IF(INDEX($AC$2:$AS$1001,MATCH(ROWS($V$2:V86),$V$2:$V$1001,0),MATCH(COLUMNS($AC$1006:AO1006),$AC$1006:$AS$1006,0)), HYPERLINK("#",""), HYPERLINK(CONCATENATE("#Metadata!", ADDRESS(INDEX($X$2:$X$1001,MATCH(ROWS($V$2:V86),$V$2:$V$1001,0),0), INDEX($AC$1004:$AS$1004,1,MATCH(COLUMNS($AC$1006:AO1006),$AC$1006:$AS$1006,0)))),"Fix")))</f>
        <v>0</v>
      </c>
      <c r="O86" s="5">
        <f>IF(OR(INDEX($W$2:$W$1001,MATCH(ROWS($V$2:V86),$V$2:$V$1001,0),1)&gt;=100000,INDEX($AC$1005:$AS$1005,1,MATCH(COLUMNS($AC$1006:AP1006),$AC$1006:$AS$1006,0))&gt;=100000), " ",IF(INDEX($AC$2:$AS$1001,MATCH(ROWS($V$2:V86),$V$2:$V$1001,0),MATCH(COLUMNS($AC$1006:AP1006),$AC$1006:$AS$1006,0)), HYPERLINK("#",""), HYPERLINK(CONCATENATE("#Metadata!", ADDRESS(INDEX($X$2:$X$1001,MATCH(ROWS($V$2:V86),$V$2:$V$1001,0),0), INDEX($AC$1004:$AS$1004,1,MATCH(COLUMNS($AC$1006:AP1006),$AC$1006:$AS$1006,0)))),"Fix")))</f>
        <v>0</v>
      </c>
      <c r="P86" s="5">
        <f>IF(OR(INDEX($W$2:$W$1001,MATCH(ROWS($V$2:V86),$V$2:$V$1001,0),1)&gt;=100000,INDEX($AC$1005:$AS$1005,1,MATCH(COLUMNS($AC$1006:AQ1006),$AC$1006:$AS$1006,0))&gt;=100000), " ",IF(INDEX($AC$2:$AS$1001,MATCH(ROWS($V$2:V86),$V$2:$V$1001,0),MATCH(COLUMNS($AC$1006:AQ1006),$AC$1006:$AS$1006,0)), HYPERLINK("#",""), HYPERLINK(CONCATENATE("#Metadata!", ADDRESS(INDEX($X$2:$X$1001,MATCH(ROWS($V$2:V86),$V$2:$V$1001,0),0), INDEX($AC$1004:$AS$1004,1,MATCH(COLUMNS($AC$1006:AQ1006),$AC$1006:$AS$1006,0)))),"Fix")))</f>
        <v>0</v>
      </c>
      <c r="Q86" s="5">
        <f>IF(OR(INDEX($W$2:$W$1001,MATCH(ROWS($V$2:V86),$V$2:$V$1001,0),1)&gt;=100000,INDEX($AC$1005:$AS$1005,1,MATCH(COLUMNS($AC$1006:AR1006),$AC$1006:$AS$1006,0))&gt;=100000), " ",IF(INDEX($AC$2:$AS$1001,MATCH(ROWS($V$2:V86),$V$2:$V$1001,0),MATCH(COLUMNS($AC$1006:AR1006),$AC$1006:$AS$1006,0)), HYPERLINK("#",""), HYPERLINK(CONCATENATE("#Metadata!", ADDRESS(INDEX($X$2:$X$1001,MATCH(ROWS($V$2:V86),$V$2:$V$1001,0),0), INDEX($AC$1004:$AS$1004,1,MATCH(COLUMNS($AC$1006:AR1006),$AC$1006:$AS$1006,0)))),"Fix")))</f>
        <v>0</v>
      </c>
      <c r="R86" s="5">
        <f>IF(OR(INDEX($W$2:$W$1001,MATCH(ROWS($V$2:V86),$V$2:$V$1001,0),1)&gt;=100000,INDEX($AC$1005:$AS$1005,1,MATCH(COLUMNS($AC$1006:AS1006),$AC$1006:$AS$1006,0))&gt;=100000), " ",IF(INDEX($AC$2:$AS$1001,MATCH(ROWS($V$2:V86),$V$2:$V$1001,0),MATCH(COLUMNS($AC$1006:AS1006),$AC$1006:$AS$1006,0)), HYPERLINK("#",""), HYPERLINK(CONCATENATE("#Metadata!", ADDRESS(INDEX($X$2:$X$1001,MATCH(ROWS($V$2:V86),$V$2:$V$1001,0),0), INDEX($AC$1004:$AS$1004,1,MATCH(COLUMNS($AC$1006:AS1006),$AC$1006:$AS$1006,0)))),"Fix")))</f>
        <v>0</v>
      </c>
      <c r="V86">
        <v>0</v>
      </c>
      <c r="W86">
        <v>0</v>
      </c>
      <c r="X86">
        <v>0</v>
      </c>
      <c r="Y86">
        <f>IF(Z86,TRUE,AND(AC86:AS86))</f>
        <v>0</v>
      </c>
      <c r="Z86">
        <f>COUNTBLANK(Metadata!B86:R86)=COLUMNS(Metadata!B86:R86)</f>
        <v>0</v>
      </c>
      <c r="AA86">
        <v>0</v>
      </c>
      <c r="AC86">
        <f>AND(IF(Metadata!B86="",FALSE,TRUE),COUNTIF(Metadata!B:B, Metadata!B86) = 1,NOT(ISERROR(SUMPRODUCT(SEARCH(MID(Metadata!B86,ROW(INDIRECT("1:"&amp;LEN(Metadata!B86))), 1),"0123456789abcdefghijklmnopqrstuvwxyzABCDEFGHIJKLMNOPQRSTUVWXYZ.")))))</f>
        <v>0</v>
      </c>
      <c r="AD86">
        <f>AND(IF(Metadata!C86="",FALSE,TRUE),exact(Metadata!C86,"Host-associated"))</f>
        <v>0</v>
      </c>
      <c r="AE86">
        <f>AND(IF(Metadata!D86="",FALSE,TRUE),OR(exact(Metadata!D86,"Animal"),exact(Metadata!D86,"Fungus"),exact(Metadata!D86,"Plant")))</f>
        <v>0</v>
      </c>
      <c r="AF86">
        <f>AND(IF(Metadata!E86="",FALSE,TRUE),OR(exact(Metadata!E86,"Plant secretion"),exact(Metadata!E86,"Plant rhizosphere"),exact(Metadata!E86,"Plant surface"),exact(Metadata!E86,"Plant corpus"),exact(Metadata!E86,"Fungus surface"),exact(Metadata!E86,"Fungus corpus"),exact(Metadata!E86,"Animal surface"),exact(Metadata!E86,"Animal proximal gut"),exact(Metadata!E86,"Animal corpus"),exact(Metadata!E86,"Animal distal gut"),exact(Metadata!E86,"Animal secretion")))</f>
        <v>0</v>
      </c>
      <c r="AG86">
        <f>OR(AND(IF(Metadata!F86="",FALSE,TRUE),OR(exact(Metadata!F86,"not collected"),exact(Metadata!F86,"not provided"),exact(Metadata!F86,"restricted access"))),AND(IF(Metadata!F86="",FALSE,TRUE),OR(exact(Metadata!F86,"organism-associated habitat"),exact(Metadata!F86,"plant-associated habitat"),exact(Metadata!F86,"animal-associated habitat"),exact(Metadata!F86,"insecta-associated habitat"),exact(Metadata!F86,"mammalia-associated habitat"),exact(Metadata!F86,"human-associated habitat"),exact(Metadata!F86,"livestock-associated habitat"))))</f>
        <v>0</v>
      </c>
      <c r="AH86">
        <f>AND(IF(Metadata!G86="",FALSE,TRUE),exact(Metadata!G86,"host-associated"))</f>
        <v>0</v>
      </c>
      <c r="AI86">
        <f>OR(AND(IF(Metadata!H86="",FALSE,TRUE),OR(exact(Metadata!H86,"not collected"),exact(Metadata!H86,"not provided"))),AND(IF(Metadata!H86="",FALSE,ISNUMBER(VALUE(Metadata!H86))),Metadata!H86&gt;0))</f>
        <v>0</v>
      </c>
      <c r="AJ86">
        <f>AND(IF(Metadata!I86="",FALSE,TRUE),exact(Metadata!I86,"years"))</f>
        <v>0</v>
      </c>
      <c r="AK86">
        <f>IF(Metadata!J86="",FALSE,TRUE)</f>
        <v>0</v>
      </c>
      <c r="AL86">
        <f>OR(AND(IF(Metadata!K86="",FALSE,TRUE),OR(exact(Metadata!K86,"not collected"),exact(Metadata!K86,"not provided"))),AND(IF(Metadata!K86="",FALSE,ISNUMBER(VALUE(Metadata!K86))),Metadata!K86&gt;0))</f>
        <v>0</v>
      </c>
      <c r="AM86">
        <f>AND(IF(Metadata!L86="",FALSE,TRUE),exact(Metadata!L86,"cm"))</f>
        <v>0</v>
      </c>
      <c r="AN86">
        <f>IF(Metadata!M86="",FALSE,TRUE)</f>
        <v>0</v>
      </c>
      <c r="AO86">
        <f>OR(AND(IF(Metadata!N86="",FALSE,TRUE),OR(exact(Metadata!N86,"not applicable"),exact(Metadata!N86,"not collected"),exact(Metadata!N86,"not provided"))),AND(IF(Metadata!N86="",FALSE,IF(ISERROR(INT(Metadata!N86)),FALSE,INT(Metadata!N86)=Metadata!N86)),Metadata!N86&gt;0))</f>
        <v>0</v>
      </c>
      <c r="AP86">
        <f>OR(AND(IF(Metadata!O86="",FALSE,TRUE),OR(exact(Metadata!O86,"not collected"),exact(Metadata!O86,"not provided"))),AND(IF(Metadata!O86="",FALSE,ISNUMBER(VALUE(Metadata!O86))),Metadata!O86&gt;0))</f>
        <v>0</v>
      </c>
      <c r="AQ86">
        <f>AND(IF(Metadata!P86="",FALSE,TRUE),exact(Metadata!P86,"kg"))</f>
        <v>0</v>
      </c>
      <c r="AR86">
        <f>OR(AND(IF(Metadata!Q86="",FALSE,TRUE),OR(exact(Metadata!Q86,"not applicable"),exact(Metadata!Q86,"not collected"),exact(Metadata!Q86,"not provided"),exact(Metadata!Q86,"restricted access"))),IF(Metadata!Q86="",FALSE,IF(ISERROR(INT(Metadata!Q86)),FALSE,INT(Metadata!Q86)=Metadata!Q86)))</f>
        <v>0</v>
      </c>
      <c r="AS86">
        <f>AND(IF(Metadata!R86="",FALSE,TRUE),exact(Metadata!R86,"Not applicable"))</f>
        <v>0</v>
      </c>
    </row>
    <row r="87" spans="1:45">
      <c r="A87" s="4">
        <f>IF(B87=" "," ",HYPERLINK(CONCATENATE("#metadata!",ADDRESS(INDEX($X$2:$X$1001,MATCH(ROWS($V$2:V87),$V$2:$V$1001,0),0),2)),INDEX($AA$2:$AA$1001,MATCH(ROWS($V$2:V87),$V$2:$V$1001,0),0)))</f>
        <v>0</v>
      </c>
      <c r="B87" s="5">
        <f>IF(OR(INDEX($W$2:$W$1001,MATCH(ROWS($V$2:V87),$V$2:$V$1001,0),1)&gt;=100000,INDEX($AC$1005:$AS$1005,1,MATCH(COLUMNS($AC$1006:AC1006),$AC$1006:$AS$1006,0))&gt;=100000), " ",IF(INDEX($AC$2:$AS$1001,MATCH(ROWS($V$2:V87),$V$2:$V$1001,0),MATCH(COLUMNS($AC$1006:AC1006),$AC$1006:$AS$1006,0)), HYPERLINK("#",""), HYPERLINK(CONCATENATE("#Metadata!", ADDRESS(INDEX($X$2:$X$1001,MATCH(ROWS($V$2:V87),$V$2:$V$1001,0),0), INDEX($AC$1004:$AS$1004,1,MATCH(COLUMNS($AC$1006:AC1006),$AC$1006:$AS$1006,0)))),"Fix")))</f>
        <v>0</v>
      </c>
      <c r="C87" s="5">
        <f>IF(OR(INDEX($W$2:$W$1001,MATCH(ROWS($V$2:V87),$V$2:$V$1001,0),1)&gt;=100000,INDEX($AC$1005:$AS$1005,1,MATCH(COLUMNS($AC$1006:AD1006),$AC$1006:$AS$1006,0))&gt;=100000), " ",IF(INDEX($AC$2:$AS$1001,MATCH(ROWS($V$2:V87),$V$2:$V$1001,0),MATCH(COLUMNS($AC$1006:AD1006),$AC$1006:$AS$1006,0)), HYPERLINK("#",""), HYPERLINK(CONCATENATE("#Metadata!", ADDRESS(INDEX($X$2:$X$1001,MATCH(ROWS($V$2:V87),$V$2:$V$1001,0),0), INDEX($AC$1004:$AS$1004,1,MATCH(COLUMNS($AC$1006:AD1006),$AC$1006:$AS$1006,0)))),"Fix")))</f>
        <v>0</v>
      </c>
      <c r="D87" s="5">
        <f>IF(OR(INDEX($W$2:$W$1001,MATCH(ROWS($V$2:V87),$V$2:$V$1001,0),1)&gt;=100000,INDEX($AC$1005:$AS$1005,1,MATCH(COLUMNS($AC$1006:AE1006),$AC$1006:$AS$1006,0))&gt;=100000), " ",IF(INDEX($AC$2:$AS$1001,MATCH(ROWS($V$2:V87),$V$2:$V$1001,0),MATCH(COLUMNS($AC$1006:AE1006),$AC$1006:$AS$1006,0)), HYPERLINK("#",""), HYPERLINK(CONCATENATE("#Metadata!", ADDRESS(INDEX($X$2:$X$1001,MATCH(ROWS($V$2:V87),$V$2:$V$1001,0),0), INDEX($AC$1004:$AS$1004,1,MATCH(COLUMNS($AC$1006:AE1006),$AC$1006:$AS$1006,0)))),"Fix")))</f>
        <v>0</v>
      </c>
      <c r="E87" s="5">
        <f>IF(OR(INDEX($W$2:$W$1001,MATCH(ROWS($V$2:V87),$V$2:$V$1001,0),1)&gt;=100000,INDEX($AC$1005:$AS$1005,1,MATCH(COLUMNS($AC$1006:AF1006),$AC$1006:$AS$1006,0))&gt;=100000), " ",IF(INDEX($AC$2:$AS$1001,MATCH(ROWS($V$2:V87),$V$2:$V$1001,0),MATCH(COLUMNS($AC$1006:AF1006),$AC$1006:$AS$1006,0)), HYPERLINK("#",""), HYPERLINK(CONCATENATE("#Metadata!", ADDRESS(INDEX($X$2:$X$1001,MATCH(ROWS($V$2:V87),$V$2:$V$1001,0),0), INDEX($AC$1004:$AS$1004,1,MATCH(COLUMNS($AC$1006:AF1006),$AC$1006:$AS$1006,0)))),"Fix")))</f>
        <v>0</v>
      </c>
      <c r="F87" s="5">
        <f>IF(OR(INDEX($W$2:$W$1001,MATCH(ROWS($V$2:V87),$V$2:$V$1001,0),1)&gt;=100000,INDEX($AC$1005:$AS$1005,1,MATCH(COLUMNS($AC$1006:AG1006),$AC$1006:$AS$1006,0))&gt;=100000), " ",IF(INDEX($AC$2:$AS$1001,MATCH(ROWS($V$2:V87),$V$2:$V$1001,0),MATCH(COLUMNS($AC$1006:AG1006),$AC$1006:$AS$1006,0)), HYPERLINK("#",""), HYPERLINK(CONCATENATE("#Metadata!", ADDRESS(INDEX($X$2:$X$1001,MATCH(ROWS($V$2:V87),$V$2:$V$1001,0),0), INDEX($AC$1004:$AS$1004,1,MATCH(COLUMNS($AC$1006:AG1006),$AC$1006:$AS$1006,0)))),"Fix")))</f>
        <v>0</v>
      </c>
      <c r="G87" s="5">
        <f>IF(OR(INDEX($W$2:$W$1001,MATCH(ROWS($V$2:V87),$V$2:$V$1001,0),1)&gt;=100000,INDEX($AC$1005:$AS$1005,1,MATCH(COLUMNS($AC$1006:AH1006),$AC$1006:$AS$1006,0))&gt;=100000), " ",IF(INDEX($AC$2:$AS$1001,MATCH(ROWS($V$2:V87),$V$2:$V$1001,0),MATCH(COLUMNS($AC$1006:AH1006),$AC$1006:$AS$1006,0)), HYPERLINK("#",""), HYPERLINK(CONCATENATE("#Metadata!", ADDRESS(INDEX($X$2:$X$1001,MATCH(ROWS($V$2:V87),$V$2:$V$1001,0),0), INDEX($AC$1004:$AS$1004,1,MATCH(COLUMNS($AC$1006:AH1006),$AC$1006:$AS$1006,0)))),"Fix")))</f>
        <v>0</v>
      </c>
      <c r="H87" s="5">
        <f>IF(OR(INDEX($W$2:$W$1001,MATCH(ROWS($V$2:V87),$V$2:$V$1001,0),1)&gt;=100000,INDEX($AC$1005:$AS$1005,1,MATCH(COLUMNS($AC$1006:AI1006),$AC$1006:$AS$1006,0))&gt;=100000), " ",IF(INDEX($AC$2:$AS$1001,MATCH(ROWS($V$2:V87),$V$2:$V$1001,0),MATCH(COLUMNS($AC$1006:AI1006),$AC$1006:$AS$1006,0)), HYPERLINK("#",""), HYPERLINK(CONCATENATE("#Metadata!", ADDRESS(INDEX($X$2:$X$1001,MATCH(ROWS($V$2:V87),$V$2:$V$1001,0),0), INDEX($AC$1004:$AS$1004,1,MATCH(COLUMNS($AC$1006:AI1006),$AC$1006:$AS$1006,0)))),"Fix")))</f>
        <v>0</v>
      </c>
      <c r="I87" s="5">
        <f>IF(OR(INDEX($W$2:$W$1001,MATCH(ROWS($V$2:V87),$V$2:$V$1001,0),1)&gt;=100000,INDEX($AC$1005:$AS$1005,1,MATCH(COLUMNS($AC$1006:AJ1006),$AC$1006:$AS$1006,0))&gt;=100000), " ",IF(INDEX($AC$2:$AS$1001,MATCH(ROWS($V$2:V87),$V$2:$V$1001,0),MATCH(COLUMNS($AC$1006:AJ1006),$AC$1006:$AS$1006,0)), HYPERLINK("#",""), HYPERLINK(CONCATENATE("#Metadata!", ADDRESS(INDEX($X$2:$X$1001,MATCH(ROWS($V$2:V87),$V$2:$V$1001,0),0), INDEX($AC$1004:$AS$1004,1,MATCH(COLUMNS($AC$1006:AJ1006),$AC$1006:$AS$1006,0)))),"Fix")))</f>
        <v>0</v>
      </c>
      <c r="J87" s="5">
        <f>IF(OR(INDEX($W$2:$W$1001,MATCH(ROWS($V$2:V87),$V$2:$V$1001,0),1)&gt;=100000,INDEX($AC$1005:$AS$1005,1,MATCH(COLUMNS($AC$1006:AK1006),$AC$1006:$AS$1006,0))&gt;=100000), " ",IF(INDEX($AC$2:$AS$1001,MATCH(ROWS($V$2:V87),$V$2:$V$1001,0),MATCH(COLUMNS($AC$1006:AK1006),$AC$1006:$AS$1006,0)), HYPERLINK("#",""), HYPERLINK(CONCATENATE("#Metadata!", ADDRESS(INDEX($X$2:$X$1001,MATCH(ROWS($V$2:V87),$V$2:$V$1001,0),0), INDEX($AC$1004:$AS$1004,1,MATCH(COLUMNS($AC$1006:AK1006),$AC$1006:$AS$1006,0)))),"Fix")))</f>
        <v>0</v>
      </c>
      <c r="K87" s="5">
        <f>IF(OR(INDEX($W$2:$W$1001,MATCH(ROWS($V$2:V87),$V$2:$V$1001,0),1)&gt;=100000,INDEX($AC$1005:$AS$1005,1,MATCH(COLUMNS($AC$1006:AL1006),$AC$1006:$AS$1006,0))&gt;=100000), " ",IF(INDEX($AC$2:$AS$1001,MATCH(ROWS($V$2:V87),$V$2:$V$1001,0),MATCH(COLUMNS($AC$1006:AL1006),$AC$1006:$AS$1006,0)), HYPERLINK("#",""), HYPERLINK(CONCATENATE("#Metadata!", ADDRESS(INDEX($X$2:$X$1001,MATCH(ROWS($V$2:V87),$V$2:$V$1001,0),0), INDEX($AC$1004:$AS$1004,1,MATCH(COLUMNS($AC$1006:AL1006),$AC$1006:$AS$1006,0)))),"Fix")))</f>
        <v>0</v>
      </c>
      <c r="L87" s="5">
        <f>IF(OR(INDEX($W$2:$W$1001,MATCH(ROWS($V$2:V87),$V$2:$V$1001,0),1)&gt;=100000,INDEX($AC$1005:$AS$1005,1,MATCH(COLUMNS($AC$1006:AM1006),$AC$1006:$AS$1006,0))&gt;=100000), " ",IF(INDEX($AC$2:$AS$1001,MATCH(ROWS($V$2:V87),$V$2:$V$1001,0),MATCH(COLUMNS($AC$1006:AM1006),$AC$1006:$AS$1006,0)), HYPERLINK("#",""), HYPERLINK(CONCATENATE("#Metadata!", ADDRESS(INDEX($X$2:$X$1001,MATCH(ROWS($V$2:V87),$V$2:$V$1001,0),0), INDEX($AC$1004:$AS$1004,1,MATCH(COLUMNS($AC$1006:AM1006),$AC$1006:$AS$1006,0)))),"Fix")))</f>
        <v>0</v>
      </c>
      <c r="M87" s="5">
        <f>IF(OR(INDEX($W$2:$W$1001,MATCH(ROWS($V$2:V87),$V$2:$V$1001,0),1)&gt;=100000,INDEX($AC$1005:$AS$1005,1,MATCH(COLUMNS($AC$1006:AN1006),$AC$1006:$AS$1006,0))&gt;=100000), " ",IF(INDEX($AC$2:$AS$1001,MATCH(ROWS($V$2:V87),$V$2:$V$1001,0),MATCH(COLUMNS($AC$1006:AN1006),$AC$1006:$AS$1006,0)), HYPERLINK("#",""), HYPERLINK(CONCATENATE("#Metadata!", ADDRESS(INDEX($X$2:$X$1001,MATCH(ROWS($V$2:V87),$V$2:$V$1001,0),0), INDEX($AC$1004:$AS$1004,1,MATCH(COLUMNS($AC$1006:AN1006),$AC$1006:$AS$1006,0)))),"Fix")))</f>
        <v>0</v>
      </c>
      <c r="N87" s="5">
        <f>IF(OR(INDEX($W$2:$W$1001,MATCH(ROWS($V$2:V87),$V$2:$V$1001,0),1)&gt;=100000,INDEX($AC$1005:$AS$1005,1,MATCH(COLUMNS($AC$1006:AO1006),$AC$1006:$AS$1006,0))&gt;=100000), " ",IF(INDEX($AC$2:$AS$1001,MATCH(ROWS($V$2:V87),$V$2:$V$1001,0),MATCH(COLUMNS($AC$1006:AO1006),$AC$1006:$AS$1006,0)), HYPERLINK("#",""), HYPERLINK(CONCATENATE("#Metadata!", ADDRESS(INDEX($X$2:$X$1001,MATCH(ROWS($V$2:V87),$V$2:$V$1001,0),0), INDEX($AC$1004:$AS$1004,1,MATCH(COLUMNS($AC$1006:AO1006),$AC$1006:$AS$1006,0)))),"Fix")))</f>
        <v>0</v>
      </c>
      <c r="O87" s="5">
        <f>IF(OR(INDEX($W$2:$W$1001,MATCH(ROWS($V$2:V87),$V$2:$V$1001,0),1)&gt;=100000,INDEX($AC$1005:$AS$1005,1,MATCH(COLUMNS($AC$1006:AP1006),$AC$1006:$AS$1006,0))&gt;=100000), " ",IF(INDEX($AC$2:$AS$1001,MATCH(ROWS($V$2:V87),$V$2:$V$1001,0),MATCH(COLUMNS($AC$1006:AP1006),$AC$1006:$AS$1006,0)), HYPERLINK("#",""), HYPERLINK(CONCATENATE("#Metadata!", ADDRESS(INDEX($X$2:$X$1001,MATCH(ROWS($V$2:V87),$V$2:$V$1001,0),0), INDEX($AC$1004:$AS$1004,1,MATCH(COLUMNS($AC$1006:AP1006),$AC$1006:$AS$1006,0)))),"Fix")))</f>
        <v>0</v>
      </c>
      <c r="P87" s="5">
        <f>IF(OR(INDEX($W$2:$W$1001,MATCH(ROWS($V$2:V87),$V$2:$V$1001,0),1)&gt;=100000,INDEX($AC$1005:$AS$1005,1,MATCH(COLUMNS($AC$1006:AQ1006),$AC$1006:$AS$1006,0))&gt;=100000), " ",IF(INDEX($AC$2:$AS$1001,MATCH(ROWS($V$2:V87),$V$2:$V$1001,0),MATCH(COLUMNS($AC$1006:AQ1006),$AC$1006:$AS$1006,0)), HYPERLINK("#",""), HYPERLINK(CONCATENATE("#Metadata!", ADDRESS(INDEX($X$2:$X$1001,MATCH(ROWS($V$2:V87),$V$2:$V$1001,0),0), INDEX($AC$1004:$AS$1004,1,MATCH(COLUMNS($AC$1006:AQ1006),$AC$1006:$AS$1006,0)))),"Fix")))</f>
        <v>0</v>
      </c>
      <c r="Q87" s="5">
        <f>IF(OR(INDEX($W$2:$W$1001,MATCH(ROWS($V$2:V87),$V$2:$V$1001,0),1)&gt;=100000,INDEX($AC$1005:$AS$1005,1,MATCH(COLUMNS($AC$1006:AR1006),$AC$1006:$AS$1006,0))&gt;=100000), " ",IF(INDEX($AC$2:$AS$1001,MATCH(ROWS($V$2:V87),$V$2:$V$1001,0),MATCH(COLUMNS($AC$1006:AR1006),$AC$1006:$AS$1006,0)), HYPERLINK("#",""), HYPERLINK(CONCATENATE("#Metadata!", ADDRESS(INDEX($X$2:$X$1001,MATCH(ROWS($V$2:V87),$V$2:$V$1001,0),0), INDEX($AC$1004:$AS$1004,1,MATCH(COLUMNS($AC$1006:AR1006),$AC$1006:$AS$1006,0)))),"Fix")))</f>
        <v>0</v>
      </c>
      <c r="R87" s="5">
        <f>IF(OR(INDEX($W$2:$W$1001,MATCH(ROWS($V$2:V87),$V$2:$V$1001,0),1)&gt;=100000,INDEX($AC$1005:$AS$1005,1,MATCH(COLUMNS($AC$1006:AS1006),$AC$1006:$AS$1006,0))&gt;=100000), " ",IF(INDEX($AC$2:$AS$1001,MATCH(ROWS($V$2:V87),$V$2:$V$1001,0),MATCH(COLUMNS($AC$1006:AS1006),$AC$1006:$AS$1006,0)), HYPERLINK("#",""), HYPERLINK(CONCATENATE("#Metadata!", ADDRESS(INDEX($X$2:$X$1001,MATCH(ROWS($V$2:V87),$V$2:$V$1001,0),0), INDEX($AC$1004:$AS$1004,1,MATCH(COLUMNS($AC$1006:AS1006),$AC$1006:$AS$1006,0)))),"Fix")))</f>
        <v>0</v>
      </c>
      <c r="V87">
        <v>0</v>
      </c>
      <c r="W87">
        <v>0</v>
      </c>
      <c r="X87">
        <v>0</v>
      </c>
      <c r="Y87">
        <f>IF(Z87,TRUE,AND(AC87:AS87))</f>
        <v>0</v>
      </c>
      <c r="Z87">
        <f>COUNTBLANK(Metadata!B87:R87)=COLUMNS(Metadata!B87:R87)</f>
        <v>0</v>
      </c>
      <c r="AA87">
        <v>0</v>
      </c>
      <c r="AC87">
        <f>AND(IF(Metadata!B87="",FALSE,TRUE),COUNTIF(Metadata!B:B, Metadata!B87) = 1,NOT(ISERROR(SUMPRODUCT(SEARCH(MID(Metadata!B87,ROW(INDIRECT("1:"&amp;LEN(Metadata!B87))), 1),"0123456789abcdefghijklmnopqrstuvwxyzABCDEFGHIJKLMNOPQRSTUVWXYZ.")))))</f>
        <v>0</v>
      </c>
      <c r="AD87">
        <f>AND(IF(Metadata!C87="",FALSE,TRUE),exact(Metadata!C87,"Host-associated"))</f>
        <v>0</v>
      </c>
      <c r="AE87">
        <f>AND(IF(Metadata!D87="",FALSE,TRUE),OR(exact(Metadata!D87,"Animal"),exact(Metadata!D87,"Fungus"),exact(Metadata!D87,"Plant")))</f>
        <v>0</v>
      </c>
      <c r="AF87">
        <f>AND(IF(Metadata!E87="",FALSE,TRUE),OR(exact(Metadata!E87,"Plant secretion"),exact(Metadata!E87,"Plant rhizosphere"),exact(Metadata!E87,"Plant surface"),exact(Metadata!E87,"Plant corpus"),exact(Metadata!E87,"Fungus surface"),exact(Metadata!E87,"Fungus corpus"),exact(Metadata!E87,"Animal surface"),exact(Metadata!E87,"Animal proximal gut"),exact(Metadata!E87,"Animal corpus"),exact(Metadata!E87,"Animal distal gut"),exact(Metadata!E87,"Animal secretion")))</f>
        <v>0</v>
      </c>
      <c r="AG87">
        <f>OR(AND(IF(Metadata!F87="",FALSE,TRUE),OR(exact(Metadata!F87,"not collected"),exact(Metadata!F87,"not provided"),exact(Metadata!F87,"restricted access"))),AND(IF(Metadata!F87="",FALSE,TRUE),OR(exact(Metadata!F87,"organism-associated habitat"),exact(Metadata!F87,"plant-associated habitat"),exact(Metadata!F87,"animal-associated habitat"),exact(Metadata!F87,"insecta-associated habitat"),exact(Metadata!F87,"mammalia-associated habitat"),exact(Metadata!F87,"human-associated habitat"),exact(Metadata!F87,"livestock-associated habitat"))))</f>
        <v>0</v>
      </c>
      <c r="AH87">
        <f>AND(IF(Metadata!G87="",FALSE,TRUE),exact(Metadata!G87,"host-associated"))</f>
        <v>0</v>
      </c>
      <c r="AI87">
        <f>OR(AND(IF(Metadata!H87="",FALSE,TRUE),OR(exact(Metadata!H87,"not collected"),exact(Metadata!H87,"not provided"))),AND(IF(Metadata!H87="",FALSE,ISNUMBER(VALUE(Metadata!H87))),Metadata!H87&gt;0))</f>
        <v>0</v>
      </c>
      <c r="AJ87">
        <f>AND(IF(Metadata!I87="",FALSE,TRUE),exact(Metadata!I87,"years"))</f>
        <v>0</v>
      </c>
      <c r="AK87">
        <f>IF(Metadata!J87="",FALSE,TRUE)</f>
        <v>0</v>
      </c>
      <c r="AL87">
        <f>OR(AND(IF(Metadata!K87="",FALSE,TRUE),OR(exact(Metadata!K87,"not collected"),exact(Metadata!K87,"not provided"))),AND(IF(Metadata!K87="",FALSE,ISNUMBER(VALUE(Metadata!K87))),Metadata!K87&gt;0))</f>
        <v>0</v>
      </c>
      <c r="AM87">
        <f>AND(IF(Metadata!L87="",FALSE,TRUE),exact(Metadata!L87,"cm"))</f>
        <v>0</v>
      </c>
      <c r="AN87">
        <f>IF(Metadata!M87="",FALSE,TRUE)</f>
        <v>0</v>
      </c>
      <c r="AO87">
        <f>OR(AND(IF(Metadata!N87="",FALSE,TRUE),OR(exact(Metadata!N87,"not applicable"),exact(Metadata!N87,"not collected"),exact(Metadata!N87,"not provided"))),AND(IF(Metadata!N87="",FALSE,IF(ISERROR(INT(Metadata!N87)),FALSE,INT(Metadata!N87)=Metadata!N87)),Metadata!N87&gt;0))</f>
        <v>0</v>
      </c>
      <c r="AP87">
        <f>OR(AND(IF(Metadata!O87="",FALSE,TRUE),OR(exact(Metadata!O87,"not collected"),exact(Metadata!O87,"not provided"))),AND(IF(Metadata!O87="",FALSE,ISNUMBER(VALUE(Metadata!O87))),Metadata!O87&gt;0))</f>
        <v>0</v>
      </c>
      <c r="AQ87">
        <f>AND(IF(Metadata!P87="",FALSE,TRUE),exact(Metadata!P87,"kg"))</f>
        <v>0</v>
      </c>
      <c r="AR87">
        <f>OR(AND(IF(Metadata!Q87="",FALSE,TRUE),OR(exact(Metadata!Q87,"not applicable"),exact(Metadata!Q87,"not collected"),exact(Metadata!Q87,"not provided"),exact(Metadata!Q87,"restricted access"))),IF(Metadata!Q87="",FALSE,IF(ISERROR(INT(Metadata!Q87)),FALSE,INT(Metadata!Q87)=Metadata!Q87)))</f>
        <v>0</v>
      </c>
      <c r="AS87">
        <f>AND(IF(Metadata!R87="",FALSE,TRUE),exact(Metadata!R87,"Not applicable"))</f>
        <v>0</v>
      </c>
    </row>
    <row r="88" spans="1:45">
      <c r="A88" s="4">
        <f>IF(B88=" "," ",HYPERLINK(CONCATENATE("#metadata!",ADDRESS(INDEX($X$2:$X$1001,MATCH(ROWS($V$2:V88),$V$2:$V$1001,0),0),2)),INDEX($AA$2:$AA$1001,MATCH(ROWS($V$2:V88),$V$2:$V$1001,0),0)))</f>
        <v>0</v>
      </c>
      <c r="B88" s="5">
        <f>IF(OR(INDEX($W$2:$W$1001,MATCH(ROWS($V$2:V88),$V$2:$V$1001,0),1)&gt;=100000,INDEX($AC$1005:$AS$1005,1,MATCH(COLUMNS($AC$1006:AC1006),$AC$1006:$AS$1006,0))&gt;=100000), " ",IF(INDEX($AC$2:$AS$1001,MATCH(ROWS($V$2:V88),$V$2:$V$1001,0),MATCH(COLUMNS($AC$1006:AC1006),$AC$1006:$AS$1006,0)), HYPERLINK("#",""), HYPERLINK(CONCATENATE("#Metadata!", ADDRESS(INDEX($X$2:$X$1001,MATCH(ROWS($V$2:V88),$V$2:$V$1001,0),0), INDEX($AC$1004:$AS$1004,1,MATCH(COLUMNS($AC$1006:AC1006),$AC$1006:$AS$1006,0)))),"Fix")))</f>
        <v>0</v>
      </c>
      <c r="C88" s="5">
        <f>IF(OR(INDEX($W$2:$W$1001,MATCH(ROWS($V$2:V88),$V$2:$V$1001,0),1)&gt;=100000,INDEX($AC$1005:$AS$1005,1,MATCH(COLUMNS($AC$1006:AD1006),$AC$1006:$AS$1006,0))&gt;=100000), " ",IF(INDEX($AC$2:$AS$1001,MATCH(ROWS($V$2:V88),$V$2:$V$1001,0),MATCH(COLUMNS($AC$1006:AD1006),$AC$1006:$AS$1006,0)), HYPERLINK("#",""), HYPERLINK(CONCATENATE("#Metadata!", ADDRESS(INDEX($X$2:$X$1001,MATCH(ROWS($V$2:V88),$V$2:$V$1001,0),0), INDEX($AC$1004:$AS$1004,1,MATCH(COLUMNS($AC$1006:AD1006),$AC$1006:$AS$1006,0)))),"Fix")))</f>
        <v>0</v>
      </c>
      <c r="D88" s="5">
        <f>IF(OR(INDEX($W$2:$W$1001,MATCH(ROWS($V$2:V88),$V$2:$V$1001,0),1)&gt;=100000,INDEX($AC$1005:$AS$1005,1,MATCH(COLUMNS($AC$1006:AE1006),$AC$1006:$AS$1006,0))&gt;=100000), " ",IF(INDEX($AC$2:$AS$1001,MATCH(ROWS($V$2:V88),$V$2:$V$1001,0),MATCH(COLUMNS($AC$1006:AE1006),$AC$1006:$AS$1006,0)), HYPERLINK("#",""), HYPERLINK(CONCATENATE("#Metadata!", ADDRESS(INDEX($X$2:$X$1001,MATCH(ROWS($V$2:V88),$V$2:$V$1001,0),0), INDEX($AC$1004:$AS$1004,1,MATCH(COLUMNS($AC$1006:AE1006),$AC$1006:$AS$1006,0)))),"Fix")))</f>
        <v>0</v>
      </c>
      <c r="E88" s="5">
        <f>IF(OR(INDEX($W$2:$W$1001,MATCH(ROWS($V$2:V88),$V$2:$V$1001,0),1)&gt;=100000,INDEX($AC$1005:$AS$1005,1,MATCH(COLUMNS($AC$1006:AF1006),$AC$1006:$AS$1006,0))&gt;=100000), " ",IF(INDEX($AC$2:$AS$1001,MATCH(ROWS($V$2:V88),$V$2:$V$1001,0),MATCH(COLUMNS($AC$1006:AF1006),$AC$1006:$AS$1006,0)), HYPERLINK("#",""), HYPERLINK(CONCATENATE("#Metadata!", ADDRESS(INDEX($X$2:$X$1001,MATCH(ROWS($V$2:V88),$V$2:$V$1001,0),0), INDEX($AC$1004:$AS$1004,1,MATCH(COLUMNS($AC$1006:AF1006),$AC$1006:$AS$1006,0)))),"Fix")))</f>
        <v>0</v>
      </c>
      <c r="F88" s="5">
        <f>IF(OR(INDEX($W$2:$W$1001,MATCH(ROWS($V$2:V88),$V$2:$V$1001,0),1)&gt;=100000,INDEX($AC$1005:$AS$1005,1,MATCH(COLUMNS($AC$1006:AG1006),$AC$1006:$AS$1006,0))&gt;=100000), " ",IF(INDEX($AC$2:$AS$1001,MATCH(ROWS($V$2:V88),$V$2:$V$1001,0),MATCH(COLUMNS($AC$1006:AG1006),$AC$1006:$AS$1006,0)), HYPERLINK("#",""), HYPERLINK(CONCATENATE("#Metadata!", ADDRESS(INDEX($X$2:$X$1001,MATCH(ROWS($V$2:V88),$V$2:$V$1001,0),0), INDEX($AC$1004:$AS$1004,1,MATCH(COLUMNS($AC$1006:AG1006),$AC$1006:$AS$1006,0)))),"Fix")))</f>
        <v>0</v>
      </c>
      <c r="G88" s="5">
        <f>IF(OR(INDEX($W$2:$W$1001,MATCH(ROWS($V$2:V88),$V$2:$V$1001,0),1)&gt;=100000,INDEX($AC$1005:$AS$1005,1,MATCH(COLUMNS($AC$1006:AH1006),$AC$1006:$AS$1006,0))&gt;=100000), " ",IF(INDEX($AC$2:$AS$1001,MATCH(ROWS($V$2:V88),$V$2:$V$1001,0),MATCH(COLUMNS($AC$1006:AH1006),$AC$1006:$AS$1006,0)), HYPERLINK("#",""), HYPERLINK(CONCATENATE("#Metadata!", ADDRESS(INDEX($X$2:$X$1001,MATCH(ROWS($V$2:V88),$V$2:$V$1001,0),0), INDEX($AC$1004:$AS$1004,1,MATCH(COLUMNS($AC$1006:AH1006),$AC$1006:$AS$1006,0)))),"Fix")))</f>
        <v>0</v>
      </c>
      <c r="H88" s="5">
        <f>IF(OR(INDEX($W$2:$W$1001,MATCH(ROWS($V$2:V88),$V$2:$V$1001,0),1)&gt;=100000,INDEX($AC$1005:$AS$1005,1,MATCH(COLUMNS($AC$1006:AI1006),$AC$1006:$AS$1006,0))&gt;=100000), " ",IF(INDEX($AC$2:$AS$1001,MATCH(ROWS($V$2:V88),$V$2:$V$1001,0),MATCH(COLUMNS($AC$1006:AI1006),$AC$1006:$AS$1006,0)), HYPERLINK("#",""), HYPERLINK(CONCATENATE("#Metadata!", ADDRESS(INDEX($X$2:$X$1001,MATCH(ROWS($V$2:V88),$V$2:$V$1001,0),0), INDEX($AC$1004:$AS$1004,1,MATCH(COLUMNS($AC$1006:AI1006),$AC$1006:$AS$1006,0)))),"Fix")))</f>
        <v>0</v>
      </c>
      <c r="I88" s="5">
        <f>IF(OR(INDEX($W$2:$W$1001,MATCH(ROWS($V$2:V88),$V$2:$V$1001,0),1)&gt;=100000,INDEX($AC$1005:$AS$1005,1,MATCH(COLUMNS($AC$1006:AJ1006),$AC$1006:$AS$1006,0))&gt;=100000), " ",IF(INDEX($AC$2:$AS$1001,MATCH(ROWS($V$2:V88),$V$2:$V$1001,0),MATCH(COLUMNS($AC$1006:AJ1006),$AC$1006:$AS$1006,0)), HYPERLINK("#",""), HYPERLINK(CONCATENATE("#Metadata!", ADDRESS(INDEX($X$2:$X$1001,MATCH(ROWS($V$2:V88),$V$2:$V$1001,0),0), INDEX($AC$1004:$AS$1004,1,MATCH(COLUMNS($AC$1006:AJ1006),$AC$1006:$AS$1006,0)))),"Fix")))</f>
        <v>0</v>
      </c>
      <c r="J88" s="5">
        <f>IF(OR(INDEX($W$2:$W$1001,MATCH(ROWS($V$2:V88),$V$2:$V$1001,0),1)&gt;=100000,INDEX($AC$1005:$AS$1005,1,MATCH(COLUMNS($AC$1006:AK1006),$AC$1006:$AS$1006,0))&gt;=100000), " ",IF(INDEX($AC$2:$AS$1001,MATCH(ROWS($V$2:V88),$V$2:$V$1001,0),MATCH(COLUMNS($AC$1006:AK1006),$AC$1006:$AS$1006,0)), HYPERLINK("#",""), HYPERLINK(CONCATENATE("#Metadata!", ADDRESS(INDEX($X$2:$X$1001,MATCH(ROWS($V$2:V88),$V$2:$V$1001,0),0), INDEX($AC$1004:$AS$1004,1,MATCH(COLUMNS($AC$1006:AK1006),$AC$1006:$AS$1006,0)))),"Fix")))</f>
        <v>0</v>
      </c>
      <c r="K88" s="5">
        <f>IF(OR(INDEX($W$2:$W$1001,MATCH(ROWS($V$2:V88),$V$2:$V$1001,0),1)&gt;=100000,INDEX($AC$1005:$AS$1005,1,MATCH(COLUMNS($AC$1006:AL1006),$AC$1006:$AS$1006,0))&gt;=100000), " ",IF(INDEX($AC$2:$AS$1001,MATCH(ROWS($V$2:V88),$V$2:$V$1001,0),MATCH(COLUMNS($AC$1006:AL1006),$AC$1006:$AS$1006,0)), HYPERLINK("#",""), HYPERLINK(CONCATENATE("#Metadata!", ADDRESS(INDEX($X$2:$X$1001,MATCH(ROWS($V$2:V88),$V$2:$V$1001,0),0), INDEX($AC$1004:$AS$1004,1,MATCH(COLUMNS($AC$1006:AL1006),$AC$1006:$AS$1006,0)))),"Fix")))</f>
        <v>0</v>
      </c>
      <c r="L88" s="5">
        <f>IF(OR(INDEX($W$2:$W$1001,MATCH(ROWS($V$2:V88),$V$2:$V$1001,0),1)&gt;=100000,INDEX($AC$1005:$AS$1005,1,MATCH(COLUMNS($AC$1006:AM1006),$AC$1006:$AS$1006,0))&gt;=100000), " ",IF(INDEX($AC$2:$AS$1001,MATCH(ROWS($V$2:V88),$V$2:$V$1001,0),MATCH(COLUMNS($AC$1006:AM1006),$AC$1006:$AS$1006,0)), HYPERLINK("#",""), HYPERLINK(CONCATENATE("#Metadata!", ADDRESS(INDEX($X$2:$X$1001,MATCH(ROWS($V$2:V88),$V$2:$V$1001,0),0), INDEX($AC$1004:$AS$1004,1,MATCH(COLUMNS($AC$1006:AM1006),$AC$1006:$AS$1006,0)))),"Fix")))</f>
        <v>0</v>
      </c>
      <c r="M88" s="5">
        <f>IF(OR(INDEX($W$2:$W$1001,MATCH(ROWS($V$2:V88),$V$2:$V$1001,0),1)&gt;=100000,INDEX($AC$1005:$AS$1005,1,MATCH(COLUMNS($AC$1006:AN1006),$AC$1006:$AS$1006,0))&gt;=100000), " ",IF(INDEX($AC$2:$AS$1001,MATCH(ROWS($V$2:V88),$V$2:$V$1001,0),MATCH(COLUMNS($AC$1006:AN1006),$AC$1006:$AS$1006,0)), HYPERLINK("#",""), HYPERLINK(CONCATENATE("#Metadata!", ADDRESS(INDEX($X$2:$X$1001,MATCH(ROWS($V$2:V88),$V$2:$V$1001,0),0), INDEX($AC$1004:$AS$1004,1,MATCH(COLUMNS($AC$1006:AN1006),$AC$1006:$AS$1006,0)))),"Fix")))</f>
        <v>0</v>
      </c>
      <c r="N88" s="5">
        <f>IF(OR(INDEX($W$2:$W$1001,MATCH(ROWS($V$2:V88),$V$2:$V$1001,0),1)&gt;=100000,INDEX($AC$1005:$AS$1005,1,MATCH(COLUMNS($AC$1006:AO1006),$AC$1006:$AS$1006,0))&gt;=100000), " ",IF(INDEX($AC$2:$AS$1001,MATCH(ROWS($V$2:V88),$V$2:$V$1001,0),MATCH(COLUMNS($AC$1006:AO1006),$AC$1006:$AS$1006,0)), HYPERLINK("#",""), HYPERLINK(CONCATENATE("#Metadata!", ADDRESS(INDEX($X$2:$X$1001,MATCH(ROWS($V$2:V88),$V$2:$V$1001,0),0), INDEX($AC$1004:$AS$1004,1,MATCH(COLUMNS($AC$1006:AO1006),$AC$1006:$AS$1006,0)))),"Fix")))</f>
        <v>0</v>
      </c>
      <c r="O88" s="5">
        <f>IF(OR(INDEX($W$2:$W$1001,MATCH(ROWS($V$2:V88),$V$2:$V$1001,0),1)&gt;=100000,INDEX($AC$1005:$AS$1005,1,MATCH(COLUMNS($AC$1006:AP1006),$AC$1006:$AS$1006,0))&gt;=100000), " ",IF(INDEX($AC$2:$AS$1001,MATCH(ROWS($V$2:V88),$V$2:$V$1001,0),MATCH(COLUMNS($AC$1006:AP1006),$AC$1006:$AS$1006,0)), HYPERLINK("#",""), HYPERLINK(CONCATENATE("#Metadata!", ADDRESS(INDEX($X$2:$X$1001,MATCH(ROWS($V$2:V88),$V$2:$V$1001,0),0), INDEX($AC$1004:$AS$1004,1,MATCH(COLUMNS($AC$1006:AP1006),$AC$1006:$AS$1006,0)))),"Fix")))</f>
        <v>0</v>
      </c>
      <c r="P88" s="5">
        <f>IF(OR(INDEX($W$2:$W$1001,MATCH(ROWS($V$2:V88),$V$2:$V$1001,0),1)&gt;=100000,INDEX($AC$1005:$AS$1005,1,MATCH(COLUMNS($AC$1006:AQ1006),$AC$1006:$AS$1006,0))&gt;=100000), " ",IF(INDEX($AC$2:$AS$1001,MATCH(ROWS($V$2:V88),$V$2:$V$1001,0),MATCH(COLUMNS($AC$1006:AQ1006),$AC$1006:$AS$1006,0)), HYPERLINK("#",""), HYPERLINK(CONCATENATE("#Metadata!", ADDRESS(INDEX($X$2:$X$1001,MATCH(ROWS($V$2:V88),$V$2:$V$1001,0),0), INDEX($AC$1004:$AS$1004,1,MATCH(COLUMNS($AC$1006:AQ1006),$AC$1006:$AS$1006,0)))),"Fix")))</f>
        <v>0</v>
      </c>
      <c r="Q88" s="5">
        <f>IF(OR(INDEX($W$2:$W$1001,MATCH(ROWS($V$2:V88),$V$2:$V$1001,0),1)&gt;=100000,INDEX($AC$1005:$AS$1005,1,MATCH(COLUMNS($AC$1006:AR1006),$AC$1006:$AS$1006,0))&gt;=100000), " ",IF(INDEX($AC$2:$AS$1001,MATCH(ROWS($V$2:V88),$V$2:$V$1001,0),MATCH(COLUMNS($AC$1006:AR1006),$AC$1006:$AS$1006,0)), HYPERLINK("#",""), HYPERLINK(CONCATENATE("#Metadata!", ADDRESS(INDEX($X$2:$X$1001,MATCH(ROWS($V$2:V88),$V$2:$V$1001,0),0), INDEX($AC$1004:$AS$1004,1,MATCH(COLUMNS($AC$1006:AR1006),$AC$1006:$AS$1006,0)))),"Fix")))</f>
        <v>0</v>
      </c>
      <c r="R88" s="5">
        <f>IF(OR(INDEX($W$2:$W$1001,MATCH(ROWS($V$2:V88),$V$2:$V$1001,0),1)&gt;=100000,INDEX($AC$1005:$AS$1005,1,MATCH(COLUMNS($AC$1006:AS1006),$AC$1006:$AS$1006,0))&gt;=100000), " ",IF(INDEX($AC$2:$AS$1001,MATCH(ROWS($V$2:V88),$V$2:$V$1001,0),MATCH(COLUMNS($AC$1006:AS1006),$AC$1006:$AS$1006,0)), HYPERLINK("#",""), HYPERLINK(CONCATENATE("#Metadata!", ADDRESS(INDEX($X$2:$X$1001,MATCH(ROWS($V$2:V88),$V$2:$V$1001,0),0), INDEX($AC$1004:$AS$1004,1,MATCH(COLUMNS($AC$1006:AS1006),$AC$1006:$AS$1006,0)))),"Fix")))</f>
        <v>0</v>
      </c>
      <c r="V88">
        <v>0</v>
      </c>
      <c r="W88">
        <v>0</v>
      </c>
      <c r="X88">
        <v>0</v>
      </c>
      <c r="Y88">
        <f>IF(Z88,TRUE,AND(AC88:AS88))</f>
        <v>0</v>
      </c>
      <c r="Z88">
        <f>COUNTBLANK(Metadata!B88:R88)=COLUMNS(Metadata!B88:R88)</f>
        <v>0</v>
      </c>
      <c r="AA88">
        <v>0</v>
      </c>
      <c r="AC88">
        <f>AND(IF(Metadata!B88="",FALSE,TRUE),COUNTIF(Metadata!B:B, Metadata!B88) = 1,NOT(ISERROR(SUMPRODUCT(SEARCH(MID(Metadata!B88,ROW(INDIRECT("1:"&amp;LEN(Metadata!B88))), 1),"0123456789abcdefghijklmnopqrstuvwxyzABCDEFGHIJKLMNOPQRSTUVWXYZ.")))))</f>
        <v>0</v>
      </c>
      <c r="AD88">
        <f>AND(IF(Metadata!C88="",FALSE,TRUE),exact(Metadata!C88,"Host-associated"))</f>
        <v>0</v>
      </c>
      <c r="AE88">
        <f>AND(IF(Metadata!D88="",FALSE,TRUE),OR(exact(Metadata!D88,"Animal"),exact(Metadata!D88,"Fungus"),exact(Metadata!D88,"Plant")))</f>
        <v>0</v>
      </c>
      <c r="AF88">
        <f>AND(IF(Metadata!E88="",FALSE,TRUE),OR(exact(Metadata!E88,"Plant secretion"),exact(Metadata!E88,"Plant rhizosphere"),exact(Metadata!E88,"Plant surface"),exact(Metadata!E88,"Plant corpus"),exact(Metadata!E88,"Fungus surface"),exact(Metadata!E88,"Fungus corpus"),exact(Metadata!E88,"Animal surface"),exact(Metadata!E88,"Animal proximal gut"),exact(Metadata!E88,"Animal corpus"),exact(Metadata!E88,"Animal distal gut"),exact(Metadata!E88,"Animal secretion")))</f>
        <v>0</v>
      </c>
      <c r="AG88">
        <f>OR(AND(IF(Metadata!F88="",FALSE,TRUE),OR(exact(Metadata!F88,"not collected"),exact(Metadata!F88,"not provided"),exact(Metadata!F88,"restricted access"))),AND(IF(Metadata!F88="",FALSE,TRUE),OR(exact(Metadata!F88,"organism-associated habitat"),exact(Metadata!F88,"plant-associated habitat"),exact(Metadata!F88,"animal-associated habitat"),exact(Metadata!F88,"insecta-associated habitat"),exact(Metadata!F88,"mammalia-associated habitat"),exact(Metadata!F88,"human-associated habitat"),exact(Metadata!F88,"livestock-associated habitat"))))</f>
        <v>0</v>
      </c>
      <c r="AH88">
        <f>AND(IF(Metadata!G88="",FALSE,TRUE),exact(Metadata!G88,"host-associated"))</f>
        <v>0</v>
      </c>
      <c r="AI88">
        <f>OR(AND(IF(Metadata!H88="",FALSE,TRUE),OR(exact(Metadata!H88,"not collected"),exact(Metadata!H88,"not provided"))),AND(IF(Metadata!H88="",FALSE,ISNUMBER(VALUE(Metadata!H88))),Metadata!H88&gt;0))</f>
        <v>0</v>
      </c>
      <c r="AJ88">
        <f>AND(IF(Metadata!I88="",FALSE,TRUE),exact(Metadata!I88,"years"))</f>
        <v>0</v>
      </c>
      <c r="AK88">
        <f>IF(Metadata!J88="",FALSE,TRUE)</f>
        <v>0</v>
      </c>
      <c r="AL88">
        <f>OR(AND(IF(Metadata!K88="",FALSE,TRUE),OR(exact(Metadata!K88,"not collected"),exact(Metadata!K88,"not provided"))),AND(IF(Metadata!K88="",FALSE,ISNUMBER(VALUE(Metadata!K88))),Metadata!K88&gt;0))</f>
        <v>0</v>
      </c>
      <c r="AM88">
        <f>AND(IF(Metadata!L88="",FALSE,TRUE),exact(Metadata!L88,"cm"))</f>
        <v>0</v>
      </c>
      <c r="AN88">
        <f>IF(Metadata!M88="",FALSE,TRUE)</f>
        <v>0</v>
      </c>
      <c r="AO88">
        <f>OR(AND(IF(Metadata!N88="",FALSE,TRUE),OR(exact(Metadata!N88,"not applicable"),exact(Metadata!N88,"not collected"),exact(Metadata!N88,"not provided"))),AND(IF(Metadata!N88="",FALSE,IF(ISERROR(INT(Metadata!N88)),FALSE,INT(Metadata!N88)=Metadata!N88)),Metadata!N88&gt;0))</f>
        <v>0</v>
      </c>
      <c r="AP88">
        <f>OR(AND(IF(Metadata!O88="",FALSE,TRUE),OR(exact(Metadata!O88,"not collected"),exact(Metadata!O88,"not provided"))),AND(IF(Metadata!O88="",FALSE,ISNUMBER(VALUE(Metadata!O88))),Metadata!O88&gt;0))</f>
        <v>0</v>
      </c>
      <c r="AQ88">
        <f>AND(IF(Metadata!P88="",FALSE,TRUE),exact(Metadata!P88,"kg"))</f>
        <v>0</v>
      </c>
      <c r="AR88">
        <f>OR(AND(IF(Metadata!Q88="",FALSE,TRUE),OR(exact(Metadata!Q88,"not applicable"),exact(Metadata!Q88,"not collected"),exact(Metadata!Q88,"not provided"),exact(Metadata!Q88,"restricted access"))),IF(Metadata!Q88="",FALSE,IF(ISERROR(INT(Metadata!Q88)),FALSE,INT(Metadata!Q88)=Metadata!Q88)))</f>
        <v>0</v>
      </c>
      <c r="AS88">
        <f>AND(IF(Metadata!R88="",FALSE,TRUE),exact(Metadata!R88,"Not applicable"))</f>
        <v>0</v>
      </c>
    </row>
    <row r="89" spans="1:45">
      <c r="A89" s="4">
        <f>IF(B89=" "," ",HYPERLINK(CONCATENATE("#metadata!",ADDRESS(INDEX($X$2:$X$1001,MATCH(ROWS($V$2:V89),$V$2:$V$1001,0),0),2)),INDEX($AA$2:$AA$1001,MATCH(ROWS($V$2:V89),$V$2:$V$1001,0),0)))</f>
        <v>0</v>
      </c>
      <c r="B89" s="5">
        <f>IF(OR(INDEX($W$2:$W$1001,MATCH(ROWS($V$2:V89),$V$2:$V$1001,0),1)&gt;=100000,INDEX($AC$1005:$AS$1005,1,MATCH(COLUMNS($AC$1006:AC1006),$AC$1006:$AS$1006,0))&gt;=100000), " ",IF(INDEX($AC$2:$AS$1001,MATCH(ROWS($V$2:V89),$V$2:$V$1001,0),MATCH(COLUMNS($AC$1006:AC1006),$AC$1006:$AS$1006,0)), HYPERLINK("#",""), HYPERLINK(CONCATENATE("#Metadata!", ADDRESS(INDEX($X$2:$X$1001,MATCH(ROWS($V$2:V89),$V$2:$V$1001,0),0), INDEX($AC$1004:$AS$1004,1,MATCH(COLUMNS($AC$1006:AC1006),$AC$1006:$AS$1006,0)))),"Fix")))</f>
        <v>0</v>
      </c>
      <c r="C89" s="5">
        <f>IF(OR(INDEX($W$2:$W$1001,MATCH(ROWS($V$2:V89),$V$2:$V$1001,0),1)&gt;=100000,INDEX($AC$1005:$AS$1005,1,MATCH(COLUMNS($AC$1006:AD1006),$AC$1006:$AS$1006,0))&gt;=100000), " ",IF(INDEX($AC$2:$AS$1001,MATCH(ROWS($V$2:V89),$V$2:$V$1001,0),MATCH(COLUMNS($AC$1006:AD1006),$AC$1006:$AS$1006,0)), HYPERLINK("#",""), HYPERLINK(CONCATENATE("#Metadata!", ADDRESS(INDEX($X$2:$X$1001,MATCH(ROWS($V$2:V89),$V$2:$V$1001,0),0), INDEX($AC$1004:$AS$1004,1,MATCH(COLUMNS($AC$1006:AD1006),$AC$1006:$AS$1006,0)))),"Fix")))</f>
        <v>0</v>
      </c>
      <c r="D89" s="5">
        <f>IF(OR(INDEX($W$2:$W$1001,MATCH(ROWS($V$2:V89),$V$2:$V$1001,0),1)&gt;=100000,INDEX($AC$1005:$AS$1005,1,MATCH(COLUMNS($AC$1006:AE1006),$AC$1006:$AS$1006,0))&gt;=100000), " ",IF(INDEX($AC$2:$AS$1001,MATCH(ROWS($V$2:V89),$V$2:$V$1001,0),MATCH(COLUMNS($AC$1006:AE1006),$AC$1006:$AS$1006,0)), HYPERLINK("#",""), HYPERLINK(CONCATENATE("#Metadata!", ADDRESS(INDEX($X$2:$X$1001,MATCH(ROWS($V$2:V89),$V$2:$V$1001,0),0), INDEX($AC$1004:$AS$1004,1,MATCH(COLUMNS($AC$1006:AE1006),$AC$1006:$AS$1006,0)))),"Fix")))</f>
        <v>0</v>
      </c>
      <c r="E89" s="5">
        <f>IF(OR(INDEX($W$2:$W$1001,MATCH(ROWS($V$2:V89),$V$2:$V$1001,0),1)&gt;=100000,INDEX($AC$1005:$AS$1005,1,MATCH(COLUMNS($AC$1006:AF1006),$AC$1006:$AS$1006,0))&gt;=100000), " ",IF(INDEX($AC$2:$AS$1001,MATCH(ROWS($V$2:V89),$V$2:$V$1001,0),MATCH(COLUMNS($AC$1006:AF1006),$AC$1006:$AS$1006,0)), HYPERLINK("#",""), HYPERLINK(CONCATENATE("#Metadata!", ADDRESS(INDEX($X$2:$X$1001,MATCH(ROWS($V$2:V89),$V$2:$V$1001,0),0), INDEX($AC$1004:$AS$1004,1,MATCH(COLUMNS($AC$1006:AF1006),$AC$1006:$AS$1006,0)))),"Fix")))</f>
        <v>0</v>
      </c>
      <c r="F89" s="5">
        <f>IF(OR(INDEX($W$2:$W$1001,MATCH(ROWS($V$2:V89),$V$2:$V$1001,0),1)&gt;=100000,INDEX($AC$1005:$AS$1005,1,MATCH(COLUMNS($AC$1006:AG1006),$AC$1006:$AS$1006,0))&gt;=100000), " ",IF(INDEX($AC$2:$AS$1001,MATCH(ROWS($V$2:V89),$V$2:$V$1001,0),MATCH(COLUMNS($AC$1006:AG1006),$AC$1006:$AS$1006,0)), HYPERLINK("#",""), HYPERLINK(CONCATENATE("#Metadata!", ADDRESS(INDEX($X$2:$X$1001,MATCH(ROWS($V$2:V89),$V$2:$V$1001,0),0), INDEX($AC$1004:$AS$1004,1,MATCH(COLUMNS($AC$1006:AG1006),$AC$1006:$AS$1006,0)))),"Fix")))</f>
        <v>0</v>
      </c>
      <c r="G89" s="5">
        <f>IF(OR(INDEX($W$2:$W$1001,MATCH(ROWS($V$2:V89),$V$2:$V$1001,0),1)&gt;=100000,INDEX($AC$1005:$AS$1005,1,MATCH(COLUMNS($AC$1006:AH1006),$AC$1006:$AS$1006,0))&gt;=100000), " ",IF(INDEX($AC$2:$AS$1001,MATCH(ROWS($V$2:V89),$V$2:$V$1001,0),MATCH(COLUMNS($AC$1006:AH1006),$AC$1006:$AS$1006,0)), HYPERLINK("#",""), HYPERLINK(CONCATENATE("#Metadata!", ADDRESS(INDEX($X$2:$X$1001,MATCH(ROWS($V$2:V89),$V$2:$V$1001,0),0), INDEX($AC$1004:$AS$1004,1,MATCH(COLUMNS($AC$1006:AH1006),$AC$1006:$AS$1006,0)))),"Fix")))</f>
        <v>0</v>
      </c>
      <c r="H89" s="5">
        <f>IF(OR(INDEX($W$2:$W$1001,MATCH(ROWS($V$2:V89),$V$2:$V$1001,0),1)&gt;=100000,INDEX($AC$1005:$AS$1005,1,MATCH(COLUMNS($AC$1006:AI1006),$AC$1006:$AS$1006,0))&gt;=100000), " ",IF(INDEX($AC$2:$AS$1001,MATCH(ROWS($V$2:V89),$V$2:$V$1001,0),MATCH(COLUMNS($AC$1006:AI1006),$AC$1006:$AS$1006,0)), HYPERLINK("#",""), HYPERLINK(CONCATENATE("#Metadata!", ADDRESS(INDEX($X$2:$X$1001,MATCH(ROWS($V$2:V89),$V$2:$V$1001,0),0), INDEX($AC$1004:$AS$1004,1,MATCH(COLUMNS($AC$1006:AI1006),$AC$1006:$AS$1006,0)))),"Fix")))</f>
        <v>0</v>
      </c>
      <c r="I89" s="5">
        <f>IF(OR(INDEX($W$2:$W$1001,MATCH(ROWS($V$2:V89),$V$2:$V$1001,0),1)&gt;=100000,INDEX($AC$1005:$AS$1005,1,MATCH(COLUMNS($AC$1006:AJ1006),$AC$1006:$AS$1006,0))&gt;=100000), " ",IF(INDEX($AC$2:$AS$1001,MATCH(ROWS($V$2:V89),$V$2:$V$1001,0),MATCH(COLUMNS($AC$1006:AJ1006),$AC$1006:$AS$1006,0)), HYPERLINK("#",""), HYPERLINK(CONCATENATE("#Metadata!", ADDRESS(INDEX($X$2:$X$1001,MATCH(ROWS($V$2:V89),$V$2:$V$1001,0),0), INDEX($AC$1004:$AS$1004,1,MATCH(COLUMNS($AC$1006:AJ1006),$AC$1006:$AS$1006,0)))),"Fix")))</f>
        <v>0</v>
      </c>
      <c r="J89" s="5">
        <f>IF(OR(INDEX($W$2:$W$1001,MATCH(ROWS($V$2:V89),$V$2:$V$1001,0),1)&gt;=100000,INDEX($AC$1005:$AS$1005,1,MATCH(COLUMNS($AC$1006:AK1006),$AC$1006:$AS$1006,0))&gt;=100000), " ",IF(INDEX($AC$2:$AS$1001,MATCH(ROWS($V$2:V89),$V$2:$V$1001,0),MATCH(COLUMNS($AC$1006:AK1006),$AC$1006:$AS$1006,0)), HYPERLINK("#",""), HYPERLINK(CONCATENATE("#Metadata!", ADDRESS(INDEX($X$2:$X$1001,MATCH(ROWS($V$2:V89),$V$2:$V$1001,0),0), INDEX($AC$1004:$AS$1004,1,MATCH(COLUMNS($AC$1006:AK1006),$AC$1006:$AS$1006,0)))),"Fix")))</f>
        <v>0</v>
      </c>
      <c r="K89" s="5">
        <f>IF(OR(INDEX($W$2:$W$1001,MATCH(ROWS($V$2:V89),$V$2:$V$1001,0),1)&gt;=100000,INDEX($AC$1005:$AS$1005,1,MATCH(COLUMNS($AC$1006:AL1006),$AC$1006:$AS$1006,0))&gt;=100000), " ",IF(INDEX($AC$2:$AS$1001,MATCH(ROWS($V$2:V89),$V$2:$V$1001,0),MATCH(COLUMNS($AC$1006:AL1006),$AC$1006:$AS$1006,0)), HYPERLINK("#",""), HYPERLINK(CONCATENATE("#Metadata!", ADDRESS(INDEX($X$2:$X$1001,MATCH(ROWS($V$2:V89),$V$2:$V$1001,0),0), INDEX($AC$1004:$AS$1004,1,MATCH(COLUMNS($AC$1006:AL1006),$AC$1006:$AS$1006,0)))),"Fix")))</f>
        <v>0</v>
      </c>
      <c r="L89" s="5">
        <f>IF(OR(INDEX($W$2:$W$1001,MATCH(ROWS($V$2:V89),$V$2:$V$1001,0),1)&gt;=100000,INDEX($AC$1005:$AS$1005,1,MATCH(COLUMNS($AC$1006:AM1006),$AC$1006:$AS$1006,0))&gt;=100000), " ",IF(INDEX($AC$2:$AS$1001,MATCH(ROWS($V$2:V89),$V$2:$V$1001,0),MATCH(COLUMNS($AC$1006:AM1006),$AC$1006:$AS$1006,0)), HYPERLINK("#",""), HYPERLINK(CONCATENATE("#Metadata!", ADDRESS(INDEX($X$2:$X$1001,MATCH(ROWS($V$2:V89),$V$2:$V$1001,0),0), INDEX($AC$1004:$AS$1004,1,MATCH(COLUMNS($AC$1006:AM1006),$AC$1006:$AS$1006,0)))),"Fix")))</f>
        <v>0</v>
      </c>
      <c r="M89" s="5">
        <f>IF(OR(INDEX($W$2:$W$1001,MATCH(ROWS($V$2:V89),$V$2:$V$1001,0),1)&gt;=100000,INDEX($AC$1005:$AS$1005,1,MATCH(COLUMNS($AC$1006:AN1006),$AC$1006:$AS$1006,0))&gt;=100000), " ",IF(INDEX($AC$2:$AS$1001,MATCH(ROWS($V$2:V89),$V$2:$V$1001,0),MATCH(COLUMNS($AC$1006:AN1006),$AC$1006:$AS$1006,0)), HYPERLINK("#",""), HYPERLINK(CONCATENATE("#Metadata!", ADDRESS(INDEX($X$2:$X$1001,MATCH(ROWS($V$2:V89),$V$2:$V$1001,0),0), INDEX($AC$1004:$AS$1004,1,MATCH(COLUMNS($AC$1006:AN1006),$AC$1006:$AS$1006,0)))),"Fix")))</f>
        <v>0</v>
      </c>
      <c r="N89" s="5">
        <f>IF(OR(INDEX($W$2:$W$1001,MATCH(ROWS($V$2:V89),$V$2:$V$1001,0),1)&gt;=100000,INDEX($AC$1005:$AS$1005,1,MATCH(COLUMNS($AC$1006:AO1006),$AC$1006:$AS$1006,0))&gt;=100000), " ",IF(INDEX($AC$2:$AS$1001,MATCH(ROWS($V$2:V89),$V$2:$V$1001,0),MATCH(COLUMNS($AC$1006:AO1006),$AC$1006:$AS$1006,0)), HYPERLINK("#",""), HYPERLINK(CONCATENATE("#Metadata!", ADDRESS(INDEX($X$2:$X$1001,MATCH(ROWS($V$2:V89),$V$2:$V$1001,0),0), INDEX($AC$1004:$AS$1004,1,MATCH(COLUMNS($AC$1006:AO1006),$AC$1006:$AS$1006,0)))),"Fix")))</f>
        <v>0</v>
      </c>
      <c r="O89" s="5">
        <f>IF(OR(INDEX($W$2:$W$1001,MATCH(ROWS($V$2:V89),$V$2:$V$1001,0),1)&gt;=100000,INDEX($AC$1005:$AS$1005,1,MATCH(COLUMNS($AC$1006:AP1006),$AC$1006:$AS$1006,0))&gt;=100000), " ",IF(INDEX($AC$2:$AS$1001,MATCH(ROWS($V$2:V89),$V$2:$V$1001,0),MATCH(COLUMNS($AC$1006:AP1006),$AC$1006:$AS$1006,0)), HYPERLINK("#",""), HYPERLINK(CONCATENATE("#Metadata!", ADDRESS(INDEX($X$2:$X$1001,MATCH(ROWS($V$2:V89),$V$2:$V$1001,0),0), INDEX($AC$1004:$AS$1004,1,MATCH(COLUMNS($AC$1006:AP1006),$AC$1006:$AS$1006,0)))),"Fix")))</f>
        <v>0</v>
      </c>
      <c r="P89" s="5">
        <f>IF(OR(INDEX($W$2:$W$1001,MATCH(ROWS($V$2:V89),$V$2:$V$1001,0),1)&gt;=100000,INDEX($AC$1005:$AS$1005,1,MATCH(COLUMNS($AC$1006:AQ1006),$AC$1006:$AS$1006,0))&gt;=100000), " ",IF(INDEX($AC$2:$AS$1001,MATCH(ROWS($V$2:V89),$V$2:$V$1001,0),MATCH(COLUMNS($AC$1006:AQ1006),$AC$1006:$AS$1006,0)), HYPERLINK("#",""), HYPERLINK(CONCATENATE("#Metadata!", ADDRESS(INDEX($X$2:$X$1001,MATCH(ROWS($V$2:V89),$V$2:$V$1001,0),0), INDEX($AC$1004:$AS$1004,1,MATCH(COLUMNS($AC$1006:AQ1006),$AC$1006:$AS$1006,0)))),"Fix")))</f>
        <v>0</v>
      </c>
      <c r="Q89" s="5">
        <f>IF(OR(INDEX($W$2:$W$1001,MATCH(ROWS($V$2:V89),$V$2:$V$1001,0),1)&gt;=100000,INDEX($AC$1005:$AS$1005,1,MATCH(COLUMNS($AC$1006:AR1006),$AC$1006:$AS$1006,0))&gt;=100000), " ",IF(INDEX($AC$2:$AS$1001,MATCH(ROWS($V$2:V89),$V$2:$V$1001,0),MATCH(COLUMNS($AC$1006:AR1006),$AC$1006:$AS$1006,0)), HYPERLINK("#",""), HYPERLINK(CONCATENATE("#Metadata!", ADDRESS(INDEX($X$2:$X$1001,MATCH(ROWS($V$2:V89),$V$2:$V$1001,0),0), INDEX($AC$1004:$AS$1004,1,MATCH(COLUMNS($AC$1006:AR1006),$AC$1006:$AS$1006,0)))),"Fix")))</f>
        <v>0</v>
      </c>
      <c r="R89" s="5">
        <f>IF(OR(INDEX($W$2:$W$1001,MATCH(ROWS($V$2:V89),$V$2:$V$1001,0),1)&gt;=100000,INDEX($AC$1005:$AS$1005,1,MATCH(COLUMNS($AC$1006:AS1006),$AC$1006:$AS$1006,0))&gt;=100000), " ",IF(INDEX($AC$2:$AS$1001,MATCH(ROWS($V$2:V89),$V$2:$V$1001,0),MATCH(COLUMNS($AC$1006:AS1006),$AC$1006:$AS$1006,0)), HYPERLINK("#",""), HYPERLINK(CONCATENATE("#Metadata!", ADDRESS(INDEX($X$2:$X$1001,MATCH(ROWS($V$2:V89),$V$2:$V$1001,0),0), INDEX($AC$1004:$AS$1004,1,MATCH(COLUMNS($AC$1006:AS1006),$AC$1006:$AS$1006,0)))),"Fix")))</f>
        <v>0</v>
      </c>
      <c r="V89">
        <v>0</v>
      </c>
      <c r="W89">
        <v>0</v>
      </c>
      <c r="X89">
        <v>0</v>
      </c>
      <c r="Y89">
        <f>IF(Z89,TRUE,AND(AC89:AS89))</f>
        <v>0</v>
      </c>
      <c r="Z89">
        <f>COUNTBLANK(Metadata!B89:R89)=COLUMNS(Metadata!B89:R89)</f>
        <v>0</v>
      </c>
      <c r="AA89">
        <v>0</v>
      </c>
      <c r="AC89">
        <f>AND(IF(Metadata!B89="",FALSE,TRUE),COUNTIF(Metadata!B:B, Metadata!B89) = 1,NOT(ISERROR(SUMPRODUCT(SEARCH(MID(Metadata!B89,ROW(INDIRECT("1:"&amp;LEN(Metadata!B89))), 1),"0123456789abcdefghijklmnopqrstuvwxyzABCDEFGHIJKLMNOPQRSTUVWXYZ.")))))</f>
        <v>0</v>
      </c>
      <c r="AD89">
        <f>AND(IF(Metadata!C89="",FALSE,TRUE),exact(Metadata!C89,"Host-associated"))</f>
        <v>0</v>
      </c>
      <c r="AE89">
        <f>AND(IF(Metadata!D89="",FALSE,TRUE),OR(exact(Metadata!D89,"Animal"),exact(Metadata!D89,"Fungus"),exact(Metadata!D89,"Plant")))</f>
        <v>0</v>
      </c>
      <c r="AF89">
        <f>AND(IF(Metadata!E89="",FALSE,TRUE),OR(exact(Metadata!E89,"Plant secretion"),exact(Metadata!E89,"Plant rhizosphere"),exact(Metadata!E89,"Plant surface"),exact(Metadata!E89,"Plant corpus"),exact(Metadata!E89,"Fungus surface"),exact(Metadata!E89,"Fungus corpus"),exact(Metadata!E89,"Animal surface"),exact(Metadata!E89,"Animal proximal gut"),exact(Metadata!E89,"Animal corpus"),exact(Metadata!E89,"Animal distal gut"),exact(Metadata!E89,"Animal secretion")))</f>
        <v>0</v>
      </c>
      <c r="AG89">
        <f>OR(AND(IF(Metadata!F89="",FALSE,TRUE),OR(exact(Metadata!F89,"not collected"),exact(Metadata!F89,"not provided"),exact(Metadata!F89,"restricted access"))),AND(IF(Metadata!F89="",FALSE,TRUE),OR(exact(Metadata!F89,"organism-associated habitat"),exact(Metadata!F89,"plant-associated habitat"),exact(Metadata!F89,"animal-associated habitat"),exact(Metadata!F89,"insecta-associated habitat"),exact(Metadata!F89,"mammalia-associated habitat"),exact(Metadata!F89,"human-associated habitat"),exact(Metadata!F89,"livestock-associated habitat"))))</f>
        <v>0</v>
      </c>
      <c r="AH89">
        <f>AND(IF(Metadata!G89="",FALSE,TRUE),exact(Metadata!G89,"host-associated"))</f>
        <v>0</v>
      </c>
      <c r="AI89">
        <f>OR(AND(IF(Metadata!H89="",FALSE,TRUE),OR(exact(Metadata!H89,"not collected"),exact(Metadata!H89,"not provided"))),AND(IF(Metadata!H89="",FALSE,ISNUMBER(VALUE(Metadata!H89))),Metadata!H89&gt;0))</f>
        <v>0</v>
      </c>
      <c r="AJ89">
        <f>AND(IF(Metadata!I89="",FALSE,TRUE),exact(Metadata!I89,"years"))</f>
        <v>0</v>
      </c>
      <c r="AK89">
        <f>IF(Metadata!J89="",FALSE,TRUE)</f>
        <v>0</v>
      </c>
      <c r="AL89">
        <f>OR(AND(IF(Metadata!K89="",FALSE,TRUE),OR(exact(Metadata!K89,"not collected"),exact(Metadata!K89,"not provided"))),AND(IF(Metadata!K89="",FALSE,ISNUMBER(VALUE(Metadata!K89))),Metadata!K89&gt;0))</f>
        <v>0</v>
      </c>
      <c r="AM89">
        <f>AND(IF(Metadata!L89="",FALSE,TRUE),exact(Metadata!L89,"cm"))</f>
        <v>0</v>
      </c>
      <c r="AN89">
        <f>IF(Metadata!M89="",FALSE,TRUE)</f>
        <v>0</v>
      </c>
      <c r="AO89">
        <f>OR(AND(IF(Metadata!N89="",FALSE,TRUE),OR(exact(Metadata!N89,"not applicable"),exact(Metadata!N89,"not collected"),exact(Metadata!N89,"not provided"))),AND(IF(Metadata!N89="",FALSE,IF(ISERROR(INT(Metadata!N89)),FALSE,INT(Metadata!N89)=Metadata!N89)),Metadata!N89&gt;0))</f>
        <v>0</v>
      </c>
      <c r="AP89">
        <f>OR(AND(IF(Metadata!O89="",FALSE,TRUE),OR(exact(Metadata!O89,"not collected"),exact(Metadata!O89,"not provided"))),AND(IF(Metadata!O89="",FALSE,ISNUMBER(VALUE(Metadata!O89))),Metadata!O89&gt;0))</f>
        <v>0</v>
      </c>
      <c r="AQ89">
        <f>AND(IF(Metadata!P89="",FALSE,TRUE),exact(Metadata!P89,"kg"))</f>
        <v>0</v>
      </c>
      <c r="AR89">
        <f>OR(AND(IF(Metadata!Q89="",FALSE,TRUE),OR(exact(Metadata!Q89,"not applicable"),exact(Metadata!Q89,"not collected"),exact(Metadata!Q89,"not provided"),exact(Metadata!Q89,"restricted access"))),IF(Metadata!Q89="",FALSE,IF(ISERROR(INT(Metadata!Q89)),FALSE,INT(Metadata!Q89)=Metadata!Q89)))</f>
        <v>0</v>
      </c>
      <c r="AS89">
        <f>AND(IF(Metadata!R89="",FALSE,TRUE),exact(Metadata!R89,"Not applicable"))</f>
        <v>0</v>
      </c>
    </row>
    <row r="90" spans="1:45">
      <c r="A90" s="4">
        <f>IF(B90=" "," ",HYPERLINK(CONCATENATE("#metadata!",ADDRESS(INDEX($X$2:$X$1001,MATCH(ROWS($V$2:V90),$V$2:$V$1001,0),0),2)),INDEX($AA$2:$AA$1001,MATCH(ROWS($V$2:V90),$V$2:$V$1001,0),0)))</f>
        <v>0</v>
      </c>
      <c r="B90" s="5">
        <f>IF(OR(INDEX($W$2:$W$1001,MATCH(ROWS($V$2:V90),$V$2:$V$1001,0),1)&gt;=100000,INDEX($AC$1005:$AS$1005,1,MATCH(COLUMNS($AC$1006:AC1006),$AC$1006:$AS$1006,0))&gt;=100000), " ",IF(INDEX($AC$2:$AS$1001,MATCH(ROWS($V$2:V90),$V$2:$V$1001,0),MATCH(COLUMNS($AC$1006:AC1006),$AC$1006:$AS$1006,0)), HYPERLINK("#",""), HYPERLINK(CONCATENATE("#Metadata!", ADDRESS(INDEX($X$2:$X$1001,MATCH(ROWS($V$2:V90),$V$2:$V$1001,0),0), INDEX($AC$1004:$AS$1004,1,MATCH(COLUMNS($AC$1006:AC1006),$AC$1006:$AS$1006,0)))),"Fix")))</f>
        <v>0</v>
      </c>
      <c r="C90" s="5">
        <f>IF(OR(INDEX($W$2:$W$1001,MATCH(ROWS($V$2:V90),$V$2:$V$1001,0),1)&gt;=100000,INDEX($AC$1005:$AS$1005,1,MATCH(COLUMNS($AC$1006:AD1006),$AC$1006:$AS$1006,0))&gt;=100000), " ",IF(INDEX($AC$2:$AS$1001,MATCH(ROWS($V$2:V90),$V$2:$V$1001,0),MATCH(COLUMNS($AC$1006:AD1006),$AC$1006:$AS$1006,0)), HYPERLINK("#",""), HYPERLINK(CONCATENATE("#Metadata!", ADDRESS(INDEX($X$2:$X$1001,MATCH(ROWS($V$2:V90),$V$2:$V$1001,0),0), INDEX($AC$1004:$AS$1004,1,MATCH(COLUMNS($AC$1006:AD1006),$AC$1006:$AS$1006,0)))),"Fix")))</f>
        <v>0</v>
      </c>
      <c r="D90" s="5">
        <f>IF(OR(INDEX($W$2:$W$1001,MATCH(ROWS($V$2:V90),$V$2:$V$1001,0),1)&gt;=100000,INDEX($AC$1005:$AS$1005,1,MATCH(COLUMNS($AC$1006:AE1006),$AC$1006:$AS$1006,0))&gt;=100000), " ",IF(INDEX($AC$2:$AS$1001,MATCH(ROWS($V$2:V90),$V$2:$V$1001,0),MATCH(COLUMNS($AC$1006:AE1006),$AC$1006:$AS$1006,0)), HYPERLINK("#",""), HYPERLINK(CONCATENATE("#Metadata!", ADDRESS(INDEX($X$2:$X$1001,MATCH(ROWS($V$2:V90),$V$2:$V$1001,0),0), INDEX($AC$1004:$AS$1004,1,MATCH(COLUMNS($AC$1006:AE1006),$AC$1006:$AS$1006,0)))),"Fix")))</f>
        <v>0</v>
      </c>
      <c r="E90" s="5">
        <f>IF(OR(INDEX($W$2:$W$1001,MATCH(ROWS($V$2:V90),$V$2:$V$1001,0),1)&gt;=100000,INDEX($AC$1005:$AS$1005,1,MATCH(COLUMNS($AC$1006:AF1006),$AC$1006:$AS$1006,0))&gt;=100000), " ",IF(INDEX($AC$2:$AS$1001,MATCH(ROWS($V$2:V90),$V$2:$V$1001,0),MATCH(COLUMNS($AC$1006:AF1006),$AC$1006:$AS$1006,0)), HYPERLINK("#",""), HYPERLINK(CONCATENATE("#Metadata!", ADDRESS(INDEX($X$2:$X$1001,MATCH(ROWS($V$2:V90),$V$2:$V$1001,0),0), INDEX($AC$1004:$AS$1004,1,MATCH(COLUMNS($AC$1006:AF1006),$AC$1006:$AS$1006,0)))),"Fix")))</f>
        <v>0</v>
      </c>
      <c r="F90" s="5">
        <f>IF(OR(INDEX($W$2:$W$1001,MATCH(ROWS($V$2:V90),$V$2:$V$1001,0),1)&gt;=100000,INDEX($AC$1005:$AS$1005,1,MATCH(COLUMNS($AC$1006:AG1006),$AC$1006:$AS$1006,0))&gt;=100000), " ",IF(INDEX($AC$2:$AS$1001,MATCH(ROWS($V$2:V90),$V$2:$V$1001,0),MATCH(COLUMNS($AC$1006:AG1006),$AC$1006:$AS$1006,0)), HYPERLINK("#",""), HYPERLINK(CONCATENATE("#Metadata!", ADDRESS(INDEX($X$2:$X$1001,MATCH(ROWS($V$2:V90),$V$2:$V$1001,0),0), INDEX($AC$1004:$AS$1004,1,MATCH(COLUMNS($AC$1006:AG1006),$AC$1006:$AS$1006,0)))),"Fix")))</f>
        <v>0</v>
      </c>
      <c r="G90" s="5">
        <f>IF(OR(INDEX($W$2:$W$1001,MATCH(ROWS($V$2:V90),$V$2:$V$1001,0),1)&gt;=100000,INDEX($AC$1005:$AS$1005,1,MATCH(COLUMNS($AC$1006:AH1006),$AC$1006:$AS$1006,0))&gt;=100000), " ",IF(INDEX($AC$2:$AS$1001,MATCH(ROWS($V$2:V90),$V$2:$V$1001,0),MATCH(COLUMNS($AC$1006:AH1006),$AC$1006:$AS$1006,0)), HYPERLINK("#",""), HYPERLINK(CONCATENATE("#Metadata!", ADDRESS(INDEX($X$2:$X$1001,MATCH(ROWS($V$2:V90),$V$2:$V$1001,0),0), INDEX($AC$1004:$AS$1004,1,MATCH(COLUMNS($AC$1006:AH1006),$AC$1006:$AS$1006,0)))),"Fix")))</f>
        <v>0</v>
      </c>
      <c r="H90" s="5">
        <f>IF(OR(INDEX($W$2:$W$1001,MATCH(ROWS($V$2:V90),$V$2:$V$1001,0),1)&gt;=100000,INDEX($AC$1005:$AS$1005,1,MATCH(COLUMNS($AC$1006:AI1006),$AC$1006:$AS$1006,0))&gt;=100000), " ",IF(INDEX($AC$2:$AS$1001,MATCH(ROWS($V$2:V90),$V$2:$V$1001,0),MATCH(COLUMNS($AC$1006:AI1006),$AC$1006:$AS$1006,0)), HYPERLINK("#",""), HYPERLINK(CONCATENATE("#Metadata!", ADDRESS(INDEX($X$2:$X$1001,MATCH(ROWS($V$2:V90),$V$2:$V$1001,0),0), INDEX($AC$1004:$AS$1004,1,MATCH(COLUMNS($AC$1006:AI1006),$AC$1006:$AS$1006,0)))),"Fix")))</f>
        <v>0</v>
      </c>
      <c r="I90" s="5">
        <f>IF(OR(INDEX($W$2:$W$1001,MATCH(ROWS($V$2:V90),$V$2:$V$1001,0),1)&gt;=100000,INDEX($AC$1005:$AS$1005,1,MATCH(COLUMNS($AC$1006:AJ1006),$AC$1006:$AS$1006,0))&gt;=100000), " ",IF(INDEX($AC$2:$AS$1001,MATCH(ROWS($V$2:V90),$V$2:$V$1001,0),MATCH(COLUMNS($AC$1006:AJ1006),$AC$1006:$AS$1006,0)), HYPERLINK("#",""), HYPERLINK(CONCATENATE("#Metadata!", ADDRESS(INDEX($X$2:$X$1001,MATCH(ROWS($V$2:V90),$V$2:$V$1001,0),0), INDEX($AC$1004:$AS$1004,1,MATCH(COLUMNS($AC$1006:AJ1006),$AC$1006:$AS$1006,0)))),"Fix")))</f>
        <v>0</v>
      </c>
      <c r="J90" s="5">
        <f>IF(OR(INDEX($W$2:$W$1001,MATCH(ROWS($V$2:V90),$V$2:$V$1001,0),1)&gt;=100000,INDEX($AC$1005:$AS$1005,1,MATCH(COLUMNS($AC$1006:AK1006),$AC$1006:$AS$1006,0))&gt;=100000), " ",IF(INDEX($AC$2:$AS$1001,MATCH(ROWS($V$2:V90),$V$2:$V$1001,0),MATCH(COLUMNS($AC$1006:AK1006),$AC$1006:$AS$1006,0)), HYPERLINK("#",""), HYPERLINK(CONCATENATE("#Metadata!", ADDRESS(INDEX($X$2:$X$1001,MATCH(ROWS($V$2:V90),$V$2:$V$1001,0),0), INDEX($AC$1004:$AS$1004,1,MATCH(COLUMNS($AC$1006:AK1006),$AC$1006:$AS$1006,0)))),"Fix")))</f>
        <v>0</v>
      </c>
      <c r="K90" s="5">
        <f>IF(OR(INDEX($W$2:$W$1001,MATCH(ROWS($V$2:V90),$V$2:$V$1001,0),1)&gt;=100000,INDEX($AC$1005:$AS$1005,1,MATCH(COLUMNS($AC$1006:AL1006),$AC$1006:$AS$1006,0))&gt;=100000), " ",IF(INDEX($AC$2:$AS$1001,MATCH(ROWS($V$2:V90),$V$2:$V$1001,0),MATCH(COLUMNS($AC$1006:AL1006),$AC$1006:$AS$1006,0)), HYPERLINK("#",""), HYPERLINK(CONCATENATE("#Metadata!", ADDRESS(INDEX($X$2:$X$1001,MATCH(ROWS($V$2:V90),$V$2:$V$1001,0),0), INDEX($AC$1004:$AS$1004,1,MATCH(COLUMNS($AC$1006:AL1006),$AC$1006:$AS$1006,0)))),"Fix")))</f>
        <v>0</v>
      </c>
      <c r="L90" s="5">
        <f>IF(OR(INDEX($W$2:$W$1001,MATCH(ROWS($V$2:V90),$V$2:$V$1001,0),1)&gt;=100000,INDEX($AC$1005:$AS$1005,1,MATCH(COLUMNS($AC$1006:AM1006),$AC$1006:$AS$1006,0))&gt;=100000), " ",IF(INDEX($AC$2:$AS$1001,MATCH(ROWS($V$2:V90),$V$2:$V$1001,0),MATCH(COLUMNS($AC$1006:AM1006),$AC$1006:$AS$1006,0)), HYPERLINK("#",""), HYPERLINK(CONCATENATE("#Metadata!", ADDRESS(INDEX($X$2:$X$1001,MATCH(ROWS($V$2:V90),$V$2:$V$1001,0),0), INDEX($AC$1004:$AS$1004,1,MATCH(COLUMNS($AC$1006:AM1006),$AC$1006:$AS$1006,0)))),"Fix")))</f>
        <v>0</v>
      </c>
      <c r="M90" s="5">
        <f>IF(OR(INDEX($W$2:$W$1001,MATCH(ROWS($V$2:V90),$V$2:$V$1001,0),1)&gt;=100000,INDEX($AC$1005:$AS$1005,1,MATCH(COLUMNS($AC$1006:AN1006),$AC$1006:$AS$1006,0))&gt;=100000), " ",IF(INDEX($AC$2:$AS$1001,MATCH(ROWS($V$2:V90),$V$2:$V$1001,0),MATCH(COLUMNS($AC$1006:AN1006),$AC$1006:$AS$1006,0)), HYPERLINK("#",""), HYPERLINK(CONCATENATE("#Metadata!", ADDRESS(INDEX($X$2:$X$1001,MATCH(ROWS($V$2:V90),$V$2:$V$1001,0),0), INDEX($AC$1004:$AS$1004,1,MATCH(COLUMNS($AC$1006:AN1006),$AC$1006:$AS$1006,0)))),"Fix")))</f>
        <v>0</v>
      </c>
      <c r="N90" s="5">
        <f>IF(OR(INDEX($W$2:$W$1001,MATCH(ROWS($V$2:V90),$V$2:$V$1001,0),1)&gt;=100000,INDEX($AC$1005:$AS$1005,1,MATCH(COLUMNS($AC$1006:AO1006),$AC$1006:$AS$1006,0))&gt;=100000), " ",IF(INDEX($AC$2:$AS$1001,MATCH(ROWS($V$2:V90),$V$2:$V$1001,0),MATCH(COLUMNS($AC$1006:AO1006),$AC$1006:$AS$1006,0)), HYPERLINK("#",""), HYPERLINK(CONCATENATE("#Metadata!", ADDRESS(INDEX($X$2:$X$1001,MATCH(ROWS($V$2:V90),$V$2:$V$1001,0),0), INDEX($AC$1004:$AS$1004,1,MATCH(COLUMNS($AC$1006:AO1006),$AC$1006:$AS$1006,0)))),"Fix")))</f>
        <v>0</v>
      </c>
      <c r="O90" s="5">
        <f>IF(OR(INDEX($W$2:$W$1001,MATCH(ROWS($V$2:V90),$V$2:$V$1001,0),1)&gt;=100000,INDEX($AC$1005:$AS$1005,1,MATCH(COLUMNS($AC$1006:AP1006),$AC$1006:$AS$1006,0))&gt;=100000), " ",IF(INDEX($AC$2:$AS$1001,MATCH(ROWS($V$2:V90),$V$2:$V$1001,0),MATCH(COLUMNS($AC$1006:AP1006),$AC$1006:$AS$1006,0)), HYPERLINK("#",""), HYPERLINK(CONCATENATE("#Metadata!", ADDRESS(INDEX($X$2:$X$1001,MATCH(ROWS($V$2:V90),$V$2:$V$1001,0),0), INDEX($AC$1004:$AS$1004,1,MATCH(COLUMNS($AC$1006:AP1006),$AC$1006:$AS$1006,0)))),"Fix")))</f>
        <v>0</v>
      </c>
      <c r="P90" s="5">
        <f>IF(OR(INDEX($W$2:$W$1001,MATCH(ROWS($V$2:V90),$V$2:$V$1001,0),1)&gt;=100000,INDEX($AC$1005:$AS$1005,1,MATCH(COLUMNS($AC$1006:AQ1006),$AC$1006:$AS$1006,0))&gt;=100000), " ",IF(INDEX($AC$2:$AS$1001,MATCH(ROWS($V$2:V90),$V$2:$V$1001,0),MATCH(COLUMNS($AC$1006:AQ1006),$AC$1006:$AS$1006,0)), HYPERLINK("#",""), HYPERLINK(CONCATENATE("#Metadata!", ADDRESS(INDEX($X$2:$X$1001,MATCH(ROWS($V$2:V90),$V$2:$V$1001,0),0), INDEX($AC$1004:$AS$1004,1,MATCH(COLUMNS($AC$1006:AQ1006),$AC$1006:$AS$1006,0)))),"Fix")))</f>
        <v>0</v>
      </c>
      <c r="Q90" s="5">
        <f>IF(OR(INDEX($W$2:$W$1001,MATCH(ROWS($V$2:V90),$V$2:$V$1001,0),1)&gt;=100000,INDEX($AC$1005:$AS$1005,1,MATCH(COLUMNS($AC$1006:AR1006),$AC$1006:$AS$1006,0))&gt;=100000), " ",IF(INDEX($AC$2:$AS$1001,MATCH(ROWS($V$2:V90),$V$2:$V$1001,0),MATCH(COLUMNS($AC$1006:AR1006),$AC$1006:$AS$1006,0)), HYPERLINK("#",""), HYPERLINK(CONCATENATE("#Metadata!", ADDRESS(INDEX($X$2:$X$1001,MATCH(ROWS($V$2:V90),$V$2:$V$1001,0),0), INDEX($AC$1004:$AS$1004,1,MATCH(COLUMNS($AC$1006:AR1006),$AC$1006:$AS$1006,0)))),"Fix")))</f>
        <v>0</v>
      </c>
      <c r="R90" s="5">
        <f>IF(OR(INDEX($W$2:$W$1001,MATCH(ROWS($V$2:V90),$V$2:$V$1001,0),1)&gt;=100000,INDEX($AC$1005:$AS$1005,1,MATCH(COLUMNS($AC$1006:AS1006),$AC$1006:$AS$1006,0))&gt;=100000), " ",IF(INDEX($AC$2:$AS$1001,MATCH(ROWS($V$2:V90),$V$2:$V$1001,0),MATCH(COLUMNS($AC$1006:AS1006),$AC$1006:$AS$1006,0)), HYPERLINK("#",""), HYPERLINK(CONCATENATE("#Metadata!", ADDRESS(INDEX($X$2:$X$1001,MATCH(ROWS($V$2:V90),$V$2:$V$1001,0),0), INDEX($AC$1004:$AS$1004,1,MATCH(COLUMNS($AC$1006:AS1006),$AC$1006:$AS$1006,0)))),"Fix")))</f>
        <v>0</v>
      </c>
      <c r="V90">
        <v>0</v>
      </c>
      <c r="W90">
        <v>0</v>
      </c>
      <c r="X90">
        <v>0</v>
      </c>
      <c r="Y90">
        <f>IF(Z90,TRUE,AND(AC90:AS90))</f>
        <v>0</v>
      </c>
      <c r="Z90">
        <f>COUNTBLANK(Metadata!B90:R90)=COLUMNS(Metadata!B90:R90)</f>
        <v>0</v>
      </c>
      <c r="AA90">
        <v>0</v>
      </c>
      <c r="AC90">
        <f>AND(IF(Metadata!B90="",FALSE,TRUE),COUNTIF(Metadata!B:B, Metadata!B90) = 1,NOT(ISERROR(SUMPRODUCT(SEARCH(MID(Metadata!B90,ROW(INDIRECT("1:"&amp;LEN(Metadata!B90))), 1),"0123456789abcdefghijklmnopqrstuvwxyzABCDEFGHIJKLMNOPQRSTUVWXYZ.")))))</f>
        <v>0</v>
      </c>
      <c r="AD90">
        <f>AND(IF(Metadata!C90="",FALSE,TRUE),exact(Metadata!C90,"Host-associated"))</f>
        <v>0</v>
      </c>
      <c r="AE90">
        <f>AND(IF(Metadata!D90="",FALSE,TRUE),OR(exact(Metadata!D90,"Animal"),exact(Metadata!D90,"Fungus"),exact(Metadata!D90,"Plant")))</f>
        <v>0</v>
      </c>
      <c r="AF90">
        <f>AND(IF(Metadata!E90="",FALSE,TRUE),OR(exact(Metadata!E90,"Plant secretion"),exact(Metadata!E90,"Plant rhizosphere"),exact(Metadata!E90,"Plant surface"),exact(Metadata!E90,"Plant corpus"),exact(Metadata!E90,"Fungus surface"),exact(Metadata!E90,"Fungus corpus"),exact(Metadata!E90,"Animal surface"),exact(Metadata!E90,"Animal proximal gut"),exact(Metadata!E90,"Animal corpus"),exact(Metadata!E90,"Animal distal gut"),exact(Metadata!E90,"Animal secretion")))</f>
        <v>0</v>
      </c>
      <c r="AG90">
        <f>OR(AND(IF(Metadata!F90="",FALSE,TRUE),OR(exact(Metadata!F90,"not collected"),exact(Metadata!F90,"not provided"),exact(Metadata!F90,"restricted access"))),AND(IF(Metadata!F90="",FALSE,TRUE),OR(exact(Metadata!F90,"organism-associated habitat"),exact(Metadata!F90,"plant-associated habitat"),exact(Metadata!F90,"animal-associated habitat"),exact(Metadata!F90,"insecta-associated habitat"),exact(Metadata!F90,"mammalia-associated habitat"),exact(Metadata!F90,"human-associated habitat"),exact(Metadata!F90,"livestock-associated habitat"))))</f>
        <v>0</v>
      </c>
      <c r="AH90">
        <f>AND(IF(Metadata!G90="",FALSE,TRUE),exact(Metadata!G90,"host-associated"))</f>
        <v>0</v>
      </c>
      <c r="AI90">
        <f>OR(AND(IF(Metadata!H90="",FALSE,TRUE),OR(exact(Metadata!H90,"not collected"),exact(Metadata!H90,"not provided"))),AND(IF(Metadata!H90="",FALSE,ISNUMBER(VALUE(Metadata!H90))),Metadata!H90&gt;0))</f>
        <v>0</v>
      </c>
      <c r="AJ90">
        <f>AND(IF(Metadata!I90="",FALSE,TRUE),exact(Metadata!I90,"years"))</f>
        <v>0</v>
      </c>
      <c r="AK90">
        <f>IF(Metadata!J90="",FALSE,TRUE)</f>
        <v>0</v>
      </c>
      <c r="AL90">
        <f>OR(AND(IF(Metadata!K90="",FALSE,TRUE),OR(exact(Metadata!K90,"not collected"),exact(Metadata!K90,"not provided"))),AND(IF(Metadata!K90="",FALSE,ISNUMBER(VALUE(Metadata!K90))),Metadata!K90&gt;0))</f>
        <v>0</v>
      </c>
      <c r="AM90">
        <f>AND(IF(Metadata!L90="",FALSE,TRUE),exact(Metadata!L90,"cm"))</f>
        <v>0</v>
      </c>
      <c r="AN90">
        <f>IF(Metadata!M90="",FALSE,TRUE)</f>
        <v>0</v>
      </c>
      <c r="AO90">
        <f>OR(AND(IF(Metadata!N90="",FALSE,TRUE),OR(exact(Metadata!N90,"not applicable"),exact(Metadata!N90,"not collected"),exact(Metadata!N90,"not provided"))),AND(IF(Metadata!N90="",FALSE,IF(ISERROR(INT(Metadata!N90)),FALSE,INT(Metadata!N90)=Metadata!N90)),Metadata!N90&gt;0))</f>
        <v>0</v>
      </c>
      <c r="AP90">
        <f>OR(AND(IF(Metadata!O90="",FALSE,TRUE),OR(exact(Metadata!O90,"not collected"),exact(Metadata!O90,"not provided"))),AND(IF(Metadata!O90="",FALSE,ISNUMBER(VALUE(Metadata!O90))),Metadata!O90&gt;0))</f>
        <v>0</v>
      </c>
      <c r="AQ90">
        <f>AND(IF(Metadata!P90="",FALSE,TRUE),exact(Metadata!P90,"kg"))</f>
        <v>0</v>
      </c>
      <c r="AR90">
        <f>OR(AND(IF(Metadata!Q90="",FALSE,TRUE),OR(exact(Metadata!Q90,"not applicable"),exact(Metadata!Q90,"not collected"),exact(Metadata!Q90,"not provided"),exact(Metadata!Q90,"restricted access"))),IF(Metadata!Q90="",FALSE,IF(ISERROR(INT(Metadata!Q90)),FALSE,INT(Metadata!Q90)=Metadata!Q90)))</f>
        <v>0</v>
      </c>
      <c r="AS90">
        <f>AND(IF(Metadata!R90="",FALSE,TRUE),exact(Metadata!R90,"Not applicable"))</f>
        <v>0</v>
      </c>
    </row>
    <row r="91" spans="1:45">
      <c r="A91" s="4">
        <f>IF(B91=" "," ",HYPERLINK(CONCATENATE("#metadata!",ADDRESS(INDEX($X$2:$X$1001,MATCH(ROWS($V$2:V91),$V$2:$V$1001,0),0),2)),INDEX($AA$2:$AA$1001,MATCH(ROWS($V$2:V91),$V$2:$V$1001,0),0)))</f>
        <v>0</v>
      </c>
      <c r="B91" s="5">
        <f>IF(OR(INDEX($W$2:$W$1001,MATCH(ROWS($V$2:V91),$V$2:$V$1001,0),1)&gt;=100000,INDEX($AC$1005:$AS$1005,1,MATCH(COLUMNS($AC$1006:AC1006),$AC$1006:$AS$1006,0))&gt;=100000), " ",IF(INDEX($AC$2:$AS$1001,MATCH(ROWS($V$2:V91),$V$2:$V$1001,0),MATCH(COLUMNS($AC$1006:AC1006),$AC$1006:$AS$1006,0)), HYPERLINK("#",""), HYPERLINK(CONCATENATE("#Metadata!", ADDRESS(INDEX($X$2:$X$1001,MATCH(ROWS($V$2:V91),$V$2:$V$1001,0),0), INDEX($AC$1004:$AS$1004,1,MATCH(COLUMNS($AC$1006:AC1006),$AC$1006:$AS$1006,0)))),"Fix")))</f>
        <v>0</v>
      </c>
      <c r="C91" s="5">
        <f>IF(OR(INDEX($W$2:$W$1001,MATCH(ROWS($V$2:V91),$V$2:$V$1001,0),1)&gt;=100000,INDEX($AC$1005:$AS$1005,1,MATCH(COLUMNS($AC$1006:AD1006),$AC$1006:$AS$1006,0))&gt;=100000), " ",IF(INDEX($AC$2:$AS$1001,MATCH(ROWS($V$2:V91),$V$2:$V$1001,0),MATCH(COLUMNS($AC$1006:AD1006),$AC$1006:$AS$1006,0)), HYPERLINK("#",""), HYPERLINK(CONCATENATE("#Metadata!", ADDRESS(INDEX($X$2:$X$1001,MATCH(ROWS($V$2:V91),$V$2:$V$1001,0),0), INDEX($AC$1004:$AS$1004,1,MATCH(COLUMNS($AC$1006:AD1006),$AC$1006:$AS$1006,0)))),"Fix")))</f>
        <v>0</v>
      </c>
      <c r="D91" s="5">
        <f>IF(OR(INDEX($W$2:$W$1001,MATCH(ROWS($V$2:V91),$V$2:$V$1001,0),1)&gt;=100000,INDEX($AC$1005:$AS$1005,1,MATCH(COLUMNS($AC$1006:AE1006),$AC$1006:$AS$1006,0))&gt;=100000), " ",IF(INDEX($AC$2:$AS$1001,MATCH(ROWS($V$2:V91),$V$2:$V$1001,0),MATCH(COLUMNS($AC$1006:AE1006),$AC$1006:$AS$1006,0)), HYPERLINK("#",""), HYPERLINK(CONCATENATE("#Metadata!", ADDRESS(INDEX($X$2:$X$1001,MATCH(ROWS($V$2:V91),$V$2:$V$1001,0),0), INDEX($AC$1004:$AS$1004,1,MATCH(COLUMNS($AC$1006:AE1006),$AC$1006:$AS$1006,0)))),"Fix")))</f>
        <v>0</v>
      </c>
      <c r="E91" s="5">
        <f>IF(OR(INDEX($W$2:$W$1001,MATCH(ROWS($V$2:V91),$V$2:$V$1001,0),1)&gt;=100000,INDEX($AC$1005:$AS$1005,1,MATCH(COLUMNS($AC$1006:AF1006),$AC$1006:$AS$1006,0))&gt;=100000), " ",IF(INDEX($AC$2:$AS$1001,MATCH(ROWS($V$2:V91),$V$2:$V$1001,0),MATCH(COLUMNS($AC$1006:AF1006),$AC$1006:$AS$1006,0)), HYPERLINK("#",""), HYPERLINK(CONCATENATE("#Metadata!", ADDRESS(INDEX($X$2:$X$1001,MATCH(ROWS($V$2:V91),$V$2:$V$1001,0),0), INDEX($AC$1004:$AS$1004,1,MATCH(COLUMNS($AC$1006:AF1006),$AC$1006:$AS$1006,0)))),"Fix")))</f>
        <v>0</v>
      </c>
      <c r="F91" s="5">
        <f>IF(OR(INDEX($W$2:$W$1001,MATCH(ROWS($V$2:V91),$V$2:$V$1001,0),1)&gt;=100000,INDEX($AC$1005:$AS$1005,1,MATCH(COLUMNS($AC$1006:AG1006),$AC$1006:$AS$1006,0))&gt;=100000), " ",IF(INDEX($AC$2:$AS$1001,MATCH(ROWS($V$2:V91),$V$2:$V$1001,0),MATCH(COLUMNS($AC$1006:AG1006),$AC$1006:$AS$1006,0)), HYPERLINK("#",""), HYPERLINK(CONCATENATE("#Metadata!", ADDRESS(INDEX($X$2:$X$1001,MATCH(ROWS($V$2:V91),$V$2:$V$1001,0),0), INDEX($AC$1004:$AS$1004,1,MATCH(COLUMNS($AC$1006:AG1006),$AC$1006:$AS$1006,0)))),"Fix")))</f>
        <v>0</v>
      </c>
      <c r="G91" s="5">
        <f>IF(OR(INDEX($W$2:$W$1001,MATCH(ROWS($V$2:V91),$V$2:$V$1001,0),1)&gt;=100000,INDEX($AC$1005:$AS$1005,1,MATCH(COLUMNS($AC$1006:AH1006),$AC$1006:$AS$1006,0))&gt;=100000), " ",IF(INDEX($AC$2:$AS$1001,MATCH(ROWS($V$2:V91),$V$2:$V$1001,0),MATCH(COLUMNS($AC$1006:AH1006),$AC$1006:$AS$1006,0)), HYPERLINK("#",""), HYPERLINK(CONCATENATE("#Metadata!", ADDRESS(INDEX($X$2:$X$1001,MATCH(ROWS($V$2:V91),$V$2:$V$1001,0),0), INDEX($AC$1004:$AS$1004,1,MATCH(COLUMNS($AC$1006:AH1006),$AC$1006:$AS$1006,0)))),"Fix")))</f>
        <v>0</v>
      </c>
      <c r="H91" s="5">
        <f>IF(OR(INDEX($W$2:$W$1001,MATCH(ROWS($V$2:V91),$V$2:$V$1001,0),1)&gt;=100000,INDEX($AC$1005:$AS$1005,1,MATCH(COLUMNS($AC$1006:AI1006),$AC$1006:$AS$1006,0))&gt;=100000), " ",IF(INDEX($AC$2:$AS$1001,MATCH(ROWS($V$2:V91),$V$2:$V$1001,0),MATCH(COLUMNS($AC$1006:AI1006),$AC$1006:$AS$1006,0)), HYPERLINK("#",""), HYPERLINK(CONCATENATE("#Metadata!", ADDRESS(INDEX($X$2:$X$1001,MATCH(ROWS($V$2:V91),$V$2:$V$1001,0),0), INDEX($AC$1004:$AS$1004,1,MATCH(COLUMNS($AC$1006:AI1006),$AC$1006:$AS$1006,0)))),"Fix")))</f>
        <v>0</v>
      </c>
      <c r="I91" s="5">
        <f>IF(OR(INDEX($W$2:$W$1001,MATCH(ROWS($V$2:V91),$V$2:$V$1001,0),1)&gt;=100000,INDEX($AC$1005:$AS$1005,1,MATCH(COLUMNS($AC$1006:AJ1006),$AC$1006:$AS$1006,0))&gt;=100000), " ",IF(INDEX($AC$2:$AS$1001,MATCH(ROWS($V$2:V91),$V$2:$V$1001,0),MATCH(COLUMNS($AC$1006:AJ1006),$AC$1006:$AS$1006,0)), HYPERLINK("#",""), HYPERLINK(CONCATENATE("#Metadata!", ADDRESS(INDEX($X$2:$X$1001,MATCH(ROWS($V$2:V91),$V$2:$V$1001,0),0), INDEX($AC$1004:$AS$1004,1,MATCH(COLUMNS($AC$1006:AJ1006),$AC$1006:$AS$1006,0)))),"Fix")))</f>
        <v>0</v>
      </c>
      <c r="J91" s="5">
        <f>IF(OR(INDEX($W$2:$W$1001,MATCH(ROWS($V$2:V91),$V$2:$V$1001,0),1)&gt;=100000,INDEX($AC$1005:$AS$1005,1,MATCH(COLUMNS($AC$1006:AK1006),$AC$1006:$AS$1006,0))&gt;=100000), " ",IF(INDEX($AC$2:$AS$1001,MATCH(ROWS($V$2:V91),$V$2:$V$1001,0),MATCH(COLUMNS($AC$1006:AK1006),$AC$1006:$AS$1006,0)), HYPERLINK("#",""), HYPERLINK(CONCATENATE("#Metadata!", ADDRESS(INDEX($X$2:$X$1001,MATCH(ROWS($V$2:V91),$V$2:$V$1001,0),0), INDEX($AC$1004:$AS$1004,1,MATCH(COLUMNS($AC$1006:AK1006),$AC$1006:$AS$1006,0)))),"Fix")))</f>
        <v>0</v>
      </c>
      <c r="K91" s="5">
        <f>IF(OR(INDEX($W$2:$W$1001,MATCH(ROWS($V$2:V91),$V$2:$V$1001,0),1)&gt;=100000,INDEX($AC$1005:$AS$1005,1,MATCH(COLUMNS($AC$1006:AL1006),$AC$1006:$AS$1006,0))&gt;=100000), " ",IF(INDEX($AC$2:$AS$1001,MATCH(ROWS($V$2:V91),$V$2:$V$1001,0),MATCH(COLUMNS($AC$1006:AL1006),$AC$1006:$AS$1006,0)), HYPERLINK("#",""), HYPERLINK(CONCATENATE("#Metadata!", ADDRESS(INDEX($X$2:$X$1001,MATCH(ROWS($V$2:V91),$V$2:$V$1001,0),0), INDEX($AC$1004:$AS$1004,1,MATCH(COLUMNS($AC$1006:AL1006),$AC$1006:$AS$1006,0)))),"Fix")))</f>
        <v>0</v>
      </c>
      <c r="L91" s="5">
        <f>IF(OR(INDEX($W$2:$W$1001,MATCH(ROWS($V$2:V91),$V$2:$V$1001,0),1)&gt;=100000,INDEX($AC$1005:$AS$1005,1,MATCH(COLUMNS($AC$1006:AM1006),$AC$1006:$AS$1006,0))&gt;=100000), " ",IF(INDEX($AC$2:$AS$1001,MATCH(ROWS($V$2:V91),$V$2:$V$1001,0),MATCH(COLUMNS($AC$1006:AM1006),$AC$1006:$AS$1006,0)), HYPERLINK("#",""), HYPERLINK(CONCATENATE("#Metadata!", ADDRESS(INDEX($X$2:$X$1001,MATCH(ROWS($V$2:V91),$V$2:$V$1001,0),0), INDEX($AC$1004:$AS$1004,1,MATCH(COLUMNS($AC$1006:AM1006),$AC$1006:$AS$1006,0)))),"Fix")))</f>
        <v>0</v>
      </c>
      <c r="M91" s="5">
        <f>IF(OR(INDEX($W$2:$W$1001,MATCH(ROWS($V$2:V91),$V$2:$V$1001,0),1)&gt;=100000,INDEX($AC$1005:$AS$1005,1,MATCH(COLUMNS($AC$1006:AN1006),$AC$1006:$AS$1006,0))&gt;=100000), " ",IF(INDEX($AC$2:$AS$1001,MATCH(ROWS($V$2:V91),$V$2:$V$1001,0),MATCH(COLUMNS($AC$1006:AN1006),$AC$1006:$AS$1006,0)), HYPERLINK("#",""), HYPERLINK(CONCATENATE("#Metadata!", ADDRESS(INDEX($X$2:$X$1001,MATCH(ROWS($V$2:V91),$V$2:$V$1001,0),0), INDEX($AC$1004:$AS$1004,1,MATCH(COLUMNS($AC$1006:AN1006),$AC$1006:$AS$1006,0)))),"Fix")))</f>
        <v>0</v>
      </c>
      <c r="N91" s="5">
        <f>IF(OR(INDEX($W$2:$W$1001,MATCH(ROWS($V$2:V91),$V$2:$V$1001,0),1)&gt;=100000,INDEX($AC$1005:$AS$1005,1,MATCH(COLUMNS($AC$1006:AO1006),$AC$1006:$AS$1006,0))&gt;=100000), " ",IF(INDEX($AC$2:$AS$1001,MATCH(ROWS($V$2:V91),$V$2:$V$1001,0),MATCH(COLUMNS($AC$1006:AO1006),$AC$1006:$AS$1006,0)), HYPERLINK("#",""), HYPERLINK(CONCATENATE("#Metadata!", ADDRESS(INDEX($X$2:$X$1001,MATCH(ROWS($V$2:V91),$V$2:$V$1001,0),0), INDEX($AC$1004:$AS$1004,1,MATCH(COLUMNS($AC$1006:AO1006),$AC$1006:$AS$1006,0)))),"Fix")))</f>
        <v>0</v>
      </c>
      <c r="O91" s="5">
        <f>IF(OR(INDEX($W$2:$W$1001,MATCH(ROWS($V$2:V91),$V$2:$V$1001,0),1)&gt;=100000,INDEX($AC$1005:$AS$1005,1,MATCH(COLUMNS($AC$1006:AP1006),$AC$1006:$AS$1006,0))&gt;=100000), " ",IF(INDEX($AC$2:$AS$1001,MATCH(ROWS($V$2:V91),$V$2:$V$1001,0),MATCH(COLUMNS($AC$1006:AP1006),$AC$1006:$AS$1006,0)), HYPERLINK("#",""), HYPERLINK(CONCATENATE("#Metadata!", ADDRESS(INDEX($X$2:$X$1001,MATCH(ROWS($V$2:V91),$V$2:$V$1001,0),0), INDEX($AC$1004:$AS$1004,1,MATCH(COLUMNS($AC$1006:AP1006),$AC$1006:$AS$1006,0)))),"Fix")))</f>
        <v>0</v>
      </c>
      <c r="P91" s="5">
        <f>IF(OR(INDEX($W$2:$W$1001,MATCH(ROWS($V$2:V91),$V$2:$V$1001,0),1)&gt;=100000,INDEX($AC$1005:$AS$1005,1,MATCH(COLUMNS($AC$1006:AQ1006),$AC$1006:$AS$1006,0))&gt;=100000), " ",IF(INDEX($AC$2:$AS$1001,MATCH(ROWS($V$2:V91),$V$2:$V$1001,0),MATCH(COLUMNS($AC$1006:AQ1006),$AC$1006:$AS$1006,0)), HYPERLINK("#",""), HYPERLINK(CONCATENATE("#Metadata!", ADDRESS(INDEX($X$2:$X$1001,MATCH(ROWS($V$2:V91),$V$2:$V$1001,0),0), INDEX($AC$1004:$AS$1004,1,MATCH(COLUMNS($AC$1006:AQ1006),$AC$1006:$AS$1006,0)))),"Fix")))</f>
        <v>0</v>
      </c>
      <c r="Q91" s="5">
        <f>IF(OR(INDEX($W$2:$W$1001,MATCH(ROWS($V$2:V91),$V$2:$V$1001,0),1)&gt;=100000,INDEX($AC$1005:$AS$1005,1,MATCH(COLUMNS($AC$1006:AR1006),$AC$1006:$AS$1006,0))&gt;=100000), " ",IF(INDEX($AC$2:$AS$1001,MATCH(ROWS($V$2:V91),$V$2:$V$1001,0),MATCH(COLUMNS($AC$1006:AR1006),$AC$1006:$AS$1006,0)), HYPERLINK("#",""), HYPERLINK(CONCATENATE("#Metadata!", ADDRESS(INDEX($X$2:$X$1001,MATCH(ROWS($V$2:V91),$V$2:$V$1001,0),0), INDEX($AC$1004:$AS$1004,1,MATCH(COLUMNS($AC$1006:AR1006),$AC$1006:$AS$1006,0)))),"Fix")))</f>
        <v>0</v>
      </c>
      <c r="R91" s="5">
        <f>IF(OR(INDEX($W$2:$W$1001,MATCH(ROWS($V$2:V91),$V$2:$V$1001,0),1)&gt;=100000,INDEX($AC$1005:$AS$1005,1,MATCH(COLUMNS($AC$1006:AS1006),$AC$1006:$AS$1006,0))&gt;=100000), " ",IF(INDEX($AC$2:$AS$1001,MATCH(ROWS($V$2:V91),$V$2:$V$1001,0),MATCH(COLUMNS($AC$1006:AS1006),$AC$1006:$AS$1006,0)), HYPERLINK("#",""), HYPERLINK(CONCATENATE("#Metadata!", ADDRESS(INDEX($X$2:$X$1001,MATCH(ROWS($V$2:V91),$V$2:$V$1001,0),0), INDEX($AC$1004:$AS$1004,1,MATCH(COLUMNS($AC$1006:AS1006),$AC$1006:$AS$1006,0)))),"Fix")))</f>
        <v>0</v>
      </c>
      <c r="V91">
        <v>0</v>
      </c>
      <c r="W91">
        <v>0</v>
      </c>
      <c r="X91">
        <v>0</v>
      </c>
      <c r="Y91">
        <f>IF(Z91,TRUE,AND(AC91:AS91))</f>
        <v>0</v>
      </c>
      <c r="Z91">
        <f>COUNTBLANK(Metadata!B91:R91)=COLUMNS(Metadata!B91:R91)</f>
        <v>0</v>
      </c>
      <c r="AA91">
        <v>0</v>
      </c>
      <c r="AC91">
        <f>AND(IF(Metadata!B91="",FALSE,TRUE),COUNTIF(Metadata!B:B, Metadata!B91) = 1,NOT(ISERROR(SUMPRODUCT(SEARCH(MID(Metadata!B91,ROW(INDIRECT("1:"&amp;LEN(Metadata!B91))), 1),"0123456789abcdefghijklmnopqrstuvwxyzABCDEFGHIJKLMNOPQRSTUVWXYZ.")))))</f>
        <v>0</v>
      </c>
      <c r="AD91">
        <f>AND(IF(Metadata!C91="",FALSE,TRUE),exact(Metadata!C91,"Host-associated"))</f>
        <v>0</v>
      </c>
      <c r="AE91">
        <f>AND(IF(Metadata!D91="",FALSE,TRUE),OR(exact(Metadata!D91,"Animal"),exact(Metadata!D91,"Fungus"),exact(Metadata!D91,"Plant")))</f>
        <v>0</v>
      </c>
      <c r="AF91">
        <f>AND(IF(Metadata!E91="",FALSE,TRUE),OR(exact(Metadata!E91,"Plant secretion"),exact(Metadata!E91,"Plant rhizosphere"),exact(Metadata!E91,"Plant surface"),exact(Metadata!E91,"Plant corpus"),exact(Metadata!E91,"Fungus surface"),exact(Metadata!E91,"Fungus corpus"),exact(Metadata!E91,"Animal surface"),exact(Metadata!E91,"Animal proximal gut"),exact(Metadata!E91,"Animal corpus"),exact(Metadata!E91,"Animal distal gut"),exact(Metadata!E91,"Animal secretion")))</f>
        <v>0</v>
      </c>
      <c r="AG91">
        <f>OR(AND(IF(Metadata!F91="",FALSE,TRUE),OR(exact(Metadata!F91,"not collected"),exact(Metadata!F91,"not provided"),exact(Metadata!F91,"restricted access"))),AND(IF(Metadata!F91="",FALSE,TRUE),OR(exact(Metadata!F91,"organism-associated habitat"),exact(Metadata!F91,"plant-associated habitat"),exact(Metadata!F91,"animal-associated habitat"),exact(Metadata!F91,"insecta-associated habitat"),exact(Metadata!F91,"mammalia-associated habitat"),exact(Metadata!F91,"human-associated habitat"),exact(Metadata!F91,"livestock-associated habitat"))))</f>
        <v>0</v>
      </c>
      <c r="AH91">
        <f>AND(IF(Metadata!G91="",FALSE,TRUE),exact(Metadata!G91,"host-associated"))</f>
        <v>0</v>
      </c>
      <c r="AI91">
        <f>OR(AND(IF(Metadata!H91="",FALSE,TRUE),OR(exact(Metadata!H91,"not collected"),exact(Metadata!H91,"not provided"))),AND(IF(Metadata!H91="",FALSE,ISNUMBER(VALUE(Metadata!H91))),Metadata!H91&gt;0))</f>
        <v>0</v>
      </c>
      <c r="AJ91">
        <f>AND(IF(Metadata!I91="",FALSE,TRUE),exact(Metadata!I91,"years"))</f>
        <v>0</v>
      </c>
      <c r="AK91">
        <f>IF(Metadata!J91="",FALSE,TRUE)</f>
        <v>0</v>
      </c>
      <c r="AL91">
        <f>OR(AND(IF(Metadata!K91="",FALSE,TRUE),OR(exact(Metadata!K91,"not collected"),exact(Metadata!K91,"not provided"))),AND(IF(Metadata!K91="",FALSE,ISNUMBER(VALUE(Metadata!K91))),Metadata!K91&gt;0))</f>
        <v>0</v>
      </c>
      <c r="AM91">
        <f>AND(IF(Metadata!L91="",FALSE,TRUE),exact(Metadata!L91,"cm"))</f>
        <v>0</v>
      </c>
      <c r="AN91">
        <f>IF(Metadata!M91="",FALSE,TRUE)</f>
        <v>0</v>
      </c>
      <c r="AO91">
        <f>OR(AND(IF(Metadata!N91="",FALSE,TRUE),OR(exact(Metadata!N91,"not applicable"),exact(Metadata!N91,"not collected"),exact(Metadata!N91,"not provided"))),AND(IF(Metadata!N91="",FALSE,IF(ISERROR(INT(Metadata!N91)),FALSE,INT(Metadata!N91)=Metadata!N91)),Metadata!N91&gt;0))</f>
        <v>0</v>
      </c>
      <c r="AP91">
        <f>OR(AND(IF(Metadata!O91="",FALSE,TRUE),OR(exact(Metadata!O91,"not collected"),exact(Metadata!O91,"not provided"))),AND(IF(Metadata!O91="",FALSE,ISNUMBER(VALUE(Metadata!O91))),Metadata!O91&gt;0))</f>
        <v>0</v>
      </c>
      <c r="AQ91">
        <f>AND(IF(Metadata!P91="",FALSE,TRUE),exact(Metadata!P91,"kg"))</f>
        <v>0</v>
      </c>
      <c r="AR91">
        <f>OR(AND(IF(Metadata!Q91="",FALSE,TRUE),OR(exact(Metadata!Q91,"not applicable"),exact(Metadata!Q91,"not collected"),exact(Metadata!Q91,"not provided"),exact(Metadata!Q91,"restricted access"))),IF(Metadata!Q91="",FALSE,IF(ISERROR(INT(Metadata!Q91)),FALSE,INT(Metadata!Q91)=Metadata!Q91)))</f>
        <v>0</v>
      </c>
      <c r="AS91">
        <f>AND(IF(Metadata!R91="",FALSE,TRUE),exact(Metadata!R91,"Not applicable"))</f>
        <v>0</v>
      </c>
    </row>
    <row r="92" spans="1:45">
      <c r="A92" s="4">
        <f>IF(B92=" "," ",HYPERLINK(CONCATENATE("#metadata!",ADDRESS(INDEX($X$2:$X$1001,MATCH(ROWS($V$2:V92),$V$2:$V$1001,0),0),2)),INDEX($AA$2:$AA$1001,MATCH(ROWS($V$2:V92),$V$2:$V$1001,0),0)))</f>
        <v>0</v>
      </c>
      <c r="B92" s="5">
        <f>IF(OR(INDEX($W$2:$W$1001,MATCH(ROWS($V$2:V92),$V$2:$V$1001,0),1)&gt;=100000,INDEX($AC$1005:$AS$1005,1,MATCH(COLUMNS($AC$1006:AC1006),$AC$1006:$AS$1006,0))&gt;=100000), " ",IF(INDEX($AC$2:$AS$1001,MATCH(ROWS($V$2:V92),$V$2:$V$1001,0),MATCH(COLUMNS($AC$1006:AC1006),$AC$1006:$AS$1006,0)), HYPERLINK("#",""), HYPERLINK(CONCATENATE("#Metadata!", ADDRESS(INDEX($X$2:$X$1001,MATCH(ROWS($V$2:V92),$V$2:$V$1001,0),0), INDEX($AC$1004:$AS$1004,1,MATCH(COLUMNS($AC$1006:AC1006),$AC$1006:$AS$1006,0)))),"Fix")))</f>
        <v>0</v>
      </c>
      <c r="C92" s="5">
        <f>IF(OR(INDEX($W$2:$W$1001,MATCH(ROWS($V$2:V92),$V$2:$V$1001,0),1)&gt;=100000,INDEX($AC$1005:$AS$1005,1,MATCH(COLUMNS($AC$1006:AD1006),$AC$1006:$AS$1006,0))&gt;=100000), " ",IF(INDEX($AC$2:$AS$1001,MATCH(ROWS($V$2:V92),$V$2:$V$1001,0),MATCH(COLUMNS($AC$1006:AD1006),$AC$1006:$AS$1006,0)), HYPERLINK("#",""), HYPERLINK(CONCATENATE("#Metadata!", ADDRESS(INDEX($X$2:$X$1001,MATCH(ROWS($V$2:V92),$V$2:$V$1001,0),0), INDEX($AC$1004:$AS$1004,1,MATCH(COLUMNS($AC$1006:AD1006),$AC$1006:$AS$1006,0)))),"Fix")))</f>
        <v>0</v>
      </c>
      <c r="D92" s="5">
        <f>IF(OR(INDEX($W$2:$W$1001,MATCH(ROWS($V$2:V92),$V$2:$V$1001,0),1)&gt;=100000,INDEX($AC$1005:$AS$1005,1,MATCH(COLUMNS($AC$1006:AE1006),$AC$1006:$AS$1006,0))&gt;=100000), " ",IF(INDEX($AC$2:$AS$1001,MATCH(ROWS($V$2:V92),$V$2:$V$1001,0),MATCH(COLUMNS($AC$1006:AE1006),$AC$1006:$AS$1006,0)), HYPERLINK("#",""), HYPERLINK(CONCATENATE("#Metadata!", ADDRESS(INDEX($X$2:$X$1001,MATCH(ROWS($V$2:V92),$V$2:$V$1001,0),0), INDEX($AC$1004:$AS$1004,1,MATCH(COLUMNS($AC$1006:AE1006),$AC$1006:$AS$1006,0)))),"Fix")))</f>
        <v>0</v>
      </c>
      <c r="E92" s="5">
        <f>IF(OR(INDEX($W$2:$W$1001,MATCH(ROWS($V$2:V92),$V$2:$V$1001,0),1)&gt;=100000,INDEX($AC$1005:$AS$1005,1,MATCH(COLUMNS($AC$1006:AF1006),$AC$1006:$AS$1006,0))&gt;=100000), " ",IF(INDEX($AC$2:$AS$1001,MATCH(ROWS($V$2:V92),$V$2:$V$1001,0),MATCH(COLUMNS($AC$1006:AF1006),$AC$1006:$AS$1006,0)), HYPERLINK("#",""), HYPERLINK(CONCATENATE("#Metadata!", ADDRESS(INDEX($X$2:$X$1001,MATCH(ROWS($V$2:V92),$V$2:$V$1001,0),0), INDEX($AC$1004:$AS$1004,1,MATCH(COLUMNS($AC$1006:AF1006),$AC$1006:$AS$1006,0)))),"Fix")))</f>
        <v>0</v>
      </c>
      <c r="F92" s="5">
        <f>IF(OR(INDEX($W$2:$W$1001,MATCH(ROWS($V$2:V92),$V$2:$V$1001,0),1)&gt;=100000,INDEX($AC$1005:$AS$1005,1,MATCH(COLUMNS($AC$1006:AG1006),$AC$1006:$AS$1006,0))&gt;=100000), " ",IF(INDEX($AC$2:$AS$1001,MATCH(ROWS($V$2:V92),$V$2:$V$1001,0),MATCH(COLUMNS($AC$1006:AG1006),$AC$1006:$AS$1006,0)), HYPERLINK("#",""), HYPERLINK(CONCATENATE("#Metadata!", ADDRESS(INDEX($X$2:$X$1001,MATCH(ROWS($V$2:V92),$V$2:$V$1001,0),0), INDEX($AC$1004:$AS$1004,1,MATCH(COLUMNS($AC$1006:AG1006),$AC$1006:$AS$1006,0)))),"Fix")))</f>
        <v>0</v>
      </c>
      <c r="G92" s="5">
        <f>IF(OR(INDEX($W$2:$W$1001,MATCH(ROWS($V$2:V92),$V$2:$V$1001,0),1)&gt;=100000,INDEX($AC$1005:$AS$1005,1,MATCH(COLUMNS($AC$1006:AH1006),$AC$1006:$AS$1006,0))&gt;=100000), " ",IF(INDEX($AC$2:$AS$1001,MATCH(ROWS($V$2:V92),$V$2:$V$1001,0),MATCH(COLUMNS($AC$1006:AH1006),$AC$1006:$AS$1006,0)), HYPERLINK("#",""), HYPERLINK(CONCATENATE("#Metadata!", ADDRESS(INDEX($X$2:$X$1001,MATCH(ROWS($V$2:V92),$V$2:$V$1001,0),0), INDEX($AC$1004:$AS$1004,1,MATCH(COLUMNS($AC$1006:AH1006),$AC$1006:$AS$1006,0)))),"Fix")))</f>
        <v>0</v>
      </c>
      <c r="H92" s="5">
        <f>IF(OR(INDEX($W$2:$W$1001,MATCH(ROWS($V$2:V92),$V$2:$V$1001,0),1)&gt;=100000,INDEX($AC$1005:$AS$1005,1,MATCH(COLUMNS($AC$1006:AI1006),$AC$1006:$AS$1006,0))&gt;=100000), " ",IF(INDEX($AC$2:$AS$1001,MATCH(ROWS($V$2:V92),$V$2:$V$1001,0),MATCH(COLUMNS($AC$1006:AI1006),$AC$1006:$AS$1006,0)), HYPERLINK("#",""), HYPERLINK(CONCATENATE("#Metadata!", ADDRESS(INDEX($X$2:$X$1001,MATCH(ROWS($V$2:V92),$V$2:$V$1001,0),0), INDEX($AC$1004:$AS$1004,1,MATCH(COLUMNS($AC$1006:AI1006),$AC$1006:$AS$1006,0)))),"Fix")))</f>
        <v>0</v>
      </c>
      <c r="I92" s="5">
        <f>IF(OR(INDEX($W$2:$W$1001,MATCH(ROWS($V$2:V92),$V$2:$V$1001,0),1)&gt;=100000,INDEX($AC$1005:$AS$1005,1,MATCH(COLUMNS($AC$1006:AJ1006),$AC$1006:$AS$1006,0))&gt;=100000), " ",IF(INDEX($AC$2:$AS$1001,MATCH(ROWS($V$2:V92),$V$2:$V$1001,0),MATCH(COLUMNS($AC$1006:AJ1006),$AC$1006:$AS$1006,0)), HYPERLINK("#",""), HYPERLINK(CONCATENATE("#Metadata!", ADDRESS(INDEX($X$2:$X$1001,MATCH(ROWS($V$2:V92),$V$2:$V$1001,0),0), INDEX($AC$1004:$AS$1004,1,MATCH(COLUMNS($AC$1006:AJ1006),$AC$1006:$AS$1006,0)))),"Fix")))</f>
        <v>0</v>
      </c>
      <c r="J92" s="5">
        <f>IF(OR(INDEX($W$2:$W$1001,MATCH(ROWS($V$2:V92),$V$2:$V$1001,0),1)&gt;=100000,INDEX($AC$1005:$AS$1005,1,MATCH(COLUMNS($AC$1006:AK1006),$AC$1006:$AS$1006,0))&gt;=100000), " ",IF(INDEX($AC$2:$AS$1001,MATCH(ROWS($V$2:V92),$V$2:$V$1001,0),MATCH(COLUMNS($AC$1006:AK1006),$AC$1006:$AS$1006,0)), HYPERLINK("#",""), HYPERLINK(CONCATENATE("#Metadata!", ADDRESS(INDEX($X$2:$X$1001,MATCH(ROWS($V$2:V92),$V$2:$V$1001,0),0), INDEX($AC$1004:$AS$1004,1,MATCH(COLUMNS($AC$1006:AK1006),$AC$1006:$AS$1006,0)))),"Fix")))</f>
        <v>0</v>
      </c>
      <c r="K92" s="5">
        <f>IF(OR(INDEX($W$2:$W$1001,MATCH(ROWS($V$2:V92),$V$2:$V$1001,0),1)&gt;=100000,INDEX($AC$1005:$AS$1005,1,MATCH(COLUMNS($AC$1006:AL1006),$AC$1006:$AS$1006,0))&gt;=100000), " ",IF(INDEX($AC$2:$AS$1001,MATCH(ROWS($V$2:V92),$V$2:$V$1001,0),MATCH(COLUMNS($AC$1006:AL1006),$AC$1006:$AS$1006,0)), HYPERLINK("#",""), HYPERLINK(CONCATENATE("#Metadata!", ADDRESS(INDEX($X$2:$X$1001,MATCH(ROWS($V$2:V92),$V$2:$V$1001,0),0), INDEX($AC$1004:$AS$1004,1,MATCH(COLUMNS($AC$1006:AL1006),$AC$1006:$AS$1006,0)))),"Fix")))</f>
        <v>0</v>
      </c>
      <c r="L92" s="5">
        <f>IF(OR(INDEX($W$2:$W$1001,MATCH(ROWS($V$2:V92),$V$2:$V$1001,0),1)&gt;=100000,INDEX($AC$1005:$AS$1005,1,MATCH(COLUMNS($AC$1006:AM1006),$AC$1006:$AS$1006,0))&gt;=100000), " ",IF(INDEX($AC$2:$AS$1001,MATCH(ROWS($V$2:V92),$V$2:$V$1001,0),MATCH(COLUMNS($AC$1006:AM1006),$AC$1006:$AS$1006,0)), HYPERLINK("#",""), HYPERLINK(CONCATENATE("#Metadata!", ADDRESS(INDEX($X$2:$X$1001,MATCH(ROWS($V$2:V92),$V$2:$V$1001,0),0), INDEX($AC$1004:$AS$1004,1,MATCH(COLUMNS($AC$1006:AM1006),$AC$1006:$AS$1006,0)))),"Fix")))</f>
        <v>0</v>
      </c>
      <c r="M92" s="5">
        <f>IF(OR(INDEX($W$2:$W$1001,MATCH(ROWS($V$2:V92),$V$2:$V$1001,0),1)&gt;=100000,INDEX($AC$1005:$AS$1005,1,MATCH(COLUMNS($AC$1006:AN1006),$AC$1006:$AS$1006,0))&gt;=100000), " ",IF(INDEX($AC$2:$AS$1001,MATCH(ROWS($V$2:V92),$V$2:$V$1001,0),MATCH(COLUMNS($AC$1006:AN1006),$AC$1006:$AS$1006,0)), HYPERLINK("#",""), HYPERLINK(CONCATENATE("#Metadata!", ADDRESS(INDEX($X$2:$X$1001,MATCH(ROWS($V$2:V92),$V$2:$V$1001,0),0), INDEX($AC$1004:$AS$1004,1,MATCH(COLUMNS($AC$1006:AN1006),$AC$1006:$AS$1006,0)))),"Fix")))</f>
        <v>0</v>
      </c>
      <c r="N92" s="5">
        <f>IF(OR(INDEX($W$2:$W$1001,MATCH(ROWS($V$2:V92),$V$2:$V$1001,0),1)&gt;=100000,INDEX($AC$1005:$AS$1005,1,MATCH(COLUMNS($AC$1006:AO1006),$AC$1006:$AS$1006,0))&gt;=100000), " ",IF(INDEX($AC$2:$AS$1001,MATCH(ROWS($V$2:V92),$V$2:$V$1001,0),MATCH(COLUMNS($AC$1006:AO1006),$AC$1006:$AS$1006,0)), HYPERLINK("#",""), HYPERLINK(CONCATENATE("#Metadata!", ADDRESS(INDEX($X$2:$X$1001,MATCH(ROWS($V$2:V92),$V$2:$V$1001,0),0), INDEX($AC$1004:$AS$1004,1,MATCH(COLUMNS($AC$1006:AO1006),$AC$1006:$AS$1006,0)))),"Fix")))</f>
        <v>0</v>
      </c>
      <c r="O92" s="5">
        <f>IF(OR(INDEX($W$2:$W$1001,MATCH(ROWS($V$2:V92),$V$2:$V$1001,0),1)&gt;=100000,INDEX($AC$1005:$AS$1005,1,MATCH(COLUMNS($AC$1006:AP1006),$AC$1006:$AS$1006,0))&gt;=100000), " ",IF(INDEX($AC$2:$AS$1001,MATCH(ROWS($V$2:V92),$V$2:$V$1001,0),MATCH(COLUMNS($AC$1006:AP1006),$AC$1006:$AS$1006,0)), HYPERLINK("#",""), HYPERLINK(CONCATENATE("#Metadata!", ADDRESS(INDEX($X$2:$X$1001,MATCH(ROWS($V$2:V92),$V$2:$V$1001,0),0), INDEX($AC$1004:$AS$1004,1,MATCH(COLUMNS($AC$1006:AP1006),$AC$1006:$AS$1006,0)))),"Fix")))</f>
        <v>0</v>
      </c>
      <c r="P92" s="5">
        <f>IF(OR(INDEX($W$2:$W$1001,MATCH(ROWS($V$2:V92),$V$2:$V$1001,0),1)&gt;=100000,INDEX($AC$1005:$AS$1005,1,MATCH(COLUMNS($AC$1006:AQ1006),$AC$1006:$AS$1006,0))&gt;=100000), " ",IF(INDEX($AC$2:$AS$1001,MATCH(ROWS($V$2:V92),$V$2:$V$1001,0),MATCH(COLUMNS($AC$1006:AQ1006),$AC$1006:$AS$1006,0)), HYPERLINK("#",""), HYPERLINK(CONCATENATE("#Metadata!", ADDRESS(INDEX($X$2:$X$1001,MATCH(ROWS($V$2:V92),$V$2:$V$1001,0),0), INDEX($AC$1004:$AS$1004,1,MATCH(COLUMNS($AC$1006:AQ1006),$AC$1006:$AS$1006,0)))),"Fix")))</f>
        <v>0</v>
      </c>
      <c r="Q92" s="5">
        <f>IF(OR(INDEX($W$2:$W$1001,MATCH(ROWS($V$2:V92),$V$2:$V$1001,0),1)&gt;=100000,INDEX($AC$1005:$AS$1005,1,MATCH(COLUMNS($AC$1006:AR1006),$AC$1006:$AS$1006,0))&gt;=100000), " ",IF(INDEX($AC$2:$AS$1001,MATCH(ROWS($V$2:V92),$V$2:$V$1001,0),MATCH(COLUMNS($AC$1006:AR1006),$AC$1006:$AS$1006,0)), HYPERLINK("#",""), HYPERLINK(CONCATENATE("#Metadata!", ADDRESS(INDEX($X$2:$X$1001,MATCH(ROWS($V$2:V92),$V$2:$V$1001,0),0), INDEX($AC$1004:$AS$1004,1,MATCH(COLUMNS($AC$1006:AR1006),$AC$1006:$AS$1006,0)))),"Fix")))</f>
        <v>0</v>
      </c>
      <c r="R92" s="5">
        <f>IF(OR(INDEX($W$2:$W$1001,MATCH(ROWS($V$2:V92),$V$2:$V$1001,0),1)&gt;=100000,INDEX($AC$1005:$AS$1005,1,MATCH(COLUMNS($AC$1006:AS1006),$AC$1006:$AS$1006,0))&gt;=100000), " ",IF(INDEX($AC$2:$AS$1001,MATCH(ROWS($V$2:V92),$V$2:$V$1001,0),MATCH(COLUMNS($AC$1006:AS1006),$AC$1006:$AS$1006,0)), HYPERLINK("#",""), HYPERLINK(CONCATENATE("#Metadata!", ADDRESS(INDEX($X$2:$X$1001,MATCH(ROWS($V$2:V92),$V$2:$V$1001,0),0), INDEX($AC$1004:$AS$1004,1,MATCH(COLUMNS($AC$1006:AS1006),$AC$1006:$AS$1006,0)))),"Fix")))</f>
        <v>0</v>
      </c>
      <c r="V92">
        <v>0</v>
      </c>
      <c r="W92">
        <v>0</v>
      </c>
      <c r="X92">
        <v>0</v>
      </c>
      <c r="Y92">
        <f>IF(Z92,TRUE,AND(AC92:AS92))</f>
        <v>0</v>
      </c>
      <c r="Z92">
        <f>COUNTBLANK(Metadata!B92:R92)=COLUMNS(Metadata!B92:R92)</f>
        <v>0</v>
      </c>
      <c r="AA92">
        <v>0</v>
      </c>
      <c r="AC92">
        <f>AND(IF(Metadata!B92="",FALSE,TRUE),COUNTIF(Metadata!B:B, Metadata!B92) = 1,NOT(ISERROR(SUMPRODUCT(SEARCH(MID(Metadata!B92,ROW(INDIRECT("1:"&amp;LEN(Metadata!B92))), 1),"0123456789abcdefghijklmnopqrstuvwxyzABCDEFGHIJKLMNOPQRSTUVWXYZ.")))))</f>
        <v>0</v>
      </c>
      <c r="AD92">
        <f>AND(IF(Metadata!C92="",FALSE,TRUE),exact(Metadata!C92,"Host-associated"))</f>
        <v>0</v>
      </c>
      <c r="AE92">
        <f>AND(IF(Metadata!D92="",FALSE,TRUE),OR(exact(Metadata!D92,"Animal"),exact(Metadata!D92,"Fungus"),exact(Metadata!D92,"Plant")))</f>
        <v>0</v>
      </c>
      <c r="AF92">
        <f>AND(IF(Metadata!E92="",FALSE,TRUE),OR(exact(Metadata!E92,"Plant secretion"),exact(Metadata!E92,"Plant rhizosphere"),exact(Metadata!E92,"Plant surface"),exact(Metadata!E92,"Plant corpus"),exact(Metadata!E92,"Fungus surface"),exact(Metadata!E92,"Fungus corpus"),exact(Metadata!E92,"Animal surface"),exact(Metadata!E92,"Animal proximal gut"),exact(Metadata!E92,"Animal corpus"),exact(Metadata!E92,"Animal distal gut"),exact(Metadata!E92,"Animal secretion")))</f>
        <v>0</v>
      </c>
      <c r="AG92">
        <f>OR(AND(IF(Metadata!F92="",FALSE,TRUE),OR(exact(Metadata!F92,"not collected"),exact(Metadata!F92,"not provided"),exact(Metadata!F92,"restricted access"))),AND(IF(Metadata!F92="",FALSE,TRUE),OR(exact(Metadata!F92,"organism-associated habitat"),exact(Metadata!F92,"plant-associated habitat"),exact(Metadata!F92,"animal-associated habitat"),exact(Metadata!F92,"insecta-associated habitat"),exact(Metadata!F92,"mammalia-associated habitat"),exact(Metadata!F92,"human-associated habitat"),exact(Metadata!F92,"livestock-associated habitat"))))</f>
        <v>0</v>
      </c>
      <c r="AH92">
        <f>AND(IF(Metadata!G92="",FALSE,TRUE),exact(Metadata!G92,"host-associated"))</f>
        <v>0</v>
      </c>
      <c r="AI92">
        <f>OR(AND(IF(Metadata!H92="",FALSE,TRUE),OR(exact(Metadata!H92,"not collected"),exact(Metadata!H92,"not provided"))),AND(IF(Metadata!H92="",FALSE,ISNUMBER(VALUE(Metadata!H92))),Metadata!H92&gt;0))</f>
        <v>0</v>
      </c>
      <c r="AJ92">
        <f>AND(IF(Metadata!I92="",FALSE,TRUE),exact(Metadata!I92,"years"))</f>
        <v>0</v>
      </c>
      <c r="AK92">
        <f>IF(Metadata!J92="",FALSE,TRUE)</f>
        <v>0</v>
      </c>
      <c r="AL92">
        <f>OR(AND(IF(Metadata!K92="",FALSE,TRUE),OR(exact(Metadata!K92,"not collected"),exact(Metadata!K92,"not provided"))),AND(IF(Metadata!K92="",FALSE,ISNUMBER(VALUE(Metadata!K92))),Metadata!K92&gt;0))</f>
        <v>0</v>
      </c>
      <c r="AM92">
        <f>AND(IF(Metadata!L92="",FALSE,TRUE),exact(Metadata!L92,"cm"))</f>
        <v>0</v>
      </c>
      <c r="AN92">
        <f>IF(Metadata!M92="",FALSE,TRUE)</f>
        <v>0</v>
      </c>
      <c r="AO92">
        <f>OR(AND(IF(Metadata!N92="",FALSE,TRUE),OR(exact(Metadata!N92,"not applicable"),exact(Metadata!N92,"not collected"),exact(Metadata!N92,"not provided"))),AND(IF(Metadata!N92="",FALSE,IF(ISERROR(INT(Metadata!N92)),FALSE,INT(Metadata!N92)=Metadata!N92)),Metadata!N92&gt;0))</f>
        <v>0</v>
      </c>
      <c r="AP92">
        <f>OR(AND(IF(Metadata!O92="",FALSE,TRUE),OR(exact(Metadata!O92,"not collected"),exact(Metadata!O92,"not provided"))),AND(IF(Metadata!O92="",FALSE,ISNUMBER(VALUE(Metadata!O92))),Metadata!O92&gt;0))</f>
        <v>0</v>
      </c>
      <c r="AQ92">
        <f>AND(IF(Metadata!P92="",FALSE,TRUE),exact(Metadata!P92,"kg"))</f>
        <v>0</v>
      </c>
      <c r="AR92">
        <f>OR(AND(IF(Metadata!Q92="",FALSE,TRUE),OR(exact(Metadata!Q92,"not applicable"),exact(Metadata!Q92,"not collected"),exact(Metadata!Q92,"not provided"),exact(Metadata!Q92,"restricted access"))),IF(Metadata!Q92="",FALSE,IF(ISERROR(INT(Metadata!Q92)),FALSE,INT(Metadata!Q92)=Metadata!Q92)))</f>
        <v>0</v>
      </c>
      <c r="AS92">
        <f>AND(IF(Metadata!R92="",FALSE,TRUE),exact(Metadata!R92,"Not applicable"))</f>
        <v>0</v>
      </c>
    </row>
    <row r="93" spans="1:45">
      <c r="A93" s="4">
        <f>IF(B93=" "," ",HYPERLINK(CONCATENATE("#metadata!",ADDRESS(INDEX($X$2:$X$1001,MATCH(ROWS($V$2:V93),$V$2:$V$1001,0),0),2)),INDEX($AA$2:$AA$1001,MATCH(ROWS($V$2:V93),$V$2:$V$1001,0),0)))</f>
        <v>0</v>
      </c>
      <c r="B93" s="5">
        <f>IF(OR(INDEX($W$2:$W$1001,MATCH(ROWS($V$2:V93),$V$2:$V$1001,0),1)&gt;=100000,INDEX($AC$1005:$AS$1005,1,MATCH(COLUMNS($AC$1006:AC1006),$AC$1006:$AS$1006,0))&gt;=100000), " ",IF(INDEX($AC$2:$AS$1001,MATCH(ROWS($V$2:V93),$V$2:$V$1001,0),MATCH(COLUMNS($AC$1006:AC1006),$AC$1006:$AS$1006,0)), HYPERLINK("#",""), HYPERLINK(CONCATENATE("#Metadata!", ADDRESS(INDEX($X$2:$X$1001,MATCH(ROWS($V$2:V93),$V$2:$V$1001,0),0), INDEX($AC$1004:$AS$1004,1,MATCH(COLUMNS($AC$1006:AC1006),$AC$1006:$AS$1006,0)))),"Fix")))</f>
        <v>0</v>
      </c>
      <c r="C93" s="5">
        <f>IF(OR(INDEX($W$2:$W$1001,MATCH(ROWS($V$2:V93),$V$2:$V$1001,0),1)&gt;=100000,INDEX($AC$1005:$AS$1005,1,MATCH(COLUMNS($AC$1006:AD1006),$AC$1006:$AS$1006,0))&gt;=100000), " ",IF(INDEX($AC$2:$AS$1001,MATCH(ROWS($V$2:V93),$V$2:$V$1001,0),MATCH(COLUMNS($AC$1006:AD1006),$AC$1006:$AS$1006,0)), HYPERLINK("#",""), HYPERLINK(CONCATENATE("#Metadata!", ADDRESS(INDEX($X$2:$X$1001,MATCH(ROWS($V$2:V93),$V$2:$V$1001,0),0), INDEX($AC$1004:$AS$1004,1,MATCH(COLUMNS($AC$1006:AD1006),$AC$1006:$AS$1006,0)))),"Fix")))</f>
        <v>0</v>
      </c>
      <c r="D93" s="5">
        <f>IF(OR(INDEX($W$2:$W$1001,MATCH(ROWS($V$2:V93),$V$2:$V$1001,0),1)&gt;=100000,INDEX($AC$1005:$AS$1005,1,MATCH(COLUMNS($AC$1006:AE1006),$AC$1006:$AS$1006,0))&gt;=100000), " ",IF(INDEX($AC$2:$AS$1001,MATCH(ROWS($V$2:V93),$V$2:$V$1001,0),MATCH(COLUMNS($AC$1006:AE1006),$AC$1006:$AS$1006,0)), HYPERLINK("#",""), HYPERLINK(CONCATENATE("#Metadata!", ADDRESS(INDEX($X$2:$X$1001,MATCH(ROWS($V$2:V93),$V$2:$V$1001,0),0), INDEX($AC$1004:$AS$1004,1,MATCH(COLUMNS($AC$1006:AE1006),$AC$1006:$AS$1006,0)))),"Fix")))</f>
        <v>0</v>
      </c>
      <c r="E93" s="5">
        <f>IF(OR(INDEX($W$2:$W$1001,MATCH(ROWS($V$2:V93),$V$2:$V$1001,0),1)&gt;=100000,INDEX($AC$1005:$AS$1005,1,MATCH(COLUMNS($AC$1006:AF1006),$AC$1006:$AS$1006,0))&gt;=100000), " ",IF(INDEX($AC$2:$AS$1001,MATCH(ROWS($V$2:V93),$V$2:$V$1001,0),MATCH(COLUMNS($AC$1006:AF1006),$AC$1006:$AS$1006,0)), HYPERLINK("#",""), HYPERLINK(CONCATENATE("#Metadata!", ADDRESS(INDEX($X$2:$X$1001,MATCH(ROWS($V$2:V93),$V$2:$V$1001,0),0), INDEX($AC$1004:$AS$1004,1,MATCH(COLUMNS($AC$1006:AF1006),$AC$1006:$AS$1006,0)))),"Fix")))</f>
        <v>0</v>
      </c>
      <c r="F93" s="5">
        <f>IF(OR(INDEX($W$2:$W$1001,MATCH(ROWS($V$2:V93),$V$2:$V$1001,0),1)&gt;=100000,INDEX($AC$1005:$AS$1005,1,MATCH(COLUMNS($AC$1006:AG1006),$AC$1006:$AS$1006,0))&gt;=100000), " ",IF(INDEX($AC$2:$AS$1001,MATCH(ROWS($V$2:V93),$V$2:$V$1001,0),MATCH(COLUMNS($AC$1006:AG1006),$AC$1006:$AS$1006,0)), HYPERLINK("#",""), HYPERLINK(CONCATENATE("#Metadata!", ADDRESS(INDEX($X$2:$X$1001,MATCH(ROWS($V$2:V93),$V$2:$V$1001,0),0), INDEX($AC$1004:$AS$1004,1,MATCH(COLUMNS($AC$1006:AG1006),$AC$1006:$AS$1006,0)))),"Fix")))</f>
        <v>0</v>
      </c>
      <c r="G93" s="5">
        <f>IF(OR(INDEX($W$2:$W$1001,MATCH(ROWS($V$2:V93),$V$2:$V$1001,0),1)&gt;=100000,INDEX($AC$1005:$AS$1005,1,MATCH(COLUMNS($AC$1006:AH1006),$AC$1006:$AS$1006,0))&gt;=100000), " ",IF(INDEX($AC$2:$AS$1001,MATCH(ROWS($V$2:V93),$V$2:$V$1001,0),MATCH(COLUMNS($AC$1006:AH1006),$AC$1006:$AS$1006,0)), HYPERLINK("#",""), HYPERLINK(CONCATENATE("#Metadata!", ADDRESS(INDEX($X$2:$X$1001,MATCH(ROWS($V$2:V93),$V$2:$V$1001,0),0), INDEX($AC$1004:$AS$1004,1,MATCH(COLUMNS($AC$1006:AH1006),$AC$1006:$AS$1006,0)))),"Fix")))</f>
        <v>0</v>
      </c>
      <c r="H93" s="5">
        <f>IF(OR(INDEX($W$2:$W$1001,MATCH(ROWS($V$2:V93),$V$2:$V$1001,0),1)&gt;=100000,INDEX($AC$1005:$AS$1005,1,MATCH(COLUMNS($AC$1006:AI1006),$AC$1006:$AS$1006,0))&gt;=100000), " ",IF(INDEX($AC$2:$AS$1001,MATCH(ROWS($V$2:V93),$V$2:$V$1001,0),MATCH(COLUMNS($AC$1006:AI1006),$AC$1006:$AS$1006,0)), HYPERLINK("#",""), HYPERLINK(CONCATENATE("#Metadata!", ADDRESS(INDEX($X$2:$X$1001,MATCH(ROWS($V$2:V93),$V$2:$V$1001,0),0), INDEX($AC$1004:$AS$1004,1,MATCH(COLUMNS($AC$1006:AI1006),$AC$1006:$AS$1006,0)))),"Fix")))</f>
        <v>0</v>
      </c>
      <c r="I93" s="5">
        <f>IF(OR(INDEX($W$2:$W$1001,MATCH(ROWS($V$2:V93),$V$2:$V$1001,0),1)&gt;=100000,INDEX($AC$1005:$AS$1005,1,MATCH(COLUMNS($AC$1006:AJ1006),$AC$1006:$AS$1006,0))&gt;=100000), " ",IF(INDEX($AC$2:$AS$1001,MATCH(ROWS($V$2:V93),$V$2:$V$1001,0),MATCH(COLUMNS($AC$1006:AJ1006),$AC$1006:$AS$1006,0)), HYPERLINK("#",""), HYPERLINK(CONCATENATE("#Metadata!", ADDRESS(INDEX($X$2:$X$1001,MATCH(ROWS($V$2:V93),$V$2:$V$1001,0),0), INDEX($AC$1004:$AS$1004,1,MATCH(COLUMNS($AC$1006:AJ1006),$AC$1006:$AS$1006,0)))),"Fix")))</f>
        <v>0</v>
      </c>
      <c r="J93" s="5">
        <f>IF(OR(INDEX($W$2:$W$1001,MATCH(ROWS($V$2:V93),$V$2:$V$1001,0),1)&gt;=100000,INDEX($AC$1005:$AS$1005,1,MATCH(COLUMNS($AC$1006:AK1006),$AC$1006:$AS$1006,0))&gt;=100000), " ",IF(INDEX($AC$2:$AS$1001,MATCH(ROWS($V$2:V93),$V$2:$V$1001,0),MATCH(COLUMNS($AC$1006:AK1006),$AC$1006:$AS$1006,0)), HYPERLINK("#",""), HYPERLINK(CONCATENATE("#Metadata!", ADDRESS(INDEX($X$2:$X$1001,MATCH(ROWS($V$2:V93),$V$2:$V$1001,0),0), INDEX($AC$1004:$AS$1004,1,MATCH(COLUMNS($AC$1006:AK1006),$AC$1006:$AS$1006,0)))),"Fix")))</f>
        <v>0</v>
      </c>
      <c r="K93" s="5">
        <f>IF(OR(INDEX($W$2:$W$1001,MATCH(ROWS($V$2:V93),$V$2:$V$1001,0),1)&gt;=100000,INDEX($AC$1005:$AS$1005,1,MATCH(COLUMNS($AC$1006:AL1006),$AC$1006:$AS$1006,0))&gt;=100000), " ",IF(INDEX($AC$2:$AS$1001,MATCH(ROWS($V$2:V93),$V$2:$V$1001,0),MATCH(COLUMNS($AC$1006:AL1006),$AC$1006:$AS$1006,0)), HYPERLINK("#",""), HYPERLINK(CONCATENATE("#Metadata!", ADDRESS(INDEX($X$2:$X$1001,MATCH(ROWS($V$2:V93),$V$2:$V$1001,0),0), INDEX($AC$1004:$AS$1004,1,MATCH(COLUMNS($AC$1006:AL1006),$AC$1006:$AS$1006,0)))),"Fix")))</f>
        <v>0</v>
      </c>
      <c r="L93" s="5">
        <f>IF(OR(INDEX($W$2:$W$1001,MATCH(ROWS($V$2:V93),$V$2:$V$1001,0),1)&gt;=100000,INDEX($AC$1005:$AS$1005,1,MATCH(COLUMNS($AC$1006:AM1006),$AC$1006:$AS$1006,0))&gt;=100000), " ",IF(INDEX($AC$2:$AS$1001,MATCH(ROWS($V$2:V93),$V$2:$V$1001,0),MATCH(COLUMNS($AC$1006:AM1006),$AC$1006:$AS$1006,0)), HYPERLINK("#",""), HYPERLINK(CONCATENATE("#Metadata!", ADDRESS(INDEX($X$2:$X$1001,MATCH(ROWS($V$2:V93),$V$2:$V$1001,0),0), INDEX($AC$1004:$AS$1004,1,MATCH(COLUMNS($AC$1006:AM1006),$AC$1006:$AS$1006,0)))),"Fix")))</f>
        <v>0</v>
      </c>
      <c r="M93" s="5">
        <f>IF(OR(INDEX($W$2:$W$1001,MATCH(ROWS($V$2:V93),$V$2:$V$1001,0),1)&gt;=100000,INDEX($AC$1005:$AS$1005,1,MATCH(COLUMNS($AC$1006:AN1006),$AC$1006:$AS$1006,0))&gt;=100000), " ",IF(INDEX($AC$2:$AS$1001,MATCH(ROWS($V$2:V93),$V$2:$V$1001,0),MATCH(COLUMNS($AC$1006:AN1006),$AC$1006:$AS$1006,0)), HYPERLINK("#",""), HYPERLINK(CONCATENATE("#Metadata!", ADDRESS(INDEX($X$2:$X$1001,MATCH(ROWS($V$2:V93),$V$2:$V$1001,0),0), INDEX($AC$1004:$AS$1004,1,MATCH(COLUMNS($AC$1006:AN1006),$AC$1006:$AS$1006,0)))),"Fix")))</f>
        <v>0</v>
      </c>
      <c r="N93" s="5">
        <f>IF(OR(INDEX($W$2:$W$1001,MATCH(ROWS($V$2:V93),$V$2:$V$1001,0),1)&gt;=100000,INDEX($AC$1005:$AS$1005,1,MATCH(COLUMNS($AC$1006:AO1006),$AC$1006:$AS$1006,0))&gt;=100000), " ",IF(INDEX($AC$2:$AS$1001,MATCH(ROWS($V$2:V93),$V$2:$V$1001,0),MATCH(COLUMNS($AC$1006:AO1006),$AC$1006:$AS$1006,0)), HYPERLINK("#",""), HYPERLINK(CONCATENATE("#Metadata!", ADDRESS(INDEX($X$2:$X$1001,MATCH(ROWS($V$2:V93),$V$2:$V$1001,0),0), INDEX($AC$1004:$AS$1004,1,MATCH(COLUMNS($AC$1006:AO1006),$AC$1006:$AS$1006,0)))),"Fix")))</f>
        <v>0</v>
      </c>
      <c r="O93" s="5">
        <f>IF(OR(INDEX($W$2:$W$1001,MATCH(ROWS($V$2:V93),$V$2:$V$1001,0),1)&gt;=100000,INDEX($AC$1005:$AS$1005,1,MATCH(COLUMNS($AC$1006:AP1006),$AC$1006:$AS$1006,0))&gt;=100000), " ",IF(INDEX($AC$2:$AS$1001,MATCH(ROWS($V$2:V93),$V$2:$V$1001,0),MATCH(COLUMNS($AC$1006:AP1006),$AC$1006:$AS$1006,0)), HYPERLINK("#",""), HYPERLINK(CONCATENATE("#Metadata!", ADDRESS(INDEX($X$2:$X$1001,MATCH(ROWS($V$2:V93),$V$2:$V$1001,0),0), INDEX($AC$1004:$AS$1004,1,MATCH(COLUMNS($AC$1006:AP1006),$AC$1006:$AS$1006,0)))),"Fix")))</f>
        <v>0</v>
      </c>
      <c r="P93" s="5">
        <f>IF(OR(INDEX($W$2:$W$1001,MATCH(ROWS($V$2:V93),$V$2:$V$1001,0),1)&gt;=100000,INDEX($AC$1005:$AS$1005,1,MATCH(COLUMNS($AC$1006:AQ1006),$AC$1006:$AS$1006,0))&gt;=100000), " ",IF(INDEX($AC$2:$AS$1001,MATCH(ROWS($V$2:V93),$V$2:$V$1001,0),MATCH(COLUMNS($AC$1006:AQ1006),$AC$1006:$AS$1006,0)), HYPERLINK("#",""), HYPERLINK(CONCATENATE("#Metadata!", ADDRESS(INDEX($X$2:$X$1001,MATCH(ROWS($V$2:V93),$V$2:$V$1001,0),0), INDEX($AC$1004:$AS$1004,1,MATCH(COLUMNS($AC$1006:AQ1006),$AC$1006:$AS$1006,0)))),"Fix")))</f>
        <v>0</v>
      </c>
      <c r="Q93" s="5">
        <f>IF(OR(INDEX($W$2:$W$1001,MATCH(ROWS($V$2:V93),$V$2:$V$1001,0),1)&gt;=100000,INDEX($AC$1005:$AS$1005,1,MATCH(COLUMNS($AC$1006:AR1006),$AC$1006:$AS$1006,0))&gt;=100000), " ",IF(INDEX($AC$2:$AS$1001,MATCH(ROWS($V$2:V93),$V$2:$V$1001,0),MATCH(COLUMNS($AC$1006:AR1006),$AC$1006:$AS$1006,0)), HYPERLINK("#",""), HYPERLINK(CONCATENATE("#Metadata!", ADDRESS(INDEX($X$2:$X$1001,MATCH(ROWS($V$2:V93),$V$2:$V$1001,0),0), INDEX($AC$1004:$AS$1004,1,MATCH(COLUMNS($AC$1006:AR1006),$AC$1006:$AS$1006,0)))),"Fix")))</f>
        <v>0</v>
      </c>
      <c r="R93" s="5">
        <f>IF(OR(INDEX($W$2:$W$1001,MATCH(ROWS($V$2:V93),$V$2:$V$1001,0),1)&gt;=100000,INDEX($AC$1005:$AS$1005,1,MATCH(COLUMNS($AC$1006:AS1006),$AC$1006:$AS$1006,0))&gt;=100000), " ",IF(INDEX($AC$2:$AS$1001,MATCH(ROWS($V$2:V93),$V$2:$V$1001,0),MATCH(COLUMNS($AC$1006:AS1006),$AC$1006:$AS$1006,0)), HYPERLINK("#",""), HYPERLINK(CONCATENATE("#Metadata!", ADDRESS(INDEX($X$2:$X$1001,MATCH(ROWS($V$2:V93),$V$2:$V$1001,0),0), INDEX($AC$1004:$AS$1004,1,MATCH(COLUMNS($AC$1006:AS1006),$AC$1006:$AS$1006,0)))),"Fix")))</f>
        <v>0</v>
      </c>
      <c r="V93">
        <v>0</v>
      </c>
      <c r="W93">
        <v>0</v>
      </c>
      <c r="X93">
        <v>0</v>
      </c>
      <c r="Y93">
        <f>IF(Z93,TRUE,AND(AC93:AS93))</f>
        <v>0</v>
      </c>
      <c r="Z93">
        <f>COUNTBLANK(Metadata!B93:R93)=COLUMNS(Metadata!B93:R93)</f>
        <v>0</v>
      </c>
      <c r="AA93">
        <v>0</v>
      </c>
      <c r="AC93">
        <f>AND(IF(Metadata!B93="",FALSE,TRUE),COUNTIF(Metadata!B:B, Metadata!B93) = 1,NOT(ISERROR(SUMPRODUCT(SEARCH(MID(Metadata!B93,ROW(INDIRECT("1:"&amp;LEN(Metadata!B93))), 1),"0123456789abcdefghijklmnopqrstuvwxyzABCDEFGHIJKLMNOPQRSTUVWXYZ.")))))</f>
        <v>0</v>
      </c>
      <c r="AD93">
        <f>AND(IF(Metadata!C93="",FALSE,TRUE),exact(Metadata!C93,"Host-associated"))</f>
        <v>0</v>
      </c>
      <c r="AE93">
        <f>AND(IF(Metadata!D93="",FALSE,TRUE),OR(exact(Metadata!D93,"Animal"),exact(Metadata!D93,"Fungus"),exact(Metadata!D93,"Plant")))</f>
        <v>0</v>
      </c>
      <c r="AF93">
        <f>AND(IF(Metadata!E93="",FALSE,TRUE),OR(exact(Metadata!E93,"Plant secretion"),exact(Metadata!E93,"Plant rhizosphere"),exact(Metadata!E93,"Plant surface"),exact(Metadata!E93,"Plant corpus"),exact(Metadata!E93,"Fungus surface"),exact(Metadata!E93,"Fungus corpus"),exact(Metadata!E93,"Animal surface"),exact(Metadata!E93,"Animal proximal gut"),exact(Metadata!E93,"Animal corpus"),exact(Metadata!E93,"Animal distal gut"),exact(Metadata!E93,"Animal secretion")))</f>
        <v>0</v>
      </c>
      <c r="AG93">
        <f>OR(AND(IF(Metadata!F93="",FALSE,TRUE),OR(exact(Metadata!F93,"not collected"),exact(Metadata!F93,"not provided"),exact(Metadata!F93,"restricted access"))),AND(IF(Metadata!F93="",FALSE,TRUE),OR(exact(Metadata!F93,"organism-associated habitat"),exact(Metadata!F93,"plant-associated habitat"),exact(Metadata!F93,"animal-associated habitat"),exact(Metadata!F93,"insecta-associated habitat"),exact(Metadata!F93,"mammalia-associated habitat"),exact(Metadata!F93,"human-associated habitat"),exact(Metadata!F93,"livestock-associated habitat"))))</f>
        <v>0</v>
      </c>
      <c r="AH93">
        <f>AND(IF(Metadata!G93="",FALSE,TRUE),exact(Metadata!G93,"host-associated"))</f>
        <v>0</v>
      </c>
      <c r="AI93">
        <f>OR(AND(IF(Metadata!H93="",FALSE,TRUE),OR(exact(Metadata!H93,"not collected"),exact(Metadata!H93,"not provided"))),AND(IF(Metadata!H93="",FALSE,ISNUMBER(VALUE(Metadata!H93))),Metadata!H93&gt;0))</f>
        <v>0</v>
      </c>
      <c r="AJ93">
        <f>AND(IF(Metadata!I93="",FALSE,TRUE),exact(Metadata!I93,"years"))</f>
        <v>0</v>
      </c>
      <c r="AK93">
        <f>IF(Metadata!J93="",FALSE,TRUE)</f>
        <v>0</v>
      </c>
      <c r="AL93">
        <f>OR(AND(IF(Metadata!K93="",FALSE,TRUE),OR(exact(Metadata!K93,"not collected"),exact(Metadata!K93,"not provided"))),AND(IF(Metadata!K93="",FALSE,ISNUMBER(VALUE(Metadata!K93))),Metadata!K93&gt;0))</f>
        <v>0</v>
      </c>
      <c r="AM93">
        <f>AND(IF(Metadata!L93="",FALSE,TRUE),exact(Metadata!L93,"cm"))</f>
        <v>0</v>
      </c>
      <c r="AN93">
        <f>IF(Metadata!M93="",FALSE,TRUE)</f>
        <v>0</v>
      </c>
      <c r="AO93">
        <f>OR(AND(IF(Metadata!N93="",FALSE,TRUE),OR(exact(Metadata!N93,"not applicable"),exact(Metadata!N93,"not collected"),exact(Metadata!N93,"not provided"))),AND(IF(Metadata!N93="",FALSE,IF(ISERROR(INT(Metadata!N93)),FALSE,INT(Metadata!N93)=Metadata!N93)),Metadata!N93&gt;0))</f>
        <v>0</v>
      </c>
      <c r="AP93">
        <f>OR(AND(IF(Metadata!O93="",FALSE,TRUE),OR(exact(Metadata!O93,"not collected"),exact(Metadata!O93,"not provided"))),AND(IF(Metadata!O93="",FALSE,ISNUMBER(VALUE(Metadata!O93))),Metadata!O93&gt;0))</f>
        <v>0</v>
      </c>
      <c r="AQ93">
        <f>AND(IF(Metadata!P93="",FALSE,TRUE),exact(Metadata!P93,"kg"))</f>
        <v>0</v>
      </c>
      <c r="AR93">
        <f>OR(AND(IF(Metadata!Q93="",FALSE,TRUE),OR(exact(Metadata!Q93,"not applicable"),exact(Metadata!Q93,"not collected"),exact(Metadata!Q93,"not provided"),exact(Metadata!Q93,"restricted access"))),IF(Metadata!Q93="",FALSE,IF(ISERROR(INT(Metadata!Q93)),FALSE,INT(Metadata!Q93)=Metadata!Q93)))</f>
        <v>0</v>
      </c>
      <c r="AS93">
        <f>AND(IF(Metadata!R93="",FALSE,TRUE),exact(Metadata!R93,"Not applicable"))</f>
        <v>0</v>
      </c>
    </row>
    <row r="94" spans="1:45">
      <c r="A94" s="4">
        <f>IF(B94=" "," ",HYPERLINK(CONCATENATE("#metadata!",ADDRESS(INDEX($X$2:$X$1001,MATCH(ROWS($V$2:V94),$V$2:$V$1001,0),0),2)),INDEX($AA$2:$AA$1001,MATCH(ROWS($V$2:V94),$V$2:$V$1001,0),0)))</f>
        <v>0</v>
      </c>
      <c r="B94" s="5">
        <f>IF(OR(INDEX($W$2:$W$1001,MATCH(ROWS($V$2:V94),$V$2:$V$1001,0),1)&gt;=100000,INDEX($AC$1005:$AS$1005,1,MATCH(COLUMNS($AC$1006:AC1006),$AC$1006:$AS$1006,0))&gt;=100000), " ",IF(INDEX($AC$2:$AS$1001,MATCH(ROWS($V$2:V94),$V$2:$V$1001,0),MATCH(COLUMNS($AC$1006:AC1006),$AC$1006:$AS$1006,0)), HYPERLINK("#",""), HYPERLINK(CONCATENATE("#Metadata!", ADDRESS(INDEX($X$2:$X$1001,MATCH(ROWS($V$2:V94),$V$2:$V$1001,0),0), INDEX($AC$1004:$AS$1004,1,MATCH(COLUMNS($AC$1006:AC1006),$AC$1006:$AS$1006,0)))),"Fix")))</f>
        <v>0</v>
      </c>
      <c r="C94" s="5">
        <f>IF(OR(INDEX($W$2:$W$1001,MATCH(ROWS($V$2:V94),$V$2:$V$1001,0),1)&gt;=100000,INDEX($AC$1005:$AS$1005,1,MATCH(COLUMNS($AC$1006:AD1006),$AC$1006:$AS$1006,0))&gt;=100000), " ",IF(INDEX($AC$2:$AS$1001,MATCH(ROWS($V$2:V94),$V$2:$V$1001,0),MATCH(COLUMNS($AC$1006:AD1006),$AC$1006:$AS$1006,0)), HYPERLINK("#",""), HYPERLINK(CONCATENATE("#Metadata!", ADDRESS(INDEX($X$2:$X$1001,MATCH(ROWS($V$2:V94),$V$2:$V$1001,0),0), INDEX($AC$1004:$AS$1004,1,MATCH(COLUMNS($AC$1006:AD1006),$AC$1006:$AS$1006,0)))),"Fix")))</f>
        <v>0</v>
      </c>
      <c r="D94" s="5">
        <f>IF(OR(INDEX($W$2:$W$1001,MATCH(ROWS($V$2:V94),$V$2:$V$1001,0),1)&gt;=100000,INDEX($AC$1005:$AS$1005,1,MATCH(COLUMNS($AC$1006:AE1006),$AC$1006:$AS$1006,0))&gt;=100000), " ",IF(INDEX($AC$2:$AS$1001,MATCH(ROWS($V$2:V94),$V$2:$V$1001,0),MATCH(COLUMNS($AC$1006:AE1006),$AC$1006:$AS$1006,0)), HYPERLINK("#",""), HYPERLINK(CONCATENATE("#Metadata!", ADDRESS(INDEX($X$2:$X$1001,MATCH(ROWS($V$2:V94),$V$2:$V$1001,0),0), INDEX($AC$1004:$AS$1004,1,MATCH(COLUMNS($AC$1006:AE1006),$AC$1006:$AS$1006,0)))),"Fix")))</f>
        <v>0</v>
      </c>
      <c r="E94" s="5">
        <f>IF(OR(INDEX($W$2:$W$1001,MATCH(ROWS($V$2:V94),$V$2:$V$1001,0),1)&gt;=100000,INDEX($AC$1005:$AS$1005,1,MATCH(COLUMNS($AC$1006:AF1006),$AC$1006:$AS$1006,0))&gt;=100000), " ",IF(INDEX($AC$2:$AS$1001,MATCH(ROWS($V$2:V94),$V$2:$V$1001,0),MATCH(COLUMNS($AC$1006:AF1006),$AC$1006:$AS$1006,0)), HYPERLINK("#",""), HYPERLINK(CONCATENATE("#Metadata!", ADDRESS(INDEX($X$2:$X$1001,MATCH(ROWS($V$2:V94),$V$2:$V$1001,0),0), INDEX($AC$1004:$AS$1004,1,MATCH(COLUMNS($AC$1006:AF1006),$AC$1006:$AS$1006,0)))),"Fix")))</f>
        <v>0</v>
      </c>
      <c r="F94" s="5">
        <f>IF(OR(INDEX($W$2:$W$1001,MATCH(ROWS($V$2:V94),$V$2:$V$1001,0),1)&gt;=100000,INDEX($AC$1005:$AS$1005,1,MATCH(COLUMNS($AC$1006:AG1006),$AC$1006:$AS$1006,0))&gt;=100000), " ",IF(INDEX($AC$2:$AS$1001,MATCH(ROWS($V$2:V94),$V$2:$V$1001,0),MATCH(COLUMNS($AC$1006:AG1006),$AC$1006:$AS$1006,0)), HYPERLINK("#",""), HYPERLINK(CONCATENATE("#Metadata!", ADDRESS(INDEX($X$2:$X$1001,MATCH(ROWS($V$2:V94),$V$2:$V$1001,0),0), INDEX($AC$1004:$AS$1004,1,MATCH(COLUMNS($AC$1006:AG1006),$AC$1006:$AS$1006,0)))),"Fix")))</f>
        <v>0</v>
      </c>
      <c r="G94" s="5">
        <f>IF(OR(INDEX($W$2:$W$1001,MATCH(ROWS($V$2:V94),$V$2:$V$1001,0),1)&gt;=100000,INDEX($AC$1005:$AS$1005,1,MATCH(COLUMNS($AC$1006:AH1006),$AC$1006:$AS$1006,0))&gt;=100000), " ",IF(INDEX($AC$2:$AS$1001,MATCH(ROWS($V$2:V94),$V$2:$V$1001,0),MATCH(COLUMNS($AC$1006:AH1006),$AC$1006:$AS$1006,0)), HYPERLINK("#",""), HYPERLINK(CONCATENATE("#Metadata!", ADDRESS(INDEX($X$2:$X$1001,MATCH(ROWS($V$2:V94),$V$2:$V$1001,0),0), INDEX($AC$1004:$AS$1004,1,MATCH(COLUMNS($AC$1006:AH1006),$AC$1006:$AS$1006,0)))),"Fix")))</f>
        <v>0</v>
      </c>
      <c r="H94" s="5">
        <f>IF(OR(INDEX($W$2:$W$1001,MATCH(ROWS($V$2:V94),$V$2:$V$1001,0),1)&gt;=100000,INDEX($AC$1005:$AS$1005,1,MATCH(COLUMNS($AC$1006:AI1006),$AC$1006:$AS$1006,0))&gt;=100000), " ",IF(INDEX($AC$2:$AS$1001,MATCH(ROWS($V$2:V94),$V$2:$V$1001,0),MATCH(COLUMNS($AC$1006:AI1006),$AC$1006:$AS$1006,0)), HYPERLINK("#",""), HYPERLINK(CONCATENATE("#Metadata!", ADDRESS(INDEX($X$2:$X$1001,MATCH(ROWS($V$2:V94),$V$2:$V$1001,0),0), INDEX($AC$1004:$AS$1004,1,MATCH(COLUMNS($AC$1006:AI1006),$AC$1006:$AS$1006,0)))),"Fix")))</f>
        <v>0</v>
      </c>
      <c r="I94" s="5">
        <f>IF(OR(INDEX($W$2:$W$1001,MATCH(ROWS($V$2:V94),$V$2:$V$1001,0),1)&gt;=100000,INDEX($AC$1005:$AS$1005,1,MATCH(COLUMNS($AC$1006:AJ1006),$AC$1006:$AS$1006,0))&gt;=100000), " ",IF(INDEX($AC$2:$AS$1001,MATCH(ROWS($V$2:V94),$V$2:$V$1001,0),MATCH(COLUMNS($AC$1006:AJ1006),$AC$1006:$AS$1006,0)), HYPERLINK("#",""), HYPERLINK(CONCATENATE("#Metadata!", ADDRESS(INDEX($X$2:$X$1001,MATCH(ROWS($V$2:V94),$V$2:$V$1001,0),0), INDEX($AC$1004:$AS$1004,1,MATCH(COLUMNS($AC$1006:AJ1006),$AC$1006:$AS$1006,0)))),"Fix")))</f>
        <v>0</v>
      </c>
      <c r="J94" s="5">
        <f>IF(OR(INDEX($W$2:$W$1001,MATCH(ROWS($V$2:V94),$V$2:$V$1001,0),1)&gt;=100000,INDEX($AC$1005:$AS$1005,1,MATCH(COLUMNS($AC$1006:AK1006),$AC$1006:$AS$1006,0))&gt;=100000), " ",IF(INDEX($AC$2:$AS$1001,MATCH(ROWS($V$2:V94),$V$2:$V$1001,0),MATCH(COLUMNS($AC$1006:AK1006),$AC$1006:$AS$1006,0)), HYPERLINK("#",""), HYPERLINK(CONCATENATE("#Metadata!", ADDRESS(INDEX($X$2:$X$1001,MATCH(ROWS($V$2:V94),$V$2:$V$1001,0),0), INDEX($AC$1004:$AS$1004,1,MATCH(COLUMNS($AC$1006:AK1006),$AC$1006:$AS$1006,0)))),"Fix")))</f>
        <v>0</v>
      </c>
      <c r="K94" s="5">
        <f>IF(OR(INDEX($W$2:$W$1001,MATCH(ROWS($V$2:V94),$V$2:$V$1001,0),1)&gt;=100000,INDEX($AC$1005:$AS$1005,1,MATCH(COLUMNS($AC$1006:AL1006),$AC$1006:$AS$1006,0))&gt;=100000), " ",IF(INDEX($AC$2:$AS$1001,MATCH(ROWS($V$2:V94),$V$2:$V$1001,0),MATCH(COLUMNS($AC$1006:AL1006),$AC$1006:$AS$1006,0)), HYPERLINK("#",""), HYPERLINK(CONCATENATE("#Metadata!", ADDRESS(INDEX($X$2:$X$1001,MATCH(ROWS($V$2:V94),$V$2:$V$1001,0),0), INDEX($AC$1004:$AS$1004,1,MATCH(COLUMNS($AC$1006:AL1006),$AC$1006:$AS$1006,0)))),"Fix")))</f>
        <v>0</v>
      </c>
      <c r="L94" s="5">
        <f>IF(OR(INDEX($W$2:$W$1001,MATCH(ROWS($V$2:V94),$V$2:$V$1001,0),1)&gt;=100000,INDEX($AC$1005:$AS$1005,1,MATCH(COLUMNS($AC$1006:AM1006),$AC$1006:$AS$1006,0))&gt;=100000), " ",IF(INDEX($AC$2:$AS$1001,MATCH(ROWS($V$2:V94),$V$2:$V$1001,0),MATCH(COLUMNS($AC$1006:AM1006),$AC$1006:$AS$1006,0)), HYPERLINK("#",""), HYPERLINK(CONCATENATE("#Metadata!", ADDRESS(INDEX($X$2:$X$1001,MATCH(ROWS($V$2:V94),$V$2:$V$1001,0),0), INDEX($AC$1004:$AS$1004,1,MATCH(COLUMNS($AC$1006:AM1006),$AC$1006:$AS$1006,0)))),"Fix")))</f>
        <v>0</v>
      </c>
      <c r="M94" s="5">
        <f>IF(OR(INDEX($W$2:$W$1001,MATCH(ROWS($V$2:V94),$V$2:$V$1001,0),1)&gt;=100000,INDEX($AC$1005:$AS$1005,1,MATCH(COLUMNS($AC$1006:AN1006),$AC$1006:$AS$1006,0))&gt;=100000), " ",IF(INDEX($AC$2:$AS$1001,MATCH(ROWS($V$2:V94),$V$2:$V$1001,0),MATCH(COLUMNS($AC$1006:AN1006),$AC$1006:$AS$1006,0)), HYPERLINK("#",""), HYPERLINK(CONCATENATE("#Metadata!", ADDRESS(INDEX($X$2:$X$1001,MATCH(ROWS($V$2:V94),$V$2:$V$1001,0),0), INDEX($AC$1004:$AS$1004,1,MATCH(COLUMNS($AC$1006:AN1006),$AC$1006:$AS$1006,0)))),"Fix")))</f>
        <v>0</v>
      </c>
      <c r="N94" s="5">
        <f>IF(OR(INDEX($W$2:$W$1001,MATCH(ROWS($V$2:V94),$V$2:$V$1001,0),1)&gt;=100000,INDEX($AC$1005:$AS$1005,1,MATCH(COLUMNS($AC$1006:AO1006),$AC$1006:$AS$1006,0))&gt;=100000), " ",IF(INDEX($AC$2:$AS$1001,MATCH(ROWS($V$2:V94),$V$2:$V$1001,0),MATCH(COLUMNS($AC$1006:AO1006),$AC$1006:$AS$1006,0)), HYPERLINK("#",""), HYPERLINK(CONCATENATE("#Metadata!", ADDRESS(INDEX($X$2:$X$1001,MATCH(ROWS($V$2:V94),$V$2:$V$1001,0),0), INDEX($AC$1004:$AS$1004,1,MATCH(COLUMNS($AC$1006:AO1006),$AC$1006:$AS$1006,0)))),"Fix")))</f>
        <v>0</v>
      </c>
      <c r="O94" s="5">
        <f>IF(OR(INDEX($W$2:$W$1001,MATCH(ROWS($V$2:V94),$V$2:$V$1001,0),1)&gt;=100000,INDEX($AC$1005:$AS$1005,1,MATCH(COLUMNS($AC$1006:AP1006),$AC$1006:$AS$1006,0))&gt;=100000), " ",IF(INDEX($AC$2:$AS$1001,MATCH(ROWS($V$2:V94),$V$2:$V$1001,0),MATCH(COLUMNS($AC$1006:AP1006),$AC$1006:$AS$1006,0)), HYPERLINK("#",""), HYPERLINK(CONCATENATE("#Metadata!", ADDRESS(INDEX($X$2:$X$1001,MATCH(ROWS($V$2:V94),$V$2:$V$1001,0),0), INDEX($AC$1004:$AS$1004,1,MATCH(COLUMNS($AC$1006:AP1006),$AC$1006:$AS$1006,0)))),"Fix")))</f>
        <v>0</v>
      </c>
      <c r="P94" s="5">
        <f>IF(OR(INDEX($W$2:$W$1001,MATCH(ROWS($V$2:V94),$V$2:$V$1001,0),1)&gt;=100000,INDEX($AC$1005:$AS$1005,1,MATCH(COLUMNS($AC$1006:AQ1006),$AC$1006:$AS$1006,0))&gt;=100000), " ",IF(INDEX($AC$2:$AS$1001,MATCH(ROWS($V$2:V94),$V$2:$V$1001,0),MATCH(COLUMNS($AC$1006:AQ1006),$AC$1006:$AS$1006,0)), HYPERLINK("#",""), HYPERLINK(CONCATENATE("#Metadata!", ADDRESS(INDEX($X$2:$X$1001,MATCH(ROWS($V$2:V94),$V$2:$V$1001,0),0), INDEX($AC$1004:$AS$1004,1,MATCH(COLUMNS($AC$1006:AQ1006),$AC$1006:$AS$1006,0)))),"Fix")))</f>
        <v>0</v>
      </c>
      <c r="Q94" s="5">
        <f>IF(OR(INDEX($W$2:$W$1001,MATCH(ROWS($V$2:V94),$V$2:$V$1001,0),1)&gt;=100000,INDEX($AC$1005:$AS$1005,1,MATCH(COLUMNS($AC$1006:AR1006),$AC$1006:$AS$1006,0))&gt;=100000), " ",IF(INDEX($AC$2:$AS$1001,MATCH(ROWS($V$2:V94),$V$2:$V$1001,0),MATCH(COLUMNS($AC$1006:AR1006),$AC$1006:$AS$1006,0)), HYPERLINK("#",""), HYPERLINK(CONCATENATE("#Metadata!", ADDRESS(INDEX($X$2:$X$1001,MATCH(ROWS($V$2:V94),$V$2:$V$1001,0),0), INDEX($AC$1004:$AS$1004,1,MATCH(COLUMNS($AC$1006:AR1006),$AC$1006:$AS$1006,0)))),"Fix")))</f>
        <v>0</v>
      </c>
      <c r="R94" s="5">
        <f>IF(OR(INDEX($W$2:$W$1001,MATCH(ROWS($V$2:V94),$V$2:$V$1001,0),1)&gt;=100000,INDEX($AC$1005:$AS$1005,1,MATCH(COLUMNS($AC$1006:AS1006),$AC$1006:$AS$1006,0))&gt;=100000), " ",IF(INDEX($AC$2:$AS$1001,MATCH(ROWS($V$2:V94),$V$2:$V$1001,0),MATCH(COLUMNS($AC$1006:AS1006),$AC$1006:$AS$1006,0)), HYPERLINK("#",""), HYPERLINK(CONCATENATE("#Metadata!", ADDRESS(INDEX($X$2:$X$1001,MATCH(ROWS($V$2:V94),$V$2:$V$1001,0),0), INDEX($AC$1004:$AS$1004,1,MATCH(COLUMNS($AC$1006:AS1006),$AC$1006:$AS$1006,0)))),"Fix")))</f>
        <v>0</v>
      </c>
      <c r="V94">
        <v>0</v>
      </c>
      <c r="W94">
        <v>0</v>
      </c>
      <c r="X94">
        <v>0</v>
      </c>
      <c r="Y94">
        <f>IF(Z94,TRUE,AND(AC94:AS94))</f>
        <v>0</v>
      </c>
      <c r="Z94">
        <f>COUNTBLANK(Metadata!B94:R94)=COLUMNS(Metadata!B94:R94)</f>
        <v>0</v>
      </c>
      <c r="AA94">
        <v>0</v>
      </c>
      <c r="AC94">
        <f>AND(IF(Metadata!B94="",FALSE,TRUE),COUNTIF(Metadata!B:B, Metadata!B94) = 1,NOT(ISERROR(SUMPRODUCT(SEARCH(MID(Metadata!B94,ROW(INDIRECT("1:"&amp;LEN(Metadata!B94))), 1),"0123456789abcdefghijklmnopqrstuvwxyzABCDEFGHIJKLMNOPQRSTUVWXYZ.")))))</f>
        <v>0</v>
      </c>
      <c r="AD94">
        <f>AND(IF(Metadata!C94="",FALSE,TRUE),exact(Metadata!C94,"Host-associated"))</f>
        <v>0</v>
      </c>
      <c r="AE94">
        <f>AND(IF(Metadata!D94="",FALSE,TRUE),OR(exact(Metadata!D94,"Animal"),exact(Metadata!D94,"Fungus"),exact(Metadata!D94,"Plant")))</f>
        <v>0</v>
      </c>
      <c r="AF94">
        <f>AND(IF(Metadata!E94="",FALSE,TRUE),OR(exact(Metadata!E94,"Plant secretion"),exact(Metadata!E94,"Plant rhizosphere"),exact(Metadata!E94,"Plant surface"),exact(Metadata!E94,"Plant corpus"),exact(Metadata!E94,"Fungus surface"),exact(Metadata!E94,"Fungus corpus"),exact(Metadata!E94,"Animal surface"),exact(Metadata!E94,"Animal proximal gut"),exact(Metadata!E94,"Animal corpus"),exact(Metadata!E94,"Animal distal gut"),exact(Metadata!E94,"Animal secretion")))</f>
        <v>0</v>
      </c>
      <c r="AG94">
        <f>OR(AND(IF(Metadata!F94="",FALSE,TRUE),OR(exact(Metadata!F94,"not collected"),exact(Metadata!F94,"not provided"),exact(Metadata!F94,"restricted access"))),AND(IF(Metadata!F94="",FALSE,TRUE),OR(exact(Metadata!F94,"organism-associated habitat"),exact(Metadata!F94,"plant-associated habitat"),exact(Metadata!F94,"animal-associated habitat"),exact(Metadata!F94,"insecta-associated habitat"),exact(Metadata!F94,"mammalia-associated habitat"),exact(Metadata!F94,"human-associated habitat"),exact(Metadata!F94,"livestock-associated habitat"))))</f>
        <v>0</v>
      </c>
      <c r="AH94">
        <f>AND(IF(Metadata!G94="",FALSE,TRUE),exact(Metadata!G94,"host-associated"))</f>
        <v>0</v>
      </c>
      <c r="AI94">
        <f>OR(AND(IF(Metadata!H94="",FALSE,TRUE),OR(exact(Metadata!H94,"not collected"),exact(Metadata!H94,"not provided"))),AND(IF(Metadata!H94="",FALSE,ISNUMBER(VALUE(Metadata!H94))),Metadata!H94&gt;0))</f>
        <v>0</v>
      </c>
      <c r="AJ94">
        <f>AND(IF(Metadata!I94="",FALSE,TRUE),exact(Metadata!I94,"years"))</f>
        <v>0</v>
      </c>
      <c r="AK94">
        <f>IF(Metadata!J94="",FALSE,TRUE)</f>
        <v>0</v>
      </c>
      <c r="AL94">
        <f>OR(AND(IF(Metadata!K94="",FALSE,TRUE),OR(exact(Metadata!K94,"not collected"),exact(Metadata!K94,"not provided"))),AND(IF(Metadata!K94="",FALSE,ISNUMBER(VALUE(Metadata!K94))),Metadata!K94&gt;0))</f>
        <v>0</v>
      </c>
      <c r="AM94">
        <f>AND(IF(Metadata!L94="",FALSE,TRUE),exact(Metadata!L94,"cm"))</f>
        <v>0</v>
      </c>
      <c r="AN94">
        <f>IF(Metadata!M94="",FALSE,TRUE)</f>
        <v>0</v>
      </c>
      <c r="AO94">
        <f>OR(AND(IF(Metadata!N94="",FALSE,TRUE),OR(exact(Metadata!N94,"not applicable"),exact(Metadata!N94,"not collected"),exact(Metadata!N94,"not provided"))),AND(IF(Metadata!N94="",FALSE,IF(ISERROR(INT(Metadata!N94)),FALSE,INT(Metadata!N94)=Metadata!N94)),Metadata!N94&gt;0))</f>
        <v>0</v>
      </c>
      <c r="AP94">
        <f>OR(AND(IF(Metadata!O94="",FALSE,TRUE),OR(exact(Metadata!O94,"not collected"),exact(Metadata!O94,"not provided"))),AND(IF(Metadata!O94="",FALSE,ISNUMBER(VALUE(Metadata!O94))),Metadata!O94&gt;0))</f>
        <v>0</v>
      </c>
      <c r="AQ94">
        <f>AND(IF(Metadata!P94="",FALSE,TRUE),exact(Metadata!P94,"kg"))</f>
        <v>0</v>
      </c>
      <c r="AR94">
        <f>OR(AND(IF(Metadata!Q94="",FALSE,TRUE),OR(exact(Metadata!Q94,"not applicable"),exact(Metadata!Q94,"not collected"),exact(Metadata!Q94,"not provided"),exact(Metadata!Q94,"restricted access"))),IF(Metadata!Q94="",FALSE,IF(ISERROR(INT(Metadata!Q94)),FALSE,INT(Metadata!Q94)=Metadata!Q94)))</f>
        <v>0</v>
      </c>
      <c r="AS94">
        <f>AND(IF(Metadata!R94="",FALSE,TRUE),exact(Metadata!R94,"Not applicable"))</f>
        <v>0</v>
      </c>
    </row>
    <row r="95" spans="1:45">
      <c r="A95" s="4">
        <f>IF(B95=" "," ",HYPERLINK(CONCATENATE("#metadata!",ADDRESS(INDEX($X$2:$X$1001,MATCH(ROWS($V$2:V95),$V$2:$V$1001,0),0),2)),INDEX($AA$2:$AA$1001,MATCH(ROWS($V$2:V95),$V$2:$V$1001,0),0)))</f>
        <v>0</v>
      </c>
      <c r="B95" s="5">
        <f>IF(OR(INDEX($W$2:$W$1001,MATCH(ROWS($V$2:V95),$V$2:$V$1001,0),1)&gt;=100000,INDEX($AC$1005:$AS$1005,1,MATCH(COLUMNS($AC$1006:AC1006),$AC$1006:$AS$1006,0))&gt;=100000), " ",IF(INDEX($AC$2:$AS$1001,MATCH(ROWS($V$2:V95),$V$2:$V$1001,0),MATCH(COLUMNS($AC$1006:AC1006),$AC$1006:$AS$1006,0)), HYPERLINK("#",""), HYPERLINK(CONCATENATE("#Metadata!", ADDRESS(INDEX($X$2:$X$1001,MATCH(ROWS($V$2:V95),$V$2:$V$1001,0),0), INDEX($AC$1004:$AS$1004,1,MATCH(COLUMNS($AC$1006:AC1006),$AC$1006:$AS$1006,0)))),"Fix")))</f>
        <v>0</v>
      </c>
      <c r="C95" s="5">
        <f>IF(OR(INDEX($W$2:$W$1001,MATCH(ROWS($V$2:V95),$V$2:$V$1001,0),1)&gt;=100000,INDEX($AC$1005:$AS$1005,1,MATCH(COLUMNS($AC$1006:AD1006),$AC$1006:$AS$1006,0))&gt;=100000), " ",IF(INDEX($AC$2:$AS$1001,MATCH(ROWS($V$2:V95),$V$2:$V$1001,0),MATCH(COLUMNS($AC$1006:AD1006),$AC$1006:$AS$1006,0)), HYPERLINK("#",""), HYPERLINK(CONCATENATE("#Metadata!", ADDRESS(INDEX($X$2:$X$1001,MATCH(ROWS($V$2:V95),$V$2:$V$1001,0),0), INDEX($AC$1004:$AS$1004,1,MATCH(COLUMNS($AC$1006:AD1006),$AC$1006:$AS$1006,0)))),"Fix")))</f>
        <v>0</v>
      </c>
      <c r="D95" s="5">
        <f>IF(OR(INDEX($W$2:$W$1001,MATCH(ROWS($V$2:V95),$V$2:$V$1001,0),1)&gt;=100000,INDEX($AC$1005:$AS$1005,1,MATCH(COLUMNS($AC$1006:AE1006),$AC$1006:$AS$1006,0))&gt;=100000), " ",IF(INDEX($AC$2:$AS$1001,MATCH(ROWS($V$2:V95),$V$2:$V$1001,0),MATCH(COLUMNS($AC$1006:AE1006),$AC$1006:$AS$1006,0)), HYPERLINK("#",""), HYPERLINK(CONCATENATE("#Metadata!", ADDRESS(INDEX($X$2:$X$1001,MATCH(ROWS($V$2:V95),$V$2:$V$1001,0),0), INDEX($AC$1004:$AS$1004,1,MATCH(COLUMNS($AC$1006:AE1006),$AC$1006:$AS$1006,0)))),"Fix")))</f>
        <v>0</v>
      </c>
      <c r="E95" s="5">
        <f>IF(OR(INDEX($W$2:$W$1001,MATCH(ROWS($V$2:V95),$V$2:$V$1001,0),1)&gt;=100000,INDEX($AC$1005:$AS$1005,1,MATCH(COLUMNS($AC$1006:AF1006),$AC$1006:$AS$1006,0))&gt;=100000), " ",IF(INDEX($AC$2:$AS$1001,MATCH(ROWS($V$2:V95),$V$2:$V$1001,0),MATCH(COLUMNS($AC$1006:AF1006),$AC$1006:$AS$1006,0)), HYPERLINK("#",""), HYPERLINK(CONCATENATE("#Metadata!", ADDRESS(INDEX($X$2:$X$1001,MATCH(ROWS($V$2:V95),$V$2:$V$1001,0),0), INDEX($AC$1004:$AS$1004,1,MATCH(COLUMNS($AC$1006:AF1006),$AC$1006:$AS$1006,0)))),"Fix")))</f>
        <v>0</v>
      </c>
      <c r="F95" s="5">
        <f>IF(OR(INDEX($W$2:$W$1001,MATCH(ROWS($V$2:V95),$V$2:$V$1001,0),1)&gt;=100000,INDEX($AC$1005:$AS$1005,1,MATCH(COLUMNS($AC$1006:AG1006),$AC$1006:$AS$1006,0))&gt;=100000), " ",IF(INDEX($AC$2:$AS$1001,MATCH(ROWS($V$2:V95),$V$2:$V$1001,0),MATCH(COLUMNS($AC$1006:AG1006),$AC$1006:$AS$1006,0)), HYPERLINK("#",""), HYPERLINK(CONCATENATE("#Metadata!", ADDRESS(INDEX($X$2:$X$1001,MATCH(ROWS($V$2:V95),$V$2:$V$1001,0),0), INDEX($AC$1004:$AS$1004,1,MATCH(COLUMNS($AC$1006:AG1006),$AC$1006:$AS$1006,0)))),"Fix")))</f>
        <v>0</v>
      </c>
      <c r="G95" s="5">
        <f>IF(OR(INDEX($W$2:$W$1001,MATCH(ROWS($V$2:V95),$V$2:$V$1001,0),1)&gt;=100000,INDEX($AC$1005:$AS$1005,1,MATCH(COLUMNS($AC$1006:AH1006),$AC$1006:$AS$1006,0))&gt;=100000), " ",IF(INDEX($AC$2:$AS$1001,MATCH(ROWS($V$2:V95),$V$2:$V$1001,0),MATCH(COLUMNS($AC$1006:AH1006),$AC$1006:$AS$1006,0)), HYPERLINK("#",""), HYPERLINK(CONCATENATE("#Metadata!", ADDRESS(INDEX($X$2:$X$1001,MATCH(ROWS($V$2:V95),$V$2:$V$1001,0),0), INDEX($AC$1004:$AS$1004,1,MATCH(COLUMNS($AC$1006:AH1006),$AC$1006:$AS$1006,0)))),"Fix")))</f>
        <v>0</v>
      </c>
      <c r="H95" s="5">
        <f>IF(OR(INDEX($W$2:$W$1001,MATCH(ROWS($V$2:V95),$V$2:$V$1001,0),1)&gt;=100000,INDEX($AC$1005:$AS$1005,1,MATCH(COLUMNS($AC$1006:AI1006),$AC$1006:$AS$1006,0))&gt;=100000), " ",IF(INDEX($AC$2:$AS$1001,MATCH(ROWS($V$2:V95),$V$2:$V$1001,0),MATCH(COLUMNS($AC$1006:AI1006),$AC$1006:$AS$1006,0)), HYPERLINK("#",""), HYPERLINK(CONCATENATE("#Metadata!", ADDRESS(INDEX($X$2:$X$1001,MATCH(ROWS($V$2:V95),$V$2:$V$1001,0),0), INDEX($AC$1004:$AS$1004,1,MATCH(COLUMNS($AC$1006:AI1006),$AC$1006:$AS$1006,0)))),"Fix")))</f>
        <v>0</v>
      </c>
      <c r="I95" s="5">
        <f>IF(OR(INDEX($W$2:$W$1001,MATCH(ROWS($V$2:V95),$V$2:$V$1001,0),1)&gt;=100000,INDEX($AC$1005:$AS$1005,1,MATCH(COLUMNS($AC$1006:AJ1006),$AC$1006:$AS$1006,0))&gt;=100000), " ",IF(INDEX($AC$2:$AS$1001,MATCH(ROWS($V$2:V95),$V$2:$V$1001,0),MATCH(COLUMNS($AC$1006:AJ1006),$AC$1006:$AS$1006,0)), HYPERLINK("#",""), HYPERLINK(CONCATENATE("#Metadata!", ADDRESS(INDEX($X$2:$X$1001,MATCH(ROWS($V$2:V95),$V$2:$V$1001,0),0), INDEX($AC$1004:$AS$1004,1,MATCH(COLUMNS($AC$1006:AJ1006),$AC$1006:$AS$1006,0)))),"Fix")))</f>
        <v>0</v>
      </c>
      <c r="J95" s="5">
        <f>IF(OR(INDEX($W$2:$W$1001,MATCH(ROWS($V$2:V95),$V$2:$V$1001,0),1)&gt;=100000,INDEX($AC$1005:$AS$1005,1,MATCH(COLUMNS($AC$1006:AK1006),$AC$1006:$AS$1006,0))&gt;=100000), " ",IF(INDEX($AC$2:$AS$1001,MATCH(ROWS($V$2:V95),$V$2:$V$1001,0),MATCH(COLUMNS($AC$1006:AK1006),$AC$1006:$AS$1006,0)), HYPERLINK("#",""), HYPERLINK(CONCATENATE("#Metadata!", ADDRESS(INDEX($X$2:$X$1001,MATCH(ROWS($V$2:V95),$V$2:$V$1001,0),0), INDEX($AC$1004:$AS$1004,1,MATCH(COLUMNS($AC$1006:AK1006),$AC$1006:$AS$1006,0)))),"Fix")))</f>
        <v>0</v>
      </c>
      <c r="K95" s="5">
        <f>IF(OR(INDEX($W$2:$W$1001,MATCH(ROWS($V$2:V95),$V$2:$V$1001,0),1)&gt;=100000,INDEX($AC$1005:$AS$1005,1,MATCH(COLUMNS($AC$1006:AL1006),$AC$1006:$AS$1006,0))&gt;=100000), " ",IF(INDEX($AC$2:$AS$1001,MATCH(ROWS($V$2:V95),$V$2:$V$1001,0),MATCH(COLUMNS($AC$1006:AL1006),$AC$1006:$AS$1006,0)), HYPERLINK("#",""), HYPERLINK(CONCATENATE("#Metadata!", ADDRESS(INDEX($X$2:$X$1001,MATCH(ROWS($V$2:V95),$V$2:$V$1001,0),0), INDEX($AC$1004:$AS$1004,1,MATCH(COLUMNS($AC$1006:AL1006),$AC$1006:$AS$1006,0)))),"Fix")))</f>
        <v>0</v>
      </c>
      <c r="L95" s="5">
        <f>IF(OR(INDEX($W$2:$W$1001,MATCH(ROWS($V$2:V95),$V$2:$V$1001,0),1)&gt;=100000,INDEX($AC$1005:$AS$1005,1,MATCH(COLUMNS($AC$1006:AM1006),$AC$1006:$AS$1006,0))&gt;=100000), " ",IF(INDEX($AC$2:$AS$1001,MATCH(ROWS($V$2:V95),$V$2:$V$1001,0),MATCH(COLUMNS($AC$1006:AM1006),$AC$1006:$AS$1006,0)), HYPERLINK("#",""), HYPERLINK(CONCATENATE("#Metadata!", ADDRESS(INDEX($X$2:$X$1001,MATCH(ROWS($V$2:V95),$V$2:$V$1001,0),0), INDEX($AC$1004:$AS$1004,1,MATCH(COLUMNS($AC$1006:AM1006),$AC$1006:$AS$1006,0)))),"Fix")))</f>
        <v>0</v>
      </c>
      <c r="M95" s="5">
        <f>IF(OR(INDEX($W$2:$W$1001,MATCH(ROWS($V$2:V95),$V$2:$V$1001,0),1)&gt;=100000,INDEX($AC$1005:$AS$1005,1,MATCH(COLUMNS($AC$1006:AN1006),$AC$1006:$AS$1006,0))&gt;=100000), " ",IF(INDEX($AC$2:$AS$1001,MATCH(ROWS($V$2:V95),$V$2:$V$1001,0),MATCH(COLUMNS($AC$1006:AN1006),$AC$1006:$AS$1006,0)), HYPERLINK("#",""), HYPERLINK(CONCATENATE("#Metadata!", ADDRESS(INDEX($X$2:$X$1001,MATCH(ROWS($V$2:V95),$V$2:$V$1001,0),0), INDEX($AC$1004:$AS$1004,1,MATCH(COLUMNS($AC$1006:AN1006),$AC$1006:$AS$1006,0)))),"Fix")))</f>
        <v>0</v>
      </c>
      <c r="N95" s="5">
        <f>IF(OR(INDEX($W$2:$W$1001,MATCH(ROWS($V$2:V95),$V$2:$V$1001,0),1)&gt;=100000,INDEX($AC$1005:$AS$1005,1,MATCH(COLUMNS($AC$1006:AO1006),$AC$1006:$AS$1006,0))&gt;=100000), " ",IF(INDEX($AC$2:$AS$1001,MATCH(ROWS($V$2:V95),$V$2:$V$1001,0),MATCH(COLUMNS($AC$1006:AO1006),$AC$1006:$AS$1006,0)), HYPERLINK("#",""), HYPERLINK(CONCATENATE("#Metadata!", ADDRESS(INDEX($X$2:$X$1001,MATCH(ROWS($V$2:V95),$V$2:$V$1001,0),0), INDEX($AC$1004:$AS$1004,1,MATCH(COLUMNS($AC$1006:AO1006),$AC$1006:$AS$1006,0)))),"Fix")))</f>
        <v>0</v>
      </c>
      <c r="O95" s="5">
        <f>IF(OR(INDEX($W$2:$W$1001,MATCH(ROWS($V$2:V95),$V$2:$V$1001,0),1)&gt;=100000,INDEX($AC$1005:$AS$1005,1,MATCH(COLUMNS($AC$1006:AP1006),$AC$1006:$AS$1006,0))&gt;=100000), " ",IF(INDEX($AC$2:$AS$1001,MATCH(ROWS($V$2:V95),$V$2:$V$1001,0),MATCH(COLUMNS($AC$1006:AP1006),$AC$1006:$AS$1006,0)), HYPERLINK("#",""), HYPERLINK(CONCATENATE("#Metadata!", ADDRESS(INDEX($X$2:$X$1001,MATCH(ROWS($V$2:V95),$V$2:$V$1001,0),0), INDEX($AC$1004:$AS$1004,1,MATCH(COLUMNS($AC$1006:AP1006),$AC$1006:$AS$1006,0)))),"Fix")))</f>
        <v>0</v>
      </c>
      <c r="P95" s="5">
        <f>IF(OR(INDEX($W$2:$W$1001,MATCH(ROWS($V$2:V95),$V$2:$V$1001,0),1)&gt;=100000,INDEX($AC$1005:$AS$1005,1,MATCH(COLUMNS($AC$1006:AQ1006),$AC$1006:$AS$1006,0))&gt;=100000), " ",IF(INDEX($AC$2:$AS$1001,MATCH(ROWS($V$2:V95),$V$2:$V$1001,0),MATCH(COLUMNS($AC$1006:AQ1006),$AC$1006:$AS$1006,0)), HYPERLINK("#",""), HYPERLINK(CONCATENATE("#Metadata!", ADDRESS(INDEX($X$2:$X$1001,MATCH(ROWS($V$2:V95),$V$2:$V$1001,0),0), INDEX($AC$1004:$AS$1004,1,MATCH(COLUMNS($AC$1006:AQ1006),$AC$1006:$AS$1006,0)))),"Fix")))</f>
        <v>0</v>
      </c>
      <c r="Q95" s="5">
        <f>IF(OR(INDEX($W$2:$W$1001,MATCH(ROWS($V$2:V95),$V$2:$V$1001,0),1)&gt;=100000,INDEX($AC$1005:$AS$1005,1,MATCH(COLUMNS($AC$1006:AR1006),$AC$1006:$AS$1006,0))&gt;=100000), " ",IF(INDEX($AC$2:$AS$1001,MATCH(ROWS($V$2:V95),$V$2:$V$1001,0),MATCH(COLUMNS($AC$1006:AR1006),$AC$1006:$AS$1006,0)), HYPERLINK("#",""), HYPERLINK(CONCATENATE("#Metadata!", ADDRESS(INDEX($X$2:$X$1001,MATCH(ROWS($V$2:V95),$V$2:$V$1001,0),0), INDEX($AC$1004:$AS$1004,1,MATCH(COLUMNS($AC$1006:AR1006),$AC$1006:$AS$1006,0)))),"Fix")))</f>
        <v>0</v>
      </c>
      <c r="R95" s="5">
        <f>IF(OR(INDEX($W$2:$W$1001,MATCH(ROWS($V$2:V95),$V$2:$V$1001,0),1)&gt;=100000,INDEX($AC$1005:$AS$1005,1,MATCH(COLUMNS($AC$1006:AS1006),$AC$1006:$AS$1006,0))&gt;=100000), " ",IF(INDEX($AC$2:$AS$1001,MATCH(ROWS($V$2:V95),$V$2:$V$1001,0),MATCH(COLUMNS($AC$1006:AS1006),$AC$1006:$AS$1006,0)), HYPERLINK("#",""), HYPERLINK(CONCATENATE("#Metadata!", ADDRESS(INDEX($X$2:$X$1001,MATCH(ROWS($V$2:V95),$V$2:$V$1001,0),0), INDEX($AC$1004:$AS$1004,1,MATCH(COLUMNS($AC$1006:AS1006),$AC$1006:$AS$1006,0)))),"Fix")))</f>
        <v>0</v>
      </c>
      <c r="V95">
        <v>0</v>
      </c>
      <c r="W95">
        <v>0</v>
      </c>
      <c r="X95">
        <v>0</v>
      </c>
      <c r="Y95">
        <f>IF(Z95,TRUE,AND(AC95:AS95))</f>
        <v>0</v>
      </c>
      <c r="Z95">
        <f>COUNTBLANK(Metadata!B95:R95)=COLUMNS(Metadata!B95:R95)</f>
        <v>0</v>
      </c>
      <c r="AA95">
        <v>0</v>
      </c>
      <c r="AC95">
        <f>AND(IF(Metadata!B95="",FALSE,TRUE),COUNTIF(Metadata!B:B, Metadata!B95) = 1,NOT(ISERROR(SUMPRODUCT(SEARCH(MID(Metadata!B95,ROW(INDIRECT("1:"&amp;LEN(Metadata!B95))), 1),"0123456789abcdefghijklmnopqrstuvwxyzABCDEFGHIJKLMNOPQRSTUVWXYZ.")))))</f>
        <v>0</v>
      </c>
      <c r="AD95">
        <f>AND(IF(Metadata!C95="",FALSE,TRUE),exact(Metadata!C95,"Host-associated"))</f>
        <v>0</v>
      </c>
      <c r="AE95">
        <f>AND(IF(Metadata!D95="",FALSE,TRUE),OR(exact(Metadata!D95,"Animal"),exact(Metadata!D95,"Fungus"),exact(Metadata!D95,"Plant")))</f>
        <v>0</v>
      </c>
      <c r="AF95">
        <f>AND(IF(Metadata!E95="",FALSE,TRUE),OR(exact(Metadata!E95,"Plant secretion"),exact(Metadata!E95,"Plant rhizosphere"),exact(Metadata!E95,"Plant surface"),exact(Metadata!E95,"Plant corpus"),exact(Metadata!E95,"Fungus surface"),exact(Metadata!E95,"Fungus corpus"),exact(Metadata!E95,"Animal surface"),exact(Metadata!E95,"Animal proximal gut"),exact(Metadata!E95,"Animal corpus"),exact(Metadata!E95,"Animal distal gut"),exact(Metadata!E95,"Animal secretion")))</f>
        <v>0</v>
      </c>
      <c r="AG95">
        <f>OR(AND(IF(Metadata!F95="",FALSE,TRUE),OR(exact(Metadata!F95,"not collected"),exact(Metadata!F95,"not provided"),exact(Metadata!F95,"restricted access"))),AND(IF(Metadata!F95="",FALSE,TRUE),OR(exact(Metadata!F95,"organism-associated habitat"),exact(Metadata!F95,"plant-associated habitat"),exact(Metadata!F95,"animal-associated habitat"),exact(Metadata!F95,"insecta-associated habitat"),exact(Metadata!F95,"mammalia-associated habitat"),exact(Metadata!F95,"human-associated habitat"),exact(Metadata!F95,"livestock-associated habitat"))))</f>
        <v>0</v>
      </c>
      <c r="AH95">
        <f>AND(IF(Metadata!G95="",FALSE,TRUE),exact(Metadata!G95,"host-associated"))</f>
        <v>0</v>
      </c>
      <c r="AI95">
        <f>OR(AND(IF(Metadata!H95="",FALSE,TRUE),OR(exact(Metadata!H95,"not collected"),exact(Metadata!H95,"not provided"))),AND(IF(Metadata!H95="",FALSE,ISNUMBER(VALUE(Metadata!H95))),Metadata!H95&gt;0))</f>
        <v>0</v>
      </c>
      <c r="AJ95">
        <f>AND(IF(Metadata!I95="",FALSE,TRUE),exact(Metadata!I95,"years"))</f>
        <v>0</v>
      </c>
      <c r="AK95">
        <f>IF(Metadata!J95="",FALSE,TRUE)</f>
        <v>0</v>
      </c>
      <c r="AL95">
        <f>OR(AND(IF(Metadata!K95="",FALSE,TRUE),OR(exact(Metadata!K95,"not collected"),exact(Metadata!K95,"not provided"))),AND(IF(Metadata!K95="",FALSE,ISNUMBER(VALUE(Metadata!K95))),Metadata!K95&gt;0))</f>
        <v>0</v>
      </c>
      <c r="AM95">
        <f>AND(IF(Metadata!L95="",FALSE,TRUE),exact(Metadata!L95,"cm"))</f>
        <v>0</v>
      </c>
      <c r="AN95">
        <f>IF(Metadata!M95="",FALSE,TRUE)</f>
        <v>0</v>
      </c>
      <c r="AO95">
        <f>OR(AND(IF(Metadata!N95="",FALSE,TRUE),OR(exact(Metadata!N95,"not applicable"),exact(Metadata!N95,"not collected"),exact(Metadata!N95,"not provided"))),AND(IF(Metadata!N95="",FALSE,IF(ISERROR(INT(Metadata!N95)),FALSE,INT(Metadata!N95)=Metadata!N95)),Metadata!N95&gt;0))</f>
        <v>0</v>
      </c>
      <c r="AP95">
        <f>OR(AND(IF(Metadata!O95="",FALSE,TRUE),OR(exact(Metadata!O95,"not collected"),exact(Metadata!O95,"not provided"))),AND(IF(Metadata!O95="",FALSE,ISNUMBER(VALUE(Metadata!O95))),Metadata!O95&gt;0))</f>
        <v>0</v>
      </c>
      <c r="AQ95">
        <f>AND(IF(Metadata!P95="",FALSE,TRUE),exact(Metadata!P95,"kg"))</f>
        <v>0</v>
      </c>
      <c r="AR95">
        <f>OR(AND(IF(Metadata!Q95="",FALSE,TRUE),OR(exact(Metadata!Q95,"not applicable"),exact(Metadata!Q95,"not collected"),exact(Metadata!Q95,"not provided"),exact(Metadata!Q95,"restricted access"))),IF(Metadata!Q95="",FALSE,IF(ISERROR(INT(Metadata!Q95)),FALSE,INT(Metadata!Q95)=Metadata!Q95)))</f>
        <v>0</v>
      </c>
      <c r="AS95">
        <f>AND(IF(Metadata!R95="",FALSE,TRUE),exact(Metadata!R95,"Not applicable"))</f>
        <v>0</v>
      </c>
    </row>
    <row r="96" spans="1:45">
      <c r="A96" s="4">
        <f>IF(B96=" "," ",HYPERLINK(CONCATENATE("#metadata!",ADDRESS(INDEX($X$2:$X$1001,MATCH(ROWS($V$2:V96),$V$2:$V$1001,0),0),2)),INDEX($AA$2:$AA$1001,MATCH(ROWS($V$2:V96),$V$2:$V$1001,0),0)))</f>
        <v>0</v>
      </c>
      <c r="B96" s="5">
        <f>IF(OR(INDEX($W$2:$W$1001,MATCH(ROWS($V$2:V96),$V$2:$V$1001,0),1)&gt;=100000,INDEX($AC$1005:$AS$1005,1,MATCH(COLUMNS($AC$1006:AC1006),$AC$1006:$AS$1006,0))&gt;=100000), " ",IF(INDEX($AC$2:$AS$1001,MATCH(ROWS($V$2:V96),$V$2:$V$1001,0),MATCH(COLUMNS($AC$1006:AC1006),$AC$1006:$AS$1006,0)), HYPERLINK("#",""), HYPERLINK(CONCATENATE("#Metadata!", ADDRESS(INDEX($X$2:$X$1001,MATCH(ROWS($V$2:V96),$V$2:$V$1001,0),0), INDEX($AC$1004:$AS$1004,1,MATCH(COLUMNS($AC$1006:AC1006),$AC$1006:$AS$1006,0)))),"Fix")))</f>
        <v>0</v>
      </c>
      <c r="C96" s="5">
        <f>IF(OR(INDEX($W$2:$W$1001,MATCH(ROWS($V$2:V96),$V$2:$V$1001,0),1)&gt;=100000,INDEX($AC$1005:$AS$1005,1,MATCH(COLUMNS($AC$1006:AD1006),$AC$1006:$AS$1006,0))&gt;=100000), " ",IF(INDEX($AC$2:$AS$1001,MATCH(ROWS($V$2:V96),$V$2:$V$1001,0),MATCH(COLUMNS($AC$1006:AD1006),$AC$1006:$AS$1006,0)), HYPERLINK("#",""), HYPERLINK(CONCATENATE("#Metadata!", ADDRESS(INDEX($X$2:$X$1001,MATCH(ROWS($V$2:V96),$V$2:$V$1001,0),0), INDEX($AC$1004:$AS$1004,1,MATCH(COLUMNS($AC$1006:AD1006),$AC$1006:$AS$1006,0)))),"Fix")))</f>
        <v>0</v>
      </c>
      <c r="D96" s="5">
        <f>IF(OR(INDEX($W$2:$W$1001,MATCH(ROWS($V$2:V96),$V$2:$V$1001,0),1)&gt;=100000,INDEX($AC$1005:$AS$1005,1,MATCH(COLUMNS($AC$1006:AE1006),$AC$1006:$AS$1006,0))&gt;=100000), " ",IF(INDEX($AC$2:$AS$1001,MATCH(ROWS($V$2:V96),$V$2:$V$1001,0),MATCH(COLUMNS($AC$1006:AE1006),$AC$1006:$AS$1006,0)), HYPERLINK("#",""), HYPERLINK(CONCATENATE("#Metadata!", ADDRESS(INDEX($X$2:$X$1001,MATCH(ROWS($V$2:V96),$V$2:$V$1001,0),0), INDEX($AC$1004:$AS$1004,1,MATCH(COLUMNS($AC$1006:AE1006),$AC$1006:$AS$1006,0)))),"Fix")))</f>
        <v>0</v>
      </c>
      <c r="E96" s="5">
        <f>IF(OR(INDEX($W$2:$W$1001,MATCH(ROWS($V$2:V96),$V$2:$V$1001,0),1)&gt;=100000,INDEX($AC$1005:$AS$1005,1,MATCH(COLUMNS($AC$1006:AF1006),$AC$1006:$AS$1006,0))&gt;=100000), " ",IF(INDEX($AC$2:$AS$1001,MATCH(ROWS($V$2:V96),$V$2:$V$1001,0),MATCH(COLUMNS($AC$1006:AF1006),$AC$1006:$AS$1006,0)), HYPERLINK("#",""), HYPERLINK(CONCATENATE("#Metadata!", ADDRESS(INDEX($X$2:$X$1001,MATCH(ROWS($V$2:V96),$V$2:$V$1001,0),0), INDEX($AC$1004:$AS$1004,1,MATCH(COLUMNS($AC$1006:AF1006),$AC$1006:$AS$1006,0)))),"Fix")))</f>
        <v>0</v>
      </c>
      <c r="F96" s="5">
        <f>IF(OR(INDEX($W$2:$W$1001,MATCH(ROWS($V$2:V96),$V$2:$V$1001,0),1)&gt;=100000,INDEX($AC$1005:$AS$1005,1,MATCH(COLUMNS($AC$1006:AG1006),$AC$1006:$AS$1006,0))&gt;=100000), " ",IF(INDEX($AC$2:$AS$1001,MATCH(ROWS($V$2:V96),$V$2:$V$1001,0),MATCH(COLUMNS($AC$1006:AG1006),$AC$1006:$AS$1006,0)), HYPERLINK("#",""), HYPERLINK(CONCATENATE("#Metadata!", ADDRESS(INDEX($X$2:$X$1001,MATCH(ROWS($V$2:V96),$V$2:$V$1001,0),0), INDEX($AC$1004:$AS$1004,1,MATCH(COLUMNS($AC$1006:AG1006),$AC$1006:$AS$1006,0)))),"Fix")))</f>
        <v>0</v>
      </c>
      <c r="G96" s="5">
        <f>IF(OR(INDEX($W$2:$W$1001,MATCH(ROWS($V$2:V96),$V$2:$V$1001,0),1)&gt;=100000,INDEX($AC$1005:$AS$1005,1,MATCH(COLUMNS($AC$1006:AH1006),$AC$1006:$AS$1006,0))&gt;=100000), " ",IF(INDEX($AC$2:$AS$1001,MATCH(ROWS($V$2:V96),$V$2:$V$1001,0),MATCH(COLUMNS($AC$1006:AH1006),$AC$1006:$AS$1006,0)), HYPERLINK("#",""), HYPERLINK(CONCATENATE("#Metadata!", ADDRESS(INDEX($X$2:$X$1001,MATCH(ROWS($V$2:V96),$V$2:$V$1001,0),0), INDEX($AC$1004:$AS$1004,1,MATCH(COLUMNS($AC$1006:AH1006),$AC$1006:$AS$1006,0)))),"Fix")))</f>
        <v>0</v>
      </c>
      <c r="H96" s="5">
        <f>IF(OR(INDEX($W$2:$W$1001,MATCH(ROWS($V$2:V96),$V$2:$V$1001,0),1)&gt;=100000,INDEX($AC$1005:$AS$1005,1,MATCH(COLUMNS($AC$1006:AI1006),$AC$1006:$AS$1006,0))&gt;=100000), " ",IF(INDEX($AC$2:$AS$1001,MATCH(ROWS($V$2:V96),$V$2:$V$1001,0),MATCH(COLUMNS($AC$1006:AI1006),$AC$1006:$AS$1006,0)), HYPERLINK("#",""), HYPERLINK(CONCATENATE("#Metadata!", ADDRESS(INDEX($X$2:$X$1001,MATCH(ROWS($V$2:V96),$V$2:$V$1001,0),0), INDEX($AC$1004:$AS$1004,1,MATCH(COLUMNS($AC$1006:AI1006),$AC$1006:$AS$1006,0)))),"Fix")))</f>
        <v>0</v>
      </c>
      <c r="I96" s="5">
        <f>IF(OR(INDEX($W$2:$W$1001,MATCH(ROWS($V$2:V96),$V$2:$V$1001,0),1)&gt;=100000,INDEX($AC$1005:$AS$1005,1,MATCH(COLUMNS($AC$1006:AJ1006),$AC$1006:$AS$1006,0))&gt;=100000), " ",IF(INDEX($AC$2:$AS$1001,MATCH(ROWS($V$2:V96),$V$2:$V$1001,0),MATCH(COLUMNS($AC$1006:AJ1006),$AC$1006:$AS$1006,0)), HYPERLINK("#",""), HYPERLINK(CONCATENATE("#Metadata!", ADDRESS(INDEX($X$2:$X$1001,MATCH(ROWS($V$2:V96),$V$2:$V$1001,0),0), INDEX($AC$1004:$AS$1004,1,MATCH(COLUMNS($AC$1006:AJ1006),$AC$1006:$AS$1006,0)))),"Fix")))</f>
        <v>0</v>
      </c>
      <c r="J96" s="5">
        <f>IF(OR(INDEX($W$2:$W$1001,MATCH(ROWS($V$2:V96),$V$2:$V$1001,0),1)&gt;=100000,INDEX($AC$1005:$AS$1005,1,MATCH(COLUMNS($AC$1006:AK1006),$AC$1006:$AS$1006,0))&gt;=100000), " ",IF(INDEX($AC$2:$AS$1001,MATCH(ROWS($V$2:V96),$V$2:$V$1001,0),MATCH(COLUMNS($AC$1006:AK1006),$AC$1006:$AS$1006,0)), HYPERLINK("#",""), HYPERLINK(CONCATENATE("#Metadata!", ADDRESS(INDEX($X$2:$X$1001,MATCH(ROWS($V$2:V96),$V$2:$V$1001,0),0), INDEX($AC$1004:$AS$1004,1,MATCH(COLUMNS($AC$1006:AK1006),$AC$1006:$AS$1006,0)))),"Fix")))</f>
        <v>0</v>
      </c>
      <c r="K96" s="5">
        <f>IF(OR(INDEX($W$2:$W$1001,MATCH(ROWS($V$2:V96),$V$2:$V$1001,0),1)&gt;=100000,INDEX($AC$1005:$AS$1005,1,MATCH(COLUMNS($AC$1006:AL1006),$AC$1006:$AS$1006,0))&gt;=100000), " ",IF(INDEX($AC$2:$AS$1001,MATCH(ROWS($V$2:V96),$V$2:$V$1001,0),MATCH(COLUMNS($AC$1006:AL1006),$AC$1006:$AS$1006,0)), HYPERLINK("#",""), HYPERLINK(CONCATENATE("#Metadata!", ADDRESS(INDEX($X$2:$X$1001,MATCH(ROWS($V$2:V96),$V$2:$V$1001,0),0), INDEX($AC$1004:$AS$1004,1,MATCH(COLUMNS($AC$1006:AL1006),$AC$1006:$AS$1006,0)))),"Fix")))</f>
        <v>0</v>
      </c>
      <c r="L96" s="5">
        <f>IF(OR(INDEX($W$2:$W$1001,MATCH(ROWS($V$2:V96),$V$2:$V$1001,0),1)&gt;=100000,INDEX($AC$1005:$AS$1005,1,MATCH(COLUMNS($AC$1006:AM1006),$AC$1006:$AS$1006,0))&gt;=100000), " ",IF(INDEX($AC$2:$AS$1001,MATCH(ROWS($V$2:V96),$V$2:$V$1001,0),MATCH(COLUMNS($AC$1006:AM1006),$AC$1006:$AS$1006,0)), HYPERLINK("#",""), HYPERLINK(CONCATENATE("#Metadata!", ADDRESS(INDEX($X$2:$X$1001,MATCH(ROWS($V$2:V96),$V$2:$V$1001,0),0), INDEX($AC$1004:$AS$1004,1,MATCH(COLUMNS($AC$1006:AM1006),$AC$1006:$AS$1006,0)))),"Fix")))</f>
        <v>0</v>
      </c>
      <c r="M96" s="5">
        <f>IF(OR(INDEX($W$2:$W$1001,MATCH(ROWS($V$2:V96),$V$2:$V$1001,0),1)&gt;=100000,INDEX($AC$1005:$AS$1005,1,MATCH(COLUMNS($AC$1006:AN1006),$AC$1006:$AS$1006,0))&gt;=100000), " ",IF(INDEX($AC$2:$AS$1001,MATCH(ROWS($V$2:V96),$V$2:$V$1001,0),MATCH(COLUMNS($AC$1006:AN1006),$AC$1006:$AS$1006,0)), HYPERLINK("#",""), HYPERLINK(CONCATENATE("#Metadata!", ADDRESS(INDEX($X$2:$X$1001,MATCH(ROWS($V$2:V96),$V$2:$V$1001,0),0), INDEX($AC$1004:$AS$1004,1,MATCH(COLUMNS($AC$1006:AN1006),$AC$1006:$AS$1006,0)))),"Fix")))</f>
        <v>0</v>
      </c>
      <c r="N96" s="5">
        <f>IF(OR(INDEX($W$2:$W$1001,MATCH(ROWS($V$2:V96),$V$2:$V$1001,0),1)&gt;=100000,INDEX($AC$1005:$AS$1005,1,MATCH(COLUMNS($AC$1006:AO1006),$AC$1006:$AS$1006,0))&gt;=100000), " ",IF(INDEX($AC$2:$AS$1001,MATCH(ROWS($V$2:V96),$V$2:$V$1001,0),MATCH(COLUMNS($AC$1006:AO1006),$AC$1006:$AS$1006,0)), HYPERLINK("#",""), HYPERLINK(CONCATENATE("#Metadata!", ADDRESS(INDEX($X$2:$X$1001,MATCH(ROWS($V$2:V96),$V$2:$V$1001,0),0), INDEX($AC$1004:$AS$1004,1,MATCH(COLUMNS($AC$1006:AO1006),$AC$1006:$AS$1006,0)))),"Fix")))</f>
        <v>0</v>
      </c>
      <c r="O96" s="5">
        <f>IF(OR(INDEX($W$2:$W$1001,MATCH(ROWS($V$2:V96),$V$2:$V$1001,0),1)&gt;=100000,INDEX($AC$1005:$AS$1005,1,MATCH(COLUMNS($AC$1006:AP1006),$AC$1006:$AS$1006,0))&gt;=100000), " ",IF(INDEX($AC$2:$AS$1001,MATCH(ROWS($V$2:V96),$V$2:$V$1001,0),MATCH(COLUMNS($AC$1006:AP1006),$AC$1006:$AS$1006,0)), HYPERLINK("#",""), HYPERLINK(CONCATENATE("#Metadata!", ADDRESS(INDEX($X$2:$X$1001,MATCH(ROWS($V$2:V96),$V$2:$V$1001,0),0), INDEX($AC$1004:$AS$1004,1,MATCH(COLUMNS($AC$1006:AP1006),$AC$1006:$AS$1006,0)))),"Fix")))</f>
        <v>0</v>
      </c>
      <c r="P96" s="5">
        <f>IF(OR(INDEX($W$2:$W$1001,MATCH(ROWS($V$2:V96),$V$2:$V$1001,0),1)&gt;=100000,INDEX($AC$1005:$AS$1005,1,MATCH(COLUMNS($AC$1006:AQ1006),$AC$1006:$AS$1006,0))&gt;=100000), " ",IF(INDEX($AC$2:$AS$1001,MATCH(ROWS($V$2:V96),$V$2:$V$1001,0),MATCH(COLUMNS($AC$1006:AQ1006),$AC$1006:$AS$1006,0)), HYPERLINK("#",""), HYPERLINK(CONCATENATE("#Metadata!", ADDRESS(INDEX($X$2:$X$1001,MATCH(ROWS($V$2:V96),$V$2:$V$1001,0),0), INDEX($AC$1004:$AS$1004,1,MATCH(COLUMNS($AC$1006:AQ1006),$AC$1006:$AS$1006,0)))),"Fix")))</f>
        <v>0</v>
      </c>
      <c r="Q96" s="5">
        <f>IF(OR(INDEX($W$2:$W$1001,MATCH(ROWS($V$2:V96),$V$2:$V$1001,0),1)&gt;=100000,INDEX($AC$1005:$AS$1005,1,MATCH(COLUMNS($AC$1006:AR1006),$AC$1006:$AS$1006,0))&gt;=100000), " ",IF(INDEX($AC$2:$AS$1001,MATCH(ROWS($V$2:V96),$V$2:$V$1001,0),MATCH(COLUMNS($AC$1006:AR1006),$AC$1006:$AS$1006,0)), HYPERLINK("#",""), HYPERLINK(CONCATENATE("#Metadata!", ADDRESS(INDEX($X$2:$X$1001,MATCH(ROWS($V$2:V96),$V$2:$V$1001,0),0), INDEX($AC$1004:$AS$1004,1,MATCH(COLUMNS($AC$1006:AR1006),$AC$1006:$AS$1006,0)))),"Fix")))</f>
        <v>0</v>
      </c>
      <c r="R96" s="5">
        <f>IF(OR(INDEX($W$2:$W$1001,MATCH(ROWS($V$2:V96),$V$2:$V$1001,0),1)&gt;=100000,INDEX($AC$1005:$AS$1005,1,MATCH(COLUMNS($AC$1006:AS1006),$AC$1006:$AS$1006,0))&gt;=100000), " ",IF(INDEX($AC$2:$AS$1001,MATCH(ROWS($V$2:V96),$V$2:$V$1001,0),MATCH(COLUMNS($AC$1006:AS1006),$AC$1006:$AS$1006,0)), HYPERLINK("#",""), HYPERLINK(CONCATENATE("#Metadata!", ADDRESS(INDEX($X$2:$X$1001,MATCH(ROWS($V$2:V96),$V$2:$V$1001,0),0), INDEX($AC$1004:$AS$1004,1,MATCH(COLUMNS($AC$1006:AS1006),$AC$1006:$AS$1006,0)))),"Fix")))</f>
        <v>0</v>
      </c>
      <c r="V96">
        <v>0</v>
      </c>
      <c r="W96">
        <v>0</v>
      </c>
      <c r="X96">
        <v>0</v>
      </c>
      <c r="Y96">
        <f>IF(Z96,TRUE,AND(AC96:AS96))</f>
        <v>0</v>
      </c>
      <c r="Z96">
        <f>COUNTBLANK(Metadata!B96:R96)=COLUMNS(Metadata!B96:R96)</f>
        <v>0</v>
      </c>
      <c r="AA96">
        <v>0</v>
      </c>
      <c r="AC96">
        <f>AND(IF(Metadata!B96="",FALSE,TRUE),COUNTIF(Metadata!B:B, Metadata!B96) = 1,NOT(ISERROR(SUMPRODUCT(SEARCH(MID(Metadata!B96,ROW(INDIRECT("1:"&amp;LEN(Metadata!B96))), 1),"0123456789abcdefghijklmnopqrstuvwxyzABCDEFGHIJKLMNOPQRSTUVWXYZ.")))))</f>
        <v>0</v>
      </c>
      <c r="AD96">
        <f>AND(IF(Metadata!C96="",FALSE,TRUE),exact(Metadata!C96,"Host-associated"))</f>
        <v>0</v>
      </c>
      <c r="AE96">
        <f>AND(IF(Metadata!D96="",FALSE,TRUE),OR(exact(Metadata!D96,"Animal"),exact(Metadata!D96,"Fungus"),exact(Metadata!D96,"Plant")))</f>
        <v>0</v>
      </c>
      <c r="AF96">
        <f>AND(IF(Metadata!E96="",FALSE,TRUE),OR(exact(Metadata!E96,"Plant secretion"),exact(Metadata!E96,"Plant rhizosphere"),exact(Metadata!E96,"Plant surface"),exact(Metadata!E96,"Plant corpus"),exact(Metadata!E96,"Fungus surface"),exact(Metadata!E96,"Fungus corpus"),exact(Metadata!E96,"Animal surface"),exact(Metadata!E96,"Animal proximal gut"),exact(Metadata!E96,"Animal corpus"),exact(Metadata!E96,"Animal distal gut"),exact(Metadata!E96,"Animal secretion")))</f>
        <v>0</v>
      </c>
      <c r="AG96">
        <f>OR(AND(IF(Metadata!F96="",FALSE,TRUE),OR(exact(Metadata!F96,"not collected"),exact(Metadata!F96,"not provided"),exact(Metadata!F96,"restricted access"))),AND(IF(Metadata!F96="",FALSE,TRUE),OR(exact(Metadata!F96,"organism-associated habitat"),exact(Metadata!F96,"plant-associated habitat"),exact(Metadata!F96,"animal-associated habitat"),exact(Metadata!F96,"insecta-associated habitat"),exact(Metadata!F96,"mammalia-associated habitat"),exact(Metadata!F96,"human-associated habitat"),exact(Metadata!F96,"livestock-associated habitat"))))</f>
        <v>0</v>
      </c>
      <c r="AH96">
        <f>AND(IF(Metadata!G96="",FALSE,TRUE),exact(Metadata!G96,"host-associated"))</f>
        <v>0</v>
      </c>
      <c r="AI96">
        <f>OR(AND(IF(Metadata!H96="",FALSE,TRUE),OR(exact(Metadata!H96,"not collected"),exact(Metadata!H96,"not provided"))),AND(IF(Metadata!H96="",FALSE,ISNUMBER(VALUE(Metadata!H96))),Metadata!H96&gt;0))</f>
        <v>0</v>
      </c>
      <c r="AJ96">
        <f>AND(IF(Metadata!I96="",FALSE,TRUE),exact(Metadata!I96,"years"))</f>
        <v>0</v>
      </c>
      <c r="AK96">
        <f>IF(Metadata!J96="",FALSE,TRUE)</f>
        <v>0</v>
      </c>
      <c r="AL96">
        <f>OR(AND(IF(Metadata!K96="",FALSE,TRUE),OR(exact(Metadata!K96,"not collected"),exact(Metadata!K96,"not provided"))),AND(IF(Metadata!K96="",FALSE,ISNUMBER(VALUE(Metadata!K96))),Metadata!K96&gt;0))</f>
        <v>0</v>
      </c>
      <c r="AM96">
        <f>AND(IF(Metadata!L96="",FALSE,TRUE),exact(Metadata!L96,"cm"))</f>
        <v>0</v>
      </c>
      <c r="AN96">
        <f>IF(Metadata!M96="",FALSE,TRUE)</f>
        <v>0</v>
      </c>
      <c r="AO96">
        <f>OR(AND(IF(Metadata!N96="",FALSE,TRUE),OR(exact(Metadata!N96,"not applicable"),exact(Metadata!N96,"not collected"),exact(Metadata!N96,"not provided"))),AND(IF(Metadata!N96="",FALSE,IF(ISERROR(INT(Metadata!N96)),FALSE,INT(Metadata!N96)=Metadata!N96)),Metadata!N96&gt;0))</f>
        <v>0</v>
      </c>
      <c r="AP96">
        <f>OR(AND(IF(Metadata!O96="",FALSE,TRUE),OR(exact(Metadata!O96,"not collected"),exact(Metadata!O96,"not provided"))),AND(IF(Metadata!O96="",FALSE,ISNUMBER(VALUE(Metadata!O96))),Metadata!O96&gt;0))</f>
        <v>0</v>
      </c>
      <c r="AQ96">
        <f>AND(IF(Metadata!P96="",FALSE,TRUE),exact(Metadata!P96,"kg"))</f>
        <v>0</v>
      </c>
      <c r="AR96">
        <f>OR(AND(IF(Metadata!Q96="",FALSE,TRUE),OR(exact(Metadata!Q96,"not applicable"),exact(Metadata!Q96,"not collected"),exact(Metadata!Q96,"not provided"),exact(Metadata!Q96,"restricted access"))),IF(Metadata!Q96="",FALSE,IF(ISERROR(INT(Metadata!Q96)),FALSE,INT(Metadata!Q96)=Metadata!Q96)))</f>
        <v>0</v>
      </c>
      <c r="AS96">
        <f>AND(IF(Metadata!R96="",FALSE,TRUE),exact(Metadata!R96,"Not applicable"))</f>
        <v>0</v>
      </c>
    </row>
    <row r="97" spans="1:45">
      <c r="A97" s="4">
        <f>IF(B97=" "," ",HYPERLINK(CONCATENATE("#metadata!",ADDRESS(INDEX($X$2:$X$1001,MATCH(ROWS($V$2:V97),$V$2:$V$1001,0),0),2)),INDEX($AA$2:$AA$1001,MATCH(ROWS($V$2:V97),$V$2:$V$1001,0),0)))</f>
        <v>0</v>
      </c>
      <c r="B97" s="5">
        <f>IF(OR(INDEX($W$2:$W$1001,MATCH(ROWS($V$2:V97),$V$2:$V$1001,0),1)&gt;=100000,INDEX($AC$1005:$AS$1005,1,MATCH(COLUMNS($AC$1006:AC1006),$AC$1006:$AS$1006,0))&gt;=100000), " ",IF(INDEX($AC$2:$AS$1001,MATCH(ROWS($V$2:V97),$V$2:$V$1001,0),MATCH(COLUMNS($AC$1006:AC1006),$AC$1006:$AS$1006,0)), HYPERLINK("#",""), HYPERLINK(CONCATENATE("#Metadata!", ADDRESS(INDEX($X$2:$X$1001,MATCH(ROWS($V$2:V97),$V$2:$V$1001,0),0), INDEX($AC$1004:$AS$1004,1,MATCH(COLUMNS($AC$1006:AC1006),$AC$1006:$AS$1006,0)))),"Fix")))</f>
        <v>0</v>
      </c>
      <c r="C97" s="5">
        <f>IF(OR(INDEX($W$2:$W$1001,MATCH(ROWS($V$2:V97),$V$2:$V$1001,0),1)&gt;=100000,INDEX($AC$1005:$AS$1005,1,MATCH(COLUMNS($AC$1006:AD1006),$AC$1006:$AS$1006,0))&gt;=100000), " ",IF(INDEX($AC$2:$AS$1001,MATCH(ROWS($V$2:V97),$V$2:$V$1001,0),MATCH(COLUMNS($AC$1006:AD1006),$AC$1006:$AS$1006,0)), HYPERLINK("#",""), HYPERLINK(CONCATENATE("#Metadata!", ADDRESS(INDEX($X$2:$X$1001,MATCH(ROWS($V$2:V97),$V$2:$V$1001,0),0), INDEX($AC$1004:$AS$1004,1,MATCH(COLUMNS($AC$1006:AD1006),$AC$1006:$AS$1006,0)))),"Fix")))</f>
        <v>0</v>
      </c>
      <c r="D97" s="5">
        <f>IF(OR(INDEX($W$2:$W$1001,MATCH(ROWS($V$2:V97),$V$2:$V$1001,0),1)&gt;=100000,INDEX($AC$1005:$AS$1005,1,MATCH(COLUMNS($AC$1006:AE1006),$AC$1006:$AS$1006,0))&gt;=100000), " ",IF(INDEX($AC$2:$AS$1001,MATCH(ROWS($V$2:V97),$V$2:$V$1001,0),MATCH(COLUMNS($AC$1006:AE1006),$AC$1006:$AS$1006,0)), HYPERLINK("#",""), HYPERLINK(CONCATENATE("#Metadata!", ADDRESS(INDEX($X$2:$X$1001,MATCH(ROWS($V$2:V97),$V$2:$V$1001,0),0), INDEX($AC$1004:$AS$1004,1,MATCH(COLUMNS($AC$1006:AE1006),$AC$1006:$AS$1006,0)))),"Fix")))</f>
        <v>0</v>
      </c>
      <c r="E97" s="5">
        <f>IF(OR(INDEX($W$2:$W$1001,MATCH(ROWS($V$2:V97),$V$2:$V$1001,0),1)&gt;=100000,INDEX($AC$1005:$AS$1005,1,MATCH(COLUMNS($AC$1006:AF1006),$AC$1006:$AS$1006,0))&gt;=100000), " ",IF(INDEX($AC$2:$AS$1001,MATCH(ROWS($V$2:V97),$V$2:$V$1001,0),MATCH(COLUMNS($AC$1006:AF1006),$AC$1006:$AS$1006,0)), HYPERLINK("#",""), HYPERLINK(CONCATENATE("#Metadata!", ADDRESS(INDEX($X$2:$X$1001,MATCH(ROWS($V$2:V97),$V$2:$V$1001,0),0), INDEX($AC$1004:$AS$1004,1,MATCH(COLUMNS($AC$1006:AF1006),$AC$1006:$AS$1006,0)))),"Fix")))</f>
        <v>0</v>
      </c>
      <c r="F97" s="5">
        <f>IF(OR(INDEX($W$2:$W$1001,MATCH(ROWS($V$2:V97),$V$2:$V$1001,0),1)&gt;=100000,INDEX($AC$1005:$AS$1005,1,MATCH(COLUMNS($AC$1006:AG1006),$AC$1006:$AS$1006,0))&gt;=100000), " ",IF(INDEX($AC$2:$AS$1001,MATCH(ROWS($V$2:V97),$V$2:$V$1001,0),MATCH(COLUMNS($AC$1006:AG1006),$AC$1006:$AS$1006,0)), HYPERLINK("#",""), HYPERLINK(CONCATENATE("#Metadata!", ADDRESS(INDEX($X$2:$X$1001,MATCH(ROWS($V$2:V97),$V$2:$V$1001,0),0), INDEX($AC$1004:$AS$1004,1,MATCH(COLUMNS($AC$1006:AG1006),$AC$1006:$AS$1006,0)))),"Fix")))</f>
        <v>0</v>
      </c>
      <c r="G97" s="5">
        <f>IF(OR(INDEX($W$2:$W$1001,MATCH(ROWS($V$2:V97),$V$2:$V$1001,0),1)&gt;=100000,INDEX($AC$1005:$AS$1005,1,MATCH(COLUMNS($AC$1006:AH1006),$AC$1006:$AS$1006,0))&gt;=100000), " ",IF(INDEX($AC$2:$AS$1001,MATCH(ROWS($V$2:V97),$V$2:$V$1001,0),MATCH(COLUMNS($AC$1006:AH1006),$AC$1006:$AS$1006,0)), HYPERLINK("#",""), HYPERLINK(CONCATENATE("#Metadata!", ADDRESS(INDEX($X$2:$X$1001,MATCH(ROWS($V$2:V97),$V$2:$V$1001,0),0), INDEX($AC$1004:$AS$1004,1,MATCH(COLUMNS($AC$1006:AH1006),$AC$1006:$AS$1006,0)))),"Fix")))</f>
        <v>0</v>
      </c>
      <c r="H97" s="5">
        <f>IF(OR(INDEX($W$2:$W$1001,MATCH(ROWS($V$2:V97),$V$2:$V$1001,0),1)&gt;=100000,INDEX($AC$1005:$AS$1005,1,MATCH(COLUMNS($AC$1006:AI1006),$AC$1006:$AS$1006,0))&gt;=100000), " ",IF(INDEX($AC$2:$AS$1001,MATCH(ROWS($V$2:V97),$V$2:$V$1001,0),MATCH(COLUMNS($AC$1006:AI1006),$AC$1006:$AS$1006,0)), HYPERLINK("#",""), HYPERLINK(CONCATENATE("#Metadata!", ADDRESS(INDEX($X$2:$X$1001,MATCH(ROWS($V$2:V97),$V$2:$V$1001,0),0), INDEX($AC$1004:$AS$1004,1,MATCH(COLUMNS($AC$1006:AI1006),$AC$1006:$AS$1006,0)))),"Fix")))</f>
        <v>0</v>
      </c>
      <c r="I97" s="5">
        <f>IF(OR(INDEX($W$2:$W$1001,MATCH(ROWS($V$2:V97),$V$2:$V$1001,0),1)&gt;=100000,INDEX($AC$1005:$AS$1005,1,MATCH(COLUMNS($AC$1006:AJ1006),$AC$1006:$AS$1006,0))&gt;=100000), " ",IF(INDEX($AC$2:$AS$1001,MATCH(ROWS($V$2:V97),$V$2:$V$1001,0),MATCH(COLUMNS($AC$1006:AJ1006),$AC$1006:$AS$1006,0)), HYPERLINK("#",""), HYPERLINK(CONCATENATE("#Metadata!", ADDRESS(INDEX($X$2:$X$1001,MATCH(ROWS($V$2:V97),$V$2:$V$1001,0),0), INDEX($AC$1004:$AS$1004,1,MATCH(COLUMNS($AC$1006:AJ1006),$AC$1006:$AS$1006,0)))),"Fix")))</f>
        <v>0</v>
      </c>
      <c r="J97" s="5">
        <f>IF(OR(INDEX($W$2:$W$1001,MATCH(ROWS($V$2:V97),$V$2:$V$1001,0),1)&gt;=100000,INDEX($AC$1005:$AS$1005,1,MATCH(COLUMNS($AC$1006:AK1006),$AC$1006:$AS$1006,0))&gt;=100000), " ",IF(INDEX($AC$2:$AS$1001,MATCH(ROWS($V$2:V97),$V$2:$V$1001,0),MATCH(COLUMNS($AC$1006:AK1006),$AC$1006:$AS$1006,0)), HYPERLINK("#",""), HYPERLINK(CONCATENATE("#Metadata!", ADDRESS(INDEX($X$2:$X$1001,MATCH(ROWS($V$2:V97),$V$2:$V$1001,0),0), INDEX($AC$1004:$AS$1004,1,MATCH(COLUMNS($AC$1006:AK1006),$AC$1006:$AS$1006,0)))),"Fix")))</f>
        <v>0</v>
      </c>
      <c r="K97" s="5">
        <f>IF(OR(INDEX($W$2:$W$1001,MATCH(ROWS($V$2:V97),$V$2:$V$1001,0),1)&gt;=100000,INDEX($AC$1005:$AS$1005,1,MATCH(COLUMNS($AC$1006:AL1006),$AC$1006:$AS$1006,0))&gt;=100000), " ",IF(INDEX($AC$2:$AS$1001,MATCH(ROWS($V$2:V97),$V$2:$V$1001,0),MATCH(COLUMNS($AC$1006:AL1006),$AC$1006:$AS$1006,0)), HYPERLINK("#",""), HYPERLINK(CONCATENATE("#Metadata!", ADDRESS(INDEX($X$2:$X$1001,MATCH(ROWS($V$2:V97),$V$2:$V$1001,0),0), INDEX($AC$1004:$AS$1004,1,MATCH(COLUMNS($AC$1006:AL1006),$AC$1006:$AS$1006,0)))),"Fix")))</f>
        <v>0</v>
      </c>
      <c r="L97" s="5">
        <f>IF(OR(INDEX($W$2:$W$1001,MATCH(ROWS($V$2:V97),$V$2:$V$1001,0),1)&gt;=100000,INDEX($AC$1005:$AS$1005,1,MATCH(COLUMNS($AC$1006:AM1006),$AC$1006:$AS$1006,0))&gt;=100000), " ",IF(INDEX($AC$2:$AS$1001,MATCH(ROWS($V$2:V97),$V$2:$V$1001,0),MATCH(COLUMNS($AC$1006:AM1006),$AC$1006:$AS$1006,0)), HYPERLINK("#",""), HYPERLINK(CONCATENATE("#Metadata!", ADDRESS(INDEX($X$2:$X$1001,MATCH(ROWS($V$2:V97),$V$2:$V$1001,0),0), INDEX($AC$1004:$AS$1004,1,MATCH(COLUMNS($AC$1006:AM1006),$AC$1006:$AS$1006,0)))),"Fix")))</f>
        <v>0</v>
      </c>
      <c r="M97" s="5">
        <f>IF(OR(INDEX($W$2:$W$1001,MATCH(ROWS($V$2:V97),$V$2:$V$1001,0),1)&gt;=100000,INDEX($AC$1005:$AS$1005,1,MATCH(COLUMNS($AC$1006:AN1006),$AC$1006:$AS$1006,0))&gt;=100000), " ",IF(INDEX($AC$2:$AS$1001,MATCH(ROWS($V$2:V97),$V$2:$V$1001,0),MATCH(COLUMNS($AC$1006:AN1006),$AC$1006:$AS$1006,0)), HYPERLINK("#",""), HYPERLINK(CONCATENATE("#Metadata!", ADDRESS(INDEX($X$2:$X$1001,MATCH(ROWS($V$2:V97),$V$2:$V$1001,0),0), INDEX($AC$1004:$AS$1004,1,MATCH(COLUMNS($AC$1006:AN1006),$AC$1006:$AS$1006,0)))),"Fix")))</f>
        <v>0</v>
      </c>
      <c r="N97" s="5">
        <f>IF(OR(INDEX($W$2:$W$1001,MATCH(ROWS($V$2:V97),$V$2:$V$1001,0),1)&gt;=100000,INDEX($AC$1005:$AS$1005,1,MATCH(COLUMNS($AC$1006:AO1006),$AC$1006:$AS$1006,0))&gt;=100000), " ",IF(INDEX($AC$2:$AS$1001,MATCH(ROWS($V$2:V97),$V$2:$V$1001,0),MATCH(COLUMNS($AC$1006:AO1006),$AC$1006:$AS$1006,0)), HYPERLINK("#",""), HYPERLINK(CONCATENATE("#Metadata!", ADDRESS(INDEX($X$2:$X$1001,MATCH(ROWS($V$2:V97),$V$2:$V$1001,0),0), INDEX($AC$1004:$AS$1004,1,MATCH(COLUMNS($AC$1006:AO1006),$AC$1006:$AS$1006,0)))),"Fix")))</f>
        <v>0</v>
      </c>
      <c r="O97" s="5">
        <f>IF(OR(INDEX($W$2:$W$1001,MATCH(ROWS($V$2:V97),$V$2:$V$1001,0),1)&gt;=100000,INDEX($AC$1005:$AS$1005,1,MATCH(COLUMNS($AC$1006:AP1006),$AC$1006:$AS$1006,0))&gt;=100000), " ",IF(INDEX($AC$2:$AS$1001,MATCH(ROWS($V$2:V97),$V$2:$V$1001,0),MATCH(COLUMNS($AC$1006:AP1006),$AC$1006:$AS$1006,0)), HYPERLINK("#",""), HYPERLINK(CONCATENATE("#Metadata!", ADDRESS(INDEX($X$2:$X$1001,MATCH(ROWS($V$2:V97),$V$2:$V$1001,0),0), INDEX($AC$1004:$AS$1004,1,MATCH(COLUMNS($AC$1006:AP1006),$AC$1006:$AS$1006,0)))),"Fix")))</f>
        <v>0</v>
      </c>
      <c r="P97" s="5">
        <f>IF(OR(INDEX($W$2:$W$1001,MATCH(ROWS($V$2:V97),$V$2:$V$1001,0),1)&gt;=100000,INDEX($AC$1005:$AS$1005,1,MATCH(COLUMNS($AC$1006:AQ1006),$AC$1006:$AS$1006,0))&gt;=100000), " ",IF(INDEX($AC$2:$AS$1001,MATCH(ROWS($V$2:V97),$V$2:$V$1001,0),MATCH(COLUMNS($AC$1006:AQ1006),$AC$1006:$AS$1006,0)), HYPERLINK("#",""), HYPERLINK(CONCATENATE("#Metadata!", ADDRESS(INDEX($X$2:$X$1001,MATCH(ROWS($V$2:V97),$V$2:$V$1001,0),0), INDEX($AC$1004:$AS$1004,1,MATCH(COLUMNS($AC$1006:AQ1006),$AC$1006:$AS$1006,0)))),"Fix")))</f>
        <v>0</v>
      </c>
      <c r="Q97" s="5">
        <f>IF(OR(INDEX($W$2:$W$1001,MATCH(ROWS($V$2:V97),$V$2:$V$1001,0),1)&gt;=100000,INDEX($AC$1005:$AS$1005,1,MATCH(COLUMNS($AC$1006:AR1006),$AC$1006:$AS$1006,0))&gt;=100000), " ",IF(INDEX($AC$2:$AS$1001,MATCH(ROWS($V$2:V97),$V$2:$V$1001,0),MATCH(COLUMNS($AC$1006:AR1006),$AC$1006:$AS$1006,0)), HYPERLINK("#",""), HYPERLINK(CONCATENATE("#Metadata!", ADDRESS(INDEX($X$2:$X$1001,MATCH(ROWS($V$2:V97),$V$2:$V$1001,0),0), INDEX($AC$1004:$AS$1004,1,MATCH(COLUMNS($AC$1006:AR1006),$AC$1006:$AS$1006,0)))),"Fix")))</f>
        <v>0</v>
      </c>
      <c r="R97" s="5">
        <f>IF(OR(INDEX($W$2:$W$1001,MATCH(ROWS($V$2:V97),$V$2:$V$1001,0),1)&gt;=100000,INDEX($AC$1005:$AS$1005,1,MATCH(COLUMNS($AC$1006:AS1006),$AC$1006:$AS$1006,0))&gt;=100000), " ",IF(INDEX($AC$2:$AS$1001,MATCH(ROWS($V$2:V97),$V$2:$V$1001,0),MATCH(COLUMNS($AC$1006:AS1006),$AC$1006:$AS$1006,0)), HYPERLINK("#",""), HYPERLINK(CONCATENATE("#Metadata!", ADDRESS(INDEX($X$2:$X$1001,MATCH(ROWS($V$2:V97),$V$2:$V$1001,0),0), INDEX($AC$1004:$AS$1004,1,MATCH(COLUMNS($AC$1006:AS1006),$AC$1006:$AS$1006,0)))),"Fix")))</f>
        <v>0</v>
      </c>
      <c r="V97">
        <v>0</v>
      </c>
      <c r="W97">
        <v>0</v>
      </c>
      <c r="X97">
        <v>0</v>
      </c>
      <c r="Y97">
        <f>IF(Z97,TRUE,AND(AC97:AS97))</f>
        <v>0</v>
      </c>
      <c r="Z97">
        <f>COUNTBLANK(Metadata!B97:R97)=COLUMNS(Metadata!B97:R97)</f>
        <v>0</v>
      </c>
      <c r="AA97">
        <v>0</v>
      </c>
      <c r="AC97">
        <f>AND(IF(Metadata!B97="",FALSE,TRUE),COUNTIF(Metadata!B:B, Metadata!B97) = 1,NOT(ISERROR(SUMPRODUCT(SEARCH(MID(Metadata!B97,ROW(INDIRECT("1:"&amp;LEN(Metadata!B97))), 1),"0123456789abcdefghijklmnopqrstuvwxyzABCDEFGHIJKLMNOPQRSTUVWXYZ.")))))</f>
        <v>0</v>
      </c>
      <c r="AD97">
        <f>AND(IF(Metadata!C97="",FALSE,TRUE),exact(Metadata!C97,"Host-associated"))</f>
        <v>0</v>
      </c>
      <c r="AE97">
        <f>AND(IF(Metadata!D97="",FALSE,TRUE),OR(exact(Metadata!D97,"Animal"),exact(Metadata!D97,"Fungus"),exact(Metadata!D97,"Plant")))</f>
        <v>0</v>
      </c>
      <c r="AF97">
        <f>AND(IF(Metadata!E97="",FALSE,TRUE),OR(exact(Metadata!E97,"Plant secretion"),exact(Metadata!E97,"Plant rhizosphere"),exact(Metadata!E97,"Plant surface"),exact(Metadata!E97,"Plant corpus"),exact(Metadata!E97,"Fungus surface"),exact(Metadata!E97,"Fungus corpus"),exact(Metadata!E97,"Animal surface"),exact(Metadata!E97,"Animal proximal gut"),exact(Metadata!E97,"Animal corpus"),exact(Metadata!E97,"Animal distal gut"),exact(Metadata!E97,"Animal secretion")))</f>
        <v>0</v>
      </c>
      <c r="AG97">
        <f>OR(AND(IF(Metadata!F97="",FALSE,TRUE),OR(exact(Metadata!F97,"not collected"),exact(Metadata!F97,"not provided"),exact(Metadata!F97,"restricted access"))),AND(IF(Metadata!F97="",FALSE,TRUE),OR(exact(Metadata!F97,"organism-associated habitat"),exact(Metadata!F97,"plant-associated habitat"),exact(Metadata!F97,"animal-associated habitat"),exact(Metadata!F97,"insecta-associated habitat"),exact(Metadata!F97,"mammalia-associated habitat"),exact(Metadata!F97,"human-associated habitat"),exact(Metadata!F97,"livestock-associated habitat"))))</f>
        <v>0</v>
      </c>
      <c r="AH97">
        <f>AND(IF(Metadata!G97="",FALSE,TRUE),exact(Metadata!G97,"host-associated"))</f>
        <v>0</v>
      </c>
      <c r="AI97">
        <f>OR(AND(IF(Metadata!H97="",FALSE,TRUE),OR(exact(Metadata!H97,"not collected"),exact(Metadata!H97,"not provided"))),AND(IF(Metadata!H97="",FALSE,ISNUMBER(VALUE(Metadata!H97))),Metadata!H97&gt;0))</f>
        <v>0</v>
      </c>
      <c r="AJ97">
        <f>AND(IF(Metadata!I97="",FALSE,TRUE),exact(Metadata!I97,"years"))</f>
        <v>0</v>
      </c>
      <c r="AK97">
        <f>IF(Metadata!J97="",FALSE,TRUE)</f>
        <v>0</v>
      </c>
      <c r="AL97">
        <f>OR(AND(IF(Metadata!K97="",FALSE,TRUE),OR(exact(Metadata!K97,"not collected"),exact(Metadata!K97,"not provided"))),AND(IF(Metadata!K97="",FALSE,ISNUMBER(VALUE(Metadata!K97))),Metadata!K97&gt;0))</f>
        <v>0</v>
      </c>
      <c r="AM97">
        <f>AND(IF(Metadata!L97="",FALSE,TRUE),exact(Metadata!L97,"cm"))</f>
        <v>0</v>
      </c>
      <c r="AN97">
        <f>IF(Metadata!M97="",FALSE,TRUE)</f>
        <v>0</v>
      </c>
      <c r="AO97">
        <f>OR(AND(IF(Metadata!N97="",FALSE,TRUE),OR(exact(Metadata!N97,"not applicable"),exact(Metadata!N97,"not collected"),exact(Metadata!N97,"not provided"))),AND(IF(Metadata!N97="",FALSE,IF(ISERROR(INT(Metadata!N97)),FALSE,INT(Metadata!N97)=Metadata!N97)),Metadata!N97&gt;0))</f>
        <v>0</v>
      </c>
      <c r="AP97">
        <f>OR(AND(IF(Metadata!O97="",FALSE,TRUE),OR(exact(Metadata!O97,"not collected"),exact(Metadata!O97,"not provided"))),AND(IF(Metadata!O97="",FALSE,ISNUMBER(VALUE(Metadata!O97))),Metadata!O97&gt;0))</f>
        <v>0</v>
      </c>
      <c r="AQ97">
        <f>AND(IF(Metadata!P97="",FALSE,TRUE),exact(Metadata!P97,"kg"))</f>
        <v>0</v>
      </c>
      <c r="AR97">
        <f>OR(AND(IF(Metadata!Q97="",FALSE,TRUE),OR(exact(Metadata!Q97,"not applicable"),exact(Metadata!Q97,"not collected"),exact(Metadata!Q97,"not provided"),exact(Metadata!Q97,"restricted access"))),IF(Metadata!Q97="",FALSE,IF(ISERROR(INT(Metadata!Q97)),FALSE,INT(Metadata!Q97)=Metadata!Q97)))</f>
        <v>0</v>
      </c>
      <c r="AS97">
        <f>AND(IF(Metadata!R97="",FALSE,TRUE),exact(Metadata!R97,"Not applicable"))</f>
        <v>0</v>
      </c>
    </row>
    <row r="98" spans="1:45">
      <c r="A98" s="4">
        <f>IF(B98=" "," ",HYPERLINK(CONCATENATE("#metadata!",ADDRESS(INDEX($X$2:$X$1001,MATCH(ROWS($V$2:V98),$V$2:$V$1001,0),0),2)),INDEX($AA$2:$AA$1001,MATCH(ROWS($V$2:V98),$V$2:$V$1001,0),0)))</f>
        <v>0</v>
      </c>
      <c r="B98" s="5">
        <f>IF(OR(INDEX($W$2:$W$1001,MATCH(ROWS($V$2:V98),$V$2:$V$1001,0),1)&gt;=100000,INDEX($AC$1005:$AS$1005,1,MATCH(COLUMNS($AC$1006:AC1006),$AC$1006:$AS$1006,0))&gt;=100000), " ",IF(INDEX($AC$2:$AS$1001,MATCH(ROWS($V$2:V98),$V$2:$V$1001,0),MATCH(COLUMNS($AC$1006:AC1006),$AC$1006:$AS$1006,0)), HYPERLINK("#",""), HYPERLINK(CONCATENATE("#Metadata!", ADDRESS(INDEX($X$2:$X$1001,MATCH(ROWS($V$2:V98),$V$2:$V$1001,0),0), INDEX($AC$1004:$AS$1004,1,MATCH(COLUMNS($AC$1006:AC1006),$AC$1006:$AS$1006,0)))),"Fix")))</f>
        <v>0</v>
      </c>
      <c r="C98" s="5">
        <f>IF(OR(INDEX($W$2:$W$1001,MATCH(ROWS($V$2:V98),$V$2:$V$1001,0),1)&gt;=100000,INDEX($AC$1005:$AS$1005,1,MATCH(COLUMNS($AC$1006:AD1006),$AC$1006:$AS$1006,0))&gt;=100000), " ",IF(INDEX($AC$2:$AS$1001,MATCH(ROWS($V$2:V98),$V$2:$V$1001,0),MATCH(COLUMNS($AC$1006:AD1006),$AC$1006:$AS$1006,0)), HYPERLINK("#",""), HYPERLINK(CONCATENATE("#Metadata!", ADDRESS(INDEX($X$2:$X$1001,MATCH(ROWS($V$2:V98),$V$2:$V$1001,0),0), INDEX($AC$1004:$AS$1004,1,MATCH(COLUMNS($AC$1006:AD1006),$AC$1006:$AS$1006,0)))),"Fix")))</f>
        <v>0</v>
      </c>
      <c r="D98" s="5">
        <f>IF(OR(INDEX($W$2:$W$1001,MATCH(ROWS($V$2:V98),$V$2:$V$1001,0),1)&gt;=100000,INDEX($AC$1005:$AS$1005,1,MATCH(COLUMNS($AC$1006:AE1006),$AC$1006:$AS$1006,0))&gt;=100000), " ",IF(INDEX($AC$2:$AS$1001,MATCH(ROWS($V$2:V98),$V$2:$V$1001,0),MATCH(COLUMNS($AC$1006:AE1006),$AC$1006:$AS$1006,0)), HYPERLINK("#",""), HYPERLINK(CONCATENATE("#Metadata!", ADDRESS(INDEX($X$2:$X$1001,MATCH(ROWS($V$2:V98),$V$2:$V$1001,0),0), INDEX($AC$1004:$AS$1004,1,MATCH(COLUMNS($AC$1006:AE1006),$AC$1006:$AS$1006,0)))),"Fix")))</f>
        <v>0</v>
      </c>
      <c r="E98" s="5">
        <f>IF(OR(INDEX($W$2:$W$1001,MATCH(ROWS($V$2:V98),$V$2:$V$1001,0),1)&gt;=100000,INDEX($AC$1005:$AS$1005,1,MATCH(COLUMNS($AC$1006:AF1006),$AC$1006:$AS$1006,0))&gt;=100000), " ",IF(INDEX($AC$2:$AS$1001,MATCH(ROWS($V$2:V98),$V$2:$V$1001,0),MATCH(COLUMNS($AC$1006:AF1006),$AC$1006:$AS$1006,0)), HYPERLINK("#",""), HYPERLINK(CONCATENATE("#Metadata!", ADDRESS(INDEX($X$2:$X$1001,MATCH(ROWS($V$2:V98),$V$2:$V$1001,0),0), INDEX($AC$1004:$AS$1004,1,MATCH(COLUMNS($AC$1006:AF1006),$AC$1006:$AS$1006,0)))),"Fix")))</f>
        <v>0</v>
      </c>
      <c r="F98" s="5">
        <f>IF(OR(INDEX($W$2:$W$1001,MATCH(ROWS($V$2:V98),$V$2:$V$1001,0),1)&gt;=100000,INDEX($AC$1005:$AS$1005,1,MATCH(COLUMNS($AC$1006:AG1006),$AC$1006:$AS$1006,0))&gt;=100000), " ",IF(INDEX($AC$2:$AS$1001,MATCH(ROWS($V$2:V98),$V$2:$V$1001,0),MATCH(COLUMNS($AC$1006:AG1006),$AC$1006:$AS$1006,0)), HYPERLINK("#",""), HYPERLINK(CONCATENATE("#Metadata!", ADDRESS(INDEX($X$2:$X$1001,MATCH(ROWS($V$2:V98),$V$2:$V$1001,0),0), INDEX($AC$1004:$AS$1004,1,MATCH(COLUMNS($AC$1006:AG1006),$AC$1006:$AS$1006,0)))),"Fix")))</f>
        <v>0</v>
      </c>
      <c r="G98" s="5">
        <f>IF(OR(INDEX($W$2:$W$1001,MATCH(ROWS($V$2:V98),$V$2:$V$1001,0),1)&gt;=100000,INDEX($AC$1005:$AS$1005,1,MATCH(COLUMNS($AC$1006:AH1006),$AC$1006:$AS$1006,0))&gt;=100000), " ",IF(INDEX($AC$2:$AS$1001,MATCH(ROWS($V$2:V98),$V$2:$V$1001,0),MATCH(COLUMNS($AC$1006:AH1006),$AC$1006:$AS$1006,0)), HYPERLINK("#",""), HYPERLINK(CONCATENATE("#Metadata!", ADDRESS(INDEX($X$2:$X$1001,MATCH(ROWS($V$2:V98),$V$2:$V$1001,0),0), INDEX($AC$1004:$AS$1004,1,MATCH(COLUMNS($AC$1006:AH1006),$AC$1006:$AS$1006,0)))),"Fix")))</f>
        <v>0</v>
      </c>
      <c r="H98" s="5">
        <f>IF(OR(INDEX($W$2:$W$1001,MATCH(ROWS($V$2:V98),$V$2:$V$1001,0),1)&gt;=100000,INDEX($AC$1005:$AS$1005,1,MATCH(COLUMNS($AC$1006:AI1006),$AC$1006:$AS$1006,0))&gt;=100000), " ",IF(INDEX($AC$2:$AS$1001,MATCH(ROWS($V$2:V98),$V$2:$V$1001,0),MATCH(COLUMNS($AC$1006:AI1006),$AC$1006:$AS$1006,0)), HYPERLINK("#",""), HYPERLINK(CONCATENATE("#Metadata!", ADDRESS(INDEX($X$2:$X$1001,MATCH(ROWS($V$2:V98),$V$2:$V$1001,0),0), INDEX($AC$1004:$AS$1004,1,MATCH(COLUMNS($AC$1006:AI1006),$AC$1006:$AS$1006,0)))),"Fix")))</f>
        <v>0</v>
      </c>
      <c r="I98" s="5">
        <f>IF(OR(INDEX($W$2:$W$1001,MATCH(ROWS($V$2:V98),$V$2:$V$1001,0),1)&gt;=100000,INDEX($AC$1005:$AS$1005,1,MATCH(COLUMNS($AC$1006:AJ1006),$AC$1006:$AS$1006,0))&gt;=100000), " ",IF(INDEX($AC$2:$AS$1001,MATCH(ROWS($V$2:V98),$V$2:$V$1001,0),MATCH(COLUMNS($AC$1006:AJ1006),$AC$1006:$AS$1006,0)), HYPERLINK("#",""), HYPERLINK(CONCATENATE("#Metadata!", ADDRESS(INDEX($X$2:$X$1001,MATCH(ROWS($V$2:V98),$V$2:$V$1001,0),0), INDEX($AC$1004:$AS$1004,1,MATCH(COLUMNS($AC$1006:AJ1006),$AC$1006:$AS$1006,0)))),"Fix")))</f>
        <v>0</v>
      </c>
      <c r="J98" s="5">
        <f>IF(OR(INDEX($W$2:$W$1001,MATCH(ROWS($V$2:V98),$V$2:$V$1001,0),1)&gt;=100000,INDEX($AC$1005:$AS$1005,1,MATCH(COLUMNS($AC$1006:AK1006),$AC$1006:$AS$1006,0))&gt;=100000), " ",IF(INDEX($AC$2:$AS$1001,MATCH(ROWS($V$2:V98),$V$2:$V$1001,0),MATCH(COLUMNS($AC$1006:AK1006),$AC$1006:$AS$1006,0)), HYPERLINK("#",""), HYPERLINK(CONCATENATE("#Metadata!", ADDRESS(INDEX($X$2:$X$1001,MATCH(ROWS($V$2:V98),$V$2:$V$1001,0),0), INDEX($AC$1004:$AS$1004,1,MATCH(COLUMNS($AC$1006:AK1006),$AC$1006:$AS$1006,0)))),"Fix")))</f>
        <v>0</v>
      </c>
      <c r="K98" s="5">
        <f>IF(OR(INDEX($W$2:$W$1001,MATCH(ROWS($V$2:V98),$V$2:$V$1001,0),1)&gt;=100000,INDEX($AC$1005:$AS$1005,1,MATCH(COLUMNS($AC$1006:AL1006),$AC$1006:$AS$1006,0))&gt;=100000), " ",IF(INDEX($AC$2:$AS$1001,MATCH(ROWS($V$2:V98),$V$2:$V$1001,0),MATCH(COLUMNS($AC$1006:AL1006),$AC$1006:$AS$1006,0)), HYPERLINK("#",""), HYPERLINK(CONCATENATE("#Metadata!", ADDRESS(INDEX($X$2:$X$1001,MATCH(ROWS($V$2:V98),$V$2:$V$1001,0),0), INDEX($AC$1004:$AS$1004,1,MATCH(COLUMNS($AC$1006:AL1006),$AC$1006:$AS$1006,0)))),"Fix")))</f>
        <v>0</v>
      </c>
      <c r="L98" s="5">
        <f>IF(OR(INDEX($W$2:$W$1001,MATCH(ROWS($V$2:V98),$V$2:$V$1001,0),1)&gt;=100000,INDEX($AC$1005:$AS$1005,1,MATCH(COLUMNS($AC$1006:AM1006),$AC$1006:$AS$1006,0))&gt;=100000), " ",IF(INDEX($AC$2:$AS$1001,MATCH(ROWS($V$2:V98),$V$2:$V$1001,0),MATCH(COLUMNS($AC$1006:AM1006),$AC$1006:$AS$1006,0)), HYPERLINK("#",""), HYPERLINK(CONCATENATE("#Metadata!", ADDRESS(INDEX($X$2:$X$1001,MATCH(ROWS($V$2:V98),$V$2:$V$1001,0),0), INDEX($AC$1004:$AS$1004,1,MATCH(COLUMNS($AC$1006:AM1006),$AC$1006:$AS$1006,0)))),"Fix")))</f>
        <v>0</v>
      </c>
      <c r="M98" s="5">
        <f>IF(OR(INDEX($W$2:$W$1001,MATCH(ROWS($V$2:V98),$V$2:$V$1001,0),1)&gt;=100000,INDEX($AC$1005:$AS$1005,1,MATCH(COLUMNS($AC$1006:AN1006),$AC$1006:$AS$1006,0))&gt;=100000), " ",IF(INDEX($AC$2:$AS$1001,MATCH(ROWS($V$2:V98),$V$2:$V$1001,0),MATCH(COLUMNS($AC$1006:AN1006),$AC$1006:$AS$1006,0)), HYPERLINK("#",""), HYPERLINK(CONCATENATE("#Metadata!", ADDRESS(INDEX($X$2:$X$1001,MATCH(ROWS($V$2:V98),$V$2:$V$1001,0),0), INDEX($AC$1004:$AS$1004,1,MATCH(COLUMNS($AC$1006:AN1006),$AC$1006:$AS$1006,0)))),"Fix")))</f>
        <v>0</v>
      </c>
      <c r="N98" s="5">
        <f>IF(OR(INDEX($W$2:$W$1001,MATCH(ROWS($V$2:V98),$V$2:$V$1001,0),1)&gt;=100000,INDEX($AC$1005:$AS$1005,1,MATCH(COLUMNS($AC$1006:AO1006),$AC$1006:$AS$1006,0))&gt;=100000), " ",IF(INDEX($AC$2:$AS$1001,MATCH(ROWS($V$2:V98),$V$2:$V$1001,0),MATCH(COLUMNS($AC$1006:AO1006),$AC$1006:$AS$1006,0)), HYPERLINK("#",""), HYPERLINK(CONCATENATE("#Metadata!", ADDRESS(INDEX($X$2:$X$1001,MATCH(ROWS($V$2:V98),$V$2:$V$1001,0),0), INDEX($AC$1004:$AS$1004,1,MATCH(COLUMNS($AC$1006:AO1006),$AC$1006:$AS$1006,0)))),"Fix")))</f>
        <v>0</v>
      </c>
      <c r="O98" s="5">
        <f>IF(OR(INDEX($W$2:$W$1001,MATCH(ROWS($V$2:V98),$V$2:$V$1001,0),1)&gt;=100000,INDEX($AC$1005:$AS$1005,1,MATCH(COLUMNS($AC$1006:AP1006),$AC$1006:$AS$1006,0))&gt;=100000), " ",IF(INDEX($AC$2:$AS$1001,MATCH(ROWS($V$2:V98),$V$2:$V$1001,0),MATCH(COLUMNS($AC$1006:AP1006),$AC$1006:$AS$1006,0)), HYPERLINK("#",""), HYPERLINK(CONCATENATE("#Metadata!", ADDRESS(INDEX($X$2:$X$1001,MATCH(ROWS($V$2:V98),$V$2:$V$1001,0),0), INDEX($AC$1004:$AS$1004,1,MATCH(COLUMNS($AC$1006:AP1006),$AC$1006:$AS$1006,0)))),"Fix")))</f>
        <v>0</v>
      </c>
      <c r="P98" s="5">
        <f>IF(OR(INDEX($W$2:$W$1001,MATCH(ROWS($V$2:V98),$V$2:$V$1001,0),1)&gt;=100000,INDEX($AC$1005:$AS$1005,1,MATCH(COLUMNS($AC$1006:AQ1006),$AC$1006:$AS$1006,0))&gt;=100000), " ",IF(INDEX($AC$2:$AS$1001,MATCH(ROWS($V$2:V98),$V$2:$V$1001,0),MATCH(COLUMNS($AC$1006:AQ1006),$AC$1006:$AS$1006,0)), HYPERLINK("#",""), HYPERLINK(CONCATENATE("#Metadata!", ADDRESS(INDEX($X$2:$X$1001,MATCH(ROWS($V$2:V98),$V$2:$V$1001,0),0), INDEX($AC$1004:$AS$1004,1,MATCH(COLUMNS($AC$1006:AQ1006),$AC$1006:$AS$1006,0)))),"Fix")))</f>
        <v>0</v>
      </c>
      <c r="Q98" s="5">
        <f>IF(OR(INDEX($W$2:$W$1001,MATCH(ROWS($V$2:V98),$V$2:$V$1001,0),1)&gt;=100000,INDEX($AC$1005:$AS$1005,1,MATCH(COLUMNS($AC$1006:AR1006),$AC$1006:$AS$1006,0))&gt;=100000), " ",IF(INDEX($AC$2:$AS$1001,MATCH(ROWS($V$2:V98),$V$2:$V$1001,0),MATCH(COLUMNS($AC$1006:AR1006),$AC$1006:$AS$1006,0)), HYPERLINK("#",""), HYPERLINK(CONCATENATE("#Metadata!", ADDRESS(INDEX($X$2:$X$1001,MATCH(ROWS($V$2:V98),$V$2:$V$1001,0),0), INDEX($AC$1004:$AS$1004,1,MATCH(COLUMNS($AC$1006:AR1006),$AC$1006:$AS$1006,0)))),"Fix")))</f>
        <v>0</v>
      </c>
      <c r="R98" s="5">
        <f>IF(OR(INDEX($W$2:$W$1001,MATCH(ROWS($V$2:V98),$V$2:$V$1001,0),1)&gt;=100000,INDEX($AC$1005:$AS$1005,1,MATCH(COLUMNS($AC$1006:AS1006),$AC$1006:$AS$1006,0))&gt;=100000), " ",IF(INDEX($AC$2:$AS$1001,MATCH(ROWS($V$2:V98),$V$2:$V$1001,0),MATCH(COLUMNS($AC$1006:AS1006),$AC$1006:$AS$1006,0)), HYPERLINK("#",""), HYPERLINK(CONCATENATE("#Metadata!", ADDRESS(INDEX($X$2:$X$1001,MATCH(ROWS($V$2:V98),$V$2:$V$1001,0),0), INDEX($AC$1004:$AS$1004,1,MATCH(COLUMNS($AC$1006:AS1006),$AC$1006:$AS$1006,0)))),"Fix")))</f>
        <v>0</v>
      </c>
      <c r="V98">
        <v>0</v>
      </c>
      <c r="W98">
        <v>0</v>
      </c>
      <c r="X98">
        <v>0</v>
      </c>
      <c r="Y98">
        <f>IF(Z98,TRUE,AND(AC98:AS98))</f>
        <v>0</v>
      </c>
      <c r="Z98">
        <f>COUNTBLANK(Metadata!B98:R98)=COLUMNS(Metadata!B98:R98)</f>
        <v>0</v>
      </c>
      <c r="AA98">
        <v>0</v>
      </c>
      <c r="AC98">
        <f>AND(IF(Metadata!B98="",FALSE,TRUE),COUNTIF(Metadata!B:B, Metadata!B98) = 1,NOT(ISERROR(SUMPRODUCT(SEARCH(MID(Metadata!B98,ROW(INDIRECT("1:"&amp;LEN(Metadata!B98))), 1),"0123456789abcdefghijklmnopqrstuvwxyzABCDEFGHIJKLMNOPQRSTUVWXYZ.")))))</f>
        <v>0</v>
      </c>
      <c r="AD98">
        <f>AND(IF(Metadata!C98="",FALSE,TRUE),exact(Metadata!C98,"Host-associated"))</f>
        <v>0</v>
      </c>
      <c r="AE98">
        <f>AND(IF(Metadata!D98="",FALSE,TRUE),OR(exact(Metadata!D98,"Animal"),exact(Metadata!D98,"Fungus"),exact(Metadata!D98,"Plant")))</f>
        <v>0</v>
      </c>
      <c r="AF98">
        <f>AND(IF(Metadata!E98="",FALSE,TRUE),OR(exact(Metadata!E98,"Plant secretion"),exact(Metadata!E98,"Plant rhizosphere"),exact(Metadata!E98,"Plant surface"),exact(Metadata!E98,"Plant corpus"),exact(Metadata!E98,"Fungus surface"),exact(Metadata!E98,"Fungus corpus"),exact(Metadata!E98,"Animal surface"),exact(Metadata!E98,"Animal proximal gut"),exact(Metadata!E98,"Animal corpus"),exact(Metadata!E98,"Animal distal gut"),exact(Metadata!E98,"Animal secretion")))</f>
        <v>0</v>
      </c>
      <c r="AG98">
        <f>OR(AND(IF(Metadata!F98="",FALSE,TRUE),OR(exact(Metadata!F98,"not collected"),exact(Metadata!F98,"not provided"),exact(Metadata!F98,"restricted access"))),AND(IF(Metadata!F98="",FALSE,TRUE),OR(exact(Metadata!F98,"organism-associated habitat"),exact(Metadata!F98,"plant-associated habitat"),exact(Metadata!F98,"animal-associated habitat"),exact(Metadata!F98,"insecta-associated habitat"),exact(Metadata!F98,"mammalia-associated habitat"),exact(Metadata!F98,"human-associated habitat"),exact(Metadata!F98,"livestock-associated habitat"))))</f>
        <v>0</v>
      </c>
      <c r="AH98">
        <f>AND(IF(Metadata!G98="",FALSE,TRUE),exact(Metadata!G98,"host-associated"))</f>
        <v>0</v>
      </c>
      <c r="AI98">
        <f>OR(AND(IF(Metadata!H98="",FALSE,TRUE),OR(exact(Metadata!H98,"not collected"),exact(Metadata!H98,"not provided"))),AND(IF(Metadata!H98="",FALSE,ISNUMBER(VALUE(Metadata!H98))),Metadata!H98&gt;0))</f>
        <v>0</v>
      </c>
      <c r="AJ98">
        <f>AND(IF(Metadata!I98="",FALSE,TRUE),exact(Metadata!I98,"years"))</f>
        <v>0</v>
      </c>
      <c r="AK98">
        <f>IF(Metadata!J98="",FALSE,TRUE)</f>
        <v>0</v>
      </c>
      <c r="AL98">
        <f>OR(AND(IF(Metadata!K98="",FALSE,TRUE),OR(exact(Metadata!K98,"not collected"),exact(Metadata!K98,"not provided"))),AND(IF(Metadata!K98="",FALSE,ISNUMBER(VALUE(Metadata!K98))),Metadata!K98&gt;0))</f>
        <v>0</v>
      </c>
      <c r="AM98">
        <f>AND(IF(Metadata!L98="",FALSE,TRUE),exact(Metadata!L98,"cm"))</f>
        <v>0</v>
      </c>
      <c r="AN98">
        <f>IF(Metadata!M98="",FALSE,TRUE)</f>
        <v>0</v>
      </c>
      <c r="AO98">
        <f>OR(AND(IF(Metadata!N98="",FALSE,TRUE),OR(exact(Metadata!N98,"not applicable"),exact(Metadata!N98,"not collected"),exact(Metadata!N98,"not provided"))),AND(IF(Metadata!N98="",FALSE,IF(ISERROR(INT(Metadata!N98)),FALSE,INT(Metadata!N98)=Metadata!N98)),Metadata!N98&gt;0))</f>
        <v>0</v>
      </c>
      <c r="AP98">
        <f>OR(AND(IF(Metadata!O98="",FALSE,TRUE),OR(exact(Metadata!O98,"not collected"),exact(Metadata!O98,"not provided"))),AND(IF(Metadata!O98="",FALSE,ISNUMBER(VALUE(Metadata!O98))),Metadata!O98&gt;0))</f>
        <v>0</v>
      </c>
      <c r="AQ98">
        <f>AND(IF(Metadata!P98="",FALSE,TRUE),exact(Metadata!P98,"kg"))</f>
        <v>0</v>
      </c>
      <c r="AR98">
        <f>OR(AND(IF(Metadata!Q98="",FALSE,TRUE),OR(exact(Metadata!Q98,"not applicable"),exact(Metadata!Q98,"not collected"),exact(Metadata!Q98,"not provided"),exact(Metadata!Q98,"restricted access"))),IF(Metadata!Q98="",FALSE,IF(ISERROR(INT(Metadata!Q98)),FALSE,INT(Metadata!Q98)=Metadata!Q98)))</f>
        <v>0</v>
      </c>
      <c r="AS98">
        <f>AND(IF(Metadata!R98="",FALSE,TRUE),exact(Metadata!R98,"Not applicable"))</f>
        <v>0</v>
      </c>
    </row>
    <row r="99" spans="1:45">
      <c r="A99" s="4">
        <f>IF(B99=" "," ",HYPERLINK(CONCATENATE("#metadata!",ADDRESS(INDEX($X$2:$X$1001,MATCH(ROWS($V$2:V99),$V$2:$V$1001,0),0),2)),INDEX($AA$2:$AA$1001,MATCH(ROWS($V$2:V99),$V$2:$V$1001,0),0)))</f>
        <v>0</v>
      </c>
      <c r="B99" s="5">
        <f>IF(OR(INDEX($W$2:$W$1001,MATCH(ROWS($V$2:V99),$V$2:$V$1001,0),1)&gt;=100000,INDEX($AC$1005:$AS$1005,1,MATCH(COLUMNS($AC$1006:AC1006),$AC$1006:$AS$1006,0))&gt;=100000), " ",IF(INDEX($AC$2:$AS$1001,MATCH(ROWS($V$2:V99),$V$2:$V$1001,0),MATCH(COLUMNS($AC$1006:AC1006),$AC$1006:$AS$1006,0)), HYPERLINK("#",""), HYPERLINK(CONCATENATE("#Metadata!", ADDRESS(INDEX($X$2:$X$1001,MATCH(ROWS($V$2:V99),$V$2:$V$1001,0),0), INDEX($AC$1004:$AS$1004,1,MATCH(COLUMNS($AC$1006:AC1006),$AC$1006:$AS$1006,0)))),"Fix")))</f>
        <v>0</v>
      </c>
      <c r="C99" s="5">
        <f>IF(OR(INDEX($W$2:$W$1001,MATCH(ROWS($V$2:V99),$V$2:$V$1001,0),1)&gt;=100000,INDEX($AC$1005:$AS$1005,1,MATCH(COLUMNS($AC$1006:AD1006),$AC$1006:$AS$1006,0))&gt;=100000), " ",IF(INDEX($AC$2:$AS$1001,MATCH(ROWS($V$2:V99),$V$2:$V$1001,0),MATCH(COLUMNS($AC$1006:AD1006),$AC$1006:$AS$1006,0)), HYPERLINK("#",""), HYPERLINK(CONCATENATE("#Metadata!", ADDRESS(INDEX($X$2:$X$1001,MATCH(ROWS($V$2:V99),$V$2:$V$1001,0),0), INDEX($AC$1004:$AS$1004,1,MATCH(COLUMNS($AC$1006:AD1006),$AC$1006:$AS$1006,0)))),"Fix")))</f>
        <v>0</v>
      </c>
      <c r="D99" s="5">
        <f>IF(OR(INDEX($W$2:$W$1001,MATCH(ROWS($V$2:V99),$V$2:$V$1001,0),1)&gt;=100000,INDEX($AC$1005:$AS$1005,1,MATCH(COLUMNS($AC$1006:AE1006),$AC$1006:$AS$1006,0))&gt;=100000), " ",IF(INDEX($AC$2:$AS$1001,MATCH(ROWS($V$2:V99),$V$2:$V$1001,0),MATCH(COLUMNS($AC$1006:AE1006),$AC$1006:$AS$1006,0)), HYPERLINK("#",""), HYPERLINK(CONCATENATE("#Metadata!", ADDRESS(INDEX($X$2:$X$1001,MATCH(ROWS($V$2:V99),$V$2:$V$1001,0),0), INDEX($AC$1004:$AS$1004,1,MATCH(COLUMNS($AC$1006:AE1006),$AC$1006:$AS$1006,0)))),"Fix")))</f>
        <v>0</v>
      </c>
      <c r="E99" s="5">
        <f>IF(OR(INDEX($W$2:$W$1001,MATCH(ROWS($V$2:V99),$V$2:$V$1001,0),1)&gt;=100000,INDEX($AC$1005:$AS$1005,1,MATCH(COLUMNS($AC$1006:AF1006),$AC$1006:$AS$1006,0))&gt;=100000), " ",IF(INDEX($AC$2:$AS$1001,MATCH(ROWS($V$2:V99),$V$2:$V$1001,0),MATCH(COLUMNS($AC$1006:AF1006),$AC$1006:$AS$1006,0)), HYPERLINK("#",""), HYPERLINK(CONCATENATE("#Metadata!", ADDRESS(INDEX($X$2:$X$1001,MATCH(ROWS($V$2:V99),$V$2:$V$1001,0),0), INDEX($AC$1004:$AS$1004,1,MATCH(COLUMNS($AC$1006:AF1006),$AC$1006:$AS$1006,0)))),"Fix")))</f>
        <v>0</v>
      </c>
      <c r="F99" s="5">
        <f>IF(OR(INDEX($W$2:$W$1001,MATCH(ROWS($V$2:V99),$V$2:$V$1001,0),1)&gt;=100000,INDEX($AC$1005:$AS$1005,1,MATCH(COLUMNS($AC$1006:AG1006),$AC$1006:$AS$1006,0))&gt;=100000), " ",IF(INDEX($AC$2:$AS$1001,MATCH(ROWS($V$2:V99),$V$2:$V$1001,0),MATCH(COLUMNS($AC$1006:AG1006),$AC$1006:$AS$1006,0)), HYPERLINK("#",""), HYPERLINK(CONCATENATE("#Metadata!", ADDRESS(INDEX($X$2:$X$1001,MATCH(ROWS($V$2:V99),$V$2:$V$1001,0),0), INDEX($AC$1004:$AS$1004,1,MATCH(COLUMNS($AC$1006:AG1006),$AC$1006:$AS$1006,0)))),"Fix")))</f>
        <v>0</v>
      </c>
      <c r="G99" s="5">
        <f>IF(OR(INDEX($W$2:$W$1001,MATCH(ROWS($V$2:V99),$V$2:$V$1001,0),1)&gt;=100000,INDEX($AC$1005:$AS$1005,1,MATCH(COLUMNS($AC$1006:AH1006),$AC$1006:$AS$1006,0))&gt;=100000), " ",IF(INDEX($AC$2:$AS$1001,MATCH(ROWS($V$2:V99),$V$2:$V$1001,0),MATCH(COLUMNS($AC$1006:AH1006),$AC$1006:$AS$1006,0)), HYPERLINK("#",""), HYPERLINK(CONCATENATE("#Metadata!", ADDRESS(INDEX($X$2:$X$1001,MATCH(ROWS($V$2:V99),$V$2:$V$1001,0),0), INDEX($AC$1004:$AS$1004,1,MATCH(COLUMNS($AC$1006:AH1006),$AC$1006:$AS$1006,0)))),"Fix")))</f>
        <v>0</v>
      </c>
      <c r="H99" s="5">
        <f>IF(OR(INDEX($W$2:$W$1001,MATCH(ROWS($V$2:V99),$V$2:$V$1001,0),1)&gt;=100000,INDEX($AC$1005:$AS$1005,1,MATCH(COLUMNS($AC$1006:AI1006),$AC$1006:$AS$1006,0))&gt;=100000), " ",IF(INDEX($AC$2:$AS$1001,MATCH(ROWS($V$2:V99),$V$2:$V$1001,0),MATCH(COLUMNS($AC$1006:AI1006),$AC$1006:$AS$1006,0)), HYPERLINK("#",""), HYPERLINK(CONCATENATE("#Metadata!", ADDRESS(INDEX($X$2:$X$1001,MATCH(ROWS($V$2:V99),$V$2:$V$1001,0),0), INDEX($AC$1004:$AS$1004,1,MATCH(COLUMNS($AC$1006:AI1006),$AC$1006:$AS$1006,0)))),"Fix")))</f>
        <v>0</v>
      </c>
      <c r="I99" s="5">
        <f>IF(OR(INDEX($W$2:$W$1001,MATCH(ROWS($V$2:V99),$V$2:$V$1001,0),1)&gt;=100000,INDEX($AC$1005:$AS$1005,1,MATCH(COLUMNS($AC$1006:AJ1006),$AC$1006:$AS$1006,0))&gt;=100000), " ",IF(INDEX($AC$2:$AS$1001,MATCH(ROWS($V$2:V99),$V$2:$V$1001,0),MATCH(COLUMNS($AC$1006:AJ1006),$AC$1006:$AS$1006,0)), HYPERLINK("#",""), HYPERLINK(CONCATENATE("#Metadata!", ADDRESS(INDEX($X$2:$X$1001,MATCH(ROWS($V$2:V99),$V$2:$V$1001,0),0), INDEX($AC$1004:$AS$1004,1,MATCH(COLUMNS($AC$1006:AJ1006),$AC$1006:$AS$1006,0)))),"Fix")))</f>
        <v>0</v>
      </c>
      <c r="J99" s="5">
        <f>IF(OR(INDEX($W$2:$W$1001,MATCH(ROWS($V$2:V99),$V$2:$V$1001,0),1)&gt;=100000,INDEX($AC$1005:$AS$1005,1,MATCH(COLUMNS($AC$1006:AK1006),$AC$1006:$AS$1006,0))&gt;=100000), " ",IF(INDEX($AC$2:$AS$1001,MATCH(ROWS($V$2:V99),$V$2:$V$1001,0),MATCH(COLUMNS($AC$1006:AK1006),$AC$1006:$AS$1006,0)), HYPERLINK("#",""), HYPERLINK(CONCATENATE("#Metadata!", ADDRESS(INDEX($X$2:$X$1001,MATCH(ROWS($V$2:V99),$V$2:$V$1001,0),0), INDEX($AC$1004:$AS$1004,1,MATCH(COLUMNS($AC$1006:AK1006),$AC$1006:$AS$1006,0)))),"Fix")))</f>
        <v>0</v>
      </c>
      <c r="K99" s="5">
        <f>IF(OR(INDEX($W$2:$W$1001,MATCH(ROWS($V$2:V99),$V$2:$V$1001,0),1)&gt;=100000,INDEX($AC$1005:$AS$1005,1,MATCH(COLUMNS($AC$1006:AL1006),$AC$1006:$AS$1006,0))&gt;=100000), " ",IF(INDEX($AC$2:$AS$1001,MATCH(ROWS($V$2:V99),$V$2:$V$1001,0),MATCH(COLUMNS($AC$1006:AL1006),$AC$1006:$AS$1006,0)), HYPERLINK("#",""), HYPERLINK(CONCATENATE("#Metadata!", ADDRESS(INDEX($X$2:$X$1001,MATCH(ROWS($V$2:V99),$V$2:$V$1001,0),0), INDEX($AC$1004:$AS$1004,1,MATCH(COLUMNS($AC$1006:AL1006),$AC$1006:$AS$1006,0)))),"Fix")))</f>
        <v>0</v>
      </c>
      <c r="L99" s="5">
        <f>IF(OR(INDEX($W$2:$W$1001,MATCH(ROWS($V$2:V99),$V$2:$V$1001,0),1)&gt;=100000,INDEX($AC$1005:$AS$1005,1,MATCH(COLUMNS($AC$1006:AM1006),$AC$1006:$AS$1006,0))&gt;=100000), " ",IF(INDEX($AC$2:$AS$1001,MATCH(ROWS($V$2:V99),$V$2:$V$1001,0),MATCH(COLUMNS($AC$1006:AM1006),$AC$1006:$AS$1006,0)), HYPERLINK("#",""), HYPERLINK(CONCATENATE("#Metadata!", ADDRESS(INDEX($X$2:$X$1001,MATCH(ROWS($V$2:V99),$V$2:$V$1001,0),0), INDEX($AC$1004:$AS$1004,1,MATCH(COLUMNS($AC$1006:AM1006),$AC$1006:$AS$1006,0)))),"Fix")))</f>
        <v>0</v>
      </c>
      <c r="M99" s="5">
        <f>IF(OR(INDEX($W$2:$W$1001,MATCH(ROWS($V$2:V99),$V$2:$V$1001,0),1)&gt;=100000,INDEX($AC$1005:$AS$1005,1,MATCH(COLUMNS($AC$1006:AN1006),$AC$1006:$AS$1006,0))&gt;=100000), " ",IF(INDEX($AC$2:$AS$1001,MATCH(ROWS($V$2:V99),$V$2:$V$1001,0),MATCH(COLUMNS($AC$1006:AN1006),$AC$1006:$AS$1006,0)), HYPERLINK("#",""), HYPERLINK(CONCATENATE("#Metadata!", ADDRESS(INDEX($X$2:$X$1001,MATCH(ROWS($V$2:V99),$V$2:$V$1001,0),0), INDEX($AC$1004:$AS$1004,1,MATCH(COLUMNS($AC$1006:AN1006),$AC$1006:$AS$1006,0)))),"Fix")))</f>
        <v>0</v>
      </c>
      <c r="N99" s="5">
        <f>IF(OR(INDEX($W$2:$W$1001,MATCH(ROWS($V$2:V99),$V$2:$V$1001,0),1)&gt;=100000,INDEX($AC$1005:$AS$1005,1,MATCH(COLUMNS($AC$1006:AO1006),$AC$1006:$AS$1006,0))&gt;=100000), " ",IF(INDEX($AC$2:$AS$1001,MATCH(ROWS($V$2:V99),$V$2:$V$1001,0),MATCH(COLUMNS($AC$1006:AO1006),$AC$1006:$AS$1006,0)), HYPERLINK("#",""), HYPERLINK(CONCATENATE("#Metadata!", ADDRESS(INDEX($X$2:$X$1001,MATCH(ROWS($V$2:V99),$V$2:$V$1001,0),0), INDEX($AC$1004:$AS$1004,1,MATCH(COLUMNS($AC$1006:AO1006),$AC$1006:$AS$1006,0)))),"Fix")))</f>
        <v>0</v>
      </c>
      <c r="O99" s="5">
        <f>IF(OR(INDEX($W$2:$W$1001,MATCH(ROWS($V$2:V99),$V$2:$V$1001,0),1)&gt;=100000,INDEX($AC$1005:$AS$1005,1,MATCH(COLUMNS($AC$1006:AP1006),$AC$1006:$AS$1006,0))&gt;=100000), " ",IF(INDEX($AC$2:$AS$1001,MATCH(ROWS($V$2:V99),$V$2:$V$1001,0),MATCH(COLUMNS($AC$1006:AP1006),$AC$1006:$AS$1006,0)), HYPERLINK("#",""), HYPERLINK(CONCATENATE("#Metadata!", ADDRESS(INDEX($X$2:$X$1001,MATCH(ROWS($V$2:V99),$V$2:$V$1001,0),0), INDEX($AC$1004:$AS$1004,1,MATCH(COLUMNS($AC$1006:AP1006),$AC$1006:$AS$1006,0)))),"Fix")))</f>
        <v>0</v>
      </c>
      <c r="P99" s="5">
        <f>IF(OR(INDEX($W$2:$W$1001,MATCH(ROWS($V$2:V99),$V$2:$V$1001,0),1)&gt;=100000,INDEX($AC$1005:$AS$1005,1,MATCH(COLUMNS($AC$1006:AQ1006),$AC$1006:$AS$1006,0))&gt;=100000), " ",IF(INDEX($AC$2:$AS$1001,MATCH(ROWS($V$2:V99),$V$2:$V$1001,0),MATCH(COLUMNS($AC$1006:AQ1006),$AC$1006:$AS$1006,0)), HYPERLINK("#",""), HYPERLINK(CONCATENATE("#Metadata!", ADDRESS(INDEX($X$2:$X$1001,MATCH(ROWS($V$2:V99),$V$2:$V$1001,0),0), INDEX($AC$1004:$AS$1004,1,MATCH(COLUMNS($AC$1006:AQ1006),$AC$1006:$AS$1006,0)))),"Fix")))</f>
        <v>0</v>
      </c>
      <c r="Q99" s="5">
        <f>IF(OR(INDEX($W$2:$W$1001,MATCH(ROWS($V$2:V99),$V$2:$V$1001,0),1)&gt;=100000,INDEX($AC$1005:$AS$1005,1,MATCH(COLUMNS($AC$1006:AR1006),$AC$1006:$AS$1006,0))&gt;=100000), " ",IF(INDEX($AC$2:$AS$1001,MATCH(ROWS($V$2:V99),$V$2:$V$1001,0),MATCH(COLUMNS($AC$1006:AR1006),$AC$1006:$AS$1006,0)), HYPERLINK("#",""), HYPERLINK(CONCATENATE("#Metadata!", ADDRESS(INDEX($X$2:$X$1001,MATCH(ROWS($V$2:V99),$V$2:$V$1001,0),0), INDEX($AC$1004:$AS$1004,1,MATCH(COLUMNS($AC$1006:AR1006),$AC$1006:$AS$1006,0)))),"Fix")))</f>
        <v>0</v>
      </c>
      <c r="R99" s="5">
        <f>IF(OR(INDEX($W$2:$W$1001,MATCH(ROWS($V$2:V99),$V$2:$V$1001,0),1)&gt;=100000,INDEX($AC$1005:$AS$1005,1,MATCH(COLUMNS($AC$1006:AS1006),$AC$1006:$AS$1006,0))&gt;=100000), " ",IF(INDEX($AC$2:$AS$1001,MATCH(ROWS($V$2:V99),$V$2:$V$1001,0),MATCH(COLUMNS($AC$1006:AS1006),$AC$1006:$AS$1006,0)), HYPERLINK("#",""), HYPERLINK(CONCATENATE("#Metadata!", ADDRESS(INDEX($X$2:$X$1001,MATCH(ROWS($V$2:V99),$V$2:$V$1001,0),0), INDEX($AC$1004:$AS$1004,1,MATCH(COLUMNS($AC$1006:AS1006),$AC$1006:$AS$1006,0)))),"Fix")))</f>
        <v>0</v>
      </c>
      <c r="V99">
        <v>0</v>
      </c>
      <c r="W99">
        <v>0</v>
      </c>
      <c r="X99">
        <v>0</v>
      </c>
      <c r="Y99">
        <f>IF(Z99,TRUE,AND(AC99:AS99))</f>
        <v>0</v>
      </c>
      <c r="Z99">
        <f>COUNTBLANK(Metadata!B99:R99)=COLUMNS(Metadata!B99:R99)</f>
        <v>0</v>
      </c>
      <c r="AA99">
        <v>0</v>
      </c>
      <c r="AC99">
        <f>AND(IF(Metadata!B99="",FALSE,TRUE),COUNTIF(Metadata!B:B, Metadata!B99) = 1,NOT(ISERROR(SUMPRODUCT(SEARCH(MID(Metadata!B99,ROW(INDIRECT("1:"&amp;LEN(Metadata!B99))), 1),"0123456789abcdefghijklmnopqrstuvwxyzABCDEFGHIJKLMNOPQRSTUVWXYZ.")))))</f>
        <v>0</v>
      </c>
      <c r="AD99">
        <f>AND(IF(Metadata!C99="",FALSE,TRUE),exact(Metadata!C99,"Host-associated"))</f>
        <v>0</v>
      </c>
      <c r="AE99">
        <f>AND(IF(Metadata!D99="",FALSE,TRUE),OR(exact(Metadata!D99,"Animal"),exact(Metadata!D99,"Fungus"),exact(Metadata!D99,"Plant")))</f>
        <v>0</v>
      </c>
      <c r="AF99">
        <f>AND(IF(Metadata!E99="",FALSE,TRUE),OR(exact(Metadata!E99,"Plant secretion"),exact(Metadata!E99,"Plant rhizosphere"),exact(Metadata!E99,"Plant surface"),exact(Metadata!E99,"Plant corpus"),exact(Metadata!E99,"Fungus surface"),exact(Metadata!E99,"Fungus corpus"),exact(Metadata!E99,"Animal surface"),exact(Metadata!E99,"Animal proximal gut"),exact(Metadata!E99,"Animal corpus"),exact(Metadata!E99,"Animal distal gut"),exact(Metadata!E99,"Animal secretion")))</f>
        <v>0</v>
      </c>
      <c r="AG99">
        <f>OR(AND(IF(Metadata!F99="",FALSE,TRUE),OR(exact(Metadata!F99,"not collected"),exact(Metadata!F99,"not provided"),exact(Metadata!F99,"restricted access"))),AND(IF(Metadata!F99="",FALSE,TRUE),OR(exact(Metadata!F99,"organism-associated habitat"),exact(Metadata!F99,"plant-associated habitat"),exact(Metadata!F99,"animal-associated habitat"),exact(Metadata!F99,"insecta-associated habitat"),exact(Metadata!F99,"mammalia-associated habitat"),exact(Metadata!F99,"human-associated habitat"),exact(Metadata!F99,"livestock-associated habitat"))))</f>
        <v>0</v>
      </c>
      <c r="AH99">
        <f>AND(IF(Metadata!G99="",FALSE,TRUE),exact(Metadata!G99,"host-associated"))</f>
        <v>0</v>
      </c>
      <c r="AI99">
        <f>OR(AND(IF(Metadata!H99="",FALSE,TRUE),OR(exact(Metadata!H99,"not collected"),exact(Metadata!H99,"not provided"))),AND(IF(Metadata!H99="",FALSE,ISNUMBER(VALUE(Metadata!H99))),Metadata!H99&gt;0))</f>
        <v>0</v>
      </c>
      <c r="AJ99">
        <f>AND(IF(Metadata!I99="",FALSE,TRUE),exact(Metadata!I99,"years"))</f>
        <v>0</v>
      </c>
      <c r="AK99">
        <f>IF(Metadata!J99="",FALSE,TRUE)</f>
        <v>0</v>
      </c>
      <c r="AL99">
        <f>OR(AND(IF(Metadata!K99="",FALSE,TRUE),OR(exact(Metadata!K99,"not collected"),exact(Metadata!K99,"not provided"))),AND(IF(Metadata!K99="",FALSE,ISNUMBER(VALUE(Metadata!K99))),Metadata!K99&gt;0))</f>
        <v>0</v>
      </c>
      <c r="AM99">
        <f>AND(IF(Metadata!L99="",FALSE,TRUE),exact(Metadata!L99,"cm"))</f>
        <v>0</v>
      </c>
      <c r="AN99">
        <f>IF(Metadata!M99="",FALSE,TRUE)</f>
        <v>0</v>
      </c>
      <c r="AO99">
        <f>OR(AND(IF(Metadata!N99="",FALSE,TRUE),OR(exact(Metadata!N99,"not applicable"),exact(Metadata!N99,"not collected"),exact(Metadata!N99,"not provided"))),AND(IF(Metadata!N99="",FALSE,IF(ISERROR(INT(Metadata!N99)),FALSE,INT(Metadata!N99)=Metadata!N99)),Metadata!N99&gt;0))</f>
        <v>0</v>
      </c>
      <c r="AP99">
        <f>OR(AND(IF(Metadata!O99="",FALSE,TRUE),OR(exact(Metadata!O99,"not collected"),exact(Metadata!O99,"not provided"))),AND(IF(Metadata!O99="",FALSE,ISNUMBER(VALUE(Metadata!O99))),Metadata!O99&gt;0))</f>
        <v>0</v>
      </c>
      <c r="AQ99">
        <f>AND(IF(Metadata!P99="",FALSE,TRUE),exact(Metadata!P99,"kg"))</f>
        <v>0</v>
      </c>
      <c r="AR99">
        <f>OR(AND(IF(Metadata!Q99="",FALSE,TRUE),OR(exact(Metadata!Q99,"not applicable"),exact(Metadata!Q99,"not collected"),exact(Metadata!Q99,"not provided"),exact(Metadata!Q99,"restricted access"))),IF(Metadata!Q99="",FALSE,IF(ISERROR(INT(Metadata!Q99)),FALSE,INT(Metadata!Q99)=Metadata!Q99)))</f>
        <v>0</v>
      </c>
      <c r="AS99">
        <f>AND(IF(Metadata!R99="",FALSE,TRUE),exact(Metadata!R99,"Not applicable"))</f>
        <v>0</v>
      </c>
    </row>
    <row r="100" spans="1:45">
      <c r="A100" s="4">
        <f>IF(B100=" "," ",HYPERLINK(CONCATENATE("#metadata!",ADDRESS(INDEX($X$2:$X$1001,MATCH(ROWS($V$2:V100),$V$2:$V$1001,0),0),2)),INDEX($AA$2:$AA$1001,MATCH(ROWS($V$2:V100),$V$2:$V$1001,0),0)))</f>
        <v>0</v>
      </c>
      <c r="B100" s="5">
        <f>IF(OR(INDEX($W$2:$W$1001,MATCH(ROWS($V$2:V100),$V$2:$V$1001,0),1)&gt;=100000,INDEX($AC$1005:$AS$1005,1,MATCH(COLUMNS($AC$1006:AC1006),$AC$1006:$AS$1006,0))&gt;=100000), " ",IF(INDEX($AC$2:$AS$1001,MATCH(ROWS($V$2:V100),$V$2:$V$1001,0),MATCH(COLUMNS($AC$1006:AC1006),$AC$1006:$AS$1006,0)), HYPERLINK("#",""), HYPERLINK(CONCATENATE("#Metadata!", ADDRESS(INDEX($X$2:$X$1001,MATCH(ROWS($V$2:V100),$V$2:$V$1001,0),0), INDEX($AC$1004:$AS$1004,1,MATCH(COLUMNS($AC$1006:AC1006),$AC$1006:$AS$1006,0)))),"Fix")))</f>
        <v>0</v>
      </c>
      <c r="C100" s="5">
        <f>IF(OR(INDEX($W$2:$W$1001,MATCH(ROWS($V$2:V100),$V$2:$V$1001,0),1)&gt;=100000,INDEX($AC$1005:$AS$1005,1,MATCH(COLUMNS($AC$1006:AD1006),$AC$1006:$AS$1006,0))&gt;=100000), " ",IF(INDEX($AC$2:$AS$1001,MATCH(ROWS($V$2:V100),$V$2:$V$1001,0),MATCH(COLUMNS($AC$1006:AD1006),$AC$1006:$AS$1006,0)), HYPERLINK("#",""), HYPERLINK(CONCATENATE("#Metadata!", ADDRESS(INDEX($X$2:$X$1001,MATCH(ROWS($V$2:V100),$V$2:$V$1001,0),0), INDEX($AC$1004:$AS$1004,1,MATCH(COLUMNS($AC$1006:AD1006),$AC$1006:$AS$1006,0)))),"Fix")))</f>
        <v>0</v>
      </c>
      <c r="D100" s="5">
        <f>IF(OR(INDEX($W$2:$W$1001,MATCH(ROWS($V$2:V100),$V$2:$V$1001,0),1)&gt;=100000,INDEX($AC$1005:$AS$1005,1,MATCH(COLUMNS($AC$1006:AE1006),$AC$1006:$AS$1006,0))&gt;=100000), " ",IF(INDEX($AC$2:$AS$1001,MATCH(ROWS($V$2:V100),$V$2:$V$1001,0),MATCH(COLUMNS($AC$1006:AE1006),$AC$1006:$AS$1006,0)), HYPERLINK("#",""), HYPERLINK(CONCATENATE("#Metadata!", ADDRESS(INDEX($X$2:$X$1001,MATCH(ROWS($V$2:V100),$V$2:$V$1001,0),0), INDEX($AC$1004:$AS$1004,1,MATCH(COLUMNS($AC$1006:AE1006),$AC$1006:$AS$1006,0)))),"Fix")))</f>
        <v>0</v>
      </c>
      <c r="E100" s="5">
        <f>IF(OR(INDEX($W$2:$W$1001,MATCH(ROWS($V$2:V100),$V$2:$V$1001,0),1)&gt;=100000,INDEX($AC$1005:$AS$1005,1,MATCH(COLUMNS($AC$1006:AF1006),$AC$1006:$AS$1006,0))&gt;=100000), " ",IF(INDEX($AC$2:$AS$1001,MATCH(ROWS($V$2:V100),$V$2:$V$1001,0),MATCH(COLUMNS($AC$1006:AF1006),$AC$1006:$AS$1006,0)), HYPERLINK("#",""), HYPERLINK(CONCATENATE("#Metadata!", ADDRESS(INDEX($X$2:$X$1001,MATCH(ROWS($V$2:V100),$V$2:$V$1001,0),0), INDEX($AC$1004:$AS$1004,1,MATCH(COLUMNS($AC$1006:AF1006),$AC$1006:$AS$1006,0)))),"Fix")))</f>
        <v>0</v>
      </c>
      <c r="F100" s="5">
        <f>IF(OR(INDEX($W$2:$W$1001,MATCH(ROWS($V$2:V100),$V$2:$V$1001,0),1)&gt;=100000,INDEX($AC$1005:$AS$1005,1,MATCH(COLUMNS($AC$1006:AG1006),$AC$1006:$AS$1006,0))&gt;=100000), " ",IF(INDEX($AC$2:$AS$1001,MATCH(ROWS($V$2:V100),$V$2:$V$1001,0),MATCH(COLUMNS($AC$1006:AG1006),$AC$1006:$AS$1006,0)), HYPERLINK("#",""), HYPERLINK(CONCATENATE("#Metadata!", ADDRESS(INDEX($X$2:$X$1001,MATCH(ROWS($V$2:V100),$V$2:$V$1001,0),0), INDEX($AC$1004:$AS$1004,1,MATCH(COLUMNS($AC$1006:AG1006),$AC$1006:$AS$1006,0)))),"Fix")))</f>
        <v>0</v>
      </c>
      <c r="G100" s="5">
        <f>IF(OR(INDEX($W$2:$W$1001,MATCH(ROWS($V$2:V100),$V$2:$V$1001,0),1)&gt;=100000,INDEX($AC$1005:$AS$1005,1,MATCH(COLUMNS($AC$1006:AH1006),$AC$1006:$AS$1006,0))&gt;=100000), " ",IF(INDEX($AC$2:$AS$1001,MATCH(ROWS($V$2:V100),$V$2:$V$1001,0),MATCH(COLUMNS($AC$1006:AH1006),$AC$1006:$AS$1006,0)), HYPERLINK("#",""), HYPERLINK(CONCATENATE("#Metadata!", ADDRESS(INDEX($X$2:$X$1001,MATCH(ROWS($V$2:V100),$V$2:$V$1001,0),0), INDEX($AC$1004:$AS$1004,1,MATCH(COLUMNS($AC$1006:AH1006),$AC$1006:$AS$1006,0)))),"Fix")))</f>
        <v>0</v>
      </c>
      <c r="H100" s="5">
        <f>IF(OR(INDEX($W$2:$W$1001,MATCH(ROWS($V$2:V100),$V$2:$V$1001,0),1)&gt;=100000,INDEX($AC$1005:$AS$1005,1,MATCH(COLUMNS($AC$1006:AI1006),$AC$1006:$AS$1006,0))&gt;=100000), " ",IF(INDEX($AC$2:$AS$1001,MATCH(ROWS($V$2:V100),$V$2:$V$1001,0),MATCH(COLUMNS($AC$1006:AI1006),$AC$1006:$AS$1006,0)), HYPERLINK("#",""), HYPERLINK(CONCATENATE("#Metadata!", ADDRESS(INDEX($X$2:$X$1001,MATCH(ROWS($V$2:V100),$V$2:$V$1001,0),0), INDEX($AC$1004:$AS$1004,1,MATCH(COLUMNS($AC$1006:AI1006),$AC$1006:$AS$1006,0)))),"Fix")))</f>
        <v>0</v>
      </c>
      <c r="I100" s="5">
        <f>IF(OR(INDEX($W$2:$W$1001,MATCH(ROWS($V$2:V100),$V$2:$V$1001,0),1)&gt;=100000,INDEX($AC$1005:$AS$1005,1,MATCH(COLUMNS($AC$1006:AJ1006),$AC$1006:$AS$1006,0))&gt;=100000), " ",IF(INDEX($AC$2:$AS$1001,MATCH(ROWS($V$2:V100),$V$2:$V$1001,0),MATCH(COLUMNS($AC$1006:AJ1006),$AC$1006:$AS$1006,0)), HYPERLINK("#",""), HYPERLINK(CONCATENATE("#Metadata!", ADDRESS(INDEX($X$2:$X$1001,MATCH(ROWS($V$2:V100),$V$2:$V$1001,0),0), INDEX($AC$1004:$AS$1004,1,MATCH(COLUMNS($AC$1006:AJ1006),$AC$1006:$AS$1006,0)))),"Fix")))</f>
        <v>0</v>
      </c>
      <c r="J100" s="5">
        <f>IF(OR(INDEX($W$2:$W$1001,MATCH(ROWS($V$2:V100),$V$2:$V$1001,0),1)&gt;=100000,INDEX($AC$1005:$AS$1005,1,MATCH(COLUMNS($AC$1006:AK1006),$AC$1006:$AS$1006,0))&gt;=100000), " ",IF(INDEX($AC$2:$AS$1001,MATCH(ROWS($V$2:V100),$V$2:$V$1001,0),MATCH(COLUMNS($AC$1006:AK1006),$AC$1006:$AS$1006,0)), HYPERLINK("#",""), HYPERLINK(CONCATENATE("#Metadata!", ADDRESS(INDEX($X$2:$X$1001,MATCH(ROWS($V$2:V100),$V$2:$V$1001,0),0), INDEX($AC$1004:$AS$1004,1,MATCH(COLUMNS($AC$1006:AK1006),$AC$1006:$AS$1006,0)))),"Fix")))</f>
        <v>0</v>
      </c>
      <c r="K100" s="5">
        <f>IF(OR(INDEX($W$2:$W$1001,MATCH(ROWS($V$2:V100),$V$2:$V$1001,0),1)&gt;=100000,INDEX($AC$1005:$AS$1005,1,MATCH(COLUMNS($AC$1006:AL1006),$AC$1006:$AS$1006,0))&gt;=100000), " ",IF(INDEX($AC$2:$AS$1001,MATCH(ROWS($V$2:V100),$V$2:$V$1001,0),MATCH(COLUMNS($AC$1006:AL1006),$AC$1006:$AS$1006,0)), HYPERLINK("#",""), HYPERLINK(CONCATENATE("#Metadata!", ADDRESS(INDEX($X$2:$X$1001,MATCH(ROWS($V$2:V100),$V$2:$V$1001,0),0), INDEX($AC$1004:$AS$1004,1,MATCH(COLUMNS($AC$1006:AL1006),$AC$1006:$AS$1006,0)))),"Fix")))</f>
        <v>0</v>
      </c>
      <c r="L100" s="5">
        <f>IF(OR(INDEX($W$2:$W$1001,MATCH(ROWS($V$2:V100),$V$2:$V$1001,0),1)&gt;=100000,INDEX($AC$1005:$AS$1005,1,MATCH(COLUMNS($AC$1006:AM1006),$AC$1006:$AS$1006,0))&gt;=100000), " ",IF(INDEX($AC$2:$AS$1001,MATCH(ROWS($V$2:V100),$V$2:$V$1001,0),MATCH(COLUMNS($AC$1006:AM1006),$AC$1006:$AS$1006,0)), HYPERLINK("#",""), HYPERLINK(CONCATENATE("#Metadata!", ADDRESS(INDEX($X$2:$X$1001,MATCH(ROWS($V$2:V100),$V$2:$V$1001,0),0), INDEX($AC$1004:$AS$1004,1,MATCH(COLUMNS($AC$1006:AM1006),$AC$1006:$AS$1006,0)))),"Fix")))</f>
        <v>0</v>
      </c>
      <c r="M100" s="5">
        <f>IF(OR(INDEX($W$2:$W$1001,MATCH(ROWS($V$2:V100),$V$2:$V$1001,0),1)&gt;=100000,INDEX($AC$1005:$AS$1005,1,MATCH(COLUMNS($AC$1006:AN1006),$AC$1006:$AS$1006,0))&gt;=100000), " ",IF(INDEX($AC$2:$AS$1001,MATCH(ROWS($V$2:V100),$V$2:$V$1001,0),MATCH(COLUMNS($AC$1006:AN1006),$AC$1006:$AS$1006,0)), HYPERLINK("#",""), HYPERLINK(CONCATENATE("#Metadata!", ADDRESS(INDEX($X$2:$X$1001,MATCH(ROWS($V$2:V100),$V$2:$V$1001,0),0), INDEX($AC$1004:$AS$1004,1,MATCH(COLUMNS($AC$1006:AN1006),$AC$1006:$AS$1006,0)))),"Fix")))</f>
        <v>0</v>
      </c>
      <c r="N100" s="5">
        <f>IF(OR(INDEX($W$2:$W$1001,MATCH(ROWS($V$2:V100),$V$2:$V$1001,0),1)&gt;=100000,INDEX($AC$1005:$AS$1005,1,MATCH(COLUMNS($AC$1006:AO1006),$AC$1006:$AS$1006,0))&gt;=100000), " ",IF(INDEX($AC$2:$AS$1001,MATCH(ROWS($V$2:V100),$V$2:$V$1001,0),MATCH(COLUMNS($AC$1006:AO1006),$AC$1006:$AS$1006,0)), HYPERLINK("#",""), HYPERLINK(CONCATENATE("#Metadata!", ADDRESS(INDEX($X$2:$X$1001,MATCH(ROWS($V$2:V100),$V$2:$V$1001,0),0), INDEX($AC$1004:$AS$1004,1,MATCH(COLUMNS($AC$1006:AO1006),$AC$1006:$AS$1006,0)))),"Fix")))</f>
        <v>0</v>
      </c>
      <c r="O100" s="5">
        <f>IF(OR(INDEX($W$2:$W$1001,MATCH(ROWS($V$2:V100),$V$2:$V$1001,0),1)&gt;=100000,INDEX($AC$1005:$AS$1005,1,MATCH(COLUMNS($AC$1006:AP1006),$AC$1006:$AS$1006,0))&gt;=100000), " ",IF(INDEX($AC$2:$AS$1001,MATCH(ROWS($V$2:V100),$V$2:$V$1001,0),MATCH(COLUMNS($AC$1006:AP1006),$AC$1006:$AS$1006,0)), HYPERLINK("#",""), HYPERLINK(CONCATENATE("#Metadata!", ADDRESS(INDEX($X$2:$X$1001,MATCH(ROWS($V$2:V100),$V$2:$V$1001,0),0), INDEX($AC$1004:$AS$1004,1,MATCH(COLUMNS($AC$1006:AP1006),$AC$1006:$AS$1006,0)))),"Fix")))</f>
        <v>0</v>
      </c>
      <c r="P100" s="5">
        <f>IF(OR(INDEX($W$2:$W$1001,MATCH(ROWS($V$2:V100),$V$2:$V$1001,0),1)&gt;=100000,INDEX($AC$1005:$AS$1005,1,MATCH(COLUMNS($AC$1006:AQ1006),$AC$1006:$AS$1006,0))&gt;=100000), " ",IF(INDEX($AC$2:$AS$1001,MATCH(ROWS($V$2:V100),$V$2:$V$1001,0),MATCH(COLUMNS($AC$1006:AQ1006),$AC$1006:$AS$1006,0)), HYPERLINK("#",""), HYPERLINK(CONCATENATE("#Metadata!", ADDRESS(INDEX($X$2:$X$1001,MATCH(ROWS($V$2:V100),$V$2:$V$1001,0),0), INDEX($AC$1004:$AS$1004,1,MATCH(COLUMNS($AC$1006:AQ1006),$AC$1006:$AS$1006,0)))),"Fix")))</f>
        <v>0</v>
      </c>
      <c r="Q100" s="5">
        <f>IF(OR(INDEX($W$2:$W$1001,MATCH(ROWS($V$2:V100),$V$2:$V$1001,0),1)&gt;=100000,INDEX($AC$1005:$AS$1005,1,MATCH(COLUMNS($AC$1006:AR1006),$AC$1006:$AS$1006,0))&gt;=100000), " ",IF(INDEX($AC$2:$AS$1001,MATCH(ROWS($V$2:V100),$V$2:$V$1001,0),MATCH(COLUMNS($AC$1006:AR1006),$AC$1006:$AS$1006,0)), HYPERLINK("#",""), HYPERLINK(CONCATENATE("#Metadata!", ADDRESS(INDEX($X$2:$X$1001,MATCH(ROWS($V$2:V100),$V$2:$V$1001,0),0), INDEX($AC$1004:$AS$1004,1,MATCH(COLUMNS($AC$1006:AR1006),$AC$1006:$AS$1006,0)))),"Fix")))</f>
        <v>0</v>
      </c>
      <c r="R100" s="5">
        <f>IF(OR(INDEX($W$2:$W$1001,MATCH(ROWS($V$2:V100),$V$2:$V$1001,0),1)&gt;=100000,INDEX($AC$1005:$AS$1005,1,MATCH(COLUMNS($AC$1006:AS1006),$AC$1006:$AS$1006,0))&gt;=100000), " ",IF(INDEX($AC$2:$AS$1001,MATCH(ROWS($V$2:V100),$V$2:$V$1001,0),MATCH(COLUMNS($AC$1006:AS1006),$AC$1006:$AS$1006,0)), HYPERLINK("#",""), HYPERLINK(CONCATENATE("#Metadata!", ADDRESS(INDEX($X$2:$X$1001,MATCH(ROWS($V$2:V100),$V$2:$V$1001,0),0), INDEX($AC$1004:$AS$1004,1,MATCH(COLUMNS($AC$1006:AS1006),$AC$1006:$AS$1006,0)))),"Fix")))</f>
        <v>0</v>
      </c>
      <c r="V100">
        <v>0</v>
      </c>
      <c r="W100">
        <v>0</v>
      </c>
      <c r="X100">
        <v>0</v>
      </c>
      <c r="Y100">
        <f>IF(Z100,TRUE,AND(AC100:AS100))</f>
        <v>0</v>
      </c>
      <c r="Z100">
        <f>COUNTBLANK(Metadata!B100:R100)=COLUMNS(Metadata!B100:R100)</f>
        <v>0</v>
      </c>
      <c r="AA100">
        <v>0</v>
      </c>
      <c r="AC100">
        <f>AND(IF(Metadata!B100="",FALSE,TRUE),COUNTIF(Metadata!B:B, Metadata!B100) = 1,NOT(ISERROR(SUMPRODUCT(SEARCH(MID(Metadata!B100,ROW(INDIRECT("1:"&amp;LEN(Metadata!B100))), 1),"0123456789abcdefghijklmnopqrstuvwxyzABCDEFGHIJKLMNOPQRSTUVWXYZ.")))))</f>
        <v>0</v>
      </c>
      <c r="AD100">
        <f>AND(IF(Metadata!C100="",FALSE,TRUE),exact(Metadata!C100,"Host-associated"))</f>
        <v>0</v>
      </c>
      <c r="AE100">
        <f>AND(IF(Metadata!D100="",FALSE,TRUE),OR(exact(Metadata!D100,"Animal"),exact(Metadata!D100,"Fungus"),exact(Metadata!D100,"Plant")))</f>
        <v>0</v>
      </c>
      <c r="AF100">
        <f>AND(IF(Metadata!E100="",FALSE,TRUE),OR(exact(Metadata!E100,"Plant secretion"),exact(Metadata!E100,"Plant rhizosphere"),exact(Metadata!E100,"Plant surface"),exact(Metadata!E100,"Plant corpus"),exact(Metadata!E100,"Fungus surface"),exact(Metadata!E100,"Fungus corpus"),exact(Metadata!E100,"Animal surface"),exact(Metadata!E100,"Animal proximal gut"),exact(Metadata!E100,"Animal corpus"),exact(Metadata!E100,"Animal distal gut"),exact(Metadata!E100,"Animal secretion")))</f>
        <v>0</v>
      </c>
      <c r="AG100">
        <f>OR(AND(IF(Metadata!F100="",FALSE,TRUE),OR(exact(Metadata!F100,"not collected"),exact(Metadata!F100,"not provided"),exact(Metadata!F100,"restricted access"))),AND(IF(Metadata!F100="",FALSE,TRUE),OR(exact(Metadata!F100,"organism-associated habitat"),exact(Metadata!F100,"plant-associated habitat"),exact(Metadata!F100,"animal-associated habitat"),exact(Metadata!F100,"insecta-associated habitat"),exact(Metadata!F100,"mammalia-associated habitat"),exact(Metadata!F100,"human-associated habitat"),exact(Metadata!F100,"livestock-associated habitat"))))</f>
        <v>0</v>
      </c>
      <c r="AH100">
        <f>AND(IF(Metadata!G100="",FALSE,TRUE),exact(Metadata!G100,"host-associated"))</f>
        <v>0</v>
      </c>
      <c r="AI100">
        <f>OR(AND(IF(Metadata!H100="",FALSE,TRUE),OR(exact(Metadata!H100,"not collected"),exact(Metadata!H100,"not provided"))),AND(IF(Metadata!H100="",FALSE,ISNUMBER(VALUE(Metadata!H100))),Metadata!H100&gt;0))</f>
        <v>0</v>
      </c>
      <c r="AJ100">
        <f>AND(IF(Metadata!I100="",FALSE,TRUE),exact(Metadata!I100,"years"))</f>
        <v>0</v>
      </c>
      <c r="AK100">
        <f>IF(Metadata!J100="",FALSE,TRUE)</f>
        <v>0</v>
      </c>
      <c r="AL100">
        <f>OR(AND(IF(Metadata!K100="",FALSE,TRUE),OR(exact(Metadata!K100,"not collected"),exact(Metadata!K100,"not provided"))),AND(IF(Metadata!K100="",FALSE,ISNUMBER(VALUE(Metadata!K100))),Metadata!K100&gt;0))</f>
        <v>0</v>
      </c>
      <c r="AM100">
        <f>AND(IF(Metadata!L100="",FALSE,TRUE),exact(Metadata!L100,"cm"))</f>
        <v>0</v>
      </c>
      <c r="AN100">
        <f>IF(Metadata!M100="",FALSE,TRUE)</f>
        <v>0</v>
      </c>
      <c r="AO100">
        <f>OR(AND(IF(Metadata!N100="",FALSE,TRUE),OR(exact(Metadata!N100,"not applicable"),exact(Metadata!N100,"not collected"),exact(Metadata!N100,"not provided"))),AND(IF(Metadata!N100="",FALSE,IF(ISERROR(INT(Metadata!N100)),FALSE,INT(Metadata!N100)=Metadata!N100)),Metadata!N100&gt;0))</f>
        <v>0</v>
      </c>
      <c r="AP100">
        <f>OR(AND(IF(Metadata!O100="",FALSE,TRUE),OR(exact(Metadata!O100,"not collected"),exact(Metadata!O100,"not provided"))),AND(IF(Metadata!O100="",FALSE,ISNUMBER(VALUE(Metadata!O100))),Metadata!O100&gt;0))</f>
        <v>0</v>
      </c>
      <c r="AQ100">
        <f>AND(IF(Metadata!P100="",FALSE,TRUE),exact(Metadata!P100,"kg"))</f>
        <v>0</v>
      </c>
      <c r="AR100">
        <f>OR(AND(IF(Metadata!Q100="",FALSE,TRUE),OR(exact(Metadata!Q100,"not applicable"),exact(Metadata!Q100,"not collected"),exact(Metadata!Q100,"not provided"),exact(Metadata!Q100,"restricted access"))),IF(Metadata!Q100="",FALSE,IF(ISERROR(INT(Metadata!Q100)),FALSE,INT(Metadata!Q100)=Metadata!Q100)))</f>
        <v>0</v>
      </c>
      <c r="AS100">
        <f>AND(IF(Metadata!R100="",FALSE,TRUE),exact(Metadata!R100,"Not applicable"))</f>
        <v>0</v>
      </c>
    </row>
    <row r="101" spans="1:45">
      <c r="A101" s="4">
        <f>IF(B101=" "," ",HYPERLINK(CONCATENATE("#metadata!",ADDRESS(INDEX($X$2:$X$1001,MATCH(ROWS($V$2:V101),$V$2:$V$1001,0),0),2)),INDEX($AA$2:$AA$1001,MATCH(ROWS($V$2:V101),$V$2:$V$1001,0),0)))</f>
        <v>0</v>
      </c>
      <c r="B101" s="5">
        <f>IF(OR(INDEX($W$2:$W$1001,MATCH(ROWS($V$2:V101),$V$2:$V$1001,0),1)&gt;=100000,INDEX($AC$1005:$AS$1005,1,MATCH(COLUMNS($AC$1006:AC1006),$AC$1006:$AS$1006,0))&gt;=100000), " ",IF(INDEX($AC$2:$AS$1001,MATCH(ROWS($V$2:V101),$V$2:$V$1001,0),MATCH(COLUMNS($AC$1006:AC1006),$AC$1006:$AS$1006,0)), HYPERLINK("#",""), HYPERLINK(CONCATENATE("#Metadata!", ADDRESS(INDEX($X$2:$X$1001,MATCH(ROWS($V$2:V101),$V$2:$V$1001,0),0), INDEX($AC$1004:$AS$1004,1,MATCH(COLUMNS($AC$1006:AC1006),$AC$1006:$AS$1006,0)))),"Fix")))</f>
        <v>0</v>
      </c>
      <c r="C101" s="5">
        <f>IF(OR(INDEX($W$2:$W$1001,MATCH(ROWS($V$2:V101),$V$2:$V$1001,0),1)&gt;=100000,INDEX($AC$1005:$AS$1005,1,MATCH(COLUMNS($AC$1006:AD1006),$AC$1006:$AS$1006,0))&gt;=100000), " ",IF(INDEX($AC$2:$AS$1001,MATCH(ROWS($V$2:V101),$V$2:$V$1001,0),MATCH(COLUMNS($AC$1006:AD1006),$AC$1006:$AS$1006,0)), HYPERLINK("#",""), HYPERLINK(CONCATENATE("#Metadata!", ADDRESS(INDEX($X$2:$X$1001,MATCH(ROWS($V$2:V101),$V$2:$V$1001,0),0), INDEX($AC$1004:$AS$1004,1,MATCH(COLUMNS($AC$1006:AD1006),$AC$1006:$AS$1006,0)))),"Fix")))</f>
        <v>0</v>
      </c>
      <c r="D101" s="5">
        <f>IF(OR(INDEX($W$2:$W$1001,MATCH(ROWS($V$2:V101),$V$2:$V$1001,0),1)&gt;=100000,INDEX($AC$1005:$AS$1005,1,MATCH(COLUMNS($AC$1006:AE1006),$AC$1006:$AS$1006,0))&gt;=100000), " ",IF(INDEX($AC$2:$AS$1001,MATCH(ROWS($V$2:V101),$V$2:$V$1001,0),MATCH(COLUMNS($AC$1006:AE1006),$AC$1006:$AS$1006,0)), HYPERLINK("#",""), HYPERLINK(CONCATENATE("#Metadata!", ADDRESS(INDEX($X$2:$X$1001,MATCH(ROWS($V$2:V101),$V$2:$V$1001,0),0), INDEX($AC$1004:$AS$1004,1,MATCH(COLUMNS($AC$1006:AE1006),$AC$1006:$AS$1006,0)))),"Fix")))</f>
        <v>0</v>
      </c>
      <c r="E101" s="5">
        <f>IF(OR(INDEX($W$2:$W$1001,MATCH(ROWS($V$2:V101),$V$2:$V$1001,0),1)&gt;=100000,INDEX($AC$1005:$AS$1005,1,MATCH(COLUMNS($AC$1006:AF1006),$AC$1006:$AS$1006,0))&gt;=100000), " ",IF(INDEX($AC$2:$AS$1001,MATCH(ROWS($V$2:V101),$V$2:$V$1001,0),MATCH(COLUMNS($AC$1006:AF1006),$AC$1006:$AS$1006,0)), HYPERLINK("#",""), HYPERLINK(CONCATENATE("#Metadata!", ADDRESS(INDEX($X$2:$X$1001,MATCH(ROWS($V$2:V101),$V$2:$V$1001,0),0), INDEX($AC$1004:$AS$1004,1,MATCH(COLUMNS($AC$1006:AF1006),$AC$1006:$AS$1006,0)))),"Fix")))</f>
        <v>0</v>
      </c>
      <c r="F101" s="5">
        <f>IF(OR(INDEX($W$2:$W$1001,MATCH(ROWS($V$2:V101),$V$2:$V$1001,0),1)&gt;=100000,INDEX($AC$1005:$AS$1005,1,MATCH(COLUMNS($AC$1006:AG1006),$AC$1006:$AS$1006,0))&gt;=100000), " ",IF(INDEX($AC$2:$AS$1001,MATCH(ROWS($V$2:V101),$V$2:$V$1001,0),MATCH(COLUMNS($AC$1006:AG1006),$AC$1006:$AS$1006,0)), HYPERLINK("#",""), HYPERLINK(CONCATENATE("#Metadata!", ADDRESS(INDEX($X$2:$X$1001,MATCH(ROWS($V$2:V101),$V$2:$V$1001,0),0), INDEX($AC$1004:$AS$1004,1,MATCH(COLUMNS($AC$1006:AG1006),$AC$1006:$AS$1006,0)))),"Fix")))</f>
        <v>0</v>
      </c>
      <c r="G101" s="5">
        <f>IF(OR(INDEX($W$2:$W$1001,MATCH(ROWS($V$2:V101),$V$2:$V$1001,0),1)&gt;=100000,INDEX($AC$1005:$AS$1005,1,MATCH(COLUMNS($AC$1006:AH1006),$AC$1006:$AS$1006,0))&gt;=100000), " ",IF(INDEX($AC$2:$AS$1001,MATCH(ROWS($V$2:V101),$V$2:$V$1001,0),MATCH(COLUMNS($AC$1006:AH1006),$AC$1006:$AS$1006,0)), HYPERLINK("#",""), HYPERLINK(CONCATENATE("#Metadata!", ADDRESS(INDEX($X$2:$X$1001,MATCH(ROWS($V$2:V101),$V$2:$V$1001,0),0), INDEX($AC$1004:$AS$1004,1,MATCH(COLUMNS($AC$1006:AH1006),$AC$1006:$AS$1006,0)))),"Fix")))</f>
        <v>0</v>
      </c>
      <c r="H101" s="5">
        <f>IF(OR(INDEX($W$2:$W$1001,MATCH(ROWS($V$2:V101),$V$2:$V$1001,0),1)&gt;=100000,INDEX($AC$1005:$AS$1005,1,MATCH(COLUMNS($AC$1006:AI1006),$AC$1006:$AS$1006,0))&gt;=100000), " ",IF(INDEX($AC$2:$AS$1001,MATCH(ROWS($V$2:V101),$V$2:$V$1001,0),MATCH(COLUMNS($AC$1006:AI1006),$AC$1006:$AS$1006,0)), HYPERLINK("#",""), HYPERLINK(CONCATENATE("#Metadata!", ADDRESS(INDEX($X$2:$X$1001,MATCH(ROWS($V$2:V101),$V$2:$V$1001,0),0), INDEX($AC$1004:$AS$1004,1,MATCH(COLUMNS($AC$1006:AI1006),$AC$1006:$AS$1006,0)))),"Fix")))</f>
        <v>0</v>
      </c>
      <c r="I101" s="5">
        <f>IF(OR(INDEX($W$2:$W$1001,MATCH(ROWS($V$2:V101),$V$2:$V$1001,0),1)&gt;=100000,INDEX($AC$1005:$AS$1005,1,MATCH(COLUMNS($AC$1006:AJ1006),$AC$1006:$AS$1006,0))&gt;=100000), " ",IF(INDEX($AC$2:$AS$1001,MATCH(ROWS($V$2:V101),$V$2:$V$1001,0),MATCH(COLUMNS($AC$1006:AJ1006),$AC$1006:$AS$1006,0)), HYPERLINK("#",""), HYPERLINK(CONCATENATE("#Metadata!", ADDRESS(INDEX($X$2:$X$1001,MATCH(ROWS($V$2:V101),$V$2:$V$1001,0),0), INDEX($AC$1004:$AS$1004,1,MATCH(COLUMNS($AC$1006:AJ1006),$AC$1006:$AS$1006,0)))),"Fix")))</f>
        <v>0</v>
      </c>
      <c r="J101" s="5">
        <f>IF(OR(INDEX($W$2:$W$1001,MATCH(ROWS($V$2:V101),$V$2:$V$1001,0),1)&gt;=100000,INDEX($AC$1005:$AS$1005,1,MATCH(COLUMNS($AC$1006:AK1006),$AC$1006:$AS$1006,0))&gt;=100000), " ",IF(INDEX($AC$2:$AS$1001,MATCH(ROWS($V$2:V101),$V$2:$V$1001,0),MATCH(COLUMNS($AC$1006:AK1006),$AC$1006:$AS$1006,0)), HYPERLINK("#",""), HYPERLINK(CONCATENATE("#Metadata!", ADDRESS(INDEX($X$2:$X$1001,MATCH(ROWS($V$2:V101),$V$2:$V$1001,0),0), INDEX($AC$1004:$AS$1004,1,MATCH(COLUMNS($AC$1006:AK1006),$AC$1006:$AS$1006,0)))),"Fix")))</f>
        <v>0</v>
      </c>
      <c r="K101" s="5">
        <f>IF(OR(INDEX($W$2:$W$1001,MATCH(ROWS($V$2:V101),$V$2:$V$1001,0),1)&gt;=100000,INDEX($AC$1005:$AS$1005,1,MATCH(COLUMNS($AC$1006:AL1006),$AC$1006:$AS$1006,0))&gt;=100000), " ",IF(INDEX($AC$2:$AS$1001,MATCH(ROWS($V$2:V101),$V$2:$V$1001,0),MATCH(COLUMNS($AC$1006:AL1006),$AC$1006:$AS$1006,0)), HYPERLINK("#",""), HYPERLINK(CONCATENATE("#Metadata!", ADDRESS(INDEX($X$2:$X$1001,MATCH(ROWS($V$2:V101),$V$2:$V$1001,0),0), INDEX($AC$1004:$AS$1004,1,MATCH(COLUMNS($AC$1006:AL1006),$AC$1006:$AS$1006,0)))),"Fix")))</f>
        <v>0</v>
      </c>
      <c r="L101" s="5">
        <f>IF(OR(INDEX($W$2:$W$1001,MATCH(ROWS($V$2:V101),$V$2:$V$1001,0),1)&gt;=100000,INDEX($AC$1005:$AS$1005,1,MATCH(COLUMNS($AC$1006:AM1006),$AC$1006:$AS$1006,0))&gt;=100000), " ",IF(INDEX($AC$2:$AS$1001,MATCH(ROWS($V$2:V101),$V$2:$V$1001,0),MATCH(COLUMNS($AC$1006:AM1006),$AC$1006:$AS$1006,0)), HYPERLINK("#",""), HYPERLINK(CONCATENATE("#Metadata!", ADDRESS(INDEX($X$2:$X$1001,MATCH(ROWS($V$2:V101),$V$2:$V$1001,0),0), INDEX($AC$1004:$AS$1004,1,MATCH(COLUMNS($AC$1006:AM1006),$AC$1006:$AS$1006,0)))),"Fix")))</f>
        <v>0</v>
      </c>
      <c r="M101" s="5">
        <f>IF(OR(INDEX($W$2:$W$1001,MATCH(ROWS($V$2:V101),$V$2:$V$1001,0),1)&gt;=100000,INDEX($AC$1005:$AS$1005,1,MATCH(COLUMNS($AC$1006:AN1006),$AC$1006:$AS$1006,0))&gt;=100000), " ",IF(INDEX($AC$2:$AS$1001,MATCH(ROWS($V$2:V101),$V$2:$V$1001,0),MATCH(COLUMNS($AC$1006:AN1006),$AC$1006:$AS$1006,0)), HYPERLINK("#",""), HYPERLINK(CONCATENATE("#Metadata!", ADDRESS(INDEX($X$2:$X$1001,MATCH(ROWS($V$2:V101),$V$2:$V$1001,0),0), INDEX($AC$1004:$AS$1004,1,MATCH(COLUMNS($AC$1006:AN1006),$AC$1006:$AS$1006,0)))),"Fix")))</f>
        <v>0</v>
      </c>
      <c r="N101" s="5">
        <f>IF(OR(INDEX($W$2:$W$1001,MATCH(ROWS($V$2:V101),$V$2:$V$1001,0),1)&gt;=100000,INDEX($AC$1005:$AS$1005,1,MATCH(COLUMNS($AC$1006:AO1006),$AC$1006:$AS$1006,0))&gt;=100000), " ",IF(INDEX($AC$2:$AS$1001,MATCH(ROWS($V$2:V101),$V$2:$V$1001,0),MATCH(COLUMNS($AC$1006:AO1006),$AC$1006:$AS$1006,0)), HYPERLINK("#",""), HYPERLINK(CONCATENATE("#Metadata!", ADDRESS(INDEX($X$2:$X$1001,MATCH(ROWS($V$2:V101),$V$2:$V$1001,0),0), INDEX($AC$1004:$AS$1004,1,MATCH(COLUMNS($AC$1006:AO1006),$AC$1006:$AS$1006,0)))),"Fix")))</f>
        <v>0</v>
      </c>
      <c r="O101" s="5">
        <f>IF(OR(INDEX($W$2:$W$1001,MATCH(ROWS($V$2:V101),$V$2:$V$1001,0),1)&gt;=100000,INDEX($AC$1005:$AS$1005,1,MATCH(COLUMNS($AC$1006:AP1006),$AC$1006:$AS$1006,0))&gt;=100000), " ",IF(INDEX($AC$2:$AS$1001,MATCH(ROWS($V$2:V101),$V$2:$V$1001,0),MATCH(COLUMNS($AC$1006:AP1006),$AC$1006:$AS$1006,0)), HYPERLINK("#",""), HYPERLINK(CONCATENATE("#Metadata!", ADDRESS(INDEX($X$2:$X$1001,MATCH(ROWS($V$2:V101),$V$2:$V$1001,0),0), INDEX($AC$1004:$AS$1004,1,MATCH(COLUMNS($AC$1006:AP1006),$AC$1006:$AS$1006,0)))),"Fix")))</f>
        <v>0</v>
      </c>
      <c r="P101" s="5">
        <f>IF(OR(INDEX($W$2:$W$1001,MATCH(ROWS($V$2:V101),$V$2:$V$1001,0),1)&gt;=100000,INDEX($AC$1005:$AS$1005,1,MATCH(COLUMNS($AC$1006:AQ1006),$AC$1006:$AS$1006,0))&gt;=100000), " ",IF(INDEX($AC$2:$AS$1001,MATCH(ROWS($V$2:V101),$V$2:$V$1001,0),MATCH(COLUMNS($AC$1006:AQ1006),$AC$1006:$AS$1006,0)), HYPERLINK("#",""), HYPERLINK(CONCATENATE("#Metadata!", ADDRESS(INDEX($X$2:$X$1001,MATCH(ROWS($V$2:V101),$V$2:$V$1001,0),0), INDEX($AC$1004:$AS$1004,1,MATCH(COLUMNS($AC$1006:AQ1006),$AC$1006:$AS$1006,0)))),"Fix")))</f>
        <v>0</v>
      </c>
      <c r="Q101" s="5">
        <f>IF(OR(INDEX($W$2:$W$1001,MATCH(ROWS($V$2:V101),$V$2:$V$1001,0),1)&gt;=100000,INDEX($AC$1005:$AS$1005,1,MATCH(COLUMNS($AC$1006:AR1006),$AC$1006:$AS$1006,0))&gt;=100000), " ",IF(INDEX($AC$2:$AS$1001,MATCH(ROWS($V$2:V101),$V$2:$V$1001,0),MATCH(COLUMNS($AC$1006:AR1006),$AC$1006:$AS$1006,0)), HYPERLINK("#",""), HYPERLINK(CONCATENATE("#Metadata!", ADDRESS(INDEX($X$2:$X$1001,MATCH(ROWS($V$2:V101),$V$2:$V$1001,0),0), INDEX($AC$1004:$AS$1004,1,MATCH(COLUMNS($AC$1006:AR1006),$AC$1006:$AS$1006,0)))),"Fix")))</f>
        <v>0</v>
      </c>
      <c r="R101" s="5">
        <f>IF(OR(INDEX($W$2:$W$1001,MATCH(ROWS($V$2:V101),$V$2:$V$1001,0),1)&gt;=100000,INDEX($AC$1005:$AS$1005,1,MATCH(COLUMNS($AC$1006:AS1006),$AC$1006:$AS$1006,0))&gt;=100000), " ",IF(INDEX($AC$2:$AS$1001,MATCH(ROWS($V$2:V101),$V$2:$V$1001,0),MATCH(COLUMNS($AC$1006:AS1006),$AC$1006:$AS$1006,0)), HYPERLINK("#",""), HYPERLINK(CONCATENATE("#Metadata!", ADDRESS(INDEX($X$2:$X$1001,MATCH(ROWS($V$2:V101),$V$2:$V$1001,0),0), INDEX($AC$1004:$AS$1004,1,MATCH(COLUMNS($AC$1006:AS1006),$AC$1006:$AS$1006,0)))),"Fix")))</f>
        <v>0</v>
      </c>
      <c r="V101">
        <v>0</v>
      </c>
      <c r="W101">
        <v>0</v>
      </c>
      <c r="X101">
        <v>0</v>
      </c>
      <c r="Y101">
        <f>IF(Z101,TRUE,AND(AC101:AS101))</f>
        <v>0</v>
      </c>
      <c r="Z101">
        <f>COUNTBLANK(Metadata!B101:R101)=COLUMNS(Metadata!B101:R101)</f>
        <v>0</v>
      </c>
      <c r="AA101">
        <v>0</v>
      </c>
      <c r="AC101">
        <f>AND(IF(Metadata!B101="",FALSE,TRUE),COUNTIF(Metadata!B:B, Metadata!B101) = 1,NOT(ISERROR(SUMPRODUCT(SEARCH(MID(Metadata!B101,ROW(INDIRECT("1:"&amp;LEN(Metadata!B101))), 1),"0123456789abcdefghijklmnopqrstuvwxyzABCDEFGHIJKLMNOPQRSTUVWXYZ.")))))</f>
        <v>0</v>
      </c>
      <c r="AD101">
        <f>AND(IF(Metadata!C101="",FALSE,TRUE),exact(Metadata!C101,"Host-associated"))</f>
        <v>0</v>
      </c>
      <c r="AE101">
        <f>AND(IF(Metadata!D101="",FALSE,TRUE),OR(exact(Metadata!D101,"Animal"),exact(Metadata!D101,"Fungus"),exact(Metadata!D101,"Plant")))</f>
        <v>0</v>
      </c>
      <c r="AF101">
        <f>AND(IF(Metadata!E101="",FALSE,TRUE),OR(exact(Metadata!E101,"Plant secretion"),exact(Metadata!E101,"Plant rhizosphere"),exact(Metadata!E101,"Plant surface"),exact(Metadata!E101,"Plant corpus"),exact(Metadata!E101,"Fungus surface"),exact(Metadata!E101,"Fungus corpus"),exact(Metadata!E101,"Animal surface"),exact(Metadata!E101,"Animal proximal gut"),exact(Metadata!E101,"Animal corpus"),exact(Metadata!E101,"Animal distal gut"),exact(Metadata!E101,"Animal secretion")))</f>
        <v>0</v>
      </c>
      <c r="AG101">
        <f>OR(AND(IF(Metadata!F101="",FALSE,TRUE),OR(exact(Metadata!F101,"not collected"),exact(Metadata!F101,"not provided"),exact(Metadata!F101,"restricted access"))),AND(IF(Metadata!F101="",FALSE,TRUE),OR(exact(Metadata!F101,"organism-associated habitat"),exact(Metadata!F101,"plant-associated habitat"),exact(Metadata!F101,"animal-associated habitat"),exact(Metadata!F101,"insecta-associated habitat"),exact(Metadata!F101,"mammalia-associated habitat"),exact(Metadata!F101,"human-associated habitat"),exact(Metadata!F101,"livestock-associated habitat"))))</f>
        <v>0</v>
      </c>
      <c r="AH101">
        <f>AND(IF(Metadata!G101="",FALSE,TRUE),exact(Metadata!G101,"host-associated"))</f>
        <v>0</v>
      </c>
      <c r="AI101">
        <f>OR(AND(IF(Metadata!H101="",FALSE,TRUE),OR(exact(Metadata!H101,"not collected"),exact(Metadata!H101,"not provided"))),AND(IF(Metadata!H101="",FALSE,ISNUMBER(VALUE(Metadata!H101))),Metadata!H101&gt;0))</f>
        <v>0</v>
      </c>
      <c r="AJ101">
        <f>AND(IF(Metadata!I101="",FALSE,TRUE),exact(Metadata!I101,"years"))</f>
        <v>0</v>
      </c>
      <c r="AK101">
        <f>IF(Metadata!J101="",FALSE,TRUE)</f>
        <v>0</v>
      </c>
      <c r="AL101">
        <f>OR(AND(IF(Metadata!K101="",FALSE,TRUE),OR(exact(Metadata!K101,"not collected"),exact(Metadata!K101,"not provided"))),AND(IF(Metadata!K101="",FALSE,ISNUMBER(VALUE(Metadata!K101))),Metadata!K101&gt;0))</f>
        <v>0</v>
      </c>
      <c r="AM101">
        <f>AND(IF(Metadata!L101="",FALSE,TRUE),exact(Metadata!L101,"cm"))</f>
        <v>0</v>
      </c>
      <c r="AN101">
        <f>IF(Metadata!M101="",FALSE,TRUE)</f>
        <v>0</v>
      </c>
      <c r="AO101">
        <f>OR(AND(IF(Metadata!N101="",FALSE,TRUE),OR(exact(Metadata!N101,"not applicable"),exact(Metadata!N101,"not collected"),exact(Metadata!N101,"not provided"))),AND(IF(Metadata!N101="",FALSE,IF(ISERROR(INT(Metadata!N101)),FALSE,INT(Metadata!N101)=Metadata!N101)),Metadata!N101&gt;0))</f>
        <v>0</v>
      </c>
      <c r="AP101">
        <f>OR(AND(IF(Metadata!O101="",FALSE,TRUE),OR(exact(Metadata!O101,"not collected"),exact(Metadata!O101,"not provided"))),AND(IF(Metadata!O101="",FALSE,ISNUMBER(VALUE(Metadata!O101))),Metadata!O101&gt;0))</f>
        <v>0</v>
      </c>
      <c r="AQ101">
        <f>AND(IF(Metadata!P101="",FALSE,TRUE),exact(Metadata!P101,"kg"))</f>
        <v>0</v>
      </c>
      <c r="AR101">
        <f>OR(AND(IF(Metadata!Q101="",FALSE,TRUE),OR(exact(Metadata!Q101,"not applicable"),exact(Metadata!Q101,"not collected"),exact(Metadata!Q101,"not provided"),exact(Metadata!Q101,"restricted access"))),IF(Metadata!Q101="",FALSE,IF(ISERROR(INT(Metadata!Q101)),FALSE,INT(Metadata!Q101)=Metadata!Q101)))</f>
        <v>0</v>
      </c>
      <c r="AS101">
        <f>AND(IF(Metadata!R101="",FALSE,TRUE),exact(Metadata!R101,"Not applicable"))</f>
        <v>0</v>
      </c>
    </row>
    <row r="102" spans="1:45">
      <c r="A102" s="4">
        <f>IF(B102=" "," ",HYPERLINK(CONCATENATE("#metadata!",ADDRESS(INDEX($X$2:$X$1001,MATCH(ROWS($V$2:V102),$V$2:$V$1001,0),0),2)),INDEX($AA$2:$AA$1001,MATCH(ROWS($V$2:V102),$V$2:$V$1001,0),0)))</f>
        <v>0</v>
      </c>
      <c r="B102" s="5">
        <f>IF(OR(INDEX($W$2:$W$1001,MATCH(ROWS($V$2:V102),$V$2:$V$1001,0),1)&gt;=100000,INDEX($AC$1005:$AS$1005,1,MATCH(COLUMNS($AC$1006:AC1006),$AC$1006:$AS$1006,0))&gt;=100000), " ",IF(INDEX($AC$2:$AS$1001,MATCH(ROWS($V$2:V102),$V$2:$V$1001,0),MATCH(COLUMNS($AC$1006:AC1006),$AC$1006:$AS$1006,0)), HYPERLINK("#",""), HYPERLINK(CONCATENATE("#Metadata!", ADDRESS(INDEX($X$2:$X$1001,MATCH(ROWS($V$2:V102),$V$2:$V$1001,0),0), INDEX($AC$1004:$AS$1004,1,MATCH(COLUMNS($AC$1006:AC1006),$AC$1006:$AS$1006,0)))),"Fix")))</f>
        <v>0</v>
      </c>
      <c r="C102" s="5">
        <f>IF(OR(INDEX($W$2:$W$1001,MATCH(ROWS($V$2:V102),$V$2:$V$1001,0),1)&gt;=100000,INDEX($AC$1005:$AS$1005,1,MATCH(COLUMNS($AC$1006:AD1006),$AC$1006:$AS$1006,0))&gt;=100000), " ",IF(INDEX($AC$2:$AS$1001,MATCH(ROWS($V$2:V102),$V$2:$V$1001,0),MATCH(COLUMNS($AC$1006:AD1006),$AC$1006:$AS$1006,0)), HYPERLINK("#",""), HYPERLINK(CONCATENATE("#Metadata!", ADDRESS(INDEX($X$2:$X$1001,MATCH(ROWS($V$2:V102),$V$2:$V$1001,0),0), INDEX($AC$1004:$AS$1004,1,MATCH(COLUMNS($AC$1006:AD1006),$AC$1006:$AS$1006,0)))),"Fix")))</f>
        <v>0</v>
      </c>
      <c r="D102" s="5">
        <f>IF(OR(INDEX($W$2:$W$1001,MATCH(ROWS($V$2:V102),$V$2:$V$1001,0),1)&gt;=100000,INDEX($AC$1005:$AS$1005,1,MATCH(COLUMNS($AC$1006:AE1006),$AC$1006:$AS$1006,0))&gt;=100000), " ",IF(INDEX($AC$2:$AS$1001,MATCH(ROWS($V$2:V102),$V$2:$V$1001,0),MATCH(COLUMNS($AC$1006:AE1006),$AC$1006:$AS$1006,0)), HYPERLINK("#",""), HYPERLINK(CONCATENATE("#Metadata!", ADDRESS(INDEX($X$2:$X$1001,MATCH(ROWS($V$2:V102),$V$2:$V$1001,0),0), INDEX($AC$1004:$AS$1004,1,MATCH(COLUMNS($AC$1006:AE1006),$AC$1006:$AS$1006,0)))),"Fix")))</f>
        <v>0</v>
      </c>
      <c r="E102" s="5">
        <f>IF(OR(INDEX($W$2:$W$1001,MATCH(ROWS($V$2:V102),$V$2:$V$1001,0),1)&gt;=100000,INDEX($AC$1005:$AS$1005,1,MATCH(COLUMNS($AC$1006:AF1006),$AC$1006:$AS$1006,0))&gt;=100000), " ",IF(INDEX($AC$2:$AS$1001,MATCH(ROWS($V$2:V102),$V$2:$V$1001,0),MATCH(COLUMNS($AC$1006:AF1006),$AC$1006:$AS$1006,0)), HYPERLINK("#",""), HYPERLINK(CONCATENATE("#Metadata!", ADDRESS(INDEX($X$2:$X$1001,MATCH(ROWS($V$2:V102),$V$2:$V$1001,0),0), INDEX($AC$1004:$AS$1004,1,MATCH(COLUMNS($AC$1006:AF1006),$AC$1006:$AS$1006,0)))),"Fix")))</f>
        <v>0</v>
      </c>
      <c r="F102" s="5">
        <f>IF(OR(INDEX($W$2:$W$1001,MATCH(ROWS($V$2:V102),$V$2:$V$1001,0),1)&gt;=100000,INDEX($AC$1005:$AS$1005,1,MATCH(COLUMNS($AC$1006:AG1006),$AC$1006:$AS$1006,0))&gt;=100000), " ",IF(INDEX($AC$2:$AS$1001,MATCH(ROWS($V$2:V102),$V$2:$V$1001,0),MATCH(COLUMNS($AC$1006:AG1006),$AC$1006:$AS$1006,0)), HYPERLINK("#",""), HYPERLINK(CONCATENATE("#Metadata!", ADDRESS(INDEX($X$2:$X$1001,MATCH(ROWS($V$2:V102),$V$2:$V$1001,0),0), INDEX($AC$1004:$AS$1004,1,MATCH(COLUMNS($AC$1006:AG1006),$AC$1006:$AS$1006,0)))),"Fix")))</f>
        <v>0</v>
      </c>
      <c r="G102" s="5">
        <f>IF(OR(INDEX($W$2:$W$1001,MATCH(ROWS($V$2:V102),$V$2:$V$1001,0),1)&gt;=100000,INDEX($AC$1005:$AS$1005,1,MATCH(COLUMNS($AC$1006:AH1006),$AC$1006:$AS$1006,0))&gt;=100000), " ",IF(INDEX($AC$2:$AS$1001,MATCH(ROWS($V$2:V102),$V$2:$V$1001,0),MATCH(COLUMNS($AC$1006:AH1006),$AC$1006:$AS$1006,0)), HYPERLINK("#",""), HYPERLINK(CONCATENATE("#Metadata!", ADDRESS(INDEX($X$2:$X$1001,MATCH(ROWS($V$2:V102),$V$2:$V$1001,0),0), INDEX($AC$1004:$AS$1004,1,MATCH(COLUMNS($AC$1006:AH1006),$AC$1006:$AS$1006,0)))),"Fix")))</f>
        <v>0</v>
      </c>
      <c r="H102" s="5">
        <f>IF(OR(INDEX($W$2:$W$1001,MATCH(ROWS($V$2:V102),$V$2:$V$1001,0),1)&gt;=100000,INDEX($AC$1005:$AS$1005,1,MATCH(COLUMNS($AC$1006:AI1006),$AC$1006:$AS$1006,0))&gt;=100000), " ",IF(INDEX($AC$2:$AS$1001,MATCH(ROWS($V$2:V102),$V$2:$V$1001,0),MATCH(COLUMNS($AC$1006:AI1006),$AC$1006:$AS$1006,0)), HYPERLINK("#",""), HYPERLINK(CONCATENATE("#Metadata!", ADDRESS(INDEX($X$2:$X$1001,MATCH(ROWS($V$2:V102),$V$2:$V$1001,0),0), INDEX($AC$1004:$AS$1004,1,MATCH(COLUMNS($AC$1006:AI1006),$AC$1006:$AS$1006,0)))),"Fix")))</f>
        <v>0</v>
      </c>
      <c r="I102" s="5">
        <f>IF(OR(INDEX($W$2:$W$1001,MATCH(ROWS($V$2:V102),$V$2:$V$1001,0),1)&gt;=100000,INDEX($AC$1005:$AS$1005,1,MATCH(COLUMNS($AC$1006:AJ1006),$AC$1006:$AS$1006,0))&gt;=100000), " ",IF(INDEX($AC$2:$AS$1001,MATCH(ROWS($V$2:V102),$V$2:$V$1001,0),MATCH(COLUMNS($AC$1006:AJ1006),$AC$1006:$AS$1006,0)), HYPERLINK("#",""), HYPERLINK(CONCATENATE("#Metadata!", ADDRESS(INDEX($X$2:$X$1001,MATCH(ROWS($V$2:V102),$V$2:$V$1001,0),0), INDEX($AC$1004:$AS$1004,1,MATCH(COLUMNS($AC$1006:AJ1006),$AC$1006:$AS$1006,0)))),"Fix")))</f>
        <v>0</v>
      </c>
      <c r="J102" s="5">
        <f>IF(OR(INDEX($W$2:$W$1001,MATCH(ROWS($V$2:V102),$V$2:$V$1001,0),1)&gt;=100000,INDEX($AC$1005:$AS$1005,1,MATCH(COLUMNS($AC$1006:AK1006),$AC$1006:$AS$1006,0))&gt;=100000), " ",IF(INDEX($AC$2:$AS$1001,MATCH(ROWS($V$2:V102),$V$2:$V$1001,0),MATCH(COLUMNS($AC$1006:AK1006),$AC$1006:$AS$1006,0)), HYPERLINK("#",""), HYPERLINK(CONCATENATE("#Metadata!", ADDRESS(INDEX($X$2:$X$1001,MATCH(ROWS($V$2:V102),$V$2:$V$1001,0),0), INDEX($AC$1004:$AS$1004,1,MATCH(COLUMNS($AC$1006:AK1006),$AC$1006:$AS$1006,0)))),"Fix")))</f>
        <v>0</v>
      </c>
      <c r="K102" s="5">
        <f>IF(OR(INDEX($W$2:$W$1001,MATCH(ROWS($V$2:V102),$V$2:$V$1001,0),1)&gt;=100000,INDEX($AC$1005:$AS$1005,1,MATCH(COLUMNS($AC$1006:AL1006),$AC$1006:$AS$1006,0))&gt;=100000), " ",IF(INDEX($AC$2:$AS$1001,MATCH(ROWS($V$2:V102),$V$2:$V$1001,0),MATCH(COLUMNS($AC$1006:AL1006),$AC$1006:$AS$1006,0)), HYPERLINK("#",""), HYPERLINK(CONCATENATE("#Metadata!", ADDRESS(INDEX($X$2:$X$1001,MATCH(ROWS($V$2:V102),$V$2:$V$1001,0),0), INDEX($AC$1004:$AS$1004,1,MATCH(COLUMNS($AC$1006:AL1006),$AC$1006:$AS$1006,0)))),"Fix")))</f>
        <v>0</v>
      </c>
      <c r="L102" s="5">
        <f>IF(OR(INDEX($W$2:$W$1001,MATCH(ROWS($V$2:V102),$V$2:$V$1001,0),1)&gt;=100000,INDEX($AC$1005:$AS$1005,1,MATCH(COLUMNS($AC$1006:AM1006),$AC$1006:$AS$1006,0))&gt;=100000), " ",IF(INDEX($AC$2:$AS$1001,MATCH(ROWS($V$2:V102),$V$2:$V$1001,0),MATCH(COLUMNS($AC$1006:AM1006),$AC$1006:$AS$1006,0)), HYPERLINK("#",""), HYPERLINK(CONCATENATE("#Metadata!", ADDRESS(INDEX($X$2:$X$1001,MATCH(ROWS($V$2:V102),$V$2:$V$1001,0),0), INDEX($AC$1004:$AS$1004,1,MATCH(COLUMNS($AC$1006:AM1006),$AC$1006:$AS$1006,0)))),"Fix")))</f>
        <v>0</v>
      </c>
      <c r="M102" s="5">
        <f>IF(OR(INDEX($W$2:$W$1001,MATCH(ROWS($V$2:V102),$V$2:$V$1001,0),1)&gt;=100000,INDEX($AC$1005:$AS$1005,1,MATCH(COLUMNS($AC$1006:AN1006),$AC$1006:$AS$1006,0))&gt;=100000), " ",IF(INDEX($AC$2:$AS$1001,MATCH(ROWS($V$2:V102),$V$2:$V$1001,0),MATCH(COLUMNS($AC$1006:AN1006),$AC$1006:$AS$1006,0)), HYPERLINK("#",""), HYPERLINK(CONCATENATE("#Metadata!", ADDRESS(INDEX($X$2:$X$1001,MATCH(ROWS($V$2:V102),$V$2:$V$1001,0),0), INDEX($AC$1004:$AS$1004,1,MATCH(COLUMNS($AC$1006:AN1006),$AC$1006:$AS$1006,0)))),"Fix")))</f>
        <v>0</v>
      </c>
      <c r="N102" s="5">
        <f>IF(OR(INDEX($W$2:$W$1001,MATCH(ROWS($V$2:V102),$V$2:$V$1001,0),1)&gt;=100000,INDEX($AC$1005:$AS$1005,1,MATCH(COLUMNS($AC$1006:AO1006),$AC$1006:$AS$1006,0))&gt;=100000), " ",IF(INDEX($AC$2:$AS$1001,MATCH(ROWS($V$2:V102),$V$2:$V$1001,0),MATCH(COLUMNS($AC$1006:AO1006),$AC$1006:$AS$1006,0)), HYPERLINK("#",""), HYPERLINK(CONCATENATE("#Metadata!", ADDRESS(INDEX($X$2:$X$1001,MATCH(ROWS($V$2:V102),$V$2:$V$1001,0),0), INDEX($AC$1004:$AS$1004,1,MATCH(COLUMNS($AC$1006:AO1006),$AC$1006:$AS$1006,0)))),"Fix")))</f>
        <v>0</v>
      </c>
      <c r="O102" s="5">
        <f>IF(OR(INDEX($W$2:$W$1001,MATCH(ROWS($V$2:V102),$V$2:$V$1001,0),1)&gt;=100000,INDEX($AC$1005:$AS$1005,1,MATCH(COLUMNS($AC$1006:AP1006),$AC$1006:$AS$1006,0))&gt;=100000), " ",IF(INDEX($AC$2:$AS$1001,MATCH(ROWS($V$2:V102),$V$2:$V$1001,0),MATCH(COLUMNS($AC$1006:AP1006),$AC$1006:$AS$1006,0)), HYPERLINK("#",""), HYPERLINK(CONCATENATE("#Metadata!", ADDRESS(INDEX($X$2:$X$1001,MATCH(ROWS($V$2:V102),$V$2:$V$1001,0),0), INDEX($AC$1004:$AS$1004,1,MATCH(COLUMNS($AC$1006:AP1006),$AC$1006:$AS$1006,0)))),"Fix")))</f>
        <v>0</v>
      </c>
      <c r="P102" s="5">
        <f>IF(OR(INDEX($W$2:$W$1001,MATCH(ROWS($V$2:V102),$V$2:$V$1001,0),1)&gt;=100000,INDEX($AC$1005:$AS$1005,1,MATCH(COLUMNS($AC$1006:AQ1006),$AC$1006:$AS$1006,0))&gt;=100000), " ",IF(INDEX($AC$2:$AS$1001,MATCH(ROWS($V$2:V102),$V$2:$V$1001,0),MATCH(COLUMNS($AC$1006:AQ1006),$AC$1006:$AS$1006,0)), HYPERLINK("#",""), HYPERLINK(CONCATENATE("#Metadata!", ADDRESS(INDEX($X$2:$X$1001,MATCH(ROWS($V$2:V102),$V$2:$V$1001,0),0), INDEX($AC$1004:$AS$1004,1,MATCH(COLUMNS($AC$1006:AQ1006),$AC$1006:$AS$1006,0)))),"Fix")))</f>
        <v>0</v>
      </c>
      <c r="Q102" s="5">
        <f>IF(OR(INDEX($W$2:$W$1001,MATCH(ROWS($V$2:V102),$V$2:$V$1001,0),1)&gt;=100000,INDEX($AC$1005:$AS$1005,1,MATCH(COLUMNS($AC$1006:AR1006),$AC$1006:$AS$1006,0))&gt;=100000), " ",IF(INDEX($AC$2:$AS$1001,MATCH(ROWS($V$2:V102),$V$2:$V$1001,0),MATCH(COLUMNS($AC$1006:AR1006),$AC$1006:$AS$1006,0)), HYPERLINK("#",""), HYPERLINK(CONCATENATE("#Metadata!", ADDRESS(INDEX($X$2:$X$1001,MATCH(ROWS($V$2:V102),$V$2:$V$1001,0),0), INDEX($AC$1004:$AS$1004,1,MATCH(COLUMNS($AC$1006:AR1006),$AC$1006:$AS$1006,0)))),"Fix")))</f>
        <v>0</v>
      </c>
      <c r="R102" s="5">
        <f>IF(OR(INDEX($W$2:$W$1001,MATCH(ROWS($V$2:V102),$V$2:$V$1001,0),1)&gt;=100000,INDEX($AC$1005:$AS$1005,1,MATCH(COLUMNS($AC$1006:AS1006),$AC$1006:$AS$1006,0))&gt;=100000), " ",IF(INDEX($AC$2:$AS$1001,MATCH(ROWS($V$2:V102),$V$2:$V$1001,0),MATCH(COLUMNS($AC$1006:AS1006),$AC$1006:$AS$1006,0)), HYPERLINK("#",""), HYPERLINK(CONCATENATE("#Metadata!", ADDRESS(INDEX($X$2:$X$1001,MATCH(ROWS($V$2:V102),$V$2:$V$1001,0),0), INDEX($AC$1004:$AS$1004,1,MATCH(COLUMNS($AC$1006:AS1006),$AC$1006:$AS$1006,0)))),"Fix")))</f>
        <v>0</v>
      </c>
      <c r="V102">
        <v>0</v>
      </c>
      <c r="W102">
        <v>0</v>
      </c>
      <c r="X102">
        <v>0</v>
      </c>
      <c r="Y102">
        <f>IF(Z102,TRUE,AND(AC102:AS102))</f>
        <v>0</v>
      </c>
      <c r="Z102">
        <f>COUNTBLANK(Metadata!B102:R102)=COLUMNS(Metadata!B102:R102)</f>
        <v>0</v>
      </c>
      <c r="AA102">
        <v>0</v>
      </c>
      <c r="AC102">
        <f>AND(IF(Metadata!B102="",FALSE,TRUE),COUNTIF(Metadata!B:B, Metadata!B102) = 1,NOT(ISERROR(SUMPRODUCT(SEARCH(MID(Metadata!B102,ROW(INDIRECT("1:"&amp;LEN(Metadata!B102))), 1),"0123456789abcdefghijklmnopqrstuvwxyzABCDEFGHIJKLMNOPQRSTUVWXYZ.")))))</f>
        <v>0</v>
      </c>
      <c r="AD102">
        <f>AND(IF(Metadata!C102="",FALSE,TRUE),exact(Metadata!C102,"Host-associated"))</f>
        <v>0</v>
      </c>
      <c r="AE102">
        <f>AND(IF(Metadata!D102="",FALSE,TRUE),OR(exact(Metadata!D102,"Animal"),exact(Metadata!D102,"Fungus"),exact(Metadata!D102,"Plant")))</f>
        <v>0</v>
      </c>
      <c r="AF102">
        <f>AND(IF(Metadata!E102="",FALSE,TRUE),OR(exact(Metadata!E102,"Plant secretion"),exact(Metadata!E102,"Plant rhizosphere"),exact(Metadata!E102,"Plant surface"),exact(Metadata!E102,"Plant corpus"),exact(Metadata!E102,"Fungus surface"),exact(Metadata!E102,"Fungus corpus"),exact(Metadata!E102,"Animal surface"),exact(Metadata!E102,"Animal proximal gut"),exact(Metadata!E102,"Animal corpus"),exact(Metadata!E102,"Animal distal gut"),exact(Metadata!E102,"Animal secretion")))</f>
        <v>0</v>
      </c>
      <c r="AG102">
        <f>OR(AND(IF(Metadata!F102="",FALSE,TRUE),OR(exact(Metadata!F102,"not collected"),exact(Metadata!F102,"not provided"),exact(Metadata!F102,"restricted access"))),AND(IF(Metadata!F102="",FALSE,TRUE),OR(exact(Metadata!F102,"organism-associated habitat"),exact(Metadata!F102,"plant-associated habitat"),exact(Metadata!F102,"animal-associated habitat"),exact(Metadata!F102,"insecta-associated habitat"),exact(Metadata!F102,"mammalia-associated habitat"),exact(Metadata!F102,"human-associated habitat"),exact(Metadata!F102,"livestock-associated habitat"))))</f>
        <v>0</v>
      </c>
      <c r="AH102">
        <f>AND(IF(Metadata!G102="",FALSE,TRUE),exact(Metadata!G102,"host-associated"))</f>
        <v>0</v>
      </c>
      <c r="AI102">
        <f>OR(AND(IF(Metadata!H102="",FALSE,TRUE),OR(exact(Metadata!H102,"not collected"),exact(Metadata!H102,"not provided"))),AND(IF(Metadata!H102="",FALSE,ISNUMBER(VALUE(Metadata!H102))),Metadata!H102&gt;0))</f>
        <v>0</v>
      </c>
      <c r="AJ102">
        <f>AND(IF(Metadata!I102="",FALSE,TRUE),exact(Metadata!I102,"years"))</f>
        <v>0</v>
      </c>
      <c r="AK102">
        <f>IF(Metadata!J102="",FALSE,TRUE)</f>
        <v>0</v>
      </c>
      <c r="AL102">
        <f>OR(AND(IF(Metadata!K102="",FALSE,TRUE),OR(exact(Metadata!K102,"not collected"),exact(Metadata!K102,"not provided"))),AND(IF(Metadata!K102="",FALSE,ISNUMBER(VALUE(Metadata!K102))),Metadata!K102&gt;0))</f>
        <v>0</v>
      </c>
      <c r="AM102">
        <f>AND(IF(Metadata!L102="",FALSE,TRUE),exact(Metadata!L102,"cm"))</f>
        <v>0</v>
      </c>
      <c r="AN102">
        <f>IF(Metadata!M102="",FALSE,TRUE)</f>
        <v>0</v>
      </c>
      <c r="AO102">
        <f>OR(AND(IF(Metadata!N102="",FALSE,TRUE),OR(exact(Metadata!N102,"not applicable"),exact(Metadata!N102,"not collected"),exact(Metadata!N102,"not provided"))),AND(IF(Metadata!N102="",FALSE,IF(ISERROR(INT(Metadata!N102)),FALSE,INT(Metadata!N102)=Metadata!N102)),Metadata!N102&gt;0))</f>
        <v>0</v>
      </c>
      <c r="AP102">
        <f>OR(AND(IF(Metadata!O102="",FALSE,TRUE),OR(exact(Metadata!O102,"not collected"),exact(Metadata!O102,"not provided"))),AND(IF(Metadata!O102="",FALSE,ISNUMBER(VALUE(Metadata!O102))),Metadata!O102&gt;0))</f>
        <v>0</v>
      </c>
      <c r="AQ102">
        <f>AND(IF(Metadata!P102="",FALSE,TRUE),exact(Metadata!P102,"kg"))</f>
        <v>0</v>
      </c>
      <c r="AR102">
        <f>OR(AND(IF(Metadata!Q102="",FALSE,TRUE),OR(exact(Metadata!Q102,"not applicable"),exact(Metadata!Q102,"not collected"),exact(Metadata!Q102,"not provided"),exact(Metadata!Q102,"restricted access"))),IF(Metadata!Q102="",FALSE,IF(ISERROR(INT(Metadata!Q102)),FALSE,INT(Metadata!Q102)=Metadata!Q102)))</f>
        <v>0</v>
      </c>
      <c r="AS102">
        <f>AND(IF(Metadata!R102="",FALSE,TRUE),exact(Metadata!R102,"Not applicable"))</f>
        <v>0</v>
      </c>
    </row>
    <row r="103" spans="1:45">
      <c r="A103" s="4">
        <f>IF(B103=" "," ",HYPERLINK(CONCATENATE("#metadata!",ADDRESS(INDEX($X$2:$X$1001,MATCH(ROWS($V$2:V103),$V$2:$V$1001,0),0),2)),INDEX($AA$2:$AA$1001,MATCH(ROWS($V$2:V103),$V$2:$V$1001,0),0)))</f>
        <v>0</v>
      </c>
      <c r="B103" s="5">
        <f>IF(OR(INDEX($W$2:$W$1001,MATCH(ROWS($V$2:V103),$V$2:$V$1001,0),1)&gt;=100000,INDEX($AC$1005:$AS$1005,1,MATCH(COLUMNS($AC$1006:AC1006),$AC$1006:$AS$1006,0))&gt;=100000), " ",IF(INDEX($AC$2:$AS$1001,MATCH(ROWS($V$2:V103),$V$2:$V$1001,0),MATCH(COLUMNS($AC$1006:AC1006),$AC$1006:$AS$1006,0)), HYPERLINK("#",""), HYPERLINK(CONCATENATE("#Metadata!", ADDRESS(INDEX($X$2:$X$1001,MATCH(ROWS($V$2:V103),$V$2:$V$1001,0),0), INDEX($AC$1004:$AS$1004,1,MATCH(COLUMNS($AC$1006:AC1006),$AC$1006:$AS$1006,0)))),"Fix")))</f>
        <v>0</v>
      </c>
      <c r="C103" s="5">
        <f>IF(OR(INDEX($W$2:$W$1001,MATCH(ROWS($V$2:V103),$V$2:$V$1001,0),1)&gt;=100000,INDEX($AC$1005:$AS$1005,1,MATCH(COLUMNS($AC$1006:AD1006),$AC$1006:$AS$1006,0))&gt;=100000), " ",IF(INDEX($AC$2:$AS$1001,MATCH(ROWS($V$2:V103),$V$2:$V$1001,0),MATCH(COLUMNS($AC$1006:AD1006),$AC$1006:$AS$1006,0)), HYPERLINK("#",""), HYPERLINK(CONCATENATE("#Metadata!", ADDRESS(INDEX($X$2:$X$1001,MATCH(ROWS($V$2:V103),$V$2:$V$1001,0),0), INDEX($AC$1004:$AS$1004,1,MATCH(COLUMNS($AC$1006:AD1006),$AC$1006:$AS$1006,0)))),"Fix")))</f>
        <v>0</v>
      </c>
      <c r="D103" s="5">
        <f>IF(OR(INDEX($W$2:$W$1001,MATCH(ROWS($V$2:V103),$V$2:$V$1001,0),1)&gt;=100000,INDEX($AC$1005:$AS$1005,1,MATCH(COLUMNS($AC$1006:AE1006),$AC$1006:$AS$1006,0))&gt;=100000), " ",IF(INDEX($AC$2:$AS$1001,MATCH(ROWS($V$2:V103),$V$2:$V$1001,0),MATCH(COLUMNS($AC$1006:AE1006),$AC$1006:$AS$1006,0)), HYPERLINK("#",""), HYPERLINK(CONCATENATE("#Metadata!", ADDRESS(INDEX($X$2:$X$1001,MATCH(ROWS($V$2:V103),$V$2:$V$1001,0),0), INDEX($AC$1004:$AS$1004,1,MATCH(COLUMNS($AC$1006:AE1006),$AC$1006:$AS$1006,0)))),"Fix")))</f>
        <v>0</v>
      </c>
      <c r="E103" s="5">
        <f>IF(OR(INDEX($W$2:$W$1001,MATCH(ROWS($V$2:V103),$V$2:$V$1001,0),1)&gt;=100000,INDEX($AC$1005:$AS$1005,1,MATCH(COLUMNS($AC$1006:AF1006),$AC$1006:$AS$1006,0))&gt;=100000), " ",IF(INDEX($AC$2:$AS$1001,MATCH(ROWS($V$2:V103),$V$2:$V$1001,0),MATCH(COLUMNS($AC$1006:AF1006),$AC$1006:$AS$1006,0)), HYPERLINK("#",""), HYPERLINK(CONCATENATE("#Metadata!", ADDRESS(INDEX($X$2:$X$1001,MATCH(ROWS($V$2:V103),$V$2:$V$1001,0),0), INDEX($AC$1004:$AS$1004,1,MATCH(COLUMNS($AC$1006:AF1006),$AC$1006:$AS$1006,0)))),"Fix")))</f>
        <v>0</v>
      </c>
      <c r="F103" s="5">
        <f>IF(OR(INDEX($W$2:$W$1001,MATCH(ROWS($V$2:V103),$V$2:$V$1001,0),1)&gt;=100000,INDEX($AC$1005:$AS$1005,1,MATCH(COLUMNS($AC$1006:AG1006),$AC$1006:$AS$1006,0))&gt;=100000), " ",IF(INDEX($AC$2:$AS$1001,MATCH(ROWS($V$2:V103),$V$2:$V$1001,0),MATCH(COLUMNS($AC$1006:AG1006),$AC$1006:$AS$1006,0)), HYPERLINK("#",""), HYPERLINK(CONCATENATE("#Metadata!", ADDRESS(INDEX($X$2:$X$1001,MATCH(ROWS($V$2:V103),$V$2:$V$1001,0),0), INDEX($AC$1004:$AS$1004,1,MATCH(COLUMNS($AC$1006:AG1006),$AC$1006:$AS$1006,0)))),"Fix")))</f>
        <v>0</v>
      </c>
      <c r="G103" s="5">
        <f>IF(OR(INDEX($W$2:$W$1001,MATCH(ROWS($V$2:V103),$V$2:$V$1001,0),1)&gt;=100000,INDEX($AC$1005:$AS$1005,1,MATCH(COLUMNS($AC$1006:AH1006),$AC$1006:$AS$1006,0))&gt;=100000), " ",IF(INDEX($AC$2:$AS$1001,MATCH(ROWS($V$2:V103),$V$2:$V$1001,0),MATCH(COLUMNS($AC$1006:AH1006),$AC$1006:$AS$1006,0)), HYPERLINK("#",""), HYPERLINK(CONCATENATE("#Metadata!", ADDRESS(INDEX($X$2:$X$1001,MATCH(ROWS($V$2:V103),$V$2:$V$1001,0),0), INDEX($AC$1004:$AS$1004,1,MATCH(COLUMNS($AC$1006:AH1006),$AC$1006:$AS$1006,0)))),"Fix")))</f>
        <v>0</v>
      </c>
      <c r="H103" s="5">
        <f>IF(OR(INDEX($W$2:$W$1001,MATCH(ROWS($V$2:V103),$V$2:$V$1001,0),1)&gt;=100000,INDEX($AC$1005:$AS$1005,1,MATCH(COLUMNS($AC$1006:AI1006),$AC$1006:$AS$1006,0))&gt;=100000), " ",IF(INDEX($AC$2:$AS$1001,MATCH(ROWS($V$2:V103),$V$2:$V$1001,0),MATCH(COLUMNS($AC$1006:AI1006),$AC$1006:$AS$1006,0)), HYPERLINK("#",""), HYPERLINK(CONCATENATE("#Metadata!", ADDRESS(INDEX($X$2:$X$1001,MATCH(ROWS($V$2:V103),$V$2:$V$1001,0),0), INDEX($AC$1004:$AS$1004,1,MATCH(COLUMNS($AC$1006:AI1006),$AC$1006:$AS$1006,0)))),"Fix")))</f>
        <v>0</v>
      </c>
      <c r="I103" s="5">
        <f>IF(OR(INDEX($W$2:$W$1001,MATCH(ROWS($V$2:V103),$V$2:$V$1001,0),1)&gt;=100000,INDEX($AC$1005:$AS$1005,1,MATCH(COLUMNS($AC$1006:AJ1006),$AC$1006:$AS$1006,0))&gt;=100000), " ",IF(INDEX($AC$2:$AS$1001,MATCH(ROWS($V$2:V103),$V$2:$V$1001,0),MATCH(COLUMNS($AC$1006:AJ1006),$AC$1006:$AS$1006,0)), HYPERLINK("#",""), HYPERLINK(CONCATENATE("#Metadata!", ADDRESS(INDEX($X$2:$X$1001,MATCH(ROWS($V$2:V103),$V$2:$V$1001,0),0), INDEX($AC$1004:$AS$1004,1,MATCH(COLUMNS($AC$1006:AJ1006),$AC$1006:$AS$1006,0)))),"Fix")))</f>
        <v>0</v>
      </c>
      <c r="J103" s="5">
        <f>IF(OR(INDEX($W$2:$W$1001,MATCH(ROWS($V$2:V103),$V$2:$V$1001,0),1)&gt;=100000,INDEX($AC$1005:$AS$1005,1,MATCH(COLUMNS($AC$1006:AK1006),$AC$1006:$AS$1006,0))&gt;=100000), " ",IF(INDEX($AC$2:$AS$1001,MATCH(ROWS($V$2:V103),$V$2:$V$1001,0),MATCH(COLUMNS($AC$1006:AK1006),$AC$1006:$AS$1006,0)), HYPERLINK("#",""), HYPERLINK(CONCATENATE("#Metadata!", ADDRESS(INDEX($X$2:$X$1001,MATCH(ROWS($V$2:V103),$V$2:$V$1001,0),0), INDEX($AC$1004:$AS$1004,1,MATCH(COLUMNS($AC$1006:AK1006),$AC$1006:$AS$1006,0)))),"Fix")))</f>
        <v>0</v>
      </c>
      <c r="K103" s="5">
        <f>IF(OR(INDEX($W$2:$W$1001,MATCH(ROWS($V$2:V103),$V$2:$V$1001,0),1)&gt;=100000,INDEX($AC$1005:$AS$1005,1,MATCH(COLUMNS($AC$1006:AL1006),$AC$1006:$AS$1006,0))&gt;=100000), " ",IF(INDEX($AC$2:$AS$1001,MATCH(ROWS($V$2:V103),$V$2:$V$1001,0),MATCH(COLUMNS($AC$1006:AL1006),$AC$1006:$AS$1006,0)), HYPERLINK("#",""), HYPERLINK(CONCATENATE("#Metadata!", ADDRESS(INDEX($X$2:$X$1001,MATCH(ROWS($V$2:V103),$V$2:$V$1001,0),0), INDEX($AC$1004:$AS$1004,1,MATCH(COLUMNS($AC$1006:AL1006),$AC$1006:$AS$1006,0)))),"Fix")))</f>
        <v>0</v>
      </c>
      <c r="L103" s="5">
        <f>IF(OR(INDEX($W$2:$W$1001,MATCH(ROWS($V$2:V103),$V$2:$V$1001,0),1)&gt;=100000,INDEX($AC$1005:$AS$1005,1,MATCH(COLUMNS($AC$1006:AM1006),$AC$1006:$AS$1006,0))&gt;=100000), " ",IF(INDEX($AC$2:$AS$1001,MATCH(ROWS($V$2:V103),$V$2:$V$1001,0),MATCH(COLUMNS($AC$1006:AM1006),$AC$1006:$AS$1006,0)), HYPERLINK("#",""), HYPERLINK(CONCATENATE("#Metadata!", ADDRESS(INDEX($X$2:$X$1001,MATCH(ROWS($V$2:V103),$V$2:$V$1001,0),0), INDEX($AC$1004:$AS$1004,1,MATCH(COLUMNS($AC$1006:AM1006),$AC$1006:$AS$1006,0)))),"Fix")))</f>
        <v>0</v>
      </c>
      <c r="M103" s="5">
        <f>IF(OR(INDEX($W$2:$W$1001,MATCH(ROWS($V$2:V103),$V$2:$V$1001,0),1)&gt;=100000,INDEX($AC$1005:$AS$1005,1,MATCH(COLUMNS($AC$1006:AN1006),$AC$1006:$AS$1006,0))&gt;=100000), " ",IF(INDEX($AC$2:$AS$1001,MATCH(ROWS($V$2:V103),$V$2:$V$1001,0),MATCH(COLUMNS($AC$1006:AN1006),$AC$1006:$AS$1006,0)), HYPERLINK("#",""), HYPERLINK(CONCATENATE("#Metadata!", ADDRESS(INDEX($X$2:$X$1001,MATCH(ROWS($V$2:V103),$V$2:$V$1001,0),0), INDEX($AC$1004:$AS$1004,1,MATCH(COLUMNS($AC$1006:AN1006),$AC$1006:$AS$1006,0)))),"Fix")))</f>
        <v>0</v>
      </c>
      <c r="N103" s="5">
        <f>IF(OR(INDEX($W$2:$W$1001,MATCH(ROWS($V$2:V103),$V$2:$V$1001,0),1)&gt;=100000,INDEX($AC$1005:$AS$1005,1,MATCH(COLUMNS($AC$1006:AO1006),$AC$1006:$AS$1006,0))&gt;=100000), " ",IF(INDEX($AC$2:$AS$1001,MATCH(ROWS($V$2:V103),$V$2:$V$1001,0),MATCH(COLUMNS($AC$1006:AO1006),$AC$1006:$AS$1006,0)), HYPERLINK("#",""), HYPERLINK(CONCATENATE("#Metadata!", ADDRESS(INDEX($X$2:$X$1001,MATCH(ROWS($V$2:V103),$V$2:$V$1001,0),0), INDEX($AC$1004:$AS$1004,1,MATCH(COLUMNS($AC$1006:AO1006),$AC$1006:$AS$1006,0)))),"Fix")))</f>
        <v>0</v>
      </c>
      <c r="O103" s="5">
        <f>IF(OR(INDEX($W$2:$W$1001,MATCH(ROWS($V$2:V103),$V$2:$V$1001,0),1)&gt;=100000,INDEX($AC$1005:$AS$1005,1,MATCH(COLUMNS($AC$1006:AP1006),$AC$1006:$AS$1006,0))&gt;=100000), " ",IF(INDEX($AC$2:$AS$1001,MATCH(ROWS($V$2:V103),$V$2:$V$1001,0),MATCH(COLUMNS($AC$1006:AP1006),$AC$1006:$AS$1006,0)), HYPERLINK("#",""), HYPERLINK(CONCATENATE("#Metadata!", ADDRESS(INDEX($X$2:$X$1001,MATCH(ROWS($V$2:V103),$V$2:$V$1001,0),0), INDEX($AC$1004:$AS$1004,1,MATCH(COLUMNS($AC$1006:AP1006),$AC$1006:$AS$1006,0)))),"Fix")))</f>
        <v>0</v>
      </c>
      <c r="P103" s="5">
        <f>IF(OR(INDEX($W$2:$W$1001,MATCH(ROWS($V$2:V103),$V$2:$V$1001,0),1)&gt;=100000,INDEX($AC$1005:$AS$1005,1,MATCH(COLUMNS($AC$1006:AQ1006),$AC$1006:$AS$1006,0))&gt;=100000), " ",IF(INDEX($AC$2:$AS$1001,MATCH(ROWS($V$2:V103),$V$2:$V$1001,0),MATCH(COLUMNS($AC$1006:AQ1006),$AC$1006:$AS$1006,0)), HYPERLINK("#",""), HYPERLINK(CONCATENATE("#Metadata!", ADDRESS(INDEX($X$2:$X$1001,MATCH(ROWS($V$2:V103),$V$2:$V$1001,0),0), INDEX($AC$1004:$AS$1004,1,MATCH(COLUMNS($AC$1006:AQ1006),$AC$1006:$AS$1006,0)))),"Fix")))</f>
        <v>0</v>
      </c>
      <c r="Q103" s="5">
        <f>IF(OR(INDEX($W$2:$W$1001,MATCH(ROWS($V$2:V103),$V$2:$V$1001,0),1)&gt;=100000,INDEX($AC$1005:$AS$1005,1,MATCH(COLUMNS($AC$1006:AR1006),$AC$1006:$AS$1006,0))&gt;=100000), " ",IF(INDEX($AC$2:$AS$1001,MATCH(ROWS($V$2:V103),$V$2:$V$1001,0),MATCH(COLUMNS($AC$1006:AR1006),$AC$1006:$AS$1006,0)), HYPERLINK("#",""), HYPERLINK(CONCATENATE("#Metadata!", ADDRESS(INDEX($X$2:$X$1001,MATCH(ROWS($V$2:V103),$V$2:$V$1001,0),0), INDEX($AC$1004:$AS$1004,1,MATCH(COLUMNS($AC$1006:AR1006),$AC$1006:$AS$1006,0)))),"Fix")))</f>
        <v>0</v>
      </c>
      <c r="R103" s="5">
        <f>IF(OR(INDEX($W$2:$W$1001,MATCH(ROWS($V$2:V103),$V$2:$V$1001,0),1)&gt;=100000,INDEX($AC$1005:$AS$1005,1,MATCH(COLUMNS($AC$1006:AS1006),$AC$1006:$AS$1006,0))&gt;=100000), " ",IF(INDEX($AC$2:$AS$1001,MATCH(ROWS($V$2:V103),$V$2:$V$1001,0),MATCH(COLUMNS($AC$1006:AS1006),$AC$1006:$AS$1006,0)), HYPERLINK("#",""), HYPERLINK(CONCATENATE("#Metadata!", ADDRESS(INDEX($X$2:$X$1001,MATCH(ROWS($V$2:V103),$V$2:$V$1001,0),0), INDEX($AC$1004:$AS$1004,1,MATCH(COLUMNS($AC$1006:AS1006),$AC$1006:$AS$1006,0)))),"Fix")))</f>
        <v>0</v>
      </c>
      <c r="V103">
        <v>0</v>
      </c>
      <c r="W103">
        <v>0</v>
      </c>
      <c r="X103">
        <v>0</v>
      </c>
      <c r="Y103">
        <f>IF(Z103,TRUE,AND(AC103:AS103))</f>
        <v>0</v>
      </c>
      <c r="Z103">
        <f>COUNTBLANK(Metadata!B103:R103)=COLUMNS(Metadata!B103:R103)</f>
        <v>0</v>
      </c>
      <c r="AA103">
        <v>0</v>
      </c>
      <c r="AC103">
        <f>AND(IF(Metadata!B103="",FALSE,TRUE),COUNTIF(Metadata!B:B, Metadata!B103) = 1,NOT(ISERROR(SUMPRODUCT(SEARCH(MID(Metadata!B103,ROW(INDIRECT("1:"&amp;LEN(Metadata!B103))), 1),"0123456789abcdefghijklmnopqrstuvwxyzABCDEFGHIJKLMNOPQRSTUVWXYZ.")))))</f>
        <v>0</v>
      </c>
      <c r="AD103">
        <f>AND(IF(Metadata!C103="",FALSE,TRUE),exact(Metadata!C103,"Host-associated"))</f>
        <v>0</v>
      </c>
      <c r="AE103">
        <f>AND(IF(Metadata!D103="",FALSE,TRUE),OR(exact(Metadata!D103,"Animal"),exact(Metadata!D103,"Fungus"),exact(Metadata!D103,"Plant")))</f>
        <v>0</v>
      </c>
      <c r="AF103">
        <f>AND(IF(Metadata!E103="",FALSE,TRUE),OR(exact(Metadata!E103,"Plant secretion"),exact(Metadata!E103,"Plant rhizosphere"),exact(Metadata!E103,"Plant surface"),exact(Metadata!E103,"Plant corpus"),exact(Metadata!E103,"Fungus surface"),exact(Metadata!E103,"Fungus corpus"),exact(Metadata!E103,"Animal surface"),exact(Metadata!E103,"Animal proximal gut"),exact(Metadata!E103,"Animal corpus"),exact(Metadata!E103,"Animal distal gut"),exact(Metadata!E103,"Animal secretion")))</f>
        <v>0</v>
      </c>
      <c r="AG103">
        <f>OR(AND(IF(Metadata!F103="",FALSE,TRUE),OR(exact(Metadata!F103,"not collected"),exact(Metadata!F103,"not provided"),exact(Metadata!F103,"restricted access"))),AND(IF(Metadata!F103="",FALSE,TRUE),OR(exact(Metadata!F103,"organism-associated habitat"),exact(Metadata!F103,"plant-associated habitat"),exact(Metadata!F103,"animal-associated habitat"),exact(Metadata!F103,"insecta-associated habitat"),exact(Metadata!F103,"mammalia-associated habitat"),exact(Metadata!F103,"human-associated habitat"),exact(Metadata!F103,"livestock-associated habitat"))))</f>
        <v>0</v>
      </c>
      <c r="AH103">
        <f>AND(IF(Metadata!G103="",FALSE,TRUE),exact(Metadata!G103,"host-associated"))</f>
        <v>0</v>
      </c>
      <c r="AI103">
        <f>OR(AND(IF(Metadata!H103="",FALSE,TRUE),OR(exact(Metadata!H103,"not collected"),exact(Metadata!H103,"not provided"))),AND(IF(Metadata!H103="",FALSE,ISNUMBER(VALUE(Metadata!H103))),Metadata!H103&gt;0))</f>
        <v>0</v>
      </c>
      <c r="AJ103">
        <f>AND(IF(Metadata!I103="",FALSE,TRUE),exact(Metadata!I103,"years"))</f>
        <v>0</v>
      </c>
      <c r="AK103">
        <f>IF(Metadata!J103="",FALSE,TRUE)</f>
        <v>0</v>
      </c>
      <c r="AL103">
        <f>OR(AND(IF(Metadata!K103="",FALSE,TRUE),OR(exact(Metadata!K103,"not collected"),exact(Metadata!K103,"not provided"))),AND(IF(Metadata!K103="",FALSE,ISNUMBER(VALUE(Metadata!K103))),Metadata!K103&gt;0))</f>
        <v>0</v>
      </c>
      <c r="AM103">
        <f>AND(IF(Metadata!L103="",FALSE,TRUE),exact(Metadata!L103,"cm"))</f>
        <v>0</v>
      </c>
      <c r="AN103">
        <f>IF(Metadata!M103="",FALSE,TRUE)</f>
        <v>0</v>
      </c>
      <c r="AO103">
        <f>OR(AND(IF(Metadata!N103="",FALSE,TRUE),OR(exact(Metadata!N103,"not applicable"),exact(Metadata!N103,"not collected"),exact(Metadata!N103,"not provided"))),AND(IF(Metadata!N103="",FALSE,IF(ISERROR(INT(Metadata!N103)),FALSE,INT(Metadata!N103)=Metadata!N103)),Metadata!N103&gt;0))</f>
        <v>0</v>
      </c>
      <c r="AP103">
        <f>OR(AND(IF(Metadata!O103="",FALSE,TRUE),OR(exact(Metadata!O103,"not collected"),exact(Metadata!O103,"not provided"))),AND(IF(Metadata!O103="",FALSE,ISNUMBER(VALUE(Metadata!O103))),Metadata!O103&gt;0))</f>
        <v>0</v>
      </c>
      <c r="AQ103">
        <f>AND(IF(Metadata!P103="",FALSE,TRUE),exact(Metadata!P103,"kg"))</f>
        <v>0</v>
      </c>
      <c r="AR103">
        <f>OR(AND(IF(Metadata!Q103="",FALSE,TRUE),OR(exact(Metadata!Q103,"not applicable"),exact(Metadata!Q103,"not collected"),exact(Metadata!Q103,"not provided"),exact(Metadata!Q103,"restricted access"))),IF(Metadata!Q103="",FALSE,IF(ISERROR(INT(Metadata!Q103)),FALSE,INT(Metadata!Q103)=Metadata!Q103)))</f>
        <v>0</v>
      </c>
      <c r="AS103">
        <f>AND(IF(Metadata!R103="",FALSE,TRUE),exact(Metadata!R103,"Not applicable"))</f>
        <v>0</v>
      </c>
    </row>
    <row r="104" spans="1:45">
      <c r="A104" s="4">
        <f>IF(B104=" "," ",HYPERLINK(CONCATENATE("#metadata!",ADDRESS(INDEX($X$2:$X$1001,MATCH(ROWS($V$2:V104),$V$2:$V$1001,0),0),2)),INDEX($AA$2:$AA$1001,MATCH(ROWS($V$2:V104),$V$2:$V$1001,0),0)))</f>
        <v>0</v>
      </c>
      <c r="B104" s="5">
        <f>IF(OR(INDEX($W$2:$W$1001,MATCH(ROWS($V$2:V104),$V$2:$V$1001,0),1)&gt;=100000,INDEX($AC$1005:$AS$1005,1,MATCH(COLUMNS($AC$1006:AC1006),$AC$1006:$AS$1006,0))&gt;=100000), " ",IF(INDEX($AC$2:$AS$1001,MATCH(ROWS($V$2:V104),$V$2:$V$1001,0),MATCH(COLUMNS($AC$1006:AC1006),$AC$1006:$AS$1006,0)), HYPERLINK("#",""), HYPERLINK(CONCATENATE("#Metadata!", ADDRESS(INDEX($X$2:$X$1001,MATCH(ROWS($V$2:V104),$V$2:$V$1001,0),0), INDEX($AC$1004:$AS$1004,1,MATCH(COLUMNS($AC$1006:AC1006),$AC$1006:$AS$1006,0)))),"Fix")))</f>
        <v>0</v>
      </c>
      <c r="C104" s="5">
        <f>IF(OR(INDEX($W$2:$W$1001,MATCH(ROWS($V$2:V104),$V$2:$V$1001,0),1)&gt;=100000,INDEX($AC$1005:$AS$1005,1,MATCH(COLUMNS($AC$1006:AD1006),$AC$1006:$AS$1006,0))&gt;=100000), " ",IF(INDEX($AC$2:$AS$1001,MATCH(ROWS($V$2:V104),$V$2:$V$1001,0),MATCH(COLUMNS($AC$1006:AD1006),$AC$1006:$AS$1006,0)), HYPERLINK("#",""), HYPERLINK(CONCATENATE("#Metadata!", ADDRESS(INDEX($X$2:$X$1001,MATCH(ROWS($V$2:V104),$V$2:$V$1001,0),0), INDEX($AC$1004:$AS$1004,1,MATCH(COLUMNS($AC$1006:AD1006),$AC$1006:$AS$1006,0)))),"Fix")))</f>
        <v>0</v>
      </c>
      <c r="D104" s="5">
        <f>IF(OR(INDEX($W$2:$W$1001,MATCH(ROWS($V$2:V104),$V$2:$V$1001,0),1)&gt;=100000,INDEX($AC$1005:$AS$1005,1,MATCH(COLUMNS($AC$1006:AE1006),$AC$1006:$AS$1006,0))&gt;=100000), " ",IF(INDEX($AC$2:$AS$1001,MATCH(ROWS($V$2:V104),$V$2:$V$1001,0),MATCH(COLUMNS($AC$1006:AE1006),$AC$1006:$AS$1006,0)), HYPERLINK("#",""), HYPERLINK(CONCATENATE("#Metadata!", ADDRESS(INDEX($X$2:$X$1001,MATCH(ROWS($V$2:V104),$V$2:$V$1001,0),0), INDEX($AC$1004:$AS$1004,1,MATCH(COLUMNS($AC$1006:AE1006),$AC$1006:$AS$1006,0)))),"Fix")))</f>
        <v>0</v>
      </c>
      <c r="E104" s="5">
        <f>IF(OR(INDEX($W$2:$W$1001,MATCH(ROWS($V$2:V104),$V$2:$V$1001,0),1)&gt;=100000,INDEX($AC$1005:$AS$1005,1,MATCH(COLUMNS($AC$1006:AF1006),$AC$1006:$AS$1006,0))&gt;=100000), " ",IF(INDEX($AC$2:$AS$1001,MATCH(ROWS($V$2:V104),$V$2:$V$1001,0),MATCH(COLUMNS($AC$1006:AF1006),$AC$1006:$AS$1006,0)), HYPERLINK("#",""), HYPERLINK(CONCATENATE("#Metadata!", ADDRESS(INDEX($X$2:$X$1001,MATCH(ROWS($V$2:V104),$V$2:$V$1001,0),0), INDEX($AC$1004:$AS$1004,1,MATCH(COLUMNS($AC$1006:AF1006),$AC$1006:$AS$1006,0)))),"Fix")))</f>
        <v>0</v>
      </c>
      <c r="F104" s="5">
        <f>IF(OR(INDEX($W$2:$W$1001,MATCH(ROWS($V$2:V104),$V$2:$V$1001,0),1)&gt;=100000,INDEX($AC$1005:$AS$1005,1,MATCH(COLUMNS($AC$1006:AG1006),$AC$1006:$AS$1006,0))&gt;=100000), " ",IF(INDEX($AC$2:$AS$1001,MATCH(ROWS($V$2:V104),$V$2:$V$1001,0),MATCH(COLUMNS($AC$1006:AG1006),$AC$1006:$AS$1006,0)), HYPERLINK("#",""), HYPERLINK(CONCATENATE("#Metadata!", ADDRESS(INDEX($X$2:$X$1001,MATCH(ROWS($V$2:V104),$V$2:$V$1001,0),0), INDEX($AC$1004:$AS$1004,1,MATCH(COLUMNS($AC$1006:AG1006),$AC$1006:$AS$1006,0)))),"Fix")))</f>
        <v>0</v>
      </c>
      <c r="G104" s="5">
        <f>IF(OR(INDEX($W$2:$W$1001,MATCH(ROWS($V$2:V104),$V$2:$V$1001,0),1)&gt;=100000,INDEX($AC$1005:$AS$1005,1,MATCH(COLUMNS($AC$1006:AH1006),$AC$1006:$AS$1006,0))&gt;=100000), " ",IF(INDEX($AC$2:$AS$1001,MATCH(ROWS($V$2:V104),$V$2:$V$1001,0),MATCH(COLUMNS($AC$1006:AH1006),$AC$1006:$AS$1006,0)), HYPERLINK("#",""), HYPERLINK(CONCATENATE("#Metadata!", ADDRESS(INDEX($X$2:$X$1001,MATCH(ROWS($V$2:V104),$V$2:$V$1001,0),0), INDEX($AC$1004:$AS$1004,1,MATCH(COLUMNS($AC$1006:AH1006),$AC$1006:$AS$1006,0)))),"Fix")))</f>
        <v>0</v>
      </c>
      <c r="H104" s="5">
        <f>IF(OR(INDEX($W$2:$W$1001,MATCH(ROWS($V$2:V104),$V$2:$V$1001,0),1)&gt;=100000,INDEX($AC$1005:$AS$1005,1,MATCH(COLUMNS($AC$1006:AI1006),$AC$1006:$AS$1006,0))&gt;=100000), " ",IF(INDEX($AC$2:$AS$1001,MATCH(ROWS($V$2:V104),$V$2:$V$1001,0),MATCH(COLUMNS($AC$1006:AI1006),$AC$1006:$AS$1006,0)), HYPERLINK("#",""), HYPERLINK(CONCATENATE("#Metadata!", ADDRESS(INDEX($X$2:$X$1001,MATCH(ROWS($V$2:V104),$V$2:$V$1001,0),0), INDEX($AC$1004:$AS$1004,1,MATCH(COLUMNS($AC$1006:AI1006),$AC$1006:$AS$1006,0)))),"Fix")))</f>
        <v>0</v>
      </c>
      <c r="I104" s="5">
        <f>IF(OR(INDEX($W$2:$W$1001,MATCH(ROWS($V$2:V104),$V$2:$V$1001,0),1)&gt;=100000,INDEX($AC$1005:$AS$1005,1,MATCH(COLUMNS($AC$1006:AJ1006),$AC$1006:$AS$1006,0))&gt;=100000), " ",IF(INDEX($AC$2:$AS$1001,MATCH(ROWS($V$2:V104),$V$2:$V$1001,0),MATCH(COLUMNS($AC$1006:AJ1006),$AC$1006:$AS$1006,0)), HYPERLINK("#",""), HYPERLINK(CONCATENATE("#Metadata!", ADDRESS(INDEX($X$2:$X$1001,MATCH(ROWS($V$2:V104),$V$2:$V$1001,0),0), INDEX($AC$1004:$AS$1004,1,MATCH(COLUMNS($AC$1006:AJ1006),$AC$1006:$AS$1006,0)))),"Fix")))</f>
        <v>0</v>
      </c>
      <c r="J104" s="5">
        <f>IF(OR(INDEX($W$2:$W$1001,MATCH(ROWS($V$2:V104),$V$2:$V$1001,0),1)&gt;=100000,INDEX($AC$1005:$AS$1005,1,MATCH(COLUMNS($AC$1006:AK1006),$AC$1006:$AS$1006,0))&gt;=100000), " ",IF(INDEX($AC$2:$AS$1001,MATCH(ROWS($V$2:V104),$V$2:$V$1001,0),MATCH(COLUMNS($AC$1006:AK1006),$AC$1006:$AS$1006,0)), HYPERLINK("#",""), HYPERLINK(CONCATENATE("#Metadata!", ADDRESS(INDEX($X$2:$X$1001,MATCH(ROWS($V$2:V104),$V$2:$V$1001,0),0), INDEX($AC$1004:$AS$1004,1,MATCH(COLUMNS($AC$1006:AK1006),$AC$1006:$AS$1006,0)))),"Fix")))</f>
        <v>0</v>
      </c>
      <c r="K104" s="5">
        <f>IF(OR(INDEX($W$2:$W$1001,MATCH(ROWS($V$2:V104),$V$2:$V$1001,0),1)&gt;=100000,INDEX($AC$1005:$AS$1005,1,MATCH(COLUMNS($AC$1006:AL1006),$AC$1006:$AS$1006,0))&gt;=100000), " ",IF(INDEX($AC$2:$AS$1001,MATCH(ROWS($V$2:V104),$V$2:$V$1001,0),MATCH(COLUMNS($AC$1006:AL1006),$AC$1006:$AS$1006,0)), HYPERLINK("#",""), HYPERLINK(CONCATENATE("#Metadata!", ADDRESS(INDEX($X$2:$X$1001,MATCH(ROWS($V$2:V104),$V$2:$V$1001,0),0), INDEX($AC$1004:$AS$1004,1,MATCH(COLUMNS($AC$1006:AL1006),$AC$1006:$AS$1006,0)))),"Fix")))</f>
        <v>0</v>
      </c>
      <c r="L104" s="5">
        <f>IF(OR(INDEX($W$2:$W$1001,MATCH(ROWS($V$2:V104),$V$2:$V$1001,0),1)&gt;=100000,INDEX($AC$1005:$AS$1005,1,MATCH(COLUMNS($AC$1006:AM1006),$AC$1006:$AS$1006,0))&gt;=100000), " ",IF(INDEX($AC$2:$AS$1001,MATCH(ROWS($V$2:V104),$V$2:$V$1001,0),MATCH(COLUMNS($AC$1006:AM1006),$AC$1006:$AS$1006,0)), HYPERLINK("#",""), HYPERLINK(CONCATENATE("#Metadata!", ADDRESS(INDEX($X$2:$X$1001,MATCH(ROWS($V$2:V104),$V$2:$V$1001,0),0), INDEX($AC$1004:$AS$1004,1,MATCH(COLUMNS($AC$1006:AM1006),$AC$1006:$AS$1006,0)))),"Fix")))</f>
        <v>0</v>
      </c>
      <c r="M104" s="5">
        <f>IF(OR(INDEX($W$2:$W$1001,MATCH(ROWS($V$2:V104),$V$2:$V$1001,0),1)&gt;=100000,INDEX($AC$1005:$AS$1005,1,MATCH(COLUMNS($AC$1006:AN1006),$AC$1006:$AS$1006,0))&gt;=100000), " ",IF(INDEX($AC$2:$AS$1001,MATCH(ROWS($V$2:V104),$V$2:$V$1001,0),MATCH(COLUMNS($AC$1006:AN1006),$AC$1006:$AS$1006,0)), HYPERLINK("#",""), HYPERLINK(CONCATENATE("#Metadata!", ADDRESS(INDEX($X$2:$X$1001,MATCH(ROWS($V$2:V104),$V$2:$V$1001,0),0), INDEX($AC$1004:$AS$1004,1,MATCH(COLUMNS($AC$1006:AN1006),$AC$1006:$AS$1006,0)))),"Fix")))</f>
        <v>0</v>
      </c>
      <c r="N104" s="5">
        <f>IF(OR(INDEX($W$2:$W$1001,MATCH(ROWS($V$2:V104),$V$2:$V$1001,0),1)&gt;=100000,INDEX($AC$1005:$AS$1005,1,MATCH(COLUMNS($AC$1006:AO1006),$AC$1006:$AS$1006,0))&gt;=100000), " ",IF(INDEX($AC$2:$AS$1001,MATCH(ROWS($V$2:V104),$V$2:$V$1001,0),MATCH(COLUMNS($AC$1006:AO1006),$AC$1006:$AS$1006,0)), HYPERLINK("#",""), HYPERLINK(CONCATENATE("#Metadata!", ADDRESS(INDEX($X$2:$X$1001,MATCH(ROWS($V$2:V104),$V$2:$V$1001,0),0), INDEX($AC$1004:$AS$1004,1,MATCH(COLUMNS($AC$1006:AO1006),$AC$1006:$AS$1006,0)))),"Fix")))</f>
        <v>0</v>
      </c>
      <c r="O104" s="5">
        <f>IF(OR(INDEX($W$2:$W$1001,MATCH(ROWS($V$2:V104),$V$2:$V$1001,0),1)&gt;=100000,INDEX($AC$1005:$AS$1005,1,MATCH(COLUMNS($AC$1006:AP1006),$AC$1006:$AS$1006,0))&gt;=100000), " ",IF(INDEX($AC$2:$AS$1001,MATCH(ROWS($V$2:V104),$V$2:$V$1001,0),MATCH(COLUMNS($AC$1006:AP1006),$AC$1006:$AS$1006,0)), HYPERLINK("#",""), HYPERLINK(CONCATENATE("#Metadata!", ADDRESS(INDEX($X$2:$X$1001,MATCH(ROWS($V$2:V104),$V$2:$V$1001,0),0), INDEX($AC$1004:$AS$1004,1,MATCH(COLUMNS($AC$1006:AP1006),$AC$1006:$AS$1006,0)))),"Fix")))</f>
        <v>0</v>
      </c>
      <c r="P104" s="5">
        <f>IF(OR(INDEX($W$2:$W$1001,MATCH(ROWS($V$2:V104),$V$2:$V$1001,0),1)&gt;=100000,INDEX($AC$1005:$AS$1005,1,MATCH(COLUMNS($AC$1006:AQ1006),$AC$1006:$AS$1006,0))&gt;=100000), " ",IF(INDEX($AC$2:$AS$1001,MATCH(ROWS($V$2:V104),$V$2:$V$1001,0),MATCH(COLUMNS($AC$1006:AQ1006),$AC$1006:$AS$1006,0)), HYPERLINK("#",""), HYPERLINK(CONCATENATE("#Metadata!", ADDRESS(INDEX($X$2:$X$1001,MATCH(ROWS($V$2:V104),$V$2:$V$1001,0),0), INDEX($AC$1004:$AS$1004,1,MATCH(COLUMNS($AC$1006:AQ1006),$AC$1006:$AS$1006,0)))),"Fix")))</f>
        <v>0</v>
      </c>
      <c r="Q104" s="5">
        <f>IF(OR(INDEX($W$2:$W$1001,MATCH(ROWS($V$2:V104),$V$2:$V$1001,0),1)&gt;=100000,INDEX($AC$1005:$AS$1005,1,MATCH(COLUMNS($AC$1006:AR1006),$AC$1006:$AS$1006,0))&gt;=100000), " ",IF(INDEX($AC$2:$AS$1001,MATCH(ROWS($V$2:V104),$V$2:$V$1001,0),MATCH(COLUMNS($AC$1006:AR1006),$AC$1006:$AS$1006,0)), HYPERLINK("#",""), HYPERLINK(CONCATENATE("#Metadata!", ADDRESS(INDEX($X$2:$X$1001,MATCH(ROWS($V$2:V104),$V$2:$V$1001,0),0), INDEX($AC$1004:$AS$1004,1,MATCH(COLUMNS($AC$1006:AR1006),$AC$1006:$AS$1006,0)))),"Fix")))</f>
        <v>0</v>
      </c>
      <c r="R104" s="5">
        <f>IF(OR(INDEX($W$2:$W$1001,MATCH(ROWS($V$2:V104),$V$2:$V$1001,0),1)&gt;=100000,INDEX($AC$1005:$AS$1005,1,MATCH(COLUMNS($AC$1006:AS1006),$AC$1006:$AS$1006,0))&gt;=100000), " ",IF(INDEX($AC$2:$AS$1001,MATCH(ROWS($V$2:V104),$V$2:$V$1001,0),MATCH(COLUMNS($AC$1006:AS1006),$AC$1006:$AS$1006,0)), HYPERLINK("#",""), HYPERLINK(CONCATENATE("#Metadata!", ADDRESS(INDEX($X$2:$X$1001,MATCH(ROWS($V$2:V104),$V$2:$V$1001,0),0), INDEX($AC$1004:$AS$1004,1,MATCH(COLUMNS($AC$1006:AS1006),$AC$1006:$AS$1006,0)))),"Fix")))</f>
        <v>0</v>
      </c>
      <c r="V104">
        <v>0</v>
      </c>
      <c r="W104">
        <v>0</v>
      </c>
      <c r="X104">
        <v>0</v>
      </c>
      <c r="Y104">
        <f>IF(Z104,TRUE,AND(AC104:AS104))</f>
        <v>0</v>
      </c>
      <c r="Z104">
        <f>COUNTBLANK(Metadata!B104:R104)=COLUMNS(Metadata!B104:R104)</f>
        <v>0</v>
      </c>
      <c r="AA104">
        <v>0</v>
      </c>
      <c r="AC104">
        <f>AND(IF(Metadata!B104="",FALSE,TRUE),COUNTIF(Metadata!B:B, Metadata!B104) = 1,NOT(ISERROR(SUMPRODUCT(SEARCH(MID(Metadata!B104,ROW(INDIRECT("1:"&amp;LEN(Metadata!B104))), 1),"0123456789abcdefghijklmnopqrstuvwxyzABCDEFGHIJKLMNOPQRSTUVWXYZ.")))))</f>
        <v>0</v>
      </c>
      <c r="AD104">
        <f>AND(IF(Metadata!C104="",FALSE,TRUE),exact(Metadata!C104,"Host-associated"))</f>
        <v>0</v>
      </c>
      <c r="AE104">
        <f>AND(IF(Metadata!D104="",FALSE,TRUE),OR(exact(Metadata!D104,"Animal"),exact(Metadata!D104,"Fungus"),exact(Metadata!D104,"Plant")))</f>
        <v>0</v>
      </c>
      <c r="AF104">
        <f>AND(IF(Metadata!E104="",FALSE,TRUE),OR(exact(Metadata!E104,"Plant secretion"),exact(Metadata!E104,"Plant rhizosphere"),exact(Metadata!E104,"Plant surface"),exact(Metadata!E104,"Plant corpus"),exact(Metadata!E104,"Fungus surface"),exact(Metadata!E104,"Fungus corpus"),exact(Metadata!E104,"Animal surface"),exact(Metadata!E104,"Animal proximal gut"),exact(Metadata!E104,"Animal corpus"),exact(Metadata!E104,"Animal distal gut"),exact(Metadata!E104,"Animal secretion")))</f>
        <v>0</v>
      </c>
      <c r="AG104">
        <f>OR(AND(IF(Metadata!F104="",FALSE,TRUE),OR(exact(Metadata!F104,"not collected"),exact(Metadata!F104,"not provided"),exact(Metadata!F104,"restricted access"))),AND(IF(Metadata!F104="",FALSE,TRUE),OR(exact(Metadata!F104,"organism-associated habitat"),exact(Metadata!F104,"plant-associated habitat"),exact(Metadata!F104,"animal-associated habitat"),exact(Metadata!F104,"insecta-associated habitat"),exact(Metadata!F104,"mammalia-associated habitat"),exact(Metadata!F104,"human-associated habitat"),exact(Metadata!F104,"livestock-associated habitat"))))</f>
        <v>0</v>
      </c>
      <c r="AH104">
        <f>AND(IF(Metadata!G104="",FALSE,TRUE),exact(Metadata!G104,"host-associated"))</f>
        <v>0</v>
      </c>
      <c r="AI104">
        <f>OR(AND(IF(Metadata!H104="",FALSE,TRUE),OR(exact(Metadata!H104,"not collected"),exact(Metadata!H104,"not provided"))),AND(IF(Metadata!H104="",FALSE,ISNUMBER(VALUE(Metadata!H104))),Metadata!H104&gt;0))</f>
        <v>0</v>
      </c>
      <c r="AJ104">
        <f>AND(IF(Metadata!I104="",FALSE,TRUE),exact(Metadata!I104,"years"))</f>
        <v>0</v>
      </c>
      <c r="AK104">
        <f>IF(Metadata!J104="",FALSE,TRUE)</f>
        <v>0</v>
      </c>
      <c r="AL104">
        <f>OR(AND(IF(Metadata!K104="",FALSE,TRUE),OR(exact(Metadata!K104,"not collected"),exact(Metadata!K104,"not provided"))),AND(IF(Metadata!K104="",FALSE,ISNUMBER(VALUE(Metadata!K104))),Metadata!K104&gt;0))</f>
        <v>0</v>
      </c>
      <c r="AM104">
        <f>AND(IF(Metadata!L104="",FALSE,TRUE),exact(Metadata!L104,"cm"))</f>
        <v>0</v>
      </c>
      <c r="AN104">
        <f>IF(Metadata!M104="",FALSE,TRUE)</f>
        <v>0</v>
      </c>
      <c r="AO104">
        <f>OR(AND(IF(Metadata!N104="",FALSE,TRUE),OR(exact(Metadata!N104,"not applicable"),exact(Metadata!N104,"not collected"),exact(Metadata!N104,"not provided"))),AND(IF(Metadata!N104="",FALSE,IF(ISERROR(INT(Metadata!N104)),FALSE,INT(Metadata!N104)=Metadata!N104)),Metadata!N104&gt;0))</f>
        <v>0</v>
      </c>
      <c r="AP104">
        <f>OR(AND(IF(Metadata!O104="",FALSE,TRUE),OR(exact(Metadata!O104,"not collected"),exact(Metadata!O104,"not provided"))),AND(IF(Metadata!O104="",FALSE,ISNUMBER(VALUE(Metadata!O104))),Metadata!O104&gt;0))</f>
        <v>0</v>
      </c>
      <c r="AQ104">
        <f>AND(IF(Metadata!P104="",FALSE,TRUE),exact(Metadata!P104,"kg"))</f>
        <v>0</v>
      </c>
      <c r="AR104">
        <f>OR(AND(IF(Metadata!Q104="",FALSE,TRUE),OR(exact(Metadata!Q104,"not applicable"),exact(Metadata!Q104,"not collected"),exact(Metadata!Q104,"not provided"),exact(Metadata!Q104,"restricted access"))),IF(Metadata!Q104="",FALSE,IF(ISERROR(INT(Metadata!Q104)),FALSE,INT(Metadata!Q104)=Metadata!Q104)))</f>
        <v>0</v>
      </c>
      <c r="AS104">
        <f>AND(IF(Metadata!R104="",FALSE,TRUE),exact(Metadata!R104,"Not applicable"))</f>
        <v>0</v>
      </c>
    </row>
    <row r="105" spans="1:45">
      <c r="A105" s="4">
        <f>IF(B105=" "," ",HYPERLINK(CONCATENATE("#metadata!",ADDRESS(INDEX($X$2:$X$1001,MATCH(ROWS($V$2:V105),$V$2:$V$1001,0),0),2)),INDEX($AA$2:$AA$1001,MATCH(ROWS($V$2:V105),$V$2:$V$1001,0),0)))</f>
        <v>0</v>
      </c>
      <c r="B105" s="5">
        <f>IF(OR(INDEX($W$2:$W$1001,MATCH(ROWS($V$2:V105),$V$2:$V$1001,0),1)&gt;=100000,INDEX($AC$1005:$AS$1005,1,MATCH(COLUMNS($AC$1006:AC1006),$AC$1006:$AS$1006,0))&gt;=100000), " ",IF(INDEX($AC$2:$AS$1001,MATCH(ROWS($V$2:V105),$V$2:$V$1001,0),MATCH(COLUMNS($AC$1006:AC1006),$AC$1006:$AS$1006,0)), HYPERLINK("#",""), HYPERLINK(CONCATENATE("#Metadata!", ADDRESS(INDEX($X$2:$X$1001,MATCH(ROWS($V$2:V105),$V$2:$V$1001,0),0), INDEX($AC$1004:$AS$1004,1,MATCH(COLUMNS($AC$1006:AC1006),$AC$1006:$AS$1006,0)))),"Fix")))</f>
        <v>0</v>
      </c>
      <c r="C105" s="5">
        <f>IF(OR(INDEX($W$2:$W$1001,MATCH(ROWS($V$2:V105),$V$2:$V$1001,0),1)&gt;=100000,INDEX($AC$1005:$AS$1005,1,MATCH(COLUMNS($AC$1006:AD1006),$AC$1006:$AS$1006,0))&gt;=100000), " ",IF(INDEX($AC$2:$AS$1001,MATCH(ROWS($V$2:V105),$V$2:$V$1001,0),MATCH(COLUMNS($AC$1006:AD1006),$AC$1006:$AS$1006,0)), HYPERLINK("#",""), HYPERLINK(CONCATENATE("#Metadata!", ADDRESS(INDEX($X$2:$X$1001,MATCH(ROWS($V$2:V105),$V$2:$V$1001,0),0), INDEX($AC$1004:$AS$1004,1,MATCH(COLUMNS($AC$1006:AD1006),$AC$1006:$AS$1006,0)))),"Fix")))</f>
        <v>0</v>
      </c>
      <c r="D105" s="5">
        <f>IF(OR(INDEX($W$2:$W$1001,MATCH(ROWS($V$2:V105),$V$2:$V$1001,0),1)&gt;=100000,INDEX($AC$1005:$AS$1005,1,MATCH(COLUMNS($AC$1006:AE1006),$AC$1006:$AS$1006,0))&gt;=100000), " ",IF(INDEX($AC$2:$AS$1001,MATCH(ROWS($V$2:V105),$V$2:$V$1001,0),MATCH(COLUMNS($AC$1006:AE1006),$AC$1006:$AS$1006,0)), HYPERLINK("#",""), HYPERLINK(CONCATENATE("#Metadata!", ADDRESS(INDEX($X$2:$X$1001,MATCH(ROWS($V$2:V105),$V$2:$V$1001,0),0), INDEX($AC$1004:$AS$1004,1,MATCH(COLUMNS($AC$1006:AE1006),$AC$1006:$AS$1006,0)))),"Fix")))</f>
        <v>0</v>
      </c>
      <c r="E105" s="5">
        <f>IF(OR(INDEX($W$2:$W$1001,MATCH(ROWS($V$2:V105),$V$2:$V$1001,0),1)&gt;=100000,INDEX($AC$1005:$AS$1005,1,MATCH(COLUMNS($AC$1006:AF1006),$AC$1006:$AS$1006,0))&gt;=100000), " ",IF(INDEX($AC$2:$AS$1001,MATCH(ROWS($V$2:V105),$V$2:$V$1001,0),MATCH(COLUMNS($AC$1006:AF1006),$AC$1006:$AS$1006,0)), HYPERLINK("#",""), HYPERLINK(CONCATENATE("#Metadata!", ADDRESS(INDEX($X$2:$X$1001,MATCH(ROWS($V$2:V105),$V$2:$V$1001,0),0), INDEX($AC$1004:$AS$1004,1,MATCH(COLUMNS($AC$1006:AF1006),$AC$1006:$AS$1006,0)))),"Fix")))</f>
        <v>0</v>
      </c>
      <c r="F105" s="5">
        <f>IF(OR(INDEX($W$2:$W$1001,MATCH(ROWS($V$2:V105),$V$2:$V$1001,0),1)&gt;=100000,INDEX($AC$1005:$AS$1005,1,MATCH(COLUMNS($AC$1006:AG1006),$AC$1006:$AS$1006,0))&gt;=100000), " ",IF(INDEX($AC$2:$AS$1001,MATCH(ROWS($V$2:V105),$V$2:$V$1001,0),MATCH(COLUMNS($AC$1006:AG1006),$AC$1006:$AS$1006,0)), HYPERLINK("#",""), HYPERLINK(CONCATENATE("#Metadata!", ADDRESS(INDEX($X$2:$X$1001,MATCH(ROWS($V$2:V105),$V$2:$V$1001,0),0), INDEX($AC$1004:$AS$1004,1,MATCH(COLUMNS($AC$1006:AG1006),$AC$1006:$AS$1006,0)))),"Fix")))</f>
        <v>0</v>
      </c>
      <c r="G105" s="5">
        <f>IF(OR(INDEX($W$2:$W$1001,MATCH(ROWS($V$2:V105),$V$2:$V$1001,0),1)&gt;=100000,INDEX($AC$1005:$AS$1005,1,MATCH(COLUMNS($AC$1006:AH1006),$AC$1006:$AS$1006,0))&gt;=100000), " ",IF(INDEX($AC$2:$AS$1001,MATCH(ROWS($V$2:V105),$V$2:$V$1001,0),MATCH(COLUMNS($AC$1006:AH1006),$AC$1006:$AS$1006,0)), HYPERLINK("#",""), HYPERLINK(CONCATENATE("#Metadata!", ADDRESS(INDEX($X$2:$X$1001,MATCH(ROWS($V$2:V105),$V$2:$V$1001,0),0), INDEX($AC$1004:$AS$1004,1,MATCH(COLUMNS($AC$1006:AH1006),$AC$1006:$AS$1006,0)))),"Fix")))</f>
        <v>0</v>
      </c>
      <c r="H105" s="5">
        <f>IF(OR(INDEX($W$2:$W$1001,MATCH(ROWS($V$2:V105),$V$2:$V$1001,0),1)&gt;=100000,INDEX($AC$1005:$AS$1005,1,MATCH(COLUMNS($AC$1006:AI1006),$AC$1006:$AS$1006,0))&gt;=100000), " ",IF(INDEX($AC$2:$AS$1001,MATCH(ROWS($V$2:V105),$V$2:$V$1001,0),MATCH(COLUMNS($AC$1006:AI1006),$AC$1006:$AS$1006,0)), HYPERLINK("#",""), HYPERLINK(CONCATENATE("#Metadata!", ADDRESS(INDEX($X$2:$X$1001,MATCH(ROWS($V$2:V105),$V$2:$V$1001,0),0), INDEX($AC$1004:$AS$1004,1,MATCH(COLUMNS($AC$1006:AI1006),$AC$1006:$AS$1006,0)))),"Fix")))</f>
        <v>0</v>
      </c>
      <c r="I105" s="5">
        <f>IF(OR(INDEX($W$2:$W$1001,MATCH(ROWS($V$2:V105),$V$2:$V$1001,0),1)&gt;=100000,INDEX($AC$1005:$AS$1005,1,MATCH(COLUMNS($AC$1006:AJ1006),$AC$1006:$AS$1006,0))&gt;=100000), " ",IF(INDEX($AC$2:$AS$1001,MATCH(ROWS($V$2:V105),$V$2:$V$1001,0),MATCH(COLUMNS($AC$1006:AJ1006),$AC$1006:$AS$1006,0)), HYPERLINK("#",""), HYPERLINK(CONCATENATE("#Metadata!", ADDRESS(INDEX($X$2:$X$1001,MATCH(ROWS($V$2:V105),$V$2:$V$1001,0),0), INDEX($AC$1004:$AS$1004,1,MATCH(COLUMNS($AC$1006:AJ1006),$AC$1006:$AS$1006,0)))),"Fix")))</f>
        <v>0</v>
      </c>
      <c r="J105" s="5">
        <f>IF(OR(INDEX($W$2:$W$1001,MATCH(ROWS($V$2:V105),$V$2:$V$1001,0),1)&gt;=100000,INDEX($AC$1005:$AS$1005,1,MATCH(COLUMNS($AC$1006:AK1006),$AC$1006:$AS$1006,0))&gt;=100000), " ",IF(INDEX($AC$2:$AS$1001,MATCH(ROWS($V$2:V105),$V$2:$V$1001,0),MATCH(COLUMNS($AC$1006:AK1006),$AC$1006:$AS$1006,0)), HYPERLINK("#",""), HYPERLINK(CONCATENATE("#Metadata!", ADDRESS(INDEX($X$2:$X$1001,MATCH(ROWS($V$2:V105),$V$2:$V$1001,0),0), INDEX($AC$1004:$AS$1004,1,MATCH(COLUMNS($AC$1006:AK1006),$AC$1006:$AS$1006,0)))),"Fix")))</f>
        <v>0</v>
      </c>
      <c r="K105" s="5">
        <f>IF(OR(INDEX($W$2:$W$1001,MATCH(ROWS($V$2:V105),$V$2:$V$1001,0),1)&gt;=100000,INDEX($AC$1005:$AS$1005,1,MATCH(COLUMNS($AC$1006:AL1006),$AC$1006:$AS$1006,0))&gt;=100000), " ",IF(INDEX($AC$2:$AS$1001,MATCH(ROWS($V$2:V105),$V$2:$V$1001,0),MATCH(COLUMNS($AC$1006:AL1006),$AC$1006:$AS$1006,0)), HYPERLINK("#",""), HYPERLINK(CONCATENATE("#Metadata!", ADDRESS(INDEX($X$2:$X$1001,MATCH(ROWS($V$2:V105),$V$2:$V$1001,0),0), INDEX($AC$1004:$AS$1004,1,MATCH(COLUMNS($AC$1006:AL1006),$AC$1006:$AS$1006,0)))),"Fix")))</f>
        <v>0</v>
      </c>
      <c r="L105" s="5">
        <f>IF(OR(INDEX($W$2:$W$1001,MATCH(ROWS($V$2:V105),$V$2:$V$1001,0),1)&gt;=100000,INDEX($AC$1005:$AS$1005,1,MATCH(COLUMNS($AC$1006:AM1006),$AC$1006:$AS$1006,0))&gt;=100000), " ",IF(INDEX($AC$2:$AS$1001,MATCH(ROWS($V$2:V105),$V$2:$V$1001,0),MATCH(COLUMNS($AC$1006:AM1006),$AC$1006:$AS$1006,0)), HYPERLINK("#",""), HYPERLINK(CONCATENATE("#Metadata!", ADDRESS(INDEX($X$2:$X$1001,MATCH(ROWS($V$2:V105),$V$2:$V$1001,0),0), INDEX($AC$1004:$AS$1004,1,MATCH(COLUMNS($AC$1006:AM1006),$AC$1006:$AS$1006,0)))),"Fix")))</f>
        <v>0</v>
      </c>
      <c r="M105" s="5">
        <f>IF(OR(INDEX($W$2:$W$1001,MATCH(ROWS($V$2:V105),$V$2:$V$1001,0),1)&gt;=100000,INDEX($AC$1005:$AS$1005,1,MATCH(COLUMNS($AC$1006:AN1006),$AC$1006:$AS$1006,0))&gt;=100000), " ",IF(INDEX($AC$2:$AS$1001,MATCH(ROWS($V$2:V105),$V$2:$V$1001,0),MATCH(COLUMNS($AC$1006:AN1006),$AC$1006:$AS$1006,0)), HYPERLINK("#",""), HYPERLINK(CONCATENATE("#Metadata!", ADDRESS(INDEX($X$2:$X$1001,MATCH(ROWS($V$2:V105),$V$2:$V$1001,0),0), INDEX($AC$1004:$AS$1004,1,MATCH(COLUMNS($AC$1006:AN1006),$AC$1006:$AS$1006,0)))),"Fix")))</f>
        <v>0</v>
      </c>
      <c r="N105" s="5">
        <f>IF(OR(INDEX($W$2:$W$1001,MATCH(ROWS($V$2:V105),$V$2:$V$1001,0),1)&gt;=100000,INDEX($AC$1005:$AS$1005,1,MATCH(COLUMNS($AC$1006:AO1006),$AC$1006:$AS$1006,0))&gt;=100000), " ",IF(INDEX($AC$2:$AS$1001,MATCH(ROWS($V$2:V105),$V$2:$V$1001,0),MATCH(COLUMNS($AC$1006:AO1006),$AC$1006:$AS$1006,0)), HYPERLINK("#",""), HYPERLINK(CONCATENATE("#Metadata!", ADDRESS(INDEX($X$2:$X$1001,MATCH(ROWS($V$2:V105),$V$2:$V$1001,0),0), INDEX($AC$1004:$AS$1004,1,MATCH(COLUMNS($AC$1006:AO1006),$AC$1006:$AS$1006,0)))),"Fix")))</f>
        <v>0</v>
      </c>
      <c r="O105" s="5">
        <f>IF(OR(INDEX($W$2:$W$1001,MATCH(ROWS($V$2:V105),$V$2:$V$1001,0),1)&gt;=100000,INDEX($AC$1005:$AS$1005,1,MATCH(COLUMNS($AC$1006:AP1006),$AC$1006:$AS$1006,0))&gt;=100000), " ",IF(INDEX($AC$2:$AS$1001,MATCH(ROWS($V$2:V105),$V$2:$V$1001,0),MATCH(COLUMNS($AC$1006:AP1006),$AC$1006:$AS$1006,0)), HYPERLINK("#",""), HYPERLINK(CONCATENATE("#Metadata!", ADDRESS(INDEX($X$2:$X$1001,MATCH(ROWS($V$2:V105),$V$2:$V$1001,0),0), INDEX($AC$1004:$AS$1004,1,MATCH(COLUMNS($AC$1006:AP1006),$AC$1006:$AS$1006,0)))),"Fix")))</f>
        <v>0</v>
      </c>
      <c r="P105" s="5">
        <f>IF(OR(INDEX($W$2:$W$1001,MATCH(ROWS($V$2:V105),$V$2:$V$1001,0),1)&gt;=100000,INDEX($AC$1005:$AS$1005,1,MATCH(COLUMNS($AC$1006:AQ1006),$AC$1006:$AS$1006,0))&gt;=100000), " ",IF(INDEX($AC$2:$AS$1001,MATCH(ROWS($V$2:V105),$V$2:$V$1001,0),MATCH(COLUMNS($AC$1006:AQ1006),$AC$1006:$AS$1006,0)), HYPERLINK("#",""), HYPERLINK(CONCATENATE("#Metadata!", ADDRESS(INDEX($X$2:$X$1001,MATCH(ROWS($V$2:V105),$V$2:$V$1001,0),0), INDEX($AC$1004:$AS$1004,1,MATCH(COLUMNS($AC$1006:AQ1006),$AC$1006:$AS$1006,0)))),"Fix")))</f>
        <v>0</v>
      </c>
      <c r="Q105" s="5">
        <f>IF(OR(INDEX($W$2:$W$1001,MATCH(ROWS($V$2:V105),$V$2:$V$1001,0),1)&gt;=100000,INDEX($AC$1005:$AS$1005,1,MATCH(COLUMNS($AC$1006:AR1006),$AC$1006:$AS$1006,0))&gt;=100000), " ",IF(INDEX($AC$2:$AS$1001,MATCH(ROWS($V$2:V105),$V$2:$V$1001,0),MATCH(COLUMNS($AC$1006:AR1006),$AC$1006:$AS$1006,0)), HYPERLINK("#",""), HYPERLINK(CONCATENATE("#Metadata!", ADDRESS(INDEX($X$2:$X$1001,MATCH(ROWS($V$2:V105),$V$2:$V$1001,0),0), INDEX($AC$1004:$AS$1004,1,MATCH(COLUMNS($AC$1006:AR1006),$AC$1006:$AS$1006,0)))),"Fix")))</f>
        <v>0</v>
      </c>
      <c r="R105" s="5">
        <f>IF(OR(INDEX($W$2:$W$1001,MATCH(ROWS($V$2:V105),$V$2:$V$1001,0),1)&gt;=100000,INDEX($AC$1005:$AS$1005,1,MATCH(COLUMNS($AC$1006:AS1006),$AC$1006:$AS$1006,0))&gt;=100000), " ",IF(INDEX($AC$2:$AS$1001,MATCH(ROWS($V$2:V105),$V$2:$V$1001,0),MATCH(COLUMNS($AC$1006:AS1006),$AC$1006:$AS$1006,0)), HYPERLINK("#",""), HYPERLINK(CONCATENATE("#Metadata!", ADDRESS(INDEX($X$2:$X$1001,MATCH(ROWS($V$2:V105),$V$2:$V$1001,0),0), INDEX($AC$1004:$AS$1004,1,MATCH(COLUMNS($AC$1006:AS1006),$AC$1006:$AS$1006,0)))),"Fix")))</f>
        <v>0</v>
      </c>
      <c r="V105">
        <v>0</v>
      </c>
      <c r="W105">
        <v>0</v>
      </c>
      <c r="X105">
        <v>0</v>
      </c>
      <c r="Y105">
        <f>IF(Z105,TRUE,AND(AC105:AS105))</f>
        <v>0</v>
      </c>
      <c r="Z105">
        <f>COUNTBLANK(Metadata!B105:R105)=COLUMNS(Metadata!B105:R105)</f>
        <v>0</v>
      </c>
      <c r="AA105">
        <v>0</v>
      </c>
      <c r="AC105">
        <f>AND(IF(Metadata!B105="",FALSE,TRUE),COUNTIF(Metadata!B:B, Metadata!B105) = 1,NOT(ISERROR(SUMPRODUCT(SEARCH(MID(Metadata!B105,ROW(INDIRECT("1:"&amp;LEN(Metadata!B105))), 1),"0123456789abcdefghijklmnopqrstuvwxyzABCDEFGHIJKLMNOPQRSTUVWXYZ.")))))</f>
        <v>0</v>
      </c>
      <c r="AD105">
        <f>AND(IF(Metadata!C105="",FALSE,TRUE),exact(Metadata!C105,"Host-associated"))</f>
        <v>0</v>
      </c>
      <c r="AE105">
        <f>AND(IF(Metadata!D105="",FALSE,TRUE),OR(exact(Metadata!D105,"Animal"),exact(Metadata!D105,"Fungus"),exact(Metadata!D105,"Plant")))</f>
        <v>0</v>
      </c>
      <c r="AF105">
        <f>AND(IF(Metadata!E105="",FALSE,TRUE),OR(exact(Metadata!E105,"Plant secretion"),exact(Metadata!E105,"Plant rhizosphere"),exact(Metadata!E105,"Plant surface"),exact(Metadata!E105,"Plant corpus"),exact(Metadata!E105,"Fungus surface"),exact(Metadata!E105,"Fungus corpus"),exact(Metadata!E105,"Animal surface"),exact(Metadata!E105,"Animal proximal gut"),exact(Metadata!E105,"Animal corpus"),exact(Metadata!E105,"Animal distal gut"),exact(Metadata!E105,"Animal secretion")))</f>
        <v>0</v>
      </c>
      <c r="AG105">
        <f>OR(AND(IF(Metadata!F105="",FALSE,TRUE),OR(exact(Metadata!F105,"not collected"),exact(Metadata!F105,"not provided"),exact(Metadata!F105,"restricted access"))),AND(IF(Metadata!F105="",FALSE,TRUE),OR(exact(Metadata!F105,"organism-associated habitat"),exact(Metadata!F105,"plant-associated habitat"),exact(Metadata!F105,"animal-associated habitat"),exact(Metadata!F105,"insecta-associated habitat"),exact(Metadata!F105,"mammalia-associated habitat"),exact(Metadata!F105,"human-associated habitat"),exact(Metadata!F105,"livestock-associated habitat"))))</f>
        <v>0</v>
      </c>
      <c r="AH105">
        <f>AND(IF(Metadata!G105="",FALSE,TRUE),exact(Metadata!G105,"host-associated"))</f>
        <v>0</v>
      </c>
      <c r="AI105">
        <f>OR(AND(IF(Metadata!H105="",FALSE,TRUE),OR(exact(Metadata!H105,"not collected"),exact(Metadata!H105,"not provided"))),AND(IF(Metadata!H105="",FALSE,ISNUMBER(VALUE(Metadata!H105))),Metadata!H105&gt;0))</f>
        <v>0</v>
      </c>
      <c r="AJ105">
        <f>AND(IF(Metadata!I105="",FALSE,TRUE),exact(Metadata!I105,"years"))</f>
        <v>0</v>
      </c>
      <c r="AK105">
        <f>IF(Metadata!J105="",FALSE,TRUE)</f>
        <v>0</v>
      </c>
      <c r="AL105">
        <f>OR(AND(IF(Metadata!K105="",FALSE,TRUE),OR(exact(Metadata!K105,"not collected"),exact(Metadata!K105,"not provided"))),AND(IF(Metadata!K105="",FALSE,ISNUMBER(VALUE(Metadata!K105))),Metadata!K105&gt;0))</f>
        <v>0</v>
      </c>
      <c r="AM105">
        <f>AND(IF(Metadata!L105="",FALSE,TRUE),exact(Metadata!L105,"cm"))</f>
        <v>0</v>
      </c>
      <c r="AN105">
        <f>IF(Metadata!M105="",FALSE,TRUE)</f>
        <v>0</v>
      </c>
      <c r="AO105">
        <f>OR(AND(IF(Metadata!N105="",FALSE,TRUE),OR(exact(Metadata!N105,"not applicable"),exact(Metadata!N105,"not collected"),exact(Metadata!N105,"not provided"))),AND(IF(Metadata!N105="",FALSE,IF(ISERROR(INT(Metadata!N105)),FALSE,INT(Metadata!N105)=Metadata!N105)),Metadata!N105&gt;0))</f>
        <v>0</v>
      </c>
      <c r="AP105">
        <f>OR(AND(IF(Metadata!O105="",FALSE,TRUE),OR(exact(Metadata!O105,"not collected"),exact(Metadata!O105,"not provided"))),AND(IF(Metadata!O105="",FALSE,ISNUMBER(VALUE(Metadata!O105))),Metadata!O105&gt;0))</f>
        <v>0</v>
      </c>
      <c r="AQ105">
        <f>AND(IF(Metadata!P105="",FALSE,TRUE),exact(Metadata!P105,"kg"))</f>
        <v>0</v>
      </c>
      <c r="AR105">
        <f>OR(AND(IF(Metadata!Q105="",FALSE,TRUE),OR(exact(Metadata!Q105,"not applicable"),exact(Metadata!Q105,"not collected"),exact(Metadata!Q105,"not provided"),exact(Metadata!Q105,"restricted access"))),IF(Metadata!Q105="",FALSE,IF(ISERROR(INT(Metadata!Q105)),FALSE,INT(Metadata!Q105)=Metadata!Q105)))</f>
        <v>0</v>
      </c>
      <c r="AS105">
        <f>AND(IF(Metadata!R105="",FALSE,TRUE),exact(Metadata!R105,"Not applicable"))</f>
        <v>0</v>
      </c>
    </row>
    <row r="106" spans="1:45">
      <c r="A106" s="4">
        <f>IF(B106=" "," ",HYPERLINK(CONCATENATE("#metadata!",ADDRESS(INDEX($X$2:$X$1001,MATCH(ROWS($V$2:V106),$V$2:$V$1001,0),0),2)),INDEX($AA$2:$AA$1001,MATCH(ROWS($V$2:V106),$V$2:$V$1001,0),0)))</f>
        <v>0</v>
      </c>
      <c r="B106" s="5">
        <f>IF(OR(INDEX($W$2:$W$1001,MATCH(ROWS($V$2:V106),$V$2:$V$1001,0),1)&gt;=100000,INDEX($AC$1005:$AS$1005,1,MATCH(COLUMNS($AC$1006:AC1006),$AC$1006:$AS$1006,0))&gt;=100000), " ",IF(INDEX($AC$2:$AS$1001,MATCH(ROWS($V$2:V106),$V$2:$V$1001,0),MATCH(COLUMNS($AC$1006:AC1006),$AC$1006:$AS$1006,0)), HYPERLINK("#",""), HYPERLINK(CONCATENATE("#Metadata!", ADDRESS(INDEX($X$2:$X$1001,MATCH(ROWS($V$2:V106),$V$2:$V$1001,0),0), INDEX($AC$1004:$AS$1004,1,MATCH(COLUMNS($AC$1006:AC1006),$AC$1006:$AS$1006,0)))),"Fix")))</f>
        <v>0</v>
      </c>
      <c r="C106" s="5">
        <f>IF(OR(INDEX($W$2:$W$1001,MATCH(ROWS($V$2:V106),$V$2:$V$1001,0),1)&gt;=100000,INDEX($AC$1005:$AS$1005,1,MATCH(COLUMNS($AC$1006:AD1006),$AC$1006:$AS$1006,0))&gt;=100000), " ",IF(INDEX($AC$2:$AS$1001,MATCH(ROWS($V$2:V106),$V$2:$V$1001,0),MATCH(COLUMNS($AC$1006:AD1006),$AC$1006:$AS$1006,0)), HYPERLINK("#",""), HYPERLINK(CONCATENATE("#Metadata!", ADDRESS(INDEX($X$2:$X$1001,MATCH(ROWS($V$2:V106),$V$2:$V$1001,0),0), INDEX($AC$1004:$AS$1004,1,MATCH(COLUMNS($AC$1006:AD1006),$AC$1006:$AS$1006,0)))),"Fix")))</f>
        <v>0</v>
      </c>
      <c r="D106" s="5">
        <f>IF(OR(INDEX($W$2:$W$1001,MATCH(ROWS($V$2:V106),$V$2:$V$1001,0),1)&gt;=100000,INDEX($AC$1005:$AS$1005,1,MATCH(COLUMNS($AC$1006:AE1006),$AC$1006:$AS$1006,0))&gt;=100000), " ",IF(INDEX($AC$2:$AS$1001,MATCH(ROWS($V$2:V106),$V$2:$V$1001,0),MATCH(COLUMNS($AC$1006:AE1006),$AC$1006:$AS$1006,0)), HYPERLINK("#",""), HYPERLINK(CONCATENATE("#Metadata!", ADDRESS(INDEX($X$2:$X$1001,MATCH(ROWS($V$2:V106),$V$2:$V$1001,0),0), INDEX($AC$1004:$AS$1004,1,MATCH(COLUMNS($AC$1006:AE1006),$AC$1006:$AS$1006,0)))),"Fix")))</f>
        <v>0</v>
      </c>
      <c r="E106" s="5">
        <f>IF(OR(INDEX($W$2:$W$1001,MATCH(ROWS($V$2:V106),$V$2:$V$1001,0),1)&gt;=100000,INDEX($AC$1005:$AS$1005,1,MATCH(COLUMNS($AC$1006:AF1006),$AC$1006:$AS$1006,0))&gt;=100000), " ",IF(INDEX($AC$2:$AS$1001,MATCH(ROWS($V$2:V106),$V$2:$V$1001,0),MATCH(COLUMNS($AC$1006:AF1006),$AC$1006:$AS$1006,0)), HYPERLINK("#",""), HYPERLINK(CONCATENATE("#Metadata!", ADDRESS(INDEX($X$2:$X$1001,MATCH(ROWS($V$2:V106),$V$2:$V$1001,0),0), INDEX($AC$1004:$AS$1004,1,MATCH(COLUMNS($AC$1006:AF1006),$AC$1006:$AS$1006,0)))),"Fix")))</f>
        <v>0</v>
      </c>
      <c r="F106" s="5">
        <f>IF(OR(INDEX($W$2:$W$1001,MATCH(ROWS($V$2:V106),$V$2:$V$1001,0),1)&gt;=100000,INDEX($AC$1005:$AS$1005,1,MATCH(COLUMNS($AC$1006:AG1006),$AC$1006:$AS$1006,0))&gt;=100000), " ",IF(INDEX($AC$2:$AS$1001,MATCH(ROWS($V$2:V106),$V$2:$V$1001,0),MATCH(COLUMNS($AC$1006:AG1006),$AC$1006:$AS$1006,0)), HYPERLINK("#",""), HYPERLINK(CONCATENATE("#Metadata!", ADDRESS(INDEX($X$2:$X$1001,MATCH(ROWS($V$2:V106),$V$2:$V$1001,0),0), INDEX($AC$1004:$AS$1004,1,MATCH(COLUMNS($AC$1006:AG1006),$AC$1006:$AS$1006,0)))),"Fix")))</f>
        <v>0</v>
      </c>
      <c r="G106" s="5">
        <f>IF(OR(INDEX($W$2:$W$1001,MATCH(ROWS($V$2:V106),$V$2:$V$1001,0),1)&gt;=100000,INDEX($AC$1005:$AS$1005,1,MATCH(COLUMNS($AC$1006:AH1006),$AC$1006:$AS$1006,0))&gt;=100000), " ",IF(INDEX($AC$2:$AS$1001,MATCH(ROWS($V$2:V106),$V$2:$V$1001,0),MATCH(COLUMNS($AC$1006:AH1006),$AC$1006:$AS$1006,0)), HYPERLINK("#",""), HYPERLINK(CONCATENATE("#Metadata!", ADDRESS(INDEX($X$2:$X$1001,MATCH(ROWS($V$2:V106),$V$2:$V$1001,0),0), INDEX($AC$1004:$AS$1004,1,MATCH(COLUMNS($AC$1006:AH1006),$AC$1006:$AS$1006,0)))),"Fix")))</f>
        <v>0</v>
      </c>
      <c r="H106" s="5">
        <f>IF(OR(INDEX($W$2:$W$1001,MATCH(ROWS($V$2:V106),$V$2:$V$1001,0),1)&gt;=100000,INDEX($AC$1005:$AS$1005,1,MATCH(COLUMNS($AC$1006:AI1006),$AC$1006:$AS$1006,0))&gt;=100000), " ",IF(INDEX($AC$2:$AS$1001,MATCH(ROWS($V$2:V106),$V$2:$V$1001,0),MATCH(COLUMNS($AC$1006:AI1006),$AC$1006:$AS$1006,0)), HYPERLINK("#",""), HYPERLINK(CONCATENATE("#Metadata!", ADDRESS(INDEX($X$2:$X$1001,MATCH(ROWS($V$2:V106),$V$2:$V$1001,0),0), INDEX($AC$1004:$AS$1004,1,MATCH(COLUMNS($AC$1006:AI1006),$AC$1006:$AS$1006,0)))),"Fix")))</f>
        <v>0</v>
      </c>
      <c r="I106" s="5">
        <f>IF(OR(INDEX($W$2:$W$1001,MATCH(ROWS($V$2:V106),$V$2:$V$1001,0),1)&gt;=100000,INDEX($AC$1005:$AS$1005,1,MATCH(COLUMNS($AC$1006:AJ1006),$AC$1006:$AS$1006,0))&gt;=100000), " ",IF(INDEX($AC$2:$AS$1001,MATCH(ROWS($V$2:V106),$V$2:$V$1001,0),MATCH(COLUMNS($AC$1006:AJ1006),$AC$1006:$AS$1006,0)), HYPERLINK("#",""), HYPERLINK(CONCATENATE("#Metadata!", ADDRESS(INDEX($X$2:$X$1001,MATCH(ROWS($V$2:V106),$V$2:$V$1001,0),0), INDEX($AC$1004:$AS$1004,1,MATCH(COLUMNS($AC$1006:AJ1006),$AC$1006:$AS$1006,0)))),"Fix")))</f>
        <v>0</v>
      </c>
      <c r="J106" s="5">
        <f>IF(OR(INDEX($W$2:$W$1001,MATCH(ROWS($V$2:V106),$V$2:$V$1001,0),1)&gt;=100000,INDEX($AC$1005:$AS$1005,1,MATCH(COLUMNS($AC$1006:AK1006),$AC$1006:$AS$1006,0))&gt;=100000), " ",IF(INDEX($AC$2:$AS$1001,MATCH(ROWS($V$2:V106),$V$2:$V$1001,0),MATCH(COLUMNS($AC$1006:AK1006),$AC$1006:$AS$1006,0)), HYPERLINK("#",""), HYPERLINK(CONCATENATE("#Metadata!", ADDRESS(INDEX($X$2:$X$1001,MATCH(ROWS($V$2:V106),$V$2:$V$1001,0),0), INDEX($AC$1004:$AS$1004,1,MATCH(COLUMNS($AC$1006:AK1006),$AC$1006:$AS$1006,0)))),"Fix")))</f>
        <v>0</v>
      </c>
      <c r="K106" s="5">
        <f>IF(OR(INDEX($W$2:$W$1001,MATCH(ROWS($V$2:V106),$V$2:$V$1001,0),1)&gt;=100000,INDEX($AC$1005:$AS$1005,1,MATCH(COLUMNS($AC$1006:AL1006),$AC$1006:$AS$1006,0))&gt;=100000), " ",IF(INDEX($AC$2:$AS$1001,MATCH(ROWS($V$2:V106),$V$2:$V$1001,0),MATCH(COLUMNS($AC$1006:AL1006),$AC$1006:$AS$1006,0)), HYPERLINK("#",""), HYPERLINK(CONCATENATE("#Metadata!", ADDRESS(INDEX($X$2:$X$1001,MATCH(ROWS($V$2:V106),$V$2:$V$1001,0),0), INDEX($AC$1004:$AS$1004,1,MATCH(COLUMNS($AC$1006:AL1006),$AC$1006:$AS$1006,0)))),"Fix")))</f>
        <v>0</v>
      </c>
      <c r="L106" s="5">
        <f>IF(OR(INDEX($W$2:$W$1001,MATCH(ROWS($V$2:V106),$V$2:$V$1001,0),1)&gt;=100000,INDEX($AC$1005:$AS$1005,1,MATCH(COLUMNS($AC$1006:AM1006),$AC$1006:$AS$1006,0))&gt;=100000), " ",IF(INDEX($AC$2:$AS$1001,MATCH(ROWS($V$2:V106),$V$2:$V$1001,0),MATCH(COLUMNS($AC$1006:AM1006),$AC$1006:$AS$1006,0)), HYPERLINK("#",""), HYPERLINK(CONCATENATE("#Metadata!", ADDRESS(INDEX($X$2:$X$1001,MATCH(ROWS($V$2:V106),$V$2:$V$1001,0),0), INDEX($AC$1004:$AS$1004,1,MATCH(COLUMNS($AC$1006:AM1006),$AC$1006:$AS$1006,0)))),"Fix")))</f>
        <v>0</v>
      </c>
      <c r="M106" s="5">
        <f>IF(OR(INDEX($W$2:$W$1001,MATCH(ROWS($V$2:V106),$V$2:$V$1001,0),1)&gt;=100000,INDEX($AC$1005:$AS$1005,1,MATCH(COLUMNS($AC$1006:AN1006),$AC$1006:$AS$1006,0))&gt;=100000), " ",IF(INDEX($AC$2:$AS$1001,MATCH(ROWS($V$2:V106),$V$2:$V$1001,0),MATCH(COLUMNS($AC$1006:AN1006),$AC$1006:$AS$1006,0)), HYPERLINK("#",""), HYPERLINK(CONCATENATE("#Metadata!", ADDRESS(INDEX($X$2:$X$1001,MATCH(ROWS($V$2:V106),$V$2:$V$1001,0),0), INDEX($AC$1004:$AS$1004,1,MATCH(COLUMNS($AC$1006:AN1006),$AC$1006:$AS$1006,0)))),"Fix")))</f>
        <v>0</v>
      </c>
      <c r="N106" s="5">
        <f>IF(OR(INDEX($W$2:$W$1001,MATCH(ROWS($V$2:V106),$V$2:$V$1001,0),1)&gt;=100000,INDEX($AC$1005:$AS$1005,1,MATCH(COLUMNS($AC$1006:AO1006),$AC$1006:$AS$1006,0))&gt;=100000), " ",IF(INDEX($AC$2:$AS$1001,MATCH(ROWS($V$2:V106),$V$2:$V$1001,0),MATCH(COLUMNS($AC$1006:AO1006),$AC$1006:$AS$1006,0)), HYPERLINK("#",""), HYPERLINK(CONCATENATE("#Metadata!", ADDRESS(INDEX($X$2:$X$1001,MATCH(ROWS($V$2:V106),$V$2:$V$1001,0),0), INDEX($AC$1004:$AS$1004,1,MATCH(COLUMNS($AC$1006:AO1006),$AC$1006:$AS$1006,0)))),"Fix")))</f>
        <v>0</v>
      </c>
      <c r="O106" s="5">
        <f>IF(OR(INDEX($W$2:$W$1001,MATCH(ROWS($V$2:V106),$V$2:$V$1001,0),1)&gt;=100000,INDEX($AC$1005:$AS$1005,1,MATCH(COLUMNS($AC$1006:AP1006),$AC$1006:$AS$1006,0))&gt;=100000), " ",IF(INDEX($AC$2:$AS$1001,MATCH(ROWS($V$2:V106),$V$2:$V$1001,0),MATCH(COLUMNS($AC$1006:AP1006),$AC$1006:$AS$1006,0)), HYPERLINK("#",""), HYPERLINK(CONCATENATE("#Metadata!", ADDRESS(INDEX($X$2:$X$1001,MATCH(ROWS($V$2:V106),$V$2:$V$1001,0),0), INDEX($AC$1004:$AS$1004,1,MATCH(COLUMNS($AC$1006:AP1006),$AC$1006:$AS$1006,0)))),"Fix")))</f>
        <v>0</v>
      </c>
      <c r="P106" s="5">
        <f>IF(OR(INDEX($W$2:$W$1001,MATCH(ROWS($V$2:V106),$V$2:$V$1001,0),1)&gt;=100000,INDEX($AC$1005:$AS$1005,1,MATCH(COLUMNS($AC$1006:AQ1006),$AC$1006:$AS$1006,0))&gt;=100000), " ",IF(INDEX($AC$2:$AS$1001,MATCH(ROWS($V$2:V106),$V$2:$V$1001,0),MATCH(COLUMNS($AC$1006:AQ1006),$AC$1006:$AS$1006,0)), HYPERLINK("#",""), HYPERLINK(CONCATENATE("#Metadata!", ADDRESS(INDEX($X$2:$X$1001,MATCH(ROWS($V$2:V106),$V$2:$V$1001,0),0), INDEX($AC$1004:$AS$1004,1,MATCH(COLUMNS($AC$1006:AQ1006),$AC$1006:$AS$1006,0)))),"Fix")))</f>
        <v>0</v>
      </c>
      <c r="Q106" s="5">
        <f>IF(OR(INDEX($W$2:$W$1001,MATCH(ROWS($V$2:V106),$V$2:$V$1001,0),1)&gt;=100000,INDEX($AC$1005:$AS$1005,1,MATCH(COLUMNS($AC$1006:AR1006),$AC$1006:$AS$1006,0))&gt;=100000), " ",IF(INDEX($AC$2:$AS$1001,MATCH(ROWS($V$2:V106),$V$2:$V$1001,0),MATCH(COLUMNS($AC$1006:AR1006),$AC$1006:$AS$1006,0)), HYPERLINK("#",""), HYPERLINK(CONCATENATE("#Metadata!", ADDRESS(INDEX($X$2:$X$1001,MATCH(ROWS($V$2:V106),$V$2:$V$1001,0),0), INDEX($AC$1004:$AS$1004,1,MATCH(COLUMNS($AC$1006:AR1006),$AC$1006:$AS$1006,0)))),"Fix")))</f>
        <v>0</v>
      </c>
      <c r="R106" s="5">
        <f>IF(OR(INDEX($W$2:$W$1001,MATCH(ROWS($V$2:V106),$V$2:$V$1001,0),1)&gt;=100000,INDEX($AC$1005:$AS$1005,1,MATCH(COLUMNS($AC$1006:AS1006),$AC$1006:$AS$1006,0))&gt;=100000), " ",IF(INDEX($AC$2:$AS$1001,MATCH(ROWS($V$2:V106),$V$2:$V$1001,0),MATCH(COLUMNS($AC$1006:AS1006),$AC$1006:$AS$1006,0)), HYPERLINK("#",""), HYPERLINK(CONCATENATE("#Metadata!", ADDRESS(INDEX($X$2:$X$1001,MATCH(ROWS($V$2:V106),$V$2:$V$1001,0),0), INDEX($AC$1004:$AS$1004,1,MATCH(COLUMNS($AC$1006:AS1006),$AC$1006:$AS$1006,0)))),"Fix")))</f>
        <v>0</v>
      </c>
      <c r="V106">
        <v>0</v>
      </c>
      <c r="W106">
        <v>0</v>
      </c>
      <c r="X106">
        <v>0</v>
      </c>
      <c r="Y106">
        <f>IF(Z106,TRUE,AND(AC106:AS106))</f>
        <v>0</v>
      </c>
      <c r="Z106">
        <f>COUNTBLANK(Metadata!B106:R106)=COLUMNS(Metadata!B106:R106)</f>
        <v>0</v>
      </c>
      <c r="AA106">
        <v>0</v>
      </c>
      <c r="AC106">
        <f>AND(IF(Metadata!B106="",FALSE,TRUE),COUNTIF(Metadata!B:B, Metadata!B106) = 1,NOT(ISERROR(SUMPRODUCT(SEARCH(MID(Metadata!B106,ROW(INDIRECT("1:"&amp;LEN(Metadata!B106))), 1),"0123456789abcdefghijklmnopqrstuvwxyzABCDEFGHIJKLMNOPQRSTUVWXYZ.")))))</f>
        <v>0</v>
      </c>
      <c r="AD106">
        <f>AND(IF(Metadata!C106="",FALSE,TRUE),exact(Metadata!C106,"Host-associated"))</f>
        <v>0</v>
      </c>
      <c r="AE106">
        <f>AND(IF(Metadata!D106="",FALSE,TRUE),OR(exact(Metadata!D106,"Animal"),exact(Metadata!D106,"Fungus"),exact(Metadata!D106,"Plant")))</f>
        <v>0</v>
      </c>
      <c r="AF106">
        <f>AND(IF(Metadata!E106="",FALSE,TRUE),OR(exact(Metadata!E106,"Plant secretion"),exact(Metadata!E106,"Plant rhizosphere"),exact(Metadata!E106,"Plant surface"),exact(Metadata!E106,"Plant corpus"),exact(Metadata!E106,"Fungus surface"),exact(Metadata!E106,"Fungus corpus"),exact(Metadata!E106,"Animal surface"),exact(Metadata!E106,"Animal proximal gut"),exact(Metadata!E106,"Animal corpus"),exact(Metadata!E106,"Animal distal gut"),exact(Metadata!E106,"Animal secretion")))</f>
        <v>0</v>
      </c>
      <c r="AG106">
        <f>OR(AND(IF(Metadata!F106="",FALSE,TRUE),OR(exact(Metadata!F106,"not collected"),exact(Metadata!F106,"not provided"),exact(Metadata!F106,"restricted access"))),AND(IF(Metadata!F106="",FALSE,TRUE),OR(exact(Metadata!F106,"organism-associated habitat"),exact(Metadata!F106,"plant-associated habitat"),exact(Metadata!F106,"animal-associated habitat"),exact(Metadata!F106,"insecta-associated habitat"),exact(Metadata!F106,"mammalia-associated habitat"),exact(Metadata!F106,"human-associated habitat"),exact(Metadata!F106,"livestock-associated habitat"))))</f>
        <v>0</v>
      </c>
      <c r="AH106">
        <f>AND(IF(Metadata!G106="",FALSE,TRUE),exact(Metadata!G106,"host-associated"))</f>
        <v>0</v>
      </c>
      <c r="AI106">
        <f>OR(AND(IF(Metadata!H106="",FALSE,TRUE),OR(exact(Metadata!H106,"not collected"),exact(Metadata!H106,"not provided"))),AND(IF(Metadata!H106="",FALSE,ISNUMBER(VALUE(Metadata!H106))),Metadata!H106&gt;0))</f>
        <v>0</v>
      </c>
      <c r="AJ106">
        <f>AND(IF(Metadata!I106="",FALSE,TRUE),exact(Metadata!I106,"years"))</f>
        <v>0</v>
      </c>
      <c r="AK106">
        <f>IF(Metadata!J106="",FALSE,TRUE)</f>
        <v>0</v>
      </c>
      <c r="AL106">
        <f>OR(AND(IF(Metadata!K106="",FALSE,TRUE),OR(exact(Metadata!K106,"not collected"),exact(Metadata!K106,"not provided"))),AND(IF(Metadata!K106="",FALSE,ISNUMBER(VALUE(Metadata!K106))),Metadata!K106&gt;0))</f>
        <v>0</v>
      </c>
      <c r="AM106">
        <f>AND(IF(Metadata!L106="",FALSE,TRUE),exact(Metadata!L106,"cm"))</f>
        <v>0</v>
      </c>
      <c r="AN106">
        <f>IF(Metadata!M106="",FALSE,TRUE)</f>
        <v>0</v>
      </c>
      <c r="AO106">
        <f>OR(AND(IF(Metadata!N106="",FALSE,TRUE),OR(exact(Metadata!N106,"not applicable"),exact(Metadata!N106,"not collected"),exact(Metadata!N106,"not provided"))),AND(IF(Metadata!N106="",FALSE,IF(ISERROR(INT(Metadata!N106)),FALSE,INT(Metadata!N106)=Metadata!N106)),Metadata!N106&gt;0))</f>
        <v>0</v>
      </c>
      <c r="AP106">
        <f>OR(AND(IF(Metadata!O106="",FALSE,TRUE),OR(exact(Metadata!O106,"not collected"),exact(Metadata!O106,"not provided"))),AND(IF(Metadata!O106="",FALSE,ISNUMBER(VALUE(Metadata!O106))),Metadata!O106&gt;0))</f>
        <v>0</v>
      </c>
      <c r="AQ106">
        <f>AND(IF(Metadata!P106="",FALSE,TRUE),exact(Metadata!P106,"kg"))</f>
        <v>0</v>
      </c>
      <c r="AR106">
        <f>OR(AND(IF(Metadata!Q106="",FALSE,TRUE),OR(exact(Metadata!Q106,"not applicable"),exact(Metadata!Q106,"not collected"),exact(Metadata!Q106,"not provided"),exact(Metadata!Q106,"restricted access"))),IF(Metadata!Q106="",FALSE,IF(ISERROR(INT(Metadata!Q106)),FALSE,INT(Metadata!Q106)=Metadata!Q106)))</f>
        <v>0</v>
      </c>
      <c r="AS106">
        <f>AND(IF(Metadata!R106="",FALSE,TRUE),exact(Metadata!R106,"Not applicable"))</f>
        <v>0</v>
      </c>
    </row>
    <row r="107" spans="1:45">
      <c r="A107" s="4">
        <f>IF(B107=" "," ",HYPERLINK(CONCATENATE("#metadata!",ADDRESS(INDEX($X$2:$X$1001,MATCH(ROWS($V$2:V107),$V$2:$V$1001,0),0),2)),INDEX($AA$2:$AA$1001,MATCH(ROWS($V$2:V107),$V$2:$V$1001,0),0)))</f>
        <v>0</v>
      </c>
      <c r="B107" s="5">
        <f>IF(OR(INDEX($W$2:$W$1001,MATCH(ROWS($V$2:V107),$V$2:$V$1001,0),1)&gt;=100000,INDEX($AC$1005:$AS$1005,1,MATCH(COLUMNS($AC$1006:AC1006),$AC$1006:$AS$1006,0))&gt;=100000), " ",IF(INDEX($AC$2:$AS$1001,MATCH(ROWS($V$2:V107),$V$2:$V$1001,0),MATCH(COLUMNS($AC$1006:AC1006),$AC$1006:$AS$1006,0)), HYPERLINK("#",""), HYPERLINK(CONCATENATE("#Metadata!", ADDRESS(INDEX($X$2:$X$1001,MATCH(ROWS($V$2:V107),$V$2:$V$1001,0),0), INDEX($AC$1004:$AS$1004,1,MATCH(COLUMNS($AC$1006:AC1006),$AC$1006:$AS$1006,0)))),"Fix")))</f>
        <v>0</v>
      </c>
      <c r="C107" s="5">
        <f>IF(OR(INDEX($W$2:$W$1001,MATCH(ROWS($V$2:V107),$V$2:$V$1001,0),1)&gt;=100000,INDEX($AC$1005:$AS$1005,1,MATCH(COLUMNS($AC$1006:AD1006),$AC$1006:$AS$1006,0))&gt;=100000), " ",IF(INDEX($AC$2:$AS$1001,MATCH(ROWS($V$2:V107),$V$2:$V$1001,0),MATCH(COLUMNS($AC$1006:AD1006),$AC$1006:$AS$1006,0)), HYPERLINK("#",""), HYPERLINK(CONCATENATE("#Metadata!", ADDRESS(INDEX($X$2:$X$1001,MATCH(ROWS($V$2:V107),$V$2:$V$1001,0),0), INDEX($AC$1004:$AS$1004,1,MATCH(COLUMNS($AC$1006:AD1006),$AC$1006:$AS$1006,0)))),"Fix")))</f>
        <v>0</v>
      </c>
      <c r="D107" s="5">
        <f>IF(OR(INDEX($W$2:$W$1001,MATCH(ROWS($V$2:V107),$V$2:$V$1001,0),1)&gt;=100000,INDEX($AC$1005:$AS$1005,1,MATCH(COLUMNS($AC$1006:AE1006),$AC$1006:$AS$1006,0))&gt;=100000), " ",IF(INDEX($AC$2:$AS$1001,MATCH(ROWS($V$2:V107),$V$2:$V$1001,0),MATCH(COLUMNS($AC$1006:AE1006),$AC$1006:$AS$1006,0)), HYPERLINK("#",""), HYPERLINK(CONCATENATE("#Metadata!", ADDRESS(INDEX($X$2:$X$1001,MATCH(ROWS($V$2:V107),$V$2:$V$1001,0),0), INDEX($AC$1004:$AS$1004,1,MATCH(COLUMNS($AC$1006:AE1006),$AC$1006:$AS$1006,0)))),"Fix")))</f>
        <v>0</v>
      </c>
      <c r="E107" s="5">
        <f>IF(OR(INDEX($W$2:$W$1001,MATCH(ROWS($V$2:V107),$V$2:$V$1001,0),1)&gt;=100000,INDEX($AC$1005:$AS$1005,1,MATCH(COLUMNS($AC$1006:AF1006),$AC$1006:$AS$1006,0))&gt;=100000), " ",IF(INDEX($AC$2:$AS$1001,MATCH(ROWS($V$2:V107),$V$2:$V$1001,0),MATCH(COLUMNS($AC$1006:AF1006),$AC$1006:$AS$1006,0)), HYPERLINK("#",""), HYPERLINK(CONCATENATE("#Metadata!", ADDRESS(INDEX($X$2:$X$1001,MATCH(ROWS($V$2:V107),$V$2:$V$1001,0),0), INDEX($AC$1004:$AS$1004,1,MATCH(COLUMNS($AC$1006:AF1006),$AC$1006:$AS$1006,0)))),"Fix")))</f>
        <v>0</v>
      </c>
      <c r="F107" s="5">
        <f>IF(OR(INDEX($W$2:$W$1001,MATCH(ROWS($V$2:V107),$V$2:$V$1001,0),1)&gt;=100000,INDEX($AC$1005:$AS$1005,1,MATCH(COLUMNS($AC$1006:AG1006),$AC$1006:$AS$1006,0))&gt;=100000), " ",IF(INDEX($AC$2:$AS$1001,MATCH(ROWS($V$2:V107),$V$2:$V$1001,0),MATCH(COLUMNS($AC$1006:AG1006),$AC$1006:$AS$1006,0)), HYPERLINK("#",""), HYPERLINK(CONCATENATE("#Metadata!", ADDRESS(INDEX($X$2:$X$1001,MATCH(ROWS($V$2:V107),$V$2:$V$1001,0),0), INDEX($AC$1004:$AS$1004,1,MATCH(COLUMNS($AC$1006:AG1006),$AC$1006:$AS$1006,0)))),"Fix")))</f>
        <v>0</v>
      </c>
      <c r="G107" s="5">
        <f>IF(OR(INDEX($W$2:$W$1001,MATCH(ROWS($V$2:V107),$V$2:$V$1001,0),1)&gt;=100000,INDEX($AC$1005:$AS$1005,1,MATCH(COLUMNS($AC$1006:AH1006),$AC$1006:$AS$1006,0))&gt;=100000), " ",IF(INDEX($AC$2:$AS$1001,MATCH(ROWS($V$2:V107),$V$2:$V$1001,0),MATCH(COLUMNS($AC$1006:AH1006),$AC$1006:$AS$1006,0)), HYPERLINK("#",""), HYPERLINK(CONCATENATE("#Metadata!", ADDRESS(INDEX($X$2:$X$1001,MATCH(ROWS($V$2:V107),$V$2:$V$1001,0),0), INDEX($AC$1004:$AS$1004,1,MATCH(COLUMNS($AC$1006:AH1006),$AC$1006:$AS$1006,0)))),"Fix")))</f>
        <v>0</v>
      </c>
      <c r="H107" s="5">
        <f>IF(OR(INDEX($W$2:$W$1001,MATCH(ROWS($V$2:V107),$V$2:$V$1001,0),1)&gt;=100000,INDEX($AC$1005:$AS$1005,1,MATCH(COLUMNS($AC$1006:AI1006),$AC$1006:$AS$1006,0))&gt;=100000), " ",IF(INDEX($AC$2:$AS$1001,MATCH(ROWS($V$2:V107),$V$2:$V$1001,0),MATCH(COLUMNS($AC$1006:AI1006),$AC$1006:$AS$1006,0)), HYPERLINK("#",""), HYPERLINK(CONCATENATE("#Metadata!", ADDRESS(INDEX($X$2:$X$1001,MATCH(ROWS($V$2:V107),$V$2:$V$1001,0),0), INDEX($AC$1004:$AS$1004,1,MATCH(COLUMNS($AC$1006:AI1006),$AC$1006:$AS$1006,0)))),"Fix")))</f>
        <v>0</v>
      </c>
      <c r="I107" s="5">
        <f>IF(OR(INDEX($W$2:$W$1001,MATCH(ROWS($V$2:V107),$V$2:$V$1001,0),1)&gt;=100000,INDEX($AC$1005:$AS$1005,1,MATCH(COLUMNS($AC$1006:AJ1006),$AC$1006:$AS$1006,0))&gt;=100000), " ",IF(INDEX($AC$2:$AS$1001,MATCH(ROWS($V$2:V107),$V$2:$V$1001,0),MATCH(COLUMNS($AC$1006:AJ1006),$AC$1006:$AS$1006,0)), HYPERLINK("#",""), HYPERLINK(CONCATENATE("#Metadata!", ADDRESS(INDEX($X$2:$X$1001,MATCH(ROWS($V$2:V107),$V$2:$V$1001,0),0), INDEX($AC$1004:$AS$1004,1,MATCH(COLUMNS($AC$1006:AJ1006),$AC$1006:$AS$1006,0)))),"Fix")))</f>
        <v>0</v>
      </c>
      <c r="J107" s="5">
        <f>IF(OR(INDEX($W$2:$W$1001,MATCH(ROWS($V$2:V107),$V$2:$V$1001,0),1)&gt;=100000,INDEX($AC$1005:$AS$1005,1,MATCH(COLUMNS($AC$1006:AK1006),$AC$1006:$AS$1006,0))&gt;=100000), " ",IF(INDEX($AC$2:$AS$1001,MATCH(ROWS($V$2:V107),$V$2:$V$1001,0),MATCH(COLUMNS($AC$1006:AK1006),$AC$1006:$AS$1006,0)), HYPERLINK("#",""), HYPERLINK(CONCATENATE("#Metadata!", ADDRESS(INDEX($X$2:$X$1001,MATCH(ROWS($V$2:V107),$V$2:$V$1001,0),0), INDEX($AC$1004:$AS$1004,1,MATCH(COLUMNS($AC$1006:AK1006),$AC$1006:$AS$1006,0)))),"Fix")))</f>
        <v>0</v>
      </c>
      <c r="K107" s="5">
        <f>IF(OR(INDEX($W$2:$W$1001,MATCH(ROWS($V$2:V107),$V$2:$V$1001,0),1)&gt;=100000,INDEX($AC$1005:$AS$1005,1,MATCH(COLUMNS($AC$1006:AL1006),$AC$1006:$AS$1006,0))&gt;=100000), " ",IF(INDEX($AC$2:$AS$1001,MATCH(ROWS($V$2:V107),$V$2:$V$1001,0),MATCH(COLUMNS($AC$1006:AL1006),$AC$1006:$AS$1006,0)), HYPERLINK("#",""), HYPERLINK(CONCATENATE("#Metadata!", ADDRESS(INDEX($X$2:$X$1001,MATCH(ROWS($V$2:V107),$V$2:$V$1001,0),0), INDEX($AC$1004:$AS$1004,1,MATCH(COLUMNS($AC$1006:AL1006),$AC$1006:$AS$1006,0)))),"Fix")))</f>
        <v>0</v>
      </c>
      <c r="L107" s="5">
        <f>IF(OR(INDEX($W$2:$W$1001,MATCH(ROWS($V$2:V107),$V$2:$V$1001,0),1)&gt;=100000,INDEX($AC$1005:$AS$1005,1,MATCH(COLUMNS($AC$1006:AM1006),$AC$1006:$AS$1006,0))&gt;=100000), " ",IF(INDEX($AC$2:$AS$1001,MATCH(ROWS($V$2:V107),$V$2:$V$1001,0),MATCH(COLUMNS($AC$1006:AM1006),$AC$1006:$AS$1006,0)), HYPERLINK("#",""), HYPERLINK(CONCATENATE("#Metadata!", ADDRESS(INDEX($X$2:$X$1001,MATCH(ROWS($V$2:V107),$V$2:$V$1001,0),0), INDEX($AC$1004:$AS$1004,1,MATCH(COLUMNS($AC$1006:AM1006),$AC$1006:$AS$1006,0)))),"Fix")))</f>
        <v>0</v>
      </c>
      <c r="M107" s="5">
        <f>IF(OR(INDEX($W$2:$W$1001,MATCH(ROWS($V$2:V107),$V$2:$V$1001,0),1)&gt;=100000,INDEX($AC$1005:$AS$1005,1,MATCH(COLUMNS($AC$1006:AN1006),$AC$1006:$AS$1006,0))&gt;=100000), " ",IF(INDEX($AC$2:$AS$1001,MATCH(ROWS($V$2:V107),$V$2:$V$1001,0),MATCH(COLUMNS($AC$1006:AN1006),$AC$1006:$AS$1006,0)), HYPERLINK("#",""), HYPERLINK(CONCATENATE("#Metadata!", ADDRESS(INDEX($X$2:$X$1001,MATCH(ROWS($V$2:V107),$V$2:$V$1001,0),0), INDEX($AC$1004:$AS$1004,1,MATCH(COLUMNS($AC$1006:AN1006),$AC$1006:$AS$1006,0)))),"Fix")))</f>
        <v>0</v>
      </c>
      <c r="N107" s="5">
        <f>IF(OR(INDEX($W$2:$W$1001,MATCH(ROWS($V$2:V107),$V$2:$V$1001,0),1)&gt;=100000,INDEX($AC$1005:$AS$1005,1,MATCH(COLUMNS($AC$1006:AO1006),$AC$1006:$AS$1006,0))&gt;=100000), " ",IF(INDEX($AC$2:$AS$1001,MATCH(ROWS($V$2:V107),$V$2:$V$1001,0),MATCH(COLUMNS($AC$1006:AO1006),$AC$1006:$AS$1006,0)), HYPERLINK("#",""), HYPERLINK(CONCATENATE("#Metadata!", ADDRESS(INDEX($X$2:$X$1001,MATCH(ROWS($V$2:V107),$V$2:$V$1001,0),0), INDEX($AC$1004:$AS$1004,1,MATCH(COLUMNS($AC$1006:AO1006),$AC$1006:$AS$1006,0)))),"Fix")))</f>
        <v>0</v>
      </c>
      <c r="O107" s="5">
        <f>IF(OR(INDEX($W$2:$W$1001,MATCH(ROWS($V$2:V107),$V$2:$V$1001,0),1)&gt;=100000,INDEX($AC$1005:$AS$1005,1,MATCH(COLUMNS($AC$1006:AP1006),$AC$1006:$AS$1006,0))&gt;=100000), " ",IF(INDEX($AC$2:$AS$1001,MATCH(ROWS($V$2:V107),$V$2:$V$1001,0),MATCH(COLUMNS($AC$1006:AP1006),$AC$1006:$AS$1006,0)), HYPERLINK("#",""), HYPERLINK(CONCATENATE("#Metadata!", ADDRESS(INDEX($X$2:$X$1001,MATCH(ROWS($V$2:V107),$V$2:$V$1001,0),0), INDEX($AC$1004:$AS$1004,1,MATCH(COLUMNS($AC$1006:AP1006),$AC$1006:$AS$1006,0)))),"Fix")))</f>
        <v>0</v>
      </c>
      <c r="P107" s="5">
        <f>IF(OR(INDEX($W$2:$W$1001,MATCH(ROWS($V$2:V107),$V$2:$V$1001,0),1)&gt;=100000,INDEX($AC$1005:$AS$1005,1,MATCH(COLUMNS($AC$1006:AQ1006),$AC$1006:$AS$1006,0))&gt;=100000), " ",IF(INDEX($AC$2:$AS$1001,MATCH(ROWS($V$2:V107),$V$2:$V$1001,0),MATCH(COLUMNS($AC$1006:AQ1006),$AC$1006:$AS$1006,0)), HYPERLINK("#",""), HYPERLINK(CONCATENATE("#Metadata!", ADDRESS(INDEX($X$2:$X$1001,MATCH(ROWS($V$2:V107),$V$2:$V$1001,0),0), INDEX($AC$1004:$AS$1004,1,MATCH(COLUMNS($AC$1006:AQ1006),$AC$1006:$AS$1006,0)))),"Fix")))</f>
        <v>0</v>
      </c>
      <c r="Q107" s="5">
        <f>IF(OR(INDEX($W$2:$W$1001,MATCH(ROWS($V$2:V107),$V$2:$V$1001,0),1)&gt;=100000,INDEX($AC$1005:$AS$1005,1,MATCH(COLUMNS($AC$1006:AR1006),$AC$1006:$AS$1006,0))&gt;=100000), " ",IF(INDEX($AC$2:$AS$1001,MATCH(ROWS($V$2:V107),$V$2:$V$1001,0),MATCH(COLUMNS($AC$1006:AR1006),$AC$1006:$AS$1006,0)), HYPERLINK("#",""), HYPERLINK(CONCATENATE("#Metadata!", ADDRESS(INDEX($X$2:$X$1001,MATCH(ROWS($V$2:V107),$V$2:$V$1001,0),0), INDEX($AC$1004:$AS$1004,1,MATCH(COLUMNS($AC$1006:AR1006),$AC$1006:$AS$1006,0)))),"Fix")))</f>
        <v>0</v>
      </c>
      <c r="R107" s="5">
        <f>IF(OR(INDEX($W$2:$W$1001,MATCH(ROWS($V$2:V107),$V$2:$V$1001,0),1)&gt;=100000,INDEX($AC$1005:$AS$1005,1,MATCH(COLUMNS($AC$1006:AS1006),$AC$1006:$AS$1006,0))&gt;=100000), " ",IF(INDEX($AC$2:$AS$1001,MATCH(ROWS($V$2:V107),$V$2:$V$1001,0),MATCH(COLUMNS($AC$1006:AS1006),$AC$1006:$AS$1006,0)), HYPERLINK("#",""), HYPERLINK(CONCATENATE("#Metadata!", ADDRESS(INDEX($X$2:$X$1001,MATCH(ROWS($V$2:V107),$V$2:$V$1001,0),0), INDEX($AC$1004:$AS$1004,1,MATCH(COLUMNS($AC$1006:AS1006),$AC$1006:$AS$1006,0)))),"Fix")))</f>
        <v>0</v>
      </c>
      <c r="V107">
        <v>0</v>
      </c>
      <c r="W107">
        <v>0</v>
      </c>
      <c r="X107">
        <v>0</v>
      </c>
      <c r="Y107">
        <f>IF(Z107,TRUE,AND(AC107:AS107))</f>
        <v>0</v>
      </c>
      <c r="Z107">
        <f>COUNTBLANK(Metadata!B107:R107)=COLUMNS(Metadata!B107:R107)</f>
        <v>0</v>
      </c>
      <c r="AA107">
        <v>0</v>
      </c>
      <c r="AC107">
        <f>AND(IF(Metadata!B107="",FALSE,TRUE),COUNTIF(Metadata!B:B, Metadata!B107) = 1,NOT(ISERROR(SUMPRODUCT(SEARCH(MID(Metadata!B107,ROW(INDIRECT("1:"&amp;LEN(Metadata!B107))), 1),"0123456789abcdefghijklmnopqrstuvwxyzABCDEFGHIJKLMNOPQRSTUVWXYZ.")))))</f>
        <v>0</v>
      </c>
      <c r="AD107">
        <f>AND(IF(Metadata!C107="",FALSE,TRUE),exact(Metadata!C107,"Host-associated"))</f>
        <v>0</v>
      </c>
      <c r="AE107">
        <f>AND(IF(Metadata!D107="",FALSE,TRUE),OR(exact(Metadata!D107,"Animal"),exact(Metadata!D107,"Fungus"),exact(Metadata!D107,"Plant")))</f>
        <v>0</v>
      </c>
      <c r="AF107">
        <f>AND(IF(Metadata!E107="",FALSE,TRUE),OR(exact(Metadata!E107,"Plant secretion"),exact(Metadata!E107,"Plant rhizosphere"),exact(Metadata!E107,"Plant surface"),exact(Metadata!E107,"Plant corpus"),exact(Metadata!E107,"Fungus surface"),exact(Metadata!E107,"Fungus corpus"),exact(Metadata!E107,"Animal surface"),exact(Metadata!E107,"Animal proximal gut"),exact(Metadata!E107,"Animal corpus"),exact(Metadata!E107,"Animal distal gut"),exact(Metadata!E107,"Animal secretion")))</f>
        <v>0</v>
      </c>
      <c r="AG107">
        <f>OR(AND(IF(Metadata!F107="",FALSE,TRUE),OR(exact(Metadata!F107,"not collected"),exact(Metadata!F107,"not provided"),exact(Metadata!F107,"restricted access"))),AND(IF(Metadata!F107="",FALSE,TRUE),OR(exact(Metadata!F107,"organism-associated habitat"),exact(Metadata!F107,"plant-associated habitat"),exact(Metadata!F107,"animal-associated habitat"),exact(Metadata!F107,"insecta-associated habitat"),exact(Metadata!F107,"mammalia-associated habitat"),exact(Metadata!F107,"human-associated habitat"),exact(Metadata!F107,"livestock-associated habitat"))))</f>
        <v>0</v>
      </c>
      <c r="AH107">
        <f>AND(IF(Metadata!G107="",FALSE,TRUE),exact(Metadata!G107,"host-associated"))</f>
        <v>0</v>
      </c>
      <c r="AI107">
        <f>OR(AND(IF(Metadata!H107="",FALSE,TRUE),OR(exact(Metadata!H107,"not collected"),exact(Metadata!H107,"not provided"))),AND(IF(Metadata!H107="",FALSE,ISNUMBER(VALUE(Metadata!H107))),Metadata!H107&gt;0))</f>
        <v>0</v>
      </c>
      <c r="AJ107">
        <f>AND(IF(Metadata!I107="",FALSE,TRUE),exact(Metadata!I107,"years"))</f>
        <v>0</v>
      </c>
      <c r="AK107">
        <f>IF(Metadata!J107="",FALSE,TRUE)</f>
        <v>0</v>
      </c>
      <c r="AL107">
        <f>OR(AND(IF(Metadata!K107="",FALSE,TRUE),OR(exact(Metadata!K107,"not collected"),exact(Metadata!K107,"not provided"))),AND(IF(Metadata!K107="",FALSE,ISNUMBER(VALUE(Metadata!K107))),Metadata!K107&gt;0))</f>
        <v>0</v>
      </c>
      <c r="AM107">
        <f>AND(IF(Metadata!L107="",FALSE,TRUE),exact(Metadata!L107,"cm"))</f>
        <v>0</v>
      </c>
      <c r="AN107">
        <f>IF(Metadata!M107="",FALSE,TRUE)</f>
        <v>0</v>
      </c>
      <c r="AO107">
        <f>OR(AND(IF(Metadata!N107="",FALSE,TRUE),OR(exact(Metadata!N107,"not applicable"),exact(Metadata!N107,"not collected"),exact(Metadata!N107,"not provided"))),AND(IF(Metadata!N107="",FALSE,IF(ISERROR(INT(Metadata!N107)),FALSE,INT(Metadata!N107)=Metadata!N107)),Metadata!N107&gt;0))</f>
        <v>0</v>
      </c>
      <c r="AP107">
        <f>OR(AND(IF(Metadata!O107="",FALSE,TRUE),OR(exact(Metadata!O107,"not collected"),exact(Metadata!O107,"not provided"))),AND(IF(Metadata!O107="",FALSE,ISNUMBER(VALUE(Metadata!O107))),Metadata!O107&gt;0))</f>
        <v>0</v>
      </c>
      <c r="AQ107">
        <f>AND(IF(Metadata!P107="",FALSE,TRUE),exact(Metadata!P107,"kg"))</f>
        <v>0</v>
      </c>
      <c r="AR107">
        <f>OR(AND(IF(Metadata!Q107="",FALSE,TRUE),OR(exact(Metadata!Q107,"not applicable"),exact(Metadata!Q107,"not collected"),exact(Metadata!Q107,"not provided"),exact(Metadata!Q107,"restricted access"))),IF(Metadata!Q107="",FALSE,IF(ISERROR(INT(Metadata!Q107)),FALSE,INT(Metadata!Q107)=Metadata!Q107)))</f>
        <v>0</v>
      </c>
      <c r="AS107">
        <f>AND(IF(Metadata!R107="",FALSE,TRUE),exact(Metadata!R107,"Not applicable"))</f>
        <v>0</v>
      </c>
    </row>
    <row r="108" spans="1:45">
      <c r="A108" s="4">
        <f>IF(B108=" "," ",HYPERLINK(CONCATENATE("#metadata!",ADDRESS(INDEX($X$2:$X$1001,MATCH(ROWS($V$2:V108),$V$2:$V$1001,0),0),2)),INDEX($AA$2:$AA$1001,MATCH(ROWS($V$2:V108),$V$2:$V$1001,0),0)))</f>
        <v>0</v>
      </c>
      <c r="B108" s="5">
        <f>IF(OR(INDEX($W$2:$W$1001,MATCH(ROWS($V$2:V108),$V$2:$V$1001,0),1)&gt;=100000,INDEX($AC$1005:$AS$1005,1,MATCH(COLUMNS($AC$1006:AC1006),$AC$1006:$AS$1006,0))&gt;=100000), " ",IF(INDEX($AC$2:$AS$1001,MATCH(ROWS($V$2:V108),$V$2:$V$1001,0),MATCH(COLUMNS($AC$1006:AC1006),$AC$1006:$AS$1006,0)), HYPERLINK("#",""), HYPERLINK(CONCATENATE("#Metadata!", ADDRESS(INDEX($X$2:$X$1001,MATCH(ROWS($V$2:V108),$V$2:$V$1001,0),0), INDEX($AC$1004:$AS$1004,1,MATCH(COLUMNS($AC$1006:AC1006),$AC$1006:$AS$1006,0)))),"Fix")))</f>
        <v>0</v>
      </c>
      <c r="C108" s="5">
        <f>IF(OR(INDEX($W$2:$W$1001,MATCH(ROWS($V$2:V108),$V$2:$V$1001,0),1)&gt;=100000,INDEX($AC$1005:$AS$1005,1,MATCH(COLUMNS($AC$1006:AD1006),$AC$1006:$AS$1006,0))&gt;=100000), " ",IF(INDEX($AC$2:$AS$1001,MATCH(ROWS($V$2:V108),$V$2:$V$1001,0),MATCH(COLUMNS($AC$1006:AD1006),$AC$1006:$AS$1006,0)), HYPERLINK("#",""), HYPERLINK(CONCATENATE("#Metadata!", ADDRESS(INDEX($X$2:$X$1001,MATCH(ROWS($V$2:V108),$V$2:$V$1001,0),0), INDEX($AC$1004:$AS$1004,1,MATCH(COLUMNS($AC$1006:AD1006),$AC$1006:$AS$1006,0)))),"Fix")))</f>
        <v>0</v>
      </c>
      <c r="D108" s="5">
        <f>IF(OR(INDEX($W$2:$W$1001,MATCH(ROWS($V$2:V108),$V$2:$V$1001,0),1)&gt;=100000,INDEX($AC$1005:$AS$1005,1,MATCH(COLUMNS($AC$1006:AE1006),$AC$1006:$AS$1006,0))&gt;=100000), " ",IF(INDEX($AC$2:$AS$1001,MATCH(ROWS($V$2:V108),$V$2:$V$1001,0),MATCH(COLUMNS($AC$1006:AE1006),$AC$1006:$AS$1006,0)), HYPERLINK("#",""), HYPERLINK(CONCATENATE("#Metadata!", ADDRESS(INDEX($X$2:$X$1001,MATCH(ROWS($V$2:V108),$V$2:$V$1001,0),0), INDEX($AC$1004:$AS$1004,1,MATCH(COLUMNS($AC$1006:AE1006),$AC$1006:$AS$1006,0)))),"Fix")))</f>
        <v>0</v>
      </c>
      <c r="E108" s="5">
        <f>IF(OR(INDEX($W$2:$W$1001,MATCH(ROWS($V$2:V108),$V$2:$V$1001,0),1)&gt;=100000,INDEX($AC$1005:$AS$1005,1,MATCH(COLUMNS($AC$1006:AF1006),$AC$1006:$AS$1006,0))&gt;=100000), " ",IF(INDEX($AC$2:$AS$1001,MATCH(ROWS($V$2:V108),$V$2:$V$1001,0),MATCH(COLUMNS($AC$1006:AF1006),$AC$1006:$AS$1006,0)), HYPERLINK("#",""), HYPERLINK(CONCATENATE("#Metadata!", ADDRESS(INDEX($X$2:$X$1001,MATCH(ROWS($V$2:V108),$V$2:$V$1001,0),0), INDEX($AC$1004:$AS$1004,1,MATCH(COLUMNS($AC$1006:AF1006),$AC$1006:$AS$1006,0)))),"Fix")))</f>
        <v>0</v>
      </c>
      <c r="F108" s="5">
        <f>IF(OR(INDEX($W$2:$W$1001,MATCH(ROWS($V$2:V108),$V$2:$V$1001,0),1)&gt;=100000,INDEX($AC$1005:$AS$1005,1,MATCH(COLUMNS($AC$1006:AG1006),$AC$1006:$AS$1006,0))&gt;=100000), " ",IF(INDEX($AC$2:$AS$1001,MATCH(ROWS($V$2:V108),$V$2:$V$1001,0),MATCH(COLUMNS($AC$1006:AG1006),$AC$1006:$AS$1006,0)), HYPERLINK("#",""), HYPERLINK(CONCATENATE("#Metadata!", ADDRESS(INDEX($X$2:$X$1001,MATCH(ROWS($V$2:V108),$V$2:$V$1001,0),0), INDEX($AC$1004:$AS$1004,1,MATCH(COLUMNS($AC$1006:AG1006),$AC$1006:$AS$1006,0)))),"Fix")))</f>
        <v>0</v>
      </c>
      <c r="G108" s="5">
        <f>IF(OR(INDEX($W$2:$W$1001,MATCH(ROWS($V$2:V108),$V$2:$V$1001,0),1)&gt;=100000,INDEX($AC$1005:$AS$1005,1,MATCH(COLUMNS($AC$1006:AH1006),$AC$1006:$AS$1006,0))&gt;=100000), " ",IF(INDEX($AC$2:$AS$1001,MATCH(ROWS($V$2:V108),$V$2:$V$1001,0),MATCH(COLUMNS($AC$1006:AH1006),$AC$1006:$AS$1006,0)), HYPERLINK("#",""), HYPERLINK(CONCATENATE("#Metadata!", ADDRESS(INDEX($X$2:$X$1001,MATCH(ROWS($V$2:V108),$V$2:$V$1001,0),0), INDEX($AC$1004:$AS$1004,1,MATCH(COLUMNS($AC$1006:AH1006),$AC$1006:$AS$1006,0)))),"Fix")))</f>
        <v>0</v>
      </c>
      <c r="H108" s="5">
        <f>IF(OR(INDEX($W$2:$W$1001,MATCH(ROWS($V$2:V108),$V$2:$V$1001,0),1)&gt;=100000,INDEX($AC$1005:$AS$1005,1,MATCH(COLUMNS($AC$1006:AI1006),$AC$1006:$AS$1006,0))&gt;=100000), " ",IF(INDEX($AC$2:$AS$1001,MATCH(ROWS($V$2:V108),$V$2:$V$1001,0),MATCH(COLUMNS($AC$1006:AI1006),$AC$1006:$AS$1006,0)), HYPERLINK("#",""), HYPERLINK(CONCATENATE("#Metadata!", ADDRESS(INDEX($X$2:$X$1001,MATCH(ROWS($V$2:V108),$V$2:$V$1001,0),0), INDEX($AC$1004:$AS$1004,1,MATCH(COLUMNS($AC$1006:AI1006),$AC$1006:$AS$1006,0)))),"Fix")))</f>
        <v>0</v>
      </c>
      <c r="I108" s="5">
        <f>IF(OR(INDEX($W$2:$W$1001,MATCH(ROWS($V$2:V108),$V$2:$V$1001,0),1)&gt;=100000,INDEX($AC$1005:$AS$1005,1,MATCH(COLUMNS($AC$1006:AJ1006),$AC$1006:$AS$1006,0))&gt;=100000), " ",IF(INDEX($AC$2:$AS$1001,MATCH(ROWS($V$2:V108),$V$2:$V$1001,0),MATCH(COLUMNS($AC$1006:AJ1006),$AC$1006:$AS$1006,0)), HYPERLINK("#",""), HYPERLINK(CONCATENATE("#Metadata!", ADDRESS(INDEX($X$2:$X$1001,MATCH(ROWS($V$2:V108),$V$2:$V$1001,0),0), INDEX($AC$1004:$AS$1004,1,MATCH(COLUMNS($AC$1006:AJ1006),$AC$1006:$AS$1006,0)))),"Fix")))</f>
        <v>0</v>
      </c>
      <c r="J108" s="5">
        <f>IF(OR(INDEX($W$2:$W$1001,MATCH(ROWS($V$2:V108),$V$2:$V$1001,0),1)&gt;=100000,INDEX($AC$1005:$AS$1005,1,MATCH(COLUMNS($AC$1006:AK1006),$AC$1006:$AS$1006,0))&gt;=100000), " ",IF(INDEX($AC$2:$AS$1001,MATCH(ROWS($V$2:V108),$V$2:$V$1001,0),MATCH(COLUMNS($AC$1006:AK1006),$AC$1006:$AS$1006,0)), HYPERLINK("#",""), HYPERLINK(CONCATENATE("#Metadata!", ADDRESS(INDEX($X$2:$X$1001,MATCH(ROWS($V$2:V108),$V$2:$V$1001,0),0), INDEX($AC$1004:$AS$1004,1,MATCH(COLUMNS($AC$1006:AK1006),$AC$1006:$AS$1006,0)))),"Fix")))</f>
        <v>0</v>
      </c>
      <c r="K108" s="5">
        <f>IF(OR(INDEX($W$2:$W$1001,MATCH(ROWS($V$2:V108),$V$2:$V$1001,0),1)&gt;=100000,INDEX($AC$1005:$AS$1005,1,MATCH(COLUMNS($AC$1006:AL1006),$AC$1006:$AS$1006,0))&gt;=100000), " ",IF(INDEX($AC$2:$AS$1001,MATCH(ROWS($V$2:V108),$V$2:$V$1001,0),MATCH(COLUMNS($AC$1006:AL1006),$AC$1006:$AS$1006,0)), HYPERLINK("#",""), HYPERLINK(CONCATENATE("#Metadata!", ADDRESS(INDEX($X$2:$X$1001,MATCH(ROWS($V$2:V108),$V$2:$V$1001,0),0), INDEX($AC$1004:$AS$1004,1,MATCH(COLUMNS($AC$1006:AL1006),$AC$1006:$AS$1006,0)))),"Fix")))</f>
        <v>0</v>
      </c>
      <c r="L108" s="5">
        <f>IF(OR(INDEX($W$2:$W$1001,MATCH(ROWS($V$2:V108),$V$2:$V$1001,0),1)&gt;=100000,INDEX($AC$1005:$AS$1005,1,MATCH(COLUMNS($AC$1006:AM1006),$AC$1006:$AS$1006,0))&gt;=100000), " ",IF(INDEX($AC$2:$AS$1001,MATCH(ROWS($V$2:V108),$V$2:$V$1001,0),MATCH(COLUMNS($AC$1006:AM1006),$AC$1006:$AS$1006,0)), HYPERLINK("#",""), HYPERLINK(CONCATENATE("#Metadata!", ADDRESS(INDEX($X$2:$X$1001,MATCH(ROWS($V$2:V108),$V$2:$V$1001,0),0), INDEX($AC$1004:$AS$1004,1,MATCH(COLUMNS($AC$1006:AM1006),$AC$1006:$AS$1006,0)))),"Fix")))</f>
        <v>0</v>
      </c>
      <c r="M108" s="5">
        <f>IF(OR(INDEX($W$2:$W$1001,MATCH(ROWS($V$2:V108),$V$2:$V$1001,0),1)&gt;=100000,INDEX($AC$1005:$AS$1005,1,MATCH(COLUMNS($AC$1006:AN1006),$AC$1006:$AS$1006,0))&gt;=100000), " ",IF(INDEX($AC$2:$AS$1001,MATCH(ROWS($V$2:V108),$V$2:$V$1001,0),MATCH(COLUMNS($AC$1006:AN1006),$AC$1006:$AS$1006,0)), HYPERLINK("#",""), HYPERLINK(CONCATENATE("#Metadata!", ADDRESS(INDEX($X$2:$X$1001,MATCH(ROWS($V$2:V108),$V$2:$V$1001,0),0), INDEX($AC$1004:$AS$1004,1,MATCH(COLUMNS($AC$1006:AN1006),$AC$1006:$AS$1006,0)))),"Fix")))</f>
        <v>0</v>
      </c>
      <c r="N108" s="5">
        <f>IF(OR(INDEX($W$2:$W$1001,MATCH(ROWS($V$2:V108),$V$2:$V$1001,0),1)&gt;=100000,INDEX($AC$1005:$AS$1005,1,MATCH(COLUMNS($AC$1006:AO1006),$AC$1006:$AS$1006,0))&gt;=100000), " ",IF(INDEX($AC$2:$AS$1001,MATCH(ROWS($V$2:V108),$V$2:$V$1001,0),MATCH(COLUMNS($AC$1006:AO1006),$AC$1006:$AS$1006,0)), HYPERLINK("#",""), HYPERLINK(CONCATENATE("#Metadata!", ADDRESS(INDEX($X$2:$X$1001,MATCH(ROWS($V$2:V108),$V$2:$V$1001,0),0), INDEX($AC$1004:$AS$1004,1,MATCH(COLUMNS($AC$1006:AO1006),$AC$1006:$AS$1006,0)))),"Fix")))</f>
        <v>0</v>
      </c>
      <c r="O108" s="5">
        <f>IF(OR(INDEX($W$2:$W$1001,MATCH(ROWS($V$2:V108),$V$2:$V$1001,0),1)&gt;=100000,INDEX($AC$1005:$AS$1005,1,MATCH(COLUMNS($AC$1006:AP1006),$AC$1006:$AS$1006,0))&gt;=100000), " ",IF(INDEX($AC$2:$AS$1001,MATCH(ROWS($V$2:V108),$V$2:$V$1001,0),MATCH(COLUMNS($AC$1006:AP1006),$AC$1006:$AS$1006,0)), HYPERLINK("#",""), HYPERLINK(CONCATENATE("#Metadata!", ADDRESS(INDEX($X$2:$X$1001,MATCH(ROWS($V$2:V108),$V$2:$V$1001,0),0), INDEX($AC$1004:$AS$1004,1,MATCH(COLUMNS($AC$1006:AP1006),$AC$1006:$AS$1006,0)))),"Fix")))</f>
        <v>0</v>
      </c>
      <c r="P108" s="5">
        <f>IF(OR(INDEX($W$2:$W$1001,MATCH(ROWS($V$2:V108),$V$2:$V$1001,0),1)&gt;=100000,INDEX($AC$1005:$AS$1005,1,MATCH(COLUMNS($AC$1006:AQ1006),$AC$1006:$AS$1006,0))&gt;=100000), " ",IF(INDEX($AC$2:$AS$1001,MATCH(ROWS($V$2:V108),$V$2:$V$1001,0),MATCH(COLUMNS($AC$1006:AQ1006),$AC$1006:$AS$1006,0)), HYPERLINK("#",""), HYPERLINK(CONCATENATE("#Metadata!", ADDRESS(INDEX($X$2:$X$1001,MATCH(ROWS($V$2:V108),$V$2:$V$1001,0),0), INDEX($AC$1004:$AS$1004,1,MATCH(COLUMNS($AC$1006:AQ1006),$AC$1006:$AS$1006,0)))),"Fix")))</f>
        <v>0</v>
      </c>
      <c r="Q108" s="5">
        <f>IF(OR(INDEX($W$2:$W$1001,MATCH(ROWS($V$2:V108),$V$2:$V$1001,0),1)&gt;=100000,INDEX($AC$1005:$AS$1005,1,MATCH(COLUMNS($AC$1006:AR1006),$AC$1006:$AS$1006,0))&gt;=100000), " ",IF(INDEX($AC$2:$AS$1001,MATCH(ROWS($V$2:V108),$V$2:$V$1001,0),MATCH(COLUMNS($AC$1006:AR1006),$AC$1006:$AS$1006,0)), HYPERLINK("#",""), HYPERLINK(CONCATENATE("#Metadata!", ADDRESS(INDEX($X$2:$X$1001,MATCH(ROWS($V$2:V108),$V$2:$V$1001,0),0), INDEX($AC$1004:$AS$1004,1,MATCH(COLUMNS($AC$1006:AR1006),$AC$1006:$AS$1006,0)))),"Fix")))</f>
        <v>0</v>
      </c>
      <c r="R108" s="5">
        <f>IF(OR(INDEX($W$2:$W$1001,MATCH(ROWS($V$2:V108),$V$2:$V$1001,0),1)&gt;=100000,INDEX($AC$1005:$AS$1005,1,MATCH(COLUMNS($AC$1006:AS1006),$AC$1006:$AS$1006,0))&gt;=100000), " ",IF(INDEX($AC$2:$AS$1001,MATCH(ROWS($V$2:V108),$V$2:$V$1001,0),MATCH(COLUMNS($AC$1006:AS1006),$AC$1006:$AS$1006,0)), HYPERLINK("#",""), HYPERLINK(CONCATENATE("#Metadata!", ADDRESS(INDEX($X$2:$X$1001,MATCH(ROWS($V$2:V108),$V$2:$V$1001,0),0), INDEX($AC$1004:$AS$1004,1,MATCH(COLUMNS($AC$1006:AS1006),$AC$1006:$AS$1006,0)))),"Fix")))</f>
        <v>0</v>
      </c>
      <c r="V108">
        <v>0</v>
      </c>
      <c r="W108">
        <v>0</v>
      </c>
      <c r="X108">
        <v>0</v>
      </c>
      <c r="Y108">
        <f>IF(Z108,TRUE,AND(AC108:AS108))</f>
        <v>0</v>
      </c>
      <c r="Z108">
        <f>COUNTBLANK(Metadata!B108:R108)=COLUMNS(Metadata!B108:R108)</f>
        <v>0</v>
      </c>
      <c r="AA108">
        <v>0</v>
      </c>
      <c r="AC108">
        <f>AND(IF(Metadata!B108="",FALSE,TRUE),COUNTIF(Metadata!B:B, Metadata!B108) = 1,NOT(ISERROR(SUMPRODUCT(SEARCH(MID(Metadata!B108,ROW(INDIRECT("1:"&amp;LEN(Metadata!B108))), 1),"0123456789abcdefghijklmnopqrstuvwxyzABCDEFGHIJKLMNOPQRSTUVWXYZ.")))))</f>
        <v>0</v>
      </c>
      <c r="AD108">
        <f>AND(IF(Metadata!C108="",FALSE,TRUE),exact(Metadata!C108,"Host-associated"))</f>
        <v>0</v>
      </c>
      <c r="AE108">
        <f>AND(IF(Metadata!D108="",FALSE,TRUE),OR(exact(Metadata!D108,"Animal"),exact(Metadata!D108,"Fungus"),exact(Metadata!D108,"Plant")))</f>
        <v>0</v>
      </c>
      <c r="AF108">
        <f>AND(IF(Metadata!E108="",FALSE,TRUE),OR(exact(Metadata!E108,"Plant secretion"),exact(Metadata!E108,"Plant rhizosphere"),exact(Metadata!E108,"Plant surface"),exact(Metadata!E108,"Plant corpus"),exact(Metadata!E108,"Fungus surface"),exact(Metadata!E108,"Fungus corpus"),exact(Metadata!E108,"Animal surface"),exact(Metadata!E108,"Animal proximal gut"),exact(Metadata!E108,"Animal corpus"),exact(Metadata!E108,"Animal distal gut"),exact(Metadata!E108,"Animal secretion")))</f>
        <v>0</v>
      </c>
      <c r="AG108">
        <f>OR(AND(IF(Metadata!F108="",FALSE,TRUE),OR(exact(Metadata!F108,"not collected"),exact(Metadata!F108,"not provided"),exact(Metadata!F108,"restricted access"))),AND(IF(Metadata!F108="",FALSE,TRUE),OR(exact(Metadata!F108,"organism-associated habitat"),exact(Metadata!F108,"plant-associated habitat"),exact(Metadata!F108,"animal-associated habitat"),exact(Metadata!F108,"insecta-associated habitat"),exact(Metadata!F108,"mammalia-associated habitat"),exact(Metadata!F108,"human-associated habitat"),exact(Metadata!F108,"livestock-associated habitat"))))</f>
        <v>0</v>
      </c>
      <c r="AH108">
        <f>AND(IF(Metadata!G108="",FALSE,TRUE),exact(Metadata!G108,"host-associated"))</f>
        <v>0</v>
      </c>
      <c r="AI108">
        <f>OR(AND(IF(Metadata!H108="",FALSE,TRUE),OR(exact(Metadata!H108,"not collected"),exact(Metadata!H108,"not provided"))),AND(IF(Metadata!H108="",FALSE,ISNUMBER(VALUE(Metadata!H108))),Metadata!H108&gt;0))</f>
        <v>0</v>
      </c>
      <c r="AJ108">
        <f>AND(IF(Metadata!I108="",FALSE,TRUE),exact(Metadata!I108,"years"))</f>
        <v>0</v>
      </c>
      <c r="AK108">
        <f>IF(Metadata!J108="",FALSE,TRUE)</f>
        <v>0</v>
      </c>
      <c r="AL108">
        <f>OR(AND(IF(Metadata!K108="",FALSE,TRUE),OR(exact(Metadata!K108,"not collected"),exact(Metadata!K108,"not provided"))),AND(IF(Metadata!K108="",FALSE,ISNUMBER(VALUE(Metadata!K108))),Metadata!K108&gt;0))</f>
        <v>0</v>
      </c>
      <c r="AM108">
        <f>AND(IF(Metadata!L108="",FALSE,TRUE),exact(Metadata!L108,"cm"))</f>
        <v>0</v>
      </c>
      <c r="AN108">
        <f>IF(Metadata!M108="",FALSE,TRUE)</f>
        <v>0</v>
      </c>
      <c r="AO108">
        <f>OR(AND(IF(Metadata!N108="",FALSE,TRUE),OR(exact(Metadata!N108,"not applicable"),exact(Metadata!N108,"not collected"),exact(Metadata!N108,"not provided"))),AND(IF(Metadata!N108="",FALSE,IF(ISERROR(INT(Metadata!N108)),FALSE,INT(Metadata!N108)=Metadata!N108)),Metadata!N108&gt;0))</f>
        <v>0</v>
      </c>
      <c r="AP108">
        <f>OR(AND(IF(Metadata!O108="",FALSE,TRUE),OR(exact(Metadata!O108,"not collected"),exact(Metadata!O108,"not provided"))),AND(IF(Metadata!O108="",FALSE,ISNUMBER(VALUE(Metadata!O108))),Metadata!O108&gt;0))</f>
        <v>0</v>
      </c>
      <c r="AQ108">
        <f>AND(IF(Metadata!P108="",FALSE,TRUE),exact(Metadata!P108,"kg"))</f>
        <v>0</v>
      </c>
      <c r="AR108">
        <f>OR(AND(IF(Metadata!Q108="",FALSE,TRUE),OR(exact(Metadata!Q108,"not applicable"),exact(Metadata!Q108,"not collected"),exact(Metadata!Q108,"not provided"),exact(Metadata!Q108,"restricted access"))),IF(Metadata!Q108="",FALSE,IF(ISERROR(INT(Metadata!Q108)),FALSE,INT(Metadata!Q108)=Metadata!Q108)))</f>
        <v>0</v>
      </c>
      <c r="AS108">
        <f>AND(IF(Metadata!R108="",FALSE,TRUE),exact(Metadata!R108,"Not applicable"))</f>
        <v>0</v>
      </c>
    </row>
    <row r="109" spans="1:45">
      <c r="A109" s="4">
        <f>IF(B109=" "," ",HYPERLINK(CONCATENATE("#metadata!",ADDRESS(INDEX($X$2:$X$1001,MATCH(ROWS($V$2:V109),$V$2:$V$1001,0),0),2)),INDEX($AA$2:$AA$1001,MATCH(ROWS($V$2:V109),$V$2:$V$1001,0),0)))</f>
        <v>0</v>
      </c>
      <c r="B109" s="5">
        <f>IF(OR(INDEX($W$2:$W$1001,MATCH(ROWS($V$2:V109),$V$2:$V$1001,0),1)&gt;=100000,INDEX($AC$1005:$AS$1005,1,MATCH(COLUMNS($AC$1006:AC1006),$AC$1006:$AS$1006,0))&gt;=100000), " ",IF(INDEX($AC$2:$AS$1001,MATCH(ROWS($V$2:V109),$V$2:$V$1001,0),MATCH(COLUMNS($AC$1006:AC1006),$AC$1006:$AS$1006,0)), HYPERLINK("#",""), HYPERLINK(CONCATENATE("#Metadata!", ADDRESS(INDEX($X$2:$X$1001,MATCH(ROWS($V$2:V109),$V$2:$V$1001,0),0), INDEX($AC$1004:$AS$1004,1,MATCH(COLUMNS($AC$1006:AC1006),$AC$1006:$AS$1006,0)))),"Fix")))</f>
        <v>0</v>
      </c>
      <c r="C109" s="5">
        <f>IF(OR(INDEX($W$2:$W$1001,MATCH(ROWS($V$2:V109),$V$2:$V$1001,0),1)&gt;=100000,INDEX($AC$1005:$AS$1005,1,MATCH(COLUMNS($AC$1006:AD1006),$AC$1006:$AS$1006,0))&gt;=100000), " ",IF(INDEX($AC$2:$AS$1001,MATCH(ROWS($V$2:V109),$V$2:$V$1001,0),MATCH(COLUMNS($AC$1006:AD1006),$AC$1006:$AS$1006,0)), HYPERLINK("#",""), HYPERLINK(CONCATENATE("#Metadata!", ADDRESS(INDEX($X$2:$X$1001,MATCH(ROWS($V$2:V109),$V$2:$V$1001,0),0), INDEX($AC$1004:$AS$1004,1,MATCH(COLUMNS($AC$1006:AD1006),$AC$1006:$AS$1006,0)))),"Fix")))</f>
        <v>0</v>
      </c>
      <c r="D109" s="5">
        <f>IF(OR(INDEX($W$2:$W$1001,MATCH(ROWS($V$2:V109),$V$2:$V$1001,0),1)&gt;=100000,INDEX($AC$1005:$AS$1005,1,MATCH(COLUMNS($AC$1006:AE1006),$AC$1006:$AS$1006,0))&gt;=100000), " ",IF(INDEX($AC$2:$AS$1001,MATCH(ROWS($V$2:V109),$V$2:$V$1001,0),MATCH(COLUMNS($AC$1006:AE1006),$AC$1006:$AS$1006,0)), HYPERLINK("#",""), HYPERLINK(CONCATENATE("#Metadata!", ADDRESS(INDEX($X$2:$X$1001,MATCH(ROWS($V$2:V109),$V$2:$V$1001,0),0), INDEX($AC$1004:$AS$1004,1,MATCH(COLUMNS($AC$1006:AE1006),$AC$1006:$AS$1006,0)))),"Fix")))</f>
        <v>0</v>
      </c>
      <c r="E109" s="5">
        <f>IF(OR(INDEX($W$2:$W$1001,MATCH(ROWS($V$2:V109),$V$2:$V$1001,0),1)&gt;=100000,INDEX($AC$1005:$AS$1005,1,MATCH(COLUMNS($AC$1006:AF1006),$AC$1006:$AS$1006,0))&gt;=100000), " ",IF(INDEX($AC$2:$AS$1001,MATCH(ROWS($V$2:V109),$V$2:$V$1001,0),MATCH(COLUMNS($AC$1006:AF1006),$AC$1006:$AS$1006,0)), HYPERLINK("#",""), HYPERLINK(CONCATENATE("#Metadata!", ADDRESS(INDEX($X$2:$X$1001,MATCH(ROWS($V$2:V109),$V$2:$V$1001,0),0), INDEX($AC$1004:$AS$1004,1,MATCH(COLUMNS($AC$1006:AF1006),$AC$1006:$AS$1006,0)))),"Fix")))</f>
        <v>0</v>
      </c>
      <c r="F109" s="5">
        <f>IF(OR(INDEX($W$2:$W$1001,MATCH(ROWS($V$2:V109),$V$2:$V$1001,0),1)&gt;=100000,INDEX($AC$1005:$AS$1005,1,MATCH(COLUMNS($AC$1006:AG1006),$AC$1006:$AS$1006,0))&gt;=100000), " ",IF(INDEX($AC$2:$AS$1001,MATCH(ROWS($V$2:V109),$V$2:$V$1001,0),MATCH(COLUMNS($AC$1006:AG1006),$AC$1006:$AS$1006,0)), HYPERLINK("#",""), HYPERLINK(CONCATENATE("#Metadata!", ADDRESS(INDEX($X$2:$X$1001,MATCH(ROWS($V$2:V109),$V$2:$V$1001,0),0), INDEX($AC$1004:$AS$1004,1,MATCH(COLUMNS($AC$1006:AG1006),$AC$1006:$AS$1006,0)))),"Fix")))</f>
        <v>0</v>
      </c>
      <c r="G109" s="5">
        <f>IF(OR(INDEX($W$2:$W$1001,MATCH(ROWS($V$2:V109),$V$2:$V$1001,0),1)&gt;=100000,INDEX($AC$1005:$AS$1005,1,MATCH(COLUMNS($AC$1006:AH1006),$AC$1006:$AS$1006,0))&gt;=100000), " ",IF(INDEX($AC$2:$AS$1001,MATCH(ROWS($V$2:V109),$V$2:$V$1001,0),MATCH(COLUMNS($AC$1006:AH1006),$AC$1006:$AS$1006,0)), HYPERLINK("#",""), HYPERLINK(CONCATENATE("#Metadata!", ADDRESS(INDEX($X$2:$X$1001,MATCH(ROWS($V$2:V109),$V$2:$V$1001,0),0), INDEX($AC$1004:$AS$1004,1,MATCH(COLUMNS($AC$1006:AH1006),$AC$1006:$AS$1006,0)))),"Fix")))</f>
        <v>0</v>
      </c>
      <c r="H109" s="5">
        <f>IF(OR(INDEX($W$2:$W$1001,MATCH(ROWS($V$2:V109),$V$2:$V$1001,0),1)&gt;=100000,INDEX($AC$1005:$AS$1005,1,MATCH(COLUMNS($AC$1006:AI1006),$AC$1006:$AS$1006,0))&gt;=100000), " ",IF(INDEX($AC$2:$AS$1001,MATCH(ROWS($V$2:V109),$V$2:$V$1001,0),MATCH(COLUMNS($AC$1006:AI1006),$AC$1006:$AS$1006,0)), HYPERLINK("#",""), HYPERLINK(CONCATENATE("#Metadata!", ADDRESS(INDEX($X$2:$X$1001,MATCH(ROWS($V$2:V109),$V$2:$V$1001,0),0), INDEX($AC$1004:$AS$1004,1,MATCH(COLUMNS($AC$1006:AI1006),$AC$1006:$AS$1006,0)))),"Fix")))</f>
        <v>0</v>
      </c>
      <c r="I109" s="5">
        <f>IF(OR(INDEX($W$2:$W$1001,MATCH(ROWS($V$2:V109),$V$2:$V$1001,0),1)&gt;=100000,INDEX($AC$1005:$AS$1005,1,MATCH(COLUMNS($AC$1006:AJ1006),$AC$1006:$AS$1006,0))&gt;=100000), " ",IF(INDEX($AC$2:$AS$1001,MATCH(ROWS($V$2:V109),$V$2:$V$1001,0),MATCH(COLUMNS($AC$1006:AJ1006),$AC$1006:$AS$1006,0)), HYPERLINK("#",""), HYPERLINK(CONCATENATE("#Metadata!", ADDRESS(INDEX($X$2:$X$1001,MATCH(ROWS($V$2:V109),$V$2:$V$1001,0),0), INDEX($AC$1004:$AS$1004,1,MATCH(COLUMNS($AC$1006:AJ1006),$AC$1006:$AS$1006,0)))),"Fix")))</f>
        <v>0</v>
      </c>
      <c r="J109" s="5">
        <f>IF(OR(INDEX($W$2:$W$1001,MATCH(ROWS($V$2:V109),$V$2:$V$1001,0),1)&gt;=100000,INDEX($AC$1005:$AS$1005,1,MATCH(COLUMNS($AC$1006:AK1006),$AC$1006:$AS$1006,0))&gt;=100000), " ",IF(INDEX($AC$2:$AS$1001,MATCH(ROWS($V$2:V109),$V$2:$V$1001,0),MATCH(COLUMNS($AC$1006:AK1006),$AC$1006:$AS$1006,0)), HYPERLINK("#",""), HYPERLINK(CONCATENATE("#Metadata!", ADDRESS(INDEX($X$2:$X$1001,MATCH(ROWS($V$2:V109),$V$2:$V$1001,0),0), INDEX($AC$1004:$AS$1004,1,MATCH(COLUMNS($AC$1006:AK1006),$AC$1006:$AS$1006,0)))),"Fix")))</f>
        <v>0</v>
      </c>
      <c r="K109" s="5">
        <f>IF(OR(INDEX($W$2:$W$1001,MATCH(ROWS($V$2:V109),$V$2:$V$1001,0),1)&gt;=100000,INDEX($AC$1005:$AS$1005,1,MATCH(COLUMNS($AC$1006:AL1006),$AC$1006:$AS$1006,0))&gt;=100000), " ",IF(INDEX($AC$2:$AS$1001,MATCH(ROWS($V$2:V109),$V$2:$V$1001,0),MATCH(COLUMNS($AC$1006:AL1006),$AC$1006:$AS$1006,0)), HYPERLINK("#",""), HYPERLINK(CONCATENATE("#Metadata!", ADDRESS(INDEX($X$2:$X$1001,MATCH(ROWS($V$2:V109),$V$2:$V$1001,0),0), INDEX($AC$1004:$AS$1004,1,MATCH(COLUMNS($AC$1006:AL1006),$AC$1006:$AS$1006,0)))),"Fix")))</f>
        <v>0</v>
      </c>
      <c r="L109" s="5">
        <f>IF(OR(INDEX($W$2:$W$1001,MATCH(ROWS($V$2:V109),$V$2:$V$1001,0),1)&gt;=100000,INDEX($AC$1005:$AS$1005,1,MATCH(COLUMNS($AC$1006:AM1006),$AC$1006:$AS$1006,0))&gt;=100000), " ",IF(INDEX($AC$2:$AS$1001,MATCH(ROWS($V$2:V109),$V$2:$V$1001,0),MATCH(COLUMNS($AC$1006:AM1006),$AC$1006:$AS$1006,0)), HYPERLINK("#",""), HYPERLINK(CONCATENATE("#Metadata!", ADDRESS(INDEX($X$2:$X$1001,MATCH(ROWS($V$2:V109),$V$2:$V$1001,0),0), INDEX($AC$1004:$AS$1004,1,MATCH(COLUMNS($AC$1006:AM1006),$AC$1006:$AS$1006,0)))),"Fix")))</f>
        <v>0</v>
      </c>
      <c r="M109" s="5">
        <f>IF(OR(INDEX($W$2:$W$1001,MATCH(ROWS($V$2:V109),$V$2:$V$1001,0),1)&gt;=100000,INDEX($AC$1005:$AS$1005,1,MATCH(COLUMNS($AC$1006:AN1006),$AC$1006:$AS$1006,0))&gt;=100000), " ",IF(INDEX($AC$2:$AS$1001,MATCH(ROWS($V$2:V109),$V$2:$V$1001,0),MATCH(COLUMNS($AC$1006:AN1006),$AC$1006:$AS$1006,0)), HYPERLINK("#",""), HYPERLINK(CONCATENATE("#Metadata!", ADDRESS(INDEX($X$2:$X$1001,MATCH(ROWS($V$2:V109),$V$2:$V$1001,0),0), INDEX($AC$1004:$AS$1004,1,MATCH(COLUMNS($AC$1006:AN1006),$AC$1006:$AS$1006,0)))),"Fix")))</f>
        <v>0</v>
      </c>
      <c r="N109" s="5">
        <f>IF(OR(INDEX($W$2:$W$1001,MATCH(ROWS($V$2:V109),$V$2:$V$1001,0),1)&gt;=100000,INDEX($AC$1005:$AS$1005,1,MATCH(COLUMNS($AC$1006:AO1006),$AC$1006:$AS$1006,0))&gt;=100000), " ",IF(INDEX($AC$2:$AS$1001,MATCH(ROWS($V$2:V109),$V$2:$V$1001,0),MATCH(COLUMNS($AC$1006:AO1006),$AC$1006:$AS$1006,0)), HYPERLINK("#",""), HYPERLINK(CONCATENATE("#Metadata!", ADDRESS(INDEX($X$2:$X$1001,MATCH(ROWS($V$2:V109),$V$2:$V$1001,0),0), INDEX($AC$1004:$AS$1004,1,MATCH(COLUMNS($AC$1006:AO1006),$AC$1006:$AS$1006,0)))),"Fix")))</f>
        <v>0</v>
      </c>
      <c r="O109" s="5">
        <f>IF(OR(INDEX($W$2:$W$1001,MATCH(ROWS($V$2:V109),$V$2:$V$1001,0),1)&gt;=100000,INDEX($AC$1005:$AS$1005,1,MATCH(COLUMNS($AC$1006:AP1006),$AC$1006:$AS$1006,0))&gt;=100000), " ",IF(INDEX($AC$2:$AS$1001,MATCH(ROWS($V$2:V109),$V$2:$V$1001,0),MATCH(COLUMNS($AC$1006:AP1006),$AC$1006:$AS$1006,0)), HYPERLINK("#",""), HYPERLINK(CONCATENATE("#Metadata!", ADDRESS(INDEX($X$2:$X$1001,MATCH(ROWS($V$2:V109),$V$2:$V$1001,0),0), INDEX($AC$1004:$AS$1004,1,MATCH(COLUMNS($AC$1006:AP1006),$AC$1006:$AS$1006,0)))),"Fix")))</f>
        <v>0</v>
      </c>
      <c r="P109" s="5">
        <f>IF(OR(INDEX($W$2:$W$1001,MATCH(ROWS($V$2:V109),$V$2:$V$1001,0),1)&gt;=100000,INDEX($AC$1005:$AS$1005,1,MATCH(COLUMNS($AC$1006:AQ1006),$AC$1006:$AS$1006,0))&gt;=100000), " ",IF(INDEX($AC$2:$AS$1001,MATCH(ROWS($V$2:V109),$V$2:$V$1001,0),MATCH(COLUMNS($AC$1006:AQ1006),$AC$1006:$AS$1006,0)), HYPERLINK("#",""), HYPERLINK(CONCATENATE("#Metadata!", ADDRESS(INDEX($X$2:$X$1001,MATCH(ROWS($V$2:V109),$V$2:$V$1001,0),0), INDEX($AC$1004:$AS$1004,1,MATCH(COLUMNS($AC$1006:AQ1006),$AC$1006:$AS$1006,0)))),"Fix")))</f>
        <v>0</v>
      </c>
      <c r="Q109" s="5">
        <f>IF(OR(INDEX($W$2:$W$1001,MATCH(ROWS($V$2:V109),$V$2:$V$1001,0),1)&gt;=100000,INDEX($AC$1005:$AS$1005,1,MATCH(COLUMNS($AC$1006:AR1006),$AC$1006:$AS$1006,0))&gt;=100000), " ",IF(INDEX($AC$2:$AS$1001,MATCH(ROWS($V$2:V109),$V$2:$V$1001,0),MATCH(COLUMNS($AC$1006:AR1006),$AC$1006:$AS$1006,0)), HYPERLINK("#",""), HYPERLINK(CONCATENATE("#Metadata!", ADDRESS(INDEX($X$2:$X$1001,MATCH(ROWS($V$2:V109),$V$2:$V$1001,0),0), INDEX($AC$1004:$AS$1004,1,MATCH(COLUMNS($AC$1006:AR1006),$AC$1006:$AS$1006,0)))),"Fix")))</f>
        <v>0</v>
      </c>
      <c r="R109" s="5">
        <f>IF(OR(INDEX($W$2:$W$1001,MATCH(ROWS($V$2:V109),$V$2:$V$1001,0),1)&gt;=100000,INDEX($AC$1005:$AS$1005,1,MATCH(COLUMNS($AC$1006:AS1006),$AC$1006:$AS$1006,0))&gt;=100000), " ",IF(INDEX($AC$2:$AS$1001,MATCH(ROWS($V$2:V109),$V$2:$V$1001,0),MATCH(COLUMNS($AC$1006:AS1006),$AC$1006:$AS$1006,0)), HYPERLINK("#",""), HYPERLINK(CONCATENATE("#Metadata!", ADDRESS(INDEX($X$2:$X$1001,MATCH(ROWS($V$2:V109),$V$2:$V$1001,0),0), INDEX($AC$1004:$AS$1004,1,MATCH(COLUMNS($AC$1006:AS1006),$AC$1006:$AS$1006,0)))),"Fix")))</f>
        <v>0</v>
      </c>
      <c r="V109">
        <v>0</v>
      </c>
      <c r="W109">
        <v>0</v>
      </c>
      <c r="X109">
        <v>0</v>
      </c>
      <c r="Y109">
        <f>IF(Z109,TRUE,AND(AC109:AS109))</f>
        <v>0</v>
      </c>
      <c r="Z109">
        <f>COUNTBLANK(Metadata!B109:R109)=COLUMNS(Metadata!B109:R109)</f>
        <v>0</v>
      </c>
      <c r="AA109">
        <v>0</v>
      </c>
      <c r="AC109">
        <f>AND(IF(Metadata!B109="",FALSE,TRUE),COUNTIF(Metadata!B:B, Metadata!B109) = 1,NOT(ISERROR(SUMPRODUCT(SEARCH(MID(Metadata!B109,ROW(INDIRECT("1:"&amp;LEN(Metadata!B109))), 1),"0123456789abcdefghijklmnopqrstuvwxyzABCDEFGHIJKLMNOPQRSTUVWXYZ.")))))</f>
        <v>0</v>
      </c>
      <c r="AD109">
        <f>AND(IF(Metadata!C109="",FALSE,TRUE),exact(Metadata!C109,"Host-associated"))</f>
        <v>0</v>
      </c>
      <c r="AE109">
        <f>AND(IF(Metadata!D109="",FALSE,TRUE),OR(exact(Metadata!D109,"Animal"),exact(Metadata!D109,"Fungus"),exact(Metadata!D109,"Plant")))</f>
        <v>0</v>
      </c>
      <c r="AF109">
        <f>AND(IF(Metadata!E109="",FALSE,TRUE),OR(exact(Metadata!E109,"Plant secretion"),exact(Metadata!E109,"Plant rhizosphere"),exact(Metadata!E109,"Plant surface"),exact(Metadata!E109,"Plant corpus"),exact(Metadata!E109,"Fungus surface"),exact(Metadata!E109,"Fungus corpus"),exact(Metadata!E109,"Animal surface"),exact(Metadata!E109,"Animal proximal gut"),exact(Metadata!E109,"Animal corpus"),exact(Metadata!E109,"Animal distal gut"),exact(Metadata!E109,"Animal secretion")))</f>
        <v>0</v>
      </c>
      <c r="AG109">
        <f>OR(AND(IF(Metadata!F109="",FALSE,TRUE),OR(exact(Metadata!F109,"not collected"),exact(Metadata!F109,"not provided"),exact(Metadata!F109,"restricted access"))),AND(IF(Metadata!F109="",FALSE,TRUE),OR(exact(Metadata!F109,"organism-associated habitat"),exact(Metadata!F109,"plant-associated habitat"),exact(Metadata!F109,"animal-associated habitat"),exact(Metadata!F109,"insecta-associated habitat"),exact(Metadata!F109,"mammalia-associated habitat"),exact(Metadata!F109,"human-associated habitat"),exact(Metadata!F109,"livestock-associated habitat"))))</f>
        <v>0</v>
      </c>
      <c r="AH109">
        <f>AND(IF(Metadata!G109="",FALSE,TRUE),exact(Metadata!G109,"host-associated"))</f>
        <v>0</v>
      </c>
      <c r="AI109">
        <f>OR(AND(IF(Metadata!H109="",FALSE,TRUE),OR(exact(Metadata!H109,"not collected"),exact(Metadata!H109,"not provided"))),AND(IF(Metadata!H109="",FALSE,ISNUMBER(VALUE(Metadata!H109))),Metadata!H109&gt;0))</f>
        <v>0</v>
      </c>
      <c r="AJ109">
        <f>AND(IF(Metadata!I109="",FALSE,TRUE),exact(Metadata!I109,"years"))</f>
        <v>0</v>
      </c>
      <c r="AK109">
        <f>IF(Metadata!J109="",FALSE,TRUE)</f>
        <v>0</v>
      </c>
      <c r="AL109">
        <f>OR(AND(IF(Metadata!K109="",FALSE,TRUE),OR(exact(Metadata!K109,"not collected"),exact(Metadata!K109,"not provided"))),AND(IF(Metadata!K109="",FALSE,ISNUMBER(VALUE(Metadata!K109))),Metadata!K109&gt;0))</f>
        <v>0</v>
      </c>
      <c r="AM109">
        <f>AND(IF(Metadata!L109="",FALSE,TRUE),exact(Metadata!L109,"cm"))</f>
        <v>0</v>
      </c>
      <c r="AN109">
        <f>IF(Metadata!M109="",FALSE,TRUE)</f>
        <v>0</v>
      </c>
      <c r="AO109">
        <f>OR(AND(IF(Metadata!N109="",FALSE,TRUE),OR(exact(Metadata!N109,"not applicable"),exact(Metadata!N109,"not collected"),exact(Metadata!N109,"not provided"))),AND(IF(Metadata!N109="",FALSE,IF(ISERROR(INT(Metadata!N109)),FALSE,INT(Metadata!N109)=Metadata!N109)),Metadata!N109&gt;0))</f>
        <v>0</v>
      </c>
      <c r="AP109">
        <f>OR(AND(IF(Metadata!O109="",FALSE,TRUE),OR(exact(Metadata!O109,"not collected"),exact(Metadata!O109,"not provided"))),AND(IF(Metadata!O109="",FALSE,ISNUMBER(VALUE(Metadata!O109))),Metadata!O109&gt;0))</f>
        <v>0</v>
      </c>
      <c r="AQ109">
        <f>AND(IF(Metadata!P109="",FALSE,TRUE),exact(Metadata!P109,"kg"))</f>
        <v>0</v>
      </c>
      <c r="AR109">
        <f>OR(AND(IF(Metadata!Q109="",FALSE,TRUE),OR(exact(Metadata!Q109,"not applicable"),exact(Metadata!Q109,"not collected"),exact(Metadata!Q109,"not provided"),exact(Metadata!Q109,"restricted access"))),IF(Metadata!Q109="",FALSE,IF(ISERROR(INT(Metadata!Q109)),FALSE,INT(Metadata!Q109)=Metadata!Q109)))</f>
        <v>0</v>
      </c>
      <c r="AS109">
        <f>AND(IF(Metadata!R109="",FALSE,TRUE),exact(Metadata!R109,"Not applicable"))</f>
        <v>0</v>
      </c>
    </row>
    <row r="110" spans="1:45">
      <c r="A110" s="4">
        <f>IF(B110=" "," ",HYPERLINK(CONCATENATE("#metadata!",ADDRESS(INDEX($X$2:$X$1001,MATCH(ROWS($V$2:V110),$V$2:$V$1001,0),0),2)),INDEX($AA$2:$AA$1001,MATCH(ROWS($V$2:V110),$V$2:$V$1001,0),0)))</f>
        <v>0</v>
      </c>
      <c r="B110" s="5">
        <f>IF(OR(INDEX($W$2:$W$1001,MATCH(ROWS($V$2:V110),$V$2:$V$1001,0),1)&gt;=100000,INDEX($AC$1005:$AS$1005,1,MATCH(COLUMNS($AC$1006:AC1006),$AC$1006:$AS$1006,0))&gt;=100000), " ",IF(INDEX($AC$2:$AS$1001,MATCH(ROWS($V$2:V110),$V$2:$V$1001,0),MATCH(COLUMNS($AC$1006:AC1006),$AC$1006:$AS$1006,0)), HYPERLINK("#",""), HYPERLINK(CONCATENATE("#Metadata!", ADDRESS(INDEX($X$2:$X$1001,MATCH(ROWS($V$2:V110),$V$2:$V$1001,0),0), INDEX($AC$1004:$AS$1004,1,MATCH(COLUMNS($AC$1006:AC1006),$AC$1006:$AS$1006,0)))),"Fix")))</f>
        <v>0</v>
      </c>
      <c r="C110" s="5">
        <f>IF(OR(INDEX($W$2:$W$1001,MATCH(ROWS($V$2:V110),$V$2:$V$1001,0),1)&gt;=100000,INDEX($AC$1005:$AS$1005,1,MATCH(COLUMNS($AC$1006:AD1006),$AC$1006:$AS$1006,0))&gt;=100000), " ",IF(INDEX($AC$2:$AS$1001,MATCH(ROWS($V$2:V110),$V$2:$V$1001,0),MATCH(COLUMNS($AC$1006:AD1006),$AC$1006:$AS$1006,0)), HYPERLINK("#",""), HYPERLINK(CONCATENATE("#Metadata!", ADDRESS(INDEX($X$2:$X$1001,MATCH(ROWS($V$2:V110),$V$2:$V$1001,0),0), INDEX($AC$1004:$AS$1004,1,MATCH(COLUMNS($AC$1006:AD1006),$AC$1006:$AS$1006,0)))),"Fix")))</f>
        <v>0</v>
      </c>
      <c r="D110" s="5">
        <f>IF(OR(INDEX($W$2:$W$1001,MATCH(ROWS($V$2:V110),$V$2:$V$1001,0),1)&gt;=100000,INDEX($AC$1005:$AS$1005,1,MATCH(COLUMNS($AC$1006:AE1006),$AC$1006:$AS$1006,0))&gt;=100000), " ",IF(INDEX($AC$2:$AS$1001,MATCH(ROWS($V$2:V110),$V$2:$V$1001,0),MATCH(COLUMNS($AC$1006:AE1006),$AC$1006:$AS$1006,0)), HYPERLINK("#",""), HYPERLINK(CONCATENATE("#Metadata!", ADDRESS(INDEX($X$2:$X$1001,MATCH(ROWS($V$2:V110),$V$2:$V$1001,0),0), INDEX($AC$1004:$AS$1004,1,MATCH(COLUMNS($AC$1006:AE1006),$AC$1006:$AS$1006,0)))),"Fix")))</f>
        <v>0</v>
      </c>
      <c r="E110" s="5">
        <f>IF(OR(INDEX($W$2:$W$1001,MATCH(ROWS($V$2:V110),$V$2:$V$1001,0),1)&gt;=100000,INDEX($AC$1005:$AS$1005,1,MATCH(COLUMNS($AC$1006:AF1006),$AC$1006:$AS$1006,0))&gt;=100000), " ",IF(INDEX($AC$2:$AS$1001,MATCH(ROWS($V$2:V110),$V$2:$V$1001,0),MATCH(COLUMNS($AC$1006:AF1006),$AC$1006:$AS$1006,0)), HYPERLINK("#",""), HYPERLINK(CONCATENATE("#Metadata!", ADDRESS(INDEX($X$2:$X$1001,MATCH(ROWS($V$2:V110),$V$2:$V$1001,0),0), INDEX($AC$1004:$AS$1004,1,MATCH(COLUMNS($AC$1006:AF1006),$AC$1006:$AS$1006,0)))),"Fix")))</f>
        <v>0</v>
      </c>
      <c r="F110" s="5">
        <f>IF(OR(INDEX($W$2:$W$1001,MATCH(ROWS($V$2:V110),$V$2:$V$1001,0),1)&gt;=100000,INDEX($AC$1005:$AS$1005,1,MATCH(COLUMNS($AC$1006:AG1006),$AC$1006:$AS$1006,0))&gt;=100000), " ",IF(INDEX($AC$2:$AS$1001,MATCH(ROWS($V$2:V110),$V$2:$V$1001,0),MATCH(COLUMNS($AC$1006:AG1006),$AC$1006:$AS$1006,0)), HYPERLINK("#",""), HYPERLINK(CONCATENATE("#Metadata!", ADDRESS(INDEX($X$2:$X$1001,MATCH(ROWS($V$2:V110),$V$2:$V$1001,0),0), INDEX($AC$1004:$AS$1004,1,MATCH(COLUMNS($AC$1006:AG1006),$AC$1006:$AS$1006,0)))),"Fix")))</f>
        <v>0</v>
      </c>
      <c r="G110" s="5">
        <f>IF(OR(INDEX($W$2:$W$1001,MATCH(ROWS($V$2:V110),$V$2:$V$1001,0),1)&gt;=100000,INDEX($AC$1005:$AS$1005,1,MATCH(COLUMNS($AC$1006:AH1006),$AC$1006:$AS$1006,0))&gt;=100000), " ",IF(INDEX($AC$2:$AS$1001,MATCH(ROWS($V$2:V110),$V$2:$V$1001,0),MATCH(COLUMNS($AC$1006:AH1006),$AC$1006:$AS$1006,0)), HYPERLINK("#",""), HYPERLINK(CONCATENATE("#Metadata!", ADDRESS(INDEX($X$2:$X$1001,MATCH(ROWS($V$2:V110),$V$2:$V$1001,0),0), INDEX($AC$1004:$AS$1004,1,MATCH(COLUMNS($AC$1006:AH1006),$AC$1006:$AS$1006,0)))),"Fix")))</f>
        <v>0</v>
      </c>
      <c r="H110" s="5">
        <f>IF(OR(INDEX($W$2:$W$1001,MATCH(ROWS($V$2:V110),$V$2:$V$1001,0),1)&gt;=100000,INDEX($AC$1005:$AS$1005,1,MATCH(COLUMNS($AC$1006:AI1006),$AC$1006:$AS$1006,0))&gt;=100000), " ",IF(INDEX($AC$2:$AS$1001,MATCH(ROWS($V$2:V110),$V$2:$V$1001,0),MATCH(COLUMNS($AC$1006:AI1006),$AC$1006:$AS$1006,0)), HYPERLINK("#",""), HYPERLINK(CONCATENATE("#Metadata!", ADDRESS(INDEX($X$2:$X$1001,MATCH(ROWS($V$2:V110),$V$2:$V$1001,0),0), INDEX($AC$1004:$AS$1004,1,MATCH(COLUMNS($AC$1006:AI1006),$AC$1006:$AS$1006,0)))),"Fix")))</f>
        <v>0</v>
      </c>
      <c r="I110" s="5">
        <f>IF(OR(INDEX($W$2:$W$1001,MATCH(ROWS($V$2:V110),$V$2:$V$1001,0),1)&gt;=100000,INDEX($AC$1005:$AS$1005,1,MATCH(COLUMNS($AC$1006:AJ1006),$AC$1006:$AS$1006,0))&gt;=100000), " ",IF(INDEX($AC$2:$AS$1001,MATCH(ROWS($V$2:V110),$V$2:$V$1001,0),MATCH(COLUMNS($AC$1006:AJ1006),$AC$1006:$AS$1006,0)), HYPERLINK("#",""), HYPERLINK(CONCATENATE("#Metadata!", ADDRESS(INDEX($X$2:$X$1001,MATCH(ROWS($V$2:V110),$V$2:$V$1001,0),0), INDEX($AC$1004:$AS$1004,1,MATCH(COLUMNS($AC$1006:AJ1006),$AC$1006:$AS$1006,0)))),"Fix")))</f>
        <v>0</v>
      </c>
      <c r="J110" s="5">
        <f>IF(OR(INDEX($W$2:$W$1001,MATCH(ROWS($V$2:V110),$V$2:$V$1001,0),1)&gt;=100000,INDEX($AC$1005:$AS$1005,1,MATCH(COLUMNS($AC$1006:AK1006),$AC$1006:$AS$1006,0))&gt;=100000), " ",IF(INDEX($AC$2:$AS$1001,MATCH(ROWS($V$2:V110),$V$2:$V$1001,0),MATCH(COLUMNS($AC$1006:AK1006),$AC$1006:$AS$1006,0)), HYPERLINK("#",""), HYPERLINK(CONCATENATE("#Metadata!", ADDRESS(INDEX($X$2:$X$1001,MATCH(ROWS($V$2:V110),$V$2:$V$1001,0),0), INDEX($AC$1004:$AS$1004,1,MATCH(COLUMNS($AC$1006:AK1006),$AC$1006:$AS$1006,0)))),"Fix")))</f>
        <v>0</v>
      </c>
      <c r="K110" s="5">
        <f>IF(OR(INDEX($W$2:$W$1001,MATCH(ROWS($V$2:V110),$V$2:$V$1001,0),1)&gt;=100000,INDEX($AC$1005:$AS$1005,1,MATCH(COLUMNS($AC$1006:AL1006),$AC$1006:$AS$1006,0))&gt;=100000), " ",IF(INDEX($AC$2:$AS$1001,MATCH(ROWS($V$2:V110),$V$2:$V$1001,0),MATCH(COLUMNS($AC$1006:AL1006),$AC$1006:$AS$1006,0)), HYPERLINK("#",""), HYPERLINK(CONCATENATE("#Metadata!", ADDRESS(INDEX($X$2:$X$1001,MATCH(ROWS($V$2:V110),$V$2:$V$1001,0),0), INDEX($AC$1004:$AS$1004,1,MATCH(COLUMNS($AC$1006:AL1006),$AC$1006:$AS$1006,0)))),"Fix")))</f>
        <v>0</v>
      </c>
      <c r="L110" s="5">
        <f>IF(OR(INDEX($W$2:$W$1001,MATCH(ROWS($V$2:V110),$V$2:$V$1001,0),1)&gt;=100000,INDEX($AC$1005:$AS$1005,1,MATCH(COLUMNS($AC$1006:AM1006),$AC$1006:$AS$1006,0))&gt;=100000), " ",IF(INDEX($AC$2:$AS$1001,MATCH(ROWS($V$2:V110),$V$2:$V$1001,0),MATCH(COLUMNS($AC$1006:AM1006),$AC$1006:$AS$1006,0)), HYPERLINK("#",""), HYPERLINK(CONCATENATE("#Metadata!", ADDRESS(INDEX($X$2:$X$1001,MATCH(ROWS($V$2:V110),$V$2:$V$1001,0),0), INDEX($AC$1004:$AS$1004,1,MATCH(COLUMNS($AC$1006:AM1006),$AC$1006:$AS$1006,0)))),"Fix")))</f>
        <v>0</v>
      </c>
      <c r="M110" s="5">
        <f>IF(OR(INDEX($W$2:$W$1001,MATCH(ROWS($V$2:V110),$V$2:$V$1001,0),1)&gt;=100000,INDEX($AC$1005:$AS$1005,1,MATCH(COLUMNS($AC$1006:AN1006),$AC$1006:$AS$1006,0))&gt;=100000), " ",IF(INDEX($AC$2:$AS$1001,MATCH(ROWS($V$2:V110),$V$2:$V$1001,0),MATCH(COLUMNS($AC$1006:AN1006),$AC$1006:$AS$1006,0)), HYPERLINK("#",""), HYPERLINK(CONCATENATE("#Metadata!", ADDRESS(INDEX($X$2:$X$1001,MATCH(ROWS($V$2:V110),$V$2:$V$1001,0),0), INDEX($AC$1004:$AS$1004,1,MATCH(COLUMNS($AC$1006:AN1006),$AC$1006:$AS$1006,0)))),"Fix")))</f>
        <v>0</v>
      </c>
      <c r="N110" s="5">
        <f>IF(OR(INDEX($W$2:$W$1001,MATCH(ROWS($V$2:V110),$V$2:$V$1001,0),1)&gt;=100000,INDEX($AC$1005:$AS$1005,1,MATCH(COLUMNS($AC$1006:AO1006),$AC$1006:$AS$1006,0))&gt;=100000), " ",IF(INDEX($AC$2:$AS$1001,MATCH(ROWS($V$2:V110),$V$2:$V$1001,0),MATCH(COLUMNS($AC$1006:AO1006),$AC$1006:$AS$1006,0)), HYPERLINK("#",""), HYPERLINK(CONCATENATE("#Metadata!", ADDRESS(INDEX($X$2:$X$1001,MATCH(ROWS($V$2:V110),$V$2:$V$1001,0),0), INDEX($AC$1004:$AS$1004,1,MATCH(COLUMNS($AC$1006:AO1006),$AC$1006:$AS$1006,0)))),"Fix")))</f>
        <v>0</v>
      </c>
      <c r="O110" s="5">
        <f>IF(OR(INDEX($W$2:$W$1001,MATCH(ROWS($V$2:V110),$V$2:$V$1001,0),1)&gt;=100000,INDEX($AC$1005:$AS$1005,1,MATCH(COLUMNS($AC$1006:AP1006),$AC$1006:$AS$1006,0))&gt;=100000), " ",IF(INDEX($AC$2:$AS$1001,MATCH(ROWS($V$2:V110),$V$2:$V$1001,0),MATCH(COLUMNS($AC$1006:AP1006),$AC$1006:$AS$1006,0)), HYPERLINK("#",""), HYPERLINK(CONCATENATE("#Metadata!", ADDRESS(INDEX($X$2:$X$1001,MATCH(ROWS($V$2:V110),$V$2:$V$1001,0),0), INDEX($AC$1004:$AS$1004,1,MATCH(COLUMNS($AC$1006:AP1006),$AC$1006:$AS$1006,0)))),"Fix")))</f>
        <v>0</v>
      </c>
      <c r="P110" s="5">
        <f>IF(OR(INDEX($W$2:$W$1001,MATCH(ROWS($V$2:V110),$V$2:$V$1001,0),1)&gt;=100000,INDEX($AC$1005:$AS$1005,1,MATCH(COLUMNS($AC$1006:AQ1006),$AC$1006:$AS$1006,0))&gt;=100000), " ",IF(INDEX($AC$2:$AS$1001,MATCH(ROWS($V$2:V110),$V$2:$V$1001,0),MATCH(COLUMNS($AC$1006:AQ1006),$AC$1006:$AS$1006,0)), HYPERLINK("#",""), HYPERLINK(CONCATENATE("#Metadata!", ADDRESS(INDEX($X$2:$X$1001,MATCH(ROWS($V$2:V110),$V$2:$V$1001,0),0), INDEX($AC$1004:$AS$1004,1,MATCH(COLUMNS($AC$1006:AQ1006),$AC$1006:$AS$1006,0)))),"Fix")))</f>
        <v>0</v>
      </c>
      <c r="Q110" s="5">
        <f>IF(OR(INDEX($W$2:$W$1001,MATCH(ROWS($V$2:V110),$V$2:$V$1001,0),1)&gt;=100000,INDEX($AC$1005:$AS$1005,1,MATCH(COLUMNS($AC$1006:AR1006),$AC$1006:$AS$1006,0))&gt;=100000), " ",IF(INDEX($AC$2:$AS$1001,MATCH(ROWS($V$2:V110),$V$2:$V$1001,0),MATCH(COLUMNS($AC$1006:AR1006),$AC$1006:$AS$1006,0)), HYPERLINK("#",""), HYPERLINK(CONCATENATE("#Metadata!", ADDRESS(INDEX($X$2:$X$1001,MATCH(ROWS($V$2:V110),$V$2:$V$1001,0),0), INDEX($AC$1004:$AS$1004,1,MATCH(COLUMNS($AC$1006:AR1006),$AC$1006:$AS$1006,0)))),"Fix")))</f>
        <v>0</v>
      </c>
      <c r="R110" s="5">
        <f>IF(OR(INDEX($W$2:$W$1001,MATCH(ROWS($V$2:V110),$V$2:$V$1001,0),1)&gt;=100000,INDEX($AC$1005:$AS$1005,1,MATCH(COLUMNS($AC$1006:AS1006),$AC$1006:$AS$1006,0))&gt;=100000), " ",IF(INDEX($AC$2:$AS$1001,MATCH(ROWS($V$2:V110),$V$2:$V$1001,0),MATCH(COLUMNS($AC$1006:AS1006),$AC$1006:$AS$1006,0)), HYPERLINK("#",""), HYPERLINK(CONCATENATE("#Metadata!", ADDRESS(INDEX($X$2:$X$1001,MATCH(ROWS($V$2:V110),$V$2:$V$1001,0),0), INDEX($AC$1004:$AS$1004,1,MATCH(COLUMNS($AC$1006:AS1006),$AC$1006:$AS$1006,0)))),"Fix")))</f>
        <v>0</v>
      </c>
      <c r="V110">
        <v>0</v>
      </c>
      <c r="W110">
        <v>0</v>
      </c>
      <c r="X110">
        <v>0</v>
      </c>
      <c r="Y110">
        <f>IF(Z110,TRUE,AND(AC110:AS110))</f>
        <v>0</v>
      </c>
      <c r="Z110">
        <f>COUNTBLANK(Metadata!B110:R110)=COLUMNS(Metadata!B110:R110)</f>
        <v>0</v>
      </c>
      <c r="AA110">
        <v>0</v>
      </c>
      <c r="AC110">
        <f>AND(IF(Metadata!B110="",FALSE,TRUE),COUNTIF(Metadata!B:B, Metadata!B110) = 1,NOT(ISERROR(SUMPRODUCT(SEARCH(MID(Metadata!B110,ROW(INDIRECT("1:"&amp;LEN(Metadata!B110))), 1),"0123456789abcdefghijklmnopqrstuvwxyzABCDEFGHIJKLMNOPQRSTUVWXYZ.")))))</f>
        <v>0</v>
      </c>
      <c r="AD110">
        <f>AND(IF(Metadata!C110="",FALSE,TRUE),exact(Metadata!C110,"Host-associated"))</f>
        <v>0</v>
      </c>
      <c r="AE110">
        <f>AND(IF(Metadata!D110="",FALSE,TRUE),OR(exact(Metadata!D110,"Animal"),exact(Metadata!D110,"Fungus"),exact(Metadata!D110,"Plant")))</f>
        <v>0</v>
      </c>
      <c r="AF110">
        <f>AND(IF(Metadata!E110="",FALSE,TRUE),OR(exact(Metadata!E110,"Plant secretion"),exact(Metadata!E110,"Plant rhizosphere"),exact(Metadata!E110,"Plant surface"),exact(Metadata!E110,"Plant corpus"),exact(Metadata!E110,"Fungus surface"),exact(Metadata!E110,"Fungus corpus"),exact(Metadata!E110,"Animal surface"),exact(Metadata!E110,"Animal proximal gut"),exact(Metadata!E110,"Animal corpus"),exact(Metadata!E110,"Animal distal gut"),exact(Metadata!E110,"Animal secretion")))</f>
        <v>0</v>
      </c>
      <c r="AG110">
        <f>OR(AND(IF(Metadata!F110="",FALSE,TRUE),OR(exact(Metadata!F110,"not collected"),exact(Metadata!F110,"not provided"),exact(Metadata!F110,"restricted access"))),AND(IF(Metadata!F110="",FALSE,TRUE),OR(exact(Metadata!F110,"organism-associated habitat"),exact(Metadata!F110,"plant-associated habitat"),exact(Metadata!F110,"animal-associated habitat"),exact(Metadata!F110,"insecta-associated habitat"),exact(Metadata!F110,"mammalia-associated habitat"),exact(Metadata!F110,"human-associated habitat"),exact(Metadata!F110,"livestock-associated habitat"))))</f>
        <v>0</v>
      </c>
      <c r="AH110">
        <f>AND(IF(Metadata!G110="",FALSE,TRUE),exact(Metadata!G110,"host-associated"))</f>
        <v>0</v>
      </c>
      <c r="AI110">
        <f>OR(AND(IF(Metadata!H110="",FALSE,TRUE),OR(exact(Metadata!H110,"not collected"),exact(Metadata!H110,"not provided"))),AND(IF(Metadata!H110="",FALSE,ISNUMBER(VALUE(Metadata!H110))),Metadata!H110&gt;0))</f>
        <v>0</v>
      </c>
      <c r="AJ110">
        <f>AND(IF(Metadata!I110="",FALSE,TRUE),exact(Metadata!I110,"years"))</f>
        <v>0</v>
      </c>
      <c r="AK110">
        <f>IF(Metadata!J110="",FALSE,TRUE)</f>
        <v>0</v>
      </c>
      <c r="AL110">
        <f>OR(AND(IF(Metadata!K110="",FALSE,TRUE),OR(exact(Metadata!K110,"not collected"),exact(Metadata!K110,"not provided"))),AND(IF(Metadata!K110="",FALSE,ISNUMBER(VALUE(Metadata!K110))),Metadata!K110&gt;0))</f>
        <v>0</v>
      </c>
      <c r="AM110">
        <f>AND(IF(Metadata!L110="",FALSE,TRUE),exact(Metadata!L110,"cm"))</f>
        <v>0</v>
      </c>
      <c r="AN110">
        <f>IF(Metadata!M110="",FALSE,TRUE)</f>
        <v>0</v>
      </c>
      <c r="AO110">
        <f>OR(AND(IF(Metadata!N110="",FALSE,TRUE),OR(exact(Metadata!N110,"not applicable"),exact(Metadata!N110,"not collected"),exact(Metadata!N110,"not provided"))),AND(IF(Metadata!N110="",FALSE,IF(ISERROR(INT(Metadata!N110)),FALSE,INT(Metadata!N110)=Metadata!N110)),Metadata!N110&gt;0))</f>
        <v>0</v>
      </c>
      <c r="AP110">
        <f>OR(AND(IF(Metadata!O110="",FALSE,TRUE),OR(exact(Metadata!O110,"not collected"),exact(Metadata!O110,"not provided"))),AND(IF(Metadata!O110="",FALSE,ISNUMBER(VALUE(Metadata!O110))),Metadata!O110&gt;0))</f>
        <v>0</v>
      </c>
      <c r="AQ110">
        <f>AND(IF(Metadata!P110="",FALSE,TRUE),exact(Metadata!P110,"kg"))</f>
        <v>0</v>
      </c>
      <c r="AR110">
        <f>OR(AND(IF(Metadata!Q110="",FALSE,TRUE),OR(exact(Metadata!Q110,"not applicable"),exact(Metadata!Q110,"not collected"),exact(Metadata!Q110,"not provided"),exact(Metadata!Q110,"restricted access"))),IF(Metadata!Q110="",FALSE,IF(ISERROR(INT(Metadata!Q110)),FALSE,INT(Metadata!Q110)=Metadata!Q110)))</f>
        <v>0</v>
      </c>
      <c r="AS110">
        <f>AND(IF(Metadata!R110="",FALSE,TRUE),exact(Metadata!R110,"Not applicable"))</f>
        <v>0</v>
      </c>
    </row>
    <row r="111" spans="1:45">
      <c r="A111" s="4">
        <f>IF(B111=" "," ",HYPERLINK(CONCATENATE("#metadata!",ADDRESS(INDEX($X$2:$X$1001,MATCH(ROWS($V$2:V111),$V$2:$V$1001,0),0),2)),INDEX($AA$2:$AA$1001,MATCH(ROWS($V$2:V111),$V$2:$V$1001,0),0)))</f>
        <v>0</v>
      </c>
      <c r="B111" s="5">
        <f>IF(OR(INDEX($W$2:$W$1001,MATCH(ROWS($V$2:V111),$V$2:$V$1001,0),1)&gt;=100000,INDEX($AC$1005:$AS$1005,1,MATCH(COLUMNS($AC$1006:AC1006),$AC$1006:$AS$1006,0))&gt;=100000), " ",IF(INDEX($AC$2:$AS$1001,MATCH(ROWS($V$2:V111),$V$2:$V$1001,0),MATCH(COLUMNS($AC$1006:AC1006),$AC$1006:$AS$1006,0)), HYPERLINK("#",""), HYPERLINK(CONCATENATE("#Metadata!", ADDRESS(INDEX($X$2:$X$1001,MATCH(ROWS($V$2:V111),$V$2:$V$1001,0),0), INDEX($AC$1004:$AS$1004,1,MATCH(COLUMNS($AC$1006:AC1006),$AC$1006:$AS$1006,0)))),"Fix")))</f>
        <v>0</v>
      </c>
      <c r="C111" s="5">
        <f>IF(OR(INDEX($W$2:$W$1001,MATCH(ROWS($V$2:V111),$V$2:$V$1001,0),1)&gt;=100000,INDEX($AC$1005:$AS$1005,1,MATCH(COLUMNS($AC$1006:AD1006),$AC$1006:$AS$1006,0))&gt;=100000), " ",IF(INDEX($AC$2:$AS$1001,MATCH(ROWS($V$2:V111),$V$2:$V$1001,0),MATCH(COLUMNS($AC$1006:AD1006),$AC$1006:$AS$1006,0)), HYPERLINK("#",""), HYPERLINK(CONCATENATE("#Metadata!", ADDRESS(INDEX($X$2:$X$1001,MATCH(ROWS($V$2:V111),$V$2:$V$1001,0),0), INDEX($AC$1004:$AS$1004,1,MATCH(COLUMNS($AC$1006:AD1006),$AC$1006:$AS$1006,0)))),"Fix")))</f>
        <v>0</v>
      </c>
      <c r="D111" s="5">
        <f>IF(OR(INDEX($W$2:$W$1001,MATCH(ROWS($V$2:V111),$V$2:$V$1001,0),1)&gt;=100000,INDEX($AC$1005:$AS$1005,1,MATCH(COLUMNS($AC$1006:AE1006),$AC$1006:$AS$1006,0))&gt;=100000), " ",IF(INDEX($AC$2:$AS$1001,MATCH(ROWS($V$2:V111),$V$2:$V$1001,0),MATCH(COLUMNS($AC$1006:AE1006),$AC$1006:$AS$1006,0)), HYPERLINK("#",""), HYPERLINK(CONCATENATE("#Metadata!", ADDRESS(INDEX($X$2:$X$1001,MATCH(ROWS($V$2:V111),$V$2:$V$1001,0),0), INDEX($AC$1004:$AS$1004,1,MATCH(COLUMNS($AC$1006:AE1006),$AC$1006:$AS$1006,0)))),"Fix")))</f>
        <v>0</v>
      </c>
      <c r="E111" s="5">
        <f>IF(OR(INDEX($W$2:$W$1001,MATCH(ROWS($V$2:V111),$V$2:$V$1001,0),1)&gt;=100000,INDEX($AC$1005:$AS$1005,1,MATCH(COLUMNS($AC$1006:AF1006),$AC$1006:$AS$1006,0))&gt;=100000), " ",IF(INDEX($AC$2:$AS$1001,MATCH(ROWS($V$2:V111),$V$2:$V$1001,0),MATCH(COLUMNS($AC$1006:AF1006),$AC$1006:$AS$1006,0)), HYPERLINK("#",""), HYPERLINK(CONCATENATE("#Metadata!", ADDRESS(INDEX($X$2:$X$1001,MATCH(ROWS($V$2:V111),$V$2:$V$1001,0),0), INDEX($AC$1004:$AS$1004,1,MATCH(COLUMNS($AC$1006:AF1006),$AC$1006:$AS$1006,0)))),"Fix")))</f>
        <v>0</v>
      </c>
      <c r="F111" s="5">
        <f>IF(OR(INDEX($W$2:$W$1001,MATCH(ROWS($V$2:V111),$V$2:$V$1001,0),1)&gt;=100000,INDEX($AC$1005:$AS$1005,1,MATCH(COLUMNS($AC$1006:AG1006),$AC$1006:$AS$1006,0))&gt;=100000), " ",IF(INDEX($AC$2:$AS$1001,MATCH(ROWS($V$2:V111),$V$2:$V$1001,0),MATCH(COLUMNS($AC$1006:AG1006),$AC$1006:$AS$1006,0)), HYPERLINK("#",""), HYPERLINK(CONCATENATE("#Metadata!", ADDRESS(INDEX($X$2:$X$1001,MATCH(ROWS($V$2:V111),$V$2:$V$1001,0),0), INDEX($AC$1004:$AS$1004,1,MATCH(COLUMNS($AC$1006:AG1006),$AC$1006:$AS$1006,0)))),"Fix")))</f>
        <v>0</v>
      </c>
      <c r="G111" s="5">
        <f>IF(OR(INDEX($W$2:$W$1001,MATCH(ROWS($V$2:V111),$V$2:$V$1001,0),1)&gt;=100000,INDEX($AC$1005:$AS$1005,1,MATCH(COLUMNS($AC$1006:AH1006),$AC$1006:$AS$1006,0))&gt;=100000), " ",IF(INDEX($AC$2:$AS$1001,MATCH(ROWS($V$2:V111),$V$2:$V$1001,0),MATCH(COLUMNS($AC$1006:AH1006),$AC$1006:$AS$1006,0)), HYPERLINK("#",""), HYPERLINK(CONCATENATE("#Metadata!", ADDRESS(INDEX($X$2:$X$1001,MATCH(ROWS($V$2:V111),$V$2:$V$1001,0),0), INDEX($AC$1004:$AS$1004,1,MATCH(COLUMNS($AC$1006:AH1006),$AC$1006:$AS$1006,0)))),"Fix")))</f>
        <v>0</v>
      </c>
      <c r="H111" s="5">
        <f>IF(OR(INDEX($W$2:$W$1001,MATCH(ROWS($V$2:V111),$V$2:$V$1001,0),1)&gt;=100000,INDEX($AC$1005:$AS$1005,1,MATCH(COLUMNS($AC$1006:AI1006),$AC$1006:$AS$1006,0))&gt;=100000), " ",IF(INDEX($AC$2:$AS$1001,MATCH(ROWS($V$2:V111),$V$2:$V$1001,0),MATCH(COLUMNS($AC$1006:AI1006),$AC$1006:$AS$1006,0)), HYPERLINK("#",""), HYPERLINK(CONCATENATE("#Metadata!", ADDRESS(INDEX($X$2:$X$1001,MATCH(ROWS($V$2:V111),$V$2:$V$1001,0),0), INDEX($AC$1004:$AS$1004,1,MATCH(COLUMNS($AC$1006:AI1006),$AC$1006:$AS$1006,0)))),"Fix")))</f>
        <v>0</v>
      </c>
      <c r="I111" s="5">
        <f>IF(OR(INDEX($W$2:$W$1001,MATCH(ROWS($V$2:V111),$V$2:$V$1001,0),1)&gt;=100000,INDEX($AC$1005:$AS$1005,1,MATCH(COLUMNS($AC$1006:AJ1006),$AC$1006:$AS$1006,0))&gt;=100000), " ",IF(INDEX($AC$2:$AS$1001,MATCH(ROWS($V$2:V111),$V$2:$V$1001,0),MATCH(COLUMNS($AC$1006:AJ1006),$AC$1006:$AS$1006,0)), HYPERLINK("#",""), HYPERLINK(CONCATENATE("#Metadata!", ADDRESS(INDEX($X$2:$X$1001,MATCH(ROWS($V$2:V111),$V$2:$V$1001,0),0), INDEX($AC$1004:$AS$1004,1,MATCH(COLUMNS($AC$1006:AJ1006),$AC$1006:$AS$1006,0)))),"Fix")))</f>
        <v>0</v>
      </c>
      <c r="J111" s="5">
        <f>IF(OR(INDEX($W$2:$W$1001,MATCH(ROWS($V$2:V111),$V$2:$V$1001,0),1)&gt;=100000,INDEX($AC$1005:$AS$1005,1,MATCH(COLUMNS($AC$1006:AK1006),$AC$1006:$AS$1006,0))&gt;=100000), " ",IF(INDEX($AC$2:$AS$1001,MATCH(ROWS($V$2:V111),$V$2:$V$1001,0),MATCH(COLUMNS($AC$1006:AK1006),$AC$1006:$AS$1006,0)), HYPERLINK("#",""), HYPERLINK(CONCATENATE("#Metadata!", ADDRESS(INDEX($X$2:$X$1001,MATCH(ROWS($V$2:V111),$V$2:$V$1001,0),0), INDEX($AC$1004:$AS$1004,1,MATCH(COLUMNS($AC$1006:AK1006),$AC$1006:$AS$1006,0)))),"Fix")))</f>
        <v>0</v>
      </c>
      <c r="K111" s="5">
        <f>IF(OR(INDEX($W$2:$W$1001,MATCH(ROWS($V$2:V111),$V$2:$V$1001,0),1)&gt;=100000,INDEX($AC$1005:$AS$1005,1,MATCH(COLUMNS($AC$1006:AL1006),$AC$1006:$AS$1006,0))&gt;=100000), " ",IF(INDEX($AC$2:$AS$1001,MATCH(ROWS($V$2:V111),$V$2:$V$1001,0),MATCH(COLUMNS($AC$1006:AL1006),$AC$1006:$AS$1006,0)), HYPERLINK("#",""), HYPERLINK(CONCATENATE("#Metadata!", ADDRESS(INDEX($X$2:$X$1001,MATCH(ROWS($V$2:V111),$V$2:$V$1001,0),0), INDEX($AC$1004:$AS$1004,1,MATCH(COLUMNS($AC$1006:AL1006),$AC$1006:$AS$1006,0)))),"Fix")))</f>
        <v>0</v>
      </c>
      <c r="L111" s="5">
        <f>IF(OR(INDEX($W$2:$W$1001,MATCH(ROWS($V$2:V111),$V$2:$V$1001,0),1)&gt;=100000,INDEX($AC$1005:$AS$1005,1,MATCH(COLUMNS($AC$1006:AM1006),$AC$1006:$AS$1006,0))&gt;=100000), " ",IF(INDEX($AC$2:$AS$1001,MATCH(ROWS($V$2:V111),$V$2:$V$1001,0),MATCH(COLUMNS($AC$1006:AM1006),$AC$1006:$AS$1006,0)), HYPERLINK("#",""), HYPERLINK(CONCATENATE("#Metadata!", ADDRESS(INDEX($X$2:$X$1001,MATCH(ROWS($V$2:V111),$V$2:$V$1001,0),0), INDEX($AC$1004:$AS$1004,1,MATCH(COLUMNS($AC$1006:AM1006),$AC$1006:$AS$1006,0)))),"Fix")))</f>
        <v>0</v>
      </c>
      <c r="M111" s="5">
        <f>IF(OR(INDEX($W$2:$W$1001,MATCH(ROWS($V$2:V111),$V$2:$V$1001,0),1)&gt;=100000,INDEX($AC$1005:$AS$1005,1,MATCH(COLUMNS($AC$1006:AN1006),$AC$1006:$AS$1006,0))&gt;=100000), " ",IF(INDEX($AC$2:$AS$1001,MATCH(ROWS($V$2:V111),$V$2:$V$1001,0),MATCH(COLUMNS($AC$1006:AN1006),$AC$1006:$AS$1006,0)), HYPERLINK("#",""), HYPERLINK(CONCATENATE("#Metadata!", ADDRESS(INDEX($X$2:$X$1001,MATCH(ROWS($V$2:V111),$V$2:$V$1001,0),0), INDEX($AC$1004:$AS$1004,1,MATCH(COLUMNS($AC$1006:AN1006),$AC$1006:$AS$1006,0)))),"Fix")))</f>
        <v>0</v>
      </c>
      <c r="N111" s="5">
        <f>IF(OR(INDEX($W$2:$W$1001,MATCH(ROWS($V$2:V111),$V$2:$V$1001,0),1)&gt;=100000,INDEX($AC$1005:$AS$1005,1,MATCH(COLUMNS($AC$1006:AO1006),$AC$1006:$AS$1006,0))&gt;=100000), " ",IF(INDEX($AC$2:$AS$1001,MATCH(ROWS($V$2:V111),$V$2:$V$1001,0),MATCH(COLUMNS($AC$1006:AO1006),$AC$1006:$AS$1006,0)), HYPERLINK("#",""), HYPERLINK(CONCATENATE("#Metadata!", ADDRESS(INDEX($X$2:$X$1001,MATCH(ROWS($V$2:V111),$V$2:$V$1001,0),0), INDEX($AC$1004:$AS$1004,1,MATCH(COLUMNS($AC$1006:AO1006),$AC$1006:$AS$1006,0)))),"Fix")))</f>
        <v>0</v>
      </c>
      <c r="O111" s="5">
        <f>IF(OR(INDEX($W$2:$W$1001,MATCH(ROWS($V$2:V111),$V$2:$V$1001,0),1)&gt;=100000,INDEX($AC$1005:$AS$1005,1,MATCH(COLUMNS($AC$1006:AP1006),$AC$1006:$AS$1006,0))&gt;=100000), " ",IF(INDEX($AC$2:$AS$1001,MATCH(ROWS($V$2:V111),$V$2:$V$1001,0),MATCH(COLUMNS($AC$1006:AP1006),$AC$1006:$AS$1006,0)), HYPERLINK("#",""), HYPERLINK(CONCATENATE("#Metadata!", ADDRESS(INDEX($X$2:$X$1001,MATCH(ROWS($V$2:V111),$V$2:$V$1001,0),0), INDEX($AC$1004:$AS$1004,1,MATCH(COLUMNS($AC$1006:AP1006),$AC$1006:$AS$1006,0)))),"Fix")))</f>
        <v>0</v>
      </c>
      <c r="P111" s="5">
        <f>IF(OR(INDEX($W$2:$W$1001,MATCH(ROWS($V$2:V111),$V$2:$V$1001,0),1)&gt;=100000,INDEX($AC$1005:$AS$1005,1,MATCH(COLUMNS($AC$1006:AQ1006),$AC$1006:$AS$1006,0))&gt;=100000), " ",IF(INDEX($AC$2:$AS$1001,MATCH(ROWS($V$2:V111),$V$2:$V$1001,0),MATCH(COLUMNS($AC$1006:AQ1006),$AC$1006:$AS$1006,0)), HYPERLINK("#",""), HYPERLINK(CONCATENATE("#Metadata!", ADDRESS(INDEX($X$2:$X$1001,MATCH(ROWS($V$2:V111),$V$2:$V$1001,0),0), INDEX($AC$1004:$AS$1004,1,MATCH(COLUMNS($AC$1006:AQ1006),$AC$1006:$AS$1006,0)))),"Fix")))</f>
        <v>0</v>
      </c>
      <c r="Q111" s="5">
        <f>IF(OR(INDEX($W$2:$W$1001,MATCH(ROWS($V$2:V111),$V$2:$V$1001,0),1)&gt;=100000,INDEX($AC$1005:$AS$1005,1,MATCH(COLUMNS($AC$1006:AR1006),$AC$1006:$AS$1006,0))&gt;=100000), " ",IF(INDEX($AC$2:$AS$1001,MATCH(ROWS($V$2:V111),$V$2:$V$1001,0),MATCH(COLUMNS($AC$1006:AR1006),$AC$1006:$AS$1006,0)), HYPERLINK("#",""), HYPERLINK(CONCATENATE("#Metadata!", ADDRESS(INDEX($X$2:$X$1001,MATCH(ROWS($V$2:V111),$V$2:$V$1001,0),0), INDEX($AC$1004:$AS$1004,1,MATCH(COLUMNS($AC$1006:AR1006),$AC$1006:$AS$1006,0)))),"Fix")))</f>
        <v>0</v>
      </c>
      <c r="R111" s="5">
        <f>IF(OR(INDEX($W$2:$W$1001,MATCH(ROWS($V$2:V111),$V$2:$V$1001,0),1)&gt;=100000,INDEX($AC$1005:$AS$1005,1,MATCH(COLUMNS($AC$1006:AS1006),$AC$1006:$AS$1006,0))&gt;=100000), " ",IF(INDEX($AC$2:$AS$1001,MATCH(ROWS($V$2:V111),$V$2:$V$1001,0),MATCH(COLUMNS($AC$1006:AS1006),$AC$1006:$AS$1006,0)), HYPERLINK("#",""), HYPERLINK(CONCATENATE("#Metadata!", ADDRESS(INDEX($X$2:$X$1001,MATCH(ROWS($V$2:V111),$V$2:$V$1001,0),0), INDEX($AC$1004:$AS$1004,1,MATCH(COLUMNS($AC$1006:AS1006),$AC$1006:$AS$1006,0)))),"Fix")))</f>
        <v>0</v>
      </c>
      <c r="V111">
        <v>0</v>
      </c>
      <c r="W111">
        <v>0</v>
      </c>
      <c r="X111">
        <v>0</v>
      </c>
      <c r="Y111">
        <f>IF(Z111,TRUE,AND(AC111:AS111))</f>
        <v>0</v>
      </c>
      <c r="Z111">
        <f>COUNTBLANK(Metadata!B111:R111)=COLUMNS(Metadata!B111:R111)</f>
        <v>0</v>
      </c>
      <c r="AA111">
        <v>0</v>
      </c>
      <c r="AC111">
        <f>AND(IF(Metadata!B111="",FALSE,TRUE),COUNTIF(Metadata!B:B, Metadata!B111) = 1,NOT(ISERROR(SUMPRODUCT(SEARCH(MID(Metadata!B111,ROW(INDIRECT("1:"&amp;LEN(Metadata!B111))), 1),"0123456789abcdefghijklmnopqrstuvwxyzABCDEFGHIJKLMNOPQRSTUVWXYZ.")))))</f>
        <v>0</v>
      </c>
      <c r="AD111">
        <f>AND(IF(Metadata!C111="",FALSE,TRUE),exact(Metadata!C111,"Host-associated"))</f>
        <v>0</v>
      </c>
      <c r="AE111">
        <f>AND(IF(Metadata!D111="",FALSE,TRUE),OR(exact(Metadata!D111,"Animal"),exact(Metadata!D111,"Fungus"),exact(Metadata!D111,"Plant")))</f>
        <v>0</v>
      </c>
      <c r="AF111">
        <f>AND(IF(Metadata!E111="",FALSE,TRUE),OR(exact(Metadata!E111,"Plant secretion"),exact(Metadata!E111,"Plant rhizosphere"),exact(Metadata!E111,"Plant surface"),exact(Metadata!E111,"Plant corpus"),exact(Metadata!E111,"Fungus surface"),exact(Metadata!E111,"Fungus corpus"),exact(Metadata!E111,"Animal surface"),exact(Metadata!E111,"Animal proximal gut"),exact(Metadata!E111,"Animal corpus"),exact(Metadata!E111,"Animal distal gut"),exact(Metadata!E111,"Animal secretion")))</f>
        <v>0</v>
      </c>
      <c r="AG111">
        <f>OR(AND(IF(Metadata!F111="",FALSE,TRUE),OR(exact(Metadata!F111,"not collected"),exact(Metadata!F111,"not provided"),exact(Metadata!F111,"restricted access"))),AND(IF(Metadata!F111="",FALSE,TRUE),OR(exact(Metadata!F111,"organism-associated habitat"),exact(Metadata!F111,"plant-associated habitat"),exact(Metadata!F111,"animal-associated habitat"),exact(Metadata!F111,"insecta-associated habitat"),exact(Metadata!F111,"mammalia-associated habitat"),exact(Metadata!F111,"human-associated habitat"),exact(Metadata!F111,"livestock-associated habitat"))))</f>
        <v>0</v>
      </c>
      <c r="AH111">
        <f>AND(IF(Metadata!G111="",FALSE,TRUE),exact(Metadata!G111,"host-associated"))</f>
        <v>0</v>
      </c>
      <c r="AI111">
        <f>OR(AND(IF(Metadata!H111="",FALSE,TRUE),OR(exact(Metadata!H111,"not collected"),exact(Metadata!H111,"not provided"))),AND(IF(Metadata!H111="",FALSE,ISNUMBER(VALUE(Metadata!H111))),Metadata!H111&gt;0))</f>
        <v>0</v>
      </c>
      <c r="AJ111">
        <f>AND(IF(Metadata!I111="",FALSE,TRUE),exact(Metadata!I111,"years"))</f>
        <v>0</v>
      </c>
      <c r="AK111">
        <f>IF(Metadata!J111="",FALSE,TRUE)</f>
        <v>0</v>
      </c>
      <c r="AL111">
        <f>OR(AND(IF(Metadata!K111="",FALSE,TRUE),OR(exact(Metadata!K111,"not collected"),exact(Metadata!K111,"not provided"))),AND(IF(Metadata!K111="",FALSE,ISNUMBER(VALUE(Metadata!K111))),Metadata!K111&gt;0))</f>
        <v>0</v>
      </c>
      <c r="AM111">
        <f>AND(IF(Metadata!L111="",FALSE,TRUE),exact(Metadata!L111,"cm"))</f>
        <v>0</v>
      </c>
      <c r="AN111">
        <f>IF(Metadata!M111="",FALSE,TRUE)</f>
        <v>0</v>
      </c>
      <c r="AO111">
        <f>OR(AND(IF(Metadata!N111="",FALSE,TRUE),OR(exact(Metadata!N111,"not applicable"),exact(Metadata!N111,"not collected"),exact(Metadata!N111,"not provided"))),AND(IF(Metadata!N111="",FALSE,IF(ISERROR(INT(Metadata!N111)),FALSE,INT(Metadata!N111)=Metadata!N111)),Metadata!N111&gt;0))</f>
        <v>0</v>
      </c>
      <c r="AP111">
        <f>OR(AND(IF(Metadata!O111="",FALSE,TRUE),OR(exact(Metadata!O111,"not collected"),exact(Metadata!O111,"not provided"))),AND(IF(Metadata!O111="",FALSE,ISNUMBER(VALUE(Metadata!O111))),Metadata!O111&gt;0))</f>
        <v>0</v>
      </c>
      <c r="AQ111">
        <f>AND(IF(Metadata!P111="",FALSE,TRUE),exact(Metadata!P111,"kg"))</f>
        <v>0</v>
      </c>
      <c r="AR111">
        <f>OR(AND(IF(Metadata!Q111="",FALSE,TRUE),OR(exact(Metadata!Q111,"not applicable"),exact(Metadata!Q111,"not collected"),exact(Metadata!Q111,"not provided"),exact(Metadata!Q111,"restricted access"))),IF(Metadata!Q111="",FALSE,IF(ISERROR(INT(Metadata!Q111)),FALSE,INT(Metadata!Q111)=Metadata!Q111)))</f>
        <v>0</v>
      </c>
      <c r="AS111">
        <f>AND(IF(Metadata!R111="",FALSE,TRUE),exact(Metadata!R111,"Not applicable"))</f>
        <v>0</v>
      </c>
    </row>
    <row r="112" spans="1:45">
      <c r="A112" s="4">
        <f>IF(B112=" "," ",HYPERLINK(CONCATENATE("#metadata!",ADDRESS(INDEX($X$2:$X$1001,MATCH(ROWS($V$2:V112),$V$2:$V$1001,0),0),2)),INDEX($AA$2:$AA$1001,MATCH(ROWS($V$2:V112),$V$2:$V$1001,0),0)))</f>
        <v>0</v>
      </c>
      <c r="B112" s="5">
        <f>IF(OR(INDEX($W$2:$W$1001,MATCH(ROWS($V$2:V112),$V$2:$V$1001,0),1)&gt;=100000,INDEX($AC$1005:$AS$1005,1,MATCH(COLUMNS($AC$1006:AC1006),$AC$1006:$AS$1006,0))&gt;=100000), " ",IF(INDEX($AC$2:$AS$1001,MATCH(ROWS($V$2:V112),$V$2:$V$1001,0),MATCH(COLUMNS($AC$1006:AC1006),$AC$1006:$AS$1006,0)), HYPERLINK("#",""), HYPERLINK(CONCATENATE("#Metadata!", ADDRESS(INDEX($X$2:$X$1001,MATCH(ROWS($V$2:V112),$V$2:$V$1001,0),0), INDEX($AC$1004:$AS$1004,1,MATCH(COLUMNS($AC$1006:AC1006),$AC$1006:$AS$1006,0)))),"Fix")))</f>
        <v>0</v>
      </c>
      <c r="C112" s="5">
        <f>IF(OR(INDEX($W$2:$W$1001,MATCH(ROWS($V$2:V112),$V$2:$V$1001,0),1)&gt;=100000,INDEX($AC$1005:$AS$1005,1,MATCH(COLUMNS($AC$1006:AD1006),$AC$1006:$AS$1006,0))&gt;=100000), " ",IF(INDEX($AC$2:$AS$1001,MATCH(ROWS($V$2:V112),$V$2:$V$1001,0),MATCH(COLUMNS($AC$1006:AD1006),$AC$1006:$AS$1006,0)), HYPERLINK("#",""), HYPERLINK(CONCATENATE("#Metadata!", ADDRESS(INDEX($X$2:$X$1001,MATCH(ROWS($V$2:V112),$V$2:$V$1001,0),0), INDEX($AC$1004:$AS$1004,1,MATCH(COLUMNS($AC$1006:AD1006),$AC$1006:$AS$1006,0)))),"Fix")))</f>
        <v>0</v>
      </c>
      <c r="D112" s="5">
        <f>IF(OR(INDEX($W$2:$W$1001,MATCH(ROWS($V$2:V112),$V$2:$V$1001,0),1)&gt;=100000,INDEX($AC$1005:$AS$1005,1,MATCH(COLUMNS($AC$1006:AE1006),$AC$1006:$AS$1006,0))&gt;=100000), " ",IF(INDEX($AC$2:$AS$1001,MATCH(ROWS($V$2:V112),$V$2:$V$1001,0),MATCH(COLUMNS($AC$1006:AE1006),$AC$1006:$AS$1006,0)), HYPERLINK("#",""), HYPERLINK(CONCATENATE("#Metadata!", ADDRESS(INDEX($X$2:$X$1001,MATCH(ROWS($V$2:V112),$V$2:$V$1001,0),0), INDEX($AC$1004:$AS$1004,1,MATCH(COLUMNS($AC$1006:AE1006),$AC$1006:$AS$1006,0)))),"Fix")))</f>
        <v>0</v>
      </c>
      <c r="E112" s="5">
        <f>IF(OR(INDEX($W$2:$W$1001,MATCH(ROWS($V$2:V112),$V$2:$V$1001,0),1)&gt;=100000,INDEX($AC$1005:$AS$1005,1,MATCH(COLUMNS($AC$1006:AF1006),$AC$1006:$AS$1006,0))&gt;=100000), " ",IF(INDEX($AC$2:$AS$1001,MATCH(ROWS($V$2:V112),$V$2:$V$1001,0),MATCH(COLUMNS($AC$1006:AF1006),$AC$1006:$AS$1006,0)), HYPERLINK("#",""), HYPERLINK(CONCATENATE("#Metadata!", ADDRESS(INDEX($X$2:$X$1001,MATCH(ROWS($V$2:V112),$V$2:$V$1001,0),0), INDEX($AC$1004:$AS$1004,1,MATCH(COLUMNS($AC$1006:AF1006),$AC$1006:$AS$1006,0)))),"Fix")))</f>
        <v>0</v>
      </c>
      <c r="F112" s="5">
        <f>IF(OR(INDEX($W$2:$W$1001,MATCH(ROWS($V$2:V112),$V$2:$V$1001,0),1)&gt;=100000,INDEX($AC$1005:$AS$1005,1,MATCH(COLUMNS($AC$1006:AG1006),$AC$1006:$AS$1006,0))&gt;=100000), " ",IF(INDEX($AC$2:$AS$1001,MATCH(ROWS($V$2:V112),$V$2:$V$1001,0),MATCH(COLUMNS($AC$1006:AG1006),$AC$1006:$AS$1006,0)), HYPERLINK("#",""), HYPERLINK(CONCATENATE("#Metadata!", ADDRESS(INDEX($X$2:$X$1001,MATCH(ROWS($V$2:V112),$V$2:$V$1001,0),0), INDEX($AC$1004:$AS$1004,1,MATCH(COLUMNS($AC$1006:AG1006),$AC$1006:$AS$1006,0)))),"Fix")))</f>
        <v>0</v>
      </c>
      <c r="G112" s="5">
        <f>IF(OR(INDEX($W$2:$W$1001,MATCH(ROWS($V$2:V112),$V$2:$V$1001,0),1)&gt;=100000,INDEX($AC$1005:$AS$1005,1,MATCH(COLUMNS($AC$1006:AH1006),$AC$1006:$AS$1006,0))&gt;=100000), " ",IF(INDEX($AC$2:$AS$1001,MATCH(ROWS($V$2:V112),$V$2:$V$1001,0),MATCH(COLUMNS($AC$1006:AH1006),$AC$1006:$AS$1006,0)), HYPERLINK("#",""), HYPERLINK(CONCATENATE("#Metadata!", ADDRESS(INDEX($X$2:$X$1001,MATCH(ROWS($V$2:V112),$V$2:$V$1001,0),0), INDEX($AC$1004:$AS$1004,1,MATCH(COLUMNS($AC$1006:AH1006),$AC$1006:$AS$1006,0)))),"Fix")))</f>
        <v>0</v>
      </c>
      <c r="H112" s="5">
        <f>IF(OR(INDEX($W$2:$W$1001,MATCH(ROWS($V$2:V112),$V$2:$V$1001,0),1)&gt;=100000,INDEX($AC$1005:$AS$1005,1,MATCH(COLUMNS($AC$1006:AI1006),$AC$1006:$AS$1006,0))&gt;=100000), " ",IF(INDEX($AC$2:$AS$1001,MATCH(ROWS($V$2:V112),$V$2:$V$1001,0),MATCH(COLUMNS($AC$1006:AI1006),$AC$1006:$AS$1006,0)), HYPERLINK("#",""), HYPERLINK(CONCATENATE("#Metadata!", ADDRESS(INDEX($X$2:$X$1001,MATCH(ROWS($V$2:V112),$V$2:$V$1001,0),0), INDEX($AC$1004:$AS$1004,1,MATCH(COLUMNS($AC$1006:AI1006),$AC$1006:$AS$1006,0)))),"Fix")))</f>
        <v>0</v>
      </c>
      <c r="I112" s="5">
        <f>IF(OR(INDEX($W$2:$W$1001,MATCH(ROWS($V$2:V112),$V$2:$V$1001,0),1)&gt;=100000,INDEX($AC$1005:$AS$1005,1,MATCH(COLUMNS($AC$1006:AJ1006),$AC$1006:$AS$1006,0))&gt;=100000), " ",IF(INDEX($AC$2:$AS$1001,MATCH(ROWS($V$2:V112),$V$2:$V$1001,0),MATCH(COLUMNS($AC$1006:AJ1006),$AC$1006:$AS$1006,0)), HYPERLINK("#",""), HYPERLINK(CONCATENATE("#Metadata!", ADDRESS(INDEX($X$2:$X$1001,MATCH(ROWS($V$2:V112),$V$2:$V$1001,0),0), INDEX($AC$1004:$AS$1004,1,MATCH(COLUMNS($AC$1006:AJ1006),$AC$1006:$AS$1006,0)))),"Fix")))</f>
        <v>0</v>
      </c>
      <c r="J112" s="5">
        <f>IF(OR(INDEX($W$2:$W$1001,MATCH(ROWS($V$2:V112),$V$2:$V$1001,0),1)&gt;=100000,INDEX($AC$1005:$AS$1005,1,MATCH(COLUMNS($AC$1006:AK1006),$AC$1006:$AS$1006,0))&gt;=100000), " ",IF(INDEX($AC$2:$AS$1001,MATCH(ROWS($V$2:V112),$V$2:$V$1001,0),MATCH(COLUMNS($AC$1006:AK1006),$AC$1006:$AS$1006,0)), HYPERLINK("#",""), HYPERLINK(CONCATENATE("#Metadata!", ADDRESS(INDEX($X$2:$X$1001,MATCH(ROWS($V$2:V112),$V$2:$V$1001,0),0), INDEX($AC$1004:$AS$1004,1,MATCH(COLUMNS($AC$1006:AK1006),$AC$1006:$AS$1006,0)))),"Fix")))</f>
        <v>0</v>
      </c>
      <c r="K112" s="5">
        <f>IF(OR(INDEX($W$2:$W$1001,MATCH(ROWS($V$2:V112),$V$2:$V$1001,0),1)&gt;=100000,INDEX($AC$1005:$AS$1005,1,MATCH(COLUMNS($AC$1006:AL1006),$AC$1006:$AS$1006,0))&gt;=100000), " ",IF(INDEX($AC$2:$AS$1001,MATCH(ROWS($V$2:V112),$V$2:$V$1001,0),MATCH(COLUMNS($AC$1006:AL1006),$AC$1006:$AS$1006,0)), HYPERLINK("#",""), HYPERLINK(CONCATENATE("#Metadata!", ADDRESS(INDEX($X$2:$X$1001,MATCH(ROWS($V$2:V112),$V$2:$V$1001,0),0), INDEX($AC$1004:$AS$1004,1,MATCH(COLUMNS($AC$1006:AL1006),$AC$1006:$AS$1006,0)))),"Fix")))</f>
        <v>0</v>
      </c>
      <c r="L112" s="5">
        <f>IF(OR(INDEX($W$2:$W$1001,MATCH(ROWS($V$2:V112),$V$2:$V$1001,0),1)&gt;=100000,INDEX($AC$1005:$AS$1005,1,MATCH(COLUMNS($AC$1006:AM1006),$AC$1006:$AS$1006,0))&gt;=100000), " ",IF(INDEX($AC$2:$AS$1001,MATCH(ROWS($V$2:V112),$V$2:$V$1001,0),MATCH(COLUMNS($AC$1006:AM1006),$AC$1006:$AS$1006,0)), HYPERLINK("#",""), HYPERLINK(CONCATENATE("#Metadata!", ADDRESS(INDEX($X$2:$X$1001,MATCH(ROWS($V$2:V112),$V$2:$V$1001,0),0), INDEX($AC$1004:$AS$1004,1,MATCH(COLUMNS($AC$1006:AM1006),$AC$1006:$AS$1006,0)))),"Fix")))</f>
        <v>0</v>
      </c>
      <c r="M112" s="5">
        <f>IF(OR(INDEX($W$2:$W$1001,MATCH(ROWS($V$2:V112),$V$2:$V$1001,0),1)&gt;=100000,INDEX($AC$1005:$AS$1005,1,MATCH(COLUMNS($AC$1006:AN1006),$AC$1006:$AS$1006,0))&gt;=100000), " ",IF(INDEX($AC$2:$AS$1001,MATCH(ROWS($V$2:V112),$V$2:$V$1001,0),MATCH(COLUMNS($AC$1006:AN1006),$AC$1006:$AS$1006,0)), HYPERLINK("#",""), HYPERLINK(CONCATENATE("#Metadata!", ADDRESS(INDEX($X$2:$X$1001,MATCH(ROWS($V$2:V112),$V$2:$V$1001,0),0), INDEX($AC$1004:$AS$1004,1,MATCH(COLUMNS($AC$1006:AN1006),$AC$1006:$AS$1006,0)))),"Fix")))</f>
        <v>0</v>
      </c>
      <c r="N112" s="5">
        <f>IF(OR(INDEX($W$2:$W$1001,MATCH(ROWS($V$2:V112),$V$2:$V$1001,0),1)&gt;=100000,INDEX($AC$1005:$AS$1005,1,MATCH(COLUMNS($AC$1006:AO1006),$AC$1006:$AS$1006,0))&gt;=100000), " ",IF(INDEX($AC$2:$AS$1001,MATCH(ROWS($V$2:V112),$V$2:$V$1001,0),MATCH(COLUMNS($AC$1006:AO1006),$AC$1006:$AS$1006,0)), HYPERLINK("#",""), HYPERLINK(CONCATENATE("#Metadata!", ADDRESS(INDEX($X$2:$X$1001,MATCH(ROWS($V$2:V112),$V$2:$V$1001,0),0), INDEX($AC$1004:$AS$1004,1,MATCH(COLUMNS($AC$1006:AO1006),$AC$1006:$AS$1006,0)))),"Fix")))</f>
        <v>0</v>
      </c>
      <c r="O112" s="5">
        <f>IF(OR(INDEX($W$2:$W$1001,MATCH(ROWS($V$2:V112),$V$2:$V$1001,0),1)&gt;=100000,INDEX($AC$1005:$AS$1005,1,MATCH(COLUMNS($AC$1006:AP1006),$AC$1006:$AS$1006,0))&gt;=100000), " ",IF(INDEX($AC$2:$AS$1001,MATCH(ROWS($V$2:V112),$V$2:$V$1001,0),MATCH(COLUMNS($AC$1006:AP1006),$AC$1006:$AS$1006,0)), HYPERLINK("#",""), HYPERLINK(CONCATENATE("#Metadata!", ADDRESS(INDEX($X$2:$X$1001,MATCH(ROWS($V$2:V112),$V$2:$V$1001,0),0), INDEX($AC$1004:$AS$1004,1,MATCH(COLUMNS($AC$1006:AP1006),$AC$1006:$AS$1006,0)))),"Fix")))</f>
        <v>0</v>
      </c>
      <c r="P112" s="5">
        <f>IF(OR(INDEX($W$2:$W$1001,MATCH(ROWS($V$2:V112),$V$2:$V$1001,0),1)&gt;=100000,INDEX($AC$1005:$AS$1005,1,MATCH(COLUMNS($AC$1006:AQ1006),$AC$1006:$AS$1006,0))&gt;=100000), " ",IF(INDEX($AC$2:$AS$1001,MATCH(ROWS($V$2:V112),$V$2:$V$1001,0),MATCH(COLUMNS($AC$1006:AQ1006),$AC$1006:$AS$1006,0)), HYPERLINK("#",""), HYPERLINK(CONCATENATE("#Metadata!", ADDRESS(INDEX($X$2:$X$1001,MATCH(ROWS($V$2:V112),$V$2:$V$1001,0),0), INDEX($AC$1004:$AS$1004,1,MATCH(COLUMNS($AC$1006:AQ1006),$AC$1006:$AS$1006,0)))),"Fix")))</f>
        <v>0</v>
      </c>
      <c r="Q112" s="5">
        <f>IF(OR(INDEX($W$2:$W$1001,MATCH(ROWS($V$2:V112),$V$2:$V$1001,0),1)&gt;=100000,INDEX($AC$1005:$AS$1005,1,MATCH(COLUMNS($AC$1006:AR1006),$AC$1006:$AS$1006,0))&gt;=100000), " ",IF(INDEX($AC$2:$AS$1001,MATCH(ROWS($V$2:V112),$V$2:$V$1001,0),MATCH(COLUMNS($AC$1006:AR1006),$AC$1006:$AS$1006,0)), HYPERLINK("#",""), HYPERLINK(CONCATENATE("#Metadata!", ADDRESS(INDEX($X$2:$X$1001,MATCH(ROWS($V$2:V112),$V$2:$V$1001,0),0), INDEX($AC$1004:$AS$1004,1,MATCH(COLUMNS($AC$1006:AR1006),$AC$1006:$AS$1006,0)))),"Fix")))</f>
        <v>0</v>
      </c>
      <c r="R112" s="5">
        <f>IF(OR(INDEX($W$2:$W$1001,MATCH(ROWS($V$2:V112),$V$2:$V$1001,0),1)&gt;=100000,INDEX($AC$1005:$AS$1005,1,MATCH(COLUMNS($AC$1006:AS1006),$AC$1006:$AS$1006,0))&gt;=100000), " ",IF(INDEX($AC$2:$AS$1001,MATCH(ROWS($V$2:V112),$V$2:$V$1001,0),MATCH(COLUMNS($AC$1006:AS1006),$AC$1006:$AS$1006,0)), HYPERLINK("#",""), HYPERLINK(CONCATENATE("#Metadata!", ADDRESS(INDEX($X$2:$X$1001,MATCH(ROWS($V$2:V112),$V$2:$V$1001,0),0), INDEX($AC$1004:$AS$1004,1,MATCH(COLUMNS($AC$1006:AS1006),$AC$1006:$AS$1006,0)))),"Fix")))</f>
        <v>0</v>
      </c>
      <c r="V112">
        <v>0</v>
      </c>
      <c r="W112">
        <v>0</v>
      </c>
      <c r="X112">
        <v>0</v>
      </c>
      <c r="Y112">
        <f>IF(Z112,TRUE,AND(AC112:AS112))</f>
        <v>0</v>
      </c>
      <c r="Z112">
        <f>COUNTBLANK(Metadata!B112:R112)=COLUMNS(Metadata!B112:R112)</f>
        <v>0</v>
      </c>
      <c r="AA112">
        <v>0</v>
      </c>
      <c r="AC112">
        <f>AND(IF(Metadata!B112="",FALSE,TRUE),COUNTIF(Metadata!B:B, Metadata!B112) = 1,NOT(ISERROR(SUMPRODUCT(SEARCH(MID(Metadata!B112,ROW(INDIRECT("1:"&amp;LEN(Metadata!B112))), 1),"0123456789abcdefghijklmnopqrstuvwxyzABCDEFGHIJKLMNOPQRSTUVWXYZ.")))))</f>
        <v>0</v>
      </c>
      <c r="AD112">
        <f>AND(IF(Metadata!C112="",FALSE,TRUE),exact(Metadata!C112,"Host-associated"))</f>
        <v>0</v>
      </c>
      <c r="AE112">
        <f>AND(IF(Metadata!D112="",FALSE,TRUE),OR(exact(Metadata!D112,"Animal"),exact(Metadata!D112,"Fungus"),exact(Metadata!D112,"Plant")))</f>
        <v>0</v>
      </c>
      <c r="AF112">
        <f>AND(IF(Metadata!E112="",FALSE,TRUE),OR(exact(Metadata!E112,"Plant secretion"),exact(Metadata!E112,"Plant rhizosphere"),exact(Metadata!E112,"Plant surface"),exact(Metadata!E112,"Plant corpus"),exact(Metadata!E112,"Fungus surface"),exact(Metadata!E112,"Fungus corpus"),exact(Metadata!E112,"Animal surface"),exact(Metadata!E112,"Animal proximal gut"),exact(Metadata!E112,"Animal corpus"),exact(Metadata!E112,"Animal distal gut"),exact(Metadata!E112,"Animal secretion")))</f>
        <v>0</v>
      </c>
      <c r="AG112">
        <f>OR(AND(IF(Metadata!F112="",FALSE,TRUE),OR(exact(Metadata!F112,"not collected"),exact(Metadata!F112,"not provided"),exact(Metadata!F112,"restricted access"))),AND(IF(Metadata!F112="",FALSE,TRUE),OR(exact(Metadata!F112,"organism-associated habitat"),exact(Metadata!F112,"plant-associated habitat"),exact(Metadata!F112,"animal-associated habitat"),exact(Metadata!F112,"insecta-associated habitat"),exact(Metadata!F112,"mammalia-associated habitat"),exact(Metadata!F112,"human-associated habitat"),exact(Metadata!F112,"livestock-associated habitat"))))</f>
        <v>0</v>
      </c>
      <c r="AH112">
        <f>AND(IF(Metadata!G112="",FALSE,TRUE),exact(Metadata!G112,"host-associated"))</f>
        <v>0</v>
      </c>
      <c r="AI112">
        <f>OR(AND(IF(Metadata!H112="",FALSE,TRUE),OR(exact(Metadata!H112,"not collected"),exact(Metadata!H112,"not provided"))),AND(IF(Metadata!H112="",FALSE,ISNUMBER(VALUE(Metadata!H112))),Metadata!H112&gt;0))</f>
        <v>0</v>
      </c>
      <c r="AJ112">
        <f>AND(IF(Metadata!I112="",FALSE,TRUE),exact(Metadata!I112,"years"))</f>
        <v>0</v>
      </c>
      <c r="AK112">
        <f>IF(Metadata!J112="",FALSE,TRUE)</f>
        <v>0</v>
      </c>
      <c r="AL112">
        <f>OR(AND(IF(Metadata!K112="",FALSE,TRUE),OR(exact(Metadata!K112,"not collected"),exact(Metadata!K112,"not provided"))),AND(IF(Metadata!K112="",FALSE,ISNUMBER(VALUE(Metadata!K112))),Metadata!K112&gt;0))</f>
        <v>0</v>
      </c>
      <c r="AM112">
        <f>AND(IF(Metadata!L112="",FALSE,TRUE),exact(Metadata!L112,"cm"))</f>
        <v>0</v>
      </c>
      <c r="AN112">
        <f>IF(Metadata!M112="",FALSE,TRUE)</f>
        <v>0</v>
      </c>
      <c r="AO112">
        <f>OR(AND(IF(Metadata!N112="",FALSE,TRUE),OR(exact(Metadata!N112,"not applicable"),exact(Metadata!N112,"not collected"),exact(Metadata!N112,"not provided"))),AND(IF(Metadata!N112="",FALSE,IF(ISERROR(INT(Metadata!N112)),FALSE,INT(Metadata!N112)=Metadata!N112)),Metadata!N112&gt;0))</f>
        <v>0</v>
      </c>
      <c r="AP112">
        <f>OR(AND(IF(Metadata!O112="",FALSE,TRUE),OR(exact(Metadata!O112,"not collected"),exact(Metadata!O112,"not provided"))),AND(IF(Metadata!O112="",FALSE,ISNUMBER(VALUE(Metadata!O112))),Metadata!O112&gt;0))</f>
        <v>0</v>
      </c>
      <c r="AQ112">
        <f>AND(IF(Metadata!P112="",FALSE,TRUE),exact(Metadata!P112,"kg"))</f>
        <v>0</v>
      </c>
      <c r="AR112">
        <f>OR(AND(IF(Metadata!Q112="",FALSE,TRUE),OR(exact(Metadata!Q112,"not applicable"),exact(Metadata!Q112,"not collected"),exact(Metadata!Q112,"not provided"),exact(Metadata!Q112,"restricted access"))),IF(Metadata!Q112="",FALSE,IF(ISERROR(INT(Metadata!Q112)),FALSE,INT(Metadata!Q112)=Metadata!Q112)))</f>
        <v>0</v>
      </c>
      <c r="AS112">
        <f>AND(IF(Metadata!R112="",FALSE,TRUE),exact(Metadata!R112,"Not applicable"))</f>
        <v>0</v>
      </c>
    </row>
    <row r="113" spans="1:45">
      <c r="A113" s="4">
        <f>IF(B113=" "," ",HYPERLINK(CONCATENATE("#metadata!",ADDRESS(INDEX($X$2:$X$1001,MATCH(ROWS($V$2:V113),$V$2:$V$1001,0),0),2)),INDEX($AA$2:$AA$1001,MATCH(ROWS($V$2:V113),$V$2:$V$1001,0),0)))</f>
        <v>0</v>
      </c>
      <c r="B113" s="5">
        <f>IF(OR(INDEX($W$2:$W$1001,MATCH(ROWS($V$2:V113),$V$2:$V$1001,0),1)&gt;=100000,INDEX($AC$1005:$AS$1005,1,MATCH(COLUMNS($AC$1006:AC1006),$AC$1006:$AS$1006,0))&gt;=100000), " ",IF(INDEX($AC$2:$AS$1001,MATCH(ROWS($V$2:V113),$V$2:$V$1001,0),MATCH(COLUMNS($AC$1006:AC1006),$AC$1006:$AS$1006,0)), HYPERLINK("#",""), HYPERLINK(CONCATENATE("#Metadata!", ADDRESS(INDEX($X$2:$X$1001,MATCH(ROWS($V$2:V113),$V$2:$V$1001,0),0), INDEX($AC$1004:$AS$1004,1,MATCH(COLUMNS($AC$1006:AC1006),$AC$1006:$AS$1006,0)))),"Fix")))</f>
        <v>0</v>
      </c>
      <c r="C113" s="5">
        <f>IF(OR(INDEX($W$2:$W$1001,MATCH(ROWS($V$2:V113),$V$2:$V$1001,0),1)&gt;=100000,INDEX($AC$1005:$AS$1005,1,MATCH(COLUMNS($AC$1006:AD1006),$AC$1006:$AS$1006,0))&gt;=100000), " ",IF(INDEX($AC$2:$AS$1001,MATCH(ROWS($V$2:V113),$V$2:$V$1001,0),MATCH(COLUMNS($AC$1006:AD1006),$AC$1006:$AS$1006,0)), HYPERLINK("#",""), HYPERLINK(CONCATENATE("#Metadata!", ADDRESS(INDEX($X$2:$X$1001,MATCH(ROWS($V$2:V113),$V$2:$V$1001,0),0), INDEX($AC$1004:$AS$1004,1,MATCH(COLUMNS($AC$1006:AD1006),$AC$1006:$AS$1006,0)))),"Fix")))</f>
        <v>0</v>
      </c>
      <c r="D113" s="5">
        <f>IF(OR(INDEX($W$2:$W$1001,MATCH(ROWS($V$2:V113),$V$2:$V$1001,0),1)&gt;=100000,INDEX($AC$1005:$AS$1005,1,MATCH(COLUMNS($AC$1006:AE1006),$AC$1006:$AS$1006,0))&gt;=100000), " ",IF(INDEX($AC$2:$AS$1001,MATCH(ROWS($V$2:V113),$V$2:$V$1001,0),MATCH(COLUMNS($AC$1006:AE1006),$AC$1006:$AS$1006,0)), HYPERLINK("#",""), HYPERLINK(CONCATENATE("#Metadata!", ADDRESS(INDEX($X$2:$X$1001,MATCH(ROWS($V$2:V113),$V$2:$V$1001,0),0), INDEX($AC$1004:$AS$1004,1,MATCH(COLUMNS($AC$1006:AE1006),$AC$1006:$AS$1006,0)))),"Fix")))</f>
        <v>0</v>
      </c>
      <c r="E113" s="5">
        <f>IF(OR(INDEX($W$2:$W$1001,MATCH(ROWS($V$2:V113),$V$2:$V$1001,0),1)&gt;=100000,INDEX($AC$1005:$AS$1005,1,MATCH(COLUMNS($AC$1006:AF1006),$AC$1006:$AS$1006,0))&gt;=100000), " ",IF(INDEX($AC$2:$AS$1001,MATCH(ROWS($V$2:V113),$V$2:$V$1001,0),MATCH(COLUMNS($AC$1006:AF1006),$AC$1006:$AS$1006,0)), HYPERLINK("#",""), HYPERLINK(CONCATENATE("#Metadata!", ADDRESS(INDEX($X$2:$X$1001,MATCH(ROWS($V$2:V113),$V$2:$V$1001,0),0), INDEX($AC$1004:$AS$1004,1,MATCH(COLUMNS($AC$1006:AF1006),$AC$1006:$AS$1006,0)))),"Fix")))</f>
        <v>0</v>
      </c>
      <c r="F113" s="5">
        <f>IF(OR(INDEX($W$2:$W$1001,MATCH(ROWS($V$2:V113),$V$2:$V$1001,0),1)&gt;=100000,INDEX($AC$1005:$AS$1005,1,MATCH(COLUMNS($AC$1006:AG1006),$AC$1006:$AS$1006,0))&gt;=100000), " ",IF(INDEX($AC$2:$AS$1001,MATCH(ROWS($V$2:V113),$V$2:$V$1001,0),MATCH(COLUMNS($AC$1006:AG1006),$AC$1006:$AS$1006,0)), HYPERLINK("#",""), HYPERLINK(CONCATENATE("#Metadata!", ADDRESS(INDEX($X$2:$X$1001,MATCH(ROWS($V$2:V113),$V$2:$V$1001,0),0), INDEX($AC$1004:$AS$1004,1,MATCH(COLUMNS($AC$1006:AG1006),$AC$1006:$AS$1006,0)))),"Fix")))</f>
        <v>0</v>
      </c>
      <c r="G113" s="5">
        <f>IF(OR(INDEX($W$2:$W$1001,MATCH(ROWS($V$2:V113),$V$2:$V$1001,0),1)&gt;=100000,INDEX($AC$1005:$AS$1005,1,MATCH(COLUMNS($AC$1006:AH1006),$AC$1006:$AS$1006,0))&gt;=100000), " ",IF(INDEX($AC$2:$AS$1001,MATCH(ROWS($V$2:V113),$V$2:$V$1001,0),MATCH(COLUMNS($AC$1006:AH1006),$AC$1006:$AS$1006,0)), HYPERLINK("#",""), HYPERLINK(CONCATENATE("#Metadata!", ADDRESS(INDEX($X$2:$X$1001,MATCH(ROWS($V$2:V113),$V$2:$V$1001,0),0), INDEX($AC$1004:$AS$1004,1,MATCH(COLUMNS($AC$1006:AH1006),$AC$1006:$AS$1006,0)))),"Fix")))</f>
        <v>0</v>
      </c>
      <c r="H113" s="5">
        <f>IF(OR(INDEX($W$2:$W$1001,MATCH(ROWS($V$2:V113),$V$2:$V$1001,0),1)&gt;=100000,INDEX($AC$1005:$AS$1005,1,MATCH(COLUMNS($AC$1006:AI1006),$AC$1006:$AS$1006,0))&gt;=100000), " ",IF(INDEX($AC$2:$AS$1001,MATCH(ROWS($V$2:V113),$V$2:$V$1001,0),MATCH(COLUMNS($AC$1006:AI1006),$AC$1006:$AS$1006,0)), HYPERLINK("#",""), HYPERLINK(CONCATENATE("#Metadata!", ADDRESS(INDEX($X$2:$X$1001,MATCH(ROWS($V$2:V113),$V$2:$V$1001,0),0), INDEX($AC$1004:$AS$1004,1,MATCH(COLUMNS($AC$1006:AI1006),$AC$1006:$AS$1006,0)))),"Fix")))</f>
        <v>0</v>
      </c>
      <c r="I113" s="5">
        <f>IF(OR(INDEX($W$2:$W$1001,MATCH(ROWS($V$2:V113),$V$2:$V$1001,0),1)&gt;=100000,INDEX($AC$1005:$AS$1005,1,MATCH(COLUMNS($AC$1006:AJ1006),$AC$1006:$AS$1006,0))&gt;=100000), " ",IF(INDEX($AC$2:$AS$1001,MATCH(ROWS($V$2:V113),$V$2:$V$1001,0),MATCH(COLUMNS($AC$1006:AJ1006),$AC$1006:$AS$1006,0)), HYPERLINK("#",""), HYPERLINK(CONCATENATE("#Metadata!", ADDRESS(INDEX($X$2:$X$1001,MATCH(ROWS($V$2:V113),$V$2:$V$1001,0),0), INDEX($AC$1004:$AS$1004,1,MATCH(COLUMNS($AC$1006:AJ1006),$AC$1006:$AS$1006,0)))),"Fix")))</f>
        <v>0</v>
      </c>
      <c r="J113" s="5">
        <f>IF(OR(INDEX($W$2:$W$1001,MATCH(ROWS($V$2:V113),$V$2:$V$1001,0),1)&gt;=100000,INDEX($AC$1005:$AS$1005,1,MATCH(COLUMNS($AC$1006:AK1006),$AC$1006:$AS$1006,0))&gt;=100000), " ",IF(INDEX($AC$2:$AS$1001,MATCH(ROWS($V$2:V113),$V$2:$V$1001,0),MATCH(COLUMNS($AC$1006:AK1006),$AC$1006:$AS$1006,0)), HYPERLINK("#",""), HYPERLINK(CONCATENATE("#Metadata!", ADDRESS(INDEX($X$2:$X$1001,MATCH(ROWS($V$2:V113),$V$2:$V$1001,0),0), INDEX($AC$1004:$AS$1004,1,MATCH(COLUMNS($AC$1006:AK1006),$AC$1006:$AS$1006,0)))),"Fix")))</f>
        <v>0</v>
      </c>
      <c r="K113" s="5">
        <f>IF(OR(INDEX($W$2:$W$1001,MATCH(ROWS($V$2:V113),$V$2:$V$1001,0),1)&gt;=100000,INDEX($AC$1005:$AS$1005,1,MATCH(COLUMNS($AC$1006:AL1006),$AC$1006:$AS$1006,0))&gt;=100000), " ",IF(INDEX($AC$2:$AS$1001,MATCH(ROWS($V$2:V113),$V$2:$V$1001,0),MATCH(COLUMNS($AC$1006:AL1006),$AC$1006:$AS$1006,0)), HYPERLINK("#",""), HYPERLINK(CONCATENATE("#Metadata!", ADDRESS(INDEX($X$2:$X$1001,MATCH(ROWS($V$2:V113),$V$2:$V$1001,0),0), INDEX($AC$1004:$AS$1004,1,MATCH(COLUMNS($AC$1006:AL1006),$AC$1006:$AS$1006,0)))),"Fix")))</f>
        <v>0</v>
      </c>
      <c r="L113" s="5">
        <f>IF(OR(INDEX($W$2:$W$1001,MATCH(ROWS($V$2:V113),$V$2:$V$1001,0),1)&gt;=100000,INDEX($AC$1005:$AS$1005,1,MATCH(COLUMNS($AC$1006:AM1006),$AC$1006:$AS$1006,0))&gt;=100000), " ",IF(INDEX($AC$2:$AS$1001,MATCH(ROWS($V$2:V113),$V$2:$V$1001,0),MATCH(COLUMNS($AC$1006:AM1006),$AC$1006:$AS$1006,0)), HYPERLINK("#",""), HYPERLINK(CONCATENATE("#Metadata!", ADDRESS(INDEX($X$2:$X$1001,MATCH(ROWS($V$2:V113),$V$2:$V$1001,0),0), INDEX($AC$1004:$AS$1004,1,MATCH(COLUMNS($AC$1006:AM1006),$AC$1006:$AS$1006,0)))),"Fix")))</f>
        <v>0</v>
      </c>
      <c r="M113" s="5">
        <f>IF(OR(INDEX($W$2:$W$1001,MATCH(ROWS($V$2:V113),$V$2:$V$1001,0),1)&gt;=100000,INDEX($AC$1005:$AS$1005,1,MATCH(COLUMNS($AC$1006:AN1006),$AC$1006:$AS$1006,0))&gt;=100000), " ",IF(INDEX($AC$2:$AS$1001,MATCH(ROWS($V$2:V113),$V$2:$V$1001,0),MATCH(COLUMNS($AC$1006:AN1006),$AC$1006:$AS$1006,0)), HYPERLINK("#",""), HYPERLINK(CONCATENATE("#Metadata!", ADDRESS(INDEX($X$2:$X$1001,MATCH(ROWS($V$2:V113),$V$2:$V$1001,0),0), INDEX($AC$1004:$AS$1004,1,MATCH(COLUMNS($AC$1006:AN1006),$AC$1006:$AS$1006,0)))),"Fix")))</f>
        <v>0</v>
      </c>
      <c r="N113" s="5">
        <f>IF(OR(INDEX($W$2:$W$1001,MATCH(ROWS($V$2:V113),$V$2:$V$1001,0),1)&gt;=100000,INDEX($AC$1005:$AS$1005,1,MATCH(COLUMNS($AC$1006:AO1006),$AC$1006:$AS$1006,0))&gt;=100000), " ",IF(INDEX($AC$2:$AS$1001,MATCH(ROWS($V$2:V113),$V$2:$V$1001,0),MATCH(COLUMNS($AC$1006:AO1006),$AC$1006:$AS$1006,0)), HYPERLINK("#",""), HYPERLINK(CONCATENATE("#Metadata!", ADDRESS(INDEX($X$2:$X$1001,MATCH(ROWS($V$2:V113),$V$2:$V$1001,0),0), INDEX($AC$1004:$AS$1004,1,MATCH(COLUMNS($AC$1006:AO1006),$AC$1006:$AS$1006,0)))),"Fix")))</f>
        <v>0</v>
      </c>
      <c r="O113" s="5">
        <f>IF(OR(INDEX($W$2:$W$1001,MATCH(ROWS($V$2:V113),$V$2:$V$1001,0),1)&gt;=100000,INDEX($AC$1005:$AS$1005,1,MATCH(COLUMNS($AC$1006:AP1006),$AC$1006:$AS$1006,0))&gt;=100000), " ",IF(INDEX($AC$2:$AS$1001,MATCH(ROWS($V$2:V113),$V$2:$V$1001,0),MATCH(COLUMNS($AC$1006:AP1006),$AC$1006:$AS$1006,0)), HYPERLINK("#",""), HYPERLINK(CONCATENATE("#Metadata!", ADDRESS(INDEX($X$2:$X$1001,MATCH(ROWS($V$2:V113),$V$2:$V$1001,0),0), INDEX($AC$1004:$AS$1004,1,MATCH(COLUMNS($AC$1006:AP1006),$AC$1006:$AS$1006,0)))),"Fix")))</f>
        <v>0</v>
      </c>
      <c r="P113" s="5">
        <f>IF(OR(INDEX($W$2:$W$1001,MATCH(ROWS($V$2:V113),$V$2:$V$1001,0),1)&gt;=100000,INDEX($AC$1005:$AS$1005,1,MATCH(COLUMNS($AC$1006:AQ1006),$AC$1006:$AS$1006,0))&gt;=100000), " ",IF(INDEX($AC$2:$AS$1001,MATCH(ROWS($V$2:V113),$V$2:$V$1001,0),MATCH(COLUMNS($AC$1006:AQ1006),$AC$1006:$AS$1006,0)), HYPERLINK("#",""), HYPERLINK(CONCATENATE("#Metadata!", ADDRESS(INDEX($X$2:$X$1001,MATCH(ROWS($V$2:V113),$V$2:$V$1001,0),0), INDEX($AC$1004:$AS$1004,1,MATCH(COLUMNS($AC$1006:AQ1006),$AC$1006:$AS$1006,0)))),"Fix")))</f>
        <v>0</v>
      </c>
      <c r="Q113" s="5">
        <f>IF(OR(INDEX($W$2:$W$1001,MATCH(ROWS($V$2:V113),$V$2:$V$1001,0),1)&gt;=100000,INDEX($AC$1005:$AS$1005,1,MATCH(COLUMNS($AC$1006:AR1006),$AC$1006:$AS$1006,0))&gt;=100000), " ",IF(INDEX($AC$2:$AS$1001,MATCH(ROWS($V$2:V113),$V$2:$V$1001,0),MATCH(COLUMNS($AC$1006:AR1006),$AC$1006:$AS$1006,0)), HYPERLINK("#",""), HYPERLINK(CONCATENATE("#Metadata!", ADDRESS(INDEX($X$2:$X$1001,MATCH(ROWS($V$2:V113),$V$2:$V$1001,0),0), INDEX($AC$1004:$AS$1004,1,MATCH(COLUMNS($AC$1006:AR1006),$AC$1006:$AS$1006,0)))),"Fix")))</f>
        <v>0</v>
      </c>
      <c r="R113" s="5">
        <f>IF(OR(INDEX($W$2:$W$1001,MATCH(ROWS($V$2:V113),$V$2:$V$1001,0),1)&gt;=100000,INDEX($AC$1005:$AS$1005,1,MATCH(COLUMNS($AC$1006:AS1006),$AC$1006:$AS$1006,0))&gt;=100000), " ",IF(INDEX($AC$2:$AS$1001,MATCH(ROWS($V$2:V113),$V$2:$V$1001,0),MATCH(COLUMNS($AC$1006:AS1006),$AC$1006:$AS$1006,0)), HYPERLINK("#",""), HYPERLINK(CONCATENATE("#Metadata!", ADDRESS(INDEX($X$2:$X$1001,MATCH(ROWS($V$2:V113),$V$2:$V$1001,0),0), INDEX($AC$1004:$AS$1004,1,MATCH(COLUMNS($AC$1006:AS1006),$AC$1006:$AS$1006,0)))),"Fix")))</f>
        <v>0</v>
      </c>
      <c r="V113">
        <v>0</v>
      </c>
      <c r="W113">
        <v>0</v>
      </c>
      <c r="X113">
        <v>0</v>
      </c>
      <c r="Y113">
        <f>IF(Z113,TRUE,AND(AC113:AS113))</f>
        <v>0</v>
      </c>
      <c r="Z113">
        <f>COUNTBLANK(Metadata!B113:R113)=COLUMNS(Metadata!B113:R113)</f>
        <v>0</v>
      </c>
      <c r="AA113">
        <v>0</v>
      </c>
      <c r="AC113">
        <f>AND(IF(Metadata!B113="",FALSE,TRUE),COUNTIF(Metadata!B:B, Metadata!B113) = 1,NOT(ISERROR(SUMPRODUCT(SEARCH(MID(Metadata!B113,ROW(INDIRECT("1:"&amp;LEN(Metadata!B113))), 1),"0123456789abcdefghijklmnopqrstuvwxyzABCDEFGHIJKLMNOPQRSTUVWXYZ.")))))</f>
        <v>0</v>
      </c>
      <c r="AD113">
        <f>AND(IF(Metadata!C113="",FALSE,TRUE),exact(Metadata!C113,"Host-associated"))</f>
        <v>0</v>
      </c>
      <c r="AE113">
        <f>AND(IF(Metadata!D113="",FALSE,TRUE),OR(exact(Metadata!D113,"Animal"),exact(Metadata!D113,"Fungus"),exact(Metadata!D113,"Plant")))</f>
        <v>0</v>
      </c>
      <c r="AF113">
        <f>AND(IF(Metadata!E113="",FALSE,TRUE),OR(exact(Metadata!E113,"Plant secretion"),exact(Metadata!E113,"Plant rhizosphere"),exact(Metadata!E113,"Plant surface"),exact(Metadata!E113,"Plant corpus"),exact(Metadata!E113,"Fungus surface"),exact(Metadata!E113,"Fungus corpus"),exact(Metadata!E113,"Animal surface"),exact(Metadata!E113,"Animal proximal gut"),exact(Metadata!E113,"Animal corpus"),exact(Metadata!E113,"Animal distal gut"),exact(Metadata!E113,"Animal secretion")))</f>
        <v>0</v>
      </c>
      <c r="AG113">
        <f>OR(AND(IF(Metadata!F113="",FALSE,TRUE),OR(exact(Metadata!F113,"not collected"),exact(Metadata!F113,"not provided"),exact(Metadata!F113,"restricted access"))),AND(IF(Metadata!F113="",FALSE,TRUE),OR(exact(Metadata!F113,"organism-associated habitat"),exact(Metadata!F113,"plant-associated habitat"),exact(Metadata!F113,"animal-associated habitat"),exact(Metadata!F113,"insecta-associated habitat"),exact(Metadata!F113,"mammalia-associated habitat"),exact(Metadata!F113,"human-associated habitat"),exact(Metadata!F113,"livestock-associated habitat"))))</f>
        <v>0</v>
      </c>
      <c r="AH113">
        <f>AND(IF(Metadata!G113="",FALSE,TRUE),exact(Metadata!G113,"host-associated"))</f>
        <v>0</v>
      </c>
      <c r="AI113">
        <f>OR(AND(IF(Metadata!H113="",FALSE,TRUE),OR(exact(Metadata!H113,"not collected"),exact(Metadata!H113,"not provided"))),AND(IF(Metadata!H113="",FALSE,ISNUMBER(VALUE(Metadata!H113))),Metadata!H113&gt;0))</f>
        <v>0</v>
      </c>
      <c r="AJ113">
        <f>AND(IF(Metadata!I113="",FALSE,TRUE),exact(Metadata!I113,"years"))</f>
        <v>0</v>
      </c>
      <c r="AK113">
        <f>IF(Metadata!J113="",FALSE,TRUE)</f>
        <v>0</v>
      </c>
      <c r="AL113">
        <f>OR(AND(IF(Metadata!K113="",FALSE,TRUE),OR(exact(Metadata!K113,"not collected"),exact(Metadata!K113,"not provided"))),AND(IF(Metadata!K113="",FALSE,ISNUMBER(VALUE(Metadata!K113))),Metadata!K113&gt;0))</f>
        <v>0</v>
      </c>
      <c r="AM113">
        <f>AND(IF(Metadata!L113="",FALSE,TRUE),exact(Metadata!L113,"cm"))</f>
        <v>0</v>
      </c>
      <c r="AN113">
        <f>IF(Metadata!M113="",FALSE,TRUE)</f>
        <v>0</v>
      </c>
      <c r="AO113">
        <f>OR(AND(IF(Metadata!N113="",FALSE,TRUE),OR(exact(Metadata!N113,"not applicable"),exact(Metadata!N113,"not collected"),exact(Metadata!N113,"not provided"))),AND(IF(Metadata!N113="",FALSE,IF(ISERROR(INT(Metadata!N113)),FALSE,INT(Metadata!N113)=Metadata!N113)),Metadata!N113&gt;0))</f>
        <v>0</v>
      </c>
      <c r="AP113">
        <f>OR(AND(IF(Metadata!O113="",FALSE,TRUE),OR(exact(Metadata!O113,"not collected"),exact(Metadata!O113,"not provided"))),AND(IF(Metadata!O113="",FALSE,ISNUMBER(VALUE(Metadata!O113))),Metadata!O113&gt;0))</f>
        <v>0</v>
      </c>
      <c r="AQ113">
        <f>AND(IF(Metadata!P113="",FALSE,TRUE),exact(Metadata!P113,"kg"))</f>
        <v>0</v>
      </c>
      <c r="AR113">
        <f>OR(AND(IF(Metadata!Q113="",FALSE,TRUE),OR(exact(Metadata!Q113,"not applicable"),exact(Metadata!Q113,"not collected"),exact(Metadata!Q113,"not provided"),exact(Metadata!Q113,"restricted access"))),IF(Metadata!Q113="",FALSE,IF(ISERROR(INT(Metadata!Q113)),FALSE,INT(Metadata!Q113)=Metadata!Q113)))</f>
        <v>0</v>
      </c>
      <c r="AS113">
        <f>AND(IF(Metadata!R113="",FALSE,TRUE),exact(Metadata!R113,"Not applicable"))</f>
        <v>0</v>
      </c>
    </row>
    <row r="114" spans="1:45">
      <c r="A114" s="4">
        <f>IF(B114=" "," ",HYPERLINK(CONCATENATE("#metadata!",ADDRESS(INDEX($X$2:$X$1001,MATCH(ROWS($V$2:V114),$V$2:$V$1001,0),0),2)),INDEX($AA$2:$AA$1001,MATCH(ROWS($V$2:V114),$V$2:$V$1001,0),0)))</f>
        <v>0</v>
      </c>
      <c r="B114" s="5">
        <f>IF(OR(INDEX($W$2:$W$1001,MATCH(ROWS($V$2:V114),$V$2:$V$1001,0),1)&gt;=100000,INDEX($AC$1005:$AS$1005,1,MATCH(COLUMNS($AC$1006:AC1006),$AC$1006:$AS$1006,0))&gt;=100000), " ",IF(INDEX($AC$2:$AS$1001,MATCH(ROWS($V$2:V114),$V$2:$V$1001,0),MATCH(COLUMNS($AC$1006:AC1006),$AC$1006:$AS$1006,0)), HYPERLINK("#",""), HYPERLINK(CONCATENATE("#Metadata!", ADDRESS(INDEX($X$2:$X$1001,MATCH(ROWS($V$2:V114),$V$2:$V$1001,0),0), INDEX($AC$1004:$AS$1004,1,MATCH(COLUMNS($AC$1006:AC1006),$AC$1006:$AS$1006,0)))),"Fix")))</f>
        <v>0</v>
      </c>
      <c r="C114" s="5">
        <f>IF(OR(INDEX($W$2:$W$1001,MATCH(ROWS($V$2:V114),$V$2:$V$1001,0),1)&gt;=100000,INDEX($AC$1005:$AS$1005,1,MATCH(COLUMNS($AC$1006:AD1006),$AC$1006:$AS$1006,0))&gt;=100000), " ",IF(INDEX($AC$2:$AS$1001,MATCH(ROWS($V$2:V114),$V$2:$V$1001,0),MATCH(COLUMNS($AC$1006:AD1006),$AC$1006:$AS$1006,0)), HYPERLINK("#",""), HYPERLINK(CONCATENATE("#Metadata!", ADDRESS(INDEX($X$2:$X$1001,MATCH(ROWS($V$2:V114),$V$2:$V$1001,0),0), INDEX($AC$1004:$AS$1004,1,MATCH(COLUMNS($AC$1006:AD1006),$AC$1006:$AS$1006,0)))),"Fix")))</f>
        <v>0</v>
      </c>
      <c r="D114" s="5">
        <f>IF(OR(INDEX($W$2:$W$1001,MATCH(ROWS($V$2:V114),$V$2:$V$1001,0),1)&gt;=100000,INDEX($AC$1005:$AS$1005,1,MATCH(COLUMNS($AC$1006:AE1006),$AC$1006:$AS$1006,0))&gt;=100000), " ",IF(INDEX($AC$2:$AS$1001,MATCH(ROWS($V$2:V114),$V$2:$V$1001,0),MATCH(COLUMNS($AC$1006:AE1006),$AC$1006:$AS$1006,0)), HYPERLINK("#",""), HYPERLINK(CONCATENATE("#Metadata!", ADDRESS(INDEX($X$2:$X$1001,MATCH(ROWS($V$2:V114),$V$2:$V$1001,0),0), INDEX($AC$1004:$AS$1004,1,MATCH(COLUMNS($AC$1006:AE1006),$AC$1006:$AS$1006,0)))),"Fix")))</f>
        <v>0</v>
      </c>
      <c r="E114" s="5">
        <f>IF(OR(INDEX($W$2:$W$1001,MATCH(ROWS($V$2:V114),$V$2:$V$1001,0),1)&gt;=100000,INDEX($AC$1005:$AS$1005,1,MATCH(COLUMNS($AC$1006:AF1006),$AC$1006:$AS$1006,0))&gt;=100000), " ",IF(INDEX($AC$2:$AS$1001,MATCH(ROWS($V$2:V114),$V$2:$V$1001,0),MATCH(COLUMNS($AC$1006:AF1006),$AC$1006:$AS$1006,0)), HYPERLINK("#",""), HYPERLINK(CONCATENATE("#Metadata!", ADDRESS(INDEX($X$2:$X$1001,MATCH(ROWS($V$2:V114),$V$2:$V$1001,0),0), INDEX($AC$1004:$AS$1004,1,MATCH(COLUMNS($AC$1006:AF1006),$AC$1006:$AS$1006,0)))),"Fix")))</f>
        <v>0</v>
      </c>
      <c r="F114" s="5">
        <f>IF(OR(INDEX($W$2:$W$1001,MATCH(ROWS($V$2:V114),$V$2:$V$1001,0),1)&gt;=100000,INDEX($AC$1005:$AS$1005,1,MATCH(COLUMNS($AC$1006:AG1006),$AC$1006:$AS$1006,0))&gt;=100000), " ",IF(INDEX($AC$2:$AS$1001,MATCH(ROWS($V$2:V114),$V$2:$V$1001,0),MATCH(COLUMNS($AC$1006:AG1006),$AC$1006:$AS$1006,0)), HYPERLINK("#",""), HYPERLINK(CONCATENATE("#Metadata!", ADDRESS(INDEX($X$2:$X$1001,MATCH(ROWS($V$2:V114),$V$2:$V$1001,0),0), INDEX($AC$1004:$AS$1004,1,MATCH(COLUMNS($AC$1006:AG1006),$AC$1006:$AS$1006,0)))),"Fix")))</f>
        <v>0</v>
      </c>
      <c r="G114" s="5">
        <f>IF(OR(INDEX($W$2:$W$1001,MATCH(ROWS($V$2:V114),$V$2:$V$1001,0),1)&gt;=100000,INDEX($AC$1005:$AS$1005,1,MATCH(COLUMNS($AC$1006:AH1006),$AC$1006:$AS$1006,0))&gt;=100000), " ",IF(INDEX($AC$2:$AS$1001,MATCH(ROWS($V$2:V114),$V$2:$V$1001,0),MATCH(COLUMNS($AC$1006:AH1006),$AC$1006:$AS$1006,0)), HYPERLINK("#",""), HYPERLINK(CONCATENATE("#Metadata!", ADDRESS(INDEX($X$2:$X$1001,MATCH(ROWS($V$2:V114),$V$2:$V$1001,0),0), INDEX($AC$1004:$AS$1004,1,MATCH(COLUMNS($AC$1006:AH1006),$AC$1006:$AS$1006,0)))),"Fix")))</f>
        <v>0</v>
      </c>
      <c r="H114" s="5">
        <f>IF(OR(INDEX($W$2:$W$1001,MATCH(ROWS($V$2:V114),$V$2:$V$1001,0),1)&gt;=100000,INDEX($AC$1005:$AS$1005,1,MATCH(COLUMNS($AC$1006:AI1006),$AC$1006:$AS$1006,0))&gt;=100000), " ",IF(INDEX($AC$2:$AS$1001,MATCH(ROWS($V$2:V114),$V$2:$V$1001,0),MATCH(COLUMNS($AC$1006:AI1006),$AC$1006:$AS$1006,0)), HYPERLINK("#",""), HYPERLINK(CONCATENATE("#Metadata!", ADDRESS(INDEX($X$2:$X$1001,MATCH(ROWS($V$2:V114),$V$2:$V$1001,0),0), INDEX($AC$1004:$AS$1004,1,MATCH(COLUMNS($AC$1006:AI1006),$AC$1006:$AS$1006,0)))),"Fix")))</f>
        <v>0</v>
      </c>
      <c r="I114" s="5">
        <f>IF(OR(INDEX($W$2:$W$1001,MATCH(ROWS($V$2:V114),$V$2:$V$1001,0),1)&gt;=100000,INDEX($AC$1005:$AS$1005,1,MATCH(COLUMNS($AC$1006:AJ1006),$AC$1006:$AS$1006,0))&gt;=100000), " ",IF(INDEX($AC$2:$AS$1001,MATCH(ROWS($V$2:V114),$V$2:$V$1001,0),MATCH(COLUMNS($AC$1006:AJ1006),$AC$1006:$AS$1006,0)), HYPERLINK("#",""), HYPERLINK(CONCATENATE("#Metadata!", ADDRESS(INDEX($X$2:$X$1001,MATCH(ROWS($V$2:V114),$V$2:$V$1001,0),0), INDEX($AC$1004:$AS$1004,1,MATCH(COLUMNS($AC$1006:AJ1006),$AC$1006:$AS$1006,0)))),"Fix")))</f>
        <v>0</v>
      </c>
      <c r="J114" s="5">
        <f>IF(OR(INDEX($W$2:$W$1001,MATCH(ROWS($V$2:V114),$V$2:$V$1001,0),1)&gt;=100000,INDEX($AC$1005:$AS$1005,1,MATCH(COLUMNS($AC$1006:AK1006),$AC$1006:$AS$1006,0))&gt;=100000), " ",IF(INDEX($AC$2:$AS$1001,MATCH(ROWS($V$2:V114),$V$2:$V$1001,0),MATCH(COLUMNS($AC$1006:AK1006),$AC$1006:$AS$1006,0)), HYPERLINK("#",""), HYPERLINK(CONCATENATE("#Metadata!", ADDRESS(INDEX($X$2:$X$1001,MATCH(ROWS($V$2:V114),$V$2:$V$1001,0),0), INDEX($AC$1004:$AS$1004,1,MATCH(COLUMNS($AC$1006:AK1006),$AC$1006:$AS$1006,0)))),"Fix")))</f>
        <v>0</v>
      </c>
      <c r="K114" s="5">
        <f>IF(OR(INDEX($W$2:$W$1001,MATCH(ROWS($V$2:V114),$V$2:$V$1001,0),1)&gt;=100000,INDEX($AC$1005:$AS$1005,1,MATCH(COLUMNS($AC$1006:AL1006),$AC$1006:$AS$1006,0))&gt;=100000), " ",IF(INDEX($AC$2:$AS$1001,MATCH(ROWS($V$2:V114),$V$2:$V$1001,0),MATCH(COLUMNS($AC$1006:AL1006),$AC$1006:$AS$1006,0)), HYPERLINK("#",""), HYPERLINK(CONCATENATE("#Metadata!", ADDRESS(INDEX($X$2:$X$1001,MATCH(ROWS($V$2:V114),$V$2:$V$1001,0),0), INDEX($AC$1004:$AS$1004,1,MATCH(COLUMNS($AC$1006:AL1006),$AC$1006:$AS$1006,0)))),"Fix")))</f>
        <v>0</v>
      </c>
      <c r="L114" s="5">
        <f>IF(OR(INDEX($W$2:$W$1001,MATCH(ROWS($V$2:V114),$V$2:$V$1001,0),1)&gt;=100000,INDEX($AC$1005:$AS$1005,1,MATCH(COLUMNS($AC$1006:AM1006),$AC$1006:$AS$1006,0))&gt;=100000), " ",IF(INDEX($AC$2:$AS$1001,MATCH(ROWS($V$2:V114),$V$2:$V$1001,0),MATCH(COLUMNS($AC$1006:AM1006),$AC$1006:$AS$1006,0)), HYPERLINK("#",""), HYPERLINK(CONCATENATE("#Metadata!", ADDRESS(INDEX($X$2:$X$1001,MATCH(ROWS($V$2:V114),$V$2:$V$1001,0),0), INDEX($AC$1004:$AS$1004,1,MATCH(COLUMNS($AC$1006:AM1006),$AC$1006:$AS$1006,0)))),"Fix")))</f>
        <v>0</v>
      </c>
      <c r="M114" s="5">
        <f>IF(OR(INDEX($W$2:$W$1001,MATCH(ROWS($V$2:V114),$V$2:$V$1001,0),1)&gt;=100000,INDEX($AC$1005:$AS$1005,1,MATCH(COLUMNS($AC$1006:AN1006),$AC$1006:$AS$1006,0))&gt;=100000), " ",IF(INDEX($AC$2:$AS$1001,MATCH(ROWS($V$2:V114),$V$2:$V$1001,0),MATCH(COLUMNS($AC$1006:AN1006),$AC$1006:$AS$1006,0)), HYPERLINK("#",""), HYPERLINK(CONCATENATE("#Metadata!", ADDRESS(INDEX($X$2:$X$1001,MATCH(ROWS($V$2:V114),$V$2:$V$1001,0),0), INDEX($AC$1004:$AS$1004,1,MATCH(COLUMNS($AC$1006:AN1006),$AC$1006:$AS$1006,0)))),"Fix")))</f>
        <v>0</v>
      </c>
      <c r="N114" s="5">
        <f>IF(OR(INDEX($W$2:$W$1001,MATCH(ROWS($V$2:V114),$V$2:$V$1001,0),1)&gt;=100000,INDEX($AC$1005:$AS$1005,1,MATCH(COLUMNS($AC$1006:AO1006),$AC$1006:$AS$1006,0))&gt;=100000), " ",IF(INDEX($AC$2:$AS$1001,MATCH(ROWS($V$2:V114),$V$2:$V$1001,0),MATCH(COLUMNS($AC$1006:AO1006),$AC$1006:$AS$1006,0)), HYPERLINK("#",""), HYPERLINK(CONCATENATE("#Metadata!", ADDRESS(INDEX($X$2:$X$1001,MATCH(ROWS($V$2:V114),$V$2:$V$1001,0),0), INDEX($AC$1004:$AS$1004,1,MATCH(COLUMNS($AC$1006:AO1006),$AC$1006:$AS$1006,0)))),"Fix")))</f>
        <v>0</v>
      </c>
      <c r="O114" s="5">
        <f>IF(OR(INDEX($W$2:$W$1001,MATCH(ROWS($V$2:V114),$V$2:$V$1001,0),1)&gt;=100000,INDEX($AC$1005:$AS$1005,1,MATCH(COLUMNS($AC$1006:AP1006),$AC$1006:$AS$1006,0))&gt;=100000), " ",IF(INDEX($AC$2:$AS$1001,MATCH(ROWS($V$2:V114),$V$2:$V$1001,0),MATCH(COLUMNS($AC$1006:AP1006),$AC$1006:$AS$1006,0)), HYPERLINK("#",""), HYPERLINK(CONCATENATE("#Metadata!", ADDRESS(INDEX($X$2:$X$1001,MATCH(ROWS($V$2:V114),$V$2:$V$1001,0),0), INDEX($AC$1004:$AS$1004,1,MATCH(COLUMNS($AC$1006:AP1006),$AC$1006:$AS$1006,0)))),"Fix")))</f>
        <v>0</v>
      </c>
      <c r="P114" s="5">
        <f>IF(OR(INDEX($W$2:$W$1001,MATCH(ROWS($V$2:V114),$V$2:$V$1001,0),1)&gt;=100000,INDEX($AC$1005:$AS$1005,1,MATCH(COLUMNS($AC$1006:AQ1006),$AC$1006:$AS$1006,0))&gt;=100000), " ",IF(INDEX($AC$2:$AS$1001,MATCH(ROWS($V$2:V114),$V$2:$V$1001,0),MATCH(COLUMNS($AC$1006:AQ1006),$AC$1006:$AS$1006,0)), HYPERLINK("#",""), HYPERLINK(CONCATENATE("#Metadata!", ADDRESS(INDEX($X$2:$X$1001,MATCH(ROWS($V$2:V114),$V$2:$V$1001,0),0), INDEX($AC$1004:$AS$1004,1,MATCH(COLUMNS($AC$1006:AQ1006),$AC$1006:$AS$1006,0)))),"Fix")))</f>
        <v>0</v>
      </c>
      <c r="Q114" s="5">
        <f>IF(OR(INDEX($W$2:$W$1001,MATCH(ROWS($V$2:V114),$V$2:$V$1001,0),1)&gt;=100000,INDEX($AC$1005:$AS$1005,1,MATCH(COLUMNS($AC$1006:AR1006),$AC$1006:$AS$1006,0))&gt;=100000), " ",IF(INDEX($AC$2:$AS$1001,MATCH(ROWS($V$2:V114),$V$2:$V$1001,0),MATCH(COLUMNS($AC$1006:AR1006),$AC$1006:$AS$1006,0)), HYPERLINK("#",""), HYPERLINK(CONCATENATE("#Metadata!", ADDRESS(INDEX($X$2:$X$1001,MATCH(ROWS($V$2:V114),$V$2:$V$1001,0),0), INDEX($AC$1004:$AS$1004,1,MATCH(COLUMNS($AC$1006:AR1006),$AC$1006:$AS$1006,0)))),"Fix")))</f>
        <v>0</v>
      </c>
      <c r="R114" s="5">
        <f>IF(OR(INDEX($W$2:$W$1001,MATCH(ROWS($V$2:V114),$V$2:$V$1001,0),1)&gt;=100000,INDEX($AC$1005:$AS$1005,1,MATCH(COLUMNS($AC$1006:AS1006),$AC$1006:$AS$1006,0))&gt;=100000), " ",IF(INDEX($AC$2:$AS$1001,MATCH(ROWS($V$2:V114),$V$2:$V$1001,0),MATCH(COLUMNS($AC$1006:AS1006),$AC$1006:$AS$1006,0)), HYPERLINK("#",""), HYPERLINK(CONCATENATE("#Metadata!", ADDRESS(INDEX($X$2:$X$1001,MATCH(ROWS($V$2:V114),$V$2:$V$1001,0),0), INDEX($AC$1004:$AS$1004,1,MATCH(COLUMNS($AC$1006:AS1006),$AC$1006:$AS$1006,0)))),"Fix")))</f>
        <v>0</v>
      </c>
      <c r="V114">
        <v>0</v>
      </c>
      <c r="W114">
        <v>0</v>
      </c>
      <c r="X114">
        <v>0</v>
      </c>
      <c r="Y114">
        <f>IF(Z114,TRUE,AND(AC114:AS114))</f>
        <v>0</v>
      </c>
      <c r="Z114">
        <f>COUNTBLANK(Metadata!B114:R114)=COLUMNS(Metadata!B114:R114)</f>
        <v>0</v>
      </c>
      <c r="AA114">
        <v>0</v>
      </c>
      <c r="AC114">
        <f>AND(IF(Metadata!B114="",FALSE,TRUE),COUNTIF(Metadata!B:B, Metadata!B114) = 1,NOT(ISERROR(SUMPRODUCT(SEARCH(MID(Metadata!B114,ROW(INDIRECT("1:"&amp;LEN(Metadata!B114))), 1),"0123456789abcdefghijklmnopqrstuvwxyzABCDEFGHIJKLMNOPQRSTUVWXYZ.")))))</f>
        <v>0</v>
      </c>
      <c r="AD114">
        <f>AND(IF(Metadata!C114="",FALSE,TRUE),exact(Metadata!C114,"Host-associated"))</f>
        <v>0</v>
      </c>
      <c r="AE114">
        <f>AND(IF(Metadata!D114="",FALSE,TRUE),OR(exact(Metadata!D114,"Animal"),exact(Metadata!D114,"Fungus"),exact(Metadata!D114,"Plant")))</f>
        <v>0</v>
      </c>
      <c r="AF114">
        <f>AND(IF(Metadata!E114="",FALSE,TRUE),OR(exact(Metadata!E114,"Plant secretion"),exact(Metadata!E114,"Plant rhizosphere"),exact(Metadata!E114,"Plant surface"),exact(Metadata!E114,"Plant corpus"),exact(Metadata!E114,"Fungus surface"),exact(Metadata!E114,"Fungus corpus"),exact(Metadata!E114,"Animal surface"),exact(Metadata!E114,"Animal proximal gut"),exact(Metadata!E114,"Animal corpus"),exact(Metadata!E114,"Animal distal gut"),exact(Metadata!E114,"Animal secretion")))</f>
        <v>0</v>
      </c>
      <c r="AG114">
        <f>OR(AND(IF(Metadata!F114="",FALSE,TRUE),OR(exact(Metadata!F114,"not collected"),exact(Metadata!F114,"not provided"),exact(Metadata!F114,"restricted access"))),AND(IF(Metadata!F114="",FALSE,TRUE),OR(exact(Metadata!F114,"organism-associated habitat"),exact(Metadata!F114,"plant-associated habitat"),exact(Metadata!F114,"animal-associated habitat"),exact(Metadata!F114,"insecta-associated habitat"),exact(Metadata!F114,"mammalia-associated habitat"),exact(Metadata!F114,"human-associated habitat"),exact(Metadata!F114,"livestock-associated habitat"))))</f>
        <v>0</v>
      </c>
      <c r="AH114">
        <f>AND(IF(Metadata!G114="",FALSE,TRUE),exact(Metadata!G114,"host-associated"))</f>
        <v>0</v>
      </c>
      <c r="AI114">
        <f>OR(AND(IF(Metadata!H114="",FALSE,TRUE),OR(exact(Metadata!H114,"not collected"),exact(Metadata!H114,"not provided"))),AND(IF(Metadata!H114="",FALSE,ISNUMBER(VALUE(Metadata!H114))),Metadata!H114&gt;0))</f>
        <v>0</v>
      </c>
      <c r="AJ114">
        <f>AND(IF(Metadata!I114="",FALSE,TRUE),exact(Metadata!I114,"years"))</f>
        <v>0</v>
      </c>
      <c r="AK114">
        <f>IF(Metadata!J114="",FALSE,TRUE)</f>
        <v>0</v>
      </c>
      <c r="AL114">
        <f>OR(AND(IF(Metadata!K114="",FALSE,TRUE),OR(exact(Metadata!K114,"not collected"),exact(Metadata!K114,"not provided"))),AND(IF(Metadata!K114="",FALSE,ISNUMBER(VALUE(Metadata!K114))),Metadata!K114&gt;0))</f>
        <v>0</v>
      </c>
      <c r="AM114">
        <f>AND(IF(Metadata!L114="",FALSE,TRUE),exact(Metadata!L114,"cm"))</f>
        <v>0</v>
      </c>
      <c r="AN114">
        <f>IF(Metadata!M114="",FALSE,TRUE)</f>
        <v>0</v>
      </c>
      <c r="AO114">
        <f>OR(AND(IF(Metadata!N114="",FALSE,TRUE),OR(exact(Metadata!N114,"not applicable"),exact(Metadata!N114,"not collected"),exact(Metadata!N114,"not provided"))),AND(IF(Metadata!N114="",FALSE,IF(ISERROR(INT(Metadata!N114)),FALSE,INT(Metadata!N114)=Metadata!N114)),Metadata!N114&gt;0))</f>
        <v>0</v>
      </c>
      <c r="AP114">
        <f>OR(AND(IF(Metadata!O114="",FALSE,TRUE),OR(exact(Metadata!O114,"not collected"),exact(Metadata!O114,"not provided"))),AND(IF(Metadata!O114="",FALSE,ISNUMBER(VALUE(Metadata!O114))),Metadata!O114&gt;0))</f>
        <v>0</v>
      </c>
      <c r="AQ114">
        <f>AND(IF(Metadata!P114="",FALSE,TRUE),exact(Metadata!P114,"kg"))</f>
        <v>0</v>
      </c>
      <c r="AR114">
        <f>OR(AND(IF(Metadata!Q114="",FALSE,TRUE),OR(exact(Metadata!Q114,"not applicable"),exact(Metadata!Q114,"not collected"),exact(Metadata!Q114,"not provided"),exact(Metadata!Q114,"restricted access"))),IF(Metadata!Q114="",FALSE,IF(ISERROR(INT(Metadata!Q114)),FALSE,INT(Metadata!Q114)=Metadata!Q114)))</f>
        <v>0</v>
      </c>
      <c r="AS114">
        <f>AND(IF(Metadata!R114="",FALSE,TRUE),exact(Metadata!R114,"Not applicable"))</f>
        <v>0</v>
      </c>
    </row>
    <row r="115" spans="1:45">
      <c r="A115" s="4">
        <f>IF(B115=" "," ",HYPERLINK(CONCATENATE("#metadata!",ADDRESS(INDEX($X$2:$X$1001,MATCH(ROWS($V$2:V115),$V$2:$V$1001,0),0),2)),INDEX($AA$2:$AA$1001,MATCH(ROWS($V$2:V115),$V$2:$V$1001,0),0)))</f>
        <v>0</v>
      </c>
      <c r="B115" s="5">
        <f>IF(OR(INDEX($W$2:$W$1001,MATCH(ROWS($V$2:V115),$V$2:$V$1001,0),1)&gt;=100000,INDEX($AC$1005:$AS$1005,1,MATCH(COLUMNS($AC$1006:AC1006),$AC$1006:$AS$1006,0))&gt;=100000), " ",IF(INDEX($AC$2:$AS$1001,MATCH(ROWS($V$2:V115),$V$2:$V$1001,0),MATCH(COLUMNS($AC$1006:AC1006),$AC$1006:$AS$1006,0)), HYPERLINK("#",""), HYPERLINK(CONCATENATE("#Metadata!", ADDRESS(INDEX($X$2:$X$1001,MATCH(ROWS($V$2:V115),$V$2:$V$1001,0),0), INDEX($AC$1004:$AS$1004,1,MATCH(COLUMNS($AC$1006:AC1006),$AC$1006:$AS$1006,0)))),"Fix")))</f>
        <v>0</v>
      </c>
      <c r="C115" s="5">
        <f>IF(OR(INDEX($W$2:$W$1001,MATCH(ROWS($V$2:V115),$V$2:$V$1001,0),1)&gt;=100000,INDEX($AC$1005:$AS$1005,1,MATCH(COLUMNS($AC$1006:AD1006),$AC$1006:$AS$1006,0))&gt;=100000), " ",IF(INDEX($AC$2:$AS$1001,MATCH(ROWS($V$2:V115),$V$2:$V$1001,0),MATCH(COLUMNS($AC$1006:AD1006),$AC$1006:$AS$1006,0)), HYPERLINK("#",""), HYPERLINK(CONCATENATE("#Metadata!", ADDRESS(INDEX($X$2:$X$1001,MATCH(ROWS($V$2:V115),$V$2:$V$1001,0),0), INDEX($AC$1004:$AS$1004,1,MATCH(COLUMNS($AC$1006:AD1006),$AC$1006:$AS$1006,0)))),"Fix")))</f>
        <v>0</v>
      </c>
      <c r="D115" s="5">
        <f>IF(OR(INDEX($W$2:$W$1001,MATCH(ROWS($V$2:V115),$V$2:$V$1001,0),1)&gt;=100000,INDEX($AC$1005:$AS$1005,1,MATCH(COLUMNS($AC$1006:AE1006),$AC$1006:$AS$1006,0))&gt;=100000), " ",IF(INDEX($AC$2:$AS$1001,MATCH(ROWS($V$2:V115),$V$2:$V$1001,0),MATCH(COLUMNS($AC$1006:AE1006),$AC$1006:$AS$1006,0)), HYPERLINK("#",""), HYPERLINK(CONCATENATE("#Metadata!", ADDRESS(INDEX($X$2:$X$1001,MATCH(ROWS($V$2:V115),$V$2:$V$1001,0),0), INDEX($AC$1004:$AS$1004,1,MATCH(COLUMNS($AC$1006:AE1006),$AC$1006:$AS$1006,0)))),"Fix")))</f>
        <v>0</v>
      </c>
      <c r="E115" s="5">
        <f>IF(OR(INDEX($W$2:$W$1001,MATCH(ROWS($V$2:V115),$V$2:$V$1001,0),1)&gt;=100000,INDEX($AC$1005:$AS$1005,1,MATCH(COLUMNS($AC$1006:AF1006),$AC$1006:$AS$1006,0))&gt;=100000), " ",IF(INDEX($AC$2:$AS$1001,MATCH(ROWS($V$2:V115),$V$2:$V$1001,0),MATCH(COLUMNS($AC$1006:AF1006),$AC$1006:$AS$1006,0)), HYPERLINK("#",""), HYPERLINK(CONCATENATE("#Metadata!", ADDRESS(INDEX($X$2:$X$1001,MATCH(ROWS($V$2:V115),$V$2:$V$1001,0),0), INDEX($AC$1004:$AS$1004,1,MATCH(COLUMNS($AC$1006:AF1006),$AC$1006:$AS$1006,0)))),"Fix")))</f>
        <v>0</v>
      </c>
      <c r="F115" s="5">
        <f>IF(OR(INDEX($W$2:$W$1001,MATCH(ROWS($V$2:V115),$V$2:$V$1001,0),1)&gt;=100000,INDEX($AC$1005:$AS$1005,1,MATCH(COLUMNS($AC$1006:AG1006),$AC$1006:$AS$1006,0))&gt;=100000), " ",IF(INDEX($AC$2:$AS$1001,MATCH(ROWS($V$2:V115),$V$2:$V$1001,0),MATCH(COLUMNS($AC$1006:AG1006),$AC$1006:$AS$1006,0)), HYPERLINK("#",""), HYPERLINK(CONCATENATE("#Metadata!", ADDRESS(INDEX($X$2:$X$1001,MATCH(ROWS($V$2:V115),$V$2:$V$1001,0),0), INDEX($AC$1004:$AS$1004,1,MATCH(COLUMNS($AC$1006:AG1006),$AC$1006:$AS$1006,0)))),"Fix")))</f>
        <v>0</v>
      </c>
      <c r="G115" s="5">
        <f>IF(OR(INDEX($W$2:$W$1001,MATCH(ROWS($V$2:V115),$V$2:$V$1001,0),1)&gt;=100000,INDEX($AC$1005:$AS$1005,1,MATCH(COLUMNS($AC$1006:AH1006),$AC$1006:$AS$1006,0))&gt;=100000), " ",IF(INDEX($AC$2:$AS$1001,MATCH(ROWS($V$2:V115),$V$2:$V$1001,0),MATCH(COLUMNS($AC$1006:AH1006),$AC$1006:$AS$1006,0)), HYPERLINK("#",""), HYPERLINK(CONCATENATE("#Metadata!", ADDRESS(INDEX($X$2:$X$1001,MATCH(ROWS($V$2:V115),$V$2:$V$1001,0),0), INDEX($AC$1004:$AS$1004,1,MATCH(COLUMNS($AC$1006:AH1006),$AC$1006:$AS$1006,0)))),"Fix")))</f>
        <v>0</v>
      </c>
      <c r="H115" s="5">
        <f>IF(OR(INDEX($W$2:$W$1001,MATCH(ROWS($V$2:V115),$V$2:$V$1001,0),1)&gt;=100000,INDEX($AC$1005:$AS$1005,1,MATCH(COLUMNS($AC$1006:AI1006),$AC$1006:$AS$1006,0))&gt;=100000), " ",IF(INDEX($AC$2:$AS$1001,MATCH(ROWS($V$2:V115),$V$2:$V$1001,0),MATCH(COLUMNS($AC$1006:AI1006),$AC$1006:$AS$1006,0)), HYPERLINK("#",""), HYPERLINK(CONCATENATE("#Metadata!", ADDRESS(INDEX($X$2:$X$1001,MATCH(ROWS($V$2:V115),$V$2:$V$1001,0),0), INDEX($AC$1004:$AS$1004,1,MATCH(COLUMNS($AC$1006:AI1006),$AC$1006:$AS$1006,0)))),"Fix")))</f>
        <v>0</v>
      </c>
      <c r="I115" s="5">
        <f>IF(OR(INDEX($W$2:$W$1001,MATCH(ROWS($V$2:V115),$V$2:$V$1001,0),1)&gt;=100000,INDEX($AC$1005:$AS$1005,1,MATCH(COLUMNS($AC$1006:AJ1006),$AC$1006:$AS$1006,0))&gt;=100000), " ",IF(INDEX($AC$2:$AS$1001,MATCH(ROWS($V$2:V115),$V$2:$V$1001,0),MATCH(COLUMNS($AC$1006:AJ1006),$AC$1006:$AS$1006,0)), HYPERLINK("#",""), HYPERLINK(CONCATENATE("#Metadata!", ADDRESS(INDEX($X$2:$X$1001,MATCH(ROWS($V$2:V115),$V$2:$V$1001,0),0), INDEX($AC$1004:$AS$1004,1,MATCH(COLUMNS($AC$1006:AJ1006),$AC$1006:$AS$1006,0)))),"Fix")))</f>
        <v>0</v>
      </c>
      <c r="J115" s="5">
        <f>IF(OR(INDEX($W$2:$W$1001,MATCH(ROWS($V$2:V115),$V$2:$V$1001,0),1)&gt;=100000,INDEX($AC$1005:$AS$1005,1,MATCH(COLUMNS($AC$1006:AK1006),$AC$1006:$AS$1006,0))&gt;=100000), " ",IF(INDEX($AC$2:$AS$1001,MATCH(ROWS($V$2:V115),$V$2:$V$1001,0),MATCH(COLUMNS($AC$1006:AK1006),$AC$1006:$AS$1006,0)), HYPERLINK("#",""), HYPERLINK(CONCATENATE("#Metadata!", ADDRESS(INDEX($X$2:$X$1001,MATCH(ROWS($V$2:V115),$V$2:$V$1001,0),0), INDEX($AC$1004:$AS$1004,1,MATCH(COLUMNS($AC$1006:AK1006),$AC$1006:$AS$1006,0)))),"Fix")))</f>
        <v>0</v>
      </c>
      <c r="K115" s="5">
        <f>IF(OR(INDEX($W$2:$W$1001,MATCH(ROWS($V$2:V115),$V$2:$V$1001,0),1)&gt;=100000,INDEX($AC$1005:$AS$1005,1,MATCH(COLUMNS($AC$1006:AL1006),$AC$1006:$AS$1006,0))&gt;=100000), " ",IF(INDEX($AC$2:$AS$1001,MATCH(ROWS($V$2:V115),$V$2:$V$1001,0),MATCH(COLUMNS($AC$1006:AL1006),$AC$1006:$AS$1006,0)), HYPERLINK("#",""), HYPERLINK(CONCATENATE("#Metadata!", ADDRESS(INDEX($X$2:$X$1001,MATCH(ROWS($V$2:V115),$V$2:$V$1001,0),0), INDEX($AC$1004:$AS$1004,1,MATCH(COLUMNS($AC$1006:AL1006),$AC$1006:$AS$1006,0)))),"Fix")))</f>
        <v>0</v>
      </c>
      <c r="L115" s="5">
        <f>IF(OR(INDEX($W$2:$W$1001,MATCH(ROWS($V$2:V115),$V$2:$V$1001,0),1)&gt;=100000,INDEX($AC$1005:$AS$1005,1,MATCH(COLUMNS($AC$1006:AM1006),$AC$1006:$AS$1006,0))&gt;=100000), " ",IF(INDEX($AC$2:$AS$1001,MATCH(ROWS($V$2:V115),$V$2:$V$1001,0),MATCH(COLUMNS($AC$1006:AM1006),$AC$1006:$AS$1006,0)), HYPERLINK("#",""), HYPERLINK(CONCATENATE("#Metadata!", ADDRESS(INDEX($X$2:$X$1001,MATCH(ROWS($V$2:V115),$V$2:$V$1001,0),0), INDEX($AC$1004:$AS$1004,1,MATCH(COLUMNS($AC$1006:AM1006),$AC$1006:$AS$1006,0)))),"Fix")))</f>
        <v>0</v>
      </c>
      <c r="M115" s="5">
        <f>IF(OR(INDEX($W$2:$W$1001,MATCH(ROWS($V$2:V115),$V$2:$V$1001,0),1)&gt;=100000,INDEX($AC$1005:$AS$1005,1,MATCH(COLUMNS($AC$1006:AN1006),$AC$1006:$AS$1006,0))&gt;=100000), " ",IF(INDEX($AC$2:$AS$1001,MATCH(ROWS($V$2:V115),$V$2:$V$1001,0),MATCH(COLUMNS($AC$1006:AN1006),$AC$1006:$AS$1006,0)), HYPERLINK("#",""), HYPERLINK(CONCATENATE("#Metadata!", ADDRESS(INDEX($X$2:$X$1001,MATCH(ROWS($V$2:V115),$V$2:$V$1001,0),0), INDEX($AC$1004:$AS$1004,1,MATCH(COLUMNS($AC$1006:AN1006),$AC$1006:$AS$1006,0)))),"Fix")))</f>
        <v>0</v>
      </c>
      <c r="N115" s="5">
        <f>IF(OR(INDEX($W$2:$W$1001,MATCH(ROWS($V$2:V115),$V$2:$V$1001,0),1)&gt;=100000,INDEX($AC$1005:$AS$1005,1,MATCH(COLUMNS($AC$1006:AO1006),$AC$1006:$AS$1006,0))&gt;=100000), " ",IF(INDEX($AC$2:$AS$1001,MATCH(ROWS($V$2:V115),$V$2:$V$1001,0),MATCH(COLUMNS($AC$1006:AO1006),$AC$1006:$AS$1006,0)), HYPERLINK("#",""), HYPERLINK(CONCATENATE("#Metadata!", ADDRESS(INDEX($X$2:$X$1001,MATCH(ROWS($V$2:V115),$V$2:$V$1001,0),0), INDEX($AC$1004:$AS$1004,1,MATCH(COLUMNS($AC$1006:AO1006),$AC$1006:$AS$1006,0)))),"Fix")))</f>
        <v>0</v>
      </c>
      <c r="O115" s="5">
        <f>IF(OR(INDEX($W$2:$W$1001,MATCH(ROWS($V$2:V115),$V$2:$V$1001,0),1)&gt;=100000,INDEX($AC$1005:$AS$1005,1,MATCH(COLUMNS($AC$1006:AP1006),$AC$1006:$AS$1006,0))&gt;=100000), " ",IF(INDEX($AC$2:$AS$1001,MATCH(ROWS($V$2:V115),$V$2:$V$1001,0),MATCH(COLUMNS($AC$1006:AP1006),$AC$1006:$AS$1006,0)), HYPERLINK("#",""), HYPERLINK(CONCATENATE("#Metadata!", ADDRESS(INDEX($X$2:$X$1001,MATCH(ROWS($V$2:V115),$V$2:$V$1001,0),0), INDEX($AC$1004:$AS$1004,1,MATCH(COLUMNS($AC$1006:AP1006),$AC$1006:$AS$1006,0)))),"Fix")))</f>
        <v>0</v>
      </c>
      <c r="P115" s="5">
        <f>IF(OR(INDEX($W$2:$W$1001,MATCH(ROWS($V$2:V115),$V$2:$V$1001,0),1)&gt;=100000,INDEX($AC$1005:$AS$1005,1,MATCH(COLUMNS($AC$1006:AQ1006),$AC$1006:$AS$1006,0))&gt;=100000), " ",IF(INDEX($AC$2:$AS$1001,MATCH(ROWS($V$2:V115),$V$2:$V$1001,0),MATCH(COLUMNS($AC$1006:AQ1006),$AC$1006:$AS$1006,0)), HYPERLINK("#",""), HYPERLINK(CONCATENATE("#Metadata!", ADDRESS(INDEX($X$2:$X$1001,MATCH(ROWS($V$2:V115),$V$2:$V$1001,0),0), INDEX($AC$1004:$AS$1004,1,MATCH(COLUMNS($AC$1006:AQ1006),$AC$1006:$AS$1006,0)))),"Fix")))</f>
        <v>0</v>
      </c>
      <c r="Q115" s="5">
        <f>IF(OR(INDEX($W$2:$W$1001,MATCH(ROWS($V$2:V115),$V$2:$V$1001,0),1)&gt;=100000,INDEX($AC$1005:$AS$1005,1,MATCH(COLUMNS($AC$1006:AR1006),$AC$1006:$AS$1006,0))&gt;=100000), " ",IF(INDEX($AC$2:$AS$1001,MATCH(ROWS($V$2:V115),$V$2:$V$1001,0),MATCH(COLUMNS($AC$1006:AR1006),$AC$1006:$AS$1006,0)), HYPERLINK("#",""), HYPERLINK(CONCATENATE("#Metadata!", ADDRESS(INDEX($X$2:$X$1001,MATCH(ROWS($V$2:V115),$V$2:$V$1001,0),0), INDEX($AC$1004:$AS$1004,1,MATCH(COLUMNS($AC$1006:AR1006),$AC$1006:$AS$1006,0)))),"Fix")))</f>
        <v>0</v>
      </c>
      <c r="R115" s="5">
        <f>IF(OR(INDEX($W$2:$W$1001,MATCH(ROWS($V$2:V115),$V$2:$V$1001,0),1)&gt;=100000,INDEX($AC$1005:$AS$1005,1,MATCH(COLUMNS($AC$1006:AS1006),$AC$1006:$AS$1006,0))&gt;=100000), " ",IF(INDEX($AC$2:$AS$1001,MATCH(ROWS($V$2:V115),$V$2:$V$1001,0),MATCH(COLUMNS($AC$1006:AS1006),$AC$1006:$AS$1006,0)), HYPERLINK("#",""), HYPERLINK(CONCATENATE("#Metadata!", ADDRESS(INDEX($X$2:$X$1001,MATCH(ROWS($V$2:V115),$V$2:$V$1001,0),0), INDEX($AC$1004:$AS$1004,1,MATCH(COLUMNS($AC$1006:AS1006),$AC$1006:$AS$1006,0)))),"Fix")))</f>
        <v>0</v>
      </c>
      <c r="V115">
        <v>0</v>
      </c>
      <c r="W115">
        <v>0</v>
      </c>
      <c r="X115">
        <v>0</v>
      </c>
      <c r="Y115">
        <f>IF(Z115,TRUE,AND(AC115:AS115))</f>
        <v>0</v>
      </c>
      <c r="Z115">
        <f>COUNTBLANK(Metadata!B115:R115)=COLUMNS(Metadata!B115:R115)</f>
        <v>0</v>
      </c>
      <c r="AA115">
        <v>0</v>
      </c>
      <c r="AC115">
        <f>AND(IF(Metadata!B115="",FALSE,TRUE),COUNTIF(Metadata!B:B, Metadata!B115) = 1,NOT(ISERROR(SUMPRODUCT(SEARCH(MID(Metadata!B115,ROW(INDIRECT("1:"&amp;LEN(Metadata!B115))), 1),"0123456789abcdefghijklmnopqrstuvwxyzABCDEFGHIJKLMNOPQRSTUVWXYZ.")))))</f>
        <v>0</v>
      </c>
      <c r="AD115">
        <f>AND(IF(Metadata!C115="",FALSE,TRUE),exact(Metadata!C115,"Host-associated"))</f>
        <v>0</v>
      </c>
      <c r="AE115">
        <f>AND(IF(Metadata!D115="",FALSE,TRUE),OR(exact(Metadata!D115,"Animal"),exact(Metadata!D115,"Fungus"),exact(Metadata!D115,"Plant")))</f>
        <v>0</v>
      </c>
      <c r="AF115">
        <f>AND(IF(Metadata!E115="",FALSE,TRUE),OR(exact(Metadata!E115,"Plant secretion"),exact(Metadata!E115,"Plant rhizosphere"),exact(Metadata!E115,"Plant surface"),exact(Metadata!E115,"Plant corpus"),exact(Metadata!E115,"Fungus surface"),exact(Metadata!E115,"Fungus corpus"),exact(Metadata!E115,"Animal surface"),exact(Metadata!E115,"Animal proximal gut"),exact(Metadata!E115,"Animal corpus"),exact(Metadata!E115,"Animal distal gut"),exact(Metadata!E115,"Animal secretion")))</f>
        <v>0</v>
      </c>
      <c r="AG115">
        <f>OR(AND(IF(Metadata!F115="",FALSE,TRUE),OR(exact(Metadata!F115,"not collected"),exact(Metadata!F115,"not provided"),exact(Metadata!F115,"restricted access"))),AND(IF(Metadata!F115="",FALSE,TRUE),OR(exact(Metadata!F115,"organism-associated habitat"),exact(Metadata!F115,"plant-associated habitat"),exact(Metadata!F115,"animal-associated habitat"),exact(Metadata!F115,"insecta-associated habitat"),exact(Metadata!F115,"mammalia-associated habitat"),exact(Metadata!F115,"human-associated habitat"),exact(Metadata!F115,"livestock-associated habitat"))))</f>
        <v>0</v>
      </c>
      <c r="AH115">
        <f>AND(IF(Metadata!G115="",FALSE,TRUE),exact(Metadata!G115,"host-associated"))</f>
        <v>0</v>
      </c>
      <c r="AI115">
        <f>OR(AND(IF(Metadata!H115="",FALSE,TRUE),OR(exact(Metadata!H115,"not collected"),exact(Metadata!H115,"not provided"))),AND(IF(Metadata!H115="",FALSE,ISNUMBER(VALUE(Metadata!H115))),Metadata!H115&gt;0))</f>
        <v>0</v>
      </c>
      <c r="AJ115">
        <f>AND(IF(Metadata!I115="",FALSE,TRUE),exact(Metadata!I115,"years"))</f>
        <v>0</v>
      </c>
      <c r="AK115">
        <f>IF(Metadata!J115="",FALSE,TRUE)</f>
        <v>0</v>
      </c>
      <c r="AL115">
        <f>OR(AND(IF(Metadata!K115="",FALSE,TRUE),OR(exact(Metadata!K115,"not collected"),exact(Metadata!K115,"not provided"))),AND(IF(Metadata!K115="",FALSE,ISNUMBER(VALUE(Metadata!K115))),Metadata!K115&gt;0))</f>
        <v>0</v>
      </c>
      <c r="AM115">
        <f>AND(IF(Metadata!L115="",FALSE,TRUE),exact(Metadata!L115,"cm"))</f>
        <v>0</v>
      </c>
      <c r="AN115">
        <f>IF(Metadata!M115="",FALSE,TRUE)</f>
        <v>0</v>
      </c>
      <c r="AO115">
        <f>OR(AND(IF(Metadata!N115="",FALSE,TRUE),OR(exact(Metadata!N115,"not applicable"),exact(Metadata!N115,"not collected"),exact(Metadata!N115,"not provided"))),AND(IF(Metadata!N115="",FALSE,IF(ISERROR(INT(Metadata!N115)),FALSE,INT(Metadata!N115)=Metadata!N115)),Metadata!N115&gt;0))</f>
        <v>0</v>
      </c>
      <c r="AP115">
        <f>OR(AND(IF(Metadata!O115="",FALSE,TRUE),OR(exact(Metadata!O115,"not collected"),exact(Metadata!O115,"not provided"))),AND(IF(Metadata!O115="",FALSE,ISNUMBER(VALUE(Metadata!O115))),Metadata!O115&gt;0))</f>
        <v>0</v>
      </c>
      <c r="AQ115">
        <f>AND(IF(Metadata!P115="",FALSE,TRUE),exact(Metadata!P115,"kg"))</f>
        <v>0</v>
      </c>
      <c r="AR115">
        <f>OR(AND(IF(Metadata!Q115="",FALSE,TRUE),OR(exact(Metadata!Q115,"not applicable"),exact(Metadata!Q115,"not collected"),exact(Metadata!Q115,"not provided"),exact(Metadata!Q115,"restricted access"))),IF(Metadata!Q115="",FALSE,IF(ISERROR(INT(Metadata!Q115)),FALSE,INT(Metadata!Q115)=Metadata!Q115)))</f>
        <v>0</v>
      </c>
      <c r="AS115">
        <f>AND(IF(Metadata!R115="",FALSE,TRUE),exact(Metadata!R115,"Not applicable"))</f>
        <v>0</v>
      </c>
    </row>
    <row r="116" spans="1:45">
      <c r="A116" s="4">
        <f>IF(B116=" "," ",HYPERLINK(CONCATENATE("#metadata!",ADDRESS(INDEX($X$2:$X$1001,MATCH(ROWS($V$2:V116),$V$2:$V$1001,0),0),2)),INDEX($AA$2:$AA$1001,MATCH(ROWS($V$2:V116),$V$2:$V$1001,0),0)))</f>
        <v>0</v>
      </c>
      <c r="B116" s="5">
        <f>IF(OR(INDEX($W$2:$W$1001,MATCH(ROWS($V$2:V116),$V$2:$V$1001,0),1)&gt;=100000,INDEX($AC$1005:$AS$1005,1,MATCH(COLUMNS($AC$1006:AC1006),$AC$1006:$AS$1006,0))&gt;=100000), " ",IF(INDEX($AC$2:$AS$1001,MATCH(ROWS($V$2:V116),$V$2:$V$1001,0),MATCH(COLUMNS($AC$1006:AC1006),$AC$1006:$AS$1006,0)), HYPERLINK("#",""), HYPERLINK(CONCATENATE("#Metadata!", ADDRESS(INDEX($X$2:$X$1001,MATCH(ROWS($V$2:V116),$V$2:$V$1001,0),0), INDEX($AC$1004:$AS$1004,1,MATCH(COLUMNS($AC$1006:AC1006),$AC$1006:$AS$1006,0)))),"Fix")))</f>
        <v>0</v>
      </c>
      <c r="C116" s="5">
        <f>IF(OR(INDEX($W$2:$W$1001,MATCH(ROWS($V$2:V116),$V$2:$V$1001,0),1)&gt;=100000,INDEX($AC$1005:$AS$1005,1,MATCH(COLUMNS($AC$1006:AD1006),$AC$1006:$AS$1006,0))&gt;=100000), " ",IF(INDEX($AC$2:$AS$1001,MATCH(ROWS($V$2:V116),$V$2:$V$1001,0),MATCH(COLUMNS($AC$1006:AD1006),$AC$1006:$AS$1006,0)), HYPERLINK("#",""), HYPERLINK(CONCATENATE("#Metadata!", ADDRESS(INDEX($X$2:$X$1001,MATCH(ROWS($V$2:V116),$V$2:$V$1001,0),0), INDEX($AC$1004:$AS$1004,1,MATCH(COLUMNS($AC$1006:AD1006),$AC$1006:$AS$1006,0)))),"Fix")))</f>
        <v>0</v>
      </c>
      <c r="D116" s="5">
        <f>IF(OR(INDEX($W$2:$W$1001,MATCH(ROWS($V$2:V116),$V$2:$V$1001,0),1)&gt;=100000,INDEX($AC$1005:$AS$1005,1,MATCH(COLUMNS($AC$1006:AE1006),$AC$1006:$AS$1006,0))&gt;=100000), " ",IF(INDEX($AC$2:$AS$1001,MATCH(ROWS($V$2:V116),$V$2:$V$1001,0),MATCH(COLUMNS($AC$1006:AE1006),$AC$1006:$AS$1006,0)), HYPERLINK("#",""), HYPERLINK(CONCATENATE("#Metadata!", ADDRESS(INDEX($X$2:$X$1001,MATCH(ROWS($V$2:V116),$V$2:$V$1001,0),0), INDEX($AC$1004:$AS$1004,1,MATCH(COLUMNS($AC$1006:AE1006),$AC$1006:$AS$1006,0)))),"Fix")))</f>
        <v>0</v>
      </c>
      <c r="E116" s="5">
        <f>IF(OR(INDEX($W$2:$W$1001,MATCH(ROWS($V$2:V116),$V$2:$V$1001,0),1)&gt;=100000,INDEX($AC$1005:$AS$1005,1,MATCH(COLUMNS($AC$1006:AF1006),$AC$1006:$AS$1006,0))&gt;=100000), " ",IF(INDEX($AC$2:$AS$1001,MATCH(ROWS($V$2:V116),$V$2:$V$1001,0),MATCH(COLUMNS($AC$1006:AF1006),$AC$1006:$AS$1006,0)), HYPERLINK("#",""), HYPERLINK(CONCATENATE("#Metadata!", ADDRESS(INDEX($X$2:$X$1001,MATCH(ROWS($V$2:V116),$V$2:$V$1001,0),0), INDEX($AC$1004:$AS$1004,1,MATCH(COLUMNS($AC$1006:AF1006),$AC$1006:$AS$1006,0)))),"Fix")))</f>
        <v>0</v>
      </c>
      <c r="F116" s="5">
        <f>IF(OR(INDEX($W$2:$W$1001,MATCH(ROWS($V$2:V116),$V$2:$V$1001,0),1)&gt;=100000,INDEX($AC$1005:$AS$1005,1,MATCH(COLUMNS($AC$1006:AG1006),$AC$1006:$AS$1006,0))&gt;=100000), " ",IF(INDEX($AC$2:$AS$1001,MATCH(ROWS($V$2:V116),$V$2:$V$1001,0),MATCH(COLUMNS($AC$1006:AG1006),$AC$1006:$AS$1006,0)), HYPERLINK("#",""), HYPERLINK(CONCATENATE("#Metadata!", ADDRESS(INDEX($X$2:$X$1001,MATCH(ROWS($V$2:V116),$V$2:$V$1001,0),0), INDEX($AC$1004:$AS$1004,1,MATCH(COLUMNS($AC$1006:AG1006),$AC$1006:$AS$1006,0)))),"Fix")))</f>
        <v>0</v>
      </c>
      <c r="G116" s="5">
        <f>IF(OR(INDEX($W$2:$W$1001,MATCH(ROWS($V$2:V116),$V$2:$V$1001,0),1)&gt;=100000,INDEX($AC$1005:$AS$1005,1,MATCH(COLUMNS($AC$1006:AH1006),$AC$1006:$AS$1006,0))&gt;=100000), " ",IF(INDEX($AC$2:$AS$1001,MATCH(ROWS($V$2:V116),$V$2:$V$1001,0),MATCH(COLUMNS($AC$1006:AH1006),$AC$1006:$AS$1006,0)), HYPERLINK("#",""), HYPERLINK(CONCATENATE("#Metadata!", ADDRESS(INDEX($X$2:$X$1001,MATCH(ROWS($V$2:V116),$V$2:$V$1001,0),0), INDEX($AC$1004:$AS$1004,1,MATCH(COLUMNS($AC$1006:AH1006),$AC$1006:$AS$1006,0)))),"Fix")))</f>
        <v>0</v>
      </c>
      <c r="H116" s="5">
        <f>IF(OR(INDEX($W$2:$W$1001,MATCH(ROWS($V$2:V116),$V$2:$V$1001,0),1)&gt;=100000,INDEX($AC$1005:$AS$1005,1,MATCH(COLUMNS($AC$1006:AI1006),$AC$1006:$AS$1006,0))&gt;=100000), " ",IF(INDEX($AC$2:$AS$1001,MATCH(ROWS($V$2:V116),$V$2:$V$1001,0),MATCH(COLUMNS($AC$1006:AI1006),$AC$1006:$AS$1006,0)), HYPERLINK("#",""), HYPERLINK(CONCATENATE("#Metadata!", ADDRESS(INDEX($X$2:$X$1001,MATCH(ROWS($V$2:V116),$V$2:$V$1001,0),0), INDEX($AC$1004:$AS$1004,1,MATCH(COLUMNS($AC$1006:AI1006),$AC$1006:$AS$1006,0)))),"Fix")))</f>
        <v>0</v>
      </c>
      <c r="I116" s="5">
        <f>IF(OR(INDEX($W$2:$W$1001,MATCH(ROWS($V$2:V116),$V$2:$V$1001,0),1)&gt;=100000,INDEX($AC$1005:$AS$1005,1,MATCH(COLUMNS($AC$1006:AJ1006),$AC$1006:$AS$1006,0))&gt;=100000), " ",IF(INDEX($AC$2:$AS$1001,MATCH(ROWS($V$2:V116),$V$2:$V$1001,0),MATCH(COLUMNS($AC$1006:AJ1006),$AC$1006:$AS$1006,0)), HYPERLINK("#",""), HYPERLINK(CONCATENATE("#Metadata!", ADDRESS(INDEX($X$2:$X$1001,MATCH(ROWS($V$2:V116),$V$2:$V$1001,0),0), INDEX($AC$1004:$AS$1004,1,MATCH(COLUMNS($AC$1006:AJ1006),$AC$1006:$AS$1006,0)))),"Fix")))</f>
        <v>0</v>
      </c>
      <c r="J116" s="5">
        <f>IF(OR(INDEX($W$2:$W$1001,MATCH(ROWS($V$2:V116),$V$2:$V$1001,0),1)&gt;=100000,INDEX($AC$1005:$AS$1005,1,MATCH(COLUMNS($AC$1006:AK1006),$AC$1006:$AS$1006,0))&gt;=100000), " ",IF(INDEX($AC$2:$AS$1001,MATCH(ROWS($V$2:V116),$V$2:$V$1001,0),MATCH(COLUMNS($AC$1006:AK1006),$AC$1006:$AS$1006,0)), HYPERLINK("#",""), HYPERLINK(CONCATENATE("#Metadata!", ADDRESS(INDEX($X$2:$X$1001,MATCH(ROWS($V$2:V116),$V$2:$V$1001,0),0), INDEX($AC$1004:$AS$1004,1,MATCH(COLUMNS($AC$1006:AK1006),$AC$1006:$AS$1006,0)))),"Fix")))</f>
        <v>0</v>
      </c>
      <c r="K116" s="5">
        <f>IF(OR(INDEX($W$2:$W$1001,MATCH(ROWS($V$2:V116),$V$2:$V$1001,0),1)&gt;=100000,INDEX($AC$1005:$AS$1005,1,MATCH(COLUMNS($AC$1006:AL1006),$AC$1006:$AS$1006,0))&gt;=100000), " ",IF(INDEX($AC$2:$AS$1001,MATCH(ROWS($V$2:V116),$V$2:$V$1001,0),MATCH(COLUMNS($AC$1006:AL1006),$AC$1006:$AS$1006,0)), HYPERLINK("#",""), HYPERLINK(CONCATENATE("#Metadata!", ADDRESS(INDEX($X$2:$X$1001,MATCH(ROWS($V$2:V116),$V$2:$V$1001,0),0), INDEX($AC$1004:$AS$1004,1,MATCH(COLUMNS($AC$1006:AL1006),$AC$1006:$AS$1006,0)))),"Fix")))</f>
        <v>0</v>
      </c>
      <c r="L116" s="5">
        <f>IF(OR(INDEX($W$2:$W$1001,MATCH(ROWS($V$2:V116),$V$2:$V$1001,0),1)&gt;=100000,INDEX($AC$1005:$AS$1005,1,MATCH(COLUMNS($AC$1006:AM1006),$AC$1006:$AS$1006,0))&gt;=100000), " ",IF(INDEX($AC$2:$AS$1001,MATCH(ROWS($V$2:V116),$V$2:$V$1001,0),MATCH(COLUMNS($AC$1006:AM1006),$AC$1006:$AS$1006,0)), HYPERLINK("#",""), HYPERLINK(CONCATENATE("#Metadata!", ADDRESS(INDEX($X$2:$X$1001,MATCH(ROWS($V$2:V116),$V$2:$V$1001,0),0), INDEX($AC$1004:$AS$1004,1,MATCH(COLUMNS($AC$1006:AM1006),$AC$1006:$AS$1006,0)))),"Fix")))</f>
        <v>0</v>
      </c>
      <c r="M116" s="5">
        <f>IF(OR(INDEX($W$2:$W$1001,MATCH(ROWS($V$2:V116),$V$2:$V$1001,0),1)&gt;=100000,INDEX($AC$1005:$AS$1005,1,MATCH(COLUMNS($AC$1006:AN1006),$AC$1006:$AS$1006,0))&gt;=100000), " ",IF(INDEX($AC$2:$AS$1001,MATCH(ROWS($V$2:V116),$V$2:$V$1001,0),MATCH(COLUMNS($AC$1006:AN1006),$AC$1006:$AS$1006,0)), HYPERLINK("#",""), HYPERLINK(CONCATENATE("#Metadata!", ADDRESS(INDEX($X$2:$X$1001,MATCH(ROWS($V$2:V116),$V$2:$V$1001,0),0), INDEX($AC$1004:$AS$1004,1,MATCH(COLUMNS($AC$1006:AN1006),$AC$1006:$AS$1006,0)))),"Fix")))</f>
        <v>0</v>
      </c>
      <c r="N116" s="5">
        <f>IF(OR(INDEX($W$2:$W$1001,MATCH(ROWS($V$2:V116),$V$2:$V$1001,0),1)&gt;=100000,INDEX($AC$1005:$AS$1005,1,MATCH(COLUMNS($AC$1006:AO1006),$AC$1006:$AS$1006,0))&gt;=100000), " ",IF(INDEX($AC$2:$AS$1001,MATCH(ROWS($V$2:V116),$V$2:$V$1001,0),MATCH(COLUMNS($AC$1006:AO1006),$AC$1006:$AS$1006,0)), HYPERLINK("#",""), HYPERLINK(CONCATENATE("#Metadata!", ADDRESS(INDEX($X$2:$X$1001,MATCH(ROWS($V$2:V116),$V$2:$V$1001,0),0), INDEX($AC$1004:$AS$1004,1,MATCH(COLUMNS($AC$1006:AO1006),$AC$1006:$AS$1006,0)))),"Fix")))</f>
        <v>0</v>
      </c>
      <c r="O116" s="5">
        <f>IF(OR(INDEX($W$2:$W$1001,MATCH(ROWS($V$2:V116),$V$2:$V$1001,0),1)&gt;=100000,INDEX($AC$1005:$AS$1005,1,MATCH(COLUMNS($AC$1006:AP1006),$AC$1006:$AS$1006,0))&gt;=100000), " ",IF(INDEX($AC$2:$AS$1001,MATCH(ROWS($V$2:V116),$V$2:$V$1001,0),MATCH(COLUMNS($AC$1006:AP1006),$AC$1006:$AS$1006,0)), HYPERLINK("#",""), HYPERLINK(CONCATENATE("#Metadata!", ADDRESS(INDEX($X$2:$X$1001,MATCH(ROWS($V$2:V116),$V$2:$V$1001,0),0), INDEX($AC$1004:$AS$1004,1,MATCH(COLUMNS($AC$1006:AP1006),$AC$1006:$AS$1006,0)))),"Fix")))</f>
        <v>0</v>
      </c>
      <c r="P116" s="5">
        <f>IF(OR(INDEX($W$2:$W$1001,MATCH(ROWS($V$2:V116),$V$2:$V$1001,0),1)&gt;=100000,INDEX($AC$1005:$AS$1005,1,MATCH(COLUMNS($AC$1006:AQ1006),$AC$1006:$AS$1006,0))&gt;=100000), " ",IF(INDEX($AC$2:$AS$1001,MATCH(ROWS($V$2:V116),$V$2:$V$1001,0),MATCH(COLUMNS($AC$1006:AQ1006),$AC$1006:$AS$1006,0)), HYPERLINK("#",""), HYPERLINK(CONCATENATE("#Metadata!", ADDRESS(INDEX($X$2:$X$1001,MATCH(ROWS($V$2:V116),$V$2:$V$1001,0),0), INDEX($AC$1004:$AS$1004,1,MATCH(COLUMNS($AC$1006:AQ1006),$AC$1006:$AS$1006,0)))),"Fix")))</f>
        <v>0</v>
      </c>
      <c r="Q116" s="5">
        <f>IF(OR(INDEX($W$2:$W$1001,MATCH(ROWS($V$2:V116),$V$2:$V$1001,0),1)&gt;=100000,INDEX($AC$1005:$AS$1005,1,MATCH(COLUMNS($AC$1006:AR1006),$AC$1006:$AS$1006,0))&gt;=100000), " ",IF(INDEX($AC$2:$AS$1001,MATCH(ROWS($V$2:V116),$V$2:$V$1001,0),MATCH(COLUMNS($AC$1006:AR1006),$AC$1006:$AS$1006,0)), HYPERLINK("#",""), HYPERLINK(CONCATENATE("#Metadata!", ADDRESS(INDEX($X$2:$X$1001,MATCH(ROWS($V$2:V116),$V$2:$V$1001,0),0), INDEX($AC$1004:$AS$1004,1,MATCH(COLUMNS($AC$1006:AR1006),$AC$1006:$AS$1006,0)))),"Fix")))</f>
        <v>0</v>
      </c>
      <c r="R116" s="5">
        <f>IF(OR(INDEX($W$2:$W$1001,MATCH(ROWS($V$2:V116),$V$2:$V$1001,0),1)&gt;=100000,INDEX($AC$1005:$AS$1005,1,MATCH(COLUMNS($AC$1006:AS1006),$AC$1006:$AS$1006,0))&gt;=100000), " ",IF(INDEX($AC$2:$AS$1001,MATCH(ROWS($V$2:V116),$V$2:$V$1001,0),MATCH(COLUMNS($AC$1006:AS1006),$AC$1006:$AS$1006,0)), HYPERLINK("#",""), HYPERLINK(CONCATENATE("#Metadata!", ADDRESS(INDEX($X$2:$X$1001,MATCH(ROWS($V$2:V116),$V$2:$V$1001,0),0), INDEX($AC$1004:$AS$1004,1,MATCH(COLUMNS($AC$1006:AS1006),$AC$1006:$AS$1006,0)))),"Fix")))</f>
        <v>0</v>
      </c>
      <c r="V116">
        <v>0</v>
      </c>
      <c r="W116">
        <v>0</v>
      </c>
      <c r="X116">
        <v>0</v>
      </c>
      <c r="Y116">
        <f>IF(Z116,TRUE,AND(AC116:AS116))</f>
        <v>0</v>
      </c>
      <c r="Z116">
        <f>COUNTBLANK(Metadata!B116:R116)=COLUMNS(Metadata!B116:R116)</f>
        <v>0</v>
      </c>
      <c r="AA116">
        <v>0</v>
      </c>
      <c r="AC116">
        <f>AND(IF(Metadata!B116="",FALSE,TRUE),COUNTIF(Metadata!B:B, Metadata!B116) = 1,NOT(ISERROR(SUMPRODUCT(SEARCH(MID(Metadata!B116,ROW(INDIRECT("1:"&amp;LEN(Metadata!B116))), 1),"0123456789abcdefghijklmnopqrstuvwxyzABCDEFGHIJKLMNOPQRSTUVWXYZ.")))))</f>
        <v>0</v>
      </c>
      <c r="AD116">
        <f>AND(IF(Metadata!C116="",FALSE,TRUE),exact(Metadata!C116,"Host-associated"))</f>
        <v>0</v>
      </c>
      <c r="AE116">
        <f>AND(IF(Metadata!D116="",FALSE,TRUE),OR(exact(Metadata!D116,"Animal"),exact(Metadata!D116,"Fungus"),exact(Metadata!D116,"Plant")))</f>
        <v>0</v>
      </c>
      <c r="AF116">
        <f>AND(IF(Metadata!E116="",FALSE,TRUE),OR(exact(Metadata!E116,"Plant secretion"),exact(Metadata!E116,"Plant rhizosphere"),exact(Metadata!E116,"Plant surface"),exact(Metadata!E116,"Plant corpus"),exact(Metadata!E116,"Fungus surface"),exact(Metadata!E116,"Fungus corpus"),exact(Metadata!E116,"Animal surface"),exact(Metadata!E116,"Animal proximal gut"),exact(Metadata!E116,"Animal corpus"),exact(Metadata!E116,"Animal distal gut"),exact(Metadata!E116,"Animal secretion")))</f>
        <v>0</v>
      </c>
      <c r="AG116">
        <f>OR(AND(IF(Metadata!F116="",FALSE,TRUE),OR(exact(Metadata!F116,"not collected"),exact(Metadata!F116,"not provided"),exact(Metadata!F116,"restricted access"))),AND(IF(Metadata!F116="",FALSE,TRUE),OR(exact(Metadata!F116,"organism-associated habitat"),exact(Metadata!F116,"plant-associated habitat"),exact(Metadata!F116,"animal-associated habitat"),exact(Metadata!F116,"insecta-associated habitat"),exact(Metadata!F116,"mammalia-associated habitat"),exact(Metadata!F116,"human-associated habitat"),exact(Metadata!F116,"livestock-associated habitat"))))</f>
        <v>0</v>
      </c>
      <c r="AH116">
        <f>AND(IF(Metadata!G116="",FALSE,TRUE),exact(Metadata!G116,"host-associated"))</f>
        <v>0</v>
      </c>
      <c r="AI116">
        <f>OR(AND(IF(Metadata!H116="",FALSE,TRUE),OR(exact(Metadata!H116,"not collected"),exact(Metadata!H116,"not provided"))),AND(IF(Metadata!H116="",FALSE,ISNUMBER(VALUE(Metadata!H116))),Metadata!H116&gt;0))</f>
        <v>0</v>
      </c>
      <c r="AJ116">
        <f>AND(IF(Metadata!I116="",FALSE,TRUE),exact(Metadata!I116,"years"))</f>
        <v>0</v>
      </c>
      <c r="AK116">
        <f>IF(Metadata!J116="",FALSE,TRUE)</f>
        <v>0</v>
      </c>
      <c r="AL116">
        <f>OR(AND(IF(Metadata!K116="",FALSE,TRUE),OR(exact(Metadata!K116,"not collected"),exact(Metadata!K116,"not provided"))),AND(IF(Metadata!K116="",FALSE,ISNUMBER(VALUE(Metadata!K116))),Metadata!K116&gt;0))</f>
        <v>0</v>
      </c>
      <c r="AM116">
        <f>AND(IF(Metadata!L116="",FALSE,TRUE),exact(Metadata!L116,"cm"))</f>
        <v>0</v>
      </c>
      <c r="AN116">
        <f>IF(Metadata!M116="",FALSE,TRUE)</f>
        <v>0</v>
      </c>
      <c r="AO116">
        <f>OR(AND(IF(Metadata!N116="",FALSE,TRUE),OR(exact(Metadata!N116,"not applicable"),exact(Metadata!N116,"not collected"),exact(Metadata!N116,"not provided"))),AND(IF(Metadata!N116="",FALSE,IF(ISERROR(INT(Metadata!N116)),FALSE,INT(Metadata!N116)=Metadata!N116)),Metadata!N116&gt;0))</f>
        <v>0</v>
      </c>
      <c r="AP116">
        <f>OR(AND(IF(Metadata!O116="",FALSE,TRUE),OR(exact(Metadata!O116,"not collected"),exact(Metadata!O116,"not provided"))),AND(IF(Metadata!O116="",FALSE,ISNUMBER(VALUE(Metadata!O116))),Metadata!O116&gt;0))</f>
        <v>0</v>
      </c>
      <c r="AQ116">
        <f>AND(IF(Metadata!P116="",FALSE,TRUE),exact(Metadata!P116,"kg"))</f>
        <v>0</v>
      </c>
      <c r="AR116">
        <f>OR(AND(IF(Metadata!Q116="",FALSE,TRUE),OR(exact(Metadata!Q116,"not applicable"),exact(Metadata!Q116,"not collected"),exact(Metadata!Q116,"not provided"),exact(Metadata!Q116,"restricted access"))),IF(Metadata!Q116="",FALSE,IF(ISERROR(INT(Metadata!Q116)),FALSE,INT(Metadata!Q116)=Metadata!Q116)))</f>
        <v>0</v>
      </c>
      <c r="AS116">
        <f>AND(IF(Metadata!R116="",FALSE,TRUE),exact(Metadata!R116,"Not applicable"))</f>
        <v>0</v>
      </c>
    </row>
    <row r="117" spans="1:45">
      <c r="A117" s="4">
        <f>IF(B117=" "," ",HYPERLINK(CONCATENATE("#metadata!",ADDRESS(INDEX($X$2:$X$1001,MATCH(ROWS($V$2:V117),$V$2:$V$1001,0),0),2)),INDEX($AA$2:$AA$1001,MATCH(ROWS($V$2:V117),$V$2:$V$1001,0),0)))</f>
        <v>0</v>
      </c>
      <c r="B117" s="5">
        <f>IF(OR(INDEX($W$2:$W$1001,MATCH(ROWS($V$2:V117),$V$2:$V$1001,0),1)&gt;=100000,INDEX($AC$1005:$AS$1005,1,MATCH(COLUMNS($AC$1006:AC1006),$AC$1006:$AS$1006,0))&gt;=100000), " ",IF(INDEX($AC$2:$AS$1001,MATCH(ROWS($V$2:V117),$V$2:$V$1001,0),MATCH(COLUMNS($AC$1006:AC1006),$AC$1006:$AS$1006,0)), HYPERLINK("#",""), HYPERLINK(CONCATENATE("#Metadata!", ADDRESS(INDEX($X$2:$X$1001,MATCH(ROWS($V$2:V117),$V$2:$V$1001,0),0), INDEX($AC$1004:$AS$1004,1,MATCH(COLUMNS($AC$1006:AC1006),$AC$1006:$AS$1006,0)))),"Fix")))</f>
        <v>0</v>
      </c>
      <c r="C117" s="5">
        <f>IF(OR(INDEX($W$2:$W$1001,MATCH(ROWS($V$2:V117),$V$2:$V$1001,0),1)&gt;=100000,INDEX($AC$1005:$AS$1005,1,MATCH(COLUMNS($AC$1006:AD1006),$AC$1006:$AS$1006,0))&gt;=100000), " ",IF(INDEX($AC$2:$AS$1001,MATCH(ROWS($V$2:V117),$V$2:$V$1001,0),MATCH(COLUMNS($AC$1006:AD1006),$AC$1006:$AS$1006,0)), HYPERLINK("#",""), HYPERLINK(CONCATENATE("#Metadata!", ADDRESS(INDEX($X$2:$X$1001,MATCH(ROWS($V$2:V117),$V$2:$V$1001,0),0), INDEX($AC$1004:$AS$1004,1,MATCH(COLUMNS($AC$1006:AD1006),$AC$1006:$AS$1006,0)))),"Fix")))</f>
        <v>0</v>
      </c>
      <c r="D117" s="5">
        <f>IF(OR(INDEX($W$2:$W$1001,MATCH(ROWS($V$2:V117),$V$2:$V$1001,0),1)&gt;=100000,INDEX($AC$1005:$AS$1005,1,MATCH(COLUMNS($AC$1006:AE1006),$AC$1006:$AS$1006,0))&gt;=100000), " ",IF(INDEX($AC$2:$AS$1001,MATCH(ROWS($V$2:V117),$V$2:$V$1001,0),MATCH(COLUMNS($AC$1006:AE1006),$AC$1006:$AS$1006,0)), HYPERLINK("#",""), HYPERLINK(CONCATENATE("#Metadata!", ADDRESS(INDEX($X$2:$X$1001,MATCH(ROWS($V$2:V117),$V$2:$V$1001,0),0), INDEX($AC$1004:$AS$1004,1,MATCH(COLUMNS($AC$1006:AE1006),$AC$1006:$AS$1006,0)))),"Fix")))</f>
        <v>0</v>
      </c>
      <c r="E117" s="5">
        <f>IF(OR(INDEX($W$2:$W$1001,MATCH(ROWS($V$2:V117),$V$2:$V$1001,0),1)&gt;=100000,INDEX($AC$1005:$AS$1005,1,MATCH(COLUMNS($AC$1006:AF1006),$AC$1006:$AS$1006,0))&gt;=100000), " ",IF(INDEX($AC$2:$AS$1001,MATCH(ROWS($V$2:V117),$V$2:$V$1001,0),MATCH(COLUMNS($AC$1006:AF1006),$AC$1006:$AS$1006,0)), HYPERLINK("#",""), HYPERLINK(CONCATENATE("#Metadata!", ADDRESS(INDEX($X$2:$X$1001,MATCH(ROWS($V$2:V117),$V$2:$V$1001,0),0), INDEX($AC$1004:$AS$1004,1,MATCH(COLUMNS($AC$1006:AF1006),$AC$1006:$AS$1006,0)))),"Fix")))</f>
        <v>0</v>
      </c>
      <c r="F117" s="5">
        <f>IF(OR(INDEX($W$2:$W$1001,MATCH(ROWS($V$2:V117),$V$2:$V$1001,0),1)&gt;=100000,INDEX($AC$1005:$AS$1005,1,MATCH(COLUMNS($AC$1006:AG1006),$AC$1006:$AS$1006,0))&gt;=100000), " ",IF(INDEX($AC$2:$AS$1001,MATCH(ROWS($V$2:V117),$V$2:$V$1001,0),MATCH(COLUMNS($AC$1006:AG1006),$AC$1006:$AS$1006,0)), HYPERLINK("#",""), HYPERLINK(CONCATENATE("#Metadata!", ADDRESS(INDEX($X$2:$X$1001,MATCH(ROWS($V$2:V117),$V$2:$V$1001,0),0), INDEX($AC$1004:$AS$1004,1,MATCH(COLUMNS($AC$1006:AG1006),$AC$1006:$AS$1006,0)))),"Fix")))</f>
        <v>0</v>
      </c>
      <c r="G117" s="5">
        <f>IF(OR(INDEX($W$2:$W$1001,MATCH(ROWS($V$2:V117),$V$2:$V$1001,0),1)&gt;=100000,INDEX($AC$1005:$AS$1005,1,MATCH(COLUMNS($AC$1006:AH1006),$AC$1006:$AS$1006,0))&gt;=100000), " ",IF(INDEX($AC$2:$AS$1001,MATCH(ROWS($V$2:V117),$V$2:$V$1001,0),MATCH(COLUMNS($AC$1006:AH1006),$AC$1006:$AS$1006,0)), HYPERLINK("#",""), HYPERLINK(CONCATENATE("#Metadata!", ADDRESS(INDEX($X$2:$X$1001,MATCH(ROWS($V$2:V117),$V$2:$V$1001,0),0), INDEX($AC$1004:$AS$1004,1,MATCH(COLUMNS($AC$1006:AH1006),$AC$1006:$AS$1006,0)))),"Fix")))</f>
        <v>0</v>
      </c>
      <c r="H117" s="5">
        <f>IF(OR(INDEX($W$2:$W$1001,MATCH(ROWS($V$2:V117),$V$2:$V$1001,0),1)&gt;=100000,INDEX($AC$1005:$AS$1005,1,MATCH(COLUMNS($AC$1006:AI1006),$AC$1006:$AS$1006,0))&gt;=100000), " ",IF(INDEX($AC$2:$AS$1001,MATCH(ROWS($V$2:V117),$V$2:$V$1001,0),MATCH(COLUMNS($AC$1006:AI1006),$AC$1006:$AS$1006,0)), HYPERLINK("#",""), HYPERLINK(CONCATENATE("#Metadata!", ADDRESS(INDEX($X$2:$X$1001,MATCH(ROWS($V$2:V117),$V$2:$V$1001,0),0), INDEX($AC$1004:$AS$1004,1,MATCH(COLUMNS($AC$1006:AI1006),$AC$1006:$AS$1006,0)))),"Fix")))</f>
        <v>0</v>
      </c>
      <c r="I117" s="5">
        <f>IF(OR(INDEX($W$2:$W$1001,MATCH(ROWS($V$2:V117),$V$2:$V$1001,0),1)&gt;=100000,INDEX($AC$1005:$AS$1005,1,MATCH(COLUMNS($AC$1006:AJ1006),$AC$1006:$AS$1006,0))&gt;=100000), " ",IF(INDEX($AC$2:$AS$1001,MATCH(ROWS($V$2:V117),$V$2:$V$1001,0),MATCH(COLUMNS($AC$1006:AJ1006),$AC$1006:$AS$1006,0)), HYPERLINK("#",""), HYPERLINK(CONCATENATE("#Metadata!", ADDRESS(INDEX($X$2:$X$1001,MATCH(ROWS($V$2:V117),$V$2:$V$1001,0),0), INDEX($AC$1004:$AS$1004,1,MATCH(COLUMNS($AC$1006:AJ1006),$AC$1006:$AS$1006,0)))),"Fix")))</f>
        <v>0</v>
      </c>
      <c r="J117" s="5">
        <f>IF(OR(INDEX($W$2:$W$1001,MATCH(ROWS($V$2:V117),$V$2:$V$1001,0),1)&gt;=100000,INDEX($AC$1005:$AS$1005,1,MATCH(COLUMNS($AC$1006:AK1006),$AC$1006:$AS$1006,0))&gt;=100000), " ",IF(INDEX($AC$2:$AS$1001,MATCH(ROWS($V$2:V117),$V$2:$V$1001,0),MATCH(COLUMNS($AC$1006:AK1006),$AC$1006:$AS$1006,0)), HYPERLINK("#",""), HYPERLINK(CONCATENATE("#Metadata!", ADDRESS(INDEX($X$2:$X$1001,MATCH(ROWS($V$2:V117),$V$2:$V$1001,0),0), INDEX($AC$1004:$AS$1004,1,MATCH(COLUMNS($AC$1006:AK1006),$AC$1006:$AS$1006,0)))),"Fix")))</f>
        <v>0</v>
      </c>
      <c r="K117" s="5">
        <f>IF(OR(INDEX($W$2:$W$1001,MATCH(ROWS($V$2:V117),$V$2:$V$1001,0),1)&gt;=100000,INDEX($AC$1005:$AS$1005,1,MATCH(COLUMNS($AC$1006:AL1006),$AC$1006:$AS$1006,0))&gt;=100000), " ",IF(INDEX($AC$2:$AS$1001,MATCH(ROWS($V$2:V117),$V$2:$V$1001,0),MATCH(COLUMNS($AC$1006:AL1006),$AC$1006:$AS$1006,0)), HYPERLINK("#",""), HYPERLINK(CONCATENATE("#Metadata!", ADDRESS(INDEX($X$2:$X$1001,MATCH(ROWS($V$2:V117),$V$2:$V$1001,0),0), INDEX($AC$1004:$AS$1004,1,MATCH(COLUMNS($AC$1006:AL1006),$AC$1006:$AS$1006,0)))),"Fix")))</f>
        <v>0</v>
      </c>
      <c r="L117" s="5">
        <f>IF(OR(INDEX($W$2:$W$1001,MATCH(ROWS($V$2:V117),$V$2:$V$1001,0),1)&gt;=100000,INDEX($AC$1005:$AS$1005,1,MATCH(COLUMNS($AC$1006:AM1006),$AC$1006:$AS$1006,0))&gt;=100000), " ",IF(INDEX($AC$2:$AS$1001,MATCH(ROWS($V$2:V117),$V$2:$V$1001,0),MATCH(COLUMNS($AC$1006:AM1006),$AC$1006:$AS$1006,0)), HYPERLINK("#",""), HYPERLINK(CONCATENATE("#Metadata!", ADDRESS(INDEX($X$2:$X$1001,MATCH(ROWS($V$2:V117),$V$2:$V$1001,0),0), INDEX($AC$1004:$AS$1004,1,MATCH(COLUMNS($AC$1006:AM1006),$AC$1006:$AS$1006,0)))),"Fix")))</f>
        <v>0</v>
      </c>
      <c r="M117" s="5">
        <f>IF(OR(INDEX($W$2:$W$1001,MATCH(ROWS($V$2:V117),$V$2:$V$1001,0),1)&gt;=100000,INDEX($AC$1005:$AS$1005,1,MATCH(COLUMNS($AC$1006:AN1006),$AC$1006:$AS$1006,0))&gt;=100000), " ",IF(INDEX($AC$2:$AS$1001,MATCH(ROWS($V$2:V117),$V$2:$V$1001,0),MATCH(COLUMNS($AC$1006:AN1006),$AC$1006:$AS$1006,0)), HYPERLINK("#",""), HYPERLINK(CONCATENATE("#Metadata!", ADDRESS(INDEX($X$2:$X$1001,MATCH(ROWS($V$2:V117),$V$2:$V$1001,0),0), INDEX($AC$1004:$AS$1004,1,MATCH(COLUMNS($AC$1006:AN1006),$AC$1006:$AS$1006,0)))),"Fix")))</f>
        <v>0</v>
      </c>
      <c r="N117" s="5">
        <f>IF(OR(INDEX($W$2:$W$1001,MATCH(ROWS($V$2:V117),$V$2:$V$1001,0),1)&gt;=100000,INDEX($AC$1005:$AS$1005,1,MATCH(COLUMNS($AC$1006:AO1006),$AC$1006:$AS$1006,0))&gt;=100000), " ",IF(INDEX($AC$2:$AS$1001,MATCH(ROWS($V$2:V117),$V$2:$V$1001,0),MATCH(COLUMNS($AC$1006:AO1006),$AC$1006:$AS$1006,0)), HYPERLINK("#",""), HYPERLINK(CONCATENATE("#Metadata!", ADDRESS(INDEX($X$2:$X$1001,MATCH(ROWS($V$2:V117),$V$2:$V$1001,0),0), INDEX($AC$1004:$AS$1004,1,MATCH(COLUMNS($AC$1006:AO1006),$AC$1006:$AS$1006,0)))),"Fix")))</f>
        <v>0</v>
      </c>
      <c r="O117" s="5">
        <f>IF(OR(INDEX($W$2:$W$1001,MATCH(ROWS($V$2:V117),$V$2:$V$1001,0),1)&gt;=100000,INDEX($AC$1005:$AS$1005,1,MATCH(COLUMNS($AC$1006:AP1006),$AC$1006:$AS$1006,0))&gt;=100000), " ",IF(INDEX($AC$2:$AS$1001,MATCH(ROWS($V$2:V117),$V$2:$V$1001,0),MATCH(COLUMNS($AC$1006:AP1006),$AC$1006:$AS$1006,0)), HYPERLINK("#",""), HYPERLINK(CONCATENATE("#Metadata!", ADDRESS(INDEX($X$2:$X$1001,MATCH(ROWS($V$2:V117),$V$2:$V$1001,0),0), INDEX($AC$1004:$AS$1004,1,MATCH(COLUMNS($AC$1006:AP1006),$AC$1006:$AS$1006,0)))),"Fix")))</f>
        <v>0</v>
      </c>
      <c r="P117" s="5">
        <f>IF(OR(INDEX($W$2:$W$1001,MATCH(ROWS($V$2:V117),$V$2:$V$1001,0),1)&gt;=100000,INDEX($AC$1005:$AS$1005,1,MATCH(COLUMNS($AC$1006:AQ1006),$AC$1006:$AS$1006,0))&gt;=100000), " ",IF(INDEX($AC$2:$AS$1001,MATCH(ROWS($V$2:V117),$V$2:$V$1001,0),MATCH(COLUMNS($AC$1006:AQ1006),$AC$1006:$AS$1006,0)), HYPERLINK("#",""), HYPERLINK(CONCATENATE("#Metadata!", ADDRESS(INDEX($X$2:$X$1001,MATCH(ROWS($V$2:V117),$V$2:$V$1001,0),0), INDEX($AC$1004:$AS$1004,1,MATCH(COLUMNS($AC$1006:AQ1006),$AC$1006:$AS$1006,0)))),"Fix")))</f>
        <v>0</v>
      </c>
      <c r="Q117" s="5">
        <f>IF(OR(INDEX($W$2:$W$1001,MATCH(ROWS($V$2:V117),$V$2:$V$1001,0),1)&gt;=100000,INDEX($AC$1005:$AS$1005,1,MATCH(COLUMNS($AC$1006:AR1006),$AC$1006:$AS$1006,0))&gt;=100000), " ",IF(INDEX($AC$2:$AS$1001,MATCH(ROWS($V$2:V117),$V$2:$V$1001,0),MATCH(COLUMNS($AC$1006:AR1006),$AC$1006:$AS$1006,0)), HYPERLINK("#",""), HYPERLINK(CONCATENATE("#Metadata!", ADDRESS(INDEX($X$2:$X$1001,MATCH(ROWS($V$2:V117),$V$2:$V$1001,0),0), INDEX($AC$1004:$AS$1004,1,MATCH(COLUMNS($AC$1006:AR1006),$AC$1006:$AS$1006,0)))),"Fix")))</f>
        <v>0</v>
      </c>
      <c r="R117" s="5">
        <f>IF(OR(INDEX($W$2:$W$1001,MATCH(ROWS($V$2:V117),$V$2:$V$1001,0),1)&gt;=100000,INDEX($AC$1005:$AS$1005,1,MATCH(COLUMNS($AC$1006:AS1006),$AC$1006:$AS$1006,0))&gt;=100000), " ",IF(INDEX($AC$2:$AS$1001,MATCH(ROWS($V$2:V117),$V$2:$V$1001,0),MATCH(COLUMNS($AC$1006:AS1006),$AC$1006:$AS$1006,0)), HYPERLINK("#",""), HYPERLINK(CONCATENATE("#Metadata!", ADDRESS(INDEX($X$2:$X$1001,MATCH(ROWS($V$2:V117),$V$2:$V$1001,0),0), INDEX($AC$1004:$AS$1004,1,MATCH(COLUMNS($AC$1006:AS1006),$AC$1006:$AS$1006,0)))),"Fix")))</f>
        <v>0</v>
      </c>
      <c r="V117">
        <v>0</v>
      </c>
      <c r="W117">
        <v>0</v>
      </c>
      <c r="X117">
        <v>0</v>
      </c>
      <c r="Y117">
        <f>IF(Z117,TRUE,AND(AC117:AS117))</f>
        <v>0</v>
      </c>
      <c r="Z117">
        <f>COUNTBLANK(Metadata!B117:R117)=COLUMNS(Metadata!B117:R117)</f>
        <v>0</v>
      </c>
      <c r="AA117">
        <v>0</v>
      </c>
      <c r="AC117">
        <f>AND(IF(Metadata!B117="",FALSE,TRUE),COUNTIF(Metadata!B:B, Metadata!B117) = 1,NOT(ISERROR(SUMPRODUCT(SEARCH(MID(Metadata!B117,ROW(INDIRECT("1:"&amp;LEN(Metadata!B117))), 1),"0123456789abcdefghijklmnopqrstuvwxyzABCDEFGHIJKLMNOPQRSTUVWXYZ.")))))</f>
        <v>0</v>
      </c>
      <c r="AD117">
        <f>AND(IF(Metadata!C117="",FALSE,TRUE),exact(Metadata!C117,"Host-associated"))</f>
        <v>0</v>
      </c>
      <c r="AE117">
        <f>AND(IF(Metadata!D117="",FALSE,TRUE),OR(exact(Metadata!D117,"Animal"),exact(Metadata!D117,"Fungus"),exact(Metadata!D117,"Plant")))</f>
        <v>0</v>
      </c>
      <c r="AF117">
        <f>AND(IF(Metadata!E117="",FALSE,TRUE),OR(exact(Metadata!E117,"Plant secretion"),exact(Metadata!E117,"Plant rhizosphere"),exact(Metadata!E117,"Plant surface"),exact(Metadata!E117,"Plant corpus"),exact(Metadata!E117,"Fungus surface"),exact(Metadata!E117,"Fungus corpus"),exact(Metadata!E117,"Animal surface"),exact(Metadata!E117,"Animal proximal gut"),exact(Metadata!E117,"Animal corpus"),exact(Metadata!E117,"Animal distal gut"),exact(Metadata!E117,"Animal secretion")))</f>
        <v>0</v>
      </c>
      <c r="AG117">
        <f>OR(AND(IF(Metadata!F117="",FALSE,TRUE),OR(exact(Metadata!F117,"not collected"),exact(Metadata!F117,"not provided"),exact(Metadata!F117,"restricted access"))),AND(IF(Metadata!F117="",FALSE,TRUE),OR(exact(Metadata!F117,"organism-associated habitat"),exact(Metadata!F117,"plant-associated habitat"),exact(Metadata!F117,"animal-associated habitat"),exact(Metadata!F117,"insecta-associated habitat"),exact(Metadata!F117,"mammalia-associated habitat"),exact(Metadata!F117,"human-associated habitat"),exact(Metadata!F117,"livestock-associated habitat"))))</f>
        <v>0</v>
      </c>
      <c r="AH117">
        <f>AND(IF(Metadata!G117="",FALSE,TRUE),exact(Metadata!G117,"host-associated"))</f>
        <v>0</v>
      </c>
      <c r="AI117">
        <f>OR(AND(IF(Metadata!H117="",FALSE,TRUE),OR(exact(Metadata!H117,"not collected"),exact(Metadata!H117,"not provided"))),AND(IF(Metadata!H117="",FALSE,ISNUMBER(VALUE(Metadata!H117))),Metadata!H117&gt;0))</f>
        <v>0</v>
      </c>
      <c r="AJ117">
        <f>AND(IF(Metadata!I117="",FALSE,TRUE),exact(Metadata!I117,"years"))</f>
        <v>0</v>
      </c>
      <c r="AK117">
        <f>IF(Metadata!J117="",FALSE,TRUE)</f>
        <v>0</v>
      </c>
      <c r="AL117">
        <f>OR(AND(IF(Metadata!K117="",FALSE,TRUE),OR(exact(Metadata!K117,"not collected"),exact(Metadata!K117,"not provided"))),AND(IF(Metadata!K117="",FALSE,ISNUMBER(VALUE(Metadata!K117))),Metadata!K117&gt;0))</f>
        <v>0</v>
      </c>
      <c r="AM117">
        <f>AND(IF(Metadata!L117="",FALSE,TRUE),exact(Metadata!L117,"cm"))</f>
        <v>0</v>
      </c>
      <c r="AN117">
        <f>IF(Metadata!M117="",FALSE,TRUE)</f>
        <v>0</v>
      </c>
      <c r="AO117">
        <f>OR(AND(IF(Metadata!N117="",FALSE,TRUE),OR(exact(Metadata!N117,"not applicable"),exact(Metadata!N117,"not collected"),exact(Metadata!N117,"not provided"))),AND(IF(Metadata!N117="",FALSE,IF(ISERROR(INT(Metadata!N117)),FALSE,INT(Metadata!N117)=Metadata!N117)),Metadata!N117&gt;0))</f>
        <v>0</v>
      </c>
      <c r="AP117">
        <f>OR(AND(IF(Metadata!O117="",FALSE,TRUE),OR(exact(Metadata!O117,"not collected"),exact(Metadata!O117,"not provided"))),AND(IF(Metadata!O117="",FALSE,ISNUMBER(VALUE(Metadata!O117))),Metadata!O117&gt;0))</f>
        <v>0</v>
      </c>
      <c r="AQ117">
        <f>AND(IF(Metadata!P117="",FALSE,TRUE),exact(Metadata!P117,"kg"))</f>
        <v>0</v>
      </c>
      <c r="AR117">
        <f>OR(AND(IF(Metadata!Q117="",FALSE,TRUE),OR(exact(Metadata!Q117,"not applicable"),exact(Metadata!Q117,"not collected"),exact(Metadata!Q117,"not provided"),exact(Metadata!Q117,"restricted access"))),IF(Metadata!Q117="",FALSE,IF(ISERROR(INT(Metadata!Q117)),FALSE,INT(Metadata!Q117)=Metadata!Q117)))</f>
        <v>0</v>
      </c>
      <c r="AS117">
        <f>AND(IF(Metadata!R117="",FALSE,TRUE),exact(Metadata!R117,"Not applicable"))</f>
        <v>0</v>
      </c>
    </row>
    <row r="118" spans="1:45">
      <c r="A118" s="4">
        <f>IF(B118=" "," ",HYPERLINK(CONCATENATE("#metadata!",ADDRESS(INDEX($X$2:$X$1001,MATCH(ROWS($V$2:V118),$V$2:$V$1001,0),0),2)),INDEX($AA$2:$AA$1001,MATCH(ROWS($V$2:V118),$V$2:$V$1001,0),0)))</f>
        <v>0</v>
      </c>
      <c r="B118" s="5">
        <f>IF(OR(INDEX($W$2:$W$1001,MATCH(ROWS($V$2:V118),$V$2:$V$1001,0),1)&gt;=100000,INDEX($AC$1005:$AS$1005,1,MATCH(COLUMNS($AC$1006:AC1006),$AC$1006:$AS$1006,0))&gt;=100000), " ",IF(INDEX($AC$2:$AS$1001,MATCH(ROWS($V$2:V118),$V$2:$V$1001,0),MATCH(COLUMNS($AC$1006:AC1006),$AC$1006:$AS$1006,0)), HYPERLINK("#",""), HYPERLINK(CONCATENATE("#Metadata!", ADDRESS(INDEX($X$2:$X$1001,MATCH(ROWS($V$2:V118),$V$2:$V$1001,0),0), INDEX($AC$1004:$AS$1004,1,MATCH(COLUMNS($AC$1006:AC1006),$AC$1006:$AS$1006,0)))),"Fix")))</f>
        <v>0</v>
      </c>
      <c r="C118" s="5">
        <f>IF(OR(INDEX($W$2:$W$1001,MATCH(ROWS($V$2:V118),$V$2:$V$1001,0),1)&gt;=100000,INDEX($AC$1005:$AS$1005,1,MATCH(COLUMNS($AC$1006:AD1006),$AC$1006:$AS$1006,0))&gt;=100000), " ",IF(INDEX($AC$2:$AS$1001,MATCH(ROWS($V$2:V118),$V$2:$V$1001,0),MATCH(COLUMNS($AC$1006:AD1006),$AC$1006:$AS$1006,0)), HYPERLINK("#",""), HYPERLINK(CONCATENATE("#Metadata!", ADDRESS(INDEX($X$2:$X$1001,MATCH(ROWS($V$2:V118),$V$2:$V$1001,0),0), INDEX($AC$1004:$AS$1004,1,MATCH(COLUMNS($AC$1006:AD1006),$AC$1006:$AS$1006,0)))),"Fix")))</f>
        <v>0</v>
      </c>
      <c r="D118" s="5">
        <f>IF(OR(INDEX($W$2:$W$1001,MATCH(ROWS($V$2:V118),$V$2:$V$1001,0),1)&gt;=100000,INDEX($AC$1005:$AS$1005,1,MATCH(COLUMNS($AC$1006:AE1006),$AC$1006:$AS$1006,0))&gt;=100000), " ",IF(INDEX($AC$2:$AS$1001,MATCH(ROWS($V$2:V118),$V$2:$V$1001,0),MATCH(COLUMNS($AC$1006:AE1006),$AC$1006:$AS$1006,0)), HYPERLINK("#",""), HYPERLINK(CONCATENATE("#Metadata!", ADDRESS(INDEX($X$2:$X$1001,MATCH(ROWS($V$2:V118),$V$2:$V$1001,0),0), INDEX($AC$1004:$AS$1004,1,MATCH(COLUMNS($AC$1006:AE1006),$AC$1006:$AS$1006,0)))),"Fix")))</f>
        <v>0</v>
      </c>
      <c r="E118" s="5">
        <f>IF(OR(INDEX($W$2:$W$1001,MATCH(ROWS($V$2:V118),$V$2:$V$1001,0),1)&gt;=100000,INDEX($AC$1005:$AS$1005,1,MATCH(COLUMNS($AC$1006:AF1006),$AC$1006:$AS$1006,0))&gt;=100000), " ",IF(INDEX($AC$2:$AS$1001,MATCH(ROWS($V$2:V118),$V$2:$V$1001,0),MATCH(COLUMNS($AC$1006:AF1006),$AC$1006:$AS$1006,0)), HYPERLINK("#",""), HYPERLINK(CONCATENATE("#Metadata!", ADDRESS(INDEX($X$2:$X$1001,MATCH(ROWS($V$2:V118),$V$2:$V$1001,0),0), INDEX($AC$1004:$AS$1004,1,MATCH(COLUMNS($AC$1006:AF1006),$AC$1006:$AS$1006,0)))),"Fix")))</f>
        <v>0</v>
      </c>
      <c r="F118" s="5">
        <f>IF(OR(INDEX($W$2:$W$1001,MATCH(ROWS($V$2:V118),$V$2:$V$1001,0),1)&gt;=100000,INDEX($AC$1005:$AS$1005,1,MATCH(COLUMNS($AC$1006:AG1006),$AC$1006:$AS$1006,0))&gt;=100000), " ",IF(INDEX($AC$2:$AS$1001,MATCH(ROWS($V$2:V118),$V$2:$V$1001,0),MATCH(COLUMNS($AC$1006:AG1006),$AC$1006:$AS$1006,0)), HYPERLINK("#",""), HYPERLINK(CONCATENATE("#Metadata!", ADDRESS(INDEX($X$2:$X$1001,MATCH(ROWS($V$2:V118),$V$2:$V$1001,0),0), INDEX($AC$1004:$AS$1004,1,MATCH(COLUMNS($AC$1006:AG1006),$AC$1006:$AS$1006,0)))),"Fix")))</f>
        <v>0</v>
      </c>
      <c r="G118" s="5">
        <f>IF(OR(INDEX($W$2:$W$1001,MATCH(ROWS($V$2:V118),$V$2:$V$1001,0),1)&gt;=100000,INDEX($AC$1005:$AS$1005,1,MATCH(COLUMNS($AC$1006:AH1006),$AC$1006:$AS$1006,0))&gt;=100000), " ",IF(INDEX($AC$2:$AS$1001,MATCH(ROWS($V$2:V118),$V$2:$V$1001,0),MATCH(COLUMNS($AC$1006:AH1006),$AC$1006:$AS$1006,0)), HYPERLINK("#",""), HYPERLINK(CONCATENATE("#Metadata!", ADDRESS(INDEX($X$2:$X$1001,MATCH(ROWS($V$2:V118),$V$2:$V$1001,0),0), INDEX($AC$1004:$AS$1004,1,MATCH(COLUMNS($AC$1006:AH1006),$AC$1006:$AS$1006,0)))),"Fix")))</f>
        <v>0</v>
      </c>
      <c r="H118" s="5">
        <f>IF(OR(INDEX($W$2:$W$1001,MATCH(ROWS($V$2:V118),$V$2:$V$1001,0),1)&gt;=100000,INDEX($AC$1005:$AS$1005,1,MATCH(COLUMNS($AC$1006:AI1006),$AC$1006:$AS$1006,0))&gt;=100000), " ",IF(INDEX($AC$2:$AS$1001,MATCH(ROWS($V$2:V118),$V$2:$V$1001,0),MATCH(COLUMNS($AC$1006:AI1006),$AC$1006:$AS$1006,0)), HYPERLINK("#",""), HYPERLINK(CONCATENATE("#Metadata!", ADDRESS(INDEX($X$2:$X$1001,MATCH(ROWS($V$2:V118),$V$2:$V$1001,0),0), INDEX($AC$1004:$AS$1004,1,MATCH(COLUMNS($AC$1006:AI1006),$AC$1006:$AS$1006,0)))),"Fix")))</f>
        <v>0</v>
      </c>
      <c r="I118" s="5">
        <f>IF(OR(INDEX($W$2:$W$1001,MATCH(ROWS($V$2:V118),$V$2:$V$1001,0),1)&gt;=100000,INDEX($AC$1005:$AS$1005,1,MATCH(COLUMNS($AC$1006:AJ1006),$AC$1006:$AS$1006,0))&gt;=100000), " ",IF(INDEX($AC$2:$AS$1001,MATCH(ROWS($V$2:V118),$V$2:$V$1001,0),MATCH(COLUMNS($AC$1006:AJ1006),$AC$1006:$AS$1006,0)), HYPERLINK("#",""), HYPERLINK(CONCATENATE("#Metadata!", ADDRESS(INDEX($X$2:$X$1001,MATCH(ROWS($V$2:V118),$V$2:$V$1001,0),0), INDEX($AC$1004:$AS$1004,1,MATCH(COLUMNS($AC$1006:AJ1006),$AC$1006:$AS$1006,0)))),"Fix")))</f>
        <v>0</v>
      </c>
      <c r="J118" s="5">
        <f>IF(OR(INDEX($W$2:$W$1001,MATCH(ROWS($V$2:V118),$V$2:$V$1001,0),1)&gt;=100000,INDEX($AC$1005:$AS$1005,1,MATCH(COLUMNS($AC$1006:AK1006),$AC$1006:$AS$1006,0))&gt;=100000), " ",IF(INDEX($AC$2:$AS$1001,MATCH(ROWS($V$2:V118),$V$2:$V$1001,0),MATCH(COLUMNS($AC$1006:AK1006),$AC$1006:$AS$1006,0)), HYPERLINK("#",""), HYPERLINK(CONCATENATE("#Metadata!", ADDRESS(INDEX($X$2:$X$1001,MATCH(ROWS($V$2:V118),$V$2:$V$1001,0),0), INDEX($AC$1004:$AS$1004,1,MATCH(COLUMNS($AC$1006:AK1006),$AC$1006:$AS$1006,0)))),"Fix")))</f>
        <v>0</v>
      </c>
      <c r="K118" s="5">
        <f>IF(OR(INDEX($W$2:$W$1001,MATCH(ROWS($V$2:V118),$V$2:$V$1001,0),1)&gt;=100000,INDEX($AC$1005:$AS$1005,1,MATCH(COLUMNS($AC$1006:AL1006),$AC$1006:$AS$1006,0))&gt;=100000), " ",IF(INDEX($AC$2:$AS$1001,MATCH(ROWS($V$2:V118),$V$2:$V$1001,0),MATCH(COLUMNS($AC$1006:AL1006),$AC$1006:$AS$1006,0)), HYPERLINK("#",""), HYPERLINK(CONCATENATE("#Metadata!", ADDRESS(INDEX($X$2:$X$1001,MATCH(ROWS($V$2:V118),$V$2:$V$1001,0),0), INDEX($AC$1004:$AS$1004,1,MATCH(COLUMNS($AC$1006:AL1006),$AC$1006:$AS$1006,0)))),"Fix")))</f>
        <v>0</v>
      </c>
      <c r="L118" s="5">
        <f>IF(OR(INDEX($W$2:$W$1001,MATCH(ROWS($V$2:V118),$V$2:$V$1001,0),1)&gt;=100000,INDEX($AC$1005:$AS$1005,1,MATCH(COLUMNS($AC$1006:AM1006),$AC$1006:$AS$1006,0))&gt;=100000), " ",IF(INDEX($AC$2:$AS$1001,MATCH(ROWS($V$2:V118),$V$2:$V$1001,0),MATCH(COLUMNS($AC$1006:AM1006),$AC$1006:$AS$1006,0)), HYPERLINK("#",""), HYPERLINK(CONCATENATE("#Metadata!", ADDRESS(INDEX($X$2:$X$1001,MATCH(ROWS($V$2:V118),$V$2:$V$1001,0),0), INDEX($AC$1004:$AS$1004,1,MATCH(COLUMNS($AC$1006:AM1006),$AC$1006:$AS$1006,0)))),"Fix")))</f>
        <v>0</v>
      </c>
      <c r="M118" s="5">
        <f>IF(OR(INDEX($W$2:$W$1001,MATCH(ROWS($V$2:V118),$V$2:$V$1001,0),1)&gt;=100000,INDEX($AC$1005:$AS$1005,1,MATCH(COLUMNS($AC$1006:AN1006),$AC$1006:$AS$1006,0))&gt;=100000), " ",IF(INDEX($AC$2:$AS$1001,MATCH(ROWS($V$2:V118),$V$2:$V$1001,0),MATCH(COLUMNS($AC$1006:AN1006),$AC$1006:$AS$1006,0)), HYPERLINK("#",""), HYPERLINK(CONCATENATE("#Metadata!", ADDRESS(INDEX($X$2:$X$1001,MATCH(ROWS($V$2:V118),$V$2:$V$1001,0),0), INDEX($AC$1004:$AS$1004,1,MATCH(COLUMNS($AC$1006:AN1006),$AC$1006:$AS$1006,0)))),"Fix")))</f>
        <v>0</v>
      </c>
      <c r="N118" s="5">
        <f>IF(OR(INDEX($W$2:$W$1001,MATCH(ROWS($V$2:V118),$V$2:$V$1001,0),1)&gt;=100000,INDEX($AC$1005:$AS$1005,1,MATCH(COLUMNS($AC$1006:AO1006),$AC$1006:$AS$1006,0))&gt;=100000), " ",IF(INDEX($AC$2:$AS$1001,MATCH(ROWS($V$2:V118),$V$2:$V$1001,0),MATCH(COLUMNS($AC$1006:AO1006),$AC$1006:$AS$1006,0)), HYPERLINK("#",""), HYPERLINK(CONCATENATE("#Metadata!", ADDRESS(INDEX($X$2:$X$1001,MATCH(ROWS($V$2:V118),$V$2:$V$1001,0),0), INDEX($AC$1004:$AS$1004,1,MATCH(COLUMNS($AC$1006:AO1006),$AC$1006:$AS$1006,0)))),"Fix")))</f>
        <v>0</v>
      </c>
      <c r="O118" s="5">
        <f>IF(OR(INDEX($W$2:$W$1001,MATCH(ROWS($V$2:V118),$V$2:$V$1001,0),1)&gt;=100000,INDEX($AC$1005:$AS$1005,1,MATCH(COLUMNS($AC$1006:AP1006),$AC$1006:$AS$1006,0))&gt;=100000), " ",IF(INDEX($AC$2:$AS$1001,MATCH(ROWS($V$2:V118),$V$2:$V$1001,0),MATCH(COLUMNS($AC$1006:AP1006),$AC$1006:$AS$1006,0)), HYPERLINK("#",""), HYPERLINK(CONCATENATE("#Metadata!", ADDRESS(INDEX($X$2:$X$1001,MATCH(ROWS($V$2:V118),$V$2:$V$1001,0),0), INDEX($AC$1004:$AS$1004,1,MATCH(COLUMNS($AC$1006:AP1006),$AC$1006:$AS$1006,0)))),"Fix")))</f>
        <v>0</v>
      </c>
      <c r="P118" s="5">
        <f>IF(OR(INDEX($W$2:$W$1001,MATCH(ROWS($V$2:V118),$V$2:$V$1001,0),1)&gt;=100000,INDEX($AC$1005:$AS$1005,1,MATCH(COLUMNS($AC$1006:AQ1006),$AC$1006:$AS$1006,0))&gt;=100000), " ",IF(INDEX($AC$2:$AS$1001,MATCH(ROWS($V$2:V118),$V$2:$V$1001,0),MATCH(COLUMNS($AC$1006:AQ1006),$AC$1006:$AS$1006,0)), HYPERLINK("#",""), HYPERLINK(CONCATENATE("#Metadata!", ADDRESS(INDEX($X$2:$X$1001,MATCH(ROWS($V$2:V118),$V$2:$V$1001,0),0), INDEX($AC$1004:$AS$1004,1,MATCH(COLUMNS($AC$1006:AQ1006),$AC$1006:$AS$1006,0)))),"Fix")))</f>
        <v>0</v>
      </c>
      <c r="Q118" s="5">
        <f>IF(OR(INDEX($W$2:$W$1001,MATCH(ROWS($V$2:V118),$V$2:$V$1001,0),1)&gt;=100000,INDEX($AC$1005:$AS$1005,1,MATCH(COLUMNS($AC$1006:AR1006),$AC$1006:$AS$1006,0))&gt;=100000), " ",IF(INDEX($AC$2:$AS$1001,MATCH(ROWS($V$2:V118),$V$2:$V$1001,0),MATCH(COLUMNS($AC$1006:AR1006),$AC$1006:$AS$1006,0)), HYPERLINK("#",""), HYPERLINK(CONCATENATE("#Metadata!", ADDRESS(INDEX($X$2:$X$1001,MATCH(ROWS($V$2:V118),$V$2:$V$1001,0),0), INDEX($AC$1004:$AS$1004,1,MATCH(COLUMNS($AC$1006:AR1006),$AC$1006:$AS$1006,0)))),"Fix")))</f>
        <v>0</v>
      </c>
      <c r="R118" s="5">
        <f>IF(OR(INDEX($W$2:$W$1001,MATCH(ROWS($V$2:V118),$V$2:$V$1001,0),1)&gt;=100000,INDEX($AC$1005:$AS$1005,1,MATCH(COLUMNS($AC$1006:AS1006),$AC$1006:$AS$1006,0))&gt;=100000), " ",IF(INDEX($AC$2:$AS$1001,MATCH(ROWS($V$2:V118),$V$2:$V$1001,0),MATCH(COLUMNS($AC$1006:AS1006),$AC$1006:$AS$1006,0)), HYPERLINK("#",""), HYPERLINK(CONCATENATE("#Metadata!", ADDRESS(INDEX($X$2:$X$1001,MATCH(ROWS($V$2:V118),$V$2:$V$1001,0),0), INDEX($AC$1004:$AS$1004,1,MATCH(COLUMNS($AC$1006:AS1006),$AC$1006:$AS$1006,0)))),"Fix")))</f>
        <v>0</v>
      </c>
      <c r="V118">
        <v>0</v>
      </c>
      <c r="W118">
        <v>0</v>
      </c>
      <c r="X118">
        <v>0</v>
      </c>
      <c r="Y118">
        <f>IF(Z118,TRUE,AND(AC118:AS118))</f>
        <v>0</v>
      </c>
      <c r="Z118">
        <f>COUNTBLANK(Metadata!B118:R118)=COLUMNS(Metadata!B118:R118)</f>
        <v>0</v>
      </c>
      <c r="AA118">
        <v>0</v>
      </c>
      <c r="AC118">
        <f>AND(IF(Metadata!B118="",FALSE,TRUE),COUNTIF(Metadata!B:B, Metadata!B118) = 1,NOT(ISERROR(SUMPRODUCT(SEARCH(MID(Metadata!B118,ROW(INDIRECT("1:"&amp;LEN(Metadata!B118))), 1),"0123456789abcdefghijklmnopqrstuvwxyzABCDEFGHIJKLMNOPQRSTUVWXYZ.")))))</f>
        <v>0</v>
      </c>
      <c r="AD118">
        <f>AND(IF(Metadata!C118="",FALSE,TRUE),exact(Metadata!C118,"Host-associated"))</f>
        <v>0</v>
      </c>
      <c r="AE118">
        <f>AND(IF(Metadata!D118="",FALSE,TRUE),OR(exact(Metadata!D118,"Animal"),exact(Metadata!D118,"Fungus"),exact(Metadata!D118,"Plant")))</f>
        <v>0</v>
      </c>
      <c r="AF118">
        <f>AND(IF(Metadata!E118="",FALSE,TRUE),OR(exact(Metadata!E118,"Plant secretion"),exact(Metadata!E118,"Plant rhizosphere"),exact(Metadata!E118,"Plant surface"),exact(Metadata!E118,"Plant corpus"),exact(Metadata!E118,"Fungus surface"),exact(Metadata!E118,"Fungus corpus"),exact(Metadata!E118,"Animal surface"),exact(Metadata!E118,"Animal proximal gut"),exact(Metadata!E118,"Animal corpus"),exact(Metadata!E118,"Animal distal gut"),exact(Metadata!E118,"Animal secretion")))</f>
        <v>0</v>
      </c>
      <c r="AG118">
        <f>OR(AND(IF(Metadata!F118="",FALSE,TRUE),OR(exact(Metadata!F118,"not collected"),exact(Metadata!F118,"not provided"),exact(Metadata!F118,"restricted access"))),AND(IF(Metadata!F118="",FALSE,TRUE),OR(exact(Metadata!F118,"organism-associated habitat"),exact(Metadata!F118,"plant-associated habitat"),exact(Metadata!F118,"animal-associated habitat"),exact(Metadata!F118,"insecta-associated habitat"),exact(Metadata!F118,"mammalia-associated habitat"),exact(Metadata!F118,"human-associated habitat"),exact(Metadata!F118,"livestock-associated habitat"))))</f>
        <v>0</v>
      </c>
      <c r="AH118">
        <f>AND(IF(Metadata!G118="",FALSE,TRUE),exact(Metadata!G118,"host-associated"))</f>
        <v>0</v>
      </c>
      <c r="AI118">
        <f>OR(AND(IF(Metadata!H118="",FALSE,TRUE),OR(exact(Metadata!H118,"not collected"),exact(Metadata!H118,"not provided"))),AND(IF(Metadata!H118="",FALSE,ISNUMBER(VALUE(Metadata!H118))),Metadata!H118&gt;0))</f>
        <v>0</v>
      </c>
      <c r="AJ118">
        <f>AND(IF(Metadata!I118="",FALSE,TRUE),exact(Metadata!I118,"years"))</f>
        <v>0</v>
      </c>
      <c r="AK118">
        <f>IF(Metadata!J118="",FALSE,TRUE)</f>
        <v>0</v>
      </c>
      <c r="AL118">
        <f>OR(AND(IF(Metadata!K118="",FALSE,TRUE),OR(exact(Metadata!K118,"not collected"),exact(Metadata!K118,"not provided"))),AND(IF(Metadata!K118="",FALSE,ISNUMBER(VALUE(Metadata!K118))),Metadata!K118&gt;0))</f>
        <v>0</v>
      </c>
      <c r="AM118">
        <f>AND(IF(Metadata!L118="",FALSE,TRUE),exact(Metadata!L118,"cm"))</f>
        <v>0</v>
      </c>
      <c r="AN118">
        <f>IF(Metadata!M118="",FALSE,TRUE)</f>
        <v>0</v>
      </c>
      <c r="AO118">
        <f>OR(AND(IF(Metadata!N118="",FALSE,TRUE),OR(exact(Metadata!N118,"not applicable"),exact(Metadata!N118,"not collected"),exact(Metadata!N118,"not provided"))),AND(IF(Metadata!N118="",FALSE,IF(ISERROR(INT(Metadata!N118)),FALSE,INT(Metadata!N118)=Metadata!N118)),Metadata!N118&gt;0))</f>
        <v>0</v>
      </c>
      <c r="AP118">
        <f>OR(AND(IF(Metadata!O118="",FALSE,TRUE),OR(exact(Metadata!O118,"not collected"),exact(Metadata!O118,"not provided"))),AND(IF(Metadata!O118="",FALSE,ISNUMBER(VALUE(Metadata!O118))),Metadata!O118&gt;0))</f>
        <v>0</v>
      </c>
      <c r="AQ118">
        <f>AND(IF(Metadata!P118="",FALSE,TRUE),exact(Metadata!P118,"kg"))</f>
        <v>0</v>
      </c>
      <c r="AR118">
        <f>OR(AND(IF(Metadata!Q118="",FALSE,TRUE),OR(exact(Metadata!Q118,"not applicable"),exact(Metadata!Q118,"not collected"),exact(Metadata!Q118,"not provided"),exact(Metadata!Q118,"restricted access"))),IF(Metadata!Q118="",FALSE,IF(ISERROR(INT(Metadata!Q118)),FALSE,INT(Metadata!Q118)=Metadata!Q118)))</f>
        <v>0</v>
      </c>
      <c r="AS118">
        <f>AND(IF(Metadata!R118="",FALSE,TRUE),exact(Metadata!R118,"Not applicable"))</f>
        <v>0</v>
      </c>
    </row>
    <row r="119" spans="1:45">
      <c r="A119" s="4">
        <f>IF(B119=" "," ",HYPERLINK(CONCATENATE("#metadata!",ADDRESS(INDEX($X$2:$X$1001,MATCH(ROWS($V$2:V119),$V$2:$V$1001,0),0),2)),INDEX($AA$2:$AA$1001,MATCH(ROWS($V$2:V119),$V$2:$V$1001,0),0)))</f>
        <v>0</v>
      </c>
      <c r="B119" s="5">
        <f>IF(OR(INDEX($W$2:$W$1001,MATCH(ROWS($V$2:V119),$V$2:$V$1001,0),1)&gt;=100000,INDEX($AC$1005:$AS$1005,1,MATCH(COLUMNS($AC$1006:AC1006),$AC$1006:$AS$1006,0))&gt;=100000), " ",IF(INDEX($AC$2:$AS$1001,MATCH(ROWS($V$2:V119),$V$2:$V$1001,0),MATCH(COLUMNS($AC$1006:AC1006),$AC$1006:$AS$1006,0)), HYPERLINK("#",""), HYPERLINK(CONCATENATE("#Metadata!", ADDRESS(INDEX($X$2:$X$1001,MATCH(ROWS($V$2:V119),$V$2:$V$1001,0),0), INDEX($AC$1004:$AS$1004,1,MATCH(COLUMNS($AC$1006:AC1006),$AC$1006:$AS$1006,0)))),"Fix")))</f>
        <v>0</v>
      </c>
      <c r="C119" s="5">
        <f>IF(OR(INDEX($W$2:$W$1001,MATCH(ROWS($V$2:V119),$V$2:$V$1001,0),1)&gt;=100000,INDEX($AC$1005:$AS$1005,1,MATCH(COLUMNS($AC$1006:AD1006),$AC$1006:$AS$1006,0))&gt;=100000), " ",IF(INDEX($AC$2:$AS$1001,MATCH(ROWS($V$2:V119),$V$2:$V$1001,0),MATCH(COLUMNS($AC$1006:AD1006),$AC$1006:$AS$1006,0)), HYPERLINK("#",""), HYPERLINK(CONCATENATE("#Metadata!", ADDRESS(INDEX($X$2:$X$1001,MATCH(ROWS($V$2:V119),$V$2:$V$1001,0),0), INDEX($AC$1004:$AS$1004,1,MATCH(COLUMNS($AC$1006:AD1006),$AC$1006:$AS$1006,0)))),"Fix")))</f>
        <v>0</v>
      </c>
      <c r="D119" s="5">
        <f>IF(OR(INDEX($W$2:$W$1001,MATCH(ROWS($V$2:V119),$V$2:$V$1001,0),1)&gt;=100000,INDEX($AC$1005:$AS$1005,1,MATCH(COLUMNS($AC$1006:AE1006),$AC$1006:$AS$1006,0))&gt;=100000), " ",IF(INDEX($AC$2:$AS$1001,MATCH(ROWS($V$2:V119),$V$2:$V$1001,0),MATCH(COLUMNS($AC$1006:AE1006),$AC$1006:$AS$1006,0)), HYPERLINK("#",""), HYPERLINK(CONCATENATE("#Metadata!", ADDRESS(INDEX($X$2:$X$1001,MATCH(ROWS($V$2:V119),$V$2:$V$1001,0),0), INDEX($AC$1004:$AS$1004,1,MATCH(COLUMNS($AC$1006:AE1006),$AC$1006:$AS$1006,0)))),"Fix")))</f>
        <v>0</v>
      </c>
      <c r="E119" s="5">
        <f>IF(OR(INDEX($W$2:$W$1001,MATCH(ROWS($V$2:V119),$V$2:$V$1001,0),1)&gt;=100000,INDEX($AC$1005:$AS$1005,1,MATCH(COLUMNS($AC$1006:AF1006),$AC$1006:$AS$1006,0))&gt;=100000), " ",IF(INDEX($AC$2:$AS$1001,MATCH(ROWS($V$2:V119),$V$2:$V$1001,0),MATCH(COLUMNS($AC$1006:AF1006),$AC$1006:$AS$1006,0)), HYPERLINK("#",""), HYPERLINK(CONCATENATE("#Metadata!", ADDRESS(INDEX($X$2:$X$1001,MATCH(ROWS($V$2:V119),$V$2:$V$1001,0),0), INDEX($AC$1004:$AS$1004,1,MATCH(COLUMNS($AC$1006:AF1006),$AC$1006:$AS$1006,0)))),"Fix")))</f>
        <v>0</v>
      </c>
      <c r="F119" s="5">
        <f>IF(OR(INDEX($W$2:$W$1001,MATCH(ROWS($V$2:V119),$V$2:$V$1001,0),1)&gt;=100000,INDEX($AC$1005:$AS$1005,1,MATCH(COLUMNS($AC$1006:AG1006),$AC$1006:$AS$1006,0))&gt;=100000), " ",IF(INDEX($AC$2:$AS$1001,MATCH(ROWS($V$2:V119),$V$2:$V$1001,0),MATCH(COLUMNS($AC$1006:AG1006),$AC$1006:$AS$1006,0)), HYPERLINK("#",""), HYPERLINK(CONCATENATE("#Metadata!", ADDRESS(INDEX($X$2:$X$1001,MATCH(ROWS($V$2:V119),$V$2:$V$1001,0),0), INDEX($AC$1004:$AS$1004,1,MATCH(COLUMNS($AC$1006:AG1006),$AC$1006:$AS$1006,0)))),"Fix")))</f>
        <v>0</v>
      </c>
      <c r="G119" s="5">
        <f>IF(OR(INDEX($W$2:$W$1001,MATCH(ROWS($V$2:V119),$V$2:$V$1001,0),1)&gt;=100000,INDEX($AC$1005:$AS$1005,1,MATCH(COLUMNS($AC$1006:AH1006),$AC$1006:$AS$1006,0))&gt;=100000), " ",IF(INDEX($AC$2:$AS$1001,MATCH(ROWS($V$2:V119),$V$2:$V$1001,0),MATCH(COLUMNS($AC$1006:AH1006),$AC$1006:$AS$1006,0)), HYPERLINK("#",""), HYPERLINK(CONCATENATE("#Metadata!", ADDRESS(INDEX($X$2:$X$1001,MATCH(ROWS($V$2:V119),$V$2:$V$1001,0),0), INDEX($AC$1004:$AS$1004,1,MATCH(COLUMNS($AC$1006:AH1006),$AC$1006:$AS$1006,0)))),"Fix")))</f>
        <v>0</v>
      </c>
      <c r="H119" s="5">
        <f>IF(OR(INDEX($W$2:$W$1001,MATCH(ROWS($V$2:V119),$V$2:$V$1001,0),1)&gt;=100000,INDEX($AC$1005:$AS$1005,1,MATCH(COLUMNS($AC$1006:AI1006),$AC$1006:$AS$1006,0))&gt;=100000), " ",IF(INDEX($AC$2:$AS$1001,MATCH(ROWS($V$2:V119),$V$2:$V$1001,0),MATCH(COLUMNS($AC$1006:AI1006),$AC$1006:$AS$1006,0)), HYPERLINK("#",""), HYPERLINK(CONCATENATE("#Metadata!", ADDRESS(INDEX($X$2:$X$1001,MATCH(ROWS($V$2:V119),$V$2:$V$1001,0),0), INDEX($AC$1004:$AS$1004,1,MATCH(COLUMNS($AC$1006:AI1006),$AC$1006:$AS$1006,0)))),"Fix")))</f>
        <v>0</v>
      </c>
      <c r="I119" s="5">
        <f>IF(OR(INDEX($W$2:$W$1001,MATCH(ROWS($V$2:V119),$V$2:$V$1001,0),1)&gt;=100000,INDEX($AC$1005:$AS$1005,1,MATCH(COLUMNS($AC$1006:AJ1006),$AC$1006:$AS$1006,0))&gt;=100000), " ",IF(INDEX($AC$2:$AS$1001,MATCH(ROWS($V$2:V119),$V$2:$V$1001,0),MATCH(COLUMNS($AC$1006:AJ1006),$AC$1006:$AS$1006,0)), HYPERLINK("#",""), HYPERLINK(CONCATENATE("#Metadata!", ADDRESS(INDEX($X$2:$X$1001,MATCH(ROWS($V$2:V119),$V$2:$V$1001,0),0), INDEX($AC$1004:$AS$1004,1,MATCH(COLUMNS($AC$1006:AJ1006),$AC$1006:$AS$1006,0)))),"Fix")))</f>
        <v>0</v>
      </c>
      <c r="J119" s="5">
        <f>IF(OR(INDEX($W$2:$W$1001,MATCH(ROWS($V$2:V119),$V$2:$V$1001,0),1)&gt;=100000,INDEX($AC$1005:$AS$1005,1,MATCH(COLUMNS($AC$1006:AK1006),$AC$1006:$AS$1006,0))&gt;=100000), " ",IF(INDEX($AC$2:$AS$1001,MATCH(ROWS($V$2:V119),$V$2:$V$1001,0),MATCH(COLUMNS($AC$1006:AK1006),$AC$1006:$AS$1006,0)), HYPERLINK("#",""), HYPERLINK(CONCATENATE("#Metadata!", ADDRESS(INDEX($X$2:$X$1001,MATCH(ROWS($V$2:V119),$V$2:$V$1001,0),0), INDEX($AC$1004:$AS$1004,1,MATCH(COLUMNS($AC$1006:AK1006),$AC$1006:$AS$1006,0)))),"Fix")))</f>
        <v>0</v>
      </c>
      <c r="K119" s="5">
        <f>IF(OR(INDEX($W$2:$W$1001,MATCH(ROWS($V$2:V119),$V$2:$V$1001,0),1)&gt;=100000,INDEX($AC$1005:$AS$1005,1,MATCH(COLUMNS($AC$1006:AL1006),$AC$1006:$AS$1006,0))&gt;=100000), " ",IF(INDEX($AC$2:$AS$1001,MATCH(ROWS($V$2:V119),$V$2:$V$1001,0),MATCH(COLUMNS($AC$1006:AL1006),$AC$1006:$AS$1006,0)), HYPERLINK("#",""), HYPERLINK(CONCATENATE("#Metadata!", ADDRESS(INDEX($X$2:$X$1001,MATCH(ROWS($V$2:V119),$V$2:$V$1001,0),0), INDEX($AC$1004:$AS$1004,1,MATCH(COLUMNS($AC$1006:AL1006),$AC$1006:$AS$1006,0)))),"Fix")))</f>
        <v>0</v>
      </c>
      <c r="L119" s="5">
        <f>IF(OR(INDEX($W$2:$W$1001,MATCH(ROWS($V$2:V119),$V$2:$V$1001,0),1)&gt;=100000,INDEX($AC$1005:$AS$1005,1,MATCH(COLUMNS($AC$1006:AM1006),$AC$1006:$AS$1006,0))&gt;=100000), " ",IF(INDEX($AC$2:$AS$1001,MATCH(ROWS($V$2:V119),$V$2:$V$1001,0),MATCH(COLUMNS($AC$1006:AM1006),$AC$1006:$AS$1006,0)), HYPERLINK("#",""), HYPERLINK(CONCATENATE("#Metadata!", ADDRESS(INDEX($X$2:$X$1001,MATCH(ROWS($V$2:V119),$V$2:$V$1001,0),0), INDEX($AC$1004:$AS$1004,1,MATCH(COLUMNS($AC$1006:AM1006),$AC$1006:$AS$1006,0)))),"Fix")))</f>
        <v>0</v>
      </c>
      <c r="M119" s="5">
        <f>IF(OR(INDEX($W$2:$W$1001,MATCH(ROWS($V$2:V119),$V$2:$V$1001,0),1)&gt;=100000,INDEX($AC$1005:$AS$1005,1,MATCH(COLUMNS($AC$1006:AN1006),$AC$1006:$AS$1006,0))&gt;=100000), " ",IF(INDEX($AC$2:$AS$1001,MATCH(ROWS($V$2:V119),$V$2:$V$1001,0),MATCH(COLUMNS($AC$1006:AN1006),$AC$1006:$AS$1006,0)), HYPERLINK("#",""), HYPERLINK(CONCATENATE("#Metadata!", ADDRESS(INDEX($X$2:$X$1001,MATCH(ROWS($V$2:V119),$V$2:$V$1001,0),0), INDEX($AC$1004:$AS$1004,1,MATCH(COLUMNS($AC$1006:AN1006),$AC$1006:$AS$1006,0)))),"Fix")))</f>
        <v>0</v>
      </c>
      <c r="N119" s="5">
        <f>IF(OR(INDEX($W$2:$W$1001,MATCH(ROWS($V$2:V119),$V$2:$V$1001,0),1)&gt;=100000,INDEX($AC$1005:$AS$1005,1,MATCH(COLUMNS($AC$1006:AO1006),$AC$1006:$AS$1006,0))&gt;=100000), " ",IF(INDEX($AC$2:$AS$1001,MATCH(ROWS($V$2:V119),$V$2:$V$1001,0),MATCH(COLUMNS($AC$1006:AO1006),$AC$1006:$AS$1006,0)), HYPERLINK("#",""), HYPERLINK(CONCATENATE("#Metadata!", ADDRESS(INDEX($X$2:$X$1001,MATCH(ROWS($V$2:V119),$V$2:$V$1001,0),0), INDEX($AC$1004:$AS$1004,1,MATCH(COLUMNS($AC$1006:AO1006),$AC$1006:$AS$1006,0)))),"Fix")))</f>
        <v>0</v>
      </c>
      <c r="O119" s="5">
        <f>IF(OR(INDEX($W$2:$W$1001,MATCH(ROWS($V$2:V119),$V$2:$V$1001,0),1)&gt;=100000,INDEX($AC$1005:$AS$1005,1,MATCH(COLUMNS($AC$1006:AP1006),$AC$1006:$AS$1006,0))&gt;=100000), " ",IF(INDEX($AC$2:$AS$1001,MATCH(ROWS($V$2:V119),$V$2:$V$1001,0),MATCH(COLUMNS($AC$1006:AP1006),$AC$1006:$AS$1006,0)), HYPERLINK("#",""), HYPERLINK(CONCATENATE("#Metadata!", ADDRESS(INDEX($X$2:$X$1001,MATCH(ROWS($V$2:V119),$V$2:$V$1001,0),0), INDEX($AC$1004:$AS$1004,1,MATCH(COLUMNS($AC$1006:AP1006),$AC$1006:$AS$1006,0)))),"Fix")))</f>
        <v>0</v>
      </c>
      <c r="P119" s="5">
        <f>IF(OR(INDEX($W$2:$W$1001,MATCH(ROWS($V$2:V119),$V$2:$V$1001,0),1)&gt;=100000,INDEX($AC$1005:$AS$1005,1,MATCH(COLUMNS($AC$1006:AQ1006),$AC$1006:$AS$1006,0))&gt;=100000), " ",IF(INDEX($AC$2:$AS$1001,MATCH(ROWS($V$2:V119),$V$2:$V$1001,0),MATCH(COLUMNS($AC$1006:AQ1006),$AC$1006:$AS$1006,0)), HYPERLINK("#",""), HYPERLINK(CONCATENATE("#Metadata!", ADDRESS(INDEX($X$2:$X$1001,MATCH(ROWS($V$2:V119),$V$2:$V$1001,0),0), INDEX($AC$1004:$AS$1004,1,MATCH(COLUMNS($AC$1006:AQ1006),$AC$1006:$AS$1006,0)))),"Fix")))</f>
        <v>0</v>
      </c>
      <c r="Q119" s="5">
        <f>IF(OR(INDEX($W$2:$W$1001,MATCH(ROWS($V$2:V119),$V$2:$V$1001,0),1)&gt;=100000,INDEX($AC$1005:$AS$1005,1,MATCH(COLUMNS($AC$1006:AR1006),$AC$1006:$AS$1006,0))&gt;=100000), " ",IF(INDEX($AC$2:$AS$1001,MATCH(ROWS($V$2:V119),$V$2:$V$1001,0),MATCH(COLUMNS($AC$1006:AR1006),$AC$1006:$AS$1006,0)), HYPERLINK("#",""), HYPERLINK(CONCATENATE("#Metadata!", ADDRESS(INDEX($X$2:$X$1001,MATCH(ROWS($V$2:V119),$V$2:$V$1001,0),0), INDEX($AC$1004:$AS$1004,1,MATCH(COLUMNS($AC$1006:AR1006),$AC$1006:$AS$1006,0)))),"Fix")))</f>
        <v>0</v>
      </c>
      <c r="R119" s="5">
        <f>IF(OR(INDEX($W$2:$W$1001,MATCH(ROWS($V$2:V119),$V$2:$V$1001,0),1)&gt;=100000,INDEX($AC$1005:$AS$1005,1,MATCH(COLUMNS($AC$1006:AS1006),$AC$1006:$AS$1006,0))&gt;=100000), " ",IF(INDEX($AC$2:$AS$1001,MATCH(ROWS($V$2:V119),$V$2:$V$1001,0),MATCH(COLUMNS($AC$1006:AS1006),$AC$1006:$AS$1006,0)), HYPERLINK("#",""), HYPERLINK(CONCATENATE("#Metadata!", ADDRESS(INDEX($X$2:$X$1001,MATCH(ROWS($V$2:V119),$V$2:$V$1001,0),0), INDEX($AC$1004:$AS$1004,1,MATCH(COLUMNS($AC$1006:AS1006),$AC$1006:$AS$1006,0)))),"Fix")))</f>
        <v>0</v>
      </c>
      <c r="V119">
        <v>0</v>
      </c>
      <c r="W119">
        <v>0</v>
      </c>
      <c r="X119">
        <v>0</v>
      </c>
      <c r="Y119">
        <f>IF(Z119,TRUE,AND(AC119:AS119))</f>
        <v>0</v>
      </c>
      <c r="Z119">
        <f>COUNTBLANK(Metadata!B119:R119)=COLUMNS(Metadata!B119:R119)</f>
        <v>0</v>
      </c>
      <c r="AA119">
        <v>0</v>
      </c>
      <c r="AC119">
        <f>AND(IF(Metadata!B119="",FALSE,TRUE),COUNTIF(Metadata!B:B, Metadata!B119) = 1,NOT(ISERROR(SUMPRODUCT(SEARCH(MID(Metadata!B119,ROW(INDIRECT("1:"&amp;LEN(Metadata!B119))), 1),"0123456789abcdefghijklmnopqrstuvwxyzABCDEFGHIJKLMNOPQRSTUVWXYZ.")))))</f>
        <v>0</v>
      </c>
      <c r="AD119">
        <f>AND(IF(Metadata!C119="",FALSE,TRUE),exact(Metadata!C119,"Host-associated"))</f>
        <v>0</v>
      </c>
      <c r="AE119">
        <f>AND(IF(Metadata!D119="",FALSE,TRUE),OR(exact(Metadata!D119,"Animal"),exact(Metadata!D119,"Fungus"),exact(Metadata!D119,"Plant")))</f>
        <v>0</v>
      </c>
      <c r="AF119">
        <f>AND(IF(Metadata!E119="",FALSE,TRUE),OR(exact(Metadata!E119,"Plant secretion"),exact(Metadata!E119,"Plant rhizosphere"),exact(Metadata!E119,"Plant surface"),exact(Metadata!E119,"Plant corpus"),exact(Metadata!E119,"Fungus surface"),exact(Metadata!E119,"Fungus corpus"),exact(Metadata!E119,"Animal surface"),exact(Metadata!E119,"Animal proximal gut"),exact(Metadata!E119,"Animal corpus"),exact(Metadata!E119,"Animal distal gut"),exact(Metadata!E119,"Animal secretion")))</f>
        <v>0</v>
      </c>
      <c r="AG119">
        <f>OR(AND(IF(Metadata!F119="",FALSE,TRUE),OR(exact(Metadata!F119,"not collected"),exact(Metadata!F119,"not provided"),exact(Metadata!F119,"restricted access"))),AND(IF(Metadata!F119="",FALSE,TRUE),OR(exact(Metadata!F119,"organism-associated habitat"),exact(Metadata!F119,"plant-associated habitat"),exact(Metadata!F119,"animal-associated habitat"),exact(Metadata!F119,"insecta-associated habitat"),exact(Metadata!F119,"mammalia-associated habitat"),exact(Metadata!F119,"human-associated habitat"),exact(Metadata!F119,"livestock-associated habitat"))))</f>
        <v>0</v>
      </c>
      <c r="AH119">
        <f>AND(IF(Metadata!G119="",FALSE,TRUE),exact(Metadata!G119,"host-associated"))</f>
        <v>0</v>
      </c>
      <c r="AI119">
        <f>OR(AND(IF(Metadata!H119="",FALSE,TRUE),OR(exact(Metadata!H119,"not collected"),exact(Metadata!H119,"not provided"))),AND(IF(Metadata!H119="",FALSE,ISNUMBER(VALUE(Metadata!H119))),Metadata!H119&gt;0))</f>
        <v>0</v>
      </c>
      <c r="AJ119">
        <f>AND(IF(Metadata!I119="",FALSE,TRUE),exact(Metadata!I119,"years"))</f>
        <v>0</v>
      </c>
      <c r="AK119">
        <f>IF(Metadata!J119="",FALSE,TRUE)</f>
        <v>0</v>
      </c>
      <c r="AL119">
        <f>OR(AND(IF(Metadata!K119="",FALSE,TRUE),OR(exact(Metadata!K119,"not collected"),exact(Metadata!K119,"not provided"))),AND(IF(Metadata!K119="",FALSE,ISNUMBER(VALUE(Metadata!K119))),Metadata!K119&gt;0))</f>
        <v>0</v>
      </c>
      <c r="AM119">
        <f>AND(IF(Metadata!L119="",FALSE,TRUE),exact(Metadata!L119,"cm"))</f>
        <v>0</v>
      </c>
      <c r="AN119">
        <f>IF(Metadata!M119="",FALSE,TRUE)</f>
        <v>0</v>
      </c>
      <c r="AO119">
        <f>OR(AND(IF(Metadata!N119="",FALSE,TRUE),OR(exact(Metadata!N119,"not applicable"),exact(Metadata!N119,"not collected"),exact(Metadata!N119,"not provided"))),AND(IF(Metadata!N119="",FALSE,IF(ISERROR(INT(Metadata!N119)),FALSE,INT(Metadata!N119)=Metadata!N119)),Metadata!N119&gt;0))</f>
        <v>0</v>
      </c>
      <c r="AP119">
        <f>OR(AND(IF(Metadata!O119="",FALSE,TRUE),OR(exact(Metadata!O119,"not collected"),exact(Metadata!O119,"not provided"))),AND(IF(Metadata!O119="",FALSE,ISNUMBER(VALUE(Metadata!O119))),Metadata!O119&gt;0))</f>
        <v>0</v>
      </c>
      <c r="AQ119">
        <f>AND(IF(Metadata!P119="",FALSE,TRUE),exact(Metadata!P119,"kg"))</f>
        <v>0</v>
      </c>
      <c r="AR119">
        <f>OR(AND(IF(Metadata!Q119="",FALSE,TRUE),OR(exact(Metadata!Q119,"not applicable"),exact(Metadata!Q119,"not collected"),exact(Metadata!Q119,"not provided"),exact(Metadata!Q119,"restricted access"))),IF(Metadata!Q119="",FALSE,IF(ISERROR(INT(Metadata!Q119)),FALSE,INT(Metadata!Q119)=Metadata!Q119)))</f>
        <v>0</v>
      </c>
      <c r="AS119">
        <f>AND(IF(Metadata!R119="",FALSE,TRUE),exact(Metadata!R119,"Not applicable"))</f>
        <v>0</v>
      </c>
    </row>
    <row r="120" spans="1:45">
      <c r="A120" s="4">
        <f>IF(B120=" "," ",HYPERLINK(CONCATENATE("#metadata!",ADDRESS(INDEX($X$2:$X$1001,MATCH(ROWS($V$2:V120),$V$2:$V$1001,0),0),2)),INDEX($AA$2:$AA$1001,MATCH(ROWS($V$2:V120),$V$2:$V$1001,0),0)))</f>
        <v>0</v>
      </c>
      <c r="B120" s="5">
        <f>IF(OR(INDEX($W$2:$W$1001,MATCH(ROWS($V$2:V120),$V$2:$V$1001,0),1)&gt;=100000,INDEX($AC$1005:$AS$1005,1,MATCH(COLUMNS($AC$1006:AC1006),$AC$1006:$AS$1006,0))&gt;=100000), " ",IF(INDEX($AC$2:$AS$1001,MATCH(ROWS($V$2:V120),$V$2:$V$1001,0),MATCH(COLUMNS($AC$1006:AC1006),$AC$1006:$AS$1006,0)), HYPERLINK("#",""), HYPERLINK(CONCATENATE("#Metadata!", ADDRESS(INDEX($X$2:$X$1001,MATCH(ROWS($V$2:V120),$V$2:$V$1001,0),0), INDEX($AC$1004:$AS$1004,1,MATCH(COLUMNS($AC$1006:AC1006),$AC$1006:$AS$1006,0)))),"Fix")))</f>
        <v>0</v>
      </c>
      <c r="C120" s="5">
        <f>IF(OR(INDEX($W$2:$W$1001,MATCH(ROWS($V$2:V120),$V$2:$V$1001,0),1)&gt;=100000,INDEX($AC$1005:$AS$1005,1,MATCH(COLUMNS($AC$1006:AD1006),$AC$1006:$AS$1006,0))&gt;=100000), " ",IF(INDEX($AC$2:$AS$1001,MATCH(ROWS($V$2:V120),$V$2:$V$1001,0),MATCH(COLUMNS($AC$1006:AD1006),$AC$1006:$AS$1006,0)), HYPERLINK("#",""), HYPERLINK(CONCATENATE("#Metadata!", ADDRESS(INDEX($X$2:$X$1001,MATCH(ROWS($V$2:V120),$V$2:$V$1001,0),0), INDEX($AC$1004:$AS$1004,1,MATCH(COLUMNS($AC$1006:AD1006),$AC$1006:$AS$1006,0)))),"Fix")))</f>
        <v>0</v>
      </c>
      <c r="D120" s="5">
        <f>IF(OR(INDEX($W$2:$W$1001,MATCH(ROWS($V$2:V120),$V$2:$V$1001,0),1)&gt;=100000,INDEX($AC$1005:$AS$1005,1,MATCH(COLUMNS($AC$1006:AE1006),$AC$1006:$AS$1006,0))&gt;=100000), " ",IF(INDEX($AC$2:$AS$1001,MATCH(ROWS($V$2:V120),$V$2:$V$1001,0),MATCH(COLUMNS($AC$1006:AE1006),$AC$1006:$AS$1006,0)), HYPERLINK("#",""), HYPERLINK(CONCATENATE("#Metadata!", ADDRESS(INDEX($X$2:$X$1001,MATCH(ROWS($V$2:V120),$V$2:$V$1001,0),0), INDEX($AC$1004:$AS$1004,1,MATCH(COLUMNS($AC$1006:AE1006),$AC$1006:$AS$1006,0)))),"Fix")))</f>
        <v>0</v>
      </c>
      <c r="E120" s="5">
        <f>IF(OR(INDEX($W$2:$W$1001,MATCH(ROWS($V$2:V120),$V$2:$V$1001,0),1)&gt;=100000,INDEX($AC$1005:$AS$1005,1,MATCH(COLUMNS($AC$1006:AF1006),$AC$1006:$AS$1006,0))&gt;=100000), " ",IF(INDEX($AC$2:$AS$1001,MATCH(ROWS($V$2:V120),$V$2:$V$1001,0),MATCH(COLUMNS($AC$1006:AF1006),$AC$1006:$AS$1006,0)), HYPERLINK("#",""), HYPERLINK(CONCATENATE("#Metadata!", ADDRESS(INDEX($X$2:$X$1001,MATCH(ROWS($V$2:V120),$V$2:$V$1001,0),0), INDEX($AC$1004:$AS$1004,1,MATCH(COLUMNS($AC$1006:AF1006),$AC$1006:$AS$1006,0)))),"Fix")))</f>
        <v>0</v>
      </c>
      <c r="F120" s="5">
        <f>IF(OR(INDEX($W$2:$W$1001,MATCH(ROWS($V$2:V120),$V$2:$V$1001,0),1)&gt;=100000,INDEX($AC$1005:$AS$1005,1,MATCH(COLUMNS($AC$1006:AG1006),$AC$1006:$AS$1006,0))&gt;=100000), " ",IF(INDEX($AC$2:$AS$1001,MATCH(ROWS($V$2:V120),$V$2:$V$1001,0),MATCH(COLUMNS($AC$1006:AG1006),$AC$1006:$AS$1006,0)), HYPERLINK("#",""), HYPERLINK(CONCATENATE("#Metadata!", ADDRESS(INDEX($X$2:$X$1001,MATCH(ROWS($V$2:V120),$V$2:$V$1001,0),0), INDEX($AC$1004:$AS$1004,1,MATCH(COLUMNS($AC$1006:AG1006),$AC$1006:$AS$1006,0)))),"Fix")))</f>
        <v>0</v>
      </c>
      <c r="G120" s="5">
        <f>IF(OR(INDEX($W$2:$W$1001,MATCH(ROWS($V$2:V120),$V$2:$V$1001,0),1)&gt;=100000,INDEX($AC$1005:$AS$1005,1,MATCH(COLUMNS($AC$1006:AH1006),$AC$1006:$AS$1006,0))&gt;=100000), " ",IF(INDEX($AC$2:$AS$1001,MATCH(ROWS($V$2:V120),$V$2:$V$1001,0),MATCH(COLUMNS($AC$1006:AH1006),$AC$1006:$AS$1006,0)), HYPERLINK("#",""), HYPERLINK(CONCATENATE("#Metadata!", ADDRESS(INDEX($X$2:$X$1001,MATCH(ROWS($V$2:V120),$V$2:$V$1001,0),0), INDEX($AC$1004:$AS$1004,1,MATCH(COLUMNS($AC$1006:AH1006),$AC$1006:$AS$1006,0)))),"Fix")))</f>
        <v>0</v>
      </c>
      <c r="H120" s="5">
        <f>IF(OR(INDEX($W$2:$W$1001,MATCH(ROWS($V$2:V120),$V$2:$V$1001,0),1)&gt;=100000,INDEX($AC$1005:$AS$1005,1,MATCH(COLUMNS($AC$1006:AI1006),$AC$1006:$AS$1006,0))&gt;=100000), " ",IF(INDEX($AC$2:$AS$1001,MATCH(ROWS($V$2:V120),$V$2:$V$1001,0),MATCH(COLUMNS($AC$1006:AI1006),$AC$1006:$AS$1006,0)), HYPERLINK("#",""), HYPERLINK(CONCATENATE("#Metadata!", ADDRESS(INDEX($X$2:$X$1001,MATCH(ROWS($V$2:V120),$V$2:$V$1001,0),0), INDEX($AC$1004:$AS$1004,1,MATCH(COLUMNS($AC$1006:AI1006),$AC$1006:$AS$1006,0)))),"Fix")))</f>
        <v>0</v>
      </c>
      <c r="I120" s="5">
        <f>IF(OR(INDEX($W$2:$W$1001,MATCH(ROWS($V$2:V120),$V$2:$V$1001,0),1)&gt;=100000,INDEX($AC$1005:$AS$1005,1,MATCH(COLUMNS($AC$1006:AJ1006),$AC$1006:$AS$1006,0))&gt;=100000), " ",IF(INDEX($AC$2:$AS$1001,MATCH(ROWS($V$2:V120),$V$2:$V$1001,0),MATCH(COLUMNS($AC$1006:AJ1006),$AC$1006:$AS$1006,0)), HYPERLINK("#",""), HYPERLINK(CONCATENATE("#Metadata!", ADDRESS(INDEX($X$2:$X$1001,MATCH(ROWS($V$2:V120),$V$2:$V$1001,0),0), INDEX($AC$1004:$AS$1004,1,MATCH(COLUMNS($AC$1006:AJ1006),$AC$1006:$AS$1006,0)))),"Fix")))</f>
        <v>0</v>
      </c>
      <c r="J120" s="5">
        <f>IF(OR(INDEX($W$2:$W$1001,MATCH(ROWS($V$2:V120),$V$2:$V$1001,0),1)&gt;=100000,INDEX($AC$1005:$AS$1005,1,MATCH(COLUMNS($AC$1006:AK1006),$AC$1006:$AS$1006,0))&gt;=100000), " ",IF(INDEX($AC$2:$AS$1001,MATCH(ROWS($V$2:V120),$V$2:$V$1001,0),MATCH(COLUMNS($AC$1006:AK1006),$AC$1006:$AS$1006,0)), HYPERLINK("#",""), HYPERLINK(CONCATENATE("#Metadata!", ADDRESS(INDEX($X$2:$X$1001,MATCH(ROWS($V$2:V120),$V$2:$V$1001,0),0), INDEX($AC$1004:$AS$1004,1,MATCH(COLUMNS($AC$1006:AK1006),$AC$1006:$AS$1006,0)))),"Fix")))</f>
        <v>0</v>
      </c>
      <c r="K120" s="5">
        <f>IF(OR(INDEX($W$2:$W$1001,MATCH(ROWS($V$2:V120),$V$2:$V$1001,0),1)&gt;=100000,INDEX($AC$1005:$AS$1005,1,MATCH(COLUMNS($AC$1006:AL1006),$AC$1006:$AS$1006,0))&gt;=100000), " ",IF(INDEX($AC$2:$AS$1001,MATCH(ROWS($V$2:V120),$V$2:$V$1001,0),MATCH(COLUMNS($AC$1006:AL1006),$AC$1006:$AS$1006,0)), HYPERLINK("#",""), HYPERLINK(CONCATENATE("#Metadata!", ADDRESS(INDEX($X$2:$X$1001,MATCH(ROWS($V$2:V120),$V$2:$V$1001,0),0), INDEX($AC$1004:$AS$1004,1,MATCH(COLUMNS($AC$1006:AL1006),$AC$1006:$AS$1006,0)))),"Fix")))</f>
        <v>0</v>
      </c>
      <c r="L120" s="5">
        <f>IF(OR(INDEX($W$2:$W$1001,MATCH(ROWS($V$2:V120),$V$2:$V$1001,0),1)&gt;=100000,INDEX($AC$1005:$AS$1005,1,MATCH(COLUMNS($AC$1006:AM1006),$AC$1006:$AS$1006,0))&gt;=100000), " ",IF(INDEX($AC$2:$AS$1001,MATCH(ROWS($V$2:V120),$V$2:$V$1001,0),MATCH(COLUMNS($AC$1006:AM1006),$AC$1006:$AS$1006,0)), HYPERLINK("#",""), HYPERLINK(CONCATENATE("#Metadata!", ADDRESS(INDEX($X$2:$X$1001,MATCH(ROWS($V$2:V120),$V$2:$V$1001,0),0), INDEX($AC$1004:$AS$1004,1,MATCH(COLUMNS($AC$1006:AM1006),$AC$1006:$AS$1006,0)))),"Fix")))</f>
        <v>0</v>
      </c>
      <c r="M120" s="5">
        <f>IF(OR(INDEX($W$2:$W$1001,MATCH(ROWS($V$2:V120),$V$2:$V$1001,0),1)&gt;=100000,INDEX($AC$1005:$AS$1005,1,MATCH(COLUMNS($AC$1006:AN1006),$AC$1006:$AS$1006,0))&gt;=100000), " ",IF(INDEX($AC$2:$AS$1001,MATCH(ROWS($V$2:V120),$V$2:$V$1001,0),MATCH(COLUMNS($AC$1006:AN1006),$AC$1006:$AS$1006,0)), HYPERLINK("#",""), HYPERLINK(CONCATENATE("#Metadata!", ADDRESS(INDEX($X$2:$X$1001,MATCH(ROWS($V$2:V120),$V$2:$V$1001,0),0), INDEX($AC$1004:$AS$1004,1,MATCH(COLUMNS($AC$1006:AN1006),$AC$1006:$AS$1006,0)))),"Fix")))</f>
        <v>0</v>
      </c>
      <c r="N120" s="5">
        <f>IF(OR(INDEX($W$2:$W$1001,MATCH(ROWS($V$2:V120),$V$2:$V$1001,0),1)&gt;=100000,INDEX($AC$1005:$AS$1005,1,MATCH(COLUMNS($AC$1006:AO1006),$AC$1006:$AS$1006,0))&gt;=100000), " ",IF(INDEX($AC$2:$AS$1001,MATCH(ROWS($V$2:V120),$V$2:$V$1001,0),MATCH(COLUMNS($AC$1006:AO1006),$AC$1006:$AS$1006,0)), HYPERLINK("#",""), HYPERLINK(CONCATENATE("#Metadata!", ADDRESS(INDEX($X$2:$X$1001,MATCH(ROWS($V$2:V120),$V$2:$V$1001,0),0), INDEX($AC$1004:$AS$1004,1,MATCH(COLUMNS($AC$1006:AO1006),$AC$1006:$AS$1006,0)))),"Fix")))</f>
        <v>0</v>
      </c>
      <c r="O120" s="5">
        <f>IF(OR(INDEX($W$2:$W$1001,MATCH(ROWS($V$2:V120),$V$2:$V$1001,0),1)&gt;=100000,INDEX($AC$1005:$AS$1005,1,MATCH(COLUMNS($AC$1006:AP1006),$AC$1006:$AS$1006,0))&gt;=100000), " ",IF(INDEX($AC$2:$AS$1001,MATCH(ROWS($V$2:V120),$V$2:$V$1001,0),MATCH(COLUMNS($AC$1006:AP1006),$AC$1006:$AS$1006,0)), HYPERLINK("#",""), HYPERLINK(CONCATENATE("#Metadata!", ADDRESS(INDEX($X$2:$X$1001,MATCH(ROWS($V$2:V120),$V$2:$V$1001,0),0), INDEX($AC$1004:$AS$1004,1,MATCH(COLUMNS($AC$1006:AP1006),$AC$1006:$AS$1006,0)))),"Fix")))</f>
        <v>0</v>
      </c>
      <c r="P120" s="5">
        <f>IF(OR(INDEX($W$2:$W$1001,MATCH(ROWS($V$2:V120),$V$2:$V$1001,0),1)&gt;=100000,INDEX($AC$1005:$AS$1005,1,MATCH(COLUMNS($AC$1006:AQ1006),$AC$1006:$AS$1006,0))&gt;=100000), " ",IF(INDEX($AC$2:$AS$1001,MATCH(ROWS($V$2:V120),$V$2:$V$1001,0),MATCH(COLUMNS($AC$1006:AQ1006),$AC$1006:$AS$1006,0)), HYPERLINK("#",""), HYPERLINK(CONCATENATE("#Metadata!", ADDRESS(INDEX($X$2:$X$1001,MATCH(ROWS($V$2:V120),$V$2:$V$1001,0),0), INDEX($AC$1004:$AS$1004,1,MATCH(COLUMNS($AC$1006:AQ1006),$AC$1006:$AS$1006,0)))),"Fix")))</f>
        <v>0</v>
      </c>
      <c r="Q120" s="5">
        <f>IF(OR(INDEX($W$2:$W$1001,MATCH(ROWS($V$2:V120),$V$2:$V$1001,0),1)&gt;=100000,INDEX($AC$1005:$AS$1005,1,MATCH(COLUMNS($AC$1006:AR1006),$AC$1006:$AS$1006,0))&gt;=100000), " ",IF(INDEX($AC$2:$AS$1001,MATCH(ROWS($V$2:V120),$V$2:$V$1001,0),MATCH(COLUMNS($AC$1006:AR1006),$AC$1006:$AS$1006,0)), HYPERLINK("#",""), HYPERLINK(CONCATENATE("#Metadata!", ADDRESS(INDEX($X$2:$X$1001,MATCH(ROWS($V$2:V120),$V$2:$V$1001,0),0), INDEX($AC$1004:$AS$1004,1,MATCH(COLUMNS($AC$1006:AR1006),$AC$1006:$AS$1006,0)))),"Fix")))</f>
        <v>0</v>
      </c>
      <c r="R120" s="5">
        <f>IF(OR(INDEX($W$2:$W$1001,MATCH(ROWS($V$2:V120),$V$2:$V$1001,0),1)&gt;=100000,INDEX($AC$1005:$AS$1005,1,MATCH(COLUMNS($AC$1006:AS1006),$AC$1006:$AS$1006,0))&gt;=100000), " ",IF(INDEX($AC$2:$AS$1001,MATCH(ROWS($V$2:V120),$V$2:$V$1001,0),MATCH(COLUMNS($AC$1006:AS1006),$AC$1006:$AS$1006,0)), HYPERLINK("#",""), HYPERLINK(CONCATENATE("#Metadata!", ADDRESS(INDEX($X$2:$X$1001,MATCH(ROWS($V$2:V120),$V$2:$V$1001,0),0), INDEX($AC$1004:$AS$1004,1,MATCH(COLUMNS($AC$1006:AS1006),$AC$1006:$AS$1006,0)))),"Fix")))</f>
        <v>0</v>
      </c>
      <c r="V120">
        <v>0</v>
      </c>
      <c r="W120">
        <v>0</v>
      </c>
      <c r="X120">
        <v>0</v>
      </c>
      <c r="Y120">
        <f>IF(Z120,TRUE,AND(AC120:AS120))</f>
        <v>0</v>
      </c>
      <c r="Z120">
        <f>COUNTBLANK(Metadata!B120:R120)=COLUMNS(Metadata!B120:R120)</f>
        <v>0</v>
      </c>
      <c r="AA120">
        <v>0</v>
      </c>
      <c r="AC120">
        <f>AND(IF(Metadata!B120="",FALSE,TRUE),COUNTIF(Metadata!B:B, Metadata!B120) = 1,NOT(ISERROR(SUMPRODUCT(SEARCH(MID(Metadata!B120,ROW(INDIRECT("1:"&amp;LEN(Metadata!B120))), 1),"0123456789abcdefghijklmnopqrstuvwxyzABCDEFGHIJKLMNOPQRSTUVWXYZ.")))))</f>
        <v>0</v>
      </c>
      <c r="AD120">
        <f>AND(IF(Metadata!C120="",FALSE,TRUE),exact(Metadata!C120,"Host-associated"))</f>
        <v>0</v>
      </c>
      <c r="AE120">
        <f>AND(IF(Metadata!D120="",FALSE,TRUE),OR(exact(Metadata!D120,"Animal"),exact(Metadata!D120,"Fungus"),exact(Metadata!D120,"Plant")))</f>
        <v>0</v>
      </c>
      <c r="AF120">
        <f>AND(IF(Metadata!E120="",FALSE,TRUE),OR(exact(Metadata!E120,"Plant secretion"),exact(Metadata!E120,"Plant rhizosphere"),exact(Metadata!E120,"Plant surface"),exact(Metadata!E120,"Plant corpus"),exact(Metadata!E120,"Fungus surface"),exact(Metadata!E120,"Fungus corpus"),exact(Metadata!E120,"Animal surface"),exact(Metadata!E120,"Animal proximal gut"),exact(Metadata!E120,"Animal corpus"),exact(Metadata!E120,"Animal distal gut"),exact(Metadata!E120,"Animal secretion")))</f>
        <v>0</v>
      </c>
      <c r="AG120">
        <f>OR(AND(IF(Metadata!F120="",FALSE,TRUE),OR(exact(Metadata!F120,"not collected"),exact(Metadata!F120,"not provided"),exact(Metadata!F120,"restricted access"))),AND(IF(Metadata!F120="",FALSE,TRUE),OR(exact(Metadata!F120,"organism-associated habitat"),exact(Metadata!F120,"plant-associated habitat"),exact(Metadata!F120,"animal-associated habitat"),exact(Metadata!F120,"insecta-associated habitat"),exact(Metadata!F120,"mammalia-associated habitat"),exact(Metadata!F120,"human-associated habitat"),exact(Metadata!F120,"livestock-associated habitat"))))</f>
        <v>0</v>
      </c>
      <c r="AH120">
        <f>AND(IF(Metadata!G120="",FALSE,TRUE),exact(Metadata!G120,"host-associated"))</f>
        <v>0</v>
      </c>
      <c r="AI120">
        <f>OR(AND(IF(Metadata!H120="",FALSE,TRUE),OR(exact(Metadata!H120,"not collected"),exact(Metadata!H120,"not provided"))),AND(IF(Metadata!H120="",FALSE,ISNUMBER(VALUE(Metadata!H120))),Metadata!H120&gt;0))</f>
        <v>0</v>
      </c>
      <c r="AJ120">
        <f>AND(IF(Metadata!I120="",FALSE,TRUE),exact(Metadata!I120,"years"))</f>
        <v>0</v>
      </c>
      <c r="AK120">
        <f>IF(Metadata!J120="",FALSE,TRUE)</f>
        <v>0</v>
      </c>
      <c r="AL120">
        <f>OR(AND(IF(Metadata!K120="",FALSE,TRUE),OR(exact(Metadata!K120,"not collected"),exact(Metadata!K120,"not provided"))),AND(IF(Metadata!K120="",FALSE,ISNUMBER(VALUE(Metadata!K120))),Metadata!K120&gt;0))</f>
        <v>0</v>
      </c>
      <c r="AM120">
        <f>AND(IF(Metadata!L120="",FALSE,TRUE),exact(Metadata!L120,"cm"))</f>
        <v>0</v>
      </c>
      <c r="AN120">
        <f>IF(Metadata!M120="",FALSE,TRUE)</f>
        <v>0</v>
      </c>
      <c r="AO120">
        <f>OR(AND(IF(Metadata!N120="",FALSE,TRUE),OR(exact(Metadata!N120,"not applicable"),exact(Metadata!N120,"not collected"),exact(Metadata!N120,"not provided"))),AND(IF(Metadata!N120="",FALSE,IF(ISERROR(INT(Metadata!N120)),FALSE,INT(Metadata!N120)=Metadata!N120)),Metadata!N120&gt;0))</f>
        <v>0</v>
      </c>
      <c r="AP120">
        <f>OR(AND(IF(Metadata!O120="",FALSE,TRUE),OR(exact(Metadata!O120,"not collected"),exact(Metadata!O120,"not provided"))),AND(IF(Metadata!O120="",FALSE,ISNUMBER(VALUE(Metadata!O120))),Metadata!O120&gt;0))</f>
        <v>0</v>
      </c>
      <c r="AQ120">
        <f>AND(IF(Metadata!P120="",FALSE,TRUE),exact(Metadata!P120,"kg"))</f>
        <v>0</v>
      </c>
      <c r="AR120">
        <f>OR(AND(IF(Metadata!Q120="",FALSE,TRUE),OR(exact(Metadata!Q120,"not applicable"),exact(Metadata!Q120,"not collected"),exact(Metadata!Q120,"not provided"),exact(Metadata!Q120,"restricted access"))),IF(Metadata!Q120="",FALSE,IF(ISERROR(INT(Metadata!Q120)),FALSE,INT(Metadata!Q120)=Metadata!Q120)))</f>
        <v>0</v>
      </c>
      <c r="AS120">
        <f>AND(IF(Metadata!R120="",FALSE,TRUE),exact(Metadata!R120,"Not applicable"))</f>
        <v>0</v>
      </c>
    </row>
    <row r="121" spans="1:45">
      <c r="A121" s="4">
        <f>IF(B121=" "," ",HYPERLINK(CONCATENATE("#metadata!",ADDRESS(INDEX($X$2:$X$1001,MATCH(ROWS($V$2:V121),$V$2:$V$1001,0),0),2)),INDEX($AA$2:$AA$1001,MATCH(ROWS($V$2:V121),$V$2:$V$1001,0),0)))</f>
        <v>0</v>
      </c>
      <c r="B121" s="5">
        <f>IF(OR(INDEX($W$2:$W$1001,MATCH(ROWS($V$2:V121),$V$2:$V$1001,0),1)&gt;=100000,INDEX($AC$1005:$AS$1005,1,MATCH(COLUMNS($AC$1006:AC1006),$AC$1006:$AS$1006,0))&gt;=100000), " ",IF(INDEX($AC$2:$AS$1001,MATCH(ROWS($V$2:V121),$V$2:$V$1001,0),MATCH(COLUMNS($AC$1006:AC1006),$AC$1006:$AS$1006,0)), HYPERLINK("#",""), HYPERLINK(CONCATENATE("#Metadata!", ADDRESS(INDEX($X$2:$X$1001,MATCH(ROWS($V$2:V121),$V$2:$V$1001,0),0), INDEX($AC$1004:$AS$1004,1,MATCH(COLUMNS($AC$1006:AC1006),$AC$1006:$AS$1006,0)))),"Fix")))</f>
        <v>0</v>
      </c>
      <c r="C121" s="5">
        <f>IF(OR(INDEX($W$2:$W$1001,MATCH(ROWS($V$2:V121),$V$2:$V$1001,0),1)&gt;=100000,INDEX($AC$1005:$AS$1005,1,MATCH(COLUMNS($AC$1006:AD1006),$AC$1006:$AS$1006,0))&gt;=100000), " ",IF(INDEX($AC$2:$AS$1001,MATCH(ROWS($V$2:V121),$V$2:$V$1001,0),MATCH(COLUMNS($AC$1006:AD1006),$AC$1006:$AS$1006,0)), HYPERLINK("#",""), HYPERLINK(CONCATENATE("#Metadata!", ADDRESS(INDEX($X$2:$X$1001,MATCH(ROWS($V$2:V121),$V$2:$V$1001,0),0), INDEX($AC$1004:$AS$1004,1,MATCH(COLUMNS($AC$1006:AD1006),$AC$1006:$AS$1006,0)))),"Fix")))</f>
        <v>0</v>
      </c>
      <c r="D121" s="5">
        <f>IF(OR(INDEX($W$2:$W$1001,MATCH(ROWS($V$2:V121),$V$2:$V$1001,0),1)&gt;=100000,INDEX($AC$1005:$AS$1005,1,MATCH(COLUMNS($AC$1006:AE1006),$AC$1006:$AS$1006,0))&gt;=100000), " ",IF(INDEX($AC$2:$AS$1001,MATCH(ROWS($V$2:V121),$V$2:$V$1001,0),MATCH(COLUMNS($AC$1006:AE1006),$AC$1006:$AS$1006,0)), HYPERLINK("#",""), HYPERLINK(CONCATENATE("#Metadata!", ADDRESS(INDEX($X$2:$X$1001,MATCH(ROWS($V$2:V121),$V$2:$V$1001,0),0), INDEX($AC$1004:$AS$1004,1,MATCH(COLUMNS($AC$1006:AE1006),$AC$1006:$AS$1006,0)))),"Fix")))</f>
        <v>0</v>
      </c>
      <c r="E121" s="5">
        <f>IF(OR(INDEX($W$2:$W$1001,MATCH(ROWS($V$2:V121),$V$2:$V$1001,0),1)&gt;=100000,INDEX($AC$1005:$AS$1005,1,MATCH(COLUMNS($AC$1006:AF1006),$AC$1006:$AS$1006,0))&gt;=100000), " ",IF(INDEX($AC$2:$AS$1001,MATCH(ROWS($V$2:V121),$V$2:$V$1001,0),MATCH(COLUMNS($AC$1006:AF1006),$AC$1006:$AS$1006,0)), HYPERLINK("#",""), HYPERLINK(CONCATENATE("#Metadata!", ADDRESS(INDEX($X$2:$X$1001,MATCH(ROWS($V$2:V121),$V$2:$V$1001,0),0), INDEX($AC$1004:$AS$1004,1,MATCH(COLUMNS($AC$1006:AF1006),$AC$1006:$AS$1006,0)))),"Fix")))</f>
        <v>0</v>
      </c>
      <c r="F121" s="5">
        <f>IF(OR(INDEX($W$2:$W$1001,MATCH(ROWS($V$2:V121),$V$2:$V$1001,0),1)&gt;=100000,INDEX($AC$1005:$AS$1005,1,MATCH(COLUMNS($AC$1006:AG1006),$AC$1006:$AS$1006,0))&gt;=100000), " ",IF(INDEX($AC$2:$AS$1001,MATCH(ROWS($V$2:V121),$V$2:$V$1001,0),MATCH(COLUMNS($AC$1006:AG1006),$AC$1006:$AS$1006,0)), HYPERLINK("#",""), HYPERLINK(CONCATENATE("#Metadata!", ADDRESS(INDEX($X$2:$X$1001,MATCH(ROWS($V$2:V121),$V$2:$V$1001,0),0), INDEX($AC$1004:$AS$1004,1,MATCH(COLUMNS($AC$1006:AG1006),$AC$1006:$AS$1006,0)))),"Fix")))</f>
        <v>0</v>
      </c>
      <c r="G121" s="5">
        <f>IF(OR(INDEX($W$2:$W$1001,MATCH(ROWS($V$2:V121),$V$2:$V$1001,0),1)&gt;=100000,INDEX($AC$1005:$AS$1005,1,MATCH(COLUMNS($AC$1006:AH1006),$AC$1006:$AS$1006,0))&gt;=100000), " ",IF(INDEX($AC$2:$AS$1001,MATCH(ROWS($V$2:V121),$V$2:$V$1001,0),MATCH(COLUMNS($AC$1006:AH1006),$AC$1006:$AS$1006,0)), HYPERLINK("#",""), HYPERLINK(CONCATENATE("#Metadata!", ADDRESS(INDEX($X$2:$X$1001,MATCH(ROWS($V$2:V121),$V$2:$V$1001,0),0), INDEX($AC$1004:$AS$1004,1,MATCH(COLUMNS($AC$1006:AH1006),$AC$1006:$AS$1006,0)))),"Fix")))</f>
        <v>0</v>
      </c>
      <c r="H121" s="5">
        <f>IF(OR(INDEX($W$2:$W$1001,MATCH(ROWS($V$2:V121),$V$2:$V$1001,0),1)&gt;=100000,INDEX($AC$1005:$AS$1005,1,MATCH(COLUMNS($AC$1006:AI1006),$AC$1006:$AS$1006,0))&gt;=100000), " ",IF(INDEX($AC$2:$AS$1001,MATCH(ROWS($V$2:V121),$V$2:$V$1001,0),MATCH(COLUMNS($AC$1006:AI1006),$AC$1006:$AS$1006,0)), HYPERLINK("#",""), HYPERLINK(CONCATENATE("#Metadata!", ADDRESS(INDEX($X$2:$X$1001,MATCH(ROWS($V$2:V121),$V$2:$V$1001,0),0), INDEX($AC$1004:$AS$1004,1,MATCH(COLUMNS($AC$1006:AI1006),$AC$1006:$AS$1006,0)))),"Fix")))</f>
        <v>0</v>
      </c>
      <c r="I121" s="5">
        <f>IF(OR(INDEX($W$2:$W$1001,MATCH(ROWS($V$2:V121),$V$2:$V$1001,0),1)&gt;=100000,INDEX($AC$1005:$AS$1005,1,MATCH(COLUMNS($AC$1006:AJ1006),$AC$1006:$AS$1006,0))&gt;=100000), " ",IF(INDEX($AC$2:$AS$1001,MATCH(ROWS($V$2:V121),$V$2:$V$1001,0),MATCH(COLUMNS($AC$1006:AJ1006),$AC$1006:$AS$1006,0)), HYPERLINK("#",""), HYPERLINK(CONCATENATE("#Metadata!", ADDRESS(INDEX($X$2:$X$1001,MATCH(ROWS($V$2:V121),$V$2:$V$1001,0),0), INDEX($AC$1004:$AS$1004,1,MATCH(COLUMNS($AC$1006:AJ1006),$AC$1006:$AS$1006,0)))),"Fix")))</f>
        <v>0</v>
      </c>
      <c r="J121" s="5">
        <f>IF(OR(INDEX($W$2:$W$1001,MATCH(ROWS($V$2:V121),$V$2:$V$1001,0),1)&gt;=100000,INDEX($AC$1005:$AS$1005,1,MATCH(COLUMNS($AC$1006:AK1006),$AC$1006:$AS$1006,0))&gt;=100000), " ",IF(INDEX($AC$2:$AS$1001,MATCH(ROWS($V$2:V121),$V$2:$V$1001,0),MATCH(COLUMNS($AC$1006:AK1006),$AC$1006:$AS$1006,0)), HYPERLINK("#",""), HYPERLINK(CONCATENATE("#Metadata!", ADDRESS(INDEX($X$2:$X$1001,MATCH(ROWS($V$2:V121),$V$2:$V$1001,0),0), INDEX($AC$1004:$AS$1004,1,MATCH(COLUMNS($AC$1006:AK1006),$AC$1006:$AS$1006,0)))),"Fix")))</f>
        <v>0</v>
      </c>
      <c r="K121" s="5">
        <f>IF(OR(INDEX($W$2:$W$1001,MATCH(ROWS($V$2:V121),$V$2:$V$1001,0),1)&gt;=100000,INDEX($AC$1005:$AS$1005,1,MATCH(COLUMNS($AC$1006:AL1006),$AC$1006:$AS$1006,0))&gt;=100000), " ",IF(INDEX($AC$2:$AS$1001,MATCH(ROWS($V$2:V121),$V$2:$V$1001,0),MATCH(COLUMNS($AC$1006:AL1006),$AC$1006:$AS$1006,0)), HYPERLINK("#",""), HYPERLINK(CONCATENATE("#Metadata!", ADDRESS(INDEX($X$2:$X$1001,MATCH(ROWS($V$2:V121),$V$2:$V$1001,0),0), INDEX($AC$1004:$AS$1004,1,MATCH(COLUMNS($AC$1006:AL1006),$AC$1006:$AS$1006,0)))),"Fix")))</f>
        <v>0</v>
      </c>
      <c r="L121" s="5">
        <f>IF(OR(INDEX($W$2:$W$1001,MATCH(ROWS($V$2:V121),$V$2:$V$1001,0),1)&gt;=100000,INDEX($AC$1005:$AS$1005,1,MATCH(COLUMNS($AC$1006:AM1006),$AC$1006:$AS$1006,0))&gt;=100000), " ",IF(INDEX($AC$2:$AS$1001,MATCH(ROWS($V$2:V121),$V$2:$V$1001,0),MATCH(COLUMNS($AC$1006:AM1006),$AC$1006:$AS$1006,0)), HYPERLINK("#",""), HYPERLINK(CONCATENATE("#Metadata!", ADDRESS(INDEX($X$2:$X$1001,MATCH(ROWS($V$2:V121),$V$2:$V$1001,0),0), INDEX($AC$1004:$AS$1004,1,MATCH(COLUMNS($AC$1006:AM1006),$AC$1006:$AS$1006,0)))),"Fix")))</f>
        <v>0</v>
      </c>
      <c r="M121" s="5">
        <f>IF(OR(INDEX($W$2:$W$1001,MATCH(ROWS($V$2:V121),$V$2:$V$1001,0),1)&gt;=100000,INDEX($AC$1005:$AS$1005,1,MATCH(COLUMNS($AC$1006:AN1006),$AC$1006:$AS$1006,0))&gt;=100000), " ",IF(INDEX($AC$2:$AS$1001,MATCH(ROWS($V$2:V121),$V$2:$V$1001,0),MATCH(COLUMNS($AC$1006:AN1006),$AC$1006:$AS$1006,0)), HYPERLINK("#",""), HYPERLINK(CONCATENATE("#Metadata!", ADDRESS(INDEX($X$2:$X$1001,MATCH(ROWS($V$2:V121),$V$2:$V$1001,0),0), INDEX($AC$1004:$AS$1004,1,MATCH(COLUMNS($AC$1006:AN1006),$AC$1006:$AS$1006,0)))),"Fix")))</f>
        <v>0</v>
      </c>
      <c r="N121" s="5">
        <f>IF(OR(INDEX($W$2:$W$1001,MATCH(ROWS($V$2:V121),$V$2:$V$1001,0),1)&gt;=100000,INDEX($AC$1005:$AS$1005,1,MATCH(COLUMNS($AC$1006:AO1006),$AC$1006:$AS$1006,0))&gt;=100000), " ",IF(INDEX($AC$2:$AS$1001,MATCH(ROWS($V$2:V121),$V$2:$V$1001,0),MATCH(COLUMNS($AC$1006:AO1006),$AC$1006:$AS$1006,0)), HYPERLINK("#",""), HYPERLINK(CONCATENATE("#Metadata!", ADDRESS(INDEX($X$2:$X$1001,MATCH(ROWS($V$2:V121),$V$2:$V$1001,0),0), INDEX($AC$1004:$AS$1004,1,MATCH(COLUMNS($AC$1006:AO1006),$AC$1006:$AS$1006,0)))),"Fix")))</f>
        <v>0</v>
      </c>
      <c r="O121" s="5">
        <f>IF(OR(INDEX($W$2:$W$1001,MATCH(ROWS($V$2:V121),$V$2:$V$1001,0),1)&gt;=100000,INDEX($AC$1005:$AS$1005,1,MATCH(COLUMNS($AC$1006:AP1006),$AC$1006:$AS$1006,0))&gt;=100000), " ",IF(INDEX($AC$2:$AS$1001,MATCH(ROWS($V$2:V121),$V$2:$V$1001,0),MATCH(COLUMNS($AC$1006:AP1006),$AC$1006:$AS$1006,0)), HYPERLINK("#",""), HYPERLINK(CONCATENATE("#Metadata!", ADDRESS(INDEX($X$2:$X$1001,MATCH(ROWS($V$2:V121),$V$2:$V$1001,0),0), INDEX($AC$1004:$AS$1004,1,MATCH(COLUMNS($AC$1006:AP1006),$AC$1006:$AS$1006,0)))),"Fix")))</f>
        <v>0</v>
      </c>
      <c r="P121" s="5">
        <f>IF(OR(INDEX($W$2:$W$1001,MATCH(ROWS($V$2:V121),$V$2:$V$1001,0),1)&gt;=100000,INDEX($AC$1005:$AS$1005,1,MATCH(COLUMNS($AC$1006:AQ1006),$AC$1006:$AS$1006,0))&gt;=100000), " ",IF(INDEX($AC$2:$AS$1001,MATCH(ROWS($V$2:V121),$V$2:$V$1001,0),MATCH(COLUMNS($AC$1006:AQ1006),$AC$1006:$AS$1006,0)), HYPERLINK("#",""), HYPERLINK(CONCATENATE("#Metadata!", ADDRESS(INDEX($X$2:$X$1001,MATCH(ROWS($V$2:V121),$V$2:$V$1001,0),0), INDEX($AC$1004:$AS$1004,1,MATCH(COLUMNS($AC$1006:AQ1006),$AC$1006:$AS$1006,0)))),"Fix")))</f>
        <v>0</v>
      </c>
      <c r="Q121" s="5">
        <f>IF(OR(INDEX($W$2:$W$1001,MATCH(ROWS($V$2:V121),$V$2:$V$1001,0),1)&gt;=100000,INDEX($AC$1005:$AS$1005,1,MATCH(COLUMNS($AC$1006:AR1006),$AC$1006:$AS$1006,0))&gt;=100000), " ",IF(INDEX($AC$2:$AS$1001,MATCH(ROWS($V$2:V121),$V$2:$V$1001,0),MATCH(COLUMNS($AC$1006:AR1006),$AC$1006:$AS$1006,0)), HYPERLINK("#",""), HYPERLINK(CONCATENATE("#Metadata!", ADDRESS(INDEX($X$2:$X$1001,MATCH(ROWS($V$2:V121),$V$2:$V$1001,0),0), INDEX($AC$1004:$AS$1004,1,MATCH(COLUMNS($AC$1006:AR1006),$AC$1006:$AS$1006,0)))),"Fix")))</f>
        <v>0</v>
      </c>
      <c r="R121" s="5">
        <f>IF(OR(INDEX($W$2:$W$1001,MATCH(ROWS($V$2:V121),$V$2:$V$1001,0),1)&gt;=100000,INDEX($AC$1005:$AS$1005,1,MATCH(COLUMNS($AC$1006:AS1006),$AC$1006:$AS$1006,0))&gt;=100000), " ",IF(INDEX($AC$2:$AS$1001,MATCH(ROWS($V$2:V121),$V$2:$V$1001,0),MATCH(COLUMNS($AC$1006:AS1006),$AC$1006:$AS$1006,0)), HYPERLINK("#",""), HYPERLINK(CONCATENATE("#Metadata!", ADDRESS(INDEX($X$2:$X$1001,MATCH(ROWS($V$2:V121),$V$2:$V$1001,0),0), INDEX($AC$1004:$AS$1004,1,MATCH(COLUMNS($AC$1006:AS1006),$AC$1006:$AS$1006,0)))),"Fix")))</f>
        <v>0</v>
      </c>
      <c r="V121">
        <v>0</v>
      </c>
      <c r="W121">
        <v>0</v>
      </c>
      <c r="X121">
        <v>0</v>
      </c>
      <c r="Y121">
        <f>IF(Z121,TRUE,AND(AC121:AS121))</f>
        <v>0</v>
      </c>
      <c r="Z121">
        <f>COUNTBLANK(Metadata!B121:R121)=COLUMNS(Metadata!B121:R121)</f>
        <v>0</v>
      </c>
      <c r="AA121">
        <v>0</v>
      </c>
      <c r="AC121">
        <f>AND(IF(Metadata!B121="",FALSE,TRUE),COUNTIF(Metadata!B:B, Metadata!B121) = 1,NOT(ISERROR(SUMPRODUCT(SEARCH(MID(Metadata!B121,ROW(INDIRECT("1:"&amp;LEN(Metadata!B121))), 1),"0123456789abcdefghijklmnopqrstuvwxyzABCDEFGHIJKLMNOPQRSTUVWXYZ.")))))</f>
        <v>0</v>
      </c>
      <c r="AD121">
        <f>AND(IF(Metadata!C121="",FALSE,TRUE),exact(Metadata!C121,"Host-associated"))</f>
        <v>0</v>
      </c>
      <c r="AE121">
        <f>AND(IF(Metadata!D121="",FALSE,TRUE),OR(exact(Metadata!D121,"Animal"),exact(Metadata!D121,"Fungus"),exact(Metadata!D121,"Plant")))</f>
        <v>0</v>
      </c>
      <c r="AF121">
        <f>AND(IF(Metadata!E121="",FALSE,TRUE),OR(exact(Metadata!E121,"Plant secretion"),exact(Metadata!E121,"Plant rhizosphere"),exact(Metadata!E121,"Plant surface"),exact(Metadata!E121,"Plant corpus"),exact(Metadata!E121,"Fungus surface"),exact(Metadata!E121,"Fungus corpus"),exact(Metadata!E121,"Animal surface"),exact(Metadata!E121,"Animal proximal gut"),exact(Metadata!E121,"Animal corpus"),exact(Metadata!E121,"Animal distal gut"),exact(Metadata!E121,"Animal secretion")))</f>
        <v>0</v>
      </c>
      <c r="AG121">
        <f>OR(AND(IF(Metadata!F121="",FALSE,TRUE),OR(exact(Metadata!F121,"not collected"),exact(Metadata!F121,"not provided"),exact(Metadata!F121,"restricted access"))),AND(IF(Metadata!F121="",FALSE,TRUE),OR(exact(Metadata!F121,"organism-associated habitat"),exact(Metadata!F121,"plant-associated habitat"),exact(Metadata!F121,"animal-associated habitat"),exact(Metadata!F121,"insecta-associated habitat"),exact(Metadata!F121,"mammalia-associated habitat"),exact(Metadata!F121,"human-associated habitat"),exact(Metadata!F121,"livestock-associated habitat"))))</f>
        <v>0</v>
      </c>
      <c r="AH121">
        <f>AND(IF(Metadata!G121="",FALSE,TRUE),exact(Metadata!G121,"host-associated"))</f>
        <v>0</v>
      </c>
      <c r="AI121">
        <f>OR(AND(IF(Metadata!H121="",FALSE,TRUE),OR(exact(Metadata!H121,"not collected"),exact(Metadata!H121,"not provided"))),AND(IF(Metadata!H121="",FALSE,ISNUMBER(VALUE(Metadata!H121))),Metadata!H121&gt;0))</f>
        <v>0</v>
      </c>
      <c r="AJ121">
        <f>AND(IF(Metadata!I121="",FALSE,TRUE),exact(Metadata!I121,"years"))</f>
        <v>0</v>
      </c>
      <c r="AK121">
        <f>IF(Metadata!J121="",FALSE,TRUE)</f>
        <v>0</v>
      </c>
      <c r="AL121">
        <f>OR(AND(IF(Metadata!K121="",FALSE,TRUE),OR(exact(Metadata!K121,"not collected"),exact(Metadata!K121,"not provided"))),AND(IF(Metadata!K121="",FALSE,ISNUMBER(VALUE(Metadata!K121))),Metadata!K121&gt;0))</f>
        <v>0</v>
      </c>
      <c r="AM121">
        <f>AND(IF(Metadata!L121="",FALSE,TRUE),exact(Metadata!L121,"cm"))</f>
        <v>0</v>
      </c>
      <c r="AN121">
        <f>IF(Metadata!M121="",FALSE,TRUE)</f>
        <v>0</v>
      </c>
      <c r="AO121">
        <f>OR(AND(IF(Metadata!N121="",FALSE,TRUE),OR(exact(Metadata!N121,"not applicable"),exact(Metadata!N121,"not collected"),exact(Metadata!N121,"not provided"))),AND(IF(Metadata!N121="",FALSE,IF(ISERROR(INT(Metadata!N121)),FALSE,INT(Metadata!N121)=Metadata!N121)),Metadata!N121&gt;0))</f>
        <v>0</v>
      </c>
      <c r="AP121">
        <f>OR(AND(IF(Metadata!O121="",FALSE,TRUE),OR(exact(Metadata!O121,"not collected"),exact(Metadata!O121,"not provided"))),AND(IF(Metadata!O121="",FALSE,ISNUMBER(VALUE(Metadata!O121))),Metadata!O121&gt;0))</f>
        <v>0</v>
      </c>
      <c r="AQ121">
        <f>AND(IF(Metadata!P121="",FALSE,TRUE),exact(Metadata!P121,"kg"))</f>
        <v>0</v>
      </c>
      <c r="AR121">
        <f>OR(AND(IF(Metadata!Q121="",FALSE,TRUE),OR(exact(Metadata!Q121,"not applicable"),exact(Metadata!Q121,"not collected"),exact(Metadata!Q121,"not provided"),exact(Metadata!Q121,"restricted access"))),IF(Metadata!Q121="",FALSE,IF(ISERROR(INT(Metadata!Q121)),FALSE,INT(Metadata!Q121)=Metadata!Q121)))</f>
        <v>0</v>
      </c>
      <c r="AS121">
        <f>AND(IF(Metadata!R121="",FALSE,TRUE),exact(Metadata!R121,"Not applicable"))</f>
        <v>0</v>
      </c>
    </row>
    <row r="122" spans="1:45">
      <c r="A122" s="4">
        <f>IF(B122=" "," ",HYPERLINK(CONCATENATE("#metadata!",ADDRESS(INDEX($X$2:$X$1001,MATCH(ROWS($V$2:V122),$V$2:$V$1001,0),0),2)),INDEX($AA$2:$AA$1001,MATCH(ROWS($V$2:V122),$V$2:$V$1001,0),0)))</f>
        <v>0</v>
      </c>
      <c r="B122" s="5">
        <f>IF(OR(INDEX($W$2:$W$1001,MATCH(ROWS($V$2:V122),$V$2:$V$1001,0),1)&gt;=100000,INDEX($AC$1005:$AS$1005,1,MATCH(COLUMNS($AC$1006:AC1006),$AC$1006:$AS$1006,0))&gt;=100000), " ",IF(INDEX($AC$2:$AS$1001,MATCH(ROWS($V$2:V122),$V$2:$V$1001,0),MATCH(COLUMNS($AC$1006:AC1006),$AC$1006:$AS$1006,0)), HYPERLINK("#",""), HYPERLINK(CONCATENATE("#Metadata!", ADDRESS(INDEX($X$2:$X$1001,MATCH(ROWS($V$2:V122),$V$2:$V$1001,0),0), INDEX($AC$1004:$AS$1004,1,MATCH(COLUMNS($AC$1006:AC1006),$AC$1006:$AS$1006,0)))),"Fix")))</f>
        <v>0</v>
      </c>
      <c r="C122" s="5">
        <f>IF(OR(INDEX($W$2:$W$1001,MATCH(ROWS($V$2:V122),$V$2:$V$1001,0),1)&gt;=100000,INDEX($AC$1005:$AS$1005,1,MATCH(COLUMNS($AC$1006:AD1006),$AC$1006:$AS$1006,0))&gt;=100000), " ",IF(INDEX($AC$2:$AS$1001,MATCH(ROWS($V$2:V122),$V$2:$V$1001,0),MATCH(COLUMNS($AC$1006:AD1006),$AC$1006:$AS$1006,0)), HYPERLINK("#",""), HYPERLINK(CONCATENATE("#Metadata!", ADDRESS(INDEX($X$2:$X$1001,MATCH(ROWS($V$2:V122),$V$2:$V$1001,0),0), INDEX($AC$1004:$AS$1004,1,MATCH(COLUMNS($AC$1006:AD1006),$AC$1006:$AS$1006,0)))),"Fix")))</f>
        <v>0</v>
      </c>
      <c r="D122" s="5">
        <f>IF(OR(INDEX($W$2:$W$1001,MATCH(ROWS($V$2:V122),$V$2:$V$1001,0),1)&gt;=100000,INDEX($AC$1005:$AS$1005,1,MATCH(COLUMNS($AC$1006:AE1006),$AC$1006:$AS$1006,0))&gt;=100000), " ",IF(INDEX($AC$2:$AS$1001,MATCH(ROWS($V$2:V122),$V$2:$V$1001,0),MATCH(COLUMNS($AC$1006:AE1006),$AC$1006:$AS$1006,0)), HYPERLINK("#",""), HYPERLINK(CONCATENATE("#Metadata!", ADDRESS(INDEX($X$2:$X$1001,MATCH(ROWS($V$2:V122),$V$2:$V$1001,0),0), INDEX($AC$1004:$AS$1004,1,MATCH(COLUMNS($AC$1006:AE1006),$AC$1006:$AS$1006,0)))),"Fix")))</f>
        <v>0</v>
      </c>
      <c r="E122" s="5">
        <f>IF(OR(INDEX($W$2:$W$1001,MATCH(ROWS($V$2:V122),$V$2:$V$1001,0),1)&gt;=100000,INDEX($AC$1005:$AS$1005,1,MATCH(COLUMNS($AC$1006:AF1006),$AC$1006:$AS$1006,0))&gt;=100000), " ",IF(INDEX($AC$2:$AS$1001,MATCH(ROWS($V$2:V122),$V$2:$V$1001,0),MATCH(COLUMNS($AC$1006:AF1006),$AC$1006:$AS$1006,0)), HYPERLINK("#",""), HYPERLINK(CONCATENATE("#Metadata!", ADDRESS(INDEX($X$2:$X$1001,MATCH(ROWS($V$2:V122),$V$2:$V$1001,0),0), INDEX($AC$1004:$AS$1004,1,MATCH(COLUMNS($AC$1006:AF1006),$AC$1006:$AS$1006,0)))),"Fix")))</f>
        <v>0</v>
      </c>
      <c r="F122" s="5">
        <f>IF(OR(INDEX($W$2:$W$1001,MATCH(ROWS($V$2:V122),$V$2:$V$1001,0),1)&gt;=100000,INDEX($AC$1005:$AS$1005,1,MATCH(COLUMNS($AC$1006:AG1006),$AC$1006:$AS$1006,0))&gt;=100000), " ",IF(INDEX($AC$2:$AS$1001,MATCH(ROWS($V$2:V122),$V$2:$V$1001,0),MATCH(COLUMNS($AC$1006:AG1006),$AC$1006:$AS$1006,0)), HYPERLINK("#",""), HYPERLINK(CONCATENATE("#Metadata!", ADDRESS(INDEX($X$2:$X$1001,MATCH(ROWS($V$2:V122),$V$2:$V$1001,0),0), INDEX($AC$1004:$AS$1004,1,MATCH(COLUMNS($AC$1006:AG1006),$AC$1006:$AS$1006,0)))),"Fix")))</f>
        <v>0</v>
      </c>
      <c r="G122" s="5">
        <f>IF(OR(INDEX($W$2:$W$1001,MATCH(ROWS($V$2:V122),$V$2:$V$1001,0),1)&gt;=100000,INDEX($AC$1005:$AS$1005,1,MATCH(COLUMNS($AC$1006:AH1006),$AC$1006:$AS$1006,0))&gt;=100000), " ",IF(INDEX($AC$2:$AS$1001,MATCH(ROWS($V$2:V122),$V$2:$V$1001,0),MATCH(COLUMNS($AC$1006:AH1006),$AC$1006:$AS$1006,0)), HYPERLINK("#",""), HYPERLINK(CONCATENATE("#Metadata!", ADDRESS(INDEX($X$2:$X$1001,MATCH(ROWS($V$2:V122),$V$2:$V$1001,0),0), INDEX($AC$1004:$AS$1004,1,MATCH(COLUMNS($AC$1006:AH1006),$AC$1006:$AS$1006,0)))),"Fix")))</f>
        <v>0</v>
      </c>
      <c r="H122" s="5">
        <f>IF(OR(INDEX($W$2:$W$1001,MATCH(ROWS($V$2:V122),$V$2:$V$1001,0),1)&gt;=100000,INDEX($AC$1005:$AS$1005,1,MATCH(COLUMNS($AC$1006:AI1006),$AC$1006:$AS$1006,0))&gt;=100000), " ",IF(INDEX($AC$2:$AS$1001,MATCH(ROWS($V$2:V122),$V$2:$V$1001,0),MATCH(COLUMNS($AC$1006:AI1006),$AC$1006:$AS$1006,0)), HYPERLINK("#",""), HYPERLINK(CONCATENATE("#Metadata!", ADDRESS(INDEX($X$2:$X$1001,MATCH(ROWS($V$2:V122),$V$2:$V$1001,0),0), INDEX($AC$1004:$AS$1004,1,MATCH(COLUMNS($AC$1006:AI1006),$AC$1006:$AS$1006,0)))),"Fix")))</f>
        <v>0</v>
      </c>
      <c r="I122" s="5">
        <f>IF(OR(INDEX($W$2:$W$1001,MATCH(ROWS($V$2:V122),$V$2:$V$1001,0),1)&gt;=100000,INDEX($AC$1005:$AS$1005,1,MATCH(COLUMNS($AC$1006:AJ1006),$AC$1006:$AS$1006,0))&gt;=100000), " ",IF(INDEX($AC$2:$AS$1001,MATCH(ROWS($V$2:V122),$V$2:$V$1001,0),MATCH(COLUMNS($AC$1006:AJ1006),$AC$1006:$AS$1006,0)), HYPERLINK("#",""), HYPERLINK(CONCATENATE("#Metadata!", ADDRESS(INDEX($X$2:$X$1001,MATCH(ROWS($V$2:V122),$V$2:$V$1001,0),0), INDEX($AC$1004:$AS$1004,1,MATCH(COLUMNS($AC$1006:AJ1006),$AC$1006:$AS$1006,0)))),"Fix")))</f>
        <v>0</v>
      </c>
      <c r="J122" s="5">
        <f>IF(OR(INDEX($W$2:$W$1001,MATCH(ROWS($V$2:V122),$V$2:$V$1001,0),1)&gt;=100000,INDEX($AC$1005:$AS$1005,1,MATCH(COLUMNS($AC$1006:AK1006),$AC$1006:$AS$1006,0))&gt;=100000), " ",IF(INDEX($AC$2:$AS$1001,MATCH(ROWS($V$2:V122),$V$2:$V$1001,0),MATCH(COLUMNS($AC$1006:AK1006),$AC$1006:$AS$1006,0)), HYPERLINK("#",""), HYPERLINK(CONCATENATE("#Metadata!", ADDRESS(INDEX($X$2:$X$1001,MATCH(ROWS($V$2:V122),$V$2:$V$1001,0),0), INDEX($AC$1004:$AS$1004,1,MATCH(COLUMNS($AC$1006:AK1006),$AC$1006:$AS$1006,0)))),"Fix")))</f>
        <v>0</v>
      </c>
      <c r="K122" s="5">
        <f>IF(OR(INDEX($W$2:$W$1001,MATCH(ROWS($V$2:V122),$V$2:$V$1001,0),1)&gt;=100000,INDEX($AC$1005:$AS$1005,1,MATCH(COLUMNS($AC$1006:AL1006),$AC$1006:$AS$1006,0))&gt;=100000), " ",IF(INDEX($AC$2:$AS$1001,MATCH(ROWS($V$2:V122),$V$2:$V$1001,0),MATCH(COLUMNS($AC$1006:AL1006),$AC$1006:$AS$1006,0)), HYPERLINK("#",""), HYPERLINK(CONCATENATE("#Metadata!", ADDRESS(INDEX($X$2:$X$1001,MATCH(ROWS($V$2:V122),$V$2:$V$1001,0),0), INDEX($AC$1004:$AS$1004,1,MATCH(COLUMNS($AC$1006:AL1006),$AC$1006:$AS$1006,0)))),"Fix")))</f>
        <v>0</v>
      </c>
      <c r="L122" s="5">
        <f>IF(OR(INDEX($W$2:$W$1001,MATCH(ROWS($V$2:V122),$V$2:$V$1001,0),1)&gt;=100000,INDEX($AC$1005:$AS$1005,1,MATCH(COLUMNS($AC$1006:AM1006),$AC$1006:$AS$1006,0))&gt;=100000), " ",IF(INDEX($AC$2:$AS$1001,MATCH(ROWS($V$2:V122),$V$2:$V$1001,0),MATCH(COLUMNS($AC$1006:AM1006),$AC$1006:$AS$1006,0)), HYPERLINK("#",""), HYPERLINK(CONCATENATE("#Metadata!", ADDRESS(INDEX($X$2:$X$1001,MATCH(ROWS($V$2:V122),$V$2:$V$1001,0),0), INDEX($AC$1004:$AS$1004,1,MATCH(COLUMNS($AC$1006:AM1006),$AC$1006:$AS$1006,0)))),"Fix")))</f>
        <v>0</v>
      </c>
      <c r="M122" s="5">
        <f>IF(OR(INDEX($W$2:$W$1001,MATCH(ROWS($V$2:V122),$V$2:$V$1001,0),1)&gt;=100000,INDEX($AC$1005:$AS$1005,1,MATCH(COLUMNS($AC$1006:AN1006),$AC$1006:$AS$1006,0))&gt;=100000), " ",IF(INDEX($AC$2:$AS$1001,MATCH(ROWS($V$2:V122),$V$2:$V$1001,0),MATCH(COLUMNS($AC$1006:AN1006),$AC$1006:$AS$1006,0)), HYPERLINK("#",""), HYPERLINK(CONCATENATE("#Metadata!", ADDRESS(INDEX($X$2:$X$1001,MATCH(ROWS($V$2:V122),$V$2:$V$1001,0),0), INDEX($AC$1004:$AS$1004,1,MATCH(COLUMNS($AC$1006:AN1006),$AC$1006:$AS$1006,0)))),"Fix")))</f>
        <v>0</v>
      </c>
      <c r="N122" s="5">
        <f>IF(OR(INDEX($W$2:$W$1001,MATCH(ROWS($V$2:V122),$V$2:$V$1001,0),1)&gt;=100000,INDEX($AC$1005:$AS$1005,1,MATCH(COLUMNS($AC$1006:AO1006),$AC$1006:$AS$1006,0))&gt;=100000), " ",IF(INDEX($AC$2:$AS$1001,MATCH(ROWS($V$2:V122),$V$2:$V$1001,0),MATCH(COLUMNS($AC$1006:AO1006),$AC$1006:$AS$1006,0)), HYPERLINK("#",""), HYPERLINK(CONCATENATE("#Metadata!", ADDRESS(INDEX($X$2:$X$1001,MATCH(ROWS($V$2:V122),$V$2:$V$1001,0),0), INDEX($AC$1004:$AS$1004,1,MATCH(COLUMNS($AC$1006:AO1006),$AC$1006:$AS$1006,0)))),"Fix")))</f>
        <v>0</v>
      </c>
      <c r="O122" s="5">
        <f>IF(OR(INDEX($W$2:$W$1001,MATCH(ROWS($V$2:V122),$V$2:$V$1001,0),1)&gt;=100000,INDEX($AC$1005:$AS$1005,1,MATCH(COLUMNS($AC$1006:AP1006),$AC$1006:$AS$1006,0))&gt;=100000), " ",IF(INDEX($AC$2:$AS$1001,MATCH(ROWS($V$2:V122),$V$2:$V$1001,0),MATCH(COLUMNS($AC$1006:AP1006),$AC$1006:$AS$1006,0)), HYPERLINK("#",""), HYPERLINK(CONCATENATE("#Metadata!", ADDRESS(INDEX($X$2:$X$1001,MATCH(ROWS($V$2:V122),$V$2:$V$1001,0),0), INDEX($AC$1004:$AS$1004,1,MATCH(COLUMNS($AC$1006:AP1006),$AC$1006:$AS$1006,0)))),"Fix")))</f>
        <v>0</v>
      </c>
      <c r="P122" s="5">
        <f>IF(OR(INDEX($W$2:$W$1001,MATCH(ROWS($V$2:V122),$V$2:$V$1001,0),1)&gt;=100000,INDEX($AC$1005:$AS$1005,1,MATCH(COLUMNS($AC$1006:AQ1006),$AC$1006:$AS$1006,0))&gt;=100000), " ",IF(INDEX($AC$2:$AS$1001,MATCH(ROWS($V$2:V122),$V$2:$V$1001,0),MATCH(COLUMNS($AC$1006:AQ1006),$AC$1006:$AS$1006,0)), HYPERLINK("#",""), HYPERLINK(CONCATENATE("#Metadata!", ADDRESS(INDEX($X$2:$X$1001,MATCH(ROWS($V$2:V122),$V$2:$V$1001,0),0), INDEX($AC$1004:$AS$1004,1,MATCH(COLUMNS($AC$1006:AQ1006),$AC$1006:$AS$1006,0)))),"Fix")))</f>
        <v>0</v>
      </c>
      <c r="Q122" s="5">
        <f>IF(OR(INDEX($W$2:$W$1001,MATCH(ROWS($V$2:V122),$V$2:$V$1001,0),1)&gt;=100000,INDEX($AC$1005:$AS$1005,1,MATCH(COLUMNS($AC$1006:AR1006),$AC$1006:$AS$1006,0))&gt;=100000), " ",IF(INDEX($AC$2:$AS$1001,MATCH(ROWS($V$2:V122),$V$2:$V$1001,0),MATCH(COLUMNS($AC$1006:AR1006),$AC$1006:$AS$1006,0)), HYPERLINK("#",""), HYPERLINK(CONCATENATE("#Metadata!", ADDRESS(INDEX($X$2:$X$1001,MATCH(ROWS($V$2:V122),$V$2:$V$1001,0),0), INDEX($AC$1004:$AS$1004,1,MATCH(COLUMNS($AC$1006:AR1006),$AC$1006:$AS$1006,0)))),"Fix")))</f>
        <v>0</v>
      </c>
      <c r="R122" s="5">
        <f>IF(OR(INDEX($W$2:$W$1001,MATCH(ROWS($V$2:V122),$V$2:$V$1001,0),1)&gt;=100000,INDEX($AC$1005:$AS$1005,1,MATCH(COLUMNS($AC$1006:AS1006),$AC$1006:$AS$1006,0))&gt;=100000), " ",IF(INDEX($AC$2:$AS$1001,MATCH(ROWS($V$2:V122),$V$2:$V$1001,0),MATCH(COLUMNS($AC$1006:AS1006),$AC$1006:$AS$1006,0)), HYPERLINK("#",""), HYPERLINK(CONCATENATE("#Metadata!", ADDRESS(INDEX($X$2:$X$1001,MATCH(ROWS($V$2:V122),$V$2:$V$1001,0),0), INDEX($AC$1004:$AS$1004,1,MATCH(COLUMNS($AC$1006:AS1006),$AC$1006:$AS$1006,0)))),"Fix")))</f>
        <v>0</v>
      </c>
      <c r="V122">
        <v>0</v>
      </c>
      <c r="W122">
        <v>0</v>
      </c>
      <c r="X122">
        <v>0</v>
      </c>
      <c r="Y122">
        <f>IF(Z122,TRUE,AND(AC122:AS122))</f>
        <v>0</v>
      </c>
      <c r="Z122">
        <f>COUNTBLANK(Metadata!B122:R122)=COLUMNS(Metadata!B122:R122)</f>
        <v>0</v>
      </c>
      <c r="AA122">
        <v>0</v>
      </c>
      <c r="AC122">
        <f>AND(IF(Metadata!B122="",FALSE,TRUE),COUNTIF(Metadata!B:B, Metadata!B122) = 1,NOT(ISERROR(SUMPRODUCT(SEARCH(MID(Metadata!B122,ROW(INDIRECT("1:"&amp;LEN(Metadata!B122))), 1),"0123456789abcdefghijklmnopqrstuvwxyzABCDEFGHIJKLMNOPQRSTUVWXYZ.")))))</f>
        <v>0</v>
      </c>
      <c r="AD122">
        <f>AND(IF(Metadata!C122="",FALSE,TRUE),exact(Metadata!C122,"Host-associated"))</f>
        <v>0</v>
      </c>
      <c r="AE122">
        <f>AND(IF(Metadata!D122="",FALSE,TRUE),OR(exact(Metadata!D122,"Animal"),exact(Metadata!D122,"Fungus"),exact(Metadata!D122,"Plant")))</f>
        <v>0</v>
      </c>
      <c r="AF122">
        <f>AND(IF(Metadata!E122="",FALSE,TRUE),OR(exact(Metadata!E122,"Plant secretion"),exact(Metadata!E122,"Plant rhizosphere"),exact(Metadata!E122,"Plant surface"),exact(Metadata!E122,"Plant corpus"),exact(Metadata!E122,"Fungus surface"),exact(Metadata!E122,"Fungus corpus"),exact(Metadata!E122,"Animal surface"),exact(Metadata!E122,"Animal proximal gut"),exact(Metadata!E122,"Animal corpus"),exact(Metadata!E122,"Animal distal gut"),exact(Metadata!E122,"Animal secretion")))</f>
        <v>0</v>
      </c>
      <c r="AG122">
        <f>OR(AND(IF(Metadata!F122="",FALSE,TRUE),OR(exact(Metadata!F122,"not collected"),exact(Metadata!F122,"not provided"),exact(Metadata!F122,"restricted access"))),AND(IF(Metadata!F122="",FALSE,TRUE),OR(exact(Metadata!F122,"organism-associated habitat"),exact(Metadata!F122,"plant-associated habitat"),exact(Metadata!F122,"animal-associated habitat"),exact(Metadata!F122,"insecta-associated habitat"),exact(Metadata!F122,"mammalia-associated habitat"),exact(Metadata!F122,"human-associated habitat"),exact(Metadata!F122,"livestock-associated habitat"))))</f>
        <v>0</v>
      </c>
      <c r="AH122">
        <f>AND(IF(Metadata!G122="",FALSE,TRUE),exact(Metadata!G122,"host-associated"))</f>
        <v>0</v>
      </c>
      <c r="AI122">
        <f>OR(AND(IF(Metadata!H122="",FALSE,TRUE),OR(exact(Metadata!H122,"not collected"),exact(Metadata!H122,"not provided"))),AND(IF(Metadata!H122="",FALSE,ISNUMBER(VALUE(Metadata!H122))),Metadata!H122&gt;0))</f>
        <v>0</v>
      </c>
      <c r="AJ122">
        <f>AND(IF(Metadata!I122="",FALSE,TRUE),exact(Metadata!I122,"years"))</f>
        <v>0</v>
      </c>
      <c r="AK122">
        <f>IF(Metadata!J122="",FALSE,TRUE)</f>
        <v>0</v>
      </c>
      <c r="AL122">
        <f>OR(AND(IF(Metadata!K122="",FALSE,TRUE),OR(exact(Metadata!K122,"not collected"),exact(Metadata!K122,"not provided"))),AND(IF(Metadata!K122="",FALSE,ISNUMBER(VALUE(Metadata!K122))),Metadata!K122&gt;0))</f>
        <v>0</v>
      </c>
      <c r="AM122">
        <f>AND(IF(Metadata!L122="",FALSE,TRUE),exact(Metadata!L122,"cm"))</f>
        <v>0</v>
      </c>
      <c r="AN122">
        <f>IF(Metadata!M122="",FALSE,TRUE)</f>
        <v>0</v>
      </c>
      <c r="AO122">
        <f>OR(AND(IF(Metadata!N122="",FALSE,TRUE),OR(exact(Metadata!N122,"not applicable"),exact(Metadata!N122,"not collected"),exact(Metadata!N122,"not provided"))),AND(IF(Metadata!N122="",FALSE,IF(ISERROR(INT(Metadata!N122)),FALSE,INT(Metadata!N122)=Metadata!N122)),Metadata!N122&gt;0))</f>
        <v>0</v>
      </c>
      <c r="AP122">
        <f>OR(AND(IF(Metadata!O122="",FALSE,TRUE),OR(exact(Metadata!O122,"not collected"),exact(Metadata!O122,"not provided"))),AND(IF(Metadata!O122="",FALSE,ISNUMBER(VALUE(Metadata!O122))),Metadata!O122&gt;0))</f>
        <v>0</v>
      </c>
      <c r="AQ122">
        <f>AND(IF(Metadata!P122="",FALSE,TRUE),exact(Metadata!P122,"kg"))</f>
        <v>0</v>
      </c>
      <c r="AR122">
        <f>OR(AND(IF(Metadata!Q122="",FALSE,TRUE),OR(exact(Metadata!Q122,"not applicable"),exact(Metadata!Q122,"not collected"),exact(Metadata!Q122,"not provided"),exact(Metadata!Q122,"restricted access"))),IF(Metadata!Q122="",FALSE,IF(ISERROR(INT(Metadata!Q122)),FALSE,INT(Metadata!Q122)=Metadata!Q122)))</f>
        <v>0</v>
      </c>
      <c r="AS122">
        <f>AND(IF(Metadata!R122="",FALSE,TRUE),exact(Metadata!R122,"Not applicable"))</f>
        <v>0</v>
      </c>
    </row>
    <row r="123" spans="1:45">
      <c r="A123" s="4">
        <f>IF(B123=" "," ",HYPERLINK(CONCATENATE("#metadata!",ADDRESS(INDEX($X$2:$X$1001,MATCH(ROWS($V$2:V123),$V$2:$V$1001,0),0),2)),INDEX($AA$2:$AA$1001,MATCH(ROWS($V$2:V123),$V$2:$V$1001,0),0)))</f>
        <v>0</v>
      </c>
      <c r="B123" s="5">
        <f>IF(OR(INDEX($W$2:$W$1001,MATCH(ROWS($V$2:V123),$V$2:$V$1001,0),1)&gt;=100000,INDEX($AC$1005:$AS$1005,1,MATCH(COLUMNS($AC$1006:AC1006),$AC$1006:$AS$1006,0))&gt;=100000), " ",IF(INDEX($AC$2:$AS$1001,MATCH(ROWS($V$2:V123),$V$2:$V$1001,0),MATCH(COLUMNS($AC$1006:AC1006),$AC$1006:$AS$1006,0)), HYPERLINK("#",""), HYPERLINK(CONCATENATE("#Metadata!", ADDRESS(INDEX($X$2:$X$1001,MATCH(ROWS($V$2:V123),$V$2:$V$1001,0),0), INDEX($AC$1004:$AS$1004,1,MATCH(COLUMNS($AC$1006:AC1006),$AC$1006:$AS$1006,0)))),"Fix")))</f>
        <v>0</v>
      </c>
      <c r="C123" s="5">
        <f>IF(OR(INDEX($W$2:$W$1001,MATCH(ROWS($V$2:V123),$V$2:$V$1001,0),1)&gt;=100000,INDEX($AC$1005:$AS$1005,1,MATCH(COLUMNS($AC$1006:AD1006),$AC$1006:$AS$1006,0))&gt;=100000), " ",IF(INDEX($AC$2:$AS$1001,MATCH(ROWS($V$2:V123),$V$2:$V$1001,0),MATCH(COLUMNS($AC$1006:AD1006),$AC$1006:$AS$1006,0)), HYPERLINK("#",""), HYPERLINK(CONCATENATE("#Metadata!", ADDRESS(INDEX($X$2:$X$1001,MATCH(ROWS($V$2:V123),$V$2:$V$1001,0),0), INDEX($AC$1004:$AS$1004,1,MATCH(COLUMNS($AC$1006:AD1006),$AC$1006:$AS$1006,0)))),"Fix")))</f>
        <v>0</v>
      </c>
      <c r="D123" s="5">
        <f>IF(OR(INDEX($W$2:$W$1001,MATCH(ROWS($V$2:V123),$V$2:$V$1001,0),1)&gt;=100000,INDEX($AC$1005:$AS$1005,1,MATCH(COLUMNS($AC$1006:AE1006),$AC$1006:$AS$1006,0))&gt;=100000), " ",IF(INDEX($AC$2:$AS$1001,MATCH(ROWS($V$2:V123),$V$2:$V$1001,0),MATCH(COLUMNS($AC$1006:AE1006),$AC$1006:$AS$1006,0)), HYPERLINK("#",""), HYPERLINK(CONCATENATE("#Metadata!", ADDRESS(INDEX($X$2:$X$1001,MATCH(ROWS($V$2:V123),$V$2:$V$1001,0),0), INDEX($AC$1004:$AS$1004,1,MATCH(COLUMNS($AC$1006:AE1006),$AC$1006:$AS$1006,0)))),"Fix")))</f>
        <v>0</v>
      </c>
      <c r="E123" s="5">
        <f>IF(OR(INDEX($W$2:$W$1001,MATCH(ROWS($V$2:V123),$V$2:$V$1001,0),1)&gt;=100000,INDEX($AC$1005:$AS$1005,1,MATCH(COLUMNS($AC$1006:AF1006),$AC$1006:$AS$1006,0))&gt;=100000), " ",IF(INDEX($AC$2:$AS$1001,MATCH(ROWS($V$2:V123),$V$2:$V$1001,0),MATCH(COLUMNS($AC$1006:AF1006),$AC$1006:$AS$1006,0)), HYPERLINK("#",""), HYPERLINK(CONCATENATE("#Metadata!", ADDRESS(INDEX($X$2:$X$1001,MATCH(ROWS($V$2:V123),$V$2:$V$1001,0),0), INDEX($AC$1004:$AS$1004,1,MATCH(COLUMNS($AC$1006:AF1006),$AC$1006:$AS$1006,0)))),"Fix")))</f>
        <v>0</v>
      </c>
      <c r="F123" s="5">
        <f>IF(OR(INDEX($W$2:$W$1001,MATCH(ROWS($V$2:V123),$V$2:$V$1001,0),1)&gt;=100000,INDEX($AC$1005:$AS$1005,1,MATCH(COLUMNS($AC$1006:AG1006),$AC$1006:$AS$1006,0))&gt;=100000), " ",IF(INDEX($AC$2:$AS$1001,MATCH(ROWS($V$2:V123),$V$2:$V$1001,0),MATCH(COLUMNS($AC$1006:AG1006),$AC$1006:$AS$1006,0)), HYPERLINK("#",""), HYPERLINK(CONCATENATE("#Metadata!", ADDRESS(INDEX($X$2:$X$1001,MATCH(ROWS($V$2:V123),$V$2:$V$1001,0),0), INDEX($AC$1004:$AS$1004,1,MATCH(COLUMNS($AC$1006:AG1006),$AC$1006:$AS$1006,0)))),"Fix")))</f>
        <v>0</v>
      </c>
      <c r="G123" s="5">
        <f>IF(OR(INDEX($W$2:$W$1001,MATCH(ROWS($V$2:V123),$V$2:$V$1001,0),1)&gt;=100000,INDEX($AC$1005:$AS$1005,1,MATCH(COLUMNS($AC$1006:AH1006),$AC$1006:$AS$1006,0))&gt;=100000), " ",IF(INDEX($AC$2:$AS$1001,MATCH(ROWS($V$2:V123),$V$2:$V$1001,0),MATCH(COLUMNS($AC$1006:AH1006),$AC$1006:$AS$1006,0)), HYPERLINK("#",""), HYPERLINK(CONCATENATE("#Metadata!", ADDRESS(INDEX($X$2:$X$1001,MATCH(ROWS($V$2:V123),$V$2:$V$1001,0),0), INDEX($AC$1004:$AS$1004,1,MATCH(COLUMNS($AC$1006:AH1006),$AC$1006:$AS$1006,0)))),"Fix")))</f>
        <v>0</v>
      </c>
      <c r="H123" s="5">
        <f>IF(OR(INDEX($W$2:$W$1001,MATCH(ROWS($V$2:V123),$V$2:$V$1001,0),1)&gt;=100000,INDEX($AC$1005:$AS$1005,1,MATCH(COLUMNS($AC$1006:AI1006),$AC$1006:$AS$1006,0))&gt;=100000), " ",IF(INDEX($AC$2:$AS$1001,MATCH(ROWS($V$2:V123),$V$2:$V$1001,0),MATCH(COLUMNS($AC$1006:AI1006),$AC$1006:$AS$1006,0)), HYPERLINK("#",""), HYPERLINK(CONCATENATE("#Metadata!", ADDRESS(INDEX($X$2:$X$1001,MATCH(ROWS($V$2:V123),$V$2:$V$1001,0),0), INDEX($AC$1004:$AS$1004,1,MATCH(COLUMNS($AC$1006:AI1006),$AC$1006:$AS$1006,0)))),"Fix")))</f>
        <v>0</v>
      </c>
      <c r="I123" s="5">
        <f>IF(OR(INDEX($W$2:$W$1001,MATCH(ROWS($V$2:V123),$V$2:$V$1001,0),1)&gt;=100000,INDEX($AC$1005:$AS$1005,1,MATCH(COLUMNS($AC$1006:AJ1006),$AC$1006:$AS$1006,0))&gt;=100000), " ",IF(INDEX($AC$2:$AS$1001,MATCH(ROWS($V$2:V123),$V$2:$V$1001,0),MATCH(COLUMNS($AC$1006:AJ1006),$AC$1006:$AS$1006,0)), HYPERLINK("#",""), HYPERLINK(CONCATENATE("#Metadata!", ADDRESS(INDEX($X$2:$X$1001,MATCH(ROWS($V$2:V123),$V$2:$V$1001,0),0), INDEX($AC$1004:$AS$1004,1,MATCH(COLUMNS($AC$1006:AJ1006),$AC$1006:$AS$1006,0)))),"Fix")))</f>
        <v>0</v>
      </c>
      <c r="J123" s="5">
        <f>IF(OR(INDEX($W$2:$W$1001,MATCH(ROWS($V$2:V123),$V$2:$V$1001,0),1)&gt;=100000,INDEX($AC$1005:$AS$1005,1,MATCH(COLUMNS($AC$1006:AK1006),$AC$1006:$AS$1006,0))&gt;=100000), " ",IF(INDEX($AC$2:$AS$1001,MATCH(ROWS($V$2:V123),$V$2:$V$1001,0),MATCH(COLUMNS($AC$1006:AK1006),$AC$1006:$AS$1006,0)), HYPERLINK("#",""), HYPERLINK(CONCATENATE("#Metadata!", ADDRESS(INDEX($X$2:$X$1001,MATCH(ROWS($V$2:V123),$V$2:$V$1001,0),0), INDEX($AC$1004:$AS$1004,1,MATCH(COLUMNS($AC$1006:AK1006),$AC$1006:$AS$1006,0)))),"Fix")))</f>
        <v>0</v>
      </c>
      <c r="K123" s="5">
        <f>IF(OR(INDEX($W$2:$W$1001,MATCH(ROWS($V$2:V123),$V$2:$V$1001,0),1)&gt;=100000,INDEX($AC$1005:$AS$1005,1,MATCH(COLUMNS($AC$1006:AL1006),$AC$1006:$AS$1006,0))&gt;=100000), " ",IF(INDEX($AC$2:$AS$1001,MATCH(ROWS($V$2:V123),$V$2:$V$1001,0),MATCH(COLUMNS($AC$1006:AL1006),$AC$1006:$AS$1006,0)), HYPERLINK("#",""), HYPERLINK(CONCATENATE("#Metadata!", ADDRESS(INDEX($X$2:$X$1001,MATCH(ROWS($V$2:V123),$V$2:$V$1001,0),0), INDEX($AC$1004:$AS$1004,1,MATCH(COLUMNS($AC$1006:AL1006),$AC$1006:$AS$1006,0)))),"Fix")))</f>
        <v>0</v>
      </c>
      <c r="L123" s="5">
        <f>IF(OR(INDEX($W$2:$W$1001,MATCH(ROWS($V$2:V123),$V$2:$V$1001,0),1)&gt;=100000,INDEX($AC$1005:$AS$1005,1,MATCH(COLUMNS($AC$1006:AM1006),$AC$1006:$AS$1006,0))&gt;=100000), " ",IF(INDEX($AC$2:$AS$1001,MATCH(ROWS($V$2:V123),$V$2:$V$1001,0),MATCH(COLUMNS($AC$1006:AM1006),$AC$1006:$AS$1006,0)), HYPERLINK("#",""), HYPERLINK(CONCATENATE("#Metadata!", ADDRESS(INDEX($X$2:$X$1001,MATCH(ROWS($V$2:V123),$V$2:$V$1001,0),0), INDEX($AC$1004:$AS$1004,1,MATCH(COLUMNS($AC$1006:AM1006),$AC$1006:$AS$1006,0)))),"Fix")))</f>
        <v>0</v>
      </c>
      <c r="M123" s="5">
        <f>IF(OR(INDEX($W$2:$W$1001,MATCH(ROWS($V$2:V123),$V$2:$V$1001,0),1)&gt;=100000,INDEX($AC$1005:$AS$1005,1,MATCH(COLUMNS($AC$1006:AN1006),$AC$1006:$AS$1006,0))&gt;=100000), " ",IF(INDEX($AC$2:$AS$1001,MATCH(ROWS($V$2:V123),$V$2:$V$1001,0),MATCH(COLUMNS($AC$1006:AN1006),$AC$1006:$AS$1006,0)), HYPERLINK("#",""), HYPERLINK(CONCATENATE("#Metadata!", ADDRESS(INDEX($X$2:$X$1001,MATCH(ROWS($V$2:V123),$V$2:$V$1001,0),0), INDEX($AC$1004:$AS$1004,1,MATCH(COLUMNS($AC$1006:AN1006),$AC$1006:$AS$1006,0)))),"Fix")))</f>
        <v>0</v>
      </c>
      <c r="N123" s="5">
        <f>IF(OR(INDEX($W$2:$W$1001,MATCH(ROWS($V$2:V123),$V$2:$V$1001,0),1)&gt;=100000,INDEX($AC$1005:$AS$1005,1,MATCH(COLUMNS($AC$1006:AO1006),$AC$1006:$AS$1006,0))&gt;=100000), " ",IF(INDEX($AC$2:$AS$1001,MATCH(ROWS($V$2:V123),$V$2:$V$1001,0),MATCH(COLUMNS($AC$1006:AO1006),$AC$1006:$AS$1006,0)), HYPERLINK("#",""), HYPERLINK(CONCATENATE("#Metadata!", ADDRESS(INDEX($X$2:$X$1001,MATCH(ROWS($V$2:V123),$V$2:$V$1001,0),0), INDEX($AC$1004:$AS$1004,1,MATCH(COLUMNS($AC$1006:AO1006),$AC$1006:$AS$1006,0)))),"Fix")))</f>
        <v>0</v>
      </c>
      <c r="O123" s="5">
        <f>IF(OR(INDEX($W$2:$W$1001,MATCH(ROWS($V$2:V123),$V$2:$V$1001,0),1)&gt;=100000,INDEX($AC$1005:$AS$1005,1,MATCH(COLUMNS($AC$1006:AP1006),$AC$1006:$AS$1006,0))&gt;=100000), " ",IF(INDEX($AC$2:$AS$1001,MATCH(ROWS($V$2:V123),$V$2:$V$1001,0),MATCH(COLUMNS($AC$1006:AP1006),$AC$1006:$AS$1006,0)), HYPERLINK("#",""), HYPERLINK(CONCATENATE("#Metadata!", ADDRESS(INDEX($X$2:$X$1001,MATCH(ROWS($V$2:V123),$V$2:$V$1001,0),0), INDEX($AC$1004:$AS$1004,1,MATCH(COLUMNS($AC$1006:AP1006),$AC$1006:$AS$1006,0)))),"Fix")))</f>
        <v>0</v>
      </c>
      <c r="P123" s="5">
        <f>IF(OR(INDEX($W$2:$W$1001,MATCH(ROWS($V$2:V123),$V$2:$V$1001,0),1)&gt;=100000,INDEX($AC$1005:$AS$1005,1,MATCH(COLUMNS($AC$1006:AQ1006),$AC$1006:$AS$1006,0))&gt;=100000), " ",IF(INDEX($AC$2:$AS$1001,MATCH(ROWS($V$2:V123),$V$2:$V$1001,0),MATCH(COLUMNS($AC$1006:AQ1006),$AC$1006:$AS$1006,0)), HYPERLINK("#",""), HYPERLINK(CONCATENATE("#Metadata!", ADDRESS(INDEX($X$2:$X$1001,MATCH(ROWS($V$2:V123),$V$2:$V$1001,0),0), INDEX($AC$1004:$AS$1004,1,MATCH(COLUMNS($AC$1006:AQ1006),$AC$1006:$AS$1006,0)))),"Fix")))</f>
        <v>0</v>
      </c>
      <c r="Q123" s="5">
        <f>IF(OR(INDEX($W$2:$W$1001,MATCH(ROWS($V$2:V123),$V$2:$V$1001,0),1)&gt;=100000,INDEX($AC$1005:$AS$1005,1,MATCH(COLUMNS($AC$1006:AR1006),$AC$1006:$AS$1006,0))&gt;=100000), " ",IF(INDEX($AC$2:$AS$1001,MATCH(ROWS($V$2:V123),$V$2:$V$1001,0),MATCH(COLUMNS($AC$1006:AR1006),$AC$1006:$AS$1006,0)), HYPERLINK("#",""), HYPERLINK(CONCATENATE("#Metadata!", ADDRESS(INDEX($X$2:$X$1001,MATCH(ROWS($V$2:V123),$V$2:$V$1001,0),0), INDEX($AC$1004:$AS$1004,1,MATCH(COLUMNS($AC$1006:AR1006),$AC$1006:$AS$1006,0)))),"Fix")))</f>
        <v>0</v>
      </c>
      <c r="R123" s="5">
        <f>IF(OR(INDEX($W$2:$W$1001,MATCH(ROWS($V$2:V123),$V$2:$V$1001,0),1)&gt;=100000,INDEX($AC$1005:$AS$1005,1,MATCH(COLUMNS($AC$1006:AS1006),$AC$1006:$AS$1006,0))&gt;=100000), " ",IF(INDEX($AC$2:$AS$1001,MATCH(ROWS($V$2:V123),$V$2:$V$1001,0),MATCH(COLUMNS($AC$1006:AS1006),$AC$1006:$AS$1006,0)), HYPERLINK("#",""), HYPERLINK(CONCATENATE("#Metadata!", ADDRESS(INDEX($X$2:$X$1001,MATCH(ROWS($V$2:V123),$V$2:$V$1001,0),0), INDEX($AC$1004:$AS$1004,1,MATCH(COLUMNS($AC$1006:AS1006),$AC$1006:$AS$1006,0)))),"Fix")))</f>
        <v>0</v>
      </c>
      <c r="V123">
        <v>0</v>
      </c>
      <c r="W123">
        <v>0</v>
      </c>
      <c r="X123">
        <v>0</v>
      </c>
      <c r="Y123">
        <f>IF(Z123,TRUE,AND(AC123:AS123))</f>
        <v>0</v>
      </c>
      <c r="Z123">
        <f>COUNTBLANK(Metadata!B123:R123)=COLUMNS(Metadata!B123:R123)</f>
        <v>0</v>
      </c>
      <c r="AA123">
        <v>0</v>
      </c>
      <c r="AC123">
        <f>AND(IF(Metadata!B123="",FALSE,TRUE),COUNTIF(Metadata!B:B, Metadata!B123) = 1,NOT(ISERROR(SUMPRODUCT(SEARCH(MID(Metadata!B123,ROW(INDIRECT("1:"&amp;LEN(Metadata!B123))), 1),"0123456789abcdefghijklmnopqrstuvwxyzABCDEFGHIJKLMNOPQRSTUVWXYZ.")))))</f>
        <v>0</v>
      </c>
      <c r="AD123">
        <f>AND(IF(Metadata!C123="",FALSE,TRUE),exact(Metadata!C123,"Host-associated"))</f>
        <v>0</v>
      </c>
      <c r="AE123">
        <f>AND(IF(Metadata!D123="",FALSE,TRUE),OR(exact(Metadata!D123,"Animal"),exact(Metadata!D123,"Fungus"),exact(Metadata!D123,"Plant")))</f>
        <v>0</v>
      </c>
      <c r="AF123">
        <f>AND(IF(Metadata!E123="",FALSE,TRUE),OR(exact(Metadata!E123,"Plant secretion"),exact(Metadata!E123,"Plant rhizosphere"),exact(Metadata!E123,"Plant surface"),exact(Metadata!E123,"Plant corpus"),exact(Metadata!E123,"Fungus surface"),exact(Metadata!E123,"Fungus corpus"),exact(Metadata!E123,"Animal surface"),exact(Metadata!E123,"Animal proximal gut"),exact(Metadata!E123,"Animal corpus"),exact(Metadata!E123,"Animal distal gut"),exact(Metadata!E123,"Animal secretion")))</f>
        <v>0</v>
      </c>
      <c r="AG123">
        <f>OR(AND(IF(Metadata!F123="",FALSE,TRUE),OR(exact(Metadata!F123,"not collected"),exact(Metadata!F123,"not provided"),exact(Metadata!F123,"restricted access"))),AND(IF(Metadata!F123="",FALSE,TRUE),OR(exact(Metadata!F123,"organism-associated habitat"),exact(Metadata!F123,"plant-associated habitat"),exact(Metadata!F123,"animal-associated habitat"),exact(Metadata!F123,"insecta-associated habitat"),exact(Metadata!F123,"mammalia-associated habitat"),exact(Metadata!F123,"human-associated habitat"),exact(Metadata!F123,"livestock-associated habitat"))))</f>
        <v>0</v>
      </c>
      <c r="AH123">
        <f>AND(IF(Metadata!G123="",FALSE,TRUE),exact(Metadata!G123,"host-associated"))</f>
        <v>0</v>
      </c>
      <c r="AI123">
        <f>OR(AND(IF(Metadata!H123="",FALSE,TRUE),OR(exact(Metadata!H123,"not collected"),exact(Metadata!H123,"not provided"))),AND(IF(Metadata!H123="",FALSE,ISNUMBER(VALUE(Metadata!H123))),Metadata!H123&gt;0))</f>
        <v>0</v>
      </c>
      <c r="AJ123">
        <f>AND(IF(Metadata!I123="",FALSE,TRUE),exact(Metadata!I123,"years"))</f>
        <v>0</v>
      </c>
      <c r="AK123">
        <f>IF(Metadata!J123="",FALSE,TRUE)</f>
        <v>0</v>
      </c>
      <c r="AL123">
        <f>OR(AND(IF(Metadata!K123="",FALSE,TRUE),OR(exact(Metadata!K123,"not collected"),exact(Metadata!K123,"not provided"))),AND(IF(Metadata!K123="",FALSE,ISNUMBER(VALUE(Metadata!K123))),Metadata!K123&gt;0))</f>
        <v>0</v>
      </c>
      <c r="AM123">
        <f>AND(IF(Metadata!L123="",FALSE,TRUE),exact(Metadata!L123,"cm"))</f>
        <v>0</v>
      </c>
      <c r="AN123">
        <f>IF(Metadata!M123="",FALSE,TRUE)</f>
        <v>0</v>
      </c>
      <c r="AO123">
        <f>OR(AND(IF(Metadata!N123="",FALSE,TRUE),OR(exact(Metadata!N123,"not applicable"),exact(Metadata!N123,"not collected"),exact(Metadata!N123,"not provided"))),AND(IF(Metadata!N123="",FALSE,IF(ISERROR(INT(Metadata!N123)),FALSE,INT(Metadata!N123)=Metadata!N123)),Metadata!N123&gt;0))</f>
        <v>0</v>
      </c>
      <c r="AP123">
        <f>OR(AND(IF(Metadata!O123="",FALSE,TRUE),OR(exact(Metadata!O123,"not collected"),exact(Metadata!O123,"not provided"))),AND(IF(Metadata!O123="",FALSE,ISNUMBER(VALUE(Metadata!O123))),Metadata!O123&gt;0))</f>
        <v>0</v>
      </c>
      <c r="AQ123">
        <f>AND(IF(Metadata!P123="",FALSE,TRUE),exact(Metadata!P123,"kg"))</f>
        <v>0</v>
      </c>
      <c r="AR123">
        <f>OR(AND(IF(Metadata!Q123="",FALSE,TRUE),OR(exact(Metadata!Q123,"not applicable"),exact(Metadata!Q123,"not collected"),exact(Metadata!Q123,"not provided"),exact(Metadata!Q123,"restricted access"))),IF(Metadata!Q123="",FALSE,IF(ISERROR(INT(Metadata!Q123)),FALSE,INT(Metadata!Q123)=Metadata!Q123)))</f>
        <v>0</v>
      </c>
      <c r="AS123">
        <f>AND(IF(Metadata!R123="",FALSE,TRUE),exact(Metadata!R123,"Not applicable"))</f>
        <v>0</v>
      </c>
    </row>
    <row r="124" spans="1:45">
      <c r="A124" s="4">
        <f>IF(B124=" "," ",HYPERLINK(CONCATENATE("#metadata!",ADDRESS(INDEX($X$2:$X$1001,MATCH(ROWS($V$2:V124),$V$2:$V$1001,0),0),2)),INDEX($AA$2:$AA$1001,MATCH(ROWS($V$2:V124),$V$2:$V$1001,0),0)))</f>
        <v>0</v>
      </c>
      <c r="B124" s="5">
        <f>IF(OR(INDEX($W$2:$W$1001,MATCH(ROWS($V$2:V124),$V$2:$V$1001,0),1)&gt;=100000,INDEX($AC$1005:$AS$1005,1,MATCH(COLUMNS($AC$1006:AC1006),$AC$1006:$AS$1006,0))&gt;=100000), " ",IF(INDEX($AC$2:$AS$1001,MATCH(ROWS($V$2:V124),$V$2:$V$1001,0),MATCH(COLUMNS($AC$1006:AC1006),$AC$1006:$AS$1006,0)), HYPERLINK("#",""), HYPERLINK(CONCATENATE("#Metadata!", ADDRESS(INDEX($X$2:$X$1001,MATCH(ROWS($V$2:V124),$V$2:$V$1001,0),0), INDEX($AC$1004:$AS$1004,1,MATCH(COLUMNS($AC$1006:AC1006),$AC$1006:$AS$1006,0)))),"Fix")))</f>
        <v>0</v>
      </c>
      <c r="C124" s="5">
        <f>IF(OR(INDEX($W$2:$W$1001,MATCH(ROWS($V$2:V124),$V$2:$V$1001,0),1)&gt;=100000,INDEX($AC$1005:$AS$1005,1,MATCH(COLUMNS($AC$1006:AD1006),$AC$1006:$AS$1006,0))&gt;=100000), " ",IF(INDEX($AC$2:$AS$1001,MATCH(ROWS($V$2:V124),$V$2:$V$1001,0),MATCH(COLUMNS($AC$1006:AD1006),$AC$1006:$AS$1006,0)), HYPERLINK("#",""), HYPERLINK(CONCATENATE("#Metadata!", ADDRESS(INDEX($X$2:$X$1001,MATCH(ROWS($V$2:V124),$V$2:$V$1001,0),0), INDEX($AC$1004:$AS$1004,1,MATCH(COLUMNS($AC$1006:AD1006),$AC$1006:$AS$1006,0)))),"Fix")))</f>
        <v>0</v>
      </c>
      <c r="D124" s="5">
        <f>IF(OR(INDEX($W$2:$W$1001,MATCH(ROWS($V$2:V124),$V$2:$V$1001,0),1)&gt;=100000,INDEX($AC$1005:$AS$1005,1,MATCH(COLUMNS($AC$1006:AE1006),$AC$1006:$AS$1006,0))&gt;=100000), " ",IF(INDEX($AC$2:$AS$1001,MATCH(ROWS($V$2:V124),$V$2:$V$1001,0),MATCH(COLUMNS($AC$1006:AE1006),$AC$1006:$AS$1006,0)), HYPERLINK("#",""), HYPERLINK(CONCATENATE("#Metadata!", ADDRESS(INDEX($X$2:$X$1001,MATCH(ROWS($V$2:V124),$V$2:$V$1001,0),0), INDEX($AC$1004:$AS$1004,1,MATCH(COLUMNS($AC$1006:AE1006),$AC$1006:$AS$1006,0)))),"Fix")))</f>
        <v>0</v>
      </c>
      <c r="E124" s="5">
        <f>IF(OR(INDEX($W$2:$W$1001,MATCH(ROWS($V$2:V124),$V$2:$V$1001,0),1)&gt;=100000,INDEX($AC$1005:$AS$1005,1,MATCH(COLUMNS($AC$1006:AF1006),$AC$1006:$AS$1006,0))&gt;=100000), " ",IF(INDEX($AC$2:$AS$1001,MATCH(ROWS($V$2:V124),$V$2:$V$1001,0),MATCH(COLUMNS($AC$1006:AF1006),$AC$1006:$AS$1006,0)), HYPERLINK("#",""), HYPERLINK(CONCATENATE("#Metadata!", ADDRESS(INDEX($X$2:$X$1001,MATCH(ROWS($V$2:V124),$V$2:$V$1001,0),0), INDEX($AC$1004:$AS$1004,1,MATCH(COLUMNS($AC$1006:AF1006),$AC$1006:$AS$1006,0)))),"Fix")))</f>
        <v>0</v>
      </c>
      <c r="F124" s="5">
        <f>IF(OR(INDEX($W$2:$W$1001,MATCH(ROWS($V$2:V124),$V$2:$V$1001,0),1)&gt;=100000,INDEX($AC$1005:$AS$1005,1,MATCH(COLUMNS($AC$1006:AG1006),$AC$1006:$AS$1006,0))&gt;=100000), " ",IF(INDEX($AC$2:$AS$1001,MATCH(ROWS($V$2:V124),$V$2:$V$1001,0),MATCH(COLUMNS($AC$1006:AG1006),$AC$1006:$AS$1006,0)), HYPERLINK("#",""), HYPERLINK(CONCATENATE("#Metadata!", ADDRESS(INDEX($X$2:$X$1001,MATCH(ROWS($V$2:V124),$V$2:$V$1001,0),0), INDEX($AC$1004:$AS$1004,1,MATCH(COLUMNS($AC$1006:AG1006),$AC$1006:$AS$1006,0)))),"Fix")))</f>
        <v>0</v>
      </c>
      <c r="G124" s="5">
        <f>IF(OR(INDEX($W$2:$W$1001,MATCH(ROWS($V$2:V124),$V$2:$V$1001,0),1)&gt;=100000,INDEX($AC$1005:$AS$1005,1,MATCH(COLUMNS($AC$1006:AH1006),$AC$1006:$AS$1006,0))&gt;=100000), " ",IF(INDEX($AC$2:$AS$1001,MATCH(ROWS($V$2:V124),$V$2:$V$1001,0),MATCH(COLUMNS($AC$1006:AH1006),$AC$1006:$AS$1006,0)), HYPERLINK("#",""), HYPERLINK(CONCATENATE("#Metadata!", ADDRESS(INDEX($X$2:$X$1001,MATCH(ROWS($V$2:V124),$V$2:$V$1001,0),0), INDEX($AC$1004:$AS$1004,1,MATCH(COLUMNS($AC$1006:AH1006),$AC$1006:$AS$1006,0)))),"Fix")))</f>
        <v>0</v>
      </c>
      <c r="H124" s="5">
        <f>IF(OR(INDEX($W$2:$W$1001,MATCH(ROWS($V$2:V124),$V$2:$V$1001,0),1)&gt;=100000,INDEX($AC$1005:$AS$1005,1,MATCH(COLUMNS($AC$1006:AI1006),$AC$1006:$AS$1006,0))&gt;=100000), " ",IF(INDEX($AC$2:$AS$1001,MATCH(ROWS($V$2:V124),$V$2:$V$1001,0),MATCH(COLUMNS($AC$1006:AI1006),$AC$1006:$AS$1006,0)), HYPERLINK("#",""), HYPERLINK(CONCATENATE("#Metadata!", ADDRESS(INDEX($X$2:$X$1001,MATCH(ROWS($V$2:V124),$V$2:$V$1001,0),0), INDEX($AC$1004:$AS$1004,1,MATCH(COLUMNS($AC$1006:AI1006),$AC$1006:$AS$1006,0)))),"Fix")))</f>
        <v>0</v>
      </c>
      <c r="I124" s="5">
        <f>IF(OR(INDEX($W$2:$W$1001,MATCH(ROWS($V$2:V124),$V$2:$V$1001,0),1)&gt;=100000,INDEX($AC$1005:$AS$1005,1,MATCH(COLUMNS($AC$1006:AJ1006),$AC$1006:$AS$1006,0))&gt;=100000), " ",IF(INDEX($AC$2:$AS$1001,MATCH(ROWS($V$2:V124),$V$2:$V$1001,0),MATCH(COLUMNS($AC$1006:AJ1006),$AC$1006:$AS$1006,0)), HYPERLINK("#",""), HYPERLINK(CONCATENATE("#Metadata!", ADDRESS(INDEX($X$2:$X$1001,MATCH(ROWS($V$2:V124),$V$2:$V$1001,0),0), INDEX($AC$1004:$AS$1004,1,MATCH(COLUMNS($AC$1006:AJ1006),$AC$1006:$AS$1006,0)))),"Fix")))</f>
        <v>0</v>
      </c>
      <c r="J124" s="5">
        <f>IF(OR(INDEX($W$2:$W$1001,MATCH(ROWS($V$2:V124),$V$2:$V$1001,0),1)&gt;=100000,INDEX($AC$1005:$AS$1005,1,MATCH(COLUMNS($AC$1006:AK1006),$AC$1006:$AS$1006,0))&gt;=100000), " ",IF(INDEX($AC$2:$AS$1001,MATCH(ROWS($V$2:V124),$V$2:$V$1001,0),MATCH(COLUMNS($AC$1006:AK1006),$AC$1006:$AS$1006,0)), HYPERLINK("#",""), HYPERLINK(CONCATENATE("#Metadata!", ADDRESS(INDEX($X$2:$X$1001,MATCH(ROWS($V$2:V124),$V$2:$V$1001,0),0), INDEX($AC$1004:$AS$1004,1,MATCH(COLUMNS($AC$1006:AK1006),$AC$1006:$AS$1006,0)))),"Fix")))</f>
        <v>0</v>
      </c>
      <c r="K124" s="5">
        <f>IF(OR(INDEX($W$2:$W$1001,MATCH(ROWS($V$2:V124),$V$2:$V$1001,0),1)&gt;=100000,INDEX($AC$1005:$AS$1005,1,MATCH(COLUMNS($AC$1006:AL1006),$AC$1006:$AS$1006,0))&gt;=100000), " ",IF(INDEX($AC$2:$AS$1001,MATCH(ROWS($V$2:V124),$V$2:$V$1001,0),MATCH(COLUMNS($AC$1006:AL1006),$AC$1006:$AS$1006,0)), HYPERLINK("#",""), HYPERLINK(CONCATENATE("#Metadata!", ADDRESS(INDEX($X$2:$X$1001,MATCH(ROWS($V$2:V124),$V$2:$V$1001,0),0), INDEX($AC$1004:$AS$1004,1,MATCH(COLUMNS($AC$1006:AL1006),$AC$1006:$AS$1006,0)))),"Fix")))</f>
        <v>0</v>
      </c>
      <c r="L124" s="5">
        <f>IF(OR(INDEX($W$2:$W$1001,MATCH(ROWS($V$2:V124),$V$2:$V$1001,0),1)&gt;=100000,INDEX($AC$1005:$AS$1005,1,MATCH(COLUMNS($AC$1006:AM1006),$AC$1006:$AS$1006,0))&gt;=100000), " ",IF(INDEX($AC$2:$AS$1001,MATCH(ROWS($V$2:V124),$V$2:$V$1001,0),MATCH(COLUMNS($AC$1006:AM1006),$AC$1006:$AS$1006,0)), HYPERLINK("#",""), HYPERLINK(CONCATENATE("#Metadata!", ADDRESS(INDEX($X$2:$X$1001,MATCH(ROWS($V$2:V124),$V$2:$V$1001,0),0), INDEX($AC$1004:$AS$1004,1,MATCH(COLUMNS($AC$1006:AM1006),$AC$1006:$AS$1006,0)))),"Fix")))</f>
        <v>0</v>
      </c>
      <c r="M124" s="5">
        <f>IF(OR(INDEX($W$2:$W$1001,MATCH(ROWS($V$2:V124),$V$2:$V$1001,0),1)&gt;=100000,INDEX($AC$1005:$AS$1005,1,MATCH(COLUMNS($AC$1006:AN1006),$AC$1006:$AS$1006,0))&gt;=100000), " ",IF(INDEX($AC$2:$AS$1001,MATCH(ROWS($V$2:V124),$V$2:$V$1001,0),MATCH(COLUMNS($AC$1006:AN1006),$AC$1006:$AS$1006,0)), HYPERLINK("#",""), HYPERLINK(CONCATENATE("#Metadata!", ADDRESS(INDEX($X$2:$X$1001,MATCH(ROWS($V$2:V124),$V$2:$V$1001,0),0), INDEX($AC$1004:$AS$1004,1,MATCH(COLUMNS($AC$1006:AN1006),$AC$1006:$AS$1006,0)))),"Fix")))</f>
        <v>0</v>
      </c>
      <c r="N124" s="5">
        <f>IF(OR(INDEX($W$2:$W$1001,MATCH(ROWS($V$2:V124),$V$2:$V$1001,0),1)&gt;=100000,INDEX($AC$1005:$AS$1005,1,MATCH(COLUMNS($AC$1006:AO1006),$AC$1006:$AS$1006,0))&gt;=100000), " ",IF(INDEX($AC$2:$AS$1001,MATCH(ROWS($V$2:V124),$V$2:$V$1001,0),MATCH(COLUMNS($AC$1006:AO1006),$AC$1006:$AS$1006,0)), HYPERLINK("#",""), HYPERLINK(CONCATENATE("#Metadata!", ADDRESS(INDEX($X$2:$X$1001,MATCH(ROWS($V$2:V124),$V$2:$V$1001,0),0), INDEX($AC$1004:$AS$1004,1,MATCH(COLUMNS($AC$1006:AO1006),$AC$1006:$AS$1006,0)))),"Fix")))</f>
        <v>0</v>
      </c>
      <c r="O124" s="5">
        <f>IF(OR(INDEX($W$2:$W$1001,MATCH(ROWS($V$2:V124),$V$2:$V$1001,0),1)&gt;=100000,INDEX($AC$1005:$AS$1005,1,MATCH(COLUMNS($AC$1006:AP1006),$AC$1006:$AS$1006,0))&gt;=100000), " ",IF(INDEX($AC$2:$AS$1001,MATCH(ROWS($V$2:V124),$V$2:$V$1001,0),MATCH(COLUMNS($AC$1006:AP1006),$AC$1006:$AS$1006,0)), HYPERLINK("#",""), HYPERLINK(CONCATENATE("#Metadata!", ADDRESS(INDEX($X$2:$X$1001,MATCH(ROWS($V$2:V124),$V$2:$V$1001,0),0), INDEX($AC$1004:$AS$1004,1,MATCH(COLUMNS($AC$1006:AP1006),$AC$1006:$AS$1006,0)))),"Fix")))</f>
        <v>0</v>
      </c>
      <c r="P124" s="5">
        <f>IF(OR(INDEX($W$2:$W$1001,MATCH(ROWS($V$2:V124),$V$2:$V$1001,0),1)&gt;=100000,INDEX($AC$1005:$AS$1005,1,MATCH(COLUMNS($AC$1006:AQ1006),$AC$1006:$AS$1006,0))&gt;=100000), " ",IF(INDEX($AC$2:$AS$1001,MATCH(ROWS($V$2:V124),$V$2:$V$1001,0),MATCH(COLUMNS($AC$1006:AQ1006),$AC$1006:$AS$1006,0)), HYPERLINK("#",""), HYPERLINK(CONCATENATE("#Metadata!", ADDRESS(INDEX($X$2:$X$1001,MATCH(ROWS($V$2:V124),$V$2:$V$1001,0),0), INDEX($AC$1004:$AS$1004,1,MATCH(COLUMNS($AC$1006:AQ1006),$AC$1006:$AS$1006,0)))),"Fix")))</f>
        <v>0</v>
      </c>
      <c r="Q124" s="5">
        <f>IF(OR(INDEX($W$2:$W$1001,MATCH(ROWS($V$2:V124),$V$2:$V$1001,0),1)&gt;=100000,INDEX($AC$1005:$AS$1005,1,MATCH(COLUMNS($AC$1006:AR1006),$AC$1006:$AS$1006,0))&gt;=100000), " ",IF(INDEX($AC$2:$AS$1001,MATCH(ROWS($V$2:V124),$V$2:$V$1001,0),MATCH(COLUMNS($AC$1006:AR1006),$AC$1006:$AS$1006,0)), HYPERLINK("#",""), HYPERLINK(CONCATENATE("#Metadata!", ADDRESS(INDEX($X$2:$X$1001,MATCH(ROWS($V$2:V124),$V$2:$V$1001,0),0), INDEX($AC$1004:$AS$1004,1,MATCH(COLUMNS($AC$1006:AR1006),$AC$1006:$AS$1006,0)))),"Fix")))</f>
        <v>0</v>
      </c>
      <c r="R124" s="5">
        <f>IF(OR(INDEX($W$2:$W$1001,MATCH(ROWS($V$2:V124),$V$2:$V$1001,0),1)&gt;=100000,INDEX($AC$1005:$AS$1005,1,MATCH(COLUMNS($AC$1006:AS1006),$AC$1006:$AS$1006,0))&gt;=100000), " ",IF(INDEX($AC$2:$AS$1001,MATCH(ROWS($V$2:V124),$V$2:$V$1001,0),MATCH(COLUMNS($AC$1006:AS1006),$AC$1006:$AS$1006,0)), HYPERLINK("#",""), HYPERLINK(CONCATENATE("#Metadata!", ADDRESS(INDEX($X$2:$X$1001,MATCH(ROWS($V$2:V124),$V$2:$V$1001,0),0), INDEX($AC$1004:$AS$1004,1,MATCH(COLUMNS($AC$1006:AS1006),$AC$1006:$AS$1006,0)))),"Fix")))</f>
        <v>0</v>
      </c>
      <c r="V124">
        <v>0</v>
      </c>
      <c r="W124">
        <v>0</v>
      </c>
      <c r="X124">
        <v>0</v>
      </c>
      <c r="Y124">
        <f>IF(Z124,TRUE,AND(AC124:AS124))</f>
        <v>0</v>
      </c>
      <c r="Z124">
        <f>COUNTBLANK(Metadata!B124:R124)=COLUMNS(Metadata!B124:R124)</f>
        <v>0</v>
      </c>
      <c r="AA124">
        <v>0</v>
      </c>
      <c r="AC124">
        <f>AND(IF(Metadata!B124="",FALSE,TRUE),COUNTIF(Metadata!B:B, Metadata!B124) = 1,NOT(ISERROR(SUMPRODUCT(SEARCH(MID(Metadata!B124,ROW(INDIRECT("1:"&amp;LEN(Metadata!B124))), 1),"0123456789abcdefghijklmnopqrstuvwxyzABCDEFGHIJKLMNOPQRSTUVWXYZ.")))))</f>
        <v>0</v>
      </c>
      <c r="AD124">
        <f>AND(IF(Metadata!C124="",FALSE,TRUE),exact(Metadata!C124,"Host-associated"))</f>
        <v>0</v>
      </c>
      <c r="AE124">
        <f>AND(IF(Metadata!D124="",FALSE,TRUE),OR(exact(Metadata!D124,"Animal"),exact(Metadata!D124,"Fungus"),exact(Metadata!D124,"Plant")))</f>
        <v>0</v>
      </c>
      <c r="AF124">
        <f>AND(IF(Metadata!E124="",FALSE,TRUE),OR(exact(Metadata!E124,"Plant secretion"),exact(Metadata!E124,"Plant rhizosphere"),exact(Metadata!E124,"Plant surface"),exact(Metadata!E124,"Plant corpus"),exact(Metadata!E124,"Fungus surface"),exact(Metadata!E124,"Fungus corpus"),exact(Metadata!E124,"Animal surface"),exact(Metadata!E124,"Animal proximal gut"),exact(Metadata!E124,"Animal corpus"),exact(Metadata!E124,"Animal distal gut"),exact(Metadata!E124,"Animal secretion")))</f>
        <v>0</v>
      </c>
      <c r="AG124">
        <f>OR(AND(IF(Metadata!F124="",FALSE,TRUE),OR(exact(Metadata!F124,"not collected"),exact(Metadata!F124,"not provided"),exact(Metadata!F124,"restricted access"))),AND(IF(Metadata!F124="",FALSE,TRUE),OR(exact(Metadata!F124,"organism-associated habitat"),exact(Metadata!F124,"plant-associated habitat"),exact(Metadata!F124,"animal-associated habitat"),exact(Metadata!F124,"insecta-associated habitat"),exact(Metadata!F124,"mammalia-associated habitat"),exact(Metadata!F124,"human-associated habitat"),exact(Metadata!F124,"livestock-associated habitat"))))</f>
        <v>0</v>
      </c>
      <c r="AH124">
        <f>AND(IF(Metadata!G124="",FALSE,TRUE),exact(Metadata!G124,"host-associated"))</f>
        <v>0</v>
      </c>
      <c r="AI124">
        <f>OR(AND(IF(Metadata!H124="",FALSE,TRUE),OR(exact(Metadata!H124,"not collected"),exact(Metadata!H124,"not provided"))),AND(IF(Metadata!H124="",FALSE,ISNUMBER(VALUE(Metadata!H124))),Metadata!H124&gt;0))</f>
        <v>0</v>
      </c>
      <c r="AJ124">
        <f>AND(IF(Metadata!I124="",FALSE,TRUE),exact(Metadata!I124,"years"))</f>
        <v>0</v>
      </c>
      <c r="AK124">
        <f>IF(Metadata!J124="",FALSE,TRUE)</f>
        <v>0</v>
      </c>
      <c r="AL124">
        <f>OR(AND(IF(Metadata!K124="",FALSE,TRUE),OR(exact(Metadata!K124,"not collected"),exact(Metadata!K124,"not provided"))),AND(IF(Metadata!K124="",FALSE,ISNUMBER(VALUE(Metadata!K124))),Metadata!K124&gt;0))</f>
        <v>0</v>
      </c>
      <c r="AM124">
        <f>AND(IF(Metadata!L124="",FALSE,TRUE),exact(Metadata!L124,"cm"))</f>
        <v>0</v>
      </c>
      <c r="AN124">
        <f>IF(Metadata!M124="",FALSE,TRUE)</f>
        <v>0</v>
      </c>
      <c r="AO124">
        <f>OR(AND(IF(Metadata!N124="",FALSE,TRUE),OR(exact(Metadata!N124,"not applicable"),exact(Metadata!N124,"not collected"),exact(Metadata!N124,"not provided"))),AND(IF(Metadata!N124="",FALSE,IF(ISERROR(INT(Metadata!N124)),FALSE,INT(Metadata!N124)=Metadata!N124)),Metadata!N124&gt;0))</f>
        <v>0</v>
      </c>
      <c r="AP124">
        <f>OR(AND(IF(Metadata!O124="",FALSE,TRUE),OR(exact(Metadata!O124,"not collected"),exact(Metadata!O124,"not provided"))),AND(IF(Metadata!O124="",FALSE,ISNUMBER(VALUE(Metadata!O124))),Metadata!O124&gt;0))</f>
        <v>0</v>
      </c>
      <c r="AQ124">
        <f>AND(IF(Metadata!P124="",FALSE,TRUE),exact(Metadata!P124,"kg"))</f>
        <v>0</v>
      </c>
      <c r="AR124">
        <f>OR(AND(IF(Metadata!Q124="",FALSE,TRUE),OR(exact(Metadata!Q124,"not applicable"),exact(Metadata!Q124,"not collected"),exact(Metadata!Q124,"not provided"),exact(Metadata!Q124,"restricted access"))),IF(Metadata!Q124="",FALSE,IF(ISERROR(INT(Metadata!Q124)),FALSE,INT(Metadata!Q124)=Metadata!Q124)))</f>
        <v>0</v>
      </c>
      <c r="AS124">
        <f>AND(IF(Metadata!R124="",FALSE,TRUE),exact(Metadata!R124,"Not applicable"))</f>
        <v>0</v>
      </c>
    </row>
    <row r="125" spans="1:45">
      <c r="A125" s="4">
        <f>IF(B125=" "," ",HYPERLINK(CONCATENATE("#metadata!",ADDRESS(INDEX($X$2:$X$1001,MATCH(ROWS($V$2:V125),$V$2:$V$1001,0),0),2)),INDEX($AA$2:$AA$1001,MATCH(ROWS($V$2:V125),$V$2:$V$1001,0),0)))</f>
        <v>0</v>
      </c>
      <c r="B125" s="5">
        <f>IF(OR(INDEX($W$2:$W$1001,MATCH(ROWS($V$2:V125),$V$2:$V$1001,0),1)&gt;=100000,INDEX($AC$1005:$AS$1005,1,MATCH(COLUMNS($AC$1006:AC1006),$AC$1006:$AS$1006,0))&gt;=100000), " ",IF(INDEX($AC$2:$AS$1001,MATCH(ROWS($V$2:V125),$V$2:$V$1001,0),MATCH(COLUMNS($AC$1006:AC1006),$AC$1006:$AS$1006,0)), HYPERLINK("#",""), HYPERLINK(CONCATENATE("#Metadata!", ADDRESS(INDEX($X$2:$X$1001,MATCH(ROWS($V$2:V125),$V$2:$V$1001,0),0), INDEX($AC$1004:$AS$1004,1,MATCH(COLUMNS($AC$1006:AC1006),$AC$1006:$AS$1006,0)))),"Fix")))</f>
        <v>0</v>
      </c>
      <c r="C125" s="5">
        <f>IF(OR(INDEX($W$2:$W$1001,MATCH(ROWS($V$2:V125),$V$2:$V$1001,0),1)&gt;=100000,INDEX($AC$1005:$AS$1005,1,MATCH(COLUMNS($AC$1006:AD1006),$AC$1006:$AS$1006,0))&gt;=100000), " ",IF(INDEX($AC$2:$AS$1001,MATCH(ROWS($V$2:V125),$V$2:$V$1001,0),MATCH(COLUMNS($AC$1006:AD1006),$AC$1006:$AS$1006,0)), HYPERLINK("#",""), HYPERLINK(CONCATENATE("#Metadata!", ADDRESS(INDEX($X$2:$X$1001,MATCH(ROWS($V$2:V125),$V$2:$V$1001,0),0), INDEX($AC$1004:$AS$1004,1,MATCH(COLUMNS($AC$1006:AD1006),$AC$1006:$AS$1006,0)))),"Fix")))</f>
        <v>0</v>
      </c>
      <c r="D125" s="5">
        <f>IF(OR(INDEX($W$2:$W$1001,MATCH(ROWS($V$2:V125),$V$2:$V$1001,0),1)&gt;=100000,INDEX($AC$1005:$AS$1005,1,MATCH(COLUMNS($AC$1006:AE1006),$AC$1006:$AS$1006,0))&gt;=100000), " ",IF(INDEX($AC$2:$AS$1001,MATCH(ROWS($V$2:V125),$V$2:$V$1001,0),MATCH(COLUMNS($AC$1006:AE1006),$AC$1006:$AS$1006,0)), HYPERLINK("#",""), HYPERLINK(CONCATENATE("#Metadata!", ADDRESS(INDEX($X$2:$X$1001,MATCH(ROWS($V$2:V125),$V$2:$V$1001,0),0), INDEX($AC$1004:$AS$1004,1,MATCH(COLUMNS($AC$1006:AE1006),$AC$1006:$AS$1006,0)))),"Fix")))</f>
        <v>0</v>
      </c>
      <c r="E125" s="5">
        <f>IF(OR(INDEX($W$2:$W$1001,MATCH(ROWS($V$2:V125),$V$2:$V$1001,0),1)&gt;=100000,INDEX($AC$1005:$AS$1005,1,MATCH(COLUMNS($AC$1006:AF1006),$AC$1006:$AS$1006,0))&gt;=100000), " ",IF(INDEX($AC$2:$AS$1001,MATCH(ROWS($V$2:V125),$V$2:$V$1001,0),MATCH(COLUMNS($AC$1006:AF1006),$AC$1006:$AS$1006,0)), HYPERLINK("#",""), HYPERLINK(CONCATENATE("#Metadata!", ADDRESS(INDEX($X$2:$X$1001,MATCH(ROWS($V$2:V125),$V$2:$V$1001,0),0), INDEX($AC$1004:$AS$1004,1,MATCH(COLUMNS($AC$1006:AF1006),$AC$1006:$AS$1006,0)))),"Fix")))</f>
        <v>0</v>
      </c>
      <c r="F125" s="5">
        <f>IF(OR(INDEX($W$2:$W$1001,MATCH(ROWS($V$2:V125),$V$2:$V$1001,0),1)&gt;=100000,INDEX($AC$1005:$AS$1005,1,MATCH(COLUMNS($AC$1006:AG1006),$AC$1006:$AS$1006,0))&gt;=100000), " ",IF(INDEX($AC$2:$AS$1001,MATCH(ROWS($V$2:V125),$V$2:$V$1001,0),MATCH(COLUMNS($AC$1006:AG1006),$AC$1006:$AS$1006,0)), HYPERLINK("#",""), HYPERLINK(CONCATENATE("#Metadata!", ADDRESS(INDEX($X$2:$X$1001,MATCH(ROWS($V$2:V125),$V$2:$V$1001,0),0), INDEX($AC$1004:$AS$1004,1,MATCH(COLUMNS($AC$1006:AG1006),$AC$1006:$AS$1006,0)))),"Fix")))</f>
        <v>0</v>
      </c>
      <c r="G125" s="5">
        <f>IF(OR(INDEX($W$2:$W$1001,MATCH(ROWS($V$2:V125),$V$2:$V$1001,0),1)&gt;=100000,INDEX($AC$1005:$AS$1005,1,MATCH(COLUMNS($AC$1006:AH1006),$AC$1006:$AS$1006,0))&gt;=100000), " ",IF(INDEX($AC$2:$AS$1001,MATCH(ROWS($V$2:V125),$V$2:$V$1001,0),MATCH(COLUMNS($AC$1006:AH1006),$AC$1006:$AS$1006,0)), HYPERLINK("#",""), HYPERLINK(CONCATENATE("#Metadata!", ADDRESS(INDEX($X$2:$X$1001,MATCH(ROWS($V$2:V125),$V$2:$V$1001,0),0), INDEX($AC$1004:$AS$1004,1,MATCH(COLUMNS($AC$1006:AH1006),$AC$1006:$AS$1006,0)))),"Fix")))</f>
        <v>0</v>
      </c>
      <c r="H125" s="5">
        <f>IF(OR(INDEX($W$2:$W$1001,MATCH(ROWS($V$2:V125),$V$2:$V$1001,0),1)&gt;=100000,INDEX($AC$1005:$AS$1005,1,MATCH(COLUMNS($AC$1006:AI1006),$AC$1006:$AS$1006,0))&gt;=100000), " ",IF(INDEX($AC$2:$AS$1001,MATCH(ROWS($V$2:V125),$V$2:$V$1001,0),MATCH(COLUMNS($AC$1006:AI1006),$AC$1006:$AS$1006,0)), HYPERLINK("#",""), HYPERLINK(CONCATENATE("#Metadata!", ADDRESS(INDEX($X$2:$X$1001,MATCH(ROWS($V$2:V125),$V$2:$V$1001,0),0), INDEX($AC$1004:$AS$1004,1,MATCH(COLUMNS($AC$1006:AI1006),$AC$1006:$AS$1006,0)))),"Fix")))</f>
        <v>0</v>
      </c>
      <c r="I125" s="5">
        <f>IF(OR(INDEX($W$2:$W$1001,MATCH(ROWS($V$2:V125),$V$2:$V$1001,0),1)&gt;=100000,INDEX($AC$1005:$AS$1005,1,MATCH(COLUMNS($AC$1006:AJ1006),$AC$1006:$AS$1006,0))&gt;=100000), " ",IF(INDEX($AC$2:$AS$1001,MATCH(ROWS($V$2:V125),$V$2:$V$1001,0),MATCH(COLUMNS($AC$1006:AJ1006),$AC$1006:$AS$1006,0)), HYPERLINK("#",""), HYPERLINK(CONCATENATE("#Metadata!", ADDRESS(INDEX($X$2:$X$1001,MATCH(ROWS($V$2:V125),$V$2:$V$1001,0),0), INDEX($AC$1004:$AS$1004,1,MATCH(COLUMNS($AC$1006:AJ1006),$AC$1006:$AS$1006,0)))),"Fix")))</f>
        <v>0</v>
      </c>
      <c r="J125" s="5">
        <f>IF(OR(INDEX($W$2:$W$1001,MATCH(ROWS($V$2:V125),$V$2:$V$1001,0),1)&gt;=100000,INDEX($AC$1005:$AS$1005,1,MATCH(COLUMNS($AC$1006:AK1006),$AC$1006:$AS$1006,0))&gt;=100000), " ",IF(INDEX($AC$2:$AS$1001,MATCH(ROWS($V$2:V125),$V$2:$V$1001,0),MATCH(COLUMNS($AC$1006:AK1006),$AC$1006:$AS$1006,0)), HYPERLINK("#",""), HYPERLINK(CONCATENATE("#Metadata!", ADDRESS(INDEX($X$2:$X$1001,MATCH(ROWS($V$2:V125),$V$2:$V$1001,0),0), INDEX($AC$1004:$AS$1004,1,MATCH(COLUMNS($AC$1006:AK1006),$AC$1006:$AS$1006,0)))),"Fix")))</f>
        <v>0</v>
      </c>
      <c r="K125" s="5">
        <f>IF(OR(INDEX($W$2:$W$1001,MATCH(ROWS($V$2:V125),$V$2:$V$1001,0),1)&gt;=100000,INDEX($AC$1005:$AS$1005,1,MATCH(COLUMNS($AC$1006:AL1006),$AC$1006:$AS$1006,0))&gt;=100000), " ",IF(INDEX($AC$2:$AS$1001,MATCH(ROWS($V$2:V125),$V$2:$V$1001,0),MATCH(COLUMNS($AC$1006:AL1006),$AC$1006:$AS$1006,0)), HYPERLINK("#",""), HYPERLINK(CONCATENATE("#Metadata!", ADDRESS(INDEX($X$2:$X$1001,MATCH(ROWS($V$2:V125),$V$2:$V$1001,0),0), INDEX($AC$1004:$AS$1004,1,MATCH(COLUMNS($AC$1006:AL1006),$AC$1006:$AS$1006,0)))),"Fix")))</f>
        <v>0</v>
      </c>
      <c r="L125" s="5">
        <f>IF(OR(INDEX($W$2:$W$1001,MATCH(ROWS($V$2:V125),$V$2:$V$1001,0),1)&gt;=100000,INDEX($AC$1005:$AS$1005,1,MATCH(COLUMNS($AC$1006:AM1006),$AC$1006:$AS$1006,0))&gt;=100000), " ",IF(INDEX($AC$2:$AS$1001,MATCH(ROWS($V$2:V125),$V$2:$V$1001,0),MATCH(COLUMNS($AC$1006:AM1006),$AC$1006:$AS$1006,0)), HYPERLINK("#",""), HYPERLINK(CONCATENATE("#Metadata!", ADDRESS(INDEX($X$2:$X$1001,MATCH(ROWS($V$2:V125),$V$2:$V$1001,0),0), INDEX($AC$1004:$AS$1004,1,MATCH(COLUMNS($AC$1006:AM1006),$AC$1006:$AS$1006,0)))),"Fix")))</f>
        <v>0</v>
      </c>
      <c r="M125" s="5">
        <f>IF(OR(INDEX($W$2:$W$1001,MATCH(ROWS($V$2:V125),$V$2:$V$1001,0),1)&gt;=100000,INDEX($AC$1005:$AS$1005,1,MATCH(COLUMNS($AC$1006:AN1006),$AC$1006:$AS$1006,0))&gt;=100000), " ",IF(INDEX($AC$2:$AS$1001,MATCH(ROWS($V$2:V125),$V$2:$V$1001,0),MATCH(COLUMNS($AC$1006:AN1006),$AC$1006:$AS$1006,0)), HYPERLINK("#",""), HYPERLINK(CONCATENATE("#Metadata!", ADDRESS(INDEX($X$2:$X$1001,MATCH(ROWS($V$2:V125),$V$2:$V$1001,0),0), INDEX($AC$1004:$AS$1004,1,MATCH(COLUMNS($AC$1006:AN1006),$AC$1006:$AS$1006,0)))),"Fix")))</f>
        <v>0</v>
      </c>
      <c r="N125" s="5">
        <f>IF(OR(INDEX($W$2:$W$1001,MATCH(ROWS($V$2:V125),$V$2:$V$1001,0),1)&gt;=100000,INDEX($AC$1005:$AS$1005,1,MATCH(COLUMNS($AC$1006:AO1006),$AC$1006:$AS$1006,0))&gt;=100000), " ",IF(INDEX($AC$2:$AS$1001,MATCH(ROWS($V$2:V125),$V$2:$V$1001,0),MATCH(COLUMNS($AC$1006:AO1006),$AC$1006:$AS$1006,0)), HYPERLINK("#",""), HYPERLINK(CONCATENATE("#Metadata!", ADDRESS(INDEX($X$2:$X$1001,MATCH(ROWS($V$2:V125),$V$2:$V$1001,0),0), INDEX($AC$1004:$AS$1004,1,MATCH(COLUMNS($AC$1006:AO1006),$AC$1006:$AS$1006,0)))),"Fix")))</f>
        <v>0</v>
      </c>
      <c r="O125" s="5">
        <f>IF(OR(INDEX($W$2:$W$1001,MATCH(ROWS($V$2:V125),$V$2:$V$1001,0),1)&gt;=100000,INDEX($AC$1005:$AS$1005,1,MATCH(COLUMNS($AC$1006:AP1006),$AC$1006:$AS$1006,0))&gt;=100000), " ",IF(INDEX($AC$2:$AS$1001,MATCH(ROWS($V$2:V125),$V$2:$V$1001,0),MATCH(COLUMNS($AC$1006:AP1006),$AC$1006:$AS$1006,0)), HYPERLINK("#",""), HYPERLINK(CONCATENATE("#Metadata!", ADDRESS(INDEX($X$2:$X$1001,MATCH(ROWS($V$2:V125),$V$2:$V$1001,0),0), INDEX($AC$1004:$AS$1004,1,MATCH(COLUMNS($AC$1006:AP1006),$AC$1006:$AS$1006,0)))),"Fix")))</f>
        <v>0</v>
      </c>
      <c r="P125" s="5">
        <f>IF(OR(INDEX($W$2:$W$1001,MATCH(ROWS($V$2:V125),$V$2:$V$1001,0),1)&gt;=100000,INDEX($AC$1005:$AS$1005,1,MATCH(COLUMNS($AC$1006:AQ1006),$AC$1006:$AS$1006,0))&gt;=100000), " ",IF(INDEX($AC$2:$AS$1001,MATCH(ROWS($V$2:V125),$V$2:$V$1001,0),MATCH(COLUMNS($AC$1006:AQ1006),$AC$1006:$AS$1006,0)), HYPERLINK("#",""), HYPERLINK(CONCATENATE("#Metadata!", ADDRESS(INDEX($X$2:$X$1001,MATCH(ROWS($V$2:V125),$V$2:$V$1001,0),0), INDEX($AC$1004:$AS$1004,1,MATCH(COLUMNS($AC$1006:AQ1006),$AC$1006:$AS$1006,0)))),"Fix")))</f>
        <v>0</v>
      </c>
      <c r="Q125" s="5">
        <f>IF(OR(INDEX($W$2:$W$1001,MATCH(ROWS($V$2:V125),$V$2:$V$1001,0),1)&gt;=100000,INDEX($AC$1005:$AS$1005,1,MATCH(COLUMNS($AC$1006:AR1006),$AC$1006:$AS$1006,0))&gt;=100000), " ",IF(INDEX($AC$2:$AS$1001,MATCH(ROWS($V$2:V125),$V$2:$V$1001,0),MATCH(COLUMNS($AC$1006:AR1006),$AC$1006:$AS$1006,0)), HYPERLINK("#",""), HYPERLINK(CONCATENATE("#Metadata!", ADDRESS(INDEX($X$2:$X$1001,MATCH(ROWS($V$2:V125),$V$2:$V$1001,0),0), INDEX($AC$1004:$AS$1004,1,MATCH(COLUMNS($AC$1006:AR1006),$AC$1006:$AS$1006,0)))),"Fix")))</f>
        <v>0</v>
      </c>
      <c r="R125" s="5">
        <f>IF(OR(INDEX($W$2:$W$1001,MATCH(ROWS($V$2:V125),$V$2:$V$1001,0),1)&gt;=100000,INDEX($AC$1005:$AS$1005,1,MATCH(COLUMNS($AC$1006:AS1006),$AC$1006:$AS$1006,0))&gt;=100000), " ",IF(INDEX($AC$2:$AS$1001,MATCH(ROWS($V$2:V125),$V$2:$V$1001,0),MATCH(COLUMNS($AC$1006:AS1006),$AC$1006:$AS$1006,0)), HYPERLINK("#",""), HYPERLINK(CONCATENATE("#Metadata!", ADDRESS(INDEX($X$2:$X$1001,MATCH(ROWS($V$2:V125),$V$2:$V$1001,0),0), INDEX($AC$1004:$AS$1004,1,MATCH(COLUMNS($AC$1006:AS1006),$AC$1006:$AS$1006,0)))),"Fix")))</f>
        <v>0</v>
      </c>
      <c r="V125">
        <v>0</v>
      </c>
      <c r="W125">
        <v>0</v>
      </c>
      <c r="X125">
        <v>0</v>
      </c>
      <c r="Y125">
        <f>IF(Z125,TRUE,AND(AC125:AS125))</f>
        <v>0</v>
      </c>
      <c r="Z125">
        <f>COUNTBLANK(Metadata!B125:R125)=COLUMNS(Metadata!B125:R125)</f>
        <v>0</v>
      </c>
      <c r="AA125">
        <v>0</v>
      </c>
      <c r="AC125">
        <f>AND(IF(Metadata!B125="",FALSE,TRUE),COUNTIF(Metadata!B:B, Metadata!B125) = 1,NOT(ISERROR(SUMPRODUCT(SEARCH(MID(Metadata!B125,ROW(INDIRECT("1:"&amp;LEN(Metadata!B125))), 1),"0123456789abcdefghijklmnopqrstuvwxyzABCDEFGHIJKLMNOPQRSTUVWXYZ.")))))</f>
        <v>0</v>
      </c>
      <c r="AD125">
        <f>AND(IF(Metadata!C125="",FALSE,TRUE),exact(Metadata!C125,"Host-associated"))</f>
        <v>0</v>
      </c>
      <c r="AE125">
        <f>AND(IF(Metadata!D125="",FALSE,TRUE),OR(exact(Metadata!D125,"Animal"),exact(Metadata!D125,"Fungus"),exact(Metadata!D125,"Plant")))</f>
        <v>0</v>
      </c>
      <c r="AF125">
        <f>AND(IF(Metadata!E125="",FALSE,TRUE),OR(exact(Metadata!E125,"Plant secretion"),exact(Metadata!E125,"Plant rhizosphere"),exact(Metadata!E125,"Plant surface"),exact(Metadata!E125,"Plant corpus"),exact(Metadata!E125,"Fungus surface"),exact(Metadata!E125,"Fungus corpus"),exact(Metadata!E125,"Animal surface"),exact(Metadata!E125,"Animal proximal gut"),exact(Metadata!E125,"Animal corpus"),exact(Metadata!E125,"Animal distal gut"),exact(Metadata!E125,"Animal secretion")))</f>
        <v>0</v>
      </c>
      <c r="AG125">
        <f>OR(AND(IF(Metadata!F125="",FALSE,TRUE),OR(exact(Metadata!F125,"not collected"),exact(Metadata!F125,"not provided"),exact(Metadata!F125,"restricted access"))),AND(IF(Metadata!F125="",FALSE,TRUE),OR(exact(Metadata!F125,"organism-associated habitat"),exact(Metadata!F125,"plant-associated habitat"),exact(Metadata!F125,"animal-associated habitat"),exact(Metadata!F125,"insecta-associated habitat"),exact(Metadata!F125,"mammalia-associated habitat"),exact(Metadata!F125,"human-associated habitat"),exact(Metadata!F125,"livestock-associated habitat"))))</f>
        <v>0</v>
      </c>
      <c r="AH125">
        <f>AND(IF(Metadata!G125="",FALSE,TRUE),exact(Metadata!G125,"host-associated"))</f>
        <v>0</v>
      </c>
      <c r="AI125">
        <f>OR(AND(IF(Metadata!H125="",FALSE,TRUE),OR(exact(Metadata!H125,"not collected"),exact(Metadata!H125,"not provided"))),AND(IF(Metadata!H125="",FALSE,ISNUMBER(VALUE(Metadata!H125))),Metadata!H125&gt;0))</f>
        <v>0</v>
      </c>
      <c r="AJ125">
        <f>AND(IF(Metadata!I125="",FALSE,TRUE),exact(Metadata!I125,"years"))</f>
        <v>0</v>
      </c>
      <c r="AK125">
        <f>IF(Metadata!J125="",FALSE,TRUE)</f>
        <v>0</v>
      </c>
      <c r="AL125">
        <f>OR(AND(IF(Metadata!K125="",FALSE,TRUE),OR(exact(Metadata!K125,"not collected"),exact(Metadata!K125,"not provided"))),AND(IF(Metadata!K125="",FALSE,ISNUMBER(VALUE(Metadata!K125))),Metadata!K125&gt;0))</f>
        <v>0</v>
      </c>
      <c r="AM125">
        <f>AND(IF(Metadata!L125="",FALSE,TRUE),exact(Metadata!L125,"cm"))</f>
        <v>0</v>
      </c>
      <c r="AN125">
        <f>IF(Metadata!M125="",FALSE,TRUE)</f>
        <v>0</v>
      </c>
      <c r="AO125">
        <f>OR(AND(IF(Metadata!N125="",FALSE,TRUE),OR(exact(Metadata!N125,"not applicable"),exact(Metadata!N125,"not collected"),exact(Metadata!N125,"not provided"))),AND(IF(Metadata!N125="",FALSE,IF(ISERROR(INT(Metadata!N125)),FALSE,INT(Metadata!N125)=Metadata!N125)),Metadata!N125&gt;0))</f>
        <v>0</v>
      </c>
      <c r="AP125">
        <f>OR(AND(IF(Metadata!O125="",FALSE,TRUE),OR(exact(Metadata!O125,"not collected"),exact(Metadata!O125,"not provided"))),AND(IF(Metadata!O125="",FALSE,ISNUMBER(VALUE(Metadata!O125))),Metadata!O125&gt;0))</f>
        <v>0</v>
      </c>
      <c r="AQ125">
        <f>AND(IF(Metadata!P125="",FALSE,TRUE),exact(Metadata!P125,"kg"))</f>
        <v>0</v>
      </c>
      <c r="AR125">
        <f>OR(AND(IF(Metadata!Q125="",FALSE,TRUE),OR(exact(Metadata!Q125,"not applicable"),exact(Metadata!Q125,"not collected"),exact(Metadata!Q125,"not provided"),exact(Metadata!Q125,"restricted access"))),IF(Metadata!Q125="",FALSE,IF(ISERROR(INT(Metadata!Q125)),FALSE,INT(Metadata!Q125)=Metadata!Q125)))</f>
        <v>0</v>
      </c>
      <c r="AS125">
        <f>AND(IF(Metadata!R125="",FALSE,TRUE),exact(Metadata!R125,"Not applicable"))</f>
        <v>0</v>
      </c>
    </row>
    <row r="126" spans="1:45">
      <c r="A126" s="4">
        <f>IF(B126=" "," ",HYPERLINK(CONCATENATE("#metadata!",ADDRESS(INDEX($X$2:$X$1001,MATCH(ROWS($V$2:V126),$V$2:$V$1001,0),0),2)),INDEX($AA$2:$AA$1001,MATCH(ROWS($V$2:V126),$V$2:$V$1001,0),0)))</f>
        <v>0</v>
      </c>
      <c r="B126" s="5">
        <f>IF(OR(INDEX($W$2:$W$1001,MATCH(ROWS($V$2:V126),$V$2:$V$1001,0),1)&gt;=100000,INDEX($AC$1005:$AS$1005,1,MATCH(COLUMNS($AC$1006:AC1006),$AC$1006:$AS$1006,0))&gt;=100000), " ",IF(INDEX($AC$2:$AS$1001,MATCH(ROWS($V$2:V126),$V$2:$V$1001,0),MATCH(COLUMNS($AC$1006:AC1006),$AC$1006:$AS$1006,0)), HYPERLINK("#",""), HYPERLINK(CONCATENATE("#Metadata!", ADDRESS(INDEX($X$2:$X$1001,MATCH(ROWS($V$2:V126),$V$2:$V$1001,0),0), INDEX($AC$1004:$AS$1004,1,MATCH(COLUMNS($AC$1006:AC1006),$AC$1006:$AS$1006,0)))),"Fix")))</f>
        <v>0</v>
      </c>
      <c r="C126" s="5">
        <f>IF(OR(INDEX($W$2:$W$1001,MATCH(ROWS($V$2:V126),$V$2:$V$1001,0),1)&gt;=100000,INDEX($AC$1005:$AS$1005,1,MATCH(COLUMNS($AC$1006:AD1006),$AC$1006:$AS$1006,0))&gt;=100000), " ",IF(INDEX($AC$2:$AS$1001,MATCH(ROWS($V$2:V126),$V$2:$V$1001,0),MATCH(COLUMNS($AC$1006:AD1006),$AC$1006:$AS$1006,0)), HYPERLINK("#",""), HYPERLINK(CONCATENATE("#Metadata!", ADDRESS(INDEX($X$2:$X$1001,MATCH(ROWS($V$2:V126),$V$2:$V$1001,0),0), INDEX($AC$1004:$AS$1004,1,MATCH(COLUMNS($AC$1006:AD1006),$AC$1006:$AS$1006,0)))),"Fix")))</f>
        <v>0</v>
      </c>
      <c r="D126" s="5">
        <f>IF(OR(INDEX($W$2:$W$1001,MATCH(ROWS($V$2:V126),$V$2:$V$1001,0),1)&gt;=100000,INDEX($AC$1005:$AS$1005,1,MATCH(COLUMNS($AC$1006:AE1006),$AC$1006:$AS$1006,0))&gt;=100000), " ",IF(INDEX($AC$2:$AS$1001,MATCH(ROWS($V$2:V126),$V$2:$V$1001,0),MATCH(COLUMNS($AC$1006:AE1006),$AC$1006:$AS$1006,0)), HYPERLINK("#",""), HYPERLINK(CONCATENATE("#Metadata!", ADDRESS(INDEX($X$2:$X$1001,MATCH(ROWS($V$2:V126),$V$2:$V$1001,0),0), INDEX($AC$1004:$AS$1004,1,MATCH(COLUMNS($AC$1006:AE1006),$AC$1006:$AS$1006,0)))),"Fix")))</f>
        <v>0</v>
      </c>
      <c r="E126" s="5">
        <f>IF(OR(INDEX($W$2:$W$1001,MATCH(ROWS($V$2:V126),$V$2:$V$1001,0),1)&gt;=100000,INDEX($AC$1005:$AS$1005,1,MATCH(COLUMNS($AC$1006:AF1006),$AC$1006:$AS$1006,0))&gt;=100000), " ",IF(INDEX($AC$2:$AS$1001,MATCH(ROWS($V$2:V126),$V$2:$V$1001,0),MATCH(COLUMNS($AC$1006:AF1006),$AC$1006:$AS$1006,0)), HYPERLINK("#",""), HYPERLINK(CONCATENATE("#Metadata!", ADDRESS(INDEX($X$2:$X$1001,MATCH(ROWS($V$2:V126),$V$2:$V$1001,0),0), INDEX($AC$1004:$AS$1004,1,MATCH(COLUMNS($AC$1006:AF1006),$AC$1006:$AS$1006,0)))),"Fix")))</f>
        <v>0</v>
      </c>
      <c r="F126" s="5">
        <f>IF(OR(INDEX($W$2:$W$1001,MATCH(ROWS($V$2:V126),$V$2:$V$1001,0),1)&gt;=100000,INDEX($AC$1005:$AS$1005,1,MATCH(COLUMNS($AC$1006:AG1006),$AC$1006:$AS$1006,0))&gt;=100000), " ",IF(INDEX($AC$2:$AS$1001,MATCH(ROWS($V$2:V126),$V$2:$V$1001,0),MATCH(COLUMNS($AC$1006:AG1006),$AC$1006:$AS$1006,0)), HYPERLINK("#",""), HYPERLINK(CONCATENATE("#Metadata!", ADDRESS(INDEX($X$2:$X$1001,MATCH(ROWS($V$2:V126),$V$2:$V$1001,0),0), INDEX($AC$1004:$AS$1004,1,MATCH(COLUMNS($AC$1006:AG1006),$AC$1006:$AS$1006,0)))),"Fix")))</f>
        <v>0</v>
      </c>
      <c r="G126" s="5">
        <f>IF(OR(INDEX($W$2:$W$1001,MATCH(ROWS($V$2:V126),$V$2:$V$1001,0),1)&gt;=100000,INDEX($AC$1005:$AS$1005,1,MATCH(COLUMNS($AC$1006:AH1006),$AC$1006:$AS$1006,0))&gt;=100000), " ",IF(INDEX($AC$2:$AS$1001,MATCH(ROWS($V$2:V126),$V$2:$V$1001,0),MATCH(COLUMNS($AC$1006:AH1006),$AC$1006:$AS$1006,0)), HYPERLINK("#",""), HYPERLINK(CONCATENATE("#Metadata!", ADDRESS(INDEX($X$2:$X$1001,MATCH(ROWS($V$2:V126),$V$2:$V$1001,0),0), INDEX($AC$1004:$AS$1004,1,MATCH(COLUMNS($AC$1006:AH1006),$AC$1006:$AS$1006,0)))),"Fix")))</f>
        <v>0</v>
      </c>
      <c r="H126" s="5">
        <f>IF(OR(INDEX($W$2:$W$1001,MATCH(ROWS($V$2:V126),$V$2:$V$1001,0),1)&gt;=100000,INDEX($AC$1005:$AS$1005,1,MATCH(COLUMNS($AC$1006:AI1006),$AC$1006:$AS$1006,0))&gt;=100000), " ",IF(INDEX($AC$2:$AS$1001,MATCH(ROWS($V$2:V126),$V$2:$V$1001,0),MATCH(COLUMNS($AC$1006:AI1006),$AC$1006:$AS$1006,0)), HYPERLINK("#",""), HYPERLINK(CONCATENATE("#Metadata!", ADDRESS(INDEX($X$2:$X$1001,MATCH(ROWS($V$2:V126),$V$2:$V$1001,0),0), INDEX($AC$1004:$AS$1004,1,MATCH(COLUMNS($AC$1006:AI1006),$AC$1006:$AS$1006,0)))),"Fix")))</f>
        <v>0</v>
      </c>
      <c r="I126" s="5">
        <f>IF(OR(INDEX($W$2:$W$1001,MATCH(ROWS($V$2:V126),$V$2:$V$1001,0),1)&gt;=100000,INDEX($AC$1005:$AS$1005,1,MATCH(COLUMNS($AC$1006:AJ1006),$AC$1006:$AS$1006,0))&gt;=100000), " ",IF(INDEX($AC$2:$AS$1001,MATCH(ROWS($V$2:V126),$V$2:$V$1001,0),MATCH(COLUMNS($AC$1006:AJ1006),$AC$1006:$AS$1006,0)), HYPERLINK("#",""), HYPERLINK(CONCATENATE("#Metadata!", ADDRESS(INDEX($X$2:$X$1001,MATCH(ROWS($V$2:V126),$V$2:$V$1001,0),0), INDEX($AC$1004:$AS$1004,1,MATCH(COLUMNS($AC$1006:AJ1006),$AC$1006:$AS$1006,0)))),"Fix")))</f>
        <v>0</v>
      </c>
      <c r="J126" s="5">
        <f>IF(OR(INDEX($W$2:$W$1001,MATCH(ROWS($V$2:V126),$V$2:$V$1001,0),1)&gt;=100000,INDEX($AC$1005:$AS$1005,1,MATCH(COLUMNS($AC$1006:AK1006),$AC$1006:$AS$1006,0))&gt;=100000), " ",IF(INDEX($AC$2:$AS$1001,MATCH(ROWS($V$2:V126),$V$2:$V$1001,0),MATCH(COLUMNS($AC$1006:AK1006),$AC$1006:$AS$1006,0)), HYPERLINK("#",""), HYPERLINK(CONCATENATE("#Metadata!", ADDRESS(INDEX($X$2:$X$1001,MATCH(ROWS($V$2:V126),$V$2:$V$1001,0),0), INDEX($AC$1004:$AS$1004,1,MATCH(COLUMNS($AC$1006:AK1006),$AC$1006:$AS$1006,0)))),"Fix")))</f>
        <v>0</v>
      </c>
      <c r="K126" s="5">
        <f>IF(OR(INDEX($W$2:$W$1001,MATCH(ROWS($V$2:V126),$V$2:$V$1001,0),1)&gt;=100000,INDEX($AC$1005:$AS$1005,1,MATCH(COLUMNS($AC$1006:AL1006),$AC$1006:$AS$1006,0))&gt;=100000), " ",IF(INDEX($AC$2:$AS$1001,MATCH(ROWS($V$2:V126),$V$2:$V$1001,0),MATCH(COLUMNS($AC$1006:AL1006),$AC$1006:$AS$1006,0)), HYPERLINK("#",""), HYPERLINK(CONCATENATE("#Metadata!", ADDRESS(INDEX($X$2:$X$1001,MATCH(ROWS($V$2:V126),$V$2:$V$1001,0),0), INDEX($AC$1004:$AS$1004,1,MATCH(COLUMNS($AC$1006:AL1006),$AC$1006:$AS$1006,0)))),"Fix")))</f>
        <v>0</v>
      </c>
      <c r="L126" s="5">
        <f>IF(OR(INDEX($W$2:$W$1001,MATCH(ROWS($V$2:V126),$V$2:$V$1001,0),1)&gt;=100000,INDEX($AC$1005:$AS$1005,1,MATCH(COLUMNS($AC$1006:AM1006),$AC$1006:$AS$1006,0))&gt;=100000), " ",IF(INDEX($AC$2:$AS$1001,MATCH(ROWS($V$2:V126),$V$2:$V$1001,0),MATCH(COLUMNS($AC$1006:AM1006),$AC$1006:$AS$1006,0)), HYPERLINK("#",""), HYPERLINK(CONCATENATE("#Metadata!", ADDRESS(INDEX($X$2:$X$1001,MATCH(ROWS($V$2:V126),$V$2:$V$1001,0),0), INDEX($AC$1004:$AS$1004,1,MATCH(COLUMNS($AC$1006:AM1006),$AC$1006:$AS$1006,0)))),"Fix")))</f>
        <v>0</v>
      </c>
      <c r="M126" s="5">
        <f>IF(OR(INDEX($W$2:$W$1001,MATCH(ROWS($V$2:V126),$V$2:$V$1001,0),1)&gt;=100000,INDEX($AC$1005:$AS$1005,1,MATCH(COLUMNS($AC$1006:AN1006),$AC$1006:$AS$1006,0))&gt;=100000), " ",IF(INDEX($AC$2:$AS$1001,MATCH(ROWS($V$2:V126),$V$2:$V$1001,0),MATCH(COLUMNS($AC$1006:AN1006),$AC$1006:$AS$1006,0)), HYPERLINK("#",""), HYPERLINK(CONCATENATE("#Metadata!", ADDRESS(INDEX($X$2:$X$1001,MATCH(ROWS($V$2:V126),$V$2:$V$1001,0),0), INDEX($AC$1004:$AS$1004,1,MATCH(COLUMNS($AC$1006:AN1006),$AC$1006:$AS$1006,0)))),"Fix")))</f>
        <v>0</v>
      </c>
      <c r="N126" s="5">
        <f>IF(OR(INDEX($W$2:$W$1001,MATCH(ROWS($V$2:V126),$V$2:$V$1001,0),1)&gt;=100000,INDEX($AC$1005:$AS$1005,1,MATCH(COLUMNS($AC$1006:AO1006),$AC$1006:$AS$1006,0))&gt;=100000), " ",IF(INDEX($AC$2:$AS$1001,MATCH(ROWS($V$2:V126),$V$2:$V$1001,0),MATCH(COLUMNS($AC$1006:AO1006),$AC$1006:$AS$1006,0)), HYPERLINK("#",""), HYPERLINK(CONCATENATE("#Metadata!", ADDRESS(INDEX($X$2:$X$1001,MATCH(ROWS($V$2:V126),$V$2:$V$1001,0),0), INDEX($AC$1004:$AS$1004,1,MATCH(COLUMNS($AC$1006:AO1006),$AC$1006:$AS$1006,0)))),"Fix")))</f>
        <v>0</v>
      </c>
      <c r="O126" s="5">
        <f>IF(OR(INDEX($W$2:$W$1001,MATCH(ROWS($V$2:V126),$V$2:$V$1001,0),1)&gt;=100000,INDEX($AC$1005:$AS$1005,1,MATCH(COLUMNS($AC$1006:AP1006),$AC$1006:$AS$1006,0))&gt;=100000), " ",IF(INDEX($AC$2:$AS$1001,MATCH(ROWS($V$2:V126),$V$2:$V$1001,0),MATCH(COLUMNS($AC$1006:AP1006),$AC$1006:$AS$1006,0)), HYPERLINK("#",""), HYPERLINK(CONCATENATE("#Metadata!", ADDRESS(INDEX($X$2:$X$1001,MATCH(ROWS($V$2:V126),$V$2:$V$1001,0),0), INDEX($AC$1004:$AS$1004,1,MATCH(COLUMNS($AC$1006:AP1006),$AC$1006:$AS$1006,0)))),"Fix")))</f>
        <v>0</v>
      </c>
      <c r="P126" s="5">
        <f>IF(OR(INDEX($W$2:$W$1001,MATCH(ROWS($V$2:V126),$V$2:$V$1001,0),1)&gt;=100000,INDEX($AC$1005:$AS$1005,1,MATCH(COLUMNS($AC$1006:AQ1006),$AC$1006:$AS$1006,0))&gt;=100000), " ",IF(INDEX($AC$2:$AS$1001,MATCH(ROWS($V$2:V126),$V$2:$V$1001,0),MATCH(COLUMNS($AC$1006:AQ1006),$AC$1006:$AS$1006,0)), HYPERLINK("#",""), HYPERLINK(CONCATENATE("#Metadata!", ADDRESS(INDEX($X$2:$X$1001,MATCH(ROWS($V$2:V126),$V$2:$V$1001,0),0), INDEX($AC$1004:$AS$1004,1,MATCH(COLUMNS($AC$1006:AQ1006),$AC$1006:$AS$1006,0)))),"Fix")))</f>
        <v>0</v>
      </c>
      <c r="Q126" s="5">
        <f>IF(OR(INDEX($W$2:$W$1001,MATCH(ROWS($V$2:V126),$V$2:$V$1001,0),1)&gt;=100000,INDEX($AC$1005:$AS$1005,1,MATCH(COLUMNS($AC$1006:AR1006),$AC$1006:$AS$1006,0))&gt;=100000), " ",IF(INDEX($AC$2:$AS$1001,MATCH(ROWS($V$2:V126),$V$2:$V$1001,0),MATCH(COLUMNS($AC$1006:AR1006),$AC$1006:$AS$1006,0)), HYPERLINK("#",""), HYPERLINK(CONCATENATE("#Metadata!", ADDRESS(INDEX($X$2:$X$1001,MATCH(ROWS($V$2:V126),$V$2:$V$1001,0),0), INDEX($AC$1004:$AS$1004,1,MATCH(COLUMNS($AC$1006:AR1006),$AC$1006:$AS$1006,0)))),"Fix")))</f>
        <v>0</v>
      </c>
      <c r="R126" s="5">
        <f>IF(OR(INDEX($W$2:$W$1001,MATCH(ROWS($V$2:V126),$V$2:$V$1001,0),1)&gt;=100000,INDEX($AC$1005:$AS$1005,1,MATCH(COLUMNS($AC$1006:AS1006),$AC$1006:$AS$1006,0))&gt;=100000), " ",IF(INDEX($AC$2:$AS$1001,MATCH(ROWS($V$2:V126),$V$2:$V$1001,0),MATCH(COLUMNS($AC$1006:AS1006),$AC$1006:$AS$1006,0)), HYPERLINK("#",""), HYPERLINK(CONCATENATE("#Metadata!", ADDRESS(INDEX($X$2:$X$1001,MATCH(ROWS($V$2:V126),$V$2:$V$1001,0),0), INDEX($AC$1004:$AS$1004,1,MATCH(COLUMNS($AC$1006:AS1006),$AC$1006:$AS$1006,0)))),"Fix")))</f>
        <v>0</v>
      </c>
      <c r="V126">
        <v>0</v>
      </c>
      <c r="W126">
        <v>0</v>
      </c>
      <c r="X126">
        <v>0</v>
      </c>
      <c r="Y126">
        <f>IF(Z126,TRUE,AND(AC126:AS126))</f>
        <v>0</v>
      </c>
      <c r="Z126">
        <f>COUNTBLANK(Metadata!B126:R126)=COLUMNS(Metadata!B126:R126)</f>
        <v>0</v>
      </c>
      <c r="AA126">
        <v>0</v>
      </c>
      <c r="AC126">
        <f>AND(IF(Metadata!B126="",FALSE,TRUE),COUNTIF(Metadata!B:B, Metadata!B126) = 1,NOT(ISERROR(SUMPRODUCT(SEARCH(MID(Metadata!B126,ROW(INDIRECT("1:"&amp;LEN(Metadata!B126))), 1),"0123456789abcdefghijklmnopqrstuvwxyzABCDEFGHIJKLMNOPQRSTUVWXYZ.")))))</f>
        <v>0</v>
      </c>
      <c r="AD126">
        <f>AND(IF(Metadata!C126="",FALSE,TRUE),exact(Metadata!C126,"Host-associated"))</f>
        <v>0</v>
      </c>
      <c r="AE126">
        <f>AND(IF(Metadata!D126="",FALSE,TRUE),OR(exact(Metadata!D126,"Animal"),exact(Metadata!D126,"Fungus"),exact(Metadata!D126,"Plant")))</f>
        <v>0</v>
      </c>
      <c r="AF126">
        <f>AND(IF(Metadata!E126="",FALSE,TRUE),OR(exact(Metadata!E126,"Plant secretion"),exact(Metadata!E126,"Plant rhizosphere"),exact(Metadata!E126,"Plant surface"),exact(Metadata!E126,"Plant corpus"),exact(Metadata!E126,"Fungus surface"),exact(Metadata!E126,"Fungus corpus"),exact(Metadata!E126,"Animal surface"),exact(Metadata!E126,"Animal proximal gut"),exact(Metadata!E126,"Animal corpus"),exact(Metadata!E126,"Animal distal gut"),exact(Metadata!E126,"Animal secretion")))</f>
        <v>0</v>
      </c>
      <c r="AG126">
        <f>OR(AND(IF(Metadata!F126="",FALSE,TRUE),OR(exact(Metadata!F126,"not collected"),exact(Metadata!F126,"not provided"),exact(Metadata!F126,"restricted access"))),AND(IF(Metadata!F126="",FALSE,TRUE),OR(exact(Metadata!F126,"organism-associated habitat"),exact(Metadata!F126,"plant-associated habitat"),exact(Metadata!F126,"animal-associated habitat"),exact(Metadata!F126,"insecta-associated habitat"),exact(Metadata!F126,"mammalia-associated habitat"),exact(Metadata!F126,"human-associated habitat"),exact(Metadata!F126,"livestock-associated habitat"))))</f>
        <v>0</v>
      </c>
      <c r="AH126">
        <f>AND(IF(Metadata!G126="",FALSE,TRUE),exact(Metadata!G126,"host-associated"))</f>
        <v>0</v>
      </c>
      <c r="AI126">
        <f>OR(AND(IF(Metadata!H126="",FALSE,TRUE),OR(exact(Metadata!H126,"not collected"),exact(Metadata!H126,"not provided"))),AND(IF(Metadata!H126="",FALSE,ISNUMBER(VALUE(Metadata!H126))),Metadata!H126&gt;0))</f>
        <v>0</v>
      </c>
      <c r="AJ126">
        <f>AND(IF(Metadata!I126="",FALSE,TRUE),exact(Metadata!I126,"years"))</f>
        <v>0</v>
      </c>
      <c r="AK126">
        <f>IF(Metadata!J126="",FALSE,TRUE)</f>
        <v>0</v>
      </c>
      <c r="AL126">
        <f>OR(AND(IF(Metadata!K126="",FALSE,TRUE),OR(exact(Metadata!K126,"not collected"),exact(Metadata!K126,"not provided"))),AND(IF(Metadata!K126="",FALSE,ISNUMBER(VALUE(Metadata!K126))),Metadata!K126&gt;0))</f>
        <v>0</v>
      </c>
      <c r="AM126">
        <f>AND(IF(Metadata!L126="",FALSE,TRUE),exact(Metadata!L126,"cm"))</f>
        <v>0</v>
      </c>
      <c r="AN126">
        <f>IF(Metadata!M126="",FALSE,TRUE)</f>
        <v>0</v>
      </c>
      <c r="AO126">
        <f>OR(AND(IF(Metadata!N126="",FALSE,TRUE),OR(exact(Metadata!N126,"not applicable"),exact(Metadata!N126,"not collected"),exact(Metadata!N126,"not provided"))),AND(IF(Metadata!N126="",FALSE,IF(ISERROR(INT(Metadata!N126)),FALSE,INT(Metadata!N126)=Metadata!N126)),Metadata!N126&gt;0))</f>
        <v>0</v>
      </c>
      <c r="AP126">
        <f>OR(AND(IF(Metadata!O126="",FALSE,TRUE),OR(exact(Metadata!O126,"not collected"),exact(Metadata!O126,"not provided"))),AND(IF(Metadata!O126="",FALSE,ISNUMBER(VALUE(Metadata!O126))),Metadata!O126&gt;0))</f>
        <v>0</v>
      </c>
      <c r="AQ126">
        <f>AND(IF(Metadata!P126="",FALSE,TRUE),exact(Metadata!P126,"kg"))</f>
        <v>0</v>
      </c>
      <c r="AR126">
        <f>OR(AND(IF(Metadata!Q126="",FALSE,TRUE),OR(exact(Metadata!Q126,"not applicable"),exact(Metadata!Q126,"not collected"),exact(Metadata!Q126,"not provided"),exact(Metadata!Q126,"restricted access"))),IF(Metadata!Q126="",FALSE,IF(ISERROR(INT(Metadata!Q126)),FALSE,INT(Metadata!Q126)=Metadata!Q126)))</f>
        <v>0</v>
      </c>
      <c r="AS126">
        <f>AND(IF(Metadata!R126="",FALSE,TRUE),exact(Metadata!R126,"Not applicable"))</f>
        <v>0</v>
      </c>
    </row>
    <row r="127" spans="1:45">
      <c r="A127" s="4">
        <f>IF(B127=" "," ",HYPERLINK(CONCATENATE("#metadata!",ADDRESS(INDEX($X$2:$X$1001,MATCH(ROWS($V$2:V127),$V$2:$V$1001,0),0),2)),INDEX($AA$2:$AA$1001,MATCH(ROWS($V$2:V127),$V$2:$V$1001,0),0)))</f>
        <v>0</v>
      </c>
      <c r="B127" s="5">
        <f>IF(OR(INDEX($W$2:$W$1001,MATCH(ROWS($V$2:V127),$V$2:$V$1001,0),1)&gt;=100000,INDEX($AC$1005:$AS$1005,1,MATCH(COLUMNS($AC$1006:AC1006),$AC$1006:$AS$1006,0))&gt;=100000), " ",IF(INDEX($AC$2:$AS$1001,MATCH(ROWS($V$2:V127),$V$2:$V$1001,0),MATCH(COLUMNS($AC$1006:AC1006),$AC$1006:$AS$1006,0)), HYPERLINK("#",""), HYPERLINK(CONCATENATE("#Metadata!", ADDRESS(INDEX($X$2:$X$1001,MATCH(ROWS($V$2:V127),$V$2:$V$1001,0),0), INDEX($AC$1004:$AS$1004,1,MATCH(COLUMNS($AC$1006:AC1006),$AC$1006:$AS$1006,0)))),"Fix")))</f>
        <v>0</v>
      </c>
      <c r="C127" s="5">
        <f>IF(OR(INDEX($W$2:$W$1001,MATCH(ROWS($V$2:V127),$V$2:$V$1001,0),1)&gt;=100000,INDEX($AC$1005:$AS$1005,1,MATCH(COLUMNS($AC$1006:AD1006),$AC$1006:$AS$1006,0))&gt;=100000), " ",IF(INDEX($AC$2:$AS$1001,MATCH(ROWS($V$2:V127),$V$2:$V$1001,0),MATCH(COLUMNS($AC$1006:AD1006),$AC$1006:$AS$1006,0)), HYPERLINK("#",""), HYPERLINK(CONCATENATE("#Metadata!", ADDRESS(INDEX($X$2:$X$1001,MATCH(ROWS($V$2:V127),$V$2:$V$1001,0),0), INDEX($AC$1004:$AS$1004,1,MATCH(COLUMNS($AC$1006:AD1006),$AC$1006:$AS$1006,0)))),"Fix")))</f>
        <v>0</v>
      </c>
      <c r="D127" s="5">
        <f>IF(OR(INDEX($W$2:$W$1001,MATCH(ROWS($V$2:V127),$V$2:$V$1001,0),1)&gt;=100000,INDEX($AC$1005:$AS$1005,1,MATCH(COLUMNS($AC$1006:AE1006),$AC$1006:$AS$1006,0))&gt;=100000), " ",IF(INDEX($AC$2:$AS$1001,MATCH(ROWS($V$2:V127),$V$2:$V$1001,0),MATCH(COLUMNS($AC$1006:AE1006),$AC$1006:$AS$1006,0)), HYPERLINK("#",""), HYPERLINK(CONCATENATE("#Metadata!", ADDRESS(INDEX($X$2:$X$1001,MATCH(ROWS($V$2:V127),$V$2:$V$1001,0),0), INDEX($AC$1004:$AS$1004,1,MATCH(COLUMNS($AC$1006:AE1006),$AC$1006:$AS$1006,0)))),"Fix")))</f>
        <v>0</v>
      </c>
      <c r="E127" s="5">
        <f>IF(OR(INDEX($W$2:$W$1001,MATCH(ROWS($V$2:V127),$V$2:$V$1001,0),1)&gt;=100000,INDEX($AC$1005:$AS$1005,1,MATCH(COLUMNS($AC$1006:AF1006),$AC$1006:$AS$1006,0))&gt;=100000), " ",IF(INDEX($AC$2:$AS$1001,MATCH(ROWS($V$2:V127),$V$2:$V$1001,0),MATCH(COLUMNS($AC$1006:AF1006),$AC$1006:$AS$1006,0)), HYPERLINK("#",""), HYPERLINK(CONCATENATE("#Metadata!", ADDRESS(INDEX($X$2:$X$1001,MATCH(ROWS($V$2:V127),$V$2:$V$1001,0),0), INDEX($AC$1004:$AS$1004,1,MATCH(COLUMNS($AC$1006:AF1006),$AC$1006:$AS$1006,0)))),"Fix")))</f>
        <v>0</v>
      </c>
      <c r="F127" s="5">
        <f>IF(OR(INDEX($W$2:$W$1001,MATCH(ROWS($V$2:V127),$V$2:$V$1001,0),1)&gt;=100000,INDEX($AC$1005:$AS$1005,1,MATCH(COLUMNS($AC$1006:AG1006),$AC$1006:$AS$1006,0))&gt;=100000), " ",IF(INDEX($AC$2:$AS$1001,MATCH(ROWS($V$2:V127),$V$2:$V$1001,0),MATCH(COLUMNS($AC$1006:AG1006),$AC$1006:$AS$1006,0)), HYPERLINK("#",""), HYPERLINK(CONCATENATE("#Metadata!", ADDRESS(INDEX($X$2:$X$1001,MATCH(ROWS($V$2:V127),$V$2:$V$1001,0),0), INDEX($AC$1004:$AS$1004,1,MATCH(COLUMNS($AC$1006:AG1006),$AC$1006:$AS$1006,0)))),"Fix")))</f>
        <v>0</v>
      </c>
      <c r="G127" s="5">
        <f>IF(OR(INDEX($W$2:$W$1001,MATCH(ROWS($V$2:V127),$V$2:$V$1001,0),1)&gt;=100000,INDEX($AC$1005:$AS$1005,1,MATCH(COLUMNS($AC$1006:AH1006),$AC$1006:$AS$1006,0))&gt;=100000), " ",IF(INDEX($AC$2:$AS$1001,MATCH(ROWS($V$2:V127),$V$2:$V$1001,0),MATCH(COLUMNS($AC$1006:AH1006),$AC$1006:$AS$1006,0)), HYPERLINK("#",""), HYPERLINK(CONCATENATE("#Metadata!", ADDRESS(INDEX($X$2:$X$1001,MATCH(ROWS($V$2:V127),$V$2:$V$1001,0),0), INDEX($AC$1004:$AS$1004,1,MATCH(COLUMNS($AC$1006:AH1006),$AC$1006:$AS$1006,0)))),"Fix")))</f>
        <v>0</v>
      </c>
      <c r="H127" s="5">
        <f>IF(OR(INDEX($W$2:$W$1001,MATCH(ROWS($V$2:V127),$V$2:$V$1001,0),1)&gt;=100000,INDEX($AC$1005:$AS$1005,1,MATCH(COLUMNS($AC$1006:AI1006),$AC$1006:$AS$1006,0))&gt;=100000), " ",IF(INDEX($AC$2:$AS$1001,MATCH(ROWS($V$2:V127),$V$2:$V$1001,0),MATCH(COLUMNS($AC$1006:AI1006),$AC$1006:$AS$1006,0)), HYPERLINK("#",""), HYPERLINK(CONCATENATE("#Metadata!", ADDRESS(INDEX($X$2:$X$1001,MATCH(ROWS($V$2:V127),$V$2:$V$1001,0),0), INDEX($AC$1004:$AS$1004,1,MATCH(COLUMNS($AC$1006:AI1006),$AC$1006:$AS$1006,0)))),"Fix")))</f>
        <v>0</v>
      </c>
      <c r="I127" s="5">
        <f>IF(OR(INDEX($W$2:$W$1001,MATCH(ROWS($V$2:V127),$V$2:$V$1001,0),1)&gt;=100000,INDEX($AC$1005:$AS$1005,1,MATCH(COLUMNS($AC$1006:AJ1006),$AC$1006:$AS$1006,0))&gt;=100000), " ",IF(INDEX($AC$2:$AS$1001,MATCH(ROWS($V$2:V127),$V$2:$V$1001,0),MATCH(COLUMNS($AC$1006:AJ1006),$AC$1006:$AS$1006,0)), HYPERLINK("#",""), HYPERLINK(CONCATENATE("#Metadata!", ADDRESS(INDEX($X$2:$X$1001,MATCH(ROWS($V$2:V127),$V$2:$V$1001,0),0), INDEX($AC$1004:$AS$1004,1,MATCH(COLUMNS($AC$1006:AJ1006),$AC$1006:$AS$1006,0)))),"Fix")))</f>
        <v>0</v>
      </c>
      <c r="J127" s="5">
        <f>IF(OR(INDEX($W$2:$W$1001,MATCH(ROWS($V$2:V127),$V$2:$V$1001,0),1)&gt;=100000,INDEX($AC$1005:$AS$1005,1,MATCH(COLUMNS($AC$1006:AK1006),$AC$1006:$AS$1006,0))&gt;=100000), " ",IF(INDEX($AC$2:$AS$1001,MATCH(ROWS($V$2:V127),$V$2:$V$1001,0),MATCH(COLUMNS($AC$1006:AK1006),$AC$1006:$AS$1006,0)), HYPERLINK("#",""), HYPERLINK(CONCATENATE("#Metadata!", ADDRESS(INDEX($X$2:$X$1001,MATCH(ROWS($V$2:V127),$V$2:$V$1001,0),0), INDEX($AC$1004:$AS$1004,1,MATCH(COLUMNS($AC$1006:AK1006),$AC$1006:$AS$1006,0)))),"Fix")))</f>
        <v>0</v>
      </c>
      <c r="K127" s="5">
        <f>IF(OR(INDEX($W$2:$W$1001,MATCH(ROWS($V$2:V127),$V$2:$V$1001,0),1)&gt;=100000,INDEX($AC$1005:$AS$1005,1,MATCH(COLUMNS($AC$1006:AL1006),$AC$1006:$AS$1006,0))&gt;=100000), " ",IF(INDEX($AC$2:$AS$1001,MATCH(ROWS($V$2:V127),$V$2:$V$1001,0),MATCH(COLUMNS($AC$1006:AL1006),$AC$1006:$AS$1006,0)), HYPERLINK("#",""), HYPERLINK(CONCATENATE("#Metadata!", ADDRESS(INDEX($X$2:$X$1001,MATCH(ROWS($V$2:V127),$V$2:$V$1001,0),0), INDEX($AC$1004:$AS$1004,1,MATCH(COLUMNS($AC$1006:AL1006),$AC$1006:$AS$1006,0)))),"Fix")))</f>
        <v>0</v>
      </c>
      <c r="L127" s="5">
        <f>IF(OR(INDEX($W$2:$W$1001,MATCH(ROWS($V$2:V127),$V$2:$V$1001,0),1)&gt;=100000,INDEX($AC$1005:$AS$1005,1,MATCH(COLUMNS($AC$1006:AM1006),$AC$1006:$AS$1006,0))&gt;=100000), " ",IF(INDEX($AC$2:$AS$1001,MATCH(ROWS($V$2:V127),$V$2:$V$1001,0),MATCH(COLUMNS($AC$1006:AM1006),$AC$1006:$AS$1006,0)), HYPERLINK("#",""), HYPERLINK(CONCATENATE("#Metadata!", ADDRESS(INDEX($X$2:$X$1001,MATCH(ROWS($V$2:V127),$V$2:$V$1001,0),0), INDEX($AC$1004:$AS$1004,1,MATCH(COLUMNS($AC$1006:AM1006),$AC$1006:$AS$1006,0)))),"Fix")))</f>
        <v>0</v>
      </c>
      <c r="M127" s="5">
        <f>IF(OR(INDEX($W$2:$W$1001,MATCH(ROWS($V$2:V127),$V$2:$V$1001,0),1)&gt;=100000,INDEX($AC$1005:$AS$1005,1,MATCH(COLUMNS($AC$1006:AN1006),$AC$1006:$AS$1006,0))&gt;=100000), " ",IF(INDEX($AC$2:$AS$1001,MATCH(ROWS($V$2:V127),$V$2:$V$1001,0),MATCH(COLUMNS($AC$1006:AN1006),$AC$1006:$AS$1006,0)), HYPERLINK("#",""), HYPERLINK(CONCATENATE("#Metadata!", ADDRESS(INDEX($X$2:$X$1001,MATCH(ROWS($V$2:V127),$V$2:$V$1001,0),0), INDEX($AC$1004:$AS$1004,1,MATCH(COLUMNS($AC$1006:AN1006),$AC$1006:$AS$1006,0)))),"Fix")))</f>
        <v>0</v>
      </c>
      <c r="N127" s="5">
        <f>IF(OR(INDEX($W$2:$W$1001,MATCH(ROWS($V$2:V127),$V$2:$V$1001,0),1)&gt;=100000,INDEX($AC$1005:$AS$1005,1,MATCH(COLUMNS($AC$1006:AO1006),$AC$1006:$AS$1006,0))&gt;=100000), " ",IF(INDEX($AC$2:$AS$1001,MATCH(ROWS($V$2:V127),$V$2:$V$1001,0),MATCH(COLUMNS($AC$1006:AO1006),$AC$1006:$AS$1006,0)), HYPERLINK("#",""), HYPERLINK(CONCATENATE("#Metadata!", ADDRESS(INDEX($X$2:$X$1001,MATCH(ROWS($V$2:V127),$V$2:$V$1001,0),0), INDEX($AC$1004:$AS$1004,1,MATCH(COLUMNS($AC$1006:AO1006),$AC$1006:$AS$1006,0)))),"Fix")))</f>
        <v>0</v>
      </c>
      <c r="O127" s="5">
        <f>IF(OR(INDEX($W$2:$W$1001,MATCH(ROWS($V$2:V127),$V$2:$V$1001,0),1)&gt;=100000,INDEX($AC$1005:$AS$1005,1,MATCH(COLUMNS($AC$1006:AP1006),$AC$1006:$AS$1006,0))&gt;=100000), " ",IF(INDEX($AC$2:$AS$1001,MATCH(ROWS($V$2:V127),$V$2:$V$1001,0),MATCH(COLUMNS($AC$1006:AP1006),$AC$1006:$AS$1006,0)), HYPERLINK("#",""), HYPERLINK(CONCATENATE("#Metadata!", ADDRESS(INDEX($X$2:$X$1001,MATCH(ROWS($V$2:V127),$V$2:$V$1001,0),0), INDEX($AC$1004:$AS$1004,1,MATCH(COLUMNS($AC$1006:AP1006),$AC$1006:$AS$1006,0)))),"Fix")))</f>
        <v>0</v>
      </c>
      <c r="P127" s="5">
        <f>IF(OR(INDEX($W$2:$W$1001,MATCH(ROWS($V$2:V127),$V$2:$V$1001,0),1)&gt;=100000,INDEX($AC$1005:$AS$1005,1,MATCH(COLUMNS($AC$1006:AQ1006),$AC$1006:$AS$1006,0))&gt;=100000), " ",IF(INDEX($AC$2:$AS$1001,MATCH(ROWS($V$2:V127),$V$2:$V$1001,0),MATCH(COLUMNS($AC$1006:AQ1006),$AC$1006:$AS$1006,0)), HYPERLINK("#",""), HYPERLINK(CONCATENATE("#Metadata!", ADDRESS(INDEX($X$2:$X$1001,MATCH(ROWS($V$2:V127),$V$2:$V$1001,0),0), INDEX($AC$1004:$AS$1004,1,MATCH(COLUMNS($AC$1006:AQ1006),$AC$1006:$AS$1006,0)))),"Fix")))</f>
        <v>0</v>
      </c>
      <c r="Q127" s="5">
        <f>IF(OR(INDEX($W$2:$W$1001,MATCH(ROWS($V$2:V127),$V$2:$V$1001,0),1)&gt;=100000,INDEX($AC$1005:$AS$1005,1,MATCH(COLUMNS($AC$1006:AR1006),$AC$1006:$AS$1006,0))&gt;=100000), " ",IF(INDEX($AC$2:$AS$1001,MATCH(ROWS($V$2:V127),$V$2:$V$1001,0),MATCH(COLUMNS($AC$1006:AR1006),$AC$1006:$AS$1006,0)), HYPERLINK("#",""), HYPERLINK(CONCATENATE("#Metadata!", ADDRESS(INDEX($X$2:$X$1001,MATCH(ROWS($V$2:V127),$V$2:$V$1001,0),0), INDEX($AC$1004:$AS$1004,1,MATCH(COLUMNS($AC$1006:AR1006),$AC$1006:$AS$1006,0)))),"Fix")))</f>
        <v>0</v>
      </c>
      <c r="R127" s="5">
        <f>IF(OR(INDEX($W$2:$W$1001,MATCH(ROWS($V$2:V127),$V$2:$V$1001,0),1)&gt;=100000,INDEX($AC$1005:$AS$1005,1,MATCH(COLUMNS($AC$1006:AS1006),$AC$1006:$AS$1006,0))&gt;=100000), " ",IF(INDEX($AC$2:$AS$1001,MATCH(ROWS($V$2:V127),$V$2:$V$1001,0),MATCH(COLUMNS($AC$1006:AS1006),$AC$1006:$AS$1006,0)), HYPERLINK("#",""), HYPERLINK(CONCATENATE("#Metadata!", ADDRESS(INDEX($X$2:$X$1001,MATCH(ROWS($V$2:V127),$V$2:$V$1001,0),0), INDEX($AC$1004:$AS$1004,1,MATCH(COLUMNS($AC$1006:AS1006),$AC$1006:$AS$1006,0)))),"Fix")))</f>
        <v>0</v>
      </c>
      <c r="V127">
        <v>0</v>
      </c>
      <c r="W127">
        <v>0</v>
      </c>
      <c r="X127">
        <v>0</v>
      </c>
      <c r="Y127">
        <f>IF(Z127,TRUE,AND(AC127:AS127))</f>
        <v>0</v>
      </c>
      <c r="Z127">
        <f>COUNTBLANK(Metadata!B127:R127)=COLUMNS(Metadata!B127:R127)</f>
        <v>0</v>
      </c>
      <c r="AA127">
        <v>0</v>
      </c>
      <c r="AC127">
        <f>AND(IF(Metadata!B127="",FALSE,TRUE),COUNTIF(Metadata!B:B, Metadata!B127) = 1,NOT(ISERROR(SUMPRODUCT(SEARCH(MID(Metadata!B127,ROW(INDIRECT("1:"&amp;LEN(Metadata!B127))), 1),"0123456789abcdefghijklmnopqrstuvwxyzABCDEFGHIJKLMNOPQRSTUVWXYZ.")))))</f>
        <v>0</v>
      </c>
      <c r="AD127">
        <f>AND(IF(Metadata!C127="",FALSE,TRUE),exact(Metadata!C127,"Host-associated"))</f>
        <v>0</v>
      </c>
      <c r="AE127">
        <f>AND(IF(Metadata!D127="",FALSE,TRUE),OR(exact(Metadata!D127,"Animal"),exact(Metadata!D127,"Fungus"),exact(Metadata!D127,"Plant")))</f>
        <v>0</v>
      </c>
      <c r="AF127">
        <f>AND(IF(Metadata!E127="",FALSE,TRUE),OR(exact(Metadata!E127,"Plant secretion"),exact(Metadata!E127,"Plant rhizosphere"),exact(Metadata!E127,"Plant surface"),exact(Metadata!E127,"Plant corpus"),exact(Metadata!E127,"Fungus surface"),exact(Metadata!E127,"Fungus corpus"),exact(Metadata!E127,"Animal surface"),exact(Metadata!E127,"Animal proximal gut"),exact(Metadata!E127,"Animal corpus"),exact(Metadata!E127,"Animal distal gut"),exact(Metadata!E127,"Animal secretion")))</f>
        <v>0</v>
      </c>
      <c r="AG127">
        <f>OR(AND(IF(Metadata!F127="",FALSE,TRUE),OR(exact(Metadata!F127,"not collected"),exact(Metadata!F127,"not provided"),exact(Metadata!F127,"restricted access"))),AND(IF(Metadata!F127="",FALSE,TRUE),OR(exact(Metadata!F127,"organism-associated habitat"),exact(Metadata!F127,"plant-associated habitat"),exact(Metadata!F127,"animal-associated habitat"),exact(Metadata!F127,"insecta-associated habitat"),exact(Metadata!F127,"mammalia-associated habitat"),exact(Metadata!F127,"human-associated habitat"),exact(Metadata!F127,"livestock-associated habitat"))))</f>
        <v>0</v>
      </c>
      <c r="AH127">
        <f>AND(IF(Metadata!G127="",FALSE,TRUE),exact(Metadata!G127,"host-associated"))</f>
        <v>0</v>
      </c>
      <c r="AI127">
        <f>OR(AND(IF(Metadata!H127="",FALSE,TRUE),OR(exact(Metadata!H127,"not collected"),exact(Metadata!H127,"not provided"))),AND(IF(Metadata!H127="",FALSE,ISNUMBER(VALUE(Metadata!H127))),Metadata!H127&gt;0))</f>
        <v>0</v>
      </c>
      <c r="AJ127">
        <f>AND(IF(Metadata!I127="",FALSE,TRUE),exact(Metadata!I127,"years"))</f>
        <v>0</v>
      </c>
      <c r="AK127">
        <f>IF(Metadata!J127="",FALSE,TRUE)</f>
        <v>0</v>
      </c>
      <c r="AL127">
        <f>OR(AND(IF(Metadata!K127="",FALSE,TRUE),OR(exact(Metadata!K127,"not collected"),exact(Metadata!K127,"not provided"))),AND(IF(Metadata!K127="",FALSE,ISNUMBER(VALUE(Metadata!K127))),Metadata!K127&gt;0))</f>
        <v>0</v>
      </c>
      <c r="AM127">
        <f>AND(IF(Metadata!L127="",FALSE,TRUE),exact(Metadata!L127,"cm"))</f>
        <v>0</v>
      </c>
      <c r="AN127">
        <f>IF(Metadata!M127="",FALSE,TRUE)</f>
        <v>0</v>
      </c>
      <c r="AO127">
        <f>OR(AND(IF(Metadata!N127="",FALSE,TRUE),OR(exact(Metadata!N127,"not applicable"),exact(Metadata!N127,"not collected"),exact(Metadata!N127,"not provided"))),AND(IF(Metadata!N127="",FALSE,IF(ISERROR(INT(Metadata!N127)),FALSE,INT(Metadata!N127)=Metadata!N127)),Metadata!N127&gt;0))</f>
        <v>0</v>
      </c>
      <c r="AP127">
        <f>OR(AND(IF(Metadata!O127="",FALSE,TRUE),OR(exact(Metadata!O127,"not collected"),exact(Metadata!O127,"not provided"))),AND(IF(Metadata!O127="",FALSE,ISNUMBER(VALUE(Metadata!O127))),Metadata!O127&gt;0))</f>
        <v>0</v>
      </c>
      <c r="AQ127">
        <f>AND(IF(Metadata!P127="",FALSE,TRUE),exact(Metadata!P127,"kg"))</f>
        <v>0</v>
      </c>
      <c r="AR127">
        <f>OR(AND(IF(Metadata!Q127="",FALSE,TRUE),OR(exact(Metadata!Q127,"not applicable"),exact(Metadata!Q127,"not collected"),exact(Metadata!Q127,"not provided"),exact(Metadata!Q127,"restricted access"))),IF(Metadata!Q127="",FALSE,IF(ISERROR(INT(Metadata!Q127)),FALSE,INT(Metadata!Q127)=Metadata!Q127)))</f>
        <v>0</v>
      </c>
      <c r="AS127">
        <f>AND(IF(Metadata!R127="",FALSE,TRUE),exact(Metadata!R127,"Not applicable"))</f>
        <v>0</v>
      </c>
    </row>
    <row r="128" spans="1:45">
      <c r="A128" s="4">
        <f>IF(B128=" "," ",HYPERLINK(CONCATENATE("#metadata!",ADDRESS(INDEX($X$2:$X$1001,MATCH(ROWS($V$2:V128),$V$2:$V$1001,0),0),2)),INDEX($AA$2:$AA$1001,MATCH(ROWS($V$2:V128),$V$2:$V$1001,0),0)))</f>
        <v>0</v>
      </c>
      <c r="B128" s="5">
        <f>IF(OR(INDEX($W$2:$W$1001,MATCH(ROWS($V$2:V128),$V$2:$V$1001,0),1)&gt;=100000,INDEX($AC$1005:$AS$1005,1,MATCH(COLUMNS($AC$1006:AC1006),$AC$1006:$AS$1006,0))&gt;=100000), " ",IF(INDEX($AC$2:$AS$1001,MATCH(ROWS($V$2:V128),$V$2:$V$1001,0),MATCH(COLUMNS($AC$1006:AC1006),$AC$1006:$AS$1006,0)), HYPERLINK("#",""), HYPERLINK(CONCATENATE("#Metadata!", ADDRESS(INDEX($X$2:$X$1001,MATCH(ROWS($V$2:V128),$V$2:$V$1001,0),0), INDEX($AC$1004:$AS$1004,1,MATCH(COLUMNS($AC$1006:AC1006),$AC$1006:$AS$1006,0)))),"Fix")))</f>
        <v>0</v>
      </c>
      <c r="C128" s="5">
        <f>IF(OR(INDEX($W$2:$W$1001,MATCH(ROWS($V$2:V128),$V$2:$V$1001,0),1)&gt;=100000,INDEX($AC$1005:$AS$1005,1,MATCH(COLUMNS($AC$1006:AD1006),$AC$1006:$AS$1006,0))&gt;=100000), " ",IF(INDEX($AC$2:$AS$1001,MATCH(ROWS($V$2:V128),$V$2:$V$1001,0),MATCH(COLUMNS($AC$1006:AD1006),$AC$1006:$AS$1006,0)), HYPERLINK("#",""), HYPERLINK(CONCATENATE("#Metadata!", ADDRESS(INDEX($X$2:$X$1001,MATCH(ROWS($V$2:V128),$V$2:$V$1001,0),0), INDEX($AC$1004:$AS$1004,1,MATCH(COLUMNS($AC$1006:AD1006),$AC$1006:$AS$1006,0)))),"Fix")))</f>
        <v>0</v>
      </c>
      <c r="D128" s="5">
        <f>IF(OR(INDEX($W$2:$W$1001,MATCH(ROWS($V$2:V128),$V$2:$V$1001,0),1)&gt;=100000,INDEX($AC$1005:$AS$1005,1,MATCH(COLUMNS($AC$1006:AE1006),$AC$1006:$AS$1006,0))&gt;=100000), " ",IF(INDEX($AC$2:$AS$1001,MATCH(ROWS($V$2:V128),$V$2:$V$1001,0),MATCH(COLUMNS($AC$1006:AE1006),$AC$1006:$AS$1006,0)), HYPERLINK("#",""), HYPERLINK(CONCATENATE("#Metadata!", ADDRESS(INDEX($X$2:$X$1001,MATCH(ROWS($V$2:V128),$V$2:$V$1001,0),0), INDEX($AC$1004:$AS$1004,1,MATCH(COLUMNS($AC$1006:AE1006),$AC$1006:$AS$1006,0)))),"Fix")))</f>
        <v>0</v>
      </c>
      <c r="E128" s="5">
        <f>IF(OR(INDEX($W$2:$W$1001,MATCH(ROWS($V$2:V128),$V$2:$V$1001,0),1)&gt;=100000,INDEX($AC$1005:$AS$1005,1,MATCH(COLUMNS($AC$1006:AF1006),$AC$1006:$AS$1006,0))&gt;=100000), " ",IF(INDEX($AC$2:$AS$1001,MATCH(ROWS($V$2:V128),$V$2:$V$1001,0),MATCH(COLUMNS($AC$1006:AF1006),$AC$1006:$AS$1006,0)), HYPERLINK("#",""), HYPERLINK(CONCATENATE("#Metadata!", ADDRESS(INDEX($X$2:$X$1001,MATCH(ROWS($V$2:V128),$V$2:$V$1001,0),0), INDEX($AC$1004:$AS$1004,1,MATCH(COLUMNS($AC$1006:AF1006),$AC$1006:$AS$1006,0)))),"Fix")))</f>
        <v>0</v>
      </c>
      <c r="F128" s="5">
        <f>IF(OR(INDEX($W$2:$W$1001,MATCH(ROWS($V$2:V128),$V$2:$V$1001,0),1)&gt;=100000,INDEX($AC$1005:$AS$1005,1,MATCH(COLUMNS($AC$1006:AG1006),$AC$1006:$AS$1006,0))&gt;=100000), " ",IF(INDEX($AC$2:$AS$1001,MATCH(ROWS($V$2:V128),$V$2:$V$1001,0),MATCH(COLUMNS($AC$1006:AG1006),$AC$1006:$AS$1006,0)), HYPERLINK("#",""), HYPERLINK(CONCATENATE("#Metadata!", ADDRESS(INDEX($X$2:$X$1001,MATCH(ROWS($V$2:V128),$V$2:$V$1001,0),0), INDEX($AC$1004:$AS$1004,1,MATCH(COLUMNS($AC$1006:AG1006),$AC$1006:$AS$1006,0)))),"Fix")))</f>
        <v>0</v>
      </c>
      <c r="G128" s="5">
        <f>IF(OR(INDEX($W$2:$W$1001,MATCH(ROWS($V$2:V128),$V$2:$V$1001,0),1)&gt;=100000,INDEX($AC$1005:$AS$1005,1,MATCH(COLUMNS($AC$1006:AH1006),$AC$1006:$AS$1006,0))&gt;=100000), " ",IF(INDEX($AC$2:$AS$1001,MATCH(ROWS($V$2:V128),$V$2:$V$1001,0),MATCH(COLUMNS($AC$1006:AH1006),$AC$1006:$AS$1006,0)), HYPERLINK("#",""), HYPERLINK(CONCATENATE("#Metadata!", ADDRESS(INDEX($X$2:$X$1001,MATCH(ROWS($V$2:V128),$V$2:$V$1001,0),0), INDEX($AC$1004:$AS$1004,1,MATCH(COLUMNS($AC$1006:AH1006),$AC$1006:$AS$1006,0)))),"Fix")))</f>
        <v>0</v>
      </c>
      <c r="H128" s="5">
        <f>IF(OR(INDEX($W$2:$W$1001,MATCH(ROWS($V$2:V128),$V$2:$V$1001,0),1)&gt;=100000,INDEX($AC$1005:$AS$1005,1,MATCH(COLUMNS($AC$1006:AI1006),$AC$1006:$AS$1006,0))&gt;=100000), " ",IF(INDEX($AC$2:$AS$1001,MATCH(ROWS($V$2:V128),$V$2:$V$1001,0),MATCH(COLUMNS($AC$1006:AI1006),$AC$1006:$AS$1006,0)), HYPERLINK("#",""), HYPERLINK(CONCATENATE("#Metadata!", ADDRESS(INDEX($X$2:$X$1001,MATCH(ROWS($V$2:V128),$V$2:$V$1001,0),0), INDEX($AC$1004:$AS$1004,1,MATCH(COLUMNS($AC$1006:AI1006),$AC$1006:$AS$1006,0)))),"Fix")))</f>
        <v>0</v>
      </c>
      <c r="I128" s="5">
        <f>IF(OR(INDEX($W$2:$W$1001,MATCH(ROWS($V$2:V128),$V$2:$V$1001,0),1)&gt;=100000,INDEX($AC$1005:$AS$1005,1,MATCH(COLUMNS($AC$1006:AJ1006),$AC$1006:$AS$1006,0))&gt;=100000), " ",IF(INDEX($AC$2:$AS$1001,MATCH(ROWS($V$2:V128),$V$2:$V$1001,0),MATCH(COLUMNS($AC$1006:AJ1006),$AC$1006:$AS$1006,0)), HYPERLINK("#",""), HYPERLINK(CONCATENATE("#Metadata!", ADDRESS(INDEX($X$2:$X$1001,MATCH(ROWS($V$2:V128),$V$2:$V$1001,0),0), INDEX($AC$1004:$AS$1004,1,MATCH(COLUMNS($AC$1006:AJ1006),$AC$1006:$AS$1006,0)))),"Fix")))</f>
        <v>0</v>
      </c>
      <c r="J128" s="5">
        <f>IF(OR(INDEX($W$2:$W$1001,MATCH(ROWS($V$2:V128),$V$2:$V$1001,0),1)&gt;=100000,INDEX($AC$1005:$AS$1005,1,MATCH(COLUMNS($AC$1006:AK1006),$AC$1006:$AS$1006,0))&gt;=100000), " ",IF(INDEX($AC$2:$AS$1001,MATCH(ROWS($V$2:V128),$V$2:$V$1001,0),MATCH(COLUMNS($AC$1006:AK1006),$AC$1006:$AS$1006,0)), HYPERLINK("#",""), HYPERLINK(CONCATENATE("#Metadata!", ADDRESS(INDEX($X$2:$X$1001,MATCH(ROWS($V$2:V128),$V$2:$V$1001,0),0), INDEX($AC$1004:$AS$1004,1,MATCH(COLUMNS($AC$1006:AK1006),$AC$1006:$AS$1006,0)))),"Fix")))</f>
        <v>0</v>
      </c>
      <c r="K128" s="5">
        <f>IF(OR(INDEX($W$2:$W$1001,MATCH(ROWS($V$2:V128),$V$2:$V$1001,0),1)&gt;=100000,INDEX($AC$1005:$AS$1005,1,MATCH(COLUMNS($AC$1006:AL1006),$AC$1006:$AS$1006,0))&gt;=100000), " ",IF(INDEX($AC$2:$AS$1001,MATCH(ROWS($V$2:V128),$V$2:$V$1001,0),MATCH(COLUMNS($AC$1006:AL1006),$AC$1006:$AS$1006,0)), HYPERLINK("#",""), HYPERLINK(CONCATENATE("#Metadata!", ADDRESS(INDEX($X$2:$X$1001,MATCH(ROWS($V$2:V128),$V$2:$V$1001,0),0), INDEX($AC$1004:$AS$1004,1,MATCH(COLUMNS($AC$1006:AL1006),$AC$1006:$AS$1006,0)))),"Fix")))</f>
        <v>0</v>
      </c>
      <c r="L128" s="5">
        <f>IF(OR(INDEX($W$2:$W$1001,MATCH(ROWS($V$2:V128),$V$2:$V$1001,0),1)&gt;=100000,INDEX($AC$1005:$AS$1005,1,MATCH(COLUMNS($AC$1006:AM1006),$AC$1006:$AS$1006,0))&gt;=100000), " ",IF(INDEX($AC$2:$AS$1001,MATCH(ROWS($V$2:V128),$V$2:$V$1001,0),MATCH(COLUMNS($AC$1006:AM1006),$AC$1006:$AS$1006,0)), HYPERLINK("#",""), HYPERLINK(CONCATENATE("#Metadata!", ADDRESS(INDEX($X$2:$X$1001,MATCH(ROWS($V$2:V128),$V$2:$V$1001,0),0), INDEX($AC$1004:$AS$1004,1,MATCH(COLUMNS($AC$1006:AM1006),$AC$1006:$AS$1006,0)))),"Fix")))</f>
        <v>0</v>
      </c>
      <c r="M128" s="5">
        <f>IF(OR(INDEX($W$2:$W$1001,MATCH(ROWS($V$2:V128),$V$2:$V$1001,0),1)&gt;=100000,INDEX($AC$1005:$AS$1005,1,MATCH(COLUMNS($AC$1006:AN1006),$AC$1006:$AS$1006,0))&gt;=100000), " ",IF(INDEX($AC$2:$AS$1001,MATCH(ROWS($V$2:V128),$V$2:$V$1001,0),MATCH(COLUMNS($AC$1006:AN1006),$AC$1006:$AS$1006,0)), HYPERLINK("#",""), HYPERLINK(CONCATENATE("#Metadata!", ADDRESS(INDEX($X$2:$X$1001,MATCH(ROWS($V$2:V128),$V$2:$V$1001,0),0), INDEX($AC$1004:$AS$1004,1,MATCH(COLUMNS($AC$1006:AN1006),$AC$1006:$AS$1006,0)))),"Fix")))</f>
        <v>0</v>
      </c>
      <c r="N128" s="5">
        <f>IF(OR(INDEX($W$2:$W$1001,MATCH(ROWS($V$2:V128),$V$2:$V$1001,0),1)&gt;=100000,INDEX($AC$1005:$AS$1005,1,MATCH(COLUMNS($AC$1006:AO1006),$AC$1006:$AS$1006,0))&gt;=100000), " ",IF(INDEX($AC$2:$AS$1001,MATCH(ROWS($V$2:V128),$V$2:$V$1001,0),MATCH(COLUMNS($AC$1006:AO1006),$AC$1006:$AS$1006,0)), HYPERLINK("#",""), HYPERLINK(CONCATENATE("#Metadata!", ADDRESS(INDEX($X$2:$X$1001,MATCH(ROWS($V$2:V128),$V$2:$V$1001,0),0), INDEX($AC$1004:$AS$1004,1,MATCH(COLUMNS($AC$1006:AO1006),$AC$1006:$AS$1006,0)))),"Fix")))</f>
        <v>0</v>
      </c>
      <c r="O128" s="5">
        <f>IF(OR(INDEX($W$2:$W$1001,MATCH(ROWS($V$2:V128),$V$2:$V$1001,0),1)&gt;=100000,INDEX($AC$1005:$AS$1005,1,MATCH(COLUMNS($AC$1006:AP1006),$AC$1006:$AS$1006,0))&gt;=100000), " ",IF(INDEX($AC$2:$AS$1001,MATCH(ROWS($V$2:V128),$V$2:$V$1001,0),MATCH(COLUMNS($AC$1006:AP1006),$AC$1006:$AS$1006,0)), HYPERLINK("#",""), HYPERLINK(CONCATENATE("#Metadata!", ADDRESS(INDEX($X$2:$X$1001,MATCH(ROWS($V$2:V128),$V$2:$V$1001,0),0), INDEX($AC$1004:$AS$1004,1,MATCH(COLUMNS($AC$1006:AP1006),$AC$1006:$AS$1006,0)))),"Fix")))</f>
        <v>0</v>
      </c>
      <c r="P128" s="5">
        <f>IF(OR(INDEX($W$2:$W$1001,MATCH(ROWS($V$2:V128),$V$2:$V$1001,0),1)&gt;=100000,INDEX($AC$1005:$AS$1005,1,MATCH(COLUMNS($AC$1006:AQ1006),$AC$1006:$AS$1006,0))&gt;=100000), " ",IF(INDEX($AC$2:$AS$1001,MATCH(ROWS($V$2:V128),$V$2:$V$1001,0),MATCH(COLUMNS($AC$1006:AQ1006),$AC$1006:$AS$1006,0)), HYPERLINK("#",""), HYPERLINK(CONCATENATE("#Metadata!", ADDRESS(INDEX($X$2:$X$1001,MATCH(ROWS($V$2:V128),$V$2:$V$1001,0),0), INDEX($AC$1004:$AS$1004,1,MATCH(COLUMNS($AC$1006:AQ1006),$AC$1006:$AS$1006,0)))),"Fix")))</f>
        <v>0</v>
      </c>
      <c r="Q128" s="5">
        <f>IF(OR(INDEX($W$2:$W$1001,MATCH(ROWS($V$2:V128),$V$2:$V$1001,0),1)&gt;=100000,INDEX($AC$1005:$AS$1005,1,MATCH(COLUMNS($AC$1006:AR1006),$AC$1006:$AS$1006,0))&gt;=100000), " ",IF(INDEX($AC$2:$AS$1001,MATCH(ROWS($V$2:V128),$V$2:$V$1001,0),MATCH(COLUMNS($AC$1006:AR1006),$AC$1006:$AS$1006,0)), HYPERLINK("#",""), HYPERLINK(CONCATENATE("#Metadata!", ADDRESS(INDEX($X$2:$X$1001,MATCH(ROWS($V$2:V128),$V$2:$V$1001,0),0), INDEX($AC$1004:$AS$1004,1,MATCH(COLUMNS($AC$1006:AR1006),$AC$1006:$AS$1006,0)))),"Fix")))</f>
        <v>0</v>
      </c>
      <c r="R128" s="5">
        <f>IF(OR(INDEX($W$2:$W$1001,MATCH(ROWS($V$2:V128),$V$2:$V$1001,0),1)&gt;=100000,INDEX($AC$1005:$AS$1005,1,MATCH(COLUMNS($AC$1006:AS1006),$AC$1006:$AS$1006,0))&gt;=100000), " ",IF(INDEX($AC$2:$AS$1001,MATCH(ROWS($V$2:V128),$V$2:$V$1001,0),MATCH(COLUMNS($AC$1006:AS1006),$AC$1006:$AS$1006,0)), HYPERLINK("#",""), HYPERLINK(CONCATENATE("#Metadata!", ADDRESS(INDEX($X$2:$X$1001,MATCH(ROWS($V$2:V128),$V$2:$V$1001,0),0), INDEX($AC$1004:$AS$1004,1,MATCH(COLUMNS($AC$1006:AS1006),$AC$1006:$AS$1006,0)))),"Fix")))</f>
        <v>0</v>
      </c>
      <c r="V128">
        <v>0</v>
      </c>
      <c r="W128">
        <v>0</v>
      </c>
      <c r="X128">
        <v>0</v>
      </c>
      <c r="Y128">
        <f>IF(Z128,TRUE,AND(AC128:AS128))</f>
        <v>0</v>
      </c>
      <c r="Z128">
        <f>COUNTBLANK(Metadata!B128:R128)=COLUMNS(Metadata!B128:R128)</f>
        <v>0</v>
      </c>
      <c r="AA128">
        <v>0</v>
      </c>
      <c r="AC128">
        <f>AND(IF(Metadata!B128="",FALSE,TRUE),COUNTIF(Metadata!B:B, Metadata!B128) = 1,NOT(ISERROR(SUMPRODUCT(SEARCH(MID(Metadata!B128,ROW(INDIRECT("1:"&amp;LEN(Metadata!B128))), 1),"0123456789abcdefghijklmnopqrstuvwxyzABCDEFGHIJKLMNOPQRSTUVWXYZ.")))))</f>
        <v>0</v>
      </c>
      <c r="AD128">
        <f>AND(IF(Metadata!C128="",FALSE,TRUE),exact(Metadata!C128,"Host-associated"))</f>
        <v>0</v>
      </c>
      <c r="AE128">
        <f>AND(IF(Metadata!D128="",FALSE,TRUE),OR(exact(Metadata!D128,"Animal"),exact(Metadata!D128,"Fungus"),exact(Metadata!D128,"Plant")))</f>
        <v>0</v>
      </c>
      <c r="AF128">
        <f>AND(IF(Metadata!E128="",FALSE,TRUE),OR(exact(Metadata!E128,"Plant secretion"),exact(Metadata!E128,"Plant rhizosphere"),exact(Metadata!E128,"Plant surface"),exact(Metadata!E128,"Plant corpus"),exact(Metadata!E128,"Fungus surface"),exact(Metadata!E128,"Fungus corpus"),exact(Metadata!E128,"Animal surface"),exact(Metadata!E128,"Animal proximal gut"),exact(Metadata!E128,"Animal corpus"),exact(Metadata!E128,"Animal distal gut"),exact(Metadata!E128,"Animal secretion")))</f>
        <v>0</v>
      </c>
      <c r="AG128">
        <f>OR(AND(IF(Metadata!F128="",FALSE,TRUE),OR(exact(Metadata!F128,"not collected"),exact(Metadata!F128,"not provided"),exact(Metadata!F128,"restricted access"))),AND(IF(Metadata!F128="",FALSE,TRUE),OR(exact(Metadata!F128,"organism-associated habitat"),exact(Metadata!F128,"plant-associated habitat"),exact(Metadata!F128,"animal-associated habitat"),exact(Metadata!F128,"insecta-associated habitat"),exact(Metadata!F128,"mammalia-associated habitat"),exact(Metadata!F128,"human-associated habitat"),exact(Metadata!F128,"livestock-associated habitat"))))</f>
        <v>0</v>
      </c>
      <c r="AH128">
        <f>AND(IF(Metadata!G128="",FALSE,TRUE),exact(Metadata!G128,"host-associated"))</f>
        <v>0</v>
      </c>
      <c r="AI128">
        <f>OR(AND(IF(Metadata!H128="",FALSE,TRUE),OR(exact(Metadata!H128,"not collected"),exact(Metadata!H128,"not provided"))),AND(IF(Metadata!H128="",FALSE,ISNUMBER(VALUE(Metadata!H128))),Metadata!H128&gt;0))</f>
        <v>0</v>
      </c>
      <c r="AJ128">
        <f>AND(IF(Metadata!I128="",FALSE,TRUE),exact(Metadata!I128,"years"))</f>
        <v>0</v>
      </c>
      <c r="AK128">
        <f>IF(Metadata!J128="",FALSE,TRUE)</f>
        <v>0</v>
      </c>
      <c r="AL128">
        <f>OR(AND(IF(Metadata!K128="",FALSE,TRUE),OR(exact(Metadata!K128,"not collected"),exact(Metadata!K128,"not provided"))),AND(IF(Metadata!K128="",FALSE,ISNUMBER(VALUE(Metadata!K128))),Metadata!K128&gt;0))</f>
        <v>0</v>
      </c>
      <c r="AM128">
        <f>AND(IF(Metadata!L128="",FALSE,TRUE),exact(Metadata!L128,"cm"))</f>
        <v>0</v>
      </c>
      <c r="AN128">
        <f>IF(Metadata!M128="",FALSE,TRUE)</f>
        <v>0</v>
      </c>
      <c r="AO128">
        <f>OR(AND(IF(Metadata!N128="",FALSE,TRUE),OR(exact(Metadata!N128,"not applicable"),exact(Metadata!N128,"not collected"),exact(Metadata!N128,"not provided"))),AND(IF(Metadata!N128="",FALSE,IF(ISERROR(INT(Metadata!N128)),FALSE,INT(Metadata!N128)=Metadata!N128)),Metadata!N128&gt;0))</f>
        <v>0</v>
      </c>
      <c r="AP128">
        <f>OR(AND(IF(Metadata!O128="",FALSE,TRUE),OR(exact(Metadata!O128,"not collected"),exact(Metadata!O128,"not provided"))),AND(IF(Metadata!O128="",FALSE,ISNUMBER(VALUE(Metadata!O128))),Metadata!O128&gt;0))</f>
        <v>0</v>
      </c>
      <c r="AQ128">
        <f>AND(IF(Metadata!P128="",FALSE,TRUE),exact(Metadata!P128,"kg"))</f>
        <v>0</v>
      </c>
      <c r="AR128">
        <f>OR(AND(IF(Metadata!Q128="",FALSE,TRUE),OR(exact(Metadata!Q128,"not applicable"),exact(Metadata!Q128,"not collected"),exact(Metadata!Q128,"not provided"),exact(Metadata!Q128,"restricted access"))),IF(Metadata!Q128="",FALSE,IF(ISERROR(INT(Metadata!Q128)),FALSE,INT(Metadata!Q128)=Metadata!Q128)))</f>
        <v>0</v>
      </c>
      <c r="AS128">
        <f>AND(IF(Metadata!R128="",FALSE,TRUE),exact(Metadata!R128,"Not applicable"))</f>
        <v>0</v>
      </c>
    </row>
    <row r="129" spans="1:45">
      <c r="A129" s="4">
        <f>IF(B129=" "," ",HYPERLINK(CONCATENATE("#metadata!",ADDRESS(INDEX($X$2:$X$1001,MATCH(ROWS($V$2:V129),$V$2:$V$1001,0),0),2)),INDEX($AA$2:$AA$1001,MATCH(ROWS($V$2:V129),$V$2:$V$1001,0),0)))</f>
        <v>0</v>
      </c>
      <c r="B129" s="5">
        <f>IF(OR(INDEX($W$2:$W$1001,MATCH(ROWS($V$2:V129),$V$2:$V$1001,0),1)&gt;=100000,INDEX($AC$1005:$AS$1005,1,MATCH(COLUMNS($AC$1006:AC1006),$AC$1006:$AS$1006,0))&gt;=100000), " ",IF(INDEX($AC$2:$AS$1001,MATCH(ROWS($V$2:V129),$V$2:$V$1001,0),MATCH(COLUMNS($AC$1006:AC1006),$AC$1006:$AS$1006,0)), HYPERLINK("#",""), HYPERLINK(CONCATENATE("#Metadata!", ADDRESS(INDEX($X$2:$X$1001,MATCH(ROWS($V$2:V129),$V$2:$V$1001,0),0), INDEX($AC$1004:$AS$1004,1,MATCH(COLUMNS($AC$1006:AC1006),$AC$1006:$AS$1006,0)))),"Fix")))</f>
        <v>0</v>
      </c>
      <c r="C129" s="5">
        <f>IF(OR(INDEX($W$2:$W$1001,MATCH(ROWS($V$2:V129),$V$2:$V$1001,0),1)&gt;=100000,INDEX($AC$1005:$AS$1005,1,MATCH(COLUMNS($AC$1006:AD1006),$AC$1006:$AS$1006,0))&gt;=100000), " ",IF(INDEX($AC$2:$AS$1001,MATCH(ROWS($V$2:V129),$V$2:$V$1001,0),MATCH(COLUMNS($AC$1006:AD1006),$AC$1006:$AS$1006,0)), HYPERLINK("#",""), HYPERLINK(CONCATENATE("#Metadata!", ADDRESS(INDEX($X$2:$X$1001,MATCH(ROWS($V$2:V129),$V$2:$V$1001,0),0), INDEX($AC$1004:$AS$1004,1,MATCH(COLUMNS($AC$1006:AD1006),$AC$1006:$AS$1006,0)))),"Fix")))</f>
        <v>0</v>
      </c>
      <c r="D129" s="5">
        <f>IF(OR(INDEX($W$2:$W$1001,MATCH(ROWS($V$2:V129),$V$2:$V$1001,0),1)&gt;=100000,INDEX($AC$1005:$AS$1005,1,MATCH(COLUMNS($AC$1006:AE1006),$AC$1006:$AS$1006,0))&gt;=100000), " ",IF(INDEX($AC$2:$AS$1001,MATCH(ROWS($V$2:V129),$V$2:$V$1001,0),MATCH(COLUMNS($AC$1006:AE1006),$AC$1006:$AS$1006,0)), HYPERLINK("#",""), HYPERLINK(CONCATENATE("#Metadata!", ADDRESS(INDEX($X$2:$X$1001,MATCH(ROWS($V$2:V129),$V$2:$V$1001,0),0), INDEX($AC$1004:$AS$1004,1,MATCH(COLUMNS($AC$1006:AE1006),$AC$1006:$AS$1006,0)))),"Fix")))</f>
        <v>0</v>
      </c>
      <c r="E129" s="5">
        <f>IF(OR(INDEX($W$2:$W$1001,MATCH(ROWS($V$2:V129),$V$2:$V$1001,0),1)&gt;=100000,INDEX($AC$1005:$AS$1005,1,MATCH(COLUMNS($AC$1006:AF1006),$AC$1006:$AS$1006,0))&gt;=100000), " ",IF(INDEX($AC$2:$AS$1001,MATCH(ROWS($V$2:V129),$V$2:$V$1001,0),MATCH(COLUMNS($AC$1006:AF1006),$AC$1006:$AS$1006,0)), HYPERLINK("#",""), HYPERLINK(CONCATENATE("#Metadata!", ADDRESS(INDEX($X$2:$X$1001,MATCH(ROWS($V$2:V129),$V$2:$V$1001,0),0), INDEX($AC$1004:$AS$1004,1,MATCH(COLUMNS($AC$1006:AF1006),$AC$1006:$AS$1006,0)))),"Fix")))</f>
        <v>0</v>
      </c>
      <c r="F129" s="5">
        <f>IF(OR(INDEX($W$2:$W$1001,MATCH(ROWS($V$2:V129),$V$2:$V$1001,0),1)&gt;=100000,INDEX($AC$1005:$AS$1005,1,MATCH(COLUMNS($AC$1006:AG1006),$AC$1006:$AS$1006,0))&gt;=100000), " ",IF(INDEX($AC$2:$AS$1001,MATCH(ROWS($V$2:V129),$V$2:$V$1001,0),MATCH(COLUMNS($AC$1006:AG1006),$AC$1006:$AS$1006,0)), HYPERLINK("#",""), HYPERLINK(CONCATENATE("#Metadata!", ADDRESS(INDEX($X$2:$X$1001,MATCH(ROWS($V$2:V129),$V$2:$V$1001,0),0), INDEX($AC$1004:$AS$1004,1,MATCH(COLUMNS($AC$1006:AG1006),$AC$1006:$AS$1006,0)))),"Fix")))</f>
        <v>0</v>
      </c>
      <c r="G129" s="5">
        <f>IF(OR(INDEX($W$2:$W$1001,MATCH(ROWS($V$2:V129),$V$2:$V$1001,0),1)&gt;=100000,INDEX($AC$1005:$AS$1005,1,MATCH(COLUMNS($AC$1006:AH1006),$AC$1006:$AS$1006,0))&gt;=100000), " ",IF(INDEX($AC$2:$AS$1001,MATCH(ROWS($V$2:V129),$V$2:$V$1001,0),MATCH(COLUMNS($AC$1006:AH1006),$AC$1006:$AS$1006,0)), HYPERLINK("#",""), HYPERLINK(CONCATENATE("#Metadata!", ADDRESS(INDEX($X$2:$X$1001,MATCH(ROWS($V$2:V129),$V$2:$V$1001,0),0), INDEX($AC$1004:$AS$1004,1,MATCH(COLUMNS($AC$1006:AH1006),$AC$1006:$AS$1006,0)))),"Fix")))</f>
        <v>0</v>
      </c>
      <c r="H129" s="5">
        <f>IF(OR(INDEX($W$2:$W$1001,MATCH(ROWS($V$2:V129),$V$2:$V$1001,0),1)&gt;=100000,INDEX($AC$1005:$AS$1005,1,MATCH(COLUMNS($AC$1006:AI1006),$AC$1006:$AS$1006,0))&gt;=100000), " ",IF(INDEX($AC$2:$AS$1001,MATCH(ROWS($V$2:V129),$V$2:$V$1001,0),MATCH(COLUMNS($AC$1006:AI1006),$AC$1006:$AS$1006,0)), HYPERLINK("#",""), HYPERLINK(CONCATENATE("#Metadata!", ADDRESS(INDEX($X$2:$X$1001,MATCH(ROWS($V$2:V129),$V$2:$V$1001,0),0), INDEX($AC$1004:$AS$1004,1,MATCH(COLUMNS($AC$1006:AI1006),$AC$1006:$AS$1006,0)))),"Fix")))</f>
        <v>0</v>
      </c>
      <c r="I129" s="5">
        <f>IF(OR(INDEX($W$2:$W$1001,MATCH(ROWS($V$2:V129),$V$2:$V$1001,0),1)&gt;=100000,INDEX($AC$1005:$AS$1005,1,MATCH(COLUMNS($AC$1006:AJ1006),$AC$1006:$AS$1006,0))&gt;=100000), " ",IF(INDEX($AC$2:$AS$1001,MATCH(ROWS($V$2:V129),$V$2:$V$1001,0),MATCH(COLUMNS($AC$1006:AJ1006),$AC$1006:$AS$1006,0)), HYPERLINK("#",""), HYPERLINK(CONCATENATE("#Metadata!", ADDRESS(INDEX($X$2:$X$1001,MATCH(ROWS($V$2:V129),$V$2:$V$1001,0),0), INDEX($AC$1004:$AS$1004,1,MATCH(COLUMNS($AC$1006:AJ1006),$AC$1006:$AS$1006,0)))),"Fix")))</f>
        <v>0</v>
      </c>
      <c r="J129" s="5">
        <f>IF(OR(INDEX($W$2:$W$1001,MATCH(ROWS($V$2:V129),$V$2:$V$1001,0),1)&gt;=100000,INDEX($AC$1005:$AS$1005,1,MATCH(COLUMNS($AC$1006:AK1006),$AC$1006:$AS$1006,0))&gt;=100000), " ",IF(INDEX($AC$2:$AS$1001,MATCH(ROWS($V$2:V129),$V$2:$V$1001,0),MATCH(COLUMNS($AC$1006:AK1006),$AC$1006:$AS$1006,0)), HYPERLINK("#",""), HYPERLINK(CONCATENATE("#Metadata!", ADDRESS(INDEX($X$2:$X$1001,MATCH(ROWS($V$2:V129),$V$2:$V$1001,0),0), INDEX($AC$1004:$AS$1004,1,MATCH(COLUMNS($AC$1006:AK1006),$AC$1006:$AS$1006,0)))),"Fix")))</f>
        <v>0</v>
      </c>
      <c r="K129" s="5">
        <f>IF(OR(INDEX($W$2:$W$1001,MATCH(ROWS($V$2:V129),$V$2:$V$1001,0),1)&gt;=100000,INDEX($AC$1005:$AS$1005,1,MATCH(COLUMNS($AC$1006:AL1006),$AC$1006:$AS$1006,0))&gt;=100000), " ",IF(INDEX($AC$2:$AS$1001,MATCH(ROWS($V$2:V129),$V$2:$V$1001,0),MATCH(COLUMNS($AC$1006:AL1006),$AC$1006:$AS$1006,0)), HYPERLINK("#",""), HYPERLINK(CONCATENATE("#Metadata!", ADDRESS(INDEX($X$2:$X$1001,MATCH(ROWS($V$2:V129),$V$2:$V$1001,0),0), INDEX($AC$1004:$AS$1004,1,MATCH(COLUMNS($AC$1006:AL1006),$AC$1006:$AS$1006,0)))),"Fix")))</f>
        <v>0</v>
      </c>
      <c r="L129" s="5">
        <f>IF(OR(INDEX($W$2:$W$1001,MATCH(ROWS($V$2:V129),$V$2:$V$1001,0),1)&gt;=100000,INDEX($AC$1005:$AS$1005,1,MATCH(COLUMNS($AC$1006:AM1006),$AC$1006:$AS$1006,0))&gt;=100000), " ",IF(INDEX($AC$2:$AS$1001,MATCH(ROWS($V$2:V129),$V$2:$V$1001,0),MATCH(COLUMNS($AC$1006:AM1006),$AC$1006:$AS$1006,0)), HYPERLINK("#",""), HYPERLINK(CONCATENATE("#Metadata!", ADDRESS(INDEX($X$2:$X$1001,MATCH(ROWS($V$2:V129),$V$2:$V$1001,0),0), INDEX($AC$1004:$AS$1004,1,MATCH(COLUMNS($AC$1006:AM1006),$AC$1006:$AS$1006,0)))),"Fix")))</f>
        <v>0</v>
      </c>
      <c r="M129" s="5">
        <f>IF(OR(INDEX($W$2:$W$1001,MATCH(ROWS($V$2:V129),$V$2:$V$1001,0),1)&gt;=100000,INDEX($AC$1005:$AS$1005,1,MATCH(COLUMNS($AC$1006:AN1006),$AC$1006:$AS$1006,0))&gt;=100000), " ",IF(INDEX($AC$2:$AS$1001,MATCH(ROWS($V$2:V129),$V$2:$V$1001,0),MATCH(COLUMNS($AC$1006:AN1006),$AC$1006:$AS$1006,0)), HYPERLINK("#",""), HYPERLINK(CONCATENATE("#Metadata!", ADDRESS(INDEX($X$2:$X$1001,MATCH(ROWS($V$2:V129),$V$2:$V$1001,0),0), INDEX($AC$1004:$AS$1004,1,MATCH(COLUMNS($AC$1006:AN1006),$AC$1006:$AS$1006,0)))),"Fix")))</f>
        <v>0</v>
      </c>
      <c r="N129" s="5">
        <f>IF(OR(INDEX($W$2:$W$1001,MATCH(ROWS($V$2:V129),$V$2:$V$1001,0),1)&gt;=100000,INDEX($AC$1005:$AS$1005,1,MATCH(COLUMNS($AC$1006:AO1006),$AC$1006:$AS$1006,0))&gt;=100000), " ",IF(INDEX($AC$2:$AS$1001,MATCH(ROWS($V$2:V129),$V$2:$V$1001,0),MATCH(COLUMNS($AC$1006:AO1006),$AC$1006:$AS$1006,0)), HYPERLINK("#",""), HYPERLINK(CONCATENATE("#Metadata!", ADDRESS(INDEX($X$2:$X$1001,MATCH(ROWS($V$2:V129),$V$2:$V$1001,0),0), INDEX($AC$1004:$AS$1004,1,MATCH(COLUMNS($AC$1006:AO1006),$AC$1006:$AS$1006,0)))),"Fix")))</f>
        <v>0</v>
      </c>
      <c r="O129" s="5">
        <f>IF(OR(INDEX($W$2:$W$1001,MATCH(ROWS($V$2:V129),$V$2:$V$1001,0),1)&gt;=100000,INDEX($AC$1005:$AS$1005,1,MATCH(COLUMNS($AC$1006:AP1006),$AC$1006:$AS$1006,0))&gt;=100000), " ",IF(INDEX($AC$2:$AS$1001,MATCH(ROWS($V$2:V129),$V$2:$V$1001,0),MATCH(COLUMNS($AC$1006:AP1006),$AC$1006:$AS$1006,0)), HYPERLINK("#",""), HYPERLINK(CONCATENATE("#Metadata!", ADDRESS(INDEX($X$2:$X$1001,MATCH(ROWS($V$2:V129),$V$2:$V$1001,0),0), INDEX($AC$1004:$AS$1004,1,MATCH(COLUMNS($AC$1006:AP1006),$AC$1006:$AS$1006,0)))),"Fix")))</f>
        <v>0</v>
      </c>
      <c r="P129" s="5">
        <f>IF(OR(INDEX($W$2:$W$1001,MATCH(ROWS($V$2:V129),$V$2:$V$1001,0),1)&gt;=100000,INDEX($AC$1005:$AS$1005,1,MATCH(COLUMNS($AC$1006:AQ1006),$AC$1006:$AS$1006,0))&gt;=100000), " ",IF(INDEX($AC$2:$AS$1001,MATCH(ROWS($V$2:V129),$V$2:$V$1001,0),MATCH(COLUMNS($AC$1006:AQ1006),$AC$1006:$AS$1006,0)), HYPERLINK("#",""), HYPERLINK(CONCATENATE("#Metadata!", ADDRESS(INDEX($X$2:$X$1001,MATCH(ROWS($V$2:V129),$V$2:$V$1001,0),0), INDEX($AC$1004:$AS$1004,1,MATCH(COLUMNS($AC$1006:AQ1006),$AC$1006:$AS$1006,0)))),"Fix")))</f>
        <v>0</v>
      </c>
      <c r="Q129" s="5">
        <f>IF(OR(INDEX($W$2:$W$1001,MATCH(ROWS($V$2:V129),$V$2:$V$1001,0),1)&gt;=100000,INDEX($AC$1005:$AS$1005,1,MATCH(COLUMNS($AC$1006:AR1006),$AC$1006:$AS$1006,0))&gt;=100000), " ",IF(INDEX($AC$2:$AS$1001,MATCH(ROWS($V$2:V129),$V$2:$V$1001,0),MATCH(COLUMNS($AC$1006:AR1006),$AC$1006:$AS$1006,0)), HYPERLINK("#",""), HYPERLINK(CONCATENATE("#Metadata!", ADDRESS(INDEX($X$2:$X$1001,MATCH(ROWS($V$2:V129),$V$2:$V$1001,0),0), INDEX($AC$1004:$AS$1004,1,MATCH(COLUMNS($AC$1006:AR1006),$AC$1006:$AS$1006,0)))),"Fix")))</f>
        <v>0</v>
      </c>
      <c r="R129" s="5">
        <f>IF(OR(INDEX($W$2:$W$1001,MATCH(ROWS($V$2:V129),$V$2:$V$1001,0),1)&gt;=100000,INDEX($AC$1005:$AS$1005,1,MATCH(COLUMNS($AC$1006:AS1006),$AC$1006:$AS$1006,0))&gt;=100000), " ",IF(INDEX($AC$2:$AS$1001,MATCH(ROWS($V$2:V129),$V$2:$V$1001,0),MATCH(COLUMNS($AC$1006:AS1006),$AC$1006:$AS$1006,0)), HYPERLINK("#",""), HYPERLINK(CONCATENATE("#Metadata!", ADDRESS(INDEX($X$2:$X$1001,MATCH(ROWS($V$2:V129),$V$2:$V$1001,0),0), INDEX($AC$1004:$AS$1004,1,MATCH(COLUMNS($AC$1006:AS1006),$AC$1006:$AS$1006,0)))),"Fix")))</f>
        <v>0</v>
      </c>
      <c r="V129">
        <v>0</v>
      </c>
      <c r="W129">
        <v>0</v>
      </c>
      <c r="X129">
        <v>0</v>
      </c>
      <c r="Y129">
        <f>IF(Z129,TRUE,AND(AC129:AS129))</f>
        <v>0</v>
      </c>
      <c r="Z129">
        <f>COUNTBLANK(Metadata!B129:R129)=COLUMNS(Metadata!B129:R129)</f>
        <v>0</v>
      </c>
      <c r="AA129">
        <v>0</v>
      </c>
      <c r="AC129">
        <f>AND(IF(Metadata!B129="",FALSE,TRUE),COUNTIF(Metadata!B:B, Metadata!B129) = 1,NOT(ISERROR(SUMPRODUCT(SEARCH(MID(Metadata!B129,ROW(INDIRECT("1:"&amp;LEN(Metadata!B129))), 1),"0123456789abcdefghijklmnopqrstuvwxyzABCDEFGHIJKLMNOPQRSTUVWXYZ.")))))</f>
        <v>0</v>
      </c>
      <c r="AD129">
        <f>AND(IF(Metadata!C129="",FALSE,TRUE),exact(Metadata!C129,"Host-associated"))</f>
        <v>0</v>
      </c>
      <c r="AE129">
        <f>AND(IF(Metadata!D129="",FALSE,TRUE),OR(exact(Metadata!D129,"Animal"),exact(Metadata!D129,"Fungus"),exact(Metadata!D129,"Plant")))</f>
        <v>0</v>
      </c>
      <c r="AF129">
        <f>AND(IF(Metadata!E129="",FALSE,TRUE),OR(exact(Metadata!E129,"Plant secretion"),exact(Metadata!E129,"Plant rhizosphere"),exact(Metadata!E129,"Plant surface"),exact(Metadata!E129,"Plant corpus"),exact(Metadata!E129,"Fungus surface"),exact(Metadata!E129,"Fungus corpus"),exact(Metadata!E129,"Animal surface"),exact(Metadata!E129,"Animal proximal gut"),exact(Metadata!E129,"Animal corpus"),exact(Metadata!E129,"Animal distal gut"),exact(Metadata!E129,"Animal secretion")))</f>
        <v>0</v>
      </c>
      <c r="AG129">
        <f>OR(AND(IF(Metadata!F129="",FALSE,TRUE),OR(exact(Metadata!F129,"not collected"),exact(Metadata!F129,"not provided"),exact(Metadata!F129,"restricted access"))),AND(IF(Metadata!F129="",FALSE,TRUE),OR(exact(Metadata!F129,"organism-associated habitat"),exact(Metadata!F129,"plant-associated habitat"),exact(Metadata!F129,"animal-associated habitat"),exact(Metadata!F129,"insecta-associated habitat"),exact(Metadata!F129,"mammalia-associated habitat"),exact(Metadata!F129,"human-associated habitat"),exact(Metadata!F129,"livestock-associated habitat"))))</f>
        <v>0</v>
      </c>
      <c r="AH129">
        <f>AND(IF(Metadata!G129="",FALSE,TRUE),exact(Metadata!G129,"host-associated"))</f>
        <v>0</v>
      </c>
      <c r="AI129">
        <f>OR(AND(IF(Metadata!H129="",FALSE,TRUE),OR(exact(Metadata!H129,"not collected"),exact(Metadata!H129,"not provided"))),AND(IF(Metadata!H129="",FALSE,ISNUMBER(VALUE(Metadata!H129))),Metadata!H129&gt;0))</f>
        <v>0</v>
      </c>
      <c r="AJ129">
        <f>AND(IF(Metadata!I129="",FALSE,TRUE),exact(Metadata!I129,"years"))</f>
        <v>0</v>
      </c>
      <c r="AK129">
        <f>IF(Metadata!J129="",FALSE,TRUE)</f>
        <v>0</v>
      </c>
      <c r="AL129">
        <f>OR(AND(IF(Metadata!K129="",FALSE,TRUE),OR(exact(Metadata!K129,"not collected"),exact(Metadata!K129,"not provided"))),AND(IF(Metadata!K129="",FALSE,ISNUMBER(VALUE(Metadata!K129))),Metadata!K129&gt;0))</f>
        <v>0</v>
      </c>
      <c r="AM129">
        <f>AND(IF(Metadata!L129="",FALSE,TRUE),exact(Metadata!L129,"cm"))</f>
        <v>0</v>
      </c>
      <c r="AN129">
        <f>IF(Metadata!M129="",FALSE,TRUE)</f>
        <v>0</v>
      </c>
      <c r="AO129">
        <f>OR(AND(IF(Metadata!N129="",FALSE,TRUE),OR(exact(Metadata!N129,"not applicable"),exact(Metadata!N129,"not collected"),exact(Metadata!N129,"not provided"))),AND(IF(Metadata!N129="",FALSE,IF(ISERROR(INT(Metadata!N129)),FALSE,INT(Metadata!N129)=Metadata!N129)),Metadata!N129&gt;0))</f>
        <v>0</v>
      </c>
      <c r="AP129">
        <f>OR(AND(IF(Metadata!O129="",FALSE,TRUE),OR(exact(Metadata!O129,"not collected"),exact(Metadata!O129,"not provided"))),AND(IF(Metadata!O129="",FALSE,ISNUMBER(VALUE(Metadata!O129))),Metadata!O129&gt;0))</f>
        <v>0</v>
      </c>
      <c r="AQ129">
        <f>AND(IF(Metadata!P129="",FALSE,TRUE),exact(Metadata!P129,"kg"))</f>
        <v>0</v>
      </c>
      <c r="AR129">
        <f>OR(AND(IF(Metadata!Q129="",FALSE,TRUE),OR(exact(Metadata!Q129,"not applicable"),exact(Metadata!Q129,"not collected"),exact(Metadata!Q129,"not provided"),exact(Metadata!Q129,"restricted access"))),IF(Metadata!Q129="",FALSE,IF(ISERROR(INT(Metadata!Q129)),FALSE,INT(Metadata!Q129)=Metadata!Q129)))</f>
        <v>0</v>
      </c>
      <c r="AS129">
        <f>AND(IF(Metadata!R129="",FALSE,TRUE),exact(Metadata!R129,"Not applicable"))</f>
        <v>0</v>
      </c>
    </row>
    <row r="130" spans="1:45">
      <c r="A130" s="4">
        <f>IF(B130=" "," ",HYPERLINK(CONCATENATE("#metadata!",ADDRESS(INDEX($X$2:$X$1001,MATCH(ROWS($V$2:V130),$V$2:$V$1001,0),0),2)),INDEX($AA$2:$AA$1001,MATCH(ROWS($V$2:V130),$V$2:$V$1001,0),0)))</f>
        <v>0</v>
      </c>
      <c r="B130" s="5">
        <f>IF(OR(INDEX($W$2:$W$1001,MATCH(ROWS($V$2:V130),$V$2:$V$1001,0),1)&gt;=100000,INDEX($AC$1005:$AS$1005,1,MATCH(COLUMNS($AC$1006:AC1006),$AC$1006:$AS$1006,0))&gt;=100000), " ",IF(INDEX($AC$2:$AS$1001,MATCH(ROWS($V$2:V130),$V$2:$V$1001,0),MATCH(COLUMNS($AC$1006:AC1006),$AC$1006:$AS$1006,0)), HYPERLINK("#",""), HYPERLINK(CONCATENATE("#Metadata!", ADDRESS(INDEX($X$2:$X$1001,MATCH(ROWS($V$2:V130),$V$2:$V$1001,0),0), INDEX($AC$1004:$AS$1004,1,MATCH(COLUMNS($AC$1006:AC1006),$AC$1006:$AS$1006,0)))),"Fix")))</f>
        <v>0</v>
      </c>
      <c r="C130" s="5">
        <f>IF(OR(INDEX($W$2:$W$1001,MATCH(ROWS($V$2:V130),$V$2:$V$1001,0),1)&gt;=100000,INDEX($AC$1005:$AS$1005,1,MATCH(COLUMNS($AC$1006:AD1006),$AC$1006:$AS$1006,0))&gt;=100000), " ",IF(INDEX($AC$2:$AS$1001,MATCH(ROWS($V$2:V130),$V$2:$V$1001,0),MATCH(COLUMNS($AC$1006:AD1006),$AC$1006:$AS$1006,0)), HYPERLINK("#",""), HYPERLINK(CONCATENATE("#Metadata!", ADDRESS(INDEX($X$2:$X$1001,MATCH(ROWS($V$2:V130),$V$2:$V$1001,0),0), INDEX($AC$1004:$AS$1004,1,MATCH(COLUMNS($AC$1006:AD1006),$AC$1006:$AS$1006,0)))),"Fix")))</f>
        <v>0</v>
      </c>
      <c r="D130" s="5">
        <f>IF(OR(INDEX($W$2:$W$1001,MATCH(ROWS($V$2:V130),$V$2:$V$1001,0),1)&gt;=100000,INDEX($AC$1005:$AS$1005,1,MATCH(COLUMNS($AC$1006:AE1006),$AC$1006:$AS$1006,0))&gt;=100000), " ",IF(INDEX($AC$2:$AS$1001,MATCH(ROWS($V$2:V130),$V$2:$V$1001,0),MATCH(COLUMNS($AC$1006:AE1006),$AC$1006:$AS$1006,0)), HYPERLINK("#",""), HYPERLINK(CONCATENATE("#Metadata!", ADDRESS(INDEX($X$2:$X$1001,MATCH(ROWS($V$2:V130),$V$2:$V$1001,0),0), INDEX($AC$1004:$AS$1004,1,MATCH(COLUMNS($AC$1006:AE1006),$AC$1006:$AS$1006,0)))),"Fix")))</f>
        <v>0</v>
      </c>
      <c r="E130" s="5">
        <f>IF(OR(INDEX($W$2:$W$1001,MATCH(ROWS($V$2:V130),$V$2:$V$1001,0),1)&gt;=100000,INDEX($AC$1005:$AS$1005,1,MATCH(COLUMNS($AC$1006:AF1006),$AC$1006:$AS$1006,0))&gt;=100000), " ",IF(INDEX($AC$2:$AS$1001,MATCH(ROWS($V$2:V130),$V$2:$V$1001,0),MATCH(COLUMNS($AC$1006:AF1006),$AC$1006:$AS$1006,0)), HYPERLINK("#",""), HYPERLINK(CONCATENATE("#Metadata!", ADDRESS(INDEX($X$2:$X$1001,MATCH(ROWS($V$2:V130),$V$2:$V$1001,0),0), INDEX($AC$1004:$AS$1004,1,MATCH(COLUMNS($AC$1006:AF1006),$AC$1006:$AS$1006,0)))),"Fix")))</f>
        <v>0</v>
      </c>
      <c r="F130" s="5">
        <f>IF(OR(INDEX($W$2:$W$1001,MATCH(ROWS($V$2:V130),$V$2:$V$1001,0),1)&gt;=100000,INDEX($AC$1005:$AS$1005,1,MATCH(COLUMNS($AC$1006:AG1006),$AC$1006:$AS$1006,0))&gt;=100000), " ",IF(INDEX($AC$2:$AS$1001,MATCH(ROWS($V$2:V130),$V$2:$V$1001,0),MATCH(COLUMNS($AC$1006:AG1006),$AC$1006:$AS$1006,0)), HYPERLINK("#",""), HYPERLINK(CONCATENATE("#Metadata!", ADDRESS(INDEX($X$2:$X$1001,MATCH(ROWS($V$2:V130),$V$2:$V$1001,0),0), INDEX($AC$1004:$AS$1004,1,MATCH(COLUMNS($AC$1006:AG1006),$AC$1006:$AS$1006,0)))),"Fix")))</f>
        <v>0</v>
      </c>
      <c r="G130" s="5">
        <f>IF(OR(INDEX($W$2:$W$1001,MATCH(ROWS($V$2:V130),$V$2:$V$1001,0),1)&gt;=100000,INDEX($AC$1005:$AS$1005,1,MATCH(COLUMNS($AC$1006:AH1006),$AC$1006:$AS$1006,0))&gt;=100000), " ",IF(INDEX($AC$2:$AS$1001,MATCH(ROWS($V$2:V130),$V$2:$V$1001,0),MATCH(COLUMNS($AC$1006:AH1006),$AC$1006:$AS$1006,0)), HYPERLINK("#",""), HYPERLINK(CONCATENATE("#Metadata!", ADDRESS(INDEX($X$2:$X$1001,MATCH(ROWS($V$2:V130),$V$2:$V$1001,0),0), INDEX($AC$1004:$AS$1004,1,MATCH(COLUMNS($AC$1006:AH1006),$AC$1006:$AS$1006,0)))),"Fix")))</f>
        <v>0</v>
      </c>
      <c r="H130" s="5">
        <f>IF(OR(INDEX($W$2:$W$1001,MATCH(ROWS($V$2:V130),$V$2:$V$1001,0),1)&gt;=100000,INDEX($AC$1005:$AS$1005,1,MATCH(COLUMNS($AC$1006:AI1006),$AC$1006:$AS$1006,0))&gt;=100000), " ",IF(INDEX($AC$2:$AS$1001,MATCH(ROWS($V$2:V130),$V$2:$V$1001,0),MATCH(COLUMNS($AC$1006:AI1006),$AC$1006:$AS$1006,0)), HYPERLINK("#",""), HYPERLINK(CONCATENATE("#Metadata!", ADDRESS(INDEX($X$2:$X$1001,MATCH(ROWS($V$2:V130),$V$2:$V$1001,0),0), INDEX($AC$1004:$AS$1004,1,MATCH(COLUMNS($AC$1006:AI1006),$AC$1006:$AS$1006,0)))),"Fix")))</f>
        <v>0</v>
      </c>
      <c r="I130" s="5">
        <f>IF(OR(INDEX($W$2:$W$1001,MATCH(ROWS($V$2:V130),$V$2:$V$1001,0),1)&gt;=100000,INDEX($AC$1005:$AS$1005,1,MATCH(COLUMNS($AC$1006:AJ1006),$AC$1006:$AS$1006,0))&gt;=100000), " ",IF(INDEX($AC$2:$AS$1001,MATCH(ROWS($V$2:V130),$V$2:$V$1001,0),MATCH(COLUMNS($AC$1006:AJ1006),$AC$1006:$AS$1006,0)), HYPERLINK("#",""), HYPERLINK(CONCATENATE("#Metadata!", ADDRESS(INDEX($X$2:$X$1001,MATCH(ROWS($V$2:V130),$V$2:$V$1001,0),0), INDEX($AC$1004:$AS$1004,1,MATCH(COLUMNS($AC$1006:AJ1006),$AC$1006:$AS$1006,0)))),"Fix")))</f>
        <v>0</v>
      </c>
      <c r="J130" s="5">
        <f>IF(OR(INDEX($W$2:$W$1001,MATCH(ROWS($V$2:V130),$V$2:$V$1001,0),1)&gt;=100000,INDEX($AC$1005:$AS$1005,1,MATCH(COLUMNS($AC$1006:AK1006),$AC$1006:$AS$1006,0))&gt;=100000), " ",IF(INDEX($AC$2:$AS$1001,MATCH(ROWS($V$2:V130),$V$2:$V$1001,0),MATCH(COLUMNS($AC$1006:AK1006),$AC$1006:$AS$1006,0)), HYPERLINK("#",""), HYPERLINK(CONCATENATE("#Metadata!", ADDRESS(INDEX($X$2:$X$1001,MATCH(ROWS($V$2:V130),$V$2:$V$1001,0),0), INDEX($AC$1004:$AS$1004,1,MATCH(COLUMNS($AC$1006:AK1006),$AC$1006:$AS$1006,0)))),"Fix")))</f>
        <v>0</v>
      </c>
      <c r="K130" s="5">
        <f>IF(OR(INDEX($W$2:$W$1001,MATCH(ROWS($V$2:V130),$V$2:$V$1001,0),1)&gt;=100000,INDEX($AC$1005:$AS$1005,1,MATCH(COLUMNS($AC$1006:AL1006),$AC$1006:$AS$1006,0))&gt;=100000), " ",IF(INDEX($AC$2:$AS$1001,MATCH(ROWS($V$2:V130),$V$2:$V$1001,0),MATCH(COLUMNS($AC$1006:AL1006),$AC$1006:$AS$1006,0)), HYPERLINK("#",""), HYPERLINK(CONCATENATE("#Metadata!", ADDRESS(INDEX($X$2:$X$1001,MATCH(ROWS($V$2:V130),$V$2:$V$1001,0),0), INDEX($AC$1004:$AS$1004,1,MATCH(COLUMNS($AC$1006:AL1006),$AC$1006:$AS$1006,0)))),"Fix")))</f>
        <v>0</v>
      </c>
      <c r="L130" s="5">
        <f>IF(OR(INDEX($W$2:$W$1001,MATCH(ROWS($V$2:V130),$V$2:$V$1001,0),1)&gt;=100000,INDEX($AC$1005:$AS$1005,1,MATCH(COLUMNS($AC$1006:AM1006),$AC$1006:$AS$1006,0))&gt;=100000), " ",IF(INDEX($AC$2:$AS$1001,MATCH(ROWS($V$2:V130),$V$2:$V$1001,0),MATCH(COLUMNS($AC$1006:AM1006),$AC$1006:$AS$1006,0)), HYPERLINK("#",""), HYPERLINK(CONCATENATE("#Metadata!", ADDRESS(INDEX($X$2:$X$1001,MATCH(ROWS($V$2:V130),$V$2:$V$1001,0),0), INDEX($AC$1004:$AS$1004,1,MATCH(COLUMNS($AC$1006:AM1006),$AC$1006:$AS$1006,0)))),"Fix")))</f>
        <v>0</v>
      </c>
      <c r="M130" s="5">
        <f>IF(OR(INDEX($W$2:$W$1001,MATCH(ROWS($V$2:V130),$V$2:$V$1001,0),1)&gt;=100000,INDEX($AC$1005:$AS$1005,1,MATCH(COLUMNS($AC$1006:AN1006),$AC$1006:$AS$1006,0))&gt;=100000), " ",IF(INDEX($AC$2:$AS$1001,MATCH(ROWS($V$2:V130),$V$2:$V$1001,0),MATCH(COLUMNS($AC$1006:AN1006),$AC$1006:$AS$1006,0)), HYPERLINK("#",""), HYPERLINK(CONCATENATE("#Metadata!", ADDRESS(INDEX($X$2:$X$1001,MATCH(ROWS($V$2:V130),$V$2:$V$1001,0),0), INDEX($AC$1004:$AS$1004,1,MATCH(COLUMNS($AC$1006:AN1006),$AC$1006:$AS$1006,0)))),"Fix")))</f>
        <v>0</v>
      </c>
      <c r="N130" s="5">
        <f>IF(OR(INDEX($W$2:$W$1001,MATCH(ROWS($V$2:V130),$V$2:$V$1001,0),1)&gt;=100000,INDEX($AC$1005:$AS$1005,1,MATCH(COLUMNS($AC$1006:AO1006),$AC$1006:$AS$1006,0))&gt;=100000), " ",IF(INDEX($AC$2:$AS$1001,MATCH(ROWS($V$2:V130),$V$2:$V$1001,0),MATCH(COLUMNS($AC$1006:AO1006),$AC$1006:$AS$1006,0)), HYPERLINK("#",""), HYPERLINK(CONCATENATE("#Metadata!", ADDRESS(INDEX($X$2:$X$1001,MATCH(ROWS($V$2:V130),$V$2:$V$1001,0),0), INDEX($AC$1004:$AS$1004,1,MATCH(COLUMNS($AC$1006:AO1006),$AC$1006:$AS$1006,0)))),"Fix")))</f>
        <v>0</v>
      </c>
      <c r="O130" s="5">
        <f>IF(OR(INDEX($W$2:$W$1001,MATCH(ROWS($V$2:V130),$V$2:$V$1001,0),1)&gt;=100000,INDEX($AC$1005:$AS$1005,1,MATCH(COLUMNS($AC$1006:AP1006),$AC$1006:$AS$1006,0))&gt;=100000), " ",IF(INDEX($AC$2:$AS$1001,MATCH(ROWS($V$2:V130),$V$2:$V$1001,0),MATCH(COLUMNS($AC$1006:AP1006),$AC$1006:$AS$1006,0)), HYPERLINK("#",""), HYPERLINK(CONCATENATE("#Metadata!", ADDRESS(INDEX($X$2:$X$1001,MATCH(ROWS($V$2:V130),$V$2:$V$1001,0),0), INDEX($AC$1004:$AS$1004,1,MATCH(COLUMNS($AC$1006:AP1006),$AC$1006:$AS$1006,0)))),"Fix")))</f>
        <v>0</v>
      </c>
      <c r="P130" s="5">
        <f>IF(OR(INDEX($W$2:$W$1001,MATCH(ROWS($V$2:V130),$V$2:$V$1001,0),1)&gt;=100000,INDEX($AC$1005:$AS$1005,1,MATCH(COLUMNS($AC$1006:AQ1006),$AC$1006:$AS$1006,0))&gt;=100000), " ",IF(INDEX($AC$2:$AS$1001,MATCH(ROWS($V$2:V130),$V$2:$V$1001,0),MATCH(COLUMNS($AC$1006:AQ1006),$AC$1006:$AS$1006,0)), HYPERLINK("#",""), HYPERLINK(CONCATENATE("#Metadata!", ADDRESS(INDEX($X$2:$X$1001,MATCH(ROWS($V$2:V130),$V$2:$V$1001,0),0), INDEX($AC$1004:$AS$1004,1,MATCH(COLUMNS($AC$1006:AQ1006),$AC$1006:$AS$1006,0)))),"Fix")))</f>
        <v>0</v>
      </c>
      <c r="Q130" s="5">
        <f>IF(OR(INDEX($W$2:$W$1001,MATCH(ROWS($V$2:V130),$V$2:$V$1001,0),1)&gt;=100000,INDEX($AC$1005:$AS$1005,1,MATCH(COLUMNS($AC$1006:AR1006),$AC$1006:$AS$1006,0))&gt;=100000), " ",IF(INDEX($AC$2:$AS$1001,MATCH(ROWS($V$2:V130),$V$2:$V$1001,0),MATCH(COLUMNS($AC$1006:AR1006),$AC$1006:$AS$1006,0)), HYPERLINK("#",""), HYPERLINK(CONCATENATE("#Metadata!", ADDRESS(INDEX($X$2:$X$1001,MATCH(ROWS($V$2:V130),$V$2:$V$1001,0),0), INDEX($AC$1004:$AS$1004,1,MATCH(COLUMNS($AC$1006:AR1006),$AC$1006:$AS$1006,0)))),"Fix")))</f>
        <v>0</v>
      </c>
      <c r="R130" s="5">
        <f>IF(OR(INDEX($W$2:$W$1001,MATCH(ROWS($V$2:V130),$V$2:$V$1001,0),1)&gt;=100000,INDEX($AC$1005:$AS$1005,1,MATCH(COLUMNS($AC$1006:AS1006),$AC$1006:$AS$1006,0))&gt;=100000), " ",IF(INDEX($AC$2:$AS$1001,MATCH(ROWS($V$2:V130),$V$2:$V$1001,0),MATCH(COLUMNS($AC$1006:AS1006),$AC$1006:$AS$1006,0)), HYPERLINK("#",""), HYPERLINK(CONCATENATE("#Metadata!", ADDRESS(INDEX($X$2:$X$1001,MATCH(ROWS($V$2:V130),$V$2:$V$1001,0),0), INDEX($AC$1004:$AS$1004,1,MATCH(COLUMNS($AC$1006:AS1006),$AC$1006:$AS$1006,0)))),"Fix")))</f>
        <v>0</v>
      </c>
      <c r="V130">
        <v>0</v>
      </c>
      <c r="W130">
        <v>0</v>
      </c>
      <c r="X130">
        <v>0</v>
      </c>
      <c r="Y130">
        <f>IF(Z130,TRUE,AND(AC130:AS130))</f>
        <v>0</v>
      </c>
      <c r="Z130">
        <f>COUNTBLANK(Metadata!B130:R130)=COLUMNS(Metadata!B130:R130)</f>
        <v>0</v>
      </c>
      <c r="AA130">
        <v>0</v>
      </c>
      <c r="AC130">
        <f>AND(IF(Metadata!B130="",FALSE,TRUE),COUNTIF(Metadata!B:B, Metadata!B130) = 1,NOT(ISERROR(SUMPRODUCT(SEARCH(MID(Metadata!B130,ROW(INDIRECT("1:"&amp;LEN(Metadata!B130))), 1),"0123456789abcdefghijklmnopqrstuvwxyzABCDEFGHIJKLMNOPQRSTUVWXYZ.")))))</f>
        <v>0</v>
      </c>
      <c r="AD130">
        <f>AND(IF(Metadata!C130="",FALSE,TRUE),exact(Metadata!C130,"Host-associated"))</f>
        <v>0</v>
      </c>
      <c r="AE130">
        <f>AND(IF(Metadata!D130="",FALSE,TRUE),OR(exact(Metadata!D130,"Animal"),exact(Metadata!D130,"Fungus"),exact(Metadata!D130,"Plant")))</f>
        <v>0</v>
      </c>
      <c r="AF130">
        <f>AND(IF(Metadata!E130="",FALSE,TRUE),OR(exact(Metadata!E130,"Plant secretion"),exact(Metadata!E130,"Plant rhizosphere"),exact(Metadata!E130,"Plant surface"),exact(Metadata!E130,"Plant corpus"),exact(Metadata!E130,"Fungus surface"),exact(Metadata!E130,"Fungus corpus"),exact(Metadata!E130,"Animal surface"),exact(Metadata!E130,"Animal proximal gut"),exact(Metadata!E130,"Animal corpus"),exact(Metadata!E130,"Animal distal gut"),exact(Metadata!E130,"Animal secretion")))</f>
        <v>0</v>
      </c>
      <c r="AG130">
        <f>OR(AND(IF(Metadata!F130="",FALSE,TRUE),OR(exact(Metadata!F130,"not collected"),exact(Metadata!F130,"not provided"),exact(Metadata!F130,"restricted access"))),AND(IF(Metadata!F130="",FALSE,TRUE),OR(exact(Metadata!F130,"organism-associated habitat"),exact(Metadata!F130,"plant-associated habitat"),exact(Metadata!F130,"animal-associated habitat"),exact(Metadata!F130,"insecta-associated habitat"),exact(Metadata!F130,"mammalia-associated habitat"),exact(Metadata!F130,"human-associated habitat"),exact(Metadata!F130,"livestock-associated habitat"))))</f>
        <v>0</v>
      </c>
      <c r="AH130">
        <f>AND(IF(Metadata!G130="",FALSE,TRUE),exact(Metadata!G130,"host-associated"))</f>
        <v>0</v>
      </c>
      <c r="AI130">
        <f>OR(AND(IF(Metadata!H130="",FALSE,TRUE),OR(exact(Metadata!H130,"not collected"),exact(Metadata!H130,"not provided"))),AND(IF(Metadata!H130="",FALSE,ISNUMBER(VALUE(Metadata!H130))),Metadata!H130&gt;0))</f>
        <v>0</v>
      </c>
      <c r="AJ130">
        <f>AND(IF(Metadata!I130="",FALSE,TRUE),exact(Metadata!I130,"years"))</f>
        <v>0</v>
      </c>
      <c r="AK130">
        <f>IF(Metadata!J130="",FALSE,TRUE)</f>
        <v>0</v>
      </c>
      <c r="AL130">
        <f>OR(AND(IF(Metadata!K130="",FALSE,TRUE),OR(exact(Metadata!K130,"not collected"),exact(Metadata!K130,"not provided"))),AND(IF(Metadata!K130="",FALSE,ISNUMBER(VALUE(Metadata!K130))),Metadata!K130&gt;0))</f>
        <v>0</v>
      </c>
      <c r="AM130">
        <f>AND(IF(Metadata!L130="",FALSE,TRUE),exact(Metadata!L130,"cm"))</f>
        <v>0</v>
      </c>
      <c r="AN130">
        <f>IF(Metadata!M130="",FALSE,TRUE)</f>
        <v>0</v>
      </c>
      <c r="AO130">
        <f>OR(AND(IF(Metadata!N130="",FALSE,TRUE),OR(exact(Metadata!N130,"not applicable"),exact(Metadata!N130,"not collected"),exact(Metadata!N130,"not provided"))),AND(IF(Metadata!N130="",FALSE,IF(ISERROR(INT(Metadata!N130)),FALSE,INT(Metadata!N130)=Metadata!N130)),Metadata!N130&gt;0))</f>
        <v>0</v>
      </c>
      <c r="AP130">
        <f>OR(AND(IF(Metadata!O130="",FALSE,TRUE),OR(exact(Metadata!O130,"not collected"),exact(Metadata!O130,"not provided"))),AND(IF(Metadata!O130="",FALSE,ISNUMBER(VALUE(Metadata!O130))),Metadata!O130&gt;0))</f>
        <v>0</v>
      </c>
      <c r="AQ130">
        <f>AND(IF(Metadata!P130="",FALSE,TRUE),exact(Metadata!P130,"kg"))</f>
        <v>0</v>
      </c>
      <c r="AR130">
        <f>OR(AND(IF(Metadata!Q130="",FALSE,TRUE),OR(exact(Metadata!Q130,"not applicable"),exact(Metadata!Q130,"not collected"),exact(Metadata!Q130,"not provided"),exact(Metadata!Q130,"restricted access"))),IF(Metadata!Q130="",FALSE,IF(ISERROR(INT(Metadata!Q130)),FALSE,INT(Metadata!Q130)=Metadata!Q130)))</f>
        <v>0</v>
      </c>
      <c r="AS130">
        <f>AND(IF(Metadata!R130="",FALSE,TRUE),exact(Metadata!R130,"Not applicable"))</f>
        <v>0</v>
      </c>
    </row>
    <row r="131" spans="1:45">
      <c r="A131" s="4">
        <f>IF(B131=" "," ",HYPERLINK(CONCATENATE("#metadata!",ADDRESS(INDEX($X$2:$X$1001,MATCH(ROWS($V$2:V131),$V$2:$V$1001,0),0),2)),INDEX($AA$2:$AA$1001,MATCH(ROWS($V$2:V131),$V$2:$V$1001,0),0)))</f>
        <v>0</v>
      </c>
      <c r="B131" s="5">
        <f>IF(OR(INDEX($W$2:$W$1001,MATCH(ROWS($V$2:V131),$V$2:$V$1001,0),1)&gt;=100000,INDEX($AC$1005:$AS$1005,1,MATCH(COLUMNS($AC$1006:AC1006),$AC$1006:$AS$1006,0))&gt;=100000), " ",IF(INDEX($AC$2:$AS$1001,MATCH(ROWS($V$2:V131),$V$2:$V$1001,0),MATCH(COLUMNS($AC$1006:AC1006),$AC$1006:$AS$1006,0)), HYPERLINK("#",""), HYPERLINK(CONCATENATE("#Metadata!", ADDRESS(INDEX($X$2:$X$1001,MATCH(ROWS($V$2:V131),$V$2:$V$1001,0),0), INDEX($AC$1004:$AS$1004,1,MATCH(COLUMNS($AC$1006:AC1006),$AC$1006:$AS$1006,0)))),"Fix")))</f>
        <v>0</v>
      </c>
      <c r="C131" s="5">
        <f>IF(OR(INDEX($W$2:$W$1001,MATCH(ROWS($V$2:V131),$V$2:$V$1001,0),1)&gt;=100000,INDEX($AC$1005:$AS$1005,1,MATCH(COLUMNS($AC$1006:AD1006),$AC$1006:$AS$1006,0))&gt;=100000), " ",IF(INDEX($AC$2:$AS$1001,MATCH(ROWS($V$2:V131),$V$2:$V$1001,0),MATCH(COLUMNS($AC$1006:AD1006),$AC$1006:$AS$1006,0)), HYPERLINK("#",""), HYPERLINK(CONCATENATE("#Metadata!", ADDRESS(INDEX($X$2:$X$1001,MATCH(ROWS($V$2:V131),$V$2:$V$1001,0),0), INDEX($AC$1004:$AS$1004,1,MATCH(COLUMNS($AC$1006:AD1006),$AC$1006:$AS$1006,0)))),"Fix")))</f>
        <v>0</v>
      </c>
      <c r="D131" s="5">
        <f>IF(OR(INDEX($W$2:$W$1001,MATCH(ROWS($V$2:V131),$V$2:$V$1001,0),1)&gt;=100000,INDEX($AC$1005:$AS$1005,1,MATCH(COLUMNS($AC$1006:AE1006),$AC$1006:$AS$1006,0))&gt;=100000), " ",IF(INDEX($AC$2:$AS$1001,MATCH(ROWS($V$2:V131),$V$2:$V$1001,0),MATCH(COLUMNS($AC$1006:AE1006),$AC$1006:$AS$1006,0)), HYPERLINK("#",""), HYPERLINK(CONCATENATE("#Metadata!", ADDRESS(INDEX($X$2:$X$1001,MATCH(ROWS($V$2:V131),$V$2:$V$1001,0),0), INDEX($AC$1004:$AS$1004,1,MATCH(COLUMNS($AC$1006:AE1006),$AC$1006:$AS$1006,0)))),"Fix")))</f>
        <v>0</v>
      </c>
      <c r="E131" s="5">
        <f>IF(OR(INDEX($W$2:$W$1001,MATCH(ROWS($V$2:V131),$V$2:$V$1001,0),1)&gt;=100000,INDEX($AC$1005:$AS$1005,1,MATCH(COLUMNS($AC$1006:AF1006),$AC$1006:$AS$1006,0))&gt;=100000), " ",IF(INDEX($AC$2:$AS$1001,MATCH(ROWS($V$2:V131),$V$2:$V$1001,0),MATCH(COLUMNS($AC$1006:AF1006),$AC$1006:$AS$1006,0)), HYPERLINK("#",""), HYPERLINK(CONCATENATE("#Metadata!", ADDRESS(INDEX($X$2:$X$1001,MATCH(ROWS($V$2:V131),$V$2:$V$1001,0),0), INDEX($AC$1004:$AS$1004,1,MATCH(COLUMNS($AC$1006:AF1006),$AC$1006:$AS$1006,0)))),"Fix")))</f>
        <v>0</v>
      </c>
      <c r="F131" s="5">
        <f>IF(OR(INDEX($W$2:$W$1001,MATCH(ROWS($V$2:V131),$V$2:$V$1001,0),1)&gt;=100000,INDEX($AC$1005:$AS$1005,1,MATCH(COLUMNS($AC$1006:AG1006),$AC$1006:$AS$1006,0))&gt;=100000), " ",IF(INDEX($AC$2:$AS$1001,MATCH(ROWS($V$2:V131),$V$2:$V$1001,0),MATCH(COLUMNS($AC$1006:AG1006),$AC$1006:$AS$1006,0)), HYPERLINK("#",""), HYPERLINK(CONCATENATE("#Metadata!", ADDRESS(INDEX($X$2:$X$1001,MATCH(ROWS($V$2:V131),$V$2:$V$1001,0),0), INDEX($AC$1004:$AS$1004,1,MATCH(COLUMNS($AC$1006:AG1006),$AC$1006:$AS$1006,0)))),"Fix")))</f>
        <v>0</v>
      </c>
      <c r="G131" s="5">
        <f>IF(OR(INDEX($W$2:$W$1001,MATCH(ROWS($V$2:V131),$V$2:$V$1001,0),1)&gt;=100000,INDEX($AC$1005:$AS$1005,1,MATCH(COLUMNS($AC$1006:AH1006),$AC$1006:$AS$1006,0))&gt;=100000), " ",IF(INDEX($AC$2:$AS$1001,MATCH(ROWS($V$2:V131),$V$2:$V$1001,0),MATCH(COLUMNS($AC$1006:AH1006),$AC$1006:$AS$1006,0)), HYPERLINK("#",""), HYPERLINK(CONCATENATE("#Metadata!", ADDRESS(INDEX($X$2:$X$1001,MATCH(ROWS($V$2:V131),$V$2:$V$1001,0),0), INDEX($AC$1004:$AS$1004,1,MATCH(COLUMNS($AC$1006:AH1006),$AC$1006:$AS$1006,0)))),"Fix")))</f>
        <v>0</v>
      </c>
      <c r="H131" s="5">
        <f>IF(OR(INDEX($W$2:$W$1001,MATCH(ROWS($V$2:V131),$V$2:$V$1001,0),1)&gt;=100000,INDEX($AC$1005:$AS$1005,1,MATCH(COLUMNS($AC$1006:AI1006),$AC$1006:$AS$1006,0))&gt;=100000), " ",IF(INDEX($AC$2:$AS$1001,MATCH(ROWS($V$2:V131),$V$2:$V$1001,0),MATCH(COLUMNS($AC$1006:AI1006),$AC$1006:$AS$1006,0)), HYPERLINK("#",""), HYPERLINK(CONCATENATE("#Metadata!", ADDRESS(INDEX($X$2:$X$1001,MATCH(ROWS($V$2:V131),$V$2:$V$1001,0),0), INDEX($AC$1004:$AS$1004,1,MATCH(COLUMNS($AC$1006:AI1006),$AC$1006:$AS$1006,0)))),"Fix")))</f>
        <v>0</v>
      </c>
      <c r="I131" s="5">
        <f>IF(OR(INDEX($W$2:$W$1001,MATCH(ROWS($V$2:V131),$V$2:$V$1001,0),1)&gt;=100000,INDEX($AC$1005:$AS$1005,1,MATCH(COLUMNS($AC$1006:AJ1006),$AC$1006:$AS$1006,0))&gt;=100000), " ",IF(INDEX($AC$2:$AS$1001,MATCH(ROWS($V$2:V131),$V$2:$V$1001,0),MATCH(COLUMNS($AC$1006:AJ1006),$AC$1006:$AS$1006,0)), HYPERLINK("#",""), HYPERLINK(CONCATENATE("#Metadata!", ADDRESS(INDEX($X$2:$X$1001,MATCH(ROWS($V$2:V131),$V$2:$V$1001,0),0), INDEX($AC$1004:$AS$1004,1,MATCH(COLUMNS($AC$1006:AJ1006),$AC$1006:$AS$1006,0)))),"Fix")))</f>
        <v>0</v>
      </c>
      <c r="J131" s="5">
        <f>IF(OR(INDEX($W$2:$W$1001,MATCH(ROWS($V$2:V131),$V$2:$V$1001,0),1)&gt;=100000,INDEX($AC$1005:$AS$1005,1,MATCH(COLUMNS($AC$1006:AK1006),$AC$1006:$AS$1006,0))&gt;=100000), " ",IF(INDEX($AC$2:$AS$1001,MATCH(ROWS($V$2:V131),$V$2:$V$1001,0),MATCH(COLUMNS($AC$1006:AK1006),$AC$1006:$AS$1006,0)), HYPERLINK("#",""), HYPERLINK(CONCATENATE("#Metadata!", ADDRESS(INDEX($X$2:$X$1001,MATCH(ROWS($V$2:V131),$V$2:$V$1001,0),0), INDEX($AC$1004:$AS$1004,1,MATCH(COLUMNS($AC$1006:AK1006),$AC$1006:$AS$1006,0)))),"Fix")))</f>
        <v>0</v>
      </c>
      <c r="K131" s="5">
        <f>IF(OR(INDEX($W$2:$W$1001,MATCH(ROWS($V$2:V131),$V$2:$V$1001,0),1)&gt;=100000,INDEX($AC$1005:$AS$1005,1,MATCH(COLUMNS($AC$1006:AL1006),$AC$1006:$AS$1006,0))&gt;=100000), " ",IF(INDEX($AC$2:$AS$1001,MATCH(ROWS($V$2:V131),$V$2:$V$1001,0),MATCH(COLUMNS($AC$1006:AL1006),$AC$1006:$AS$1006,0)), HYPERLINK("#",""), HYPERLINK(CONCATENATE("#Metadata!", ADDRESS(INDEX($X$2:$X$1001,MATCH(ROWS($V$2:V131),$V$2:$V$1001,0),0), INDEX($AC$1004:$AS$1004,1,MATCH(COLUMNS($AC$1006:AL1006),$AC$1006:$AS$1006,0)))),"Fix")))</f>
        <v>0</v>
      </c>
      <c r="L131" s="5">
        <f>IF(OR(INDEX($W$2:$W$1001,MATCH(ROWS($V$2:V131),$V$2:$V$1001,0),1)&gt;=100000,INDEX($AC$1005:$AS$1005,1,MATCH(COLUMNS($AC$1006:AM1006),$AC$1006:$AS$1006,0))&gt;=100000), " ",IF(INDEX($AC$2:$AS$1001,MATCH(ROWS($V$2:V131),$V$2:$V$1001,0),MATCH(COLUMNS($AC$1006:AM1006),$AC$1006:$AS$1006,0)), HYPERLINK("#",""), HYPERLINK(CONCATENATE("#Metadata!", ADDRESS(INDEX($X$2:$X$1001,MATCH(ROWS($V$2:V131),$V$2:$V$1001,0),0), INDEX($AC$1004:$AS$1004,1,MATCH(COLUMNS($AC$1006:AM1006),$AC$1006:$AS$1006,0)))),"Fix")))</f>
        <v>0</v>
      </c>
      <c r="M131" s="5">
        <f>IF(OR(INDEX($W$2:$W$1001,MATCH(ROWS($V$2:V131),$V$2:$V$1001,0),1)&gt;=100000,INDEX($AC$1005:$AS$1005,1,MATCH(COLUMNS($AC$1006:AN1006),$AC$1006:$AS$1006,0))&gt;=100000), " ",IF(INDEX($AC$2:$AS$1001,MATCH(ROWS($V$2:V131),$V$2:$V$1001,0),MATCH(COLUMNS($AC$1006:AN1006),$AC$1006:$AS$1006,0)), HYPERLINK("#",""), HYPERLINK(CONCATENATE("#Metadata!", ADDRESS(INDEX($X$2:$X$1001,MATCH(ROWS($V$2:V131),$V$2:$V$1001,0),0), INDEX($AC$1004:$AS$1004,1,MATCH(COLUMNS($AC$1006:AN1006),$AC$1006:$AS$1006,0)))),"Fix")))</f>
        <v>0</v>
      </c>
      <c r="N131" s="5">
        <f>IF(OR(INDEX($W$2:$W$1001,MATCH(ROWS($V$2:V131),$V$2:$V$1001,0),1)&gt;=100000,INDEX($AC$1005:$AS$1005,1,MATCH(COLUMNS($AC$1006:AO1006),$AC$1006:$AS$1006,0))&gt;=100000), " ",IF(INDEX($AC$2:$AS$1001,MATCH(ROWS($V$2:V131),$V$2:$V$1001,0),MATCH(COLUMNS($AC$1006:AO1006),$AC$1006:$AS$1006,0)), HYPERLINK("#",""), HYPERLINK(CONCATENATE("#Metadata!", ADDRESS(INDEX($X$2:$X$1001,MATCH(ROWS($V$2:V131),$V$2:$V$1001,0),0), INDEX($AC$1004:$AS$1004,1,MATCH(COLUMNS($AC$1006:AO1006),$AC$1006:$AS$1006,0)))),"Fix")))</f>
        <v>0</v>
      </c>
      <c r="O131" s="5">
        <f>IF(OR(INDEX($W$2:$W$1001,MATCH(ROWS($V$2:V131),$V$2:$V$1001,0),1)&gt;=100000,INDEX($AC$1005:$AS$1005,1,MATCH(COLUMNS($AC$1006:AP1006),$AC$1006:$AS$1006,0))&gt;=100000), " ",IF(INDEX($AC$2:$AS$1001,MATCH(ROWS($V$2:V131),$V$2:$V$1001,0),MATCH(COLUMNS($AC$1006:AP1006),$AC$1006:$AS$1006,0)), HYPERLINK("#",""), HYPERLINK(CONCATENATE("#Metadata!", ADDRESS(INDEX($X$2:$X$1001,MATCH(ROWS($V$2:V131),$V$2:$V$1001,0),0), INDEX($AC$1004:$AS$1004,1,MATCH(COLUMNS($AC$1006:AP1006),$AC$1006:$AS$1006,0)))),"Fix")))</f>
        <v>0</v>
      </c>
      <c r="P131" s="5">
        <f>IF(OR(INDEX($W$2:$W$1001,MATCH(ROWS($V$2:V131),$V$2:$V$1001,0),1)&gt;=100000,INDEX($AC$1005:$AS$1005,1,MATCH(COLUMNS($AC$1006:AQ1006),$AC$1006:$AS$1006,0))&gt;=100000), " ",IF(INDEX($AC$2:$AS$1001,MATCH(ROWS($V$2:V131),$V$2:$V$1001,0),MATCH(COLUMNS($AC$1006:AQ1006),$AC$1006:$AS$1006,0)), HYPERLINK("#",""), HYPERLINK(CONCATENATE("#Metadata!", ADDRESS(INDEX($X$2:$X$1001,MATCH(ROWS($V$2:V131),$V$2:$V$1001,0),0), INDEX($AC$1004:$AS$1004,1,MATCH(COLUMNS($AC$1006:AQ1006),$AC$1006:$AS$1006,0)))),"Fix")))</f>
        <v>0</v>
      </c>
      <c r="Q131" s="5">
        <f>IF(OR(INDEX($W$2:$W$1001,MATCH(ROWS($V$2:V131),$V$2:$V$1001,0),1)&gt;=100000,INDEX($AC$1005:$AS$1005,1,MATCH(COLUMNS($AC$1006:AR1006),$AC$1006:$AS$1006,0))&gt;=100000), " ",IF(INDEX($AC$2:$AS$1001,MATCH(ROWS($V$2:V131),$V$2:$V$1001,0),MATCH(COLUMNS($AC$1006:AR1006),$AC$1006:$AS$1006,0)), HYPERLINK("#",""), HYPERLINK(CONCATENATE("#Metadata!", ADDRESS(INDEX($X$2:$X$1001,MATCH(ROWS($V$2:V131),$V$2:$V$1001,0),0), INDEX($AC$1004:$AS$1004,1,MATCH(COLUMNS($AC$1006:AR1006),$AC$1006:$AS$1006,0)))),"Fix")))</f>
        <v>0</v>
      </c>
      <c r="R131" s="5">
        <f>IF(OR(INDEX($W$2:$W$1001,MATCH(ROWS($V$2:V131),$V$2:$V$1001,0),1)&gt;=100000,INDEX($AC$1005:$AS$1005,1,MATCH(COLUMNS($AC$1006:AS1006),$AC$1006:$AS$1006,0))&gt;=100000), " ",IF(INDEX($AC$2:$AS$1001,MATCH(ROWS($V$2:V131),$V$2:$V$1001,0),MATCH(COLUMNS($AC$1006:AS1006),$AC$1006:$AS$1006,0)), HYPERLINK("#",""), HYPERLINK(CONCATENATE("#Metadata!", ADDRESS(INDEX($X$2:$X$1001,MATCH(ROWS($V$2:V131),$V$2:$V$1001,0),0), INDEX($AC$1004:$AS$1004,1,MATCH(COLUMNS($AC$1006:AS1006),$AC$1006:$AS$1006,0)))),"Fix")))</f>
        <v>0</v>
      </c>
      <c r="V131">
        <v>0</v>
      </c>
      <c r="W131">
        <v>0</v>
      </c>
      <c r="X131">
        <v>0</v>
      </c>
      <c r="Y131">
        <f>IF(Z131,TRUE,AND(AC131:AS131))</f>
        <v>0</v>
      </c>
      <c r="Z131">
        <f>COUNTBLANK(Metadata!B131:R131)=COLUMNS(Metadata!B131:R131)</f>
        <v>0</v>
      </c>
      <c r="AA131">
        <v>0</v>
      </c>
      <c r="AC131">
        <f>AND(IF(Metadata!B131="",FALSE,TRUE),COUNTIF(Metadata!B:B, Metadata!B131) = 1,NOT(ISERROR(SUMPRODUCT(SEARCH(MID(Metadata!B131,ROW(INDIRECT("1:"&amp;LEN(Metadata!B131))), 1),"0123456789abcdefghijklmnopqrstuvwxyzABCDEFGHIJKLMNOPQRSTUVWXYZ.")))))</f>
        <v>0</v>
      </c>
      <c r="AD131">
        <f>AND(IF(Metadata!C131="",FALSE,TRUE),exact(Metadata!C131,"Host-associated"))</f>
        <v>0</v>
      </c>
      <c r="AE131">
        <f>AND(IF(Metadata!D131="",FALSE,TRUE),OR(exact(Metadata!D131,"Animal"),exact(Metadata!D131,"Fungus"),exact(Metadata!D131,"Plant")))</f>
        <v>0</v>
      </c>
      <c r="AF131">
        <f>AND(IF(Metadata!E131="",FALSE,TRUE),OR(exact(Metadata!E131,"Plant secretion"),exact(Metadata!E131,"Plant rhizosphere"),exact(Metadata!E131,"Plant surface"),exact(Metadata!E131,"Plant corpus"),exact(Metadata!E131,"Fungus surface"),exact(Metadata!E131,"Fungus corpus"),exact(Metadata!E131,"Animal surface"),exact(Metadata!E131,"Animal proximal gut"),exact(Metadata!E131,"Animal corpus"),exact(Metadata!E131,"Animal distal gut"),exact(Metadata!E131,"Animal secretion")))</f>
        <v>0</v>
      </c>
      <c r="AG131">
        <f>OR(AND(IF(Metadata!F131="",FALSE,TRUE),OR(exact(Metadata!F131,"not collected"),exact(Metadata!F131,"not provided"),exact(Metadata!F131,"restricted access"))),AND(IF(Metadata!F131="",FALSE,TRUE),OR(exact(Metadata!F131,"organism-associated habitat"),exact(Metadata!F131,"plant-associated habitat"),exact(Metadata!F131,"animal-associated habitat"),exact(Metadata!F131,"insecta-associated habitat"),exact(Metadata!F131,"mammalia-associated habitat"),exact(Metadata!F131,"human-associated habitat"),exact(Metadata!F131,"livestock-associated habitat"))))</f>
        <v>0</v>
      </c>
      <c r="AH131">
        <f>AND(IF(Metadata!G131="",FALSE,TRUE),exact(Metadata!G131,"host-associated"))</f>
        <v>0</v>
      </c>
      <c r="AI131">
        <f>OR(AND(IF(Metadata!H131="",FALSE,TRUE),OR(exact(Metadata!H131,"not collected"),exact(Metadata!H131,"not provided"))),AND(IF(Metadata!H131="",FALSE,ISNUMBER(VALUE(Metadata!H131))),Metadata!H131&gt;0))</f>
        <v>0</v>
      </c>
      <c r="AJ131">
        <f>AND(IF(Metadata!I131="",FALSE,TRUE),exact(Metadata!I131,"years"))</f>
        <v>0</v>
      </c>
      <c r="AK131">
        <f>IF(Metadata!J131="",FALSE,TRUE)</f>
        <v>0</v>
      </c>
      <c r="AL131">
        <f>OR(AND(IF(Metadata!K131="",FALSE,TRUE),OR(exact(Metadata!K131,"not collected"),exact(Metadata!K131,"not provided"))),AND(IF(Metadata!K131="",FALSE,ISNUMBER(VALUE(Metadata!K131))),Metadata!K131&gt;0))</f>
        <v>0</v>
      </c>
      <c r="AM131">
        <f>AND(IF(Metadata!L131="",FALSE,TRUE),exact(Metadata!L131,"cm"))</f>
        <v>0</v>
      </c>
      <c r="AN131">
        <f>IF(Metadata!M131="",FALSE,TRUE)</f>
        <v>0</v>
      </c>
      <c r="AO131">
        <f>OR(AND(IF(Metadata!N131="",FALSE,TRUE),OR(exact(Metadata!N131,"not applicable"),exact(Metadata!N131,"not collected"),exact(Metadata!N131,"not provided"))),AND(IF(Metadata!N131="",FALSE,IF(ISERROR(INT(Metadata!N131)),FALSE,INT(Metadata!N131)=Metadata!N131)),Metadata!N131&gt;0))</f>
        <v>0</v>
      </c>
      <c r="AP131">
        <f>OR(AND(IF(Metadata!O131="",FALSE,TRUE),OR(exact(Metadata!O131,"not collected"),exact(Metadata!O131,"not provided"))),AND(IF(Metadata!O131="",FALSE,ISNUMBER(VALUE(Metadata!O131))),Metadata!O131&gt;0))</f>
        <v>0</v>
      </c>
      <c r="AQ131">
        <f>AND(IF(Metadata!P131="",FALSE,TRUE),exact(Metadata!P131,"kg"))</f>
        <v>0</v>
      </c>
      <c r="AR131">
        <f>OR(AND(IF(Metadata!Q131="",FALSE,TRUE),OR(exact(Metadata!Q131,"not applicable"),exact(Metadata!Q131,"not collected"),exact(Metadata!Q131,"not provided"),exact(Metadata!Q131,"restricted access"))),IF(Metadata!Q131="",FALSE,IF(ISERROR(INT(Metadata!Q131)),FALSE,INT(Metadata!Q131)=Metadata!Q131)))</f>
        <v>0</v>
      </c>
      <c r="AS131">
        <f>AND(IF(Metadata!R131="",FALSE,TRUE),exact(Metadata!R131,"Not applicable"))</f>
        <v>0</v>
      </c>
    </row>
    <row r="132" spans="1:45">
      <c r="A132" s="4">
        <f>IF(B132=" "," ",HYPERLINK(CONCATENATE("#metadata!",ADDRESS(INDEX($X$2:$X$1001,MATCH(ROWS($V$2:V132),$V$2:$V$1001,0),0),2)),INDEX($AA$2:$AA$1001,MATCH(ROWS($V$2:V132),$V$2:$V$1001,0),0)))</f>
        <v>0</v>
      </c>
      <c r="B132" s="5">
        <f>IF(OR(INDEX($W$2:$W$1001,MATCH(ROWS($V$2:V132),$V$2:$V$1001,0),1)&gt;=100000,INDEX($AC$1005:$AS$1005,1,MATCH(COLUMNS($AC$1006:AC1006),$AC$1006:$AS$1006,0))&gt;=100000), " ",IF(INDEX($AC$2:$AS$1001,MATCH(ROWS($V$2:V132),$V$2:$V$1001,0),MATCH(COLUMNS($AC$1006:AC1006),$AC$1006:$AS$1006,0)), HYPERLINK("#",""), HYPERLINK(CONCATENATE("#Metadata!", ADDRESS(INDEX($X$2:$X$1001,MATCH(ROWS($V$2:V132),$V$2:$V$1001,0),0), INDEX($AC$1004:$AS$1004,1,MATCH(COLUMNS($AC$1006:AC1006),$AC$1006:$AS$1006,0)))),"Fix")))</f>
        <v>0</v>
      </c>
      <c r="C132" s="5">
        <f>IF(OR(INDEX($W$2:$W$1001,MATCH(ROWS($V$2:V132),$V$2:$V$1001,0),1)&gt;=100000,INDEX($AC$1005:$AS$1005,1,MATCH(COLUMNS($AC$1006:AD1006),$AC$1006:$AS$1006,0))&gt;=100000), " ",IF(INDEX($AC$2:$AS$1001,MATCH(ROWS($V$2:V132),$V$2:$V$1001,0),MATCH(COLUMNS($AC$1006:AD1006),$AC$1006:$AS$1006,0)), HYPERLINK("#",""), HYPERLINK(CONCATENATE("#Metadata!", ADDRESS(INDEX($X$2:$X$1001,MATCH(ROWS($V$2:V132),$V$2:$V$1001,0),0), INDEX($AC$1004:$AS$1004,1,MATCH(COLUMNS($AC$1006:AD1006),$AC$1006:$AS$1006,0)))),"Fix")))</f>
        <v>0</v>
      </c>
      <c r="D132" s="5">
        <f>IF(OR(INDEX($W$2:$W$1001,MATCH(ROWS($V$2:V132),$V$2:$V$1001,0),1)&gt;=100000,INDEX($AC$1005:$AS$1005,1,MATCH(COLUMNS($AC$1006:AE1006),$AC$1006:$AS$1006,0))&gt;=100000), " ",IF(INDEX($AC$2:$AS$1001,MATCH(ROWS($V$2:V132),$V$2:$V$1001,0),MATCH(COLUMNS($AC$1006:AE1006),$AC$1006:$AS$1006,0)), HYPERLINK("#",""), HYPERLINK(CONCATENATE("#Metadata!", ADDRESS(INDEX($X$2:$X$1001,MATCH(ROWS($V$2:V132),$V$2:$V$1001,0),0), INDEX($AC$1004:$AS$1004,1,MATCH(COLUMNS($AC$1006:AE1006),$AC$1006:$AS$1006,0)))),"Fix")))</f>
        <v>0</v>
      </c>
      <c r="E132" s="5">
        <f>IF(OR(INDEX($W$2:$W$1001,MATCH(ROWS($V$2:V132),$V$2:$V$1001,0),1)&gt;=100000,INDEX($AC$1005:$AS$1005,1,MATCH(COLUMNS($AC$1006:AF1006),$AC$1006:$AS$1006,0))&gt;=100000), " ",IF(INDEX($AC$2:$AS$1001,MATCH(ROWS($V$2:V132),$V$2:$V$1001,0),MATCH(COLUMNS($AC$1006:AF1006),$AC$1006:$AS$1006,0)), HYPERLINK("#",""), HYPERLINK(CONCATENATE("#Metadata!", ADDRESS(INDEX($X$2:$X$1001,MATCH(ROWS($V$2:V132),$V$2:$V$1001,0),0), INDEX($AC$1004:$AS$1004,1,MATCH(COLUMNS($AC$1006:AF1006),$AC$1006:$AS$1006,0)))),"Fix")))</f>
        <v>0</v>
      </c>
      <c r="F132" s="5">
        <f>IF(OR(INDEX($W$2:$W$1001,MATCH(ROWS($V$2:V132),$V$2:$V$1001,0),1)&gt;=100000,INDEX($AC$1005:$AS$1005,1,MATCH(COLUMNS($AC$1006:AG1006),$AC$1006:$AS$1006,0))&gt;=100000), " ",IF(INDEX($AC$2:$AS$1001,MATCH(ROWS($V$2:V132),$V$2:$V$1001,0),MATCH(COLUMNS($AC$1006:AG1006),$AC$1006:$AS$1006,0)), HYPERLINK("#",""), HYPERLINK(CONCATENATE("#Metadata!", ADDRESS(INDEX($X$2:$X$1001,MATCH(ROWS($V$2:V132),$V$2:$V$1001,0),0), INDEX($AC$1004:$AS$1004,1,MATCH(COLUMNS($AC$1006:AG1006),$AC$1006:$AS$1006,0)))),"Fix")))</f>
        <v>0</v>
      </c>
      <c r="G132" s="5">
        <f>IF(OR(INDEX($W$2:$W$1001,MATCH(ROWS($V$2:V132),$V$2:$V$1001,0),1)&gt;=100000,INDEX($AC$1005:$AS$1005,1,MATCH(COLUMNS($AC$1006:AH1006),$AC$1006:$AS$1006,0))&gt;=100000), " ",IF(INDEX($AC$2:$AS$1001,MATCH(ROWS($V$2:V132),$V$2:$V$1001,0),MATCH(COLUMNS($AC$1006:AH1006),$AC$1006:$AS$1006,0)), HYPERLINK("#",""), HYPERLINK(CONCATENATE("#Metadata!", ADDRESS(INDEX($X$2:$X$1001,MATCH(ROWS($V$2:V132),$V$2:$V$1001,0),0), INDEX($AC$1004:$AS$1004,1,MATCH(COLUMNS($AC$1006:AH1006),$AC$1006:$AS$1006,0)))),"Fix")))</f>
        <v>0</v>
      </c>
      <c r="H132" s="5">
        <f>IF(OR(INDEX($W$2:$W$1001,MATCH(ROWS($V$2:V132),$V$2:$V$1001,0),1)&gt;=100000,INDEX($AC$1005:$AS$1005,1,MATCH(COLUMNS($AC$1006:AI1006),$AC$1006:$AS$1006,0))&gt;=100000), " ",IF(INDEX($AC$2:$AS$1001,MATCH(ROWS($V$2:V132),$V$2:$V$1001,0),MATCH(COLUMNS($AC$1006:AI1006),$AC$1006:$AS$1006,0)), HYPERLINK("#",""), HYPERLINK(CONCATENATE("#Metadata!", ADDRESS(INDEX($X$2:$X$1001,MATCH(ROWS($V$2:V132),$V$2:$V$1001,0),0), INDEX($AC$1004:$AS$1004,1,MATCH(COLUMNS($AC$1006:AI1006),$AC$1006:$AS$1006,0)))),"Fix")))</f>
        <v>0</v>
      </c>
      <c r="I132" s="5">
        <f>IF(OR(INDEX($W$2:$W$1001,MATCH(ROWS($V$2:V132),$V$2:$V$1001,0),1)&gt;=100000,INDEX($AC$1005:$AS$1005,1,MATCH(COLUMNS($AC$1006:AJ1006),$AC$1006:$AS$1006,0))&gt;=100000), " ",IF(INDEX($AC$2:$AS$1001,MATCH(ROWS($V$2:V132),$V$2:$V$1001,0),MATCH(COLUMNS($AC$1006:AJ1006),$AC$1006:$AS$1006,0)), HYPERLINK("#",""), HYPERLINK(CONCATENATE("#Metadata!", ADDRESS(INDEX($X$2:$X$1001,MATCH(ROWS($V$2:V132),$V$2:$V$1001,0),0), INDEX($AC$1004:$AS$1004,1,MATCH(COLUMNS($AC$1006:AJ1006),$AC$1006:$AS$1006,0)))),"Fix")))</f>
        <v>0</v>
      </c>
      <c r="J132" s="5">
        <f>IF(OR(INDEX($W$2:$W$1001,MATCH(ROWS($V$2:V132),$V$2:$V$1001,0),1)&gt;=100000,INDEX($AC$1005:$AS$1005,1,MATCH(COLUMNS($AC$1006:AK1006),$AC$1006:$AS$1006,0))&gt;=100000), " ",IF(INDEX($AC$2:$AS$1001,MATCH(ROWS($V$2:V132),$V$2:$V$1001,0),MATCH(COLUMNS($AC$1006:AK1006),$AC$1006:$AS$1006,0)), HYPERLINK("#",""), HYPERLINK(CONCATENATE("#Metadata!", ADDRESS(INDEX($X$2:$X$1001,MATCH(ROWS($V$2:V132),$V$2:$V$1001,0),0), INDEX($AC$1004:$AS$1004,1,MATCH(COLUMNS($AC$1006:AK1006),$AC$1006:$AS$1006,0)))),"Fix")))</f>
        <v>0</v>
      </c>
      <c r="K132" s="5">
        <f>IF(OR(INDEX($W$2:$W$1001,MATCH(ROWS($V$2:V132),$V$2:$V$1001,0),1)&gt;=100000,INDEX($AC$1005:$AS$1005,1,MATCH(COLUMNS($AC$1006:AL1006),$AC$1006:$AS$1006,0))&gt;=100000), " ",IF(INDEX($AC$2:$AS$1001,MATCH(ROWS($V$2:V132),$V$2:$V$1001,0),MATCH(COLUMNS($AC$1006:AL1006),$AC$1006:$AS$1006,0)), HYPERLINK("#",""), HYPERLINK(CONCATENATE("#Metadata!", ADDRESS(INDEX($X$2:$X$1001,MATCH(ROWS($V$2:V132),$V$2:$V$1001,0),0), INDEX($AC$1004:$AS$1004,1,MATCH(COLUMNS($AC$1006:AL1006),$AC$1006:$AS$1006,0)))),"Fix")))</f>
        <v>0</v>
      </c>
      <c r="L132" s="5">
        <f>IF(OR(INDEX($W$2:$W$1001,MATCH(ROWS($V$2:V132),$V$2:$V$1001,0),1)&gt;=100000,INDEX($AC$1005:$AS$1005,1,MATCH(COLUMNS($AC$1006:AM1006),$AC$1006:$AS$1006,0))&gt;=100000), " ",IF(INDEX($AC$2:$AS$1001,MATCH(ROWS($V$2:V132),$V$2:$V$1001,0),MATCH(COLUMNS($AC$1006:AM1006),$AC$1006:$AS$1006,0)), HYPERLINK("#",""), HYPERLINK(CONCATENATE("#Metadata!", ADDRESS(INDEX($X$2:$X$1001,MATCH(ROWS($V$2:V132),$V$2:$V$1001,0),0), INDEX($AC$1004:$AS$1004,1,MATCH(COLUMNS($AC$1006:AM1006),$AC$1006:$AS$1006,0)))),"Fix")))</f>
        <v>0</v>
      </c>
      <c r="M132" s="5">
        <f>IF(OR(INDEX($W$2:$W$1001,MATCH(ROWS($V$2:V132),$V$2:$V$1001,0),1)&gt;=100000,INDEX($AC$1005:$AS$1005,1,MATCH(COLUMNS($AC$1006:AN1006),$AC$1006:$AS$1006,0))&gt;=100000), " ",IF(INDEX($AC$2:$AS$1001,MATCH(ROWS($V$2:V132),$V$2:$V$1001,0),MATCH(COLUMNS($AC$1006:AN1006),$AC$1006:$AS$1006,0)), HYPERLINK("#",""), HYPERLINK(CONCATENATE("#Metadata!", ADDRESS(INDEX($X$2:$X$1001,MATCH(ROWS($V$2:V132),$V$2:$V$1001,0),0), INDEX($AC$1004:$AS$1004,1,MATCH(COLUMNS($AC$1006:AN1006),$AC$1006:$AS$1006,0)))),"Fix")))</f>
        <v>0</v>
      </c>
      <c r="N132" s="5">
        <f>IF(OR(INDEX($W$2:$W$1001,MATCH(ROWS($V$2:V132),$V$2:$V$1001,0),1)&gt;=100000,INDEX($AC$1005:$AS$1005,1,MATCH(COLUMNS($AC$1006:AO1006),$AC$1006:$AS$1006,0))&gt;=100000), " ",IF(INDEX($AC$2:$AS$1001,MATCH(ROWS($V$2:V132),$V$2:$V$1001,0),MATCH(COLUMNS($AC$1006:AO1006),$AC$1006:$AS$1006,0)), HYPERLINK("#",""), HYPERLINK(CONCATENATE("#Metadata!", ADDRESS(INDEX($X$2:$X$1001,MATCH(ROWS($V$2:V132),$V$2:$V$1001,0),0), INDEX($AC$1004:$AS$1004,1,MATCH(COLUMNS($AC$1006:AO1006),$AC$1006:$AS$1006,0)))),"Fix")))</f>
        <v>0</v>
      </c>
      <c r="O132" s="5">
        <f>IF(OR(INDEX($W$2:$W$1001,MATCH(ROWS($V$2:V132),$V$2:$V$1001,0),1)&gt;=100000,INDEX($AC$1005:$AS$1005,1,MATCH(COLUMNS($AC$1006:AP1006),$AC$1006:$AS$1006,0))&gt;=100000), " ",IF(INDEX($AC$2:$AS$1001,MATCH(ROWS($V$2:V132),$V$2:$V$1001,0),MATCH(COLUMNS($AC$1006:AP1006),$AC$1006:$AS$1006,0)), HYPERLINK("#",""), HYPERLINK(CONCATENATE("#Metadata!", ADDRESS(INDEX($X$2:$X$1001,MATCH(ROWS($V$2:V132),$V$2:$V$1001,0),0), INDEX($AC$1004:$AS$1004,1,MATCH(COLUMNS($AC$1006:AP1006),$AC$1006:$AS$1006,0)))),"Fix")))</f>
        <v>0</v>
      </c>
      <c r="P132" s="5">
        <f>IF(OR(INDEX($W$2:$W$1001,MATCH(ROWS($V$2:V132),$V$2:$V$1001,0),1)&gt;=100000,INDEX($AC$1005:$AS$1005,1,MATCH(COLUMNS($AC$1006:AQ1006),$AC$1006:$AS$1006,0))&gt;=100000), " ",IF(INDEX($AC$2:$AS$1001,MATCH(ROWS($V$2:V132),$V$2:$V$1001,0),MATCH(COLUMNS($AC$1006:AQ1006),$AC$1006:$AS$1006,0)), HYPERLINK("#",""), HYPERLINK(CONCATENATE("#Metadata!", ADDRESS(INDEX($X$2:$X$1001,MATCH(ROWS($V$2:V132),$V$2:$V$1001,0),0), INDEX($AC$1004:$AS$1004,1,MATCH(COLUMNS($AC$1006:AQ1006),$AC$1006:$AS$1006,0)))),"Fix")))</f>
        <v>0</v>
      </c>
      <c r="Q132" s="5">
        <f>IF(OR(INDEX($W$2:$W$1001,MATCH(ROWS($V$2:V132),$V$2:$V$1001,0),1)&gt;=100000,INDEX($AC$1005:$AS$1005,1,MATCH(COLUMNS($AC$1006:AR1006),$AC$1006:$AS$1006,0))&gt;=100000), " ",IF(INDEX($AC$2:$AS$1001,MATCH(ROWS($V$2:V132),$V$2:$V$1001,0),MATCH(COLUMNS($AC$1006:AR1006),$AC$1006:$AS$1006,0)), HYPERLINK("#",""), HYPERLINK(CONCATENATE("#Metadata!", ADDRESS(INDEX($X$2:$X$1001,MATCH(ROWS($V$2:V132),$V$2:$V$1001,0),0), INDEX($AC$1004:$AS$1004,1,MATCH(COLUMNS($AC$1006:AR1006),$AC$1006:$AS$1006,0)))),"Fix")))</f>
        <v>0</v>
      </c>
      <c r="R132" s="5">
        <f>IF(OR(INDEX($W$2:$W$1001,MATCH(ROWS($V$2:V132),$V$2:$V$1001,0),1)&gt;=100000,INDEX($AC$1005:$AS$1005,1,MATCH(COLUMNS($AC$1006:AS1006),$AC$1006:$AS$1006,0))&gt;=100000), " ",IF(INDEX($AC$2:$AS$1001,MATCH(ROWS($V$2:V132),$V$2:$V$1001,0),MATCH(COLUMNS($AC$1006:AS1006),$AC$1006:$AS$1006,0)), HYPERLINK("#",""), HYPERLINK(CONCATENATE("#Metadata!", ADDRESS(INDEX($X$2:$X$1001,MATCH(ROWS($V$2:V132),$V$2:$V$1001,0),0), INDEX($AC$1004:$AS$1004,1,MATCH(COLUMNS($AC$1006:AS1006),$AC$1006:$AS$1006,0)))),"Fix")))</f>
        <v>0</v>
      </c>
      <c r="V132">
        <v>0</v>
      </c>
      <c r="W132">
        <v>0</v>
      </c>
      <c r="X132">
        <v>0</v>
      </c>
      <c r="Y132">
        <f>IF(Z132,TRUE,AND(AC132:AS132))</f>
        <v>0</v>
      </c>
      <c r="Z132">
        <f>COUNTBLANK(Metadata!B132:R132)=COLUMNS(Metadata!B132:R132)</f>
        <v>0</v>
      </c>
      <c r="AA132">
        <v>0</v>
      </c>
      <c r="AC132">
        <f>AND(IF(Metadata!B132="",FALSE,TRUE),COUNTIF(Metadata!B:B, Metadata!B132) = 1,NOT(ISERROR(SUMPRODUCT(SEARCH(MID(Metadata!B132,ROW(INDIRECT("1:"&amp;LEN(Metadata!B132))), 1),"0123456789abcdefghijklmnopqrstuvwxyzABCDEFGHIJKLMNOPQRSTUVWXYZ.")))))</f>
        <v>0</v>
      </c>
      <c r="AD132">
        <f>AND(IF(Metadata!C132="",FALSE,TRUE),exact(Metadata!C132,"Host-associated"))</f>
        <v>0</v>
      </c>
      <c r="AE132">
        <f>AND(IF(Metadata!D132="",FALSE,TRUE),OR(exact(Metadata!D132,"Animal"),exact(Metadata!D132,"Fungus"),exact(Metadata!D132,"Plant")))</f>
        <v>0</v>
      </c>
      <c r="AF132">
        <f>AND(IF(Metadata!E132="",FALSE,TRUE),OR(exact(Metadata!E132,"Plant secretion"),exact(Metadata!E132,"Plant rhizosphere"),exact(Metadata!E132,"Plant surface"),exact(Metadata!E132,"Plant corpus"),exact(Metadata!E132,"Fungus surface"),exact(Metadata!E132,"Fungus corpus"),exact(Metadata!E132,"Animal surface"),exact(Metadata!E132,"Animal proximal gut"),exact(Metadata!E132,"Animal corpus"),exact(Metadata!E132,"Animal distal gut"),exact(Metadata!E132,"Animal secretion")))</f>
        <v>0</v>
      </c>
      <c r="AG132">
        <f>OR(AND(IF(Metadata!F132="",FALSE,TRUE),OR(exact(Metadata!F132,"not collected"),exact(Metadata!F132,"not provided"),exact(Metadata!F132,"restricted access"))),AND(IF(Metadata!F132="",FALSE,TRUE),OR(exact(Metadata!F132,"organism-associated habitat"),exact(Metadata!F132,"plant-associated habitat"),exact(Metadata!F132,"animal-associated habitat"),exact(Metadata!F132,"insecta-associated habitat"),exact(Metadata!F132,"mammalia-associated habitat"),exact(Metadata!F132,"human-associated habitat"),exact(Metadata!F132,"livestock-associated habitat"))))</f>
        <v>0</v>
      </c>
      <c r="AH132">
        <f>AND(IF(Metadata!G132="",FALSE,TRUE),exact(Metadata!G132,"host-associated"))</f>
        <v>0</v>
      </c>
      <c r="AI132">
        <f>OR(AND(IF(Metadata!H132="",FALSE,TRUE),OR(exact(Metadata!H132,"not collected"),exact(Metadata!H132,"not provided"))),AND(IF(Metadata!H132="",FALSE,ISNUMBER(VALUE(Metadata!H132))),Metadata!H132&gt;0))</f>
        <v>0</v>
      </c>
      <c r="AJ132">
        <f>AND(IF(Metadata!I132="",FALSE,TRUE),exact(Metadata!I132,"years"))</f>
        <v>0</v>
      </c>
      <c r="AK132">
        <f>IF(Metadata!J132="",FALSE,TRUE)</f>
        <v>0</v>
      </c>
      <c r="AL132">
        <f>OR(AND(IF(Metadata!K132="",FALSE,TRUE),OR(exact(Metadata!K132,"not collected"),exact(Metadata!K132,"not provided"))),AND(IF(Metadata!K132="",FALSE,ISNUMBER(VALUE(Metadata!K132))),Metadata!K132&gt;0))</f>
        <v>0</v>
      </c>
      <c r="AM132">
        <f>AND(IF(Metadata!L132="",FALSE,TRUE),exact(Metadata!L132,"cm"))</f>
        <v>0</v>
      </c>
      <c r="AN132">
        <f>IF(Metadata!M132="",FALSE,TRUE)</f>
        <v>0</v>
      </c>
      <c r="AO132">
        <f>OR(AND(IF(Metadata!N132="",FALSE,TRUE),OR(exact(Metadata!N132,"not applicable"),exact(Metadata!N132,"not collected"),exact(Metadata!N132,"not provided"))),AND(IF(Metadata!N132="",FALSE,IF(ISERROR(INT(Metadata!N132)),FALSE,INT(Metadata!N132)=Metadata!N132)),Metadata!N132&gt;0))</f>
        <v>0</v>
      </c>
      <c r="AP132">
        <f>OR(AND(IF(Metadata!O132="",FALSE,TRUE),OR(exact(Metadata!O132,"not collected"),exact(Metadata!O132,"not provided"))),AND(IF(Metadata!O132="",FALSE,ISNUMBER(VALUE(Metadata!O132))),Metadata!O132&gt;0))</f>
        <v>0</v>
      </c>
      <c r="AQ132">
        <f>AND(IF(Metadata!P132="",FALSE,TRUE),exact(Metadata!P132,"kg"))</f>
        <v>0</v>
      </c>
      <c r="AR132">
        <f>OR(AND(IF(Metadata!Q132="",FALSE,TRUE),OR(exact(Metadata!Q132,"not applicable"),exact(Metadata!Q132,"not collected"),exact(Metadata!Q132,"not provided"),exact(Metadata!Q132,"restricted access"))),IF(Metadata!Q132="",FALSE,IF(ISERROR(INT(Metadata!Q132)),FALSE,INT(Metadata!Q132)=Metadata!Q132)))</f>
        <v>0</v>
      </c>
      <c r="AS132">
        <f>AND(IF(Metadata!R132="",FALSE,TRUE),exact(Metadata!R132,"Not applicable"))</f>
        <v>0</v>
      </c>
    </row>
    <row r="133" spans="1:45">
      <c r="A133" s="4">
        <f>IF(B133=" "," ",HYPERLINK(CONCATENATE("#metadata!",ADDRESS(INDEX($X$2:$X$1001,MATCH(ROWS($V$2:V133),$V$2:$V$1001,0),0),2)),INDEX($AA$2:$AA$1001,MATCH(ROWS($V$2:V133),$V$2:$V$1001,0),0)))</f>
        <v>0</v>
      </c>
      <c r="B133" s="5">
        <f>IF(OR(INDEX($W$2:$W$1001,MATCH(ROWS($V$2:V133),$V$2:$V$1001,0),1)&gt;=100000,INDEX($AC$1005:$AS$1005,1,MATCH(COLUMNS($AC$1006:AC1006),$AC$1006:$AS$1006,0))&gt;=100000), " ",IF(INDEX($AC$2:$AS$1001,MATCH(ROWS($V$2:V133),$V$2:$V$1001,0),MATCH(COLUMNS($AC$1006:AC1006),$AC$1006:$AS$1006,0)), HYPERLINK("#",""), HYPERLINK(CONCATENATE("#Metadata!", ADDRESS(INDEX($X$2:$X$1001,MATCH(ROWS($V$2:V133),$V$2:$V$1001,0),0), INDEX($AC$1004:$AS$1004,1,MATCH(COLUMNS($AC$1006:AC1006),$AC$1006:$AS$1006,0)))),"Fix")))</f>
        <v>0</v>
      </c>
      <c r="C133" s="5">
        <f>IF(OR(INDEX($W$2:$W$1001,MATCH(ROWS($V$2:V133),$V$2:$V$1001,0),1)&gt;=100000,INDEX($AC$1005:$AS$1005,1,MATCH(COLUMNS($AC$1006:AD1006),$AC$1006:$AS$1006,0))&gt;=100000), " ",IF(INDEX($AC$2:$AS$1001,MATCH(ROWS($V$2:V133),$V$2:$V$1001,0),MATCH(COLUMNS($AC$1006:AD1006),$AC$1006:$AS$1006,0)), HYPERLINK("#",""), HYPERLINK(CONCATENATE("#Metadata!", ADDRESS(INDEX($X$2:$X$1001,MATCH(ROWS($V$2:V133),$V$2:$V$1001,0),0), INDEX($AC$1004:$AS$1004,1,MATCH(COLUMNS($AC$1006:AD1006),$AC$1006:$AS$1006,0)))),"Fix")))</f>
        <v>0</v>
      </c>
      <c r="D133" s="5">
        <f>IF(OR(INDEX($W$2:$W$1001,MATCH(ROWS($V$2:V133),$V$2:$V$1001,0),1)&gt;=100000,INDEX($AC$1005:$AS$1005,1,MATCH(COLUMNS($AC$1006:AE1006),$AC$1006:$AS$1006,0))&gt;=100000), " ",IF(INDEX($AC$2:$AS$1001,MATCH(ROWS($V$2:V133),$V$2:$V$1001,0),MATCH(COLUMNS($AC$1006:AE1006),$AC$1006:$AS$1006,0)), HYPERLINK("#",""), HYPERLINK(CONCATENATE("#Metadata!", ADDRESS(INDEX($X$2:$X$1001,MATCH(ROWS($V$2:V133),$V$2:$V$1001,0),0), INDEX($AC$1004:$AS$1004,1,MATCH(COLUMNS($AC$1006:AE1006),$AC$1006:$AS$1006,0)))),"Fix")))</f>
        <v>0</v>
      </c>
      <c r="E133" s="5">
        <f>IF(OR(INDEX($W$2:$W$1001,MATCH(ROWS($V$2:V133),$V$2:$V$1001,0),1)&gt;=100000,INDEX($AC$1005:$AS$1005,1,MATCH(COLUMNS($AC$1006:AF1006),$AC$1006:$AS$1006,0))&gt;=100000), " ",IF(INDEX($AC$2:$AS$1001,MATCH(ROWS($V$2:V133),$V$2:$V$1001,0),MATCH(COLUMNS($AC$1006:AF1006),$AC$1006:$AS$1006,0)), HYPERLINK("#",""), HYPERLINK(CONCATENATE("#Metadata!", ADDRESS(INDEX($X$2:$X$1001,MATCH(ROWS($V$2:V133),$V$2:$V$1001,0),0), INDEX($AC$1004:$AS$1004,1,MATCH(COLUMNS($AC$1006:AF1006),$AC$1006:$AS$1006,0)))),"Fix")))</f>
        <v>0</v>
      </c>
      <c r="F133" s="5">
        <f>IF(OR(INDEX($W$2:$W$1001,MATCH(ROWS($V$2:V133),$V$2:$V$1001,0),1)&gt;=100000,INDEX($AC$1005:$AS$1005,1,MATCH(COLUMNS($AC$1006:AG1006),$AC$1006:$AS$1006,0))&gt;=100000), " ",IF(INDEX($AC$2:$AS$1001,MATCH(ROWS($V$2:V133),$V$2:$V$1001,0),MATCH(COLUMNS($AC$1006:AG1006),$AC$1006:$AS$1006,0)), HYPERLINK("#",""), HYPERLINK(CONCATENATE("#Metadata!", ADDRESS(INDEX($X$2:$X$1001,MATCH(ROWS($V$2:V133),$V$2:$V$1001,0),0), INDEX($AC$1004:$AS$1004,1,MATCH(COLUMNS($AC$1006:AG1006),$AC$1006:$AS$1006,0)))),"Fix")))</f>
        <v>0</v>
      </c>
      <c r="G133" s="5">
        <f>IF(OR(INDEX($W$2:$W$1001,MATCH(ROWS($V$2:V133),$V$2:$V$1001,0),1)&gt;=100000,INDEX($AC$1005:$AS$1005,1,MATCH(COLUMNS($AC$1006:AH1006),$AC$1006:$AS$1006,0))&gt;=100000), " ",IF(INDEX($AC$2:$AS$1001,MATCH(ROWS($V$2:V133),$V$2:$V$1001,0),MATCH(COLUMNS($AC$1006:AH1006),$AC$1006:$AS$1006,0)), HYPERLINK("#",""), HYPERLINK(CONCATENATE("#Metadata!", ADDRESS(INDEX($X$2:$X$1001,MATCH(ROWS($V$2:V133),$V$2:$V$1001,0),0), INDEX($AC$1004:$AS$1004,1,MATCH(COLUMNS($AC$1006:AH1006),$AC$1006:$AS$1006,0)))),"Fix")))</f>
        <v>0</v>
      </c>
      <c r="H133" s="5">
        <f>IF(OR(INDEX($W$2:$W$1001,MATCH(ROWS($V$2:V133),$V$2:$V$1001,0),1)&gt;=100000,INDEX($AC$1005:$AS$1005,1,MATCH(COLUMNS($AC$1006:AI1006),$AC$1006:$AS$1006,0))&gt;=100000), " ",IF(INDEX($AC$2:$AS$1001,MATCH(ROWS($V$2:V133),$V$2:$V$1001,0),MATCH(COLUMNS($AC$1006:AI1006),$AC$1006:$AS$1006,0)), HYPERLINK("#",""), HYPERLINK(CONCATENATE("#Metadata!", ADDRESS(INDEX($X$2:$X$1001,MATCH(ROWS($V$2:V133),$V$2:$V$1001,0),0), INDEX($AC$1004:$AS$1004,1,MATCH(COLUMNS($AC$1006:AI1006),$AC$1006:$AS$1006,0)))),"Fix")))</f>
        <v>0</v>
      </c>
      <c r="I133" s="5">
        <f>IF(OR(INDEX($W$2:$W$1001,MATCH(ROWS($V$2:V133),$V$2:$V$1001,0),1)&gt;=100000,INDEX($AC$1005:$AS$1005,1,MATCH(COLUMNS($AC$1006:AJ1006),$AC$1006:$AS$1006,0))&gt;=100000), " ",IF(INDEX($AC$2:$AS$1001,MATCH(ROWS($V$2:V133),$V$2:$V$1001,0),MATCH(COLUMNS($AC$1006:AJ1006),$AC$1006:$AS$1006,0)), HYPERLINK("#",""), HYPERLINK(CONCATENATE("#Metadata!", ADDRESS(INDEX($X$2:$X$1001,MATCH(ROWS($V$2:V133),$V$2:$V$1001,0),0), INDEX($AC$1004:$AS$1004,1,MATCH(COLUMNS($AC$1006:AJ1006),$AC$1006:$AS$1006,0)))),"Fix")))</f>
        <v>0</v>
      </c>
      <c r="J133" s="5">
        <f>IF(OR(INDEX($W$2:$W$1001,MATCH(ROWS($V$2:V133),$V$2:$V$1001,0),1)&gt;=100000,INDEX($AC$1005:$AS$1005,1,MATCH(COLUMNS($AC$1006:AK1006),$AC$1006:$AS$1006,0))&gt;=100000), " ",IF(INDEX($AC$2:$AS$1001,MATCH(ROWS($V$2:V133),$V$2:$V$1001,0),MATCH(COLUMNS($AC$1006:AK1006),$AC$1006:$AS$1006,0)), HYPERLINK("#",""), HYPERLINK(CONCATENATE("#Metadata!", ADDRESS(INDEX($X$2:$X$1001,MATCH(ROWS($V$2:V133),$V$2:$V$1001,0),0), INDEX($AC$1004:$AS$1004,1,MATCH(COLUMNS($AC$1006:AK1006),$AC$1006:$AS$1006,0)))),"Fix")))</f>
        <v>0</v>
      </c>
      <c r="K133" s="5">
        <f>IF(OR(INDEX($W$2:$W$1001,MATCH(ROWS($V$2:V133),$V$2:$V$1001,0),1)&gt;=100000,INDEX($AC$1005:$AS$1005,1,MATCH(COLUMNS($AC$1006:AL1006),$AC$1006:$AS$1006,0))&gt;=100000), " ",IF(INDEX($AC$2:$AS$1001,MATCH(ROWS($V$2:V133),$V$2:$V$1001,0),MATCH(COLUMNS($AC$1006:AL1006),$AC$1006:$AS$1006,0)), HYPERLINK("#",""), HYPERLINK(CONCATENATE("#Metadata!", ADDRESS(INDEX($X$2:$X$1001,MATCH(ROWS($V$2:V133),$V$2:$V$1001,0),0), INDEX($AC$1004:$AS$1004,1,MATCH(COLUMNS($AC$1006:AL1006),$AC$1006:$AS$1006,0)))),"Fix")))</f>
        <v>0</v>
      </c>
      <c r="L133" s="5">
        <f>IF(OR(INDEX($W$2:$W$1001,MATCH(ROWS($V$2:V133),$V$2:$V$1001,0),1)&gt;=100000,INDEX($AC$1005:$AS$1005,1,MATCH(COLUMNS($AC$1006:AM1006),$AC$1006:$AS$1006,0))&gt;=100000), " ",IF(INDEX($AC$2:$AS$1001,MATCH(ROWS($V$2:V133),$V$2:$V$1001,0),MATCH(COLUMNS($AC$1006:AM1006),$AC$1006:$AS$1006,0)), HYPERLINK("#",""), HYPERLINK(CONCATENATE("#Metadata!", ADDRESS(INDEX($X$2:$X$1001,MATCH(ROWS($V$2:V133),$V$2:$V$1001,0),0), INDEX($AC$1004:$AS$1004,1,MATCH(COLUMNS($AC$1006:AM1006),$AC$1006:$AS$1006,0)))),"Fix")))</f>
        <v>0</v>
      </c>
      <c r="M133" s="5">
        <f>IF(OR(INDEX($W$2:$W$1001,MATCH(ROWS($V$2:V133),$V$2:$V$1001,0),1)&gt;=100000,INDEX($AC$1005:$AS$1005,1,MATCH(COLUMNS($AC$1006:AN1006),$AC$1006:$AS$1006,0))&gt;=100000), " ",IF(INDEX($AC$2:$AS$1001,MATCH(ROWS($V$2:V133),$V$2:$V$1001,0),MATCH(COLUMNS($AC$1006:AN1006),$AC$1006:$AS$1006,0)), HYPERLINK("#",""), HYPERLINK(CONCATENATE("#Metadata!", ADDRESS(INDEX($X$2:$X$1001,MATCH(ROWS($V$2:V133),$V$2:$V$1001,0),0), INDEX($AC$1004:$AS$1004,1,MATCH(COLUMNS($AC$1006:AN1006),$AC$1006:$AS$1006,0)))),"Fix")))</f>
        <v>0</v>
      </c>
      <c r="N133" s="5">
        <f>IF(OR(INDEX($W$2:$W$1001,MATCH(ROWS($V$2:V133),$V$2:$V$1001,0),1)&gt;=100000,INDEX($AC$1005:$AS$1005,1,MATCH(COLUMNS($AC$1006:AO1006),$AC$1006:$AS$1006,0))&gt;=100000), " ",IF(INDEX($AC$2:$AS$1001,MATCH(ROWS($V$2:V133),$V$2:$V$1001,0),MATCH(COLUMNS($AC$1006:AO1006),$AC$1006:$AS$1006,0)), HYPERLINK("#",""), HYPERLINK(CONCATENATE("#Metadata!", ADDRESS(INDEX($X$2:$X$1001,MATCH(ROWS($V$2:V133),$V$2:$V$1001,0),0), INDEX($AC$1004:$AS$1004,1,MATCH(COLUMNS($AC$1006:AO1006),$AC$1006:$AS$1006,0)))),"Fix")))</f>
        <v>0</v>
      </c>
      <c r="O133" s="5">
        <f>IF(OR(INDEX($W$2:$W$1001,MATCH(ROWS($V$2:V133),$V$2:$V$1001,0),1)&gt;=100000,INDEX($AC$1005:$AS$1005,1,MATCH(COLUMNS($AC$1006:AP1006),$AC$1006:$AS$1006,0))&gt;=100000), " ",IF(INDEX($AC$2:$AS$1001,MATCH(ROWS($V$2:V133),$V$2:$V$1001,0),MATCH(COLUMNS($AC$1006:AP1006),$AC$1006:$AS$1006,0)), HYPERLINK("#",""), HYPERLINK(CONCATENATE("#Metadata!", ADDRESS(INDEX($X$2:$X$1001,MATCH(ROWS($V$2:V133),$V$2:$V$1001,0),0), INDEX($AC$1004:$AS$1004,1,MATCH(COLUMNS($AC$1006:AP1006),$AC$1006:$AS$1006,0)))),"Fix")))</f>
        <v>0</v>
      </c>
      <c r="P133" s="5">
        <f>IF(OR(INDEX($W$2:$W$1001,MATCH(ROWS($V$2:V133),$V$2:$V$1001,0),1)&gt;=100000,INDEX($AC$1005:$AS$1005,1,MATCH(COLUMNS($AC$1006:AQ1006),$AC$1006:$AS$1006,0))&gt;=100000), " ",IF(INDEX($AC$2:$AS$1001,MATCH(ROWS($V$2:V133),$V$2:$V$1001,0),MATCH(COLUMNS($AC$1006:AQ1006),$AC$1006:$AS$1006,0)), HYPERLINK("#",""), HYPERLINK(CONCATENATE("#Metadata!", ADDRESS(INDEX($X$2:$X$1001,MATCH(ROWS($V$2:V133),$V$2:$V$1001,0),0), INDEX($AC$1004:$AS$1004,1,MATCH(COLUMNS($AC$1006:AQ1006),$AC$1006:$AS$1006,0)))),"Fix")))</f>
        <v>0</v>
      </c>
      <c r="Q133" s="5">
        <f>IF(OR(INDEX($W$2:$W$1001,MATCH(ROWS($V$2:V133),$V$2:$V$1001,0),1)&gt;=100000,INDEX($AC$1005:$AS$1005,1,MATCH(COLUMNS($AC$1006:AR1006),$AC$1006:$AS$1006,0))&gt;=100000), " ",IF(INDEX($AC$2:$AS$1001,MATCH(ROWS($V$2:V133),$V$2:$V$1001,0),MATCH(COLUMNS($AC$1006:AR1006),$AC$1006:$AS$1006,0)), HYPERLINK("#",""), HYPERLINK(CONCATENATE("#Metadata!", ADDRESS(INDEX($X$2:$X$1001,MATCH(ROWS($V$2:V133),$V$2:$V$1001,0),0), INDEX($AC$1004:$AS$1004,1,MATCH(COLUMNS($AC$1006:AR1006),$AC$1006:$AS$1006,0)))),"Fix")))</f>
        <v>0</v>
      </c>
      <c r="R133" s="5">
        <f>IF(OR(INDEX($W$2:$W$1001,MATCH(ROWS($V$2:V133),$V$2:$V$1001,0),1)&gt;=100000,INDEX($AC$1005:$AS$1005,1,MATCH(COLUMNS($AC$1006:AS1006),$AC$1006:$AS$1006,0))&gt;=100000), " ",IF(INDEX($AC$2:$AS$1001,MATCH(ROWS($V$2:V133),$V$2:$V$1001,0),MATCH(COLUMNS($AC$1006:AS1006),$AC$1006:$AS$1006,0)), HYPERLINK("#",""), HYPERLINK(CONCATENATE("#Metadata!", ADDRESS(INDEX($X$2:$X$1001,MATCH(ROWS($V$2:V133),$V$2:$V$1001,0),0), INDEX($AC$1004:$AS$1004,1,MATCH(COLUMNS($AC$1006:AS1006),$AC$1006:$AS$1006,0)))),"Fix")))</f>
        <v>0</v>
      </c>
      <c r="V133">
        <v>0</v>
      </c>
      <c r="W133">
        <v>0</v>
      </c>
      <c r="X133">
        <v>0</v>
      </c>
      <c r="Y133">
        <f>IF(Z133,TRUE,AND(AC133:AS133))</f>
        <v>0</v>
      </c>
      <c r="Z133">
        <f>COUNTBLANK(Metadata!B133:R133)=COLUMNS(Metadata!B133:R133)</f>
        <v>0</v>
      </c>
      <c r="AA133">
        <v>0</v>
      </c>
      <c r="AC133">
        <f>AND(IF(Metadata!B133="",FALSE,TRUE),COUNTIF(Metadata!B:B, Metadata!B133) = 1,NOT(ISERROR(SUMPRODUCT(SEARCH(MID(Metadata!B133,ROW(INDIRECT("1:"&amp;LEN(Metadata!B133))), 1),"0123456789abcdefghijklmnopqrstuvwxyzABCDEFGHIJKLMNOPQRSTUVWXYZ.")))))</f>
        <v>0</v>
      </c>
      <c r="AD133">
        <f>AND(IF(Metadata!C133="",FALSE,TRUE),exact(Metadata!C133,"Host-associated"))</f>
        <v>0</v>
      </c>
      <c r="AE133">
        <f>AND(IF(Metadata!D133="",FALSE,TRUE),OR(exact(Metadata!D133,"Animal"),exact(Metadata!D133,"Fungus"),exact(Metadata!D133,"Plant")))</f>
        <v>0</v>
      </c>
      <c r="AF133">
        <f>AND(IF(Metadata!E133="",FALSE,TRUE),OR(exact(Metadata!E133,"Plant secretion"),exact(Metadata!E133,"Plant rhizosphere"),exact(Metadata!E133,"Plant surface"),exact(Metadata!E133,"Plant corpus"),exact(Metadata!E133,"Fungus surface"),exact(Metadata!E133,"Fungus corpus"),exact(Metadata!E133,"Animal surface"),exact(Metadata!E133,"Animal proximal gut"),exact(Metadata!E133,"Animal corpus"),exact(Metadata!E133,"Animal distal gut"),exact(Metadata!E133,"Animal secretion")))</f>
        <v>0</v>
      </c>
      <c r="AG133">
        <f>OR(AND(IF(Metadata!F133="",FALSE,TRUE),OR(exact(Metadata!F133,"not collected"),exact(Metadata!F133,"not provided"),exact(Metadata!F133,"restricted access"))),AND(IF(Metadata!F133="",FALSE,TRUE),OR(exact(Metadata!F133,"organism-associated habitat"),exact(Metadata!F133,"plant-associated habitat"),exact(Metadata!F133,"animal-associated habitat"),exact(Metadata!F133,"insecta-associated habitat"),exact(Metadata!F133,"mammalia-associated habitat"),exact(Metadata!F133,"human-associated habitat"),exact(Metadata!F133,"livestock-associated habitat"))))</f>
        <v>0</v>
      </c>
      <c r="AH133">
        <f>AND(IF(Metadata!G133="",FALSE,TRUE),exact(Metadata!G133,"host-associated"))</f>
        <v>0</v>
      </c>
      <c r="AI133">
        <f>OR(AND(IF(Metadata!H133="",FALSE,TRUE),OR(exact(Metadata!H133,"not collected"),exact(Metadata!H133,"not provided"))),AND(IF(Metadata!H133="",FALSE,ISNUMBER(VALUE(Metadata!H133))),Metadata!H133&gt;0))</f>
        <v>0</v>
      </c>
      <c r="AJ133">
        <f>AND(IF(Metadata!I133="",FALSE,TRUE),exact(Metadata!I133,"years"))</f>
        <v>0</v>
      </c>
      <c r="AK133">
        <f>IF(Metadata!J133="",FALSE,TRUE)</f>
        <v>0</v>
      </c>
      <c r="AL133">
        <f>OR(AND(IF(Metadata!K133="",FALSE,TRUE),OR(exact(Metadata!K133,"not collected"),exact(Metadata!K133,"not provided"))),AND(IF(Metadata!K133="",FALSE,ISNUMBER(VALUE(Metadata!K133))),Metadata!K133&gt;0))</f>
        <v>0</v>
      </c>
      <c r="AM133">
        <f>AND(IF(Metadata!L133="",FALSE,TRUE),exact(Metadata!L133,"cm"))</f>
        <v>0</v>
      </c>
      <c r="AN133">
        <f>IF(Metadata!M133="",FALSE,TRUE)</f>
        <v>0</v>
      </c>
      <c r="AO133">
        <f>OR(AND(IF(Metadata!N133="",FALSE,TRUE),OR(exact(Metadata!N133,"not applicable"),exact(Metadata!N133,"not collected"),exact(Metadata!N133,"not provided"))),AND(IF(Metadata!N133="",FALSE,IF(ISERROR(INT(Metadata!N133)),FALSE,INT(Metadata!N133)=Metadata!N133)),Metadata!N133&gt;0))</f>
        <v>0</v>
      </c>
      <c r="AP133">
        <f>OR(AND(IF(Metadata!O133="",FALSE,TRUE),OR(exact(Metadata!O133,"not collected"),exact(Metadata!O133,"not provided"))),AND(IF(Metadata!O133="",FALSE,ISNUMBER(VALUE(Metadata!O133))),Metadata!O133&gt;0))</f>
        <v>0</v>
      </c>
      <c r="AQ133">
        <f>AND(IF(Metadata!P133="",FALSE,TRUE),exact(Metadata!P133,"kg"))</f>
        <v>0</v>
      </c>
      <c r="AR133">
        <f>OR(AND(IF(Metadata!Q133="",FALSE,TRUE),OR(exact(Metadata!Q133,"not applicable"),exact(Metadata!Q133,"not collected"),exact(Metadata!Q133,"not provided"),exact(Metadata!Q133,"restricted access"))),IF(Metadata!Q133="",FALSE,IF(ISERROR(INT(Metadata!Q133)),FALSE,INT(Metadata!Q133)=Metadata!Q133)))</f>
        <v>0</v>
      </c>
      <c r="AS133">
        <f>AND(IF(Metadata!R133="",FALSE,TRUE),exact(Metadata!R133,"Not applicable"))</f>
        <v>0</v>
      </c>
    </row>
    <row r="134" spans="1:45">
      <c r="A134" s="4">
        <f>IF(B134=" "," ",HYPERLINK(CONCATENATE("#metadata!",ADDRESS(INDEX($X$2:$X$1001,MATCH(ROWS($V$2:V134),$V$2:$V$1001,0),0),2)),INDEX($AA$2:$AA$1001,MATCH(ROWS($V$2:V134),$V$2:$V$1001,0),0)))</f>
        <v>0</v>
      </c>
      <c r="B134" s="5">
        <f>IF(OR(INDEX($W$2:$W$1001,MATCH(ROWS($V$2:V134),$V$2:$V$1001,0),1)&gt;=100000,INDEX($AC$1005:$AS$1005,1,MATCH(COLUMNS($AC$1006:AC1006),$AC$1006:$AS$1006,0))&gt;=100000), " ",IF(INDEX($AC$2:$AS$1001,MATCH(ROWS($V$2:V134),$V$2:$V$1001,0),MATCH(COLUMNS($AC$1006:AC1006),$AC$1006:$AS$1006,0)), HYPERLINK("#",""), HYPERLINK(CONCATENATE("#Metadata!", ADDRESS(INDEX($X$2:$X$1001,MATCH(ROWS($V$2:V134),$V$2:$V$1001,0),0), INDEX($AC$1004:$AS$1004,1,MATCH(COLUMNS($AC$1006:AC1006),$AC$1006:$AS$1006,0)))),"Fix")))</f>
        <v>0</v>
      </c>
      <c r="C134" s="5">
        <f>IF(OR(INDEX($W$2:$W$1001,MATCH(ROWS($V$2:V134),$V$2:$V$1001,0),1)&gt;=100000,INDEX($AC$1005:$AS$1005,1,MATCH(COLUMNS($AC$1006:AD1006),$AC$1006:$AS$1006,0))&gt;=100000), " ",IF(INDEX($AC$2:$AS$1001,MATCH(ROWS($V$2:V134),$V$2:$V$1001,0),MATCH(COLUMNS($AC$1006:AD1006),$AC$1006:$AS$1006,0)), HYPERLINK("#",""), HYPERLINK(CONCATENATE("#Metadata!", ADDRESS(INDEX($X$2:$X$1001,MATCH(ROWS($V$2:V134),$V$2:$V$1001,0),0), INDEX($AC$1004:$AS$1004,1,MATCH(COLUMNS($AC$1006:AD1006),$AC$1006:$AS$1006,0)))),"Fix")))</f>
        <v>0</v>
      </c>
      <c r="D134" s="5">
        <f>IF(OR(INDEX($W$2:$W$1001,MATCH(ROWS($V$2:V134),$V$2:$V$1001,0),1)&gt;=100000,INDEX($AC$1005:$AS$1005,1,MATCH(COLUMNS($AC$1006:AE1006),$AC$1006:$AS$1006,0))&gt;=100000), " ",IF(INDEX($AC$2:$AS$1001,MATCH(ROWS($V$2:V134),$V$2:$V$1001,0),MATCH(COLUMNS($AC$1006:AE1006),$AC$1006:$AS$1006,0)), HYPERLINK("#",""), HYPERLINK(CONCATENATE("#Metadata!", ADDRESS(INDEX($X$2:$X$1001,MATCH(ROWS($V$2:V134),$V$2:$V$1001,0),0), INDEX($AC$1004:$AS$1004,1,MATCH(COLUMNS($AC$1006:AE1006),$AC$1006:$AS$1006,0)))),"Fix")))</f>
        <v>0</v>
      </c>
      <c r="E134" s="5">
        <f>IF(OR(INDEX($W$2:$W$1001,MATCH(ROWS($V$2:V134),$V$2:$V$1001,0),1)&gt;=100000,INDEX($AC$1005:$AS$1005,1,MATCH(COLUMNS($AC$1006:AF1006),$AC$1006:$AS$1006,0))&gt;=100000), " ",IF(INDEX($AC$2:$AS$1001,MATCH(ROWS($V$2:V134),$V$2:$V$1001,0),MATCH(COLUMNS($AC$1006:AF1006),$AC$1006:$AS$1006,0)), HYPERLINK("#",""), HYPERLINK(CONCATENATE("#Metadata!", ADDRESS(INDEX($X$2:$X$1001,MATCH(ROWS($V$2:V134),$V$2:$V$1001,0),0), INDEX($AC$1004:$AS$1004,1,MATCH(COLUMNS($AC$1006:AF1006),$AC$1006:$AS$1006,0)))),"Fix")))</f>
        <v>0</v>
      </c>
      <c r="F134" s="5">
        <f>IF(OR(INDEX($W$2:$W$1001,MATCH(ROWS($V$2:V134),$V$2:$V$1001,0),1)&gt;=100000,INDEX($AC$1005:$AS$1005,1,MATCH(COLUMNS($AC$1006:AG1006),$AC$1006:$AS$1006,0))&gt;=100000), " ",IF(INDEX($AC$2:$AS$1001,MATCH(ROWS($V$2:V134),$V$2:$V$1001,0),MATCH(COLUMNS($AC$1006:AG1006),$AC$1006:$AS$1006,0)), HYPERLINK("#",""), HYPERLINK(CONCATENATE("#Metadata!", ADDRESS(INDEX($X$2:$X$1001,MATCH(ROWS($V$2:V134),$V$2:$V$1001,0),0), INDEX($AC$1004:$AS$1004,1,MATCH(COLUMNS($AC$1006:AG1006),$AC$1006:$AS$1006,0)))),"Fix")))</f>
        <v>0</v>
      </c>
      <c r="G134" s="5">
        <f>IF(OR(INDEX($W$2:$W$1001,MATCH(ROWS($V$2:V134),$V$2:$V$1001,0),1)&gt;=100000,INDEX($AC$1005:$AS$1005,1,MATCH(COLUMNS($AC$1006:AH1006),$AC$1006:$AS$1006,0))&gt;=100000), " ",IF(INDEX($AC$2:$AS$1001,MATCH(ROWS($V$2:V134),$V$2:$V$1001,0),MATCH(COLUMNS($AC$1006:AH1006),$AC$1006:$AS$1006,0)), HYPERLINK("#",""), HYPERLINK(CONCATENATE("#Metadata!", ADDRESS(INDEX($X$2:$X$1001,MATCH(ROWS($V$2:V134),$V$2:$V$1001,0),0), INDEX($AC$1004:$AS$1004,1,MATCH(COLUMNS($AC$1006:AH1006),$AC$1006:$AS$1006,0)))),"Fix")))</f>
        <v>0</v>
      </c>
      <c r="H134" s="5">
        <f>IF(OR(INDEX($W$2:$W$1001,MATCH(ROWS($V$2:V134),$V$2:$V$1001,0),1)&gt;=100000,INDEX($AC$1005:$AS$1005,1,MATCH(COLUMNS($AC$1006:AI1006),$AC$1006:$AS$1006,0))&gt;=100000), " ",IF(INDEX($AC$2:$AS$1001,MATCH(ROWS($V$2:V134),$V$2:$V$1001,0),MATCH(COLUMNS($AC$1006:AI1006),$AC$1006:$AS$1006,0)), HYPERLINK("#",""), HYPERLINK(CONCATENATE("#Metadata!", ADDRESS(INDEX($X$2:$X$1001,MATCH(ROWS($V$2:V134),$V$2:$V$1001,0),0), INDEX($AC$1004:$AS$1004,1,MATCH(COLUMNS($AC$1006:AI1006),$AC$1006:$AS$1006,0)))),"Fix")))</f>
        <v>0</v>
      </c>
      <c r="I134" s="5">
        <f>IF(OR(INDEX($W$2:$W$1001,MATCH(ROWS($V$2:V134),$V$2:$V$1001,0),1)&gt;=100000,INDEX($AC$1005:$AS$1005,1,MATCH(COLUMNS($AC$1006:AJ1006),$AC$1006:$AS$1006,0))&gt;=100000), " ",IF(INDEX($AC$2:$AS$1001,MATCH(ROWS($V$2:V134),$V$2:$V$1001,0),MATCH(COLUMNS($AC$1006:AJ1006),$AC$1006:$AS$1006,0)), HYPERLINK("#",""), HYPERLINK(CONCATENATE("#Metadata!", ADDRESS(INDEX($X$2:$X$1001,MATCH(ROWS($V$2:V134),$V$2:$V$1001,0),0), INDEX($AC$1004:$AS$1004,1,MATCH(COLUMNS($AC$1006:AJ1006),$AC$1006:$AS$1006,0)))),"Fix")))</f>
        <v>0</v>
      </c>
      <c r="J134" s="5">
        <f>IF(OR(INDEX($W$2:$W$1001,MATCH(ROWS($V$2:V134),$V$2:$V$1001,0),1)&gt;=100000,INDEX($AC$1005:$AS$1005,1,MATCH(COLUMNS($AC$1006:AK1006),$AC$1006:$AS$1006,0))&gt;=100000), " ",IF(INDEX($AC$2:$AS$1001,MATCH(ROWS($V$2:V134),$V$2:$V$1001,0),MATCH(COLUMNS($AC$1006:AK1006),$AC$1006:$AS$1006,0)), HYPERLINK("#",""), HYPERLINK(CONCATENATE("#Metadata!", ADDRESS(INDEX($X$2:$X$1001,MATCH(ROWS($V$2:V134),$V$2:$V$1001,0),0), INDEX($AC$1004:$AS$1004,1,MATCH(COLUMNS($AC$1006:AK1006),$AC$1006:$AS$1006,0)))),"Fix")))</f>
        <v>0</v>
      </c>
      <c r="K134" s="5">
        <f>IF(OR(INDEX($W$2:$W$1001,MATCH(ROWS($V$2:V134),$V$2:$V$1001,0),1)&gt;=100000,INDEX($AC$1005:$AS$1005,1,MATCH(COLUMNS($AC$1006:AL1006),$AC$1006:$AS$1006,0))&gt;=100000), " ",IF(INDEX($AC$2:$AS$1001,MATCH(ROWS($V$2:V134),$V$2:$V$1001,0),MATCH(COLUMNS($AC$1006:AL1006),$AC$1006:$AS$1006,0)), HYPERLINK("#",""), HYPERLINK(CONCATENATE("#Metadata!", ADDRESS(INDEX($X$2:$X$1001,MATCH(ROWS($V$2:V134),$V$2:$V$1001,0),0), INDEX($AC$1004:$AS$1004,1,MATCH(COLUMNS($AC$1006:AL1006),$AC$1006:$AS$1006,0)))),"Fix")))</f>
        <v>0</v>
      </c>
      <c r="L134" s="5">
        <f>IF(OR(INDEX($W$2:$W$1001,MATCH(ROWS($V$2:V134),$V$2:$V$1001,0),1)&gt;=100000,INDEX($AC$1005:$AS$1005,1,MATCH(COLUMNS($AC$1006:AM1006),$AC$1006:$AS$1006,0))&gt;=100000), " ",IF(INDEX($AC$2:$AS$1001,MATCH(ROWS($V$2:V134),$V$2:$V$1001,0),MATCH(COLUMNS($AC$1006:AM1006),$AC$1006:$AS$1006,0)), HYPERLINK("#",""), HYPERLINK(CONCATENATE("#Metadata!", ADDRESS(INDEX($X$2:$X$1001,MATCH(ROWS($V$2:V134),$V$2:$V$1001,0),0), INDEX($AC$1004:$AS$1004,1,MATCH(COLUMNS($AC$1006:AM1006),$AC$1006:$AS$1006,0)))),"Fix")))</f>
        <v>0</v>
      </c>
      <c r="M134" s="5">
        <f>IF(OR(INDEX($W$2:$W$1001,MATCH(ROWS($V$2:V134),$V$2:$V$1001,0),1)&gt;=100000,INDEX($AC$1005:$AS$1005,1,MATCH(COLUMNS($AC$1006:AN1006),$AC$1006:$AS$1006,0))&gt;=100000), " ",IF(INDEX($AC$2:$AS$1001,MATCH(ROWS($V$2:V134),$V$2:$V$1001,0),MATCH(COLUMNS($AC$1006:AN1006),$AC$1006:$AS$1006,0)), HYPERLINK("#",""), HYPERLINK(CONCATENATE("#Metadata!", ADDRESS(INDEX($X$2:$X$1001,MATCH(ROWS($V$2:V134),$V$2:$V$1001,0),0), INDEX($AC$1004:$AS$1004,1,MATCH(COLUMNS($AC$1006:AN1006),$AC$1006:$AS$1006,0)))),"Fix")))</f>
        <v>0</v>
      </c>
      <c r="N134" s="5">
        <f>IF(OR(INDEX($W$2:$W$1001,MATCH(ROWS($V$2:V134),$V$2:$V$1001,0),1)&gt;=100000,INDEX($AC$1005:$AS$1005,1,MATCH(COLUMNS($AC$1006:AO1006),$AC$1006:$AS$1006,0))&gt;=100000), " ",IF(INDEX($AC$2:$AS$1001,MATCH(ROWS($V$2:V134),$V$2:$V$1001,0),MATCH(COLUMNS($AC$1006:AO1006),$AC$1006:$AS$1006,0)), HYPERLINK("#",""), HYPERLINK(CONCATENATE("#Metadata!", ADDRESS(INDEX($X$2:$X$1001,MATCH(ROWS($V$2:V134),$V$2:$V$1001,0),0), INDEX($AC$1004:$AS$1004,1,MATCH(COLUMNS($AC$1006:AO1006),$AC$1006:$AS$1006,0)))),"Fix")))</f>
        <v>0</v>
      </c>
      <c r="O134" s="5">
        <f>IF(OR(INDEX($W$2:$W$1001,MATCH(ROWS($V$2:V134),$V$2:$V$1001,0),1)&gt;=100000,INDEX($AC$1005:$AS$1005,1,MATCH(COLUMNS($AC$1006:AP1006),$AC$1006:$AS$1006,0))&gt;=100000), " ",IF(INDEX($AC$2:$AS$1001,MATCH(ROWS($V$2:V134),$V$2:$V$1001,0),MATCH(COLUMNS($AC$1006:AP1006),$AC$1006:$AS$1006,0)), HYPERLINK("#",""), HYPERLINK(CONCATENATE("#Metadata!", ADDRESS(INDEX($X$2:$X$1001,MATCH(ROWS($V$2:V134),$V$2:$V$1001,0),0), INDEX($AC$1004:$AS$1004,1,MATCH(COLUMNS($AC$1006:AP1006),$AC$1006:$AS$1006,0)))),"Fix")))</f>
        <v>0</v>
      </c>
      <c r="P134" s="5">
        <f>IF(OR(INDEX($W$2:$W$1001,MATCH(ROWS($V$2:V134),$V$2:$V$1001,0),1)&gt;=100000,INDEX($AC$1005:$AS$1005,1,MATCH(COLUMNS($AC$1006:AQ1006),$AC$1006:$AS$1006,0))&gt;=100000), " ",IF(INDEX($AC$2:$AS$1001,MATCH(ROWS($V$2:V134),$V$2:$V$1001,0),MATCH(COLUMNS($AC$1006:AQ1006),$AC$1006:$AS$1006,0)), HYPERLINK("#",""), HYPERLINK(CONCATENATE("#Metadata!", ADDRESS(INDEX($X$2:$X$1001,MATCH(ROWS($V$2:V134),$V$2:$V$1001,0),0), INDEX($AC$1004:$AS$1004,1,MATCH(COLUMNS($AC$1006:AQ1006),$AC$1006:$AS$1006,0)))),"Fix")))</f>
        <v>0</v>
      </c>
      <c r="Q134" s="5">
        <f>IF(OR(INDEX($W$2:$W$1001,MATCH(ROWS($V$2:V134),$V$2:$V$1001,0),1)&gt;=100000,INDEX($AC$1005:$AS$1005,1,MATCH(COLUMNS($AC$1006:AR1006),$AC$1006:$AS$1006,0))&gt;=100000), " ",IF(INDEX($AC$2:$AS$1001,MATCH(ROWS($V$2:V134),$V$2:$V$1001,0),MATCH(COLUMNS($AC$1006:AR1006),$AC$1006:$AS$1006,0)), HYPERLINK("#",""), HYPERLINK(CONCATENATE("#Metadata!", ADDRESS(INDEX($X$2:$X$1001,MATCH(ROWS($V$2:V134),$V$2:$V$1001,0),0), INDEX($AC$1004:$AS$1004,1,MATCH(COLUMNS($AC$1006:AR1006),$AC$1006:$AS$1006,0)))),"Fix")))</f>
        <v>0</v>
      </c>
      <c r="R134" s="5">
        <f>IF(OR(INDEX($W$2:$W$1001,MATCH(ROWS($V$2:V134),$V$2:$V$1001,0),1)&gt;=100000,INDEX($AC$1005:$AS$1005,1,MATCH(COLUMNS($AC$1006:AS1006),$AC$1006:$AS$1006,0))&gt;=100000), " ",IF(INDEX($AC$2:$AS$1001,MATCH(ROWS($V$2:V134),$V$2:$V$1001,0),MATCH(COLUMNS($AC$1006:AS1006),$AC$1006:$AS$1006,0)), HYPERLINK("#",""), HYPERLINK(CONCATENATE("#Metadata!", ADDRESS(INDEX($X$2:$X$1001,MATCH(ROWS($V$2:V134),$V$2:$V$1001,0),0), INDEX($AC$1004:$AS$1004,1,MATCH(COLUMNS($AC$1006:AS1006),$AC$1006:$AS$1006,0)))),"Fix")))</f>
        <v>0</v>
      </c>
      <c r="V134">
        <v>0</v>
      </c>
      <c r="W134">
        <v>0</v>
      </c>
      <c r="X134">
        <v>0</v>
      </c>
      <c r="Y134">
        <f>IF(Z134,TRUE,AND(AC134:AS134))</f>
        <v>0</v>
      </c>
      <c r="Z134">
        <f>COUNTBLANK(Metadata!B134:R134)=COLUMNS(Metadata!B134:R134)</f>
        <v>0</v>
      </c>
      <c r="AA134">
        <v>0</v>
      </c>
      <c r="AC134">
        <f>AND(IF(Metadata!B134="",FALSE,TRUE),COUNTIF(Metadata!B:B, Metadata!B134) = 1,NOT(ISERROR(SUMPRODUCT(SEARCH(MID(Metadata!B134,ROW(INDIRECT("1:"&amp;LEN(Metadata!B134))), 1),"0123456789abcdefghijklmnopqrstuvwxyzABCDEFGHIJKLMNOPQRSTUVWXYZ.")))))</f>
        <v>0</v>
      </c>
      <c r="AD134">
        <f>AND(IF(Metadata!C134="",FALSE,TRUE),exact(Metadata!C134,"Host-associated"))</f>
        <v>0</v>
      </c>
      <c r="AE134">
        <f>AND(IF(Metadata!D134="",FALSE,TRUE),OR(exact(Metadata!D134,"Animal"),exact(Metadata!D134,"Fungus"),exact(Metadata!D134,"Plant")))</f>
        <v>0</v>
      </c>
      <c r="AF134">
        <f>AND(IF(Metadata!E134="",FALSE,TRUE),OR(exact(Metadata!E134,"Plant secretion"),exact(Metadata!E134,"Plant rhizosphere"),exact(Metadata!E134,"Plant surface"),exact(Metadata!E134,"Plant corpus"),exact(Metadata!E134,"Fungus surface"),exact(Metadata!E134,"Fungus corpus"),exact(Metadata!E134,"Animal surface"),exact(Metadata!E134,"Animal proximal gut"),exact(Metadata!E134,"Animal corpus"),exact(Metadata!E134,"Animal distal gut"),exact(Metadata!E134,"Animal secretion")))</f>
        <v>0</v>
      </c>
      <c r="AG134">
        <f>OR(AND(IF(Metadata!F134="",FALSE,TRUE),OR(exact(Metadata!F134,"not collected"),exact(Metadata!F134,"not provided"),exact(Metadata!F134,"restricted access"))),AND(IF(Metadata!F134="",FALSE,TRUE),OR(exact(Metadata!F134,"organism-associated habitat"),exact(Metadata!F134,"plant-associated habitat"),exact(Metadata!F134,"animal-associated habitat"),exact(Metadata!F134,"insecta-associated habitat"),exact(Metadata!F134,"mammalia-associated habitat"),exact(Metadata!F134,"human-associated habitat"),exact(Metadata!F134,"livestock-associated habitat"))))</f>
        <v>0</v>
      </c>
      <c r="AH134">
        <f>AND(IF(Metadata!G134="",FALSE,TRUE),exact(Metadata!G134,"host-associated"))</f>
        <v>0</v>
      </c>
      <c r="AI134">
        <f>OR(AND(IF(Metadata!H134="",FALSE,TRUE),OR(exact(Metadata!H134,"not collected"),exact(Metadata!H134,"not provided"))),AND(IF(Metadata!H134="",FALSE,ISNUMBER(VALUE(Metadata!H134))),Metadata!H134&gt;0))</f>
        <v>0</v>
      </c>
      <c r="AJ134">
        <f>AND(IF(Metadata!I134="",FALSE,TRUE),exact(Metadata!I134,"years"))</f>
        <v>0</v>
      </c>
      <c r="AK134">
        <f>IF(Metadata!J134="",FALSE,TRUE)</f>
        <v>0</v>
      </c>
      <c r="AL134">
        <f>OR(AND(IF(Metadata!K134="",FALSE,TRUE),OR(exact(Metadata!K134,"not collected"),exact(Metadata!K134,"not provided"))),AND(IF(Metadata!K134="",FALSE,ISNUMBER(VALUE(Metadata!K134))),Metadata!K134&gt;0))</f>
        <v>0</v>
      </c>
      <c r="AM134">
        <f>AND(IF(Metadata!L134="",FALSE,TRUE),exact(Metadata!L134,"cm"))</f>
        <v>0</v>
      </c>
      <c r="AN134">
        <f>IF(Metadata!M134="",FALSE,TRUE)</f>
        <v>0</v>
      </c>
      <c r="AO134">
        <f>OR(AND(IF(Metadata!N134="",FALSE,TRUE),OR(exact(Metadata!N134,"not applicable"),exact(Metadata!N134,"not collected"),exact(Metadata!N134,"not provided"))),AND(IF(Metadata!N134="",FALSE,IF(ISERROR(INT(Metadata!N134)),FALSE,INT(Metadata!N134)=Metadata!N134)),Metadata!N134&gt;0))</f>
        <v>0</v>
      </c>
      <c r="AP134">
        <f>OR(AND(IF(Metadata!O134="",FALSE,TRUE),OR(exact(Metadata!O134,"not collected"),exact(Metadata!O134,"not provided"))),AND(IF(Metadata!O134="",FALSE,ISNUMBER(VALUE(Metadata!O134))),Metadata!O134&gt;0))</f>
        <v>0</v>
      </c>
      <c r="AQ134">
        <f>AND(IF(Metadata!P134="",FALSE,TRUE),exact(Metadata!P134,"kg"))</f>
        <v>0</v>
      </c>
      <c r="AR134">
        <f>OR(AND(IF(Metadata!Q134="",FALSE,TRUE),OR(exact(Metadata!Q134,"not applicable"),exact(Metadata!Q134,"not collected"),exact(Metadata!Q134,"not provided"),exact(Metadata!Q134,"restricted access"))),IF(Metadata!Q134="",FALSE,IF(ISERROR(INT(Metadata!Q134)),FALSE,INT(Metadata!Q134)=Metadata!Q134)))</f>
        <v>0</v>
      </c>
      <c r="AS134">
        <f>AND(IF(Metadata!R134="",FALSE,TRUE),exact(Metadata!R134,"Not applicable"))</f>
        <v>0</v>
      </c>
    </row>
    <row r="135" spans="1:45">
      <c r="A135" s="4">
        <f>IF(B135=" "," ",HYPERLINK(CONCATENATE("#metadata!",ADDRESS(INDEX($X$2:$X$1001,MATCH(ROWS($V$2:V135),$V$2:$V$1001,0),0),2)),INDEX($AA$2:$AA$1001,MATCH(ROWS($V$2:V135),$V$2:$V$1001,0),0)))</f>
        <v>0</v>
      </c>
      <c r="B135" s="5">
        <f>IF(OR(INDEX($W$2:$W$1001,MATCH(ROWS($V$2:V135),$V$2:$V$1001,0),1)&gt;=100000,INDEX($AC$1005:$AS$1005,1,MATCH(COLUMNS($AC$1006:AC1006),$AC$1006:$AS$1006,0))&gt;=100000), " ",IF(INDEX($AC$2:$AS$1001,MATCH(ROWS($V$2:V135),$V$2:$V$1001,0),MATCH(COLUMNS($AC$1006:AC1006),$AC$1006:$AS$1006,0)), HYPERLINK("#",""), HYPERLINK(CONCATENATE("#Metadata!", ADDRESS(INDEX($X$2:$X$1001,MATCH(ROWS($V$2:V135),$V$2:$V$1001,0),0), INDEX($AC$1004:$AS$1004,1,MATCH(COLUMNS($AC$1006:AC1006),$AC$1006:$AS$1006,0)))),"Fix")))</f>
        <v>0</v>
      </c>
      <c r="C135" s="5">
        <f>IF(OR(INDEX($W$2:$W$1001,MATCH(ROWS($V$2:V135),$V$2:$V$1001,0),1)&gt;=100000,INDEX($AC$1005:$AS$1005,1,MATCH(COLUMNS($AC$1006:AD1006),$AC$1006:$AS$1006,0))&gt;=100000), " ",IF(INDEX($AC$2:$AS$1001,MATCH(ROWS($V$2:V135),$V$2:$V$1001,0),MATCH(COLUMNS($AC$1006:AD1006),$AC$1006:$AS$1006,0)), HYPERLINK("#",""), HYPERLINK(CONCATENATE("#Metadata!", ADDRESS(INDEX($X$2:$X$1001,MATCH(ROWS($V$2:V135),$V$2:$V$1001,0),0), INDEX($AC$1004:$AS$1004,1,MATCH(COLUMNS($AC$1006:AD1006),$AC$1006:$AS$1006,0)))),"Fix")))</f>
        <v>0</v>
      </c>
      <c r="D135" s="5">
        <f>IF(OR(INDEX($W$2:$W$1001,MATCH(ROWS($V$2:V135),$V$2:$V$1001,0),1)&gt;=100000,INDEX($AC$1005:$AS$1005,1,MATCH(COLUMNS($AC$1006:AE1006),$AC$1006:$AS$1006,0))&gt;=100000), " ",IF(INDEX($AC$2:$AS$1001,MATCH(ROWS($V$2:V135),$V$2:$V$1001,0),MATCH(COLUMNS($AC$1006:AE1006),$AC$1006:$AS$1006,0)), HYPERLINK("#",""), HYPERLINK(CONCATENATE("#Metadata!", ADDRESS(INDEX($X$2:$X$1001,MATCH(ROWS($V$2:V135),$V$2:$V$1001,0),0), INDEX($AC$1004:$AS$1004,1,MATCH(COLUMNS($AC$1006:AE1006),$AC$1006:$AS$1006,0)))),"Fix")))</f>
        <v>0</v>
      </c>
      <c r="E135" s="5">
        <f>IF(OR(INDEX($W$2:$W$1001,MATCH(ROWS($V$2:V135),$V$2:$V$1001,0),1)&gt;=100000,INDEX($AC$1005:$AS$1005,1,MATCH(COLUMNS($AC$1006:AF1006),$AC$1006:$AS$1006,0))&gt;=100000), " ",IF(INDEX($AC$2:$AS$1001,MATCH(ROWS($V$2:V135),$V$2:$V$1001,0),MATCH(COLUMNS($AC$1006:AF1006),$AC$1006:$AS$1006,0)), HYPERLINK("#",""), HYPERLINK(CONCATENATE("#Metadata!", ADDRESS(INDEX($X$2:$X$1001,MATCH(ROWS($V$2:V135),$V$2:$V$1001,0),0), INDEX($AC$1004:$AS$1004,1,MATCH(COLUMNS($AC$1006:AF1006),$AC$1006:$AS$1006,0)))),"Fix")))</f>
        <v>0</v>
      </c>
      <c r="F135" s="5">
        <f>IF(OR(INDEX($W$2:$W$1001,MATCH(ROWS($V$2:V135),$V$2:$V$1001,0),1)&gt;=100000,INDEX($AC$1005:$AS$1005,1,MATCH(COLUMNS($AC$1006:AG1006),$AC$1006:$AS$1006,0))&gt;=100000), " ",IF(INDEX($AC$2:$AS$1001,MATCH(ROWS($V$2:V135),$V$2:$V$1001,0),MATCH(COLUMNS($AC$1006:AG1006),$AC$1006:$AS$1006,0)), HYPERLINK("#",""), HYPERLINK(CONCATENATE("#Metadata!", ADDRESS(INDEX($X$2:$X$1001,MATCH(ROWS($V$2:V135),$V$2:$V$1001,0),0), INDEX($AC$1004:$AS$1004,1,MATCH(COLUMNS($AC$1006:AG1006),$AC$1006:$AS$1006,0)))),"Fix")))</f>
        <v>0</v>
      </c>
      <c r="G135" s="5">
        <f>IF(OR(INDEX($W$2:$W$1001,MATCH(ROWS($V$2:V135),$V$2:$V$1001,0),1)&gt;=100000,INDEX($AC$1005:$AS$1005,1,MATCH(COLUMNS($AC$1006:AH1006),$AC$1006:$AS$1006,0))&gt;=100000), " ",IF(INDEX($AC$2:$AS$1001,MATCH(ROWS($V$2:V135),$V$2:$V$1001,0),MATCH(COLUMNS($AC$1006:AH1006),$AC$1006:$AS$1006,0)), HYPERLINK("#",""), HYPERLINK(CONCATENATE("#Metadata!", ADDRESS(INDEX($X$2:$X$1001,MATCH(ROWS($V$2:V135),$V$2:$V$1001,0),0), INDEX($AC$1004:$AS$1004,1,MATCH(COLUMNS($AC$1006:AH1006),$AC$1006:$AS$1006,0)))),"Fix")))</f>
        <v>0</v>
      </c>
      <c r="H135" s="5">
        <f>IF(OR(INDEX($W$2:$W$1001,MATCH(ROWS($V$2:V135),$V$2:$V$1001,0),1)&gt;=100000,INDEX($AC$1005:$AS$1005,1,MATCH(COLUMNS($AC$1006:AI1006),$AC$1006:$AS$1006,0))&gt;=100000), " ",IF(INDEX($AC$2:$AS$1001,MATCH(ROWS($V$2:V135),$V$2:$V$1001,0),MATCH(COLUMNS($AC$1006:AI1006),$AC$1006:$AS$1006,0)), HYPERLINK("#",""), HYPERLINK(CONCATENATE("#Metadata!", ADDRESS(INDEX($X$2:$X$1001,MATCH(ROWS($V$2:V135),$V$2:$V$1001,0),0), INDEX($AC$1004:$AS$1004,1,MATCH(COLUMNS($AC$1006:AI1006),$AC$1006:$AS$1006,0)))),"Fix")))</f>
        <v>0</v>
      </c>
      <c r="I135" s="5">
        <f>IF(OR(INDEX($W$2:$W$1001,MATCH(ROWS($V$2:V135),$V$2:$V$1001,0),1)&gt;=100000,INDEX($AC$1005:$AS$1005,1,MATCH(COLUMNS($AC$1006:AJ1006),$AC$1006:$AS$1006,0))&gt;=100000), " ",IF(INDEX($AC$2:$AS$1001,MATCH(ROWS($V$2:V135),$V$2:$V$1001,0),MATCH(COLUMNS($AC$1006:AJ1006),$AC$1006:$AS$1006,0)), HYPERLINK("#",""), HYPERLINK(CONCATENATE("#Metadata!", ADDRESS(INDEX($X$2:$X$1001,MATCH(ROWS($V$2:V135),$V$2:$V$1001,0),0), INDEX($AC$1004:$AS$1004,1,MATCH(COLUMNS($AC$1006:AJ1006),$AC$1006:$AS$1006,0)))),"Fix")))</f>
        <v>0</v>
      </c>
      <c r="J135" s="5">
        <f>IF(OR(INDEX($W$2:$W$1001,MATCH(ROWS($V$2:V135),$V$2:$V$1001,0),1)&gt;=100000,INDEX($AC$1005:$AS$1005,1,MATCH(COLUMNS($AC$1006:AK1006),$AC$1006:$AS$1006,0))&gt;=100000), " ",IF(INDEX($AC$2:$AS$1001,MATCH(ROWS($V$2:V135),$V$2:$V$1001,0),MATCH(COLUMNS($AC$1006:AK1006),$AC$1006:$AS$1006,0)), HYPERLINK("#",""), HYPERLINK(CONCATENATE("#Metadata!", ADDRESS(INDEX($X$2:$X$1001,MATCH(ROWS($V$2:V135),$V$2:$V$1001,0),0), INDEX($AC$1004:$AS$1004,1,MATCH(COLUMNS($AC$1006:AK1006),$AC$1006:$AS$1006,0)))),"Fix")))</f>
        <v>0</v>
      </c>
      <c r="K135" s="5">
        <f>IF(OR(INDEX($W$2:$W$1001,MATCH(ROWS($V$2:V135),$V$2:$V$1001,0),1)&gt;=100000,INDEX($AC$1005:$AS$1005,1,MATCH(COLUMNS($AC$1006:AL1006),$AC$1006:$AS$1006,0))&gt;=100000), " ",IF(INDEX($AC$2:$AS$1001,MATCH(ROWS($V$2:V135),$V$2:$V$1001,0),MATCH(COLUMNS($AC$1006:AL1006),$AC$1006:$AS$1006,0)), HYPERLINK("#",""), HYPERLINK(CONCATENATE("#Metadata!", ADDRESS(INDEX($X$2:$X$1001,MATCH(ROWS($V$2:V135),$V$2:$V$1001,0),0), INDEX($AC$1004:$AS$1004,1,MATCH(COLUMNS($AC$1006:AL1006),$AC$1006:$AS$1006,0)))),"Fix")))</f>
        <v>0</v>
      </c>
      <c r="L135" s="5">
        <f>IF(OR(INDEX($W$2:$W$1001,MATCH(ROWS($V$2:V135),$V$2:$V$1001,0),1)&gt;=100000,INDEX($AC$1005:$AS$1005,1,MATCH(COLUMNS($AC$1006:AM1006),$AC$1006:$AS$1006,0))&gt;=100000), " ",IF(INDEX($AC$2:$AS$1001,MATCH(ROWS($V$2:V135),$V$2:$V$1001,0),MATCH(COLUMNS($AC$1006:AM1006),$AC$1006:$AS$1006,0)), HYPERLINK("#",""), HYPERLINK(CONCATENATE("#Metadata!", ADDRESS(INDEX($X$2:$X$1001,MATCH(ROWS($V$2:V135),$V$2:$V$1001,0),0), INDEX($AC$1004:$AS$1004,1,MATCH(COLUMNS($AC$1006:AM1006),$AC$1006:$AS$1006,0)))),"Fix")))</f>
        <v>0</v>
      </c>
      <c r="M135" s="5">
        <f>IF(OR(INDEX($W$2:$W$1001,MATCH(ROWS($V$2:V135),$V$2:$V$1001,0),1)&gt;=100000,INDEX($AC$1005:$AS$1005,1,MATCH(COLUMNS($AC$1006:AN1006),$AC$1006:$AS$1006,0))&gt;=100000), " ",IF(INDEX($AC$2:$AS$1001,MATCH(ROWS($V$2:V135),$V$2:$V$1001,0),MATCH(COLUMNS($AC$1006:AN1006),$AC$1006:$AS$1006,0)), HYPERLINK("#",""), HYPERLINK(CONCATENATE("#Metadata!", ADDRESS(INDEX($X$2:$X$1001,MATCH(ROWS($V$2:V135),$V$2:$V$1001,0),0), INDEX($AC$1004:$AS$1004,1,MATCH(COLUMNS($AC$1006:AN1006),$AC$1006:$AS$1006,0)))),"Fix")))</f>
        <v>0</v>
      </c>
      <c r="N135" s="5">
        <f>IF(OR(INDEX($W$2:$W$1001,MATCH(ROWS($V$2:V135),$V$2:$V$1001,0),1)&gt;=100000,INDEX($AC$1005:$AS$1005,1,MATCH(COLUMNS($AC$1006:AO1006),$AC$1006:$AS$1006,0))&gt;=100000), " ",IF(INDEX($AC$2:$AS$1001,MATCH(ROWS($V$2:V135),$V$2:$V$1001,0),MATCH(COLUMNS($AC$1006:AO1006),$AC$1006:$AS$1006,0)), HYPERLINK("#",""), HYPERLINK(CONCATENATE("#Metadata!", ADDRESS(INDEX($X$2:$X$1001,MATCH(ROWS($V$2:V135),$V$2:$V$1001,0),0), INDEX($AC$1004:$AS$1004,1,MATCH(COLUMNS($AC$1006:AO1006),$AC$1006:$AS$1006,0)))),"Fix")))</f>
        <v>0</v>
      </c>
      <c r="O135" s="5">
        <f>IF(OR(INDEX($W$2:$W$1001,MATCH(ROWS($V$2:V135),$V$2:$V$1001,0),1)&gt;=100000,INDEX($AC$1005:$AS$1005,1,MATCH(COLUMNS($AC$1006:AP1006),$AC$1006:$AS$1006,0))&gt;=100000), " ",IF(INDEX($AC$2:$AS$1001,MATCH(ROWS($V$2:V135),$V$2:$V$1001,0),MATCH(COLUMNS($AC$1006:AP1006),$AC$1006:$AS$1006,0)), HYPERLINK("#",""), HYPERLINK(CONCATENATE("#Metadata!", ADDRESS(INDEX($X$2:$X$1001,MATCH(ROWS($V$2:V135),$V$2:$V$1001,0),0), INDEX($AC$1004:$AS$1004,1,MATCH(COLUMNS($AC$1006:AP1006),$AC$1006:$AS$1006,0)))),"Fix")))</f>
        <v>0</v>
      </c>
      <c r="P135" s="5">
        <f>IF(OR(INDEX($W$2:$W$1001,MATCH(ROWS($V$2:V135),$V$2:$V$1001,0),1)&gt;=100000,INDEX($AC$1005:$AS$1005,1,MATCH(COLUMNS($AC$1006:AQ1006),$AC$1006:$AS$1006,0))&gt;=100000), " ",IF(INDEX($AC$2:$AS$1001,MATCH(ROWS($V$2:V135),$V$2:$V$1001,0),MATCH(COLUMNS($AC$1006:AQ1006),$AC$1006:$AS$1006,0)), HYPERLINK("#",""), HYPERLINK(CONCATENATE("#Metadata!", ADDRESS(INDEX($X$2:$X$1001,MATCH(ROWS($V$2:V135),$V$2:$V$1001,0),0), INDEX($AC$1004:$AS$1004,1,MATCH(COLUMNS($AC$1006:AQ1006),$AC$1006:$AS$1006,0)))),"Fix")))</f>
        <v>0</v>
      </c>
      <c r="Q135" s="5">
        <f>IF(OR(INDEX($W$2:$W$1001,MATCH(ROWS($V$2:V135),$V$2:$V$1001,0),1)&gt;=100000,INDEX($AC$1005:$AS$1005,1,MATCH(COLUMNS($AC$1006:AR1006),$AC$1006:$AS$1006,0))&gt;=100000), " ",IF(INDEX($AC$2:$AS$1001,MATCH(ROWS($V$2:V135),$V$2:$V$1001,0),MATCH(COLUMNS($AC$1006:AR1006),$AC$1006:$AS$1006,0)), HYPERLINK("#",""), HYPERLINK(CONCATENATE("#Metadata!", ADDRESS(INDEX($X$2:$X$1001,MATCH(ROWS($V$2:V135),$V$2:$V$1001,0),0), INDEX($AC$1004:$AS$1004,1,MATCH(COLUMNS($AC$1006:AR1006),$AC$1006:$AS$1006,0)))),"Fix")))</f>
        <v>0</v>
      </c>
      <c r="R135" s="5">
        <f>IF(OR(INDEX($W$2:$W$1001,MATCH(ROWS($V$2:V135),$V$2:$V$1001,0),1)&gt;=100000,INDEX($AC$1005:$AS$1005,1,MATCH(COLUMNS($AC$1006:AS1006),$AC$1006:$AS$1006,0))&gt;=100000), " ",IF(INDEX($AC$2:$AS$1001,MATCH(ROWS($V$2:V135),$V$2:$V$1001,0),MATCH(COLUMNS($AC$1006:AS1006),$AC$1006:$AS$1006,0)), HYPERLINK("#",""), HYPERLINK(CONCATENATE("#Metadata!", ADDRESS(INDEX($X$2:$X$1001,MATCH(ROWS($V$2:V135),$V$2:$V$1001,0),0), INDEX($AC$1004:$AS$1004,1,MATCH(COLUMNS($AC$1006:AS1006),$AC$1006:$AS$1006,0)))),"Fix")))</f>
        <v>0</v>
      </c>
      <c r="V135">
        <v>0</v>
      </c>
      <c r="W135">
        <v>0</v>
      </c>
      <c r="X135">
        <v>0</v>
      </c>
      <c r="Y135">
        <f>IF(Z135,TRUE,AND(AC135:AS135))</f>
        <v>0</v>
      </c>
      <c r="Z135">
        <f>COUNTBLANK(Metadata!B135:R135)=COLUMNS(Metadata!B135:R135)</f>
        <v>0</v>
      </c>
      <c r="AA135">
        <v>0</v>
      </c>
      <c r="AC135">
        <f>AND(IF(Metadata!B135="",FALSE,TRUE),COUNTIF(Metadata!B:B, Metadata!B135) = 1,NOT(ISERROR(SUMPRODUCT(SEARCH(MID(Metadata!B135,ROW(INDIRECT("1:"&amp;LEN(Metadata!B135))), 1),"0123456789abcdefghijklmnopqrstuvwxyzABCDEFGHIJKLMNOPQRSTUVWXYZ.")))))</f>
        <v>0</v>
      </c>
      <c r="AD135">
        <f>AND(IF(Metadata!C135="",FALSE,TRUE),exact(Metadata!C135,"Host-associated"))</f>
        <v>0</v>
      </c>
      <c r="AE135">
        <f>AND(IF(Metadata!D135="",FALSE,TRUE),OR(exact(Metadata!D135,"Animal"),exact(Metadata!D135,"Fungus"),exact(Metadata!D135,"Plant")))</f>
        <v>0</v>
      </c>
      <c r="AF135">
        <f>AND(IF(Metadata!E135="",FALSE,TRUE),OR(exact(Metadata!E135,"Plant secretion"),exact(Metadata!E135,"Plant rhizosphere"),exact(Metadata!E135,"Plant surface"),exact(Metadata!E135,"Plant corpus"),exact(Metadata!E135,"Fungus surface"),exact(Metadata!E135,"Fungus corpus"),exact(Metadata!E135,"Animal surface"),exact(Metadata!E135,"Animal proximal gut"),exact(Metadata!E135,"Animal corpus"),exact(Metadata!E135,"Animal distal gut"),exact(Metadata!E135,"Animal secretion")))</f>
        <v>0</v>
      </c>
      <c r="AG135">
        <f>OR(AND(IF(Metadata!F135="",FALSE,TRUE),OR(exact(Metadata!F135,"not collected"),exact(Metadata!F135,"not provided"),exact(Metadata!F135,"restricted access"))),AND(IF(Metadata!F135="",FALSE,TRUE),OR(exact(Metadata!F135,"organism-associated habitat"),exact(Metadata!F135,"plant-associated habitat"),exact(Metadata!F135,"animal-associated habitat"),exact(Metadata!F135,"insecta-associated habitat"),exact(Metadata!F135,"mammalia-associated habitat"),exact(Metadata!F135,"human-associated habitat"),exact(Metadata!F135,"livestock-associated habitat"))))</f>
        <v>0</v>
      </c>
      <c r="AH135">
        <f>AND(IF(Metadata!G135="",FALSE,TRUE),exact(Metadata!G135,"host-associated"))</f>
        <v>0</v>
      </c>
      <c r="AI135">
        <f>OR(AND(IF(Metadata!H135="",FALSE,TRUE),OR(exact(Metadata!H135,"not collected"),exact(Metadata!H135,"not provided"))),AND(IF(Metadata!H135="",FALSE,ISNUMBER(VALUE(Metadata!H135))),Metadata!H135&gt;0))</f>
        <v>0</v>
      </c>
      <c r="AJ135">
        <f>AND(IF(Metadata!I135="",FALSE,TRUE),exact(Metadata!I135,"years"))</f>
        <v>0</v>
      </c>
      <c r="AK135">
        <f>IF(Metadata!J135="",FALSE,TRUE)</f>
        <v>0</v>
      </c>
      <c r="AL135">
        <f>OR(AND(IF(Metadata!K135="",FALSE,TRUE),OR(exact(Metadata!K135,"not collected"),exact(Metadata!K135,"not provided"))),AND(IF(Metadata!K135="",FALSE,ISNUMBER(VALUE(Metadata!K135))),Metadata!K135&gt;0))</f>
        <v>0</v>
      </c>
      <c r="AM135">
        <f>AND(IF(Metadata!L135="",FALSE,TRUE),exact(Metadata!L135,"cm"))</f>
        <v>0</v>
      </c>
      <c r="AN135">
        <f>IF(Metadata!M135="",FALSE,TRUE)</f>
        <v>0</v>
      </c>
      <c r="AO135">
        <f>OR(AND(IF(Metadata!N135="",FALSE,TRUE),OR(exact(Metadata!N135,"not applicable"),exact(Metadata!N135,"not collected"),exact(Metadata!N135,"not provided"))),AND(IF(Metadata!N135="",FALSE,IF(ISERROR(INT(Metadata!N135)),FALSE,INT(Metadata!N135)=Metadata!N135)),Metadata!N135&gt;0))</f>
        <v>0</v>
      </c>
      <c r="AP135">
        <f>OR(AND(IF(Metadata!O135="",FALSE,TRUE),OR(exact(Metadata!O135,"not collected"),exact(Metadata!O135,"not provided"))),AND(IF(Metadata!O135="",FALSE,ISNUMBER(VALUE(Metadata!O135))),Metadata!O135&gt;0))</f>
        <v>0</v>
      </c>
      <c r="AQ135">
        <f>AND(IF(Metadata!P135="",FALSE,TRUE),exact(Metadata!P135,"kg"))</f>
        <v>0</v>
      </c>
      <c r="AR135">
        <f>OR(AND(IF(Metadata!Q135="",FALSE,TRUE),OR(exact(Metadata!Q135,"not applicable"),exact(Metadata!Q135,"not collected"),exact(Metadata!Q135,"not provided"),exact(Metadata!Q135,"restricted access"))),IF(Metadata!Q135="",FALSE,IF(ISERROR(INT(Metadata!Q135)),FALSE,INT(Metadata!Q135)=Metadata!Q135)))</f>
        <v>0</v>
      </c>
      <c r="AS135">
        <f>AND(IF(Metadata!R135="",FALSE,TRUE),exact(Metadata!R135,"Not applicable"))</f>
        <v>0</v>
      </c>
    </row>
    <row r="136" spans="1:45">
      <c r="A136" s="4">
        <f>IF(B136=" "," ",HYPERLINK(CONCATENATE("#metadata!",ADDRESS(INDEX($X$2:$X$1001,MATCH(ROWS($V$2:V136),$V$2:$V$1001,0),0),2)),INDEX($AA$2:$AA$1001,MATCH(ROWS($V$2:V136),$V$2:$V$1001,0),0)))</f>
        <v>0</v>
      </c>
      <c r="B136" s="5">
        <f>IF(OR(INDEX($W$2:$W$1001,MATCH(ROWS($V$2:V136),$V$2:$V$1001,0),1)&gt;=100000,INDEX($AC$1005:$AS$1005,1,MATCH(COLUMNS($AC$1006:AC1006),$AC$1006:$AS$1006,0))&gt;=100000), " ",IF(INDEX($AC$2:$AS$1001,MATCH(ROWS($V$2:V136),$V$2:$V$1001,0),MATCH(COLUMNS($AC$1006:AC1006),$AC$1006:$AS$1006,0)), HYPERLINK("#",""), HYPERLINK(CONCATENATE("#Metadata!", ADDRESS(INDEX($X$2:$X$1001,MATCH(ROWS($V$2:V136),$V$2:$V$1001,0),0), INDEX($AC$1004:$AS$1004,1,MATCH(COLUMNS($AC$1006:AC1006),$AC$1006:$AS$1006,0)))),"Fix")))</f>
        <v>0</v>
      </c>
      <c r="C136" s="5">
        <f>IF(OR(INDEX($W$2:$W$1001,MATCH(ROWS($V$2:V136),$V$2:$V$1001,0),1)&gt;=100000,INDEX($AC$1005:$AS$1005,1,MATCH(COLUMNS($AC$1006:AD1006),$AC$1006:$AS$1006,0))&gt;=100000), " ",IF(INDEX($AC$2:$AS$1001,MATCH(ROWS($V$2:V136),$V$2:$V$1001,0),MATCH(COLUMNS($AC$1006:AD1006),$AC$1006:$AS$1006,0)), HYPERLINK("#",""), HYPERLINK(CONCATENATE("#Metadata!", ADDRESS(INDEX($X$2:$X$1001,MATCH(ROWS($V$2:V136),$V$2:$V$1001,0),0), INDEX($AC$1004:$AS$1004,1,MATCH(COLUMNS($AC$1006:AD1006),$AC$1006:$AS$1006,0)))),"Fix")))</f>
        <v>0</v>
      </c>
      <c r="D136" s="5">
        <f>IF(OR(INDEX($W$2:$W$1001,MATCH(ROWS($V$2:V136),$V$2:$V$1001,0),1)&gt;=100000,INDEX($AC$1005:$AS$1005,1,MATCH(COLUMNS($AC$1006:AE1006),$AC$1006:$AS$1006,0))&gt;=100000), " ",IF(INDEX($AC$2:$AS$1001,MATCH(ROWS($V$2:V136),$V$2:$V$1001,0),MATCH(COLUMNS($AC$1006:AE1006),$AC$1006:$AS$1006,0)), HYPERLINK("#",""), HYPERLINK(CONCATENATE("#Metadata!", ADDRESS(INDEX($X$2:$X$1001,MATCH(ROWS($V$2:V136),$V$2:$V$1001,0),0), INDEX($AC$1004:$AS$1004,1,MATCH(COLUMNS($AC$1006:AE1006),$AC$1006:$AS$1006,0)))),"Fix")))</f>
        <v>0</v>
      </c>
      <c r="E136" s="5">
        <f>IF(OR(INDEX($W$2:$W$1001,MATCH(ROWS($V$2:V136),$V$2:$V$1001,0),1)&gt;=100000,INDEX($AC$1005:$AS$1005,1,MATCH(COLUMNS($AC$1006:AF1006),$AC$1006:$AS$1006,0))&gt;=100000), " ",IF(INDEX($AC$2:$AS$1001,MATCH(ROWS($V$2:V136),$V$2:$V$1001,0),MATCH(COLUMNS($AC$1006:AF1006),$AC$1006:$AS$1006,0)), HYPERLINK("#",""), HYPERLINK(CONCATENATE("#Metadata!", ADDRESS(INDEX($X$2:$X$1001,MATCH(ROWS($V$2:V136),$V$2:$V$1001,0),0), INDEX($AC$1004:$AS$1004,1,MATCH(COLUMNS($AC$1006:AF1006),$AC$1006:$AS$1006,0)))),"Fix")))</f>
        <v>0</v>
      </c>
      <c r="F136" s="5">
        <f>IF(OR(INDEX($W$2:$W$1001,MATCH(ROWS($V$2:V136),$V$2:$V$1001,0),1)&gt;=100000,INDEX($AC$1005:$AS$1005,1,MATCH(COLUMNS($AC$1006:AG1006),$AC$1006:$AS$1006,0))&gt;=100000), " ",IF(INDEX($AC$2:$AS$1001,MATCH(ROWS($V$2:V136),$V$2:$V$1001,0),MATCH(COLUMNS($AC$1006:AG1006),$AC$1006:$AS$1006,0)), HYPERLINK("#",""), HYPERLINK(CONCATENATE("#Metadata!", ADDRESS(INDEX($X$2:$X$1001,MATCH(ROWS($V$2:V136),$V$2:$V$1001,0),0), INDEX($AC$1004:$AS$1004,1,MATCH(COLUMNS($AC$1006:AG1006),$AC$1006:$AS$1006,0)))),"Fix")))</f>
        <v>0</v>
      </c>
      <c r="G136" s="5">
        <f>IF(OR(INDEX($W$2:$W$1001,MATCH(ROWS($V$2:V136),$V$2:$V$1001,0),1)&gt;=100000,INDEX($AC$1005:$AS$1005,1,MATCH(COLUMNS($AC$1006:AH1006),$AC$1006:$AS$1006,0))&gt;=100000), " ",IF(INDEX($AC$2:$AS$1001,MATCH(ROWS($V$2:V136),$V$2:$V$1001,0),MATCH(COLUMNS($AC$1006:AH1006),$AC$1006:$AS$1006,0)), HYPERLINK("#",""), HYPERLINK(CONCATENATE("#Metadata!", ADDRESS(INDEX($X$2:$X$1001,MATCH(ROWS($V$2:V136),$V$2:$V$1001,0),0), INDEX($AC$1004:$AS$1004,1,MATCH(COLUMNS($AC$1006:AH1006),$AC$1006:$AS$1006,0)))),"Fix")))</f>
        <v>0</v>
      </c>
      <c r="H136" s="5">
        <f>IF(OR(INDEX($W$2:$W$1001,MATCH(ROWS($V$2:V136),$V$2:$V$1001,0),1)&gt;=100000,INDEX($AC$1005:$AS$1005,1,MATCH(COLUMNS($AC$1006:AI1006),$AC$1006:$AS$1006,0))&gt;=100000), " ",IF(INDEX($AC$2:$AS$1001,MATCH(ROWS($V$2:V136),$V$2:$V$1001,0),MATCH(COLUMNS($AC$1006:AI1006),$AC$1006:$AS$1006,0)), HYPERLINK("#",""), HYPERLINK(CONCATENATE("#Metadata!", ADDRESS(INDEX($X$2:$X$1001,MATCH(ROWS($V$2:V136),$V$2:$V$1001,0),0), INDEX($AC$1004:$AS$1004,1,MATCH(COLUMNS($AC$1006:AI1006),$AC$1006:$AS$1006,0)))),"Fix")))</f>
        <v>0</v>
      </c>
      <c r="I136" s="5">
        <f>IF(OR(INDEX($W$2:$W$1001,MATCH(ROWS($V$2:V136),$V$2:$V$1001,0),1)&gt;=100000,INDEX($AC$1005:$AS$1005,1,MATCH(COLUMNS($AC$1006:AJ1006),$AC$1006:$AS$1006,0))&gt;=100000), " ",IF(INDEX($AC$2:$AS$1001,MATCH(ROWS($V$2:V136),$V$2:$V$1001,0),MATCH(COLUMNS($AC$1006:AJ1006),$AC$1006:$AS$1006,0)), HYPERLINK("#",""), HYPERLINK(CONCATENATE("#Metadata!", ADDRESS(INDEX($X$2:$X$1001,MATCH(ROWS($V$2:V136),$V$2:$V$1001,0),0), INDEX($AC$1004:$AS$1004,1,MATCH(COLUMNS($AC$1006:AJ1006),$AC$1006:$AS$1006,0)))),"Fix")))</f>
        <v>0</v>
      </c>
      <c r="J136" s="5">
        <f>IF(OR(INDEX($W$2:$W$1001,MATCH(ROWS($V$2:V136),$V$2:$V$1001,0),1)&gt;=100000,INDEX($AC$1005:$AS$1005,1,MATCH(COLUMNS($AC$1006:AK1006),$AC$1006:$AS$1006,0))&gt;=100000), " ",IF(INDEX($AC$2:$AS$1001,MATCH(ROWS($V$2:V136),$V$2:$V$1001,0),MATCH(COLUMNS($AC$1006:AK1006),$AC$1006:$AS$1006,0)), HYPERLINK("#",""), HYPERLINK(CONCATENATE("#Metadata!", ADDRESS(INDEX($X$2:$X$1001,MATCH(ROWS($V$2:V136),$V$2:$V$1001,0),0), INDEX($AC$1004:$AS$1004,1,MATCH(COLUMNS($AC$1006:AK1006),$AC$1006:$AS$1006,0)))),"Fix")))</f>
        <v>0</v>
      </c>
      <c r="K136" s="5">
        <f>IF(OR(INDEX($W$2:$W$1001,MATCH(ROWS($V$2:V136),$V$2:$V$1001,0),1)&gt;=100000,INDEX($AC$1005:$AS$1005,1,MATCH(COLUMNS($AC$1006:AL1006),$AC$1006:$AS$1006,0))&gt;=100000), " ",IF(INDEX($AC$2:$AS$1001,MATCH(ROWS($V$2:V136),$V$2:$V$1001,0),MATCH(COLUMNS($AC$1006:AL1006),$AC$1006:$AS$1006,0)), HYPERLINK("#",""), HYPERLINK(CONCATENATE("#Metadata!", ADDRESS(INDEX($X$2:$X$1001,MATCH(ROWS($V$2:V136),$V$2:$V$1001,0),0), INDEX($AC$1004:$AS$1004,1,MATCH(COLUMNS($AC$1006:AL1006),$AC$1006:$AS$1006,0)))),"Fix")))</f>
        <v>0</v>
      </c>
      <c r="L136" s="5">
        <f>IF(OR(INDEX($W$2:$W$1001,MATCH(ROWS($V$2:V136),$V$2:$V$1001,0),1)&gt;=100000,INDEX($AC$1005:$AS$1005,1,MATCH(COLUMNS($AC$1006:AM1006),$AC$1006:$AS$1006,0))&gt;=100000), " ",IF(INDEX($AC$2:$AS$1001,MATCH(ROWS($V$2:V136),$V$2:$V$1001,0),MATCH(COLUMNS($AC$1006:AM1006),$AC$1006:$AS$1006,0)), HYPERLINK("#",""), HYPERLINK(CONCATENATE("#Metadata!", ADDRESS(INDEX($X$2:$X$1001,MATCH(ROWS($V$2:V136),$V$2:$V$1001,0),0), INDEX($AC$1004:$AS$1004,1,MATCH(COLUMNS($AC$1006:AM1006),$AC$1006:$AS$1006,0)))),"Fix")))</f>
        <v>0</v>
      </c>
      <c r="M136" s="5">
        <f>IF(OR(INDEX($W$2:$W$1001,MATCH(ROWS($V$2:V136),$V$2:$V$1001,0),1)&gt;=100000,INDEX($AC$1005:$AS$1005,1,MATCH(COLUMNS($AC$1006:AN1006),$AC$1006:$AS$1006,0))&gt;=100000), " ",IF(INDEX($AC$2:$AS$1001,MATCH(ROWS($V$2:V136),$V$2:$V$1001,0),MATCH(COLUMNS($AC$1006:AN1006),$AC$1006:$AS$1006,0)), HYPERLINK("#",""), HYPERLINK(CONCATENATE("#Metadata!", ADDRESS(INDEX($X$2:$X$1001,MATCH(ROWS($V$2:V136),$V$2:$V$1001,0),0), INDEX($AC$1004:$AS$1004,1,MATCH(COLUMNS($AC$1006:AN1006),$AC$1006:$AS$1006,0)))),"Fix")))</f>
        <v>0</v>
      </c>
      <c r="N136" s="5">
        <f>IF(OR(INDEX($W$2:$W$1001,MATCH(ROWS($V$2:V136),$V$2:$V$1001,0),1)&gt;=100000,INDEX($AC$1005:$AS$1005,1,MATCH(COLUMNS($AC$1006:AO1006),$AC$1006:$AS$1006,0))&gt;=100000), " ",IF(INDEX($AC$2:$AS$1001,MATCH(ROWS($V$2:V136),$V$2:$V$1001,0),MATCH(COLUMNS($AC$1006:AO1006),$AC$1006:$AS$1006,0)), HYPERLINK("#",""), HYPERLINK(CONCATENATE("#Metadata!", ADDRESS(INDEX($X$2:$X$1001,MATCH(ROWS($V$2:V136),$V$2:$V$1001,0),0), INDEX($AC$1004:$AS$1004,1,MATCH(COLUMNS($AC$1006:AO1006),$AC$1006:$AS$1006,0)))),"Fix")))</f>
        <v>0</v>
      </c>
      <c r="O136" s="5">
        <f>IF(OR(INDEX($W$2:$W$1001,MATCH(ROWS($V$2:V136),$V$2:$V$1001,0),1)&gt;=100000,INDEX($AC$1005:$AS$1005,1,MATCH(COLUMNS($AC$1006:AP1006),$AC$1006:$AS$1006,0))&gt;=100000), " ",IF(INDEX($AC$2:$AS$1001,MATCH(ROWS($V$2:V136),$V$2:$V$1001,0),MATCH(COLUMNS($AC$1006:AP1006),$AC$1006:$AS$1006,0)), HYPERLINK("#",""), HYPERLINK(CONCATENATE("#Metadata!", ADDRESS(INDEX($X$2:$X$1001,MATCH(ROWS($V$2:V136),$V$2:$V$1001,0),0), INDEX($AC$1004:$AS$1004,1,MATCH(COLUMNS($AC$1006:AP1006),$AC$1006:$AS$1006,0)))),"Fix")))</f>
        <v>0</v>
      </c>
      <c r="P136" s="5">
        <f>IF(OR(INDEX($W$2:$W$1001,MATCH(ROWS($V$2:V136),$V$2:$V$1001,0),1)&gt;=100000,INDEX($AC$1005:$AS$1005,1,MATCH(COLUMNS($AC$1006:AQ1006),$AC$1006:$AS$1006,0))&gt;=100000), " ",IF(INDEX($AC$2:$AS$1001,MATCH(ROWS($V$2:V136),$V$2:$V$1001,0),MATCH(COLUMNS($AC$1006:AQ1006),$AC$1006:$AS$1006,0)), HYPERLINK("#",""), HYPERLINK(CONCATENATE("#Metadata!", ADDRESS(INDEX($X$2:$X$1001,MATCH(ROWS($V$2:V136),$V$2:$V$1001,0),0), INDEX($AC$1004:$AS$1004,1,MATCH(COLUMNS($AC$1006:AQ1006),$AC$1006:$AS$1006,0)))),"Fix")))</f>
        <v>0</v>
      </c>
      <c r="Q136" s="5">
        <f>IF(OR(INDEX($W$2:$W$1001,MATCH(ROWS($V$2:V136),$V$2:$V$1001,0),1)&gt;=100000,INDEX($AC$1005:$AS$1005,1,MATCH(COLUMNS($AC$1006:AR1006),$AC$1006:$AS$1006,0))&gt;=100000), " ",IF(INDEX($AC$2:$AS$1001,MATCH(ROWS($V$2:V136),$V$2:$V$1001,0),MATCH(COLUMNS($AC$1006:AR1006),$AC$1006:$AS$1006,0)), HYPERLINK("#",""), HYPERLINK(CONCATENATE("#Metadata!", ADDRESS(INDEX($X$2:$X$1001,MATCH(ROWS($V$2:V136),$V$2:$V$1001,0),0), INDEX($AC$1004:$AS$1004,1,MATCH(COLUMNS($AC$1006:AR1006),$AC$1006:$AS$1006,0)))),"Fix")))</f>
        <v>0</v>
      </c>
      <c r="R136" s="5">
        <f>IF(OR(INDEX($W$2:$W$1001,MATCH(ROWS($V$2:V136),$V$2:$V$1001,0),1)&gt;=100000,INDEX($AC$1005:$AS$1005,1,MATCH(COLUMNS($AC$1006:AS1006),$AC$1006:$AS$1006,0))&gt;=100000), " ",IF(INDEX($AC$2:$AS$1001,MATCH(ROWS($V$2:V136),$V$2:$V$1001,0),MATCH(COLUMNS($AC$1006:AS1006),$AC$1006:$AS$1006,0)), HYPERLINK("#",""), HYPERLINK(CONCATENATE("#Metadata!", ADDRESS(INDEX($X$2:$X$1001,MATCH(ROWS($V$2:V136),$V$2:$V$1001,0),0), INDEX($AC$1004:$AS$1004,1,MATCH(COLUMNS($AC$1006:AS1006),$AC$1006:$AS$1006,0)))),"Fix")))</f>
        <v>0</v>
      </c>
      <c r="V136">
        <v>0</v>
      </c>
      <c r="W136">
        <v>0</v>
      </c>
      <c r="X136">
        <v>0</v>
      </c>
      <c r="Y136">
        <f>IF(Z136,TRUE,AND(AC136:AS136))</f>
        <v>0</v>
      </c>
      <c r="Z136">
        <f>COUNTBLANK(Metadata!B136:R136)=COLUMNS(Metadata!B136:R136)</f>
        <v>0</v>
      </c>
      <c r="AA136">
        <v>0</v>
      </c>
      <c r="AC136">
        <f>AND(IF(Metadata!B136="",FALSE,TRUE),COUNTIF(Metadata!B:B, Metadata!B136) = 1,NOT(ISERROR(SUMPRODUCT(SEARCH(MID(Metadata!B136,ROW(INDIRECT("1:"&amp;LEN(Metadata!B136))), 1),"0123456789abcdefghijklmnopqrstuvwxyzABCDEFGHIJKLMNOPQRSTUVWXYZ.")))))</f>
        <v>0</v>
      </c>
      <c r="AD136">
        <f>AND(IF(Metadata!C136="",FALSE,TRUE),exact(Metadata!C136,"Host-associated"))</f>
        <v>0</v>
      </c>
      <c r="AE136">
        <f>AND(IF(Metadata!D136="",FALSE,TRUE),OR(exact(Metadata!D136,"Animal"),exact(Metadata!D136,"Fungus"),exact(Metadata!D136,"Plant")))</f>
        <v>0</v>
      </c>
      <c r="AF136">
        <f>AND(IF(Metadata!E136="",FALSE,TRUE),OR(exact(Metadata!E136,"Plant secretion"),exact(Metadata!E136,"Plant rhizosphere"),exact(Metadata!E136,"Plant surface"),exact(Metadata!E136,"Plant corpus"),exact(Metadata!E136,"Fungus surface"),exact(Metadata!E136,"Fungus corpus"),exact(Metadata!E136,"Animal surface"),exact(Metadata!E136,"Animal proximal gut"),exact(Metadata!E136,"Animal corpus"),exact(Metadata!E136,"Animal distal gut"),exact(Metadata!E136,"Animal secretion")))</f>
        <v>0</v>
      </c>
      <c r="AG136">
        <f>OR(AND(IF(Metadata!F136="",FALSE,TRUE),OR(exact(Metadata!F136,"not collected"),exact(Metadata!F136,"not provided"),exact(Metadata!F136,"restricted access"))),AND(IF(Metadata!F136="",FALSE,TRUE),OR(exact(Metadata!F136,"organism-associated habitat"),exact(Metadata!F136,"plant-associated habitat"),exact(Metadata!F136,"animal-associated habitat"),exact(Metadata!F136,"insecta-associated habitat"),exact(Metadata!F136,"mammalia-associated habitat"),exact(Metadata!F136,"human-associated habitat"),exact(Metadata!F136,"livestock-associated habitat"))))</f>
        <v>0</v>
      </c>
      <c r="AH136">
        <f>AND(IF(Metadata!G136="",FALSE,TRUE),exact(Metadata!G136,"host-associated"))</f>
        <v>0</v>
      </c>
      <c r="AI136">
        <f>OR(AND(IF(Metadata!H136="",FALSE,TRUE),OR(exact(Metadata!H136,"not collected"),exact(Metadata!H136,"not provided"))),AND(IF(Metadata!H136="",FALSE,ISNUMBER(VALUE(Metadata!H136))),Metadata!H136&gt;0))</f>
        <v>0</v>
      </c>
      <c r="AJ136">
        <f>AND(IF(Metadata!I136="",FALSE,TRUE),exact(Metadata!I136,"years"))</f>
        <v>0</v>
      </c>
      <c r="AK136">
        <f>IF(Metadata!J136="",FALSE,TRUE)</f>
        <v>0</v>
      </c>
      <c r="AL136">
        <f>OR(AND(IF(Metadata!K136="",FALSE,TRUE),OR(exact(Metadata!K136,"not collected"),exact(Metadata!K136,"not provided"))),AND(IF(Metadata!K136="",FALSE,ISNUMBER(VALUE(Metadata!K136))),Metadata!K136&gt;0))</f>
        <v>0</v>
      </c>
      <c r="AM136">
        <f>AND(IF(Metadata!L136="",FALSE,TRUE),exact(Metadata!L136,"cm"))</f>
        <v>0</v>
      </c>
      <c r="AN136">
        <f>IF(Metadata!M136="",FALSE,TRUE)</f>
        <v>0</v>
      </c>
      <c r="AO136">
        <f>OR(AND(IF(Metadata!N136="",FALSE,TRUE),OR(exact(Metadata!N136,"not applicable"),exact(Metadata!N136,"not collected"),exact(Metadata!N136,"not provided"))),AND(IF(Metadata!N136="",FALSE,IF(ISERROR(INT(Metadata!N136)),FALSE,INT(Metadata!N136)=Metadata!N136)),Metadata!N136&gt;0))</f>
        <v>0</v>
      </c>
      <c r="AP136">
        <f>OR(AND(IF(Metadata!O136="",FALSE,TRUE),OR(exact(Metadata!O136,"not collected"),exact(Metadata!O136,"not provided"))),AND(IF(Metadata!O136="",FALSE,ISNUMBER(VALUE(Metadata!O136))),Metadata!O136&gt;0))</f>
        <v>0</v>
      </c>
      <c r="AQ136">
        <f>AND(IF(Metadata!P136="",FALSE,TRUE),exact(Metadata!P136,"kg"))</f>
        <v>0</v>
      </c>
      <c r="AR136">
        <f>OR(AND(IF(Metadata!Q136="",FALSE,TRUE),OR(exact(Metadata!Q136,"not applicable"),exact(Metadata!Q136,"not collected"),exact(Metadata!Q136,"not provided"),exact(Metadata!Q136,"restricted access"))),IF(Metadata!Q136="",FALSE,IF(ISERROR(INT(Metadata!Q136)),FALSE,INT(Metadata!Q136)=Metadata!Q136)))</f>
        <v>0</v>
      </c>
      <c r="AS136">
        <f>AND(IF(Metadata!R136="",FALSE,TRUE),exact(Metadata!R136,"Not applicable"))</f>
        <v>0</v>
      </c>
    </row>
    <row r="137" spans="1:45">
      <c r="A137" s="4">
        <f>IF(B137=" "," ",HYPERLINK(CONCATENATE("#metadata!",ADDRESS(INDEX($X$2:$X$1001,MATCH(ROWS($V$2:V137),$V$2:$V$1001,0),0),2)),INDEX($AA$2:$AA$1001,MATCH(ROWS($V$2:V137),$V$2:$V$1001,0),0)))</f>
        <v>0</v>
      </c>
      <c r="B137" s="5">
        <f>IF(OR(INDEX($W$2:$W$1001,MATCH(ROWS($V$2:V137),$V$2:$V$1001,0),1)&gt;=100000,INDEX($AC$1005:$AS$1005,1,MATCH(COLUMNS($AC$1006:AC1006),$AC$1006:$AS$1006,0))&gt;=100000), " ",IF(INDEX($AC$2:$AS$1001,MATCH(ROWS($V$2:V137),$V$2:$V$1001,0),MATCH(COLUMNS($AC$1006:AC1006),$AC$1006:$AS$1006,0)), HYPERLINK("#",""), HYPERLINK(CONCATENATE("#Metadata!", ADDRESS(INDEX($X$2:$X$1001,MATCH(ROWS($V$2:V137),$V$2:$V$1001,0),0), INDEX($AC$1004:$AS$1004,1,MATCH(COLUMNS($AC$1006:AC1006),$AC$1006:$AS$1006,0)))),"Fix")))</f>
        <v>0</v>
      </c>
      <c r="C137" s="5">
        <f>IF(OR(INDEX($W$2:$W$1001,MATCH(ROWS($V$2:V137),$V$2:$V$1001,0),1)&gt;=100000,INDEX($AC$1005:$AS$1005,1,MATCH(COLUMNS($AC$1006:AD1006),$AC$1006:$AS$1006,0))&gt;=100000), " ",IF(INDEX($AC$2:$AS$1001,MATCH(ROWS($V$2:V137),$V$2:$V$1001,0),MATCH(COLUMNS($AC$1006:AD1006),$AC$1006:$AS$1006,0)), HYPERLINK("#",""), HYPERLINK(CONCATENATE("#Metadata!", ADDRESS(INDEX($X$2:$X$1001,MATCH(ROWS($V$2:V137),$V$2:$V$1001,0),0), INDEX($AC$1004:$AS$1004,1,MATCH(COLUMNS($AC$1006:AD1006),$AC$1006:$AS$1006,0)))),"Fix")))</f>
        <v>0</v>
      </c>
      <c r="D137" s="5">
        <f>IF(OR(INDEX($W$2:$W$1001,MATCH(ROWS($V$2:V137),$V$2:$V$1001,0),1)&gt;=100000,INDEX($AC$1005:$AS$1005,1,MATCH(COLUMNS($AC$1006:AE1006),$AC$1006:$AS$1006,0))&gt;=100000), " ",IF(INDEX($AC$2:$AS$1001,MATCH(ROWS($V$2:V137),$V$2:$V$1001,0),MATCH(COLUMNS($AC$1006:AE1006),$AC$1006:$AS$1006,0)), HYPERLINK("#",""), HYPERLINK(CONCATENATE("#Metadata!", ADDRESS(INDEX($X$2:$X$1001,MATCH(ROWS($V$2:V137),$V$2:$V$1001,0),0), INDEX($AC$1004:$AS$1004,1,MATCH(COLUMNS($AC$1006:AE1006),$AC$1006:$AS$1006,0)))),"Fix")))</f>
        <v>0</v>
      </c>
      <c r="E137" s="5">
        <f>IF(OR(INDEX($W$2:$W$1001,MATCH(ROWS($V$2:V137),$V$2:$V$1001,0),1)&gt;=100000,INDEX($AC$1005:$AS$1005,1,MATCH(COLUMNS($AC$1006:AF1006),$AC$1006:$AS$1006,0))&gt;=100000), " ",IF(INDEX($AC$2:$AS$1001,MATCH(ROWS($V$2:V137),$V$2:$V$1001,0),MATCH(COLUMNS($AC$1006:AF1006),$AC$1006:$AS$1006,0)), HYPERLINK("#",""), HYPERLINK(CONCATENATE("#Metadata!", ADDRESS(INDEX($X$2:$X$1001,MATCH(ROWS($V$2:V137),$V$2:$V$1001,0),0), INDEX($AC$1004:$AS$1004,1,MATCH(COLUMNS($AC$1006:AF1006),$AC$1006:$AS$1006,0)))),"Fix")))</f>
        <v>0</v>
      </c>
      <c r="F137" s="5">
        <f>IF(OR(INDEX($W$2:$W$1001,MATCH(ROWS($V$2:V137),$V$2:$V$1001,0),1)&gt;=100000,INDEX($AC$1005:$AS$1005,1,MATCH(COLUMNS($AC$1006:AG1006),$AC$1006:$AS$1006,0))&gt;=100000), " ",IF(INDEX($AC$2:$AS$1001,MATCH(ROWS($V$2:V137),$V$2:$V$1001,0),MATCH(COLUMNS($AC$1006:AG1006),$AC$1006:$AS$1006,0)), HYPERLINK("#",""), HYPERLINK(CONCATENATE("#Metadata!", ADDRESS(INDEX($X$2:$X$1001,MATCH(ROWS($V$2:V137),$V$2:$V$1001,0),0), INDEX($AC$1004:$AS$1004,1,MATCH(COLUMNS($AC$1006:AG1006),$AC$1006:$AS$1006,0)))),"Fix")))</f>
        <v>0</v>
      </c>
      <c r="G137" s="5">
        <f>IF(OR(INDEX($W$2:$W$1001,MATCH(ROWS($V$2:V137),$V$2:$V$1001,0),1)&gt;=100000,INDEX($AC$1005:$AS$1005,1,MATCH(COLUMNS($AC$1006:AH1006),$AC$1006:$AS$1006,0))&gt;=100000), " ",IF(INDEX($AC$2:$AS$1001,MATCH(ROWS($V$2:V137),$V$2:$V$1001,0),MATCH(COLUMNS($AC$1006:AH1006),$AC$1006:$AS$1006,0)), HYPERLINK("#",""), HYPERLINK(CONCATENATE("#Metadata!", ADDRESS(INDEX($X$2:$X$1001,MATCH(ROWS($V$2:V137),$V$2:$V$1001,0),0), INDEX($AC$1004:$AS$1004,1,MATCH(COLUMNS($AC$1006:AH1006),$AC$1006:$AS$1006,0)))),"Fix")))</f>
        <v>0</v>
      </c>
      <c r="H137" s="5">
        <f>IF(OR(INDEX($W$2:$W$1001,MATCH(ROWS($V$2:V137),$V$2:$V$1001,0),1)&gt;=100000,INDEX($AC$1005:$AS$1005,1,MATCH(COLUMNS($AC$1006:AI1006),$AC$1006:$AS$1006,0))&gt;=100000), " ",IF(INDEX($AC$2:$AS$1001,MATCH(ROWS($V$2:V137),$V$2:$V$1001,0),MATCH(COLUMNS($AC$1006:AI1006),$AC$1006:$AS$1006,0)), HYPERLINK("#",""), HYPERLINK(CONCATENATE("#Metadata!", ADDRESS(INDEX($X$2:$X$1001,MATCH(ROWS($V$2:V137),$V$2:$V$1001,0),0), INDEX($AC$1004:$AS$1004,1,MATCH(COLUMNS($AC$1006:AI1006),$AC$1006:$AS$1006,0)))),"Fix")))</f>
        <v>0</v>
      </c>
      <c r="I137" s="5">
        <f>IF(OR(INDEX($W$2:$W$1001,MATCH(ROWS($V$2:V137),$V$2:$V$1001,0),1)&gt;=100000,INDEX($AC$1005:$AS$1005,1,MATCH(COLUMNS($AC$1006:AJ1006),$AC$1006:$AS$1006,0))&gt;=100000), " ",IF(INDEX($AC$2:$AS$1001,MATCH(ROWS($V$2:V137),$V$2:$V$1001,0),MATCH(COLUMNS($AC$1006:AJ1006),$AC$1006:$AS$1006,0)), HYPERLINK("#",""), HYPERLINK(CONCATENATE("#Metadata!", ADDRESS(INDEX($X$2:$X$1001,MATCH(ROWS($V$2:V137),$V$2:$V$1001,0),0), INDEX($AC$1004:$AS$1004,1,MATCH(COLUMNS($AC$1006:AJ1006),$AC$1006:$AS$1006,0)))),"Fix")))</f>
        <v>0</v>
      </c>
      <c r="J137" s="5">
        <f>IF(OR(INDEX($W$2:$W$1001,MATCH(ROWS($V$2:V137),$V$2:$V$1001,0),1)&gt;=100000,INDEX($AC$1005:$AS$1005,1,MATCH(COLUMNS($AC$1006:AK1006),$AC$1006:$AS$1006,0))&gt;=100000), " ",IF(INDEX($AC$2:$AS$1001,MATCH(ROWS($V$2:V137),$V$2:$V$1001,0),MATCH(COLUMNS($AC$1006:AK1006),$AC$1006:$AS$1006,0)), HYPERLINK("#",""), HYPERLINK(CONCATENATE("#Metadata!", ADDRESS(INDEX($X$2:$X$1001,MATCH(ROWS($V$2:V137),$V$2:$V$1001,0),0), INDEX($AC$1004:$AS$1004,1,MATCH(COLUMNS($AC$1006:AK1006),$AC$1006:$AS$1006,0)))),"Fix")))</f>
        <v>0</v>
      </c>
      <c r="K137" s="5">
        <f>IF(OR(INDEX($W$2:$W$1001,MATCH(ROWS($V$2:V137),$V$2:$V$1001,0),1)&gt;=100000,INDEX($AC$1005:$AS$1005,1,MATCH(COLUMNS($AC$1006:AL1006),$AC$1006:$AS$1006,0))&gt;=100000), " ",IF(INDEX($AC$2:$AS$1001,MATCH(ROWS($V$2:V137),$V$2:$V$1001,0),MATCH(COLUMNS($AC$1006:AL1006),$AC$1006:$AS$1006,0)), HYPERLINK("#",""), HYPERLINK(CONCATENATE("#Metadata!", ADDRESS(INDEX($X$2:$X$1001,MATCH(ROWS($V$2:V137),$V$2:$V$1001,0),0), INDEX($AC$1004:$AS$1004,1,MATCH(COLUMNS($AC$1006:AL1006),$AC$1006:$AS$1006,0)))),"Fix")))</f>
        <v>0</v>
      </c>
      <c r="L137" s="5">
        <f>IF(OR(INDEX($W$2:$W$1001,MATCH(ROWS($V$2:V137),$V$2:$V$1001,0),1)&gt;=100000,INDEX($AC$1005:$AS$1005,1,MATCH(COLUMNS($AC$1006:AM1006),$AC$1006:$AS$1006,0))&gt;=100000), " ",IF(INDEX($AC$2:$AS$1001,MATCH(ROWS($V$2:V137),$V$2:$V$1001,0),MATCH(COLUMNS($AC$1006:AM1006),$AC$1006:$AS$1006,0)), HYPERLINK("#",""), HYPERLINK(CONCATENATE("#Metadata!", ADDRESS(INDEX($X$2:$X$1001,MATCH(ROWS($V$2:V137),$V$2:$V$1001,0),0), INDEX($AC$1004:$AS$1004,1,MATCH(COLUMNS($AC$1006:AM1006),$AC$1006:$AS$1006,0)))),"Fix")))</f>
        <v>0</v>
      </c>
      <c r="M137" s="5">
        <f>IF(OR(INDEX($W$2:$W$1001,MATCH(ROWS($V$2:V137),$V$2:$V$1001,0),1)&gt;=100000,INDEX($AC$1005:$AS$1005,1,MATCH(COLUMNS($AC$1006:AN1006),$AC$1006:$AS$1006,0))&gt;=100000), " ",IF(INDEX($AC$2:$AS$1001,MATCH(ROWS($V$2:V137),$V$2:$V$1001,0),MATCH(COLUMNS($AC$1006:AN1006),$AC$1006:$AS$1006,0)), HYPERLINK("#",""), HYPERLINK(CONCATENATE("#Metadata!", ADDRESS(INDEX($X$2:$X$1001,MATCH(ROWS($V$2:V137),$V$2:$V$1001,0),0), INDEX($AC$1004:$AS$1004,1,MATCH(COLUMNS($AC$1006:AN1006),$AC$1006:$AS$1006,0)))),"Fix")))</f>
        <v>0</v>
      </c>
      <c r="N137" s="5">
        <f>IF(OR(INDEX($W$2:$W$1001,MATCH(ROWS($V$2:V137),$V$2:$V$1001,0),1)&gt;=100000,INDEX($AC$1005:$AS$1005,1,MATCH(COLUMNS($AC$1006:AO1006),$AC$1006:$AS$1006,0))&gt;=100000), " ",IF(INDEX($AC$2:$AS$1001,MATCH(ROWS($V$2:V137),$V$2:$V$1001,0),MATCH(COLUMNS($AC$1006:AO1006),$AC$1006:$AS$1006,0)), HYPERLINK("#",""), HYPERLINK(CONCATENATE("#Metadata!", ADDRESS(INDEX($X$2:$X$1001,MATCH(ROWS($V$2:V137),$V$2:$V$1001,0),0), INDEX($AC$1004:$AS$1004,1,MATCH(COLUMNS($AC$1006:AO1006),$AC$1006:$AS$1006,0)))),"Fix")))</f>
        <v>0</v>
      </c>
      <c r="O137" s="5">
        <f>IF(OR(INDEX($W$2:$W$1001,MATCH(ROWS($V$2:V137),$V$2:$V$1001,0),1)&gt;=100000,INDEX($AC$1005:$AS$1005,1,MATCH(COLUMNS($AC$1006:AP1006),$AC$1006:$AS$1006,0))&gt;=100000), " ",IF(INDEX($AC$2:$AS$1001,MATCH(ROWS($V$2:V137),$V$2:$V$1001,0),MATCH(COLUMNS($AC$1006:AP1006),$AC$1006:$AS$1006,0)), HYPERLINK("#",""), HYPERLINK(CONCATENATE("#Metadata!", ADDRESS(INDEX($X$2:$X$1001,MATCH(ROWS($V$2:V137),$V$2:$V$1001,0),0), INDEX($AC$1004:$AS$1004,1,MATCH(COLUMNS($AC$1006:AP1006),$AC$1006:$AS$1006,0)))),"Fix")))</f>
        <v>0</v>
      </c>
      <c r="P137" s="5">
        <f>IF(OR(INDEX($W$2:$W$1001,MATCH(ROWS($V$2:V137),$V$2:$V$1001,0),1)&gt;=100000,INDEX($AC$1005:$AS$1005,1,MATCH(COLUMNS($AC$1006:AQ1006),$AC$1006:$AS$1006,0))&gt;=100000), " ",IF(INDEX($AC$2:$AS$1001,MATCH(ROWS($V$2:V137),$V$2:$V$1001,0),MATCH(COLUMNS($AC$1006:AQ1006),$AC$1006:$AS$1006,0)), HYPERLINK("#",""), HYPERLINK(CONCATENATE("#Metadata!", ADDRESS(INDEX($X$2:$X$1001,MATCH(ROWS($V$2:V137),$V$2:$V$1001,0),0), INDEX($AC$1004:$AS$1004,1,MATCH(COLUMNS($AC$1006:AQ1006),$AC$1006:$AS$1006,0)))),"Fix")))</f>
        <v>0</v>
      </c>
      <c r="Q137" s="5">
        <f>IF(OR(INDEX($W$2:$W$1001,MATCH(ROWS($V$2:V137),$V$2:$V$1001,0),1)&gt;=100000,INDEX($AC$1005:$AS$1005,1,MATCH(COLUMNS($AC$1006:AR1006),$AC$1006:$AS$1006,0))&gt;=100000), " ",IF(INDEX($AC$2:$AS$1001,MATCH(ROWS($V$2:V137),$V$2:$V$1001,0),MATCH(COLUMNS($AC$1006:AR1006),$AC$1006:$AS$1006,0)), HYPERLINK("#",""), HYPERLINK(CONCATENATE("#Metadata!", ADDRESS(INDEX($X$2:$X$1001,MATCH(ROWS($V$2:V137),$V$2:$V$1001,0),0), INDEX($AC$1004:$AS$1004,1,MATCH(COLUMNS($AC$1006:AR1006),$AC$1006:$AS$1006,0)))),"Fix")))</f>
        <v>0</v>
      </c>
      <c r="R137" s="5">
        <f>IF(OR(INDEX($W$2:$W$1001,MATCH(ROWS($V$2:V137),$V$2:$V$1001,0),1)&gt;=100000,INDEX($AC$1005:$AS$1005,1,MATCH(COLUMNS($AC$1006:AS1006),$AC$1006:$AS$1006,0))&gt;=100000), " ",IF(INDEX($AC$2:$AS$1001,MATCH(ROWS($V$2:V137),$V$2:$V$1001,0),MATCH(COLUMNS($AC$1006:AS1006),$AC$1006:$AS$1006,0)), HYPERLINK("#",""), HYPERLINK(CONCATENATE("#Metadata!", ADDRESS(INDEX($X$2:$X$1001,MATCH(ROWS($V$2:V137),$V$2:$V$1001,0),0), INDEX($AC$1004:$AS$1004,1,MATCH(COLUMNS($AC$1006:AS1006),$AC$1006:$AS$1006,0)))),"Fix")))</f>
        <v>0</v>
      </c>
      <c r="V137">
        <v>0</v>
      </c>
      <c r="W137">
        <v>0</v>
      </c>
      <c r="X137">
        <v>0</v>
      </c>
      <c r="Y137">
        <f>IF(Z137,TRUE,AND(AC137:AS137))</f>
        <v>0</v>
      </c>
      <c r="Z137">
        <f>COUNTBLANK(Metadata!B137:R137)=COLUMNS(Metadata!B137:R137)</f>
        <v>0</v>
      </c>
      <c r="AA137">
        <v>0</v>
      </c>
      <c r="AC137">
        <f>AND(IF(Metadata!B137="",FALSE,TRUE),COUNTIF(Metadata!B:B, Metadata!B137) = 1,NOT(ISERROR(SUMPRODUCT(SEARCH(MID(Metadata!B137,ROW(INDIRECT("1:"&amp;LEN(Metadata!B137))), 1),"0123456789abcdefghijklmnopqrstuvwxyzABCDEFGHIJKLMNOPQRSTUVWXYZ.")))))</f>
        <v>0</v>
      </c>
      <c r="AD137">
        <f>AND(IF(Metadata!C137="",FALSE,TRUE),exact(Metadata!C137,"Host-associated"))</f>
        <v>0</v>
      </c>
      <c r="AE137">
        <f>AND(IF(Metadata!D137="",FALSE,TRUE),OR(exact(Metadata!D137,"Animal"),exact(Metadata!D137,"Fungus"),exact(Metadata!D137,"Plant")))</f>
        <v>0</v>
      </c>
      <c r="AF137">
        <f>AND(IF(Metadata!E137="",FALSE,TRUE),OR(exact(Metadata!E137,"Plant secretion"),exact(Metadata!E137,"Plant rhizosphere"),exact(Metadata!E137,"Plant surface"),exact(Metadata!E137,"Plant corpus"),exact(Metadata!E137,"Fungus surface"),exact(Metadata!E137,"Fungus corpus"),exact(Metadata!E137,"Animal surface"),exact(Metadata!E137,"Animal proximal gut"),exact(Metadata!E137,"Animal corpus"),exact(Metadata!E137,"Animal distal gut"),exact(Metadata!E137,"Animal secretion")))</f>
        <v>0</v>
      </c>
      <c r="AG137">
        <f>OR(AND(IF(Metadata!F137="",FALSE,TRUE),OR(exact(Metadata!F137,"not collected"),exact(Metadata!F137,"not provided"),exact(Metadata!F137,"restricted access"))),AND(IF(Metadata!F137="",FALSE,TRUE),OR(exact(Metadata!F137,"organism-associated habitat"),exact(Metadata!F137,"plant-associated habitat"),exact(Metadata!F137,"animal-associated habitat"),exact(Metadata!F137,"insecta-associated habitat"),exact(Metadata!F137,"mammalia-associated habitat"),exact(Metadata!F137,"human-associated habitat"),exact(Metadata!F137,"livestock-associated habitat"))))</f>
        <v>0</v>
      </c>
      <c r="AH137">
        <f>AND(IF(Metadata!G137="",FALSE,TRUE),exact(Metadata!G137,"host-associated"))</f>
        <v>0</v>
      </c>
      <c r="AI137">
        <f>OR(AND(IF(Metadata!H137="",FALSE,TRUE),OR(exact(Metadata!H137,"not collected"),exact(Metadata!H137,"not provided"))),AND(IF(Metadata!H137="",FALSE,ISNUMBER(VALUE(Metadata!H137))),Metadata!H137&gt;0))</f>
        <v>0</v>
      </c>
      <c r="AJ137">
        <f>AND(IF(Metadata!I137="",FALSE,TRUE),exact(Metadata!I137,"years"))</f>
        <v>0</v>
      </c>
      <c r="AK137">
        <f>IF(Metadata!J137="",FALSE,TRUE)</f>
        <v>0</v>
      </c>
      <c r="AL137">
        <f>OR(AND(IF(Metadata!K137="",FALSE,TRUE),OR(exact(Metadata!K137,"not collected"),exact(Metadata!K137,"not provided"))),AND(IF(Metadata!K137="",FALSE,ISNUMBER(VALUE(Metadata!K137))),Metadata!K137&gt;0))</f>
        <v>0</v>
      </c>
      <c r="AM137">
        <f>AND(IF(Metadata!L137="",FALSE,TRUE),exact(Metadata!L137,"cm"))</f>
        <v>0</v>
      </c>
      <c r="AN137">
        <f>IF(Metadata!M137="",FALSE,TRUE)</f>
        <v>0</v>
      </c>
      <c r="AO137">
        <f>OR(AND(IF(Metadata!N137="",FALSE,TRUE),OR(exact(Metadata!N137,"not applicable"),exact(Metadata!N137,"not collected"),exact(Metadata!N137,"not provided"))),AND(IF(Metadata!N137="",FALSE,IF(ISERROR(INT(Metadata!N137)),FALSE,INT(Metadata!N137)=Metadata!N137)),Metadata!N137&gt;0))</f>
        <v>0</v>
      </c>
      <c r="AP137">
        <f>OR(AND(IF(Metadata!O137="",FALSE,TRUE),OR(exact(Metadata!O137,"not collected"),exact(Metadata!O137,"not provided"))),AND(IF(Metadata!O137="",FALSE,ISNUMBER(VALUE(Metadata!O137))),Metadata!O137&gt;0))</f>
        <v>0</v>
      </c>
      <c r="AQ137">
        <f>AND(IF(Metadata!P137="",FALSE,TRUE),exact(Metadata!P137,"kg"))</f>
        <v>0</v>
      </c>
      <c r="AR137">
        <f>OR(AND(IF(Metadata!Q137="",FALSE,TRUE),OR(exact(Metadata!Q137,"not applicable"),exact(Metadata!Q137,"not collected"),exact(Metadata!Q137,"not provided"),exact(Metadata!Q137,"restricted access"))),IF(Metadata!Q137="",FALSE,IF(ISERROR(INT(Metadata!Q137)),FALSE,INT(Metadata!Q137)=Metadata!Q137)))</f>
        <v>0</v>
      </c>
      <c r="AS137">
        <f>AND(IF(Metadata!R137="",FALSE,TRUE),exact(Metadata!R137,"Not applicable"))</f>
        <v>0</v>
      </c>
    </row>
    <row r="138" spans="1:45">
      <c r="A138" s="4">
        <f>IF(B138=" "," ",HYPERLINK(CONCATENATE("#metadata!",ADDRESS(INDEX($X$2:$X$1001,MATCH(ROWS($V$2:V138),$V$2:$V$1001,0),0),2)),INDEX($AA$2:$AA$1001,MATCH(ROWS($V$2:V138),$V$2:$V$1001,0),0)))</f>
        <v>0</v>
      </c>
      <c r="B138" s="5">
        <f>IF(OR(INDEX($W$2:$W$1001,MATCH(ROWS($V$2:V138),$V$2:$V$1001,0),1)&gt;=100000,INDEX($AC$1005:$AS$1005,1,MATCH(COLUMNS($AC$1006:AC1006),$AC$1006:$AS$1006,0))&gt;=100000), " ",IF(INDEX($AC$2:$AS$1001,MATCH(ROWS($V$2:V138),$V$2:$V$1001,0),MATCH(COLUMNS($AC$1006:AC1006),$AC$1006:$AS$1006,0)), HYPERLINK("#",""), HYPERLINK(CONCATENATE("#Metadata!", ADDRESS(INDEX($X$2:$X$1001,MATCH(ROWS($V$2:V138),$V$2:$V$1001,0),0), INDEX($AC$1004:$AS$1004,1,MATCH(COLUMNS($AC$1006:AC1006),$AC$1006:$AS$1006,0)))),"Fix")))</f>
        <v>0</v>
      </c>
      <c r="C138" s="5">
        <f>IF(OR(INDEX($W$2:$W$1001,MATCH(ROWS($V$2:V138),$V$2:$V$1001,0),1)&gt;=100000,INDEX($AC$1005:$AS$1005,1,MATCH(COLUMNS($AC$1006:AD1006),$AC$1006:$AS$1006,0))&gt;=100000), " ",IF(INDEX($AC$2:$AS$1001,MATCH(ROWS($V$2:V138),$V$2:$V$1001,0),MATCH(COLUMNS($AC$1006:AD1006),$AC$1006:$AS$1006,0)), HYPERLINK("#",""), HYPERLINK(CONCATENATE("#Metadata!", ADDRESS(INDEX($X$2:$X$1001,MATCH(ROWS($V$2:V138),$V$2:$V$1001,0),0), INDEX($AC$1004:$AS$1004,1,MATCH(COLUMNS($AC$1006:AD1006),$AC$1006:$AS$1006,0)))),"Fix")))</f>
        <v>0</v>
      </c>
      <c r="D138" s="5">
        <f>IF(OR(INDEX($W$2:$W$1001,MATCH(ROWS($V$2:V138),$V$2:$V$1001,0),1)&gt;=100000,INDEX($AC$1005:$AS$1005,1,MATCH(COLUMNS($AC$1006:AE1006),$AC$1006:$AS$1006,0))&gt;=100000), " ",IF(INDEX($AC$2:$AS$1001,MATCH(ROWS($V$2:V138),$V$2:$V$1001,0),MATCH(COLUMNS($AC$1006:AE1006),$AC$1006:$AS$1006,0)), HYPERLINK("#",""), HYPERLINK(CONCATENATE("#Metadata!", ADDRESS(INDEX($X$2:$X$1001,MATCH(ROWS($V$2:V138),$V$2:$V$1001,0),0), INDEX($AC$1004:$AS$1004,1,MATCH(COLUMNS($AC$1006:AE1006),$AC$1006:$AS$1006,0)))),"Fix")))</f>
        <v>0</v>
      </c>
      <c r="E138" s="5">
        <f>IF(OR(INDEX($W$2:$W$1001,MATCH(ROWS($V$2:V138),$V$2:$V$1001,0),1)&gt;=100000,INDEX($AC$1005:$AS$1005,1,MATCH(COLUMNS($AC$1006:AF1006),$AC$1006:$AS$1006,0))&gt;=100000), " ",IF(INDEX($AC$2:$AS$1001,MATCH(ROWS($V$2:V138),$V$2:$V$1001,0),MATCH(COLUMNS($AC$1006:AF1006),$AC$1006:$AS$1006,0)), HYPERLINK("#",""), HYPERLINK(CONCATENATE("#Metadata!", ADDRESS(INDEX($X$2:$X$1001,MATCH(ROWS($V$2:V138),$V$2:$V$1001,0),0), INDEX($AC$1004:$AS$1004,1,MATCH(COLUMNS($AC$1006:AF1006),$AC$1006:$AS$1006,0)))),"Fix")))</f>
        <v>0</v>
      </c>
      <c r="F138" s="5">
        <f>IF(OR(INDEX($W$2:$W$1001,MATCH(ROWS($V$2:V138),$V$2:$V$1001,0),1)&gt;=100000,INDEX($AC$1005:$AS$1005,1,MATCH(COLUMNS($AC$1006:AG1006),$AC$1006:$AS$1006,0))&gt;=100000), " ",IF(INDEX($AC$2:$AS$1001,MATCH(ROWS($V$2:V138),$V$2:$V$1001,0),MATCH(COLUMNS($AC$1006:AG1006),$AC$1006:$AS$1006,0)), HYPERLINK("#",""), HYPERLINK(CONCATENATE("#Metadata!", ADDRESS(INDEX($X$2:$X$1001,MATCH(ROWS($V$2:V138),$V$2:$V$1001,0),0), INDEX($AC$1004:$AS$1004,1,MATCH(COLUMNS($AC$1006:AG1006),$AC$1006:$AS$1006,0)))),"Fix")))</f>
        <v>0</v>
      </c>
      <c r="G138" s="5">
        <f>IF(OR(INDEX($W$2:$W$1001,MATCH(ROWS($V$2:V138),$V$2:$V$1001,0),1)&gt;=100000,INDEX($AC$1005:$AS$1005,1,MATCH(COLUMNS($AC$1006:AH1006),$AC$1006:$AS$1006,0))&gt;=100000), " ",IF(INDEX($AC$2:$AS$1001,MATCH(ROWS($V$2:V138),$V$2:$V$1001,0),MATCH(COLUMNS($AC$1006:AH1006),$AC$1006:$AS$1006,0)), HYPERLINK("#",""), HYPERLINK(CONCATENATE("#Metadata!", ADDRESS(INDEX($X$2:$X$1001,MATCH(ROWS($V$2:V138),$V$2:$V$1001,0),0), INDEX($AC$1004:$AS$1004,1,MATCH(COLUMNS($AC$1006:AH1006),$AC$1006:$AS$1006,0)))),"Fix")))</f>
        <v>0</v>
      </c>
      <c r="H138" s="5">
        <f>IF(OR(INDEX($W$2:$W$1001,MATCH(ROWS($V$2:V138),$V$2:$V$1001,0),1)&gt;=100000,INDEX($AC$1005:$AS$1005,1,MATCH(COLUMNS($AC$1006:AI1006),$AC$1006:$AS$1006,0))&gt;=100000), " ",IF(INDEX($AC$2:$AS$1001,MATCH(ROWS($V$2:V138),$V$2:$V$1001,0),MATCH(COLUMNS($AC$1006:AI1006),$AC$1006:$AS$1006,0)), HYPERLINK("#",""), HYPERLINK(CONCATENATE("#Metadata!", ADDRESS(INDEX($X$2:$X$1001,MATCH(ROWS($V$2:V138),$V$2:$V$1001,0),0), INDEX($AC$1004:$AS$1004,1,MATCH(COLUMNS($AC$1006:AI1006),$AC$1006:$AS$1006,0)))),"Fix")))</f>
        <v>0</v>
      </c>
      <c r="I138" s="5">
        <f>IF(OR(INDEX($W$2:$W$1001,MATCH(ROWS($V$2:V138),$V$2:$V$1001,0),1)&gt;=100000,INDEX($AC$1005:$AS$1005,1,MATCH(COLUMNS($AC$1006:AJ1006),$AC$1006:$AS$1006,0))&gt;=100000), " ",IF(INDEX($AC$2:$AS$1001,MATCH(ROWS($V$2:V138),$V$2:$V$1001,0),MATCH(COLUMNS($AC$1006:AJ1006),$AC$1006:$AS$1006,0)), HYPERLINK("#",""), HYPERLINK(CONCATENATE("#Metadata!", ADDRESS(INDEX($X$2:$X$1001,MATCH(ROWS($V$2:V138),$V$2:$V$1001,0),0), INDEX($AC$1004:$AS$1004,1,MATCH(COLUMNS($AC$1006:AJ1006),$AC$1006:$AS$1006,0)))),"Fix")))</f>
        <v>0</v>
      </c>
      <c r="J138" s="5">
        <f>IF(OR(INDEX($W$2:$W$1001,MATCH(ROWS($V$2:V138),$V$2:$V$1001,0),1)&gt;=100000,INDEX($AC$1005:$AS$1005,1,MATCH(COLUMNS($AC$1006:AK1006),$AC$1006:$AS$1006,0))&gt;=100000), " ",IF(INDEX($AC$2:$AS$1001,MATCH(ROWS($V$2:V138),$V$2:$V$1001,0),MATCH(COLUMNS($AC$1006:AK1006),$AC$1006:$AS$1006,0)), HYPERLINK("#",""), HYPERLINK(CONCATENATE("#Metadata!", ADDRESS(INDEX($X$2:$X$1001,MATCH(ROWS($V$2:V138),$V$2:$V$1001,0),0), INDEX($AC$1004:$AS$1004,1,MATCH(COLUMNS($AC$1006:AK1006),$AC$1006:$AS$1006,0)))),"Fix")))</f>
        <v>0</v>
      </c>
      <c r="K138" s="5">
        <f>IF(OR(INDEX($W$2:$W$1001,MATCH(ROWS($V$2:V138),$V$2:$V$1001,0),1)&gt;=100000,INDEX($AC$1005:$AS$1005,1,MATCH(COLUMNS($AC$1006:AL1006),$AC$1006:$AS$1006,0))&gt;=100000), " ",IF(INDEX($AC$2:$AS$1001,MATCH(ROWS($V$2:V138),$V$2:$V$1001,0),MATCH(COLUMNS($AC$1006:AL1006),$AC$1006:$AS$1006,0)), HYPERLINK("#",""), HYPERLINK(CONCATENATE("#Metadata!", ADDRESS(INDEX($X$2:$X$1001,MATCH(ROWS($V$2:V138),$V$2:$V$1001,0),0), INDEX($AC$1004:$AS$1004,1,MATCH(COLUMNS($AC$1006:AL1006),$AC$1006:$AS$1006,0)))),"Fix")))</f>
        <v>0</v>
      </c>
      <c r="L138" s="5">
        <f>IF(OR(INDEX($W$2:$W$1001,MATCH(ROWS($V$2:V138),$V$2:$V$1001,0),1)&gt;=100000,INDEX($AC$1005:$AS$1005,1,MATCH(COLUMNS($AC$1006:AM1006),$AC$1006:$AS$1006,0))&gt;=100000), " ",IF(INDEX($AC$2:$AS$1001,MATCH(ROWS($V$2:V138),$V$2:$V$1001,0),MATCH(COLUMNS($AC$1006:AM1006),$AC$1006:$AS$1006,0)), HYPERLINK("#",""), HYPERLINK(CONCATENATE("#Metadata!", ADDRESS(INDEX($X$2:$X$1001,MATCH(ROWS($V$2:V138),$V$2:$V$1001,0),0), INDEX($AC$1004:$AS$1004,1,MATCH(COLUMNS($AC$1006:AM1006),$AC$1006:$AS$1006,0)))),"Fix")))</f>
        <v>0</v>
      </c>
      <c r="M138" s="5">
        <f>IF(OR(INDEX($W$2:$W$1001,MATCH(ROWS($V$2:V138),$V$2:$V$1001,0),1)&gt;=100000,INDEX($AC$1005:$AS$1005,1,MATCH(COLUMNS($AC$1006:AN1006),$AC$1006:$AS$1006,0))&gt;=100000), " ",IF(INDEX($AC$2:$AS$1001,MATCH(ROWS($V$2:V138),$V$2:$V$1001,0),MATCH(COLUMNS($AC$1006:AN1006),$AC$1006:$AS$1006,0)), HYPERLINK("#",""), HYPERLINK(CONCATENATE("#Metadata!", ADDRESS(INDEX($X$2:$X$1001,MATCH(ROWS($V$2:V138),$V$2:$V$1001,0),0), INDEX($AC$1004:$AS$1004,1,MATCH(COLUMNS($AC$1006:AN1006),$AC$1006:$AS$1006,0)))),"Fix")))</f>
        <v>0</v>
      </c>
      <c r="N138" s="5">
        <f>IF(OR(INDEX($W$2:$W$1001,MATCH(ROWS($V$2:V138),$V$2:$V$1001,0),1)&gt;=100000,INDEX($AC$1005:$AS$1005,1,MATCH(COLUMNS($AC$1006:AO1006),$AC$1006:$AS$1006,0))&gt;=100000), " ",IF(INDEX($AC$2:$AS$1001,MATCH(ROWS($V$2:V138),$V$2:$V$1001,0),MATCH(COLUMNS($AC$1006:AO1006),$AC$1006:$AS$1006,0)), HYPERLINK("#",""), HYPERLINK(CONCATENATE("#Metadata!", ADDRESS(INDEX($X$2:$X$1001,MATCH(ROWS($V$2:V138),$V$2:$V$1001,0),0), INDEX($AC$1004:$AS$1004,1,MATCH(COLUMNS($AC$1006:AO1006),$AC$1006:$AS$1006,0)))),"Fix")))</f>
        <v>0</v>
      </c>
      <c r="O138" s="5">
        <f>IF(OR(INDEX($W$2:$W$1001,MATCH(ROWS($V$2:V138),$V$2:$V$1001,0),1)&gt;=100000,INDEX($AC$1005:$AS$1005,1,MATCH(COLUMNS($AC$1006:AP1006),$AC$1006:$AS$1006,0))&gt;=100000), " ",IF(INDEX($AC$2:$AS$1001,MATCH(ROWS($V$2:V138),$V$2:$V$1001,0),MATCH(COLUMNS($AC$1006:AP1006),$AC$1006:$AS$1006,0)), HYPERLINK("#",""), HYPERLINK(CONCATENATE("#Metadata!", ADDRESS(INDEX($X$2:$X$1001,MATCH(ROWS($V$2:V138),$V$2:$V$1001,0),0), INDEX($AC$1004:$AS$1004,1,MATCH(COLUMNS($AC$1006:AP1006),$AC$1006:$AS$1006,0)))),"Fix")))</f>
        <v>0</v>
      </c>
      <c r="P138" s="5">
        <f>IF(OR(INDEX($W$2:$W$1001,MATCH(ROWS($V$2:V138),$V$2:$V$1001,0),1)&gt;=100000,INDEX($AC$1005:$AS$1005,1,MATCH(COLUMNS($AC$1006:AQ1006),$AC$1006:$AS$1006,0))&gt;=100000), " ",IF(INDEX($AC$2:$AS$1001,MATCH(ROWS($V$2:V138),$V$2:$V$1001,0),MATCH(COLUMNS($AC$1006:AQ1006),$AC$1006:$AS$1006,0)), HYPERLINK("#",""), HYPERLINK(CONCATENATE("#Metadata!", ADDRESS(INDEX($X$2:$X$1001,MATCH(ROWS($V$2:V138),$V$2:$V$1001,0),0), INDEX($AC$1004:$AS$1004,1,MATCH(COLUMNS($AC$1006:AQ1006),$AC$1006:$AS$1006,0)))),"Fix")))</f>
        <v>0</v>
      </c>
      <c r="Q138" s="5">
        <f>IF(OR(INDEX($W$2:$W$1001,MATCH(ROWS($V$2:V138),$V$2:$V$1001,0),1)&gt;=100000,INDEX($AC$1005:$AS$1005,1,MATCH(COLUMNS($AC$1006:AR1006),$AC$1006:$AS$1006,0))&gt;=100000), " ",IF(INDEX($AC$2:$AS$1001,MATCH(ROWS($V$2:V138),$V$2:$V$1001,0),MATCH(COLUMNS($AC$1006:AR1006),$AC$1006:$AS$1006,0)), HYPERLINK("#",""), HYPERLINK(CONCATENATE("#Metadata!", ADDRESS(INDEX($X$2:$X$1001,MATCH(ROWS($V$2:V138),$V$2:$V$1001,0),0), INDEX($AC$1004:$AS$1004,1,MATCH(COLUMNS($AC$1006:AR1006),$AC$1006:$AS$1006,0)))),"Fix")))</f>
        <v>0</v>
      </c>
      <c r="R138" s="5">
        <f>IF(OR(INDEX($W$2:$W$1001,MATCH(ROWS($V$2:V138),$V$2:$V$1001,0),1)&gt;=100000,INDEX($AC$1005:$AS$1005,1,MATCH(COLUMNS($AC$1006:AS1006),$AC$1006:$AS$1006,0))&gt;=100000), " ",IF(INDEX($AC$2:$AS$1001,MATCH(ROWS($V$2:V138),$V$2:$V$1001,0),MATCH(COLUMNS($AC$1006:AS1006),$AC$1006:$AS$1006,0)), HYPERLINK("#",""), HYPERLINK(CONCATENATE("#Metadata!", ADDRESS(INDEX($X$2:$X$1001,MATCH(ROWS($V$2:V138),$V$2:$V$1001,0),0), INDEX($AC$1004:$AS$1004,1,MATCH(COLUMNS($AC$1006:AS1006),$AC$1006:$AS$1006,0)))),"Fix")))</f>
        <v>0</v>
      </c>
      <c r="V138">
        <v>0</v>
      </c>
      <c r="W138">
        <v>0</v>
      </c>
      <c r="X138">
        <v>0</v>
      </c>
      <c r="Y138">
        <f>IF(Z138,TRUE,AND(AC138:AS138))</f>
        <v>0</v>
      </c>
      <c r="Z138">
        <f>COUNTBLANK(Metadata!B138:R138)=COLUMNS(Metadata!B138:R138)</f>
        <v>0</v>
      </c>
      <c r="AA138">
        <v>0</v>
      </c>
      <c r="AC138">
        <f>AND(IF(Metadata!B138="",FALSE,TRUE),COUNTIF(Metadata!B:B, Metadata!B138) = 1,NOT(ISERROR(SUMPRODUCT(SEARCH(MID(Metadata!B138,ROW(INDIRECT("1:"&amp;LEN(Metadata!B138))), 1),"0123456789abcdefghijklmnopqrstuvwxyzABCDEFGHIJKLMNOPQRSTUVWXYZ.")))))</f>
        <v>0</v>
      </c>
      <c r="AD138">
        <f>AND(IF(Metadata!C138="",FALSE,TRUE),exact(Metadata!C138,"Host-associated"))</f>
        <v>0</v>
      </c>
      <c r="AE138">
        <f>AND(IF(Metadata!D138="",FALSE,TRUE),OR(exact(Metadata!D138,"Animal"),exact(Metadata!D138,"Fungus"),exact(Metadata!D138,"Plant")))</f>
        <v>0</v>
      </c>
      <c r="AF138">
        <f>AND(IF(Metadata!E138="",FALSE,TRUE),OR(exact(Metadata!E138,"Plant secretion"),exact(Metadata!E138,"Plant rhizosphere"),exact(Metadata!E138,"Plant surface"),exact(Metadata!E138,"Plant corpus"),exact(Metadata!E138,"Fungus surface"),exact(Metadata!E138,"Fungus corpus"),exact(Metadata!E138,"Animal surface"),exact(Metadata!E138,"Animal proximal gut"),exact(Metadata!E138,"Animal corpus"),exact(Metadata!E138,"Animal distal gut"),exact(Metadata!E138,"Animal secretion")))</f>
        <v>0</v>
      </c>
      <c r="AG138">
        <f>OR(AND(IF(Metadata!F138="",FALSE,TRUE),OR(exact(Metadata!F138,"not collected"),exact(Metadata!F138,"not provided"),exact(Metadata!F138,"restricted access"))),AND(IF(Metadata!F138="",FALSE,TRUE),OR(exact(Metadata!F138,"organism-associated habitat"),exact(Metadata!F138,"plant-associated habitat"),exact(Metadata!F138,"animal-associated habitat"),exact(Metadata!F138,"insecta-associated habitat"),exact(Metadata!F138,"mammalia-associated habitat"),exact(Metadata!F138,"human-associated habitat"),exact(Metadata!F138,"livestock-associated habitat"))))</f>
        <v>0</v>
      </c>
      <c r="AH138">
        <f>AND(IF(Metadata!G138="",FALSE,TRUE),exact(Metadata!G138,"host-associated"))</f>
        <v>0</v>
      </c>
      <c r="AI138">
        <f>OR(AND(IF(Metadata!H138="",FALSE,TRUE),OR(exact(Metadata!H138,"not collected"),exact(Metadata!H138,"not provided"))),AND(IF(Metadata!H138="",FALSE,ISNUMBER(VALUE(Metadata!H138))),Metadata!H138&gt;0))</f>
        <v>0</v>
      </c>
      <c r="AJ138">
        <f>AND(IF(Metadata!I138="",FALSE,TRUE),exact(Metadata!I138,"years"))</f>
        <v>0</v>
      </c>
      <c r="AK138">
        <f>IF(Metadata!J138="",FALSE,TRUE)</f>
        <v>0</v>
      </c>
      <c r="AL138">
        <f>OR(AND(IF(Metadata!K138="",FALSE,TRUE),OR(exact(Metadata!K138,"not collected"),exact(Metadata!K138,"not provided"))),AND(IF(Metadata!K138="",FALSE,ISNUMBER(VALUE(Metadata!K138))),Metadata!K138&gt;0))</f>
        <v>0</v>
      </c>
      <c r="AM138">
        <f>AND(IF(Metadata!L138="",FALSE,TRUE),exact(Metadata!L138,"cm"))</f>
        <v>0</v>
      </c>
      <c r="AN138">
        <f>IF(Metadata!M138="",FALSE,TRUE)</f>
        <v>0</v>
      </c>
      <c r="AO138">
        <f>OR(AND(IF(Metadata!N138="",FALSE,TRUE),OR(exact(Metadata!N138,"not applicable"),exact(Metadata!N138,"not collected"),exact(Metadata!N138,"not provided"))),AND(IF(Metadata!N138="",FALSE,IF(ISERROR(INT(Metadata!N138)),FALSE,INT(Metadata!N138)=Metadata!N138)),Metadata!N138&gt;0))</f>
        <v>0</v>
      </c>
      <c r="AP138">
        <f>OR(AND(IF(Metadata!O138="",FALSE,TRUE),OR(exact(Metadata!O138,"not collected"),exact(Metadata!O138,"not provided"))),AND(IF(Metadata!O138="",FALSE,ISNUMBER(VALUE(Metadata!O138))),Metadata!O138&gt;0))</f>
        <v>0</v>
      </c>
      <c r="AQ138">
        <f>AND(IF(Metadata!P138="",FALSE,TRUE),exact(Metadata!P138,"kg"))</f>
        <v>0</v>
      </c>
      <c r="AR138">
        <f>OR(AND(IF(Metadata!Q138="",FALSE,TRUE),OR(exact(Metadata!Q138,"not applicable"),exact(Metadata!Q138,"not collected"),exact(Metadata!Q138,"not provided"),exact(Metadata!Q138,"restricted access"))),IF(Metadata!Q138="",FALSE,IF(ISERROR(INT(Metadata!Q138)),FALSE,INT(Metadata!Q138)=Metadata!Q138)))</f>
        <v>0</v>
      </c>
      <c r="AS138">
        <f>AND(IF(Metadata!R138="",FALSE,TRUE),exact(Metadata!R138,"Not applicable"))</f>
        <v>0</v>
      </c>
    </row>
    <row r="139" spans="1:45">
      <c r="A139" s="4">
        <f>IF(B139=" "," ",HYPERLINK(CONCATENATE("#metadata!",ADDRESS(INDEX($X$2:$X$1001,MATCH(ROWS($V$2:V139),$V$2:$V$1001,0),0),2)),INDEX($AA$2:$AA$1001,MATCH(ROWS($V$2:V139),$V$2:$V$1001,0),0)))</f>
        <v>0</v>
      </c>
      <c r="B139" s="5">
        <f>IF(OR(INDEX($W$2:$W$1001,MATCH(ROWS($V$2:V139),$V$2:$V$1001,0),1)&gt;=100000,INDEX($AC$1005:$AS$1005,1,MATCH(COLUMNS($AC$1006:AC1006),$AC$1006:$AS$1006,0))&gt;=100000), " ",IF(INDEX($AC$2:$AS$1001,MATCH(ROWS($V$2:V139),$V$2:$V$1001,0),MATCH(COLUMNS($AC$1006:AC1006),$AC$1006:$AS$1006,0)), HYPERLINK("#",""), HYPERLINK(CONCATENATE("#Metadata!", ADDRESS(INDEX($X$2:$X$1001,MATCH(ROWS($V$2:V139),$V$2:$V$1001,0),0), INDEX($AC$1004:$AS$1004,1,MATCH(COLUMNS($AC$1006:AC1006),$AC$1006:$AS$1006,0)))),"Fix")))</f>
        <v>0</v>
      </c>
      <c r="C139" s="5">
        <f>IF(OR(INDEX($W$2:$W$1001,MATCH(ROWS($V$2:V139),$V$2:$V$1001,0),1)&gt;=100000,INDEX($AC$1005:$AS$1005,1,MATCH(COLUMNS($AC$1006:AD1006),$AC$1006:$AS$1006,0))&gt;=100000), " ",IF(INDEX($AC$2:$AS$1001,MATCH(ROWS($V$2:V139),$V$2:$V$1001,0),MATCH(COLUMNS($AC$1006:AD1006),$AC$1006:$AS$1006,0)), HYPERLINK("#",""), HYPERLINK(CONCATENATE("#Metadata!", ADDRESS(INDEX($X$2:$X$1001,MATCH(ROWS($V$2:V139),$V$2:$V$1001,0),0), INDEX($AC$1004:$AS$1004,1,MATCH(COLUMNS($AC$1006:AD1006),$AC$1006:$AS$1006,0)))),"Fix")))</f>
        <v>0</v>
      </c>
      <c r="D139" s="5">
        <f>IF(OR(INDEX($W$2:$W$1001,MATCH(ROWS($V$2:V139),$V$2:$V$1001,0),1)&gt;=100000,INDEX($AC$1005:$AS$1005,1,MATCH(COLUMNS($AC$1006:AE1006),$AC$1006:$AS$1006,0))&gt;=100000), " ",IF(INDEX($AC$2:$AS$1001,MATCH(ROWS($V$2:V139),$V$2:$V$1001,0),MATCH(COLUMNS($AC$1006:AE1006),$AC$1006:$AS$1006,0)), HYPERLINK("#",""), HYPERLINK(CONCATENATE("#Metadata!", ADDRESS(INDEX($X$2:$X$1001,MATCH(ROWS($V$2:V139),$V$2:$V$1001,0),0), INDEX($AC$1004:$AS$1004,1,MATCH(COLUMNS($AC$1006:AE1006),$AC$1006:$AS$1006,0)))),"Fix")))</f>
        <v>0</v>
      </c>
      <c r="E139" s="5">
        <f>IF(OR(INDEX($W$2:$W$1001,MATCH(ROWS($V$2:V139),$V$2:$V$1001,0),1)&gt;=100000,INDEX($AC$1005:$AS$1005,1,MATCH(COLUMNS($AC$1006:AF1006),$AC$1006:$AS$1006,0))&gt;=100000), " ",IF(INDEX($AC$2:$AS$1001,MATCH(ROWS($V$2:V139),$V$2:$V$1001,0),MATCH(COLUMNS($AC$1006:AF1006),$AC$1006:$AS$1006,0)), HYPERLINK("#",""), HYPERLINK(CONCATENATE("#Metadata!", ADDRESS(INDEX($X$2:$X$1001,MATCH(ROWS($V$2:V139),$V$2:$V$1001,0),0), INDEX($AC$1004:$AS$1004,1,MATCH(COLUMNS($AC$1006:AF1006),$AC$1006:$AS$1006,0)))),"Fix")))</f>
        <v>0</v>
      </c>
      <c r="F139" s="5">
        <f>IF(OR(INDEX($W$2:$W$1001,MATCH(ROWS($V$2:V139),$V$2:$V$1001,0),1)&gt;=100000,INDEX($AC$1005:$AS$1005,1,MATCH(COLUMNS($AC$1006:AG1006),$AC$1006:$AS$1006,0))&gt;=100000), " ",IF(INDEX($AC$2:$AS$1001,MATCH(ROWS($V$2:V139),$V$2:$V$1001,0),MATCH(COLUMNS($AC$1006:AG1006),$AC$1006:$AS$1006,0)), HYPERLINK("#",""), HYPERLINK(CONCATENATE("#Metadata!", ADDRESS(INDEX($X$2:$X$1001,MATCH(ROWS($V$2:V139),$V$2:$V$1001,0),0), INDEX($AC$1004:$AS$1004,1,MATCH(COLUMNS($AC$1006:AG1006),$AC$1006:$AS$1006,0)))),"Fix")))</f>
        <v>0</v>
      </c>
      <c r="G139" s="5">
        <f>IF(OR(INDEX($W$2:$W$1001,MATCH(ROWS($V$2:V139),$V$2:$V$1001,0),1)&gt;=100000,INDEX($AC$1005:$AS$1005,1,MATCH(COLUMNS($AC$1006:AH1006),$AC$1006:$AS$1006,0))&gt;=100000), " ",IF(INDEX($AC$2:$AS$1001,MATCH(ROWS($V$2:V139),$V$2:$V$1001,0),MATCH(COLUMNS($AC$1006:AH1006),$AC$1006:$AS$1006,0)), HYPERLINK("#",""), HYPERLINK(CONCATENATE("#Metadata!", ADDRESS(INDEX($X$2:$X$1001,MATCH(ROWS($V$2:V139),$V$2:$V$1001,0),0), INDEX($AC$1004:$AS$1004,1,MATCH(COLUMNS($AC$1006:AH1006),$AC$1006:$AS$1006,0)))),"Fix")))</f>
        <v>0</v>
      </c>
      <c r="H139" s="5">
        <f>IF(OR(INDEX($W$2:$W$1001,MATCH(ROWS($V$2:V139),$V$2:$V$1001,0),1)&gt;=100000,INDEX($AC$1005:$AS$1005,1,MATCH(COLUMNS($AC$1006:AI1006),$AC$1006:$AS$1006,0))&gt;=100000), " ",IF(INDEX($AC$2:$AS$1001,MATCH(ROWS($V$2:V139),$V$2:$V$1001,0),MATCH(COLUMNS($AC$1006:AI1006),$AC$1006:$AS$1006,0)), HYPERLINK("#",""), HYPERLINK(CONCATENATE("#Metadata!", ADDRESS(INDEX($X$2:$X$1001,MATCH(ROWS($V$2:V139),$V$2:$V$1001,0),0), INDEX($AC$1004:$AS$1004,1,MATCH(COLUMNS($AC$1006:AI1006),$AC$1006:$AS$1006,0)))),"Fix")))</f>
        <v>0</v>
      </c>
      <c r="I139" s="5">
        <f>IF(OR(INDEX($W$2:$W$1001,MATCH(ROWS($V$2:V139),$V$2:$V$1001,0),1)&gt;=100000,INDEX($AC$1005:$AS$1005,1,MATCH(COLUMNS($AC$1006:AJ1006),$AC$1006:$AS$1006,0))&gt;=100000), " ",IF(INDEX($AC$2:$AS$1001,MATCH(ROWS($V$2:V139),$V$2:$V$1001,0),MATCH(COLUMNS($AC$1006:AJ1006),$AC$1006:$AS$1006,0)), HYPERLINK("#",""), HYPERLINK(CONCATENATE("#Metadata!", ADDRESS(INDEX($X$2:$X$1001,MATCH(ROWS($V$2:V139),$V$2:$V$1001,0),0), INDEX($AC$1004:$AS$1004,1,MATCH(COLUMNS($AC$1006:AJ1006),$AC$1006:$AS$1006,0)))),"Fix")))</f>
        <v>0</v>
      </c>
      <c r="J139" s="5">
        <f>IF(OR(INDEX($W$2:$W$1001,MATCH(ROWS($V$2:V139),$V$2:$V$1001,0),1)&gt;=100000,INDEX($AC$1005:$AS$1005,1,MATCH(COLUMNS($AC$1006:AK1006),$AC$1006:$AS$1006,0))&gt;=100000), " ",IF(INDEX($AC$2:$AS$1001,MATCH(ROWS($V$2:V139),$V$2:$V$1001,0),MATCH(COLUMNS($AC$1006:AK1006),$AC$1006:$AS$1006,0)), HYPERLINK("#",""), HYPERLINK(CONCATENATE("#Metadata!", ADDRESS(INDEX($X$2:$X$1001,MATCH(ROWS($V$2:V139),$V$2:$V$1001,0),0), INDEX($AC$1004:$AS$1004,1,MATCH(COLUMNS($AC$1006:AK1006),$AC$1006:$AS$1006,0)))),"Fix")))</f>
        <v>0</v>
      </c>
      <c r="K139" s="5">
        <f>IF(OR(INDEX($W$2:$W$1001,MATCH(ROWS($V$2:V139),$V$2:$V$1001,0),1)&gt;=100000,INDEX($AC$1005:$AS$1005,1,MATCH(COLUMNS($AC$1006:AL1006),$AC$1006:$AS$1006,0))&gt;=100000), " ",IF(INDEX($AC$2:$AS$1001,MATCH(ROWS($V$2:V139),$V$2:$V$1001,0),MATCH(COLUMNS($AC$1006:AL1006),$AC$1006:$AS$1006,0)), HYPERLINK("#",""), HYPERLINK(CONCATENATE("#Metadata!", ADDRESS(INDEX($X$2:$X$1001,MATCH(ROWS($V$2:V139),$V$2:$V$1001,0),0), INDEX($AC$1004:$AS$1004,1,MATCH(COLUMNS($AC$1006:AL1006),$AC$1006:$AS$1006,0)))),"Fix")))</f>
        <v>0</v>
      </c>
      <c r="L139" s="5">
        <f>IF(OR(INDEX($W$2:$W$1001,MATCH(ROWS($V$2:V139),$V$2:$V$1001,0),1)&gt;=100000,INDEX($AC$1005:$AS$1005,1,MATCH(COLUMNS($AC$1006:AM1006),$AC$1006:$AS$1006,0))&gt;=100000), " ",IF(INDEX($AC$2:$AS$1001,MATCH(ROWS($V$2:V139),$V$2:$V$1001,0),MATCH(COLUMNS($AC$1006:AM1006),$AC$1006:$AS$1006,0)), HYPERLINK("#",""), HYPERLINK(CONCATENATE("#Metadata!", ADDRESS(INDEX($X$2:$X$1001,MATCH(ROWS($V$2:V139),$V$2:$V$1001,0),0), INDEX($AC$1004:$AS$1004,1,MATCH(COLUMNS($AC$1006:AM1006),$AC$1006:$AS$1006,0)))),"Fix")))</f>
        <v>0</v>
      </c>
      <c r="M139" s="5">
        <f>IF(OR(INDEX($W$2:$W$1001,MATCH(ROWS($V$2:V139),$V$2:$V$1001,0),1)&gt;=100000,INDEX($AC$1005:$AS$1005,1,MATCH(COLUMNS($AC$1006:AN1006),$AC$1006:$AS$1006,0))&gt;=100000), " ",IF(INDEX($AC$2:$AS$1001,MATCH(ROWS($V$2:V139),$V$2:$V$1001,0),MATCH(COLUMNS($AC$1006:AN1006),$AC$1006:$AS$1006,0)), HYPERLINK("#",""), HYPERLINK(CONCATENATE("#Metadata!", ADDRESS(INDEX($X$2:$X$1001,MATCH(ROWS($V$2:V139),$V$2:$V$1001,0),0), INDEX($AC$1004:$AS$1004,1,MATCH(COLUMNS($AC$1006:AN1006),$AC$1006:$AS$1006,0)))),"Fix")))</f>
        <v>0</v>
      </c>
      <c r="N139" s="5">
        <f>IF(OR(INDEX($W$2:$W$1001,MATCH(ROWS($V$2:V139),$V$2:$V$1001,0),1)&gt;=100000,INDEX($AC$1005:$AS$1005,1,MATCH(COLUMNS($AC$1006:AO1006),$AC$1006:$AS$1006,0))&gt;=100000), " ",IF(INDEX($AC$2:$AS$1001,MATCH(ROWS($V$2:V139),$V$2:$V$1001,0),MATCH(COLUMNS($AC$1006:AO1006),$AC$1006:$AS$1006,0)), HYPERLINK("#",""), HYPERLINK(CONCATENATE("#Metadata!", ADDRESS(INDEX($X$2:$X$1001,MATCH(ROWS($V$2:V139),$V$2:$V$1001,0),0), INDEX($AC$1004:$AS$1004,1,MATCH(COLUMNS($AC$1006:AO1006),$AC$1006:$AS$1006,0)))),"Fix")))</f>
        <v>0</v>
      </c>
      <c r="O139" s="5">
        <f>IF(OR(INDEX($W$2:$W$1001,MATCH(ROWS($V$2:V139),$V$2:$V$1001,0),1)&gt;=100000,INDEX($AC$1005:$AS$1005,1,MATCH(COLUMNS($AC$1006:AP1006),$AC$1006:$AS$1006,0))&gt;=100000), " ",IF(INDEX($AC$2:$AS$1001,MATCH(ROWS($V$2:V139),$V$2:$V$1001,0),MATCH(COLUMNS($AC$1006:AP1006),$AC$1006:$AS$1006,0)), HYPERLINK("#",""), HYPERLINK(CONCATENATE("#Metadata!", ADDRESS(INDEX($X$2:$X$1001,MATCH(ROWS($V$2:V139),$V$2:$V$1001,0),0), INDEX($AC$1004:$AS$1004,1,MATCH(COLUMNS($AC$1006:AP1006),$AC$1006:$AS$1006,0)))),"Fix")))</f>
        <v>0</v>
      </c>
      <c r="P139" s="5">
        <f>IF(OR(INDEX($W$2:$W$1001,MATCH(ROWS($V$2:V139),$V$2:$V$1001,0),1)&gt;=100000,INDEX($AC$1005:$AS$1005,1,MATCH(COLUMNS($AC$1006:AQ1006),$AC$1006:$AS$1006,0))&gt;=100000), " ",IF(INDEX($AC$2:$AS$1001,MATCH(ROWS($V$2:V139),$V$2:$V$1001,0),MATCH(COLUMNS($AC$1006:AQ1006),$AC$1006:$AS$1006,0)), HYPERLINK("#",""), HYPERLINK(CONCATENATE("#Metadata!", ADDRESS(INDEX($X$2:$X$1001,MATCH(ROWS($V$2:V139),$V$2:$V$1001,0),0), INDEX($AC$1004:$AS$1004,1,MATCH(COLUMNS($AC$1006:AQ1006),$AC$1006:$AS$1006,0)))),"Fix")))</f>
        <v>0</v>
      </c>
      <c r="Q139" s="5">
        <f>IF(OR(INDEX($W$2:$W$1001,MATCH(ROWS($V$2:V139),$V$2:$V$1001,0),1)&gt;=100000,INDEX($AC$1005:$AS$1005,1,MATCH(COLUMNS($AC$1006:AR1006),$AC$1006:$AS$1006,0))&gt;=100000), " ",IF(INDEX($AC$2:$AS$1001,MATCH(ROWS($V$2:V139),$V$2:$V$1001,0),MATCH(COLUMNS($AC$1006:AR1006),$AC$1006:$AS$1006,0)), HYPERLINK("#",""), HYPERLINK(CONCATENATE("#Metadata!", ADDRESS(INDEX($X$2:$X$1001,MATCH(ROWS($V$2:V139),$V$2:$V$1001,0),0), INDEX($AC$1004:$AS$1004,1,MATCH(COLUMNS($AC$1006:AR1006),$AC$1006:$AS$1006,0)))),"Fix")))</f>
        <v>0</v>
      </c>
      <c r="R139" s="5">
        <f>IF(OR(INDEX($W$2:$W$1001,MATCH(ROWS($V$2:V139),$V$2:$V$1001,0),1)&gt;=100000,INDEX($AC$1005:$AS$1005,1,MATCH(COLUMNS($AC$1006:AS1006),$AC$1006:$AS$1006,0))&gt;=100000), " ",IF(INDEX($AC$2:$AS$1001,MATCH(ROWS($V$2:V139),$V$2:$V$1001,0),MATCH(COLUMNS($AC$1006:AS1006),$AC$1006:$AS$1006,0)), HYPERLINK("#",""), HYPERLINK(CONCATENATE("#Metadata!", ADDRESS(INDEX($X$2:$X$1001,MATCH(ROWS($V$2:V139),$V$2:$V$1001,0),0), INDEX($AC$1004:$AS$1004,1,MATCH(COLUMNS($AC$1006:AS1006),$AC$1006:$AS$1006,0)))),"Fix")))</f>
        <v>0</v>
      </c>
      <c r="V139">
        <v>0</v>
      </c>
      <c r="W139">
        <v>0</v>
      </c>
      <c r="X139">
        <v>0</v>
      </c>
      <c r="Y139">
        <f>IF(Z139,TRUE,AND(AC139:AS139))</f>
        <v>0</v>
      </c>
      <c r="Z139">
        <f>COUNTBLANK(Metadata!B139:R139)=COLUMNS(Metadata!B139:R139)</f>
        <v>0</v>
      </c>
      <c r="AA139">
        <v>0</v>
      </c>
      <c r="AC139">
        <f>AND(IF(Metadata!B139="",FALSE,TRUE),COUNTIF(Metadata!B:B, Metadata!B139) = 1,NOT(ISERROR(SUMPRODUCT(SEARCH(MID(Metadata!B139,ROW(INDIRECT("1:"&amp;LEN(Metadata!B139))), 1),"0123456789abcdefghijklmnopqrstuvwxyzABCDEFGHIJKLMNOPQRSTUVWXYZ.")))))</f>
        <v>0</v>
      </c>
      <c r="AD139">
        <f>AND(IF(Metadata!C139="",FALSE,TRUE),exact(Metadata!C139,"Host-associated"))</f>
        <v>0</v>
      </c>
      <c r="AE139">
        <f>AND(IF(Metadata!D139="",FALSE,TRUE),OR(exact(Metadata!D139,"Animal"),exact(Metadata!D139,"Fungus"),exact(Metadata!D139,"Plant")))</f>
        <v>0</v>
      </c>
      <c r="AF139">
        <f>AND(IF(Metadata!E139="",FALSE,TRUE),OR(exact(Metadata!E139,"Plant secretion"),exact(Metadata!E139,"Plant rhizosphere"),exact(Metadata!E139,"Plant surface"),exact(Metadata!E139,"Plant corpus"),exact(Metadata!E139,"Fungus surface"),exact(Metadata!E139,"Fungus corpus"),exact(Metadata!E139,"Animal surface"),exact(Metadata!E139,"Animal proximal gut"),exact(Metadata!E139,"Animal corpus"),exact(Metadata!E139,"Animal distal gut"),exact(Metadata!E139,"Animal secretion")))</f>
        <v>0</v>
      </c>
      <c r="AG139">
        <f>OR(AND(IF(Metadata!F139="",FALSE,TRUE),OR(exact(Metadata!F139,"not collected"),exact(Metadata!F139,"not provided"),exact(Metadata!F139,"restricted access"))),AND(IF(Metadata!F139="",FALSE,TRUE),OR(exact(Metadata!F139,"organism-associated habitat"),exact(Metadata!F139,"plant-associated habitat"),exact(Metadata!F139,"animal-associated habitat"),exact(Metadata!F139,"insecta-associated habitat"),exact(Metadata!F139,"mammalia-associated habitat"),exact(Metadata!F139,"human-associated habitat"),exact(Metadata!F139,"livestock-associated habitat"))))</f>
        <v>0</v>
      </c>
      <c r="AH139">
        <f>AND(IF(Metadata!G139="",FALSE,TRUE),exact(Metadata!G139,"host-associated"))</f>
        <v>0</v>
      </c>
      <c r="AI139">
        <f>OR(AND(IF(Metadata!H139="",FALSE,TRUE),OR(exact(Metadata!H139,"not collected"),exact(Metadata!H139,"not provided"))),AND(IF(Metadata!H139="",FALSE,ISNUMBER(VALUE(Metadata!H139))),Metadata!H139&gt;0))</f>
        <v>0</v>
      </c>
      <c r="AJ139">
        <f>AND(IF(Metadata!I139="",FALSE,TRUE),exact(Metadata!I139,"years"))</f>
        <v>0</v>
      </c>
      <c r="AK139">
        <f>IF(Metadata!J139="",FALSE,TRUE)</f>
        <v>0</v>
      </c>
      <c r="AL139">
        <f>OR(AND(IF(Metadata!K139="",FALSE,TRUE),OR(exact(Metadata!K139,"not collected"),exact(Metadata!K139,"not provided"))),AND(IF(Metadata!K139="",FALSE,ISNUMBER(VALUE(Metadata!K139))),Metadata!K139&gt;0))</f>
        <v>0</v>
      </c>
      <c r="AM139">
        <f>AND(IF(Metadata!L139="",FALSE,TRUE),exact(Metadata!L139,"cm"))</f>
        <v>0</v>
      </c>
      <c r="AN139">
        <f>IF(Metadata!M139="",FALSE,TRUE)</f>
        <v>0</v>
      </c>
      <c r="AO139">
        <f>OR(AND(IF(Metadata!N139="",FALSE,TRUE),OR(exact(Metadata!N139,"not applicable"),exact(Metadata!N139,"not collected"),exact(Metadata!N139,"not provided"))),AND(IF(Metadata!N139="",FALSE,IF(ISERROR(INT(Metadata!N139)),FALSE,INT(Metadata!N139)=Metadata!N139)),Metadata!N139&gt;0))</f>
        <v>0</v>
      </c>
      <c r="AP139">
        <f>OR(AND(IF(Metadata!O139="",FALSE,TRUE),OR(exact(Metadata!O139,"not collected"),exact(Metadata!O139,"not provided"))),AND(IF(Metadata!O139="",FALSE,ISNUMBER(VALUE(Metadata!O139))),Metadata!O139&gt;0))</f>
        <v>0</v>
      </c>
      <c r="AQ139">
        <f>AND(IF(Metadata!P139="",FALSE,TRUE),exact(Metadata!P139,"kg"))</f>
        <v>0</v>
      </c>
      <c r="AR139">
        <f>OR(AND(IF(Metadata!Q139="",FALSE,TRUE),OR(exact(Metadata!Q139,"not applicable"),exact(Metadata!Q139,"not collected"),exact(Metadata!Q139,"not provided"),exact(Metadata!Q139,"restricted access"))),IF(Metadata!Q139="",FALSE,IF(ISERROR(INT(Metadata!Q139)),FALSE,INT(Metadata!Q139)=Metadata!Q139)))</f>
        <v>0</v>
      </c>
      <c r="AS139">
        <f>AND(IF(Metadata!R139="",FALSE,TRUE),exact(Metadata!R139,"Not applicable"))</f>
        <v>0</v>
      </c>
    </row>
    <row r="140" spans="1:45">
      <c r="A140" s="4">
        <f>IF(B140=" "," ",HYPERLINK(CONCATENATE("#metadata!",ADDRESS(INDEX($X$2:$X$1001,MATCH(ROWS($V$2:V140),$V$2:$V$1001,0),0),2)),INDEX($AA$2:$AA$1001,MATCH(ROWS($V$2:V140),$V$2:$V$1001,0),0)))</f>
        <v>0</v>
      </c>
      <c r="B140" s="5">
        <f>IF(OR(INDEX($W$2:$W$1001,MATCH(ROWS($V$2:V140),$V$2:$V$1001,0),1)&gt;=100000,INDEX($AC$1005:$AS$1005,1,MATCH(COLUMNS($AC$1006:AC1006),$AC$1006:$AS$1006,0))&gt;=100000), " ",IF(INDEX($AC$2:$AS$1001,MATCH(ROWS($V$2:V140),$V$2:$V$1001,0),MATCH(COLUMNS($AC$1006:AC1006),$AC$1006:$AS$1006,0)), HYPERLINK("#",""), HYPERLINK(CONCATENATE("#Metadata!", ADDRESS(INDEX($X$2:$X$1001,MATCH(ROWS($V$2:V140),$V$2:$V$1001,0),0), INDEX($AC$1004:$AS$1004,1,MATCH(COLUMNS($AC$1006:AC1006),$AC$1006:$AS$1006,0)))),"Fix")))</f>
        <v>0</v>
      </c>
      <c r="C140" s="5">
        <f>IF(OR(INDEX($W$2:$W$1001,MATCH(ROWS($V$2:V140),$V$2:$V$1001,0),1)&gt;=100000,INDEX($AC$1005:$AS$1005,1,MATCH(COLUMNS($AC$1006:AD1006),$AC$1006:$AS$1006,0))&gt;=100000), " ",IF(INDEX($AC$2:$AS$1001,MATCH(ROWS($V$2:V140),$V$2:$V$1001,0),MATCH(COLUMNS($AC$1006:AD1006),$AC$1006:$AS$1006,0)), HYPERLINK("#",""), HYPERLINK(CONCATENATE("#Metadata!", ADDRESS(INDEX($X$2:$X$1001,MATCH(ROWS($V$2:V140),$V$2:$V$1001,0),0), INDEX($AC$1004:$AS$1004,1,MATCH(COLUMNS($AC$1006:AD1006),$AC$1006:$AS$1006,0)))),"Fix")))</f>
        <v>0</v>
      </c>
      <c r="D140" s="5">
        <f>IF(OR(INDEX($W$2:$W$1001,MATCH(ROWS($V$2:V140),$V$2:$V$1001,0),1)&gt;=100000,INDEX($AC$1005:$AS$1005,1,MATCH(COLUMNS($AC$1006:AE1006),$AC$1006:$AS$1006,0))&gt;=100000), " ",IF(INDEX($AC$2:$AS$1001,MATCH(ROWS($V$2:V140),$V$2:$V$1001,0),MATCH(COLUMNS($AC$1006:AE1006),$AC$1006:$AS$1006,0)), HYPERLINK("#",""), HYPERLINK(CONCATENATE("#Metadata!", ADDRESS(INDEX($X$2:$X$1001,MATCH(ROWS($V$2:V140),$V$2:$V$1001,0),0), INDEX($AC$1004:$AS$1004,1,MATCH(COLUMNS($AC$1006:AE1006),$AC$1006:$AS$1006,0)))),"Fix")))</f>
        <v>0</v>
      </c>
      <c r="E140" s="5">
        <f>IF(OR(INDEX($W$2:$W$1001,MATCH(ROWS($V$2:V140),$V$2:$V$1001,0),1)&gt;=100000,INDEX($AC$1005:$AS$1005,1,MATCH(COLUMNS($AC$1006:AF1006),$AC$1006:$AS$1006,0))&gt;=100000), " ",IF(INDEX($AC$2:$AS$1001,MATCH(ROWS($V$2:V140),$V$2:$V$1001,0),MATCH(COLUMNS($AC$1006:AF1006),$AC$1006:$AS$1006,0)), HYPERLINK("#",""), HYPERLINK(CONCATENATE("#Metadata!", ADDRESS(INDEX($X$2:$X$1001,MATCH(ROWS($V$2:V140),$V$2:$V$1001,0),0), INDEX($AC$1004:$AS$1004,1,MATCH(COLUMNS($AC$1006:AF1006),$AC$1006:$AS$1006,0)))),"Fix")))</f>
        <v>0</v>
      </c>
      <c r="F140" s="5">
        <f>IF(OR(INDEX($W$2:$W$1001,MATCH(ROWS($V$2:V140),$V$2:$V$1001,0),1)&gt;=100000,INDEX($AC$1005:$AS$1005,1,MATCH(COLUMNS($AC$1006:AG1006),$AC$1006:$AS$1006,0))&gt;=100000), " ",IF(INDEX($AC$2:$AS$1001,MATCH(ROWS($V$2:V140),$V$2:$V$1001,0),MATCH(COLUMNS($AC$1006:AG1006),$AC$1006:$AS$1006,0)), HYPERLINK("#",""), HYPERLINK(CONCATENATE("#Metadata!", ADDRESS(INDEX($X$2:$X$1001,MATCH(ROWS($V$2:V140),$V$2:$V$1001,0),0), INDEX($AC$1004:$AS$1004,1,MATCH(COLUMNS($AC$1006:AG1006),$AC$1006:$AS$1006,0)))),"Fix")))</f>
        <v>0</v>
      </c>
      <c r="G140" s="5">
        <f>IF(OR(INDEX($W$2:$W$1001,MATCH(ROWS($V$2:V140),$V$2:$V$1001,0),1)&gt;=100000,INDEX($AC$1005:$AS$1005,1,MATCH(COLUMNS($AC$1006:AH1006),$AC$1006:$AS$1006,0))&gt;=100000), " ",IF(INDEX($AC$2:$AS$1001,MATCH(ROWS($V$2:V140),$V$2:$V$1001,0),MATCH(COLUMNS($AC$1006:AH1006),$AC$1006:$AS$1006,0)), HYPERLINK("#",""), HYPERLINK(CONCATENATE("#Metadata!", ADDRESS(INDEX($X$2:$X$1001,MATCH(ROWS($V$2:V140),$V$2:$V$1001,0),0), INDEX($AC$1004:$AS$1004,1,MATCH(COLUMNS($AC$1006:AH1006),$AC$1006:$AS$1006,0)))),"Fix")))</f>
        <v>0</v>
      </c>
      <c r="H140" s="5">
        <f>IF(OR(INDEX($W$2:$W$1001,MATCH(ROWS($V$2:V140),$V$2:$V$1001,0),1)&gt;=100000,INDEX($AC$1005:$AS$1005,1,MATCH(COLUMNS($AC$1006:AI1006),$AC$1006:$AS$1006,0))&gt;=100000), " ",IF(INDEX($AC$2:$AS$1001,MATCH(ROWS($V$2:V140),$V$2:$V$1001,0),MATCH(COLUMNS($AC$1006:AI1006),$AC$1006:$AS$1006,0)), HYPERLINK("#",""), HYPERLINK(CONCATENATE("#Metadata!", ADDRESS(INDEX($X$2:$X$1001,MATCH(ROWS($V$2:V140),$V$2:$V$1001,0),0), INDEX($AC$1004:$AS$1004,1,MATCH(COLUMNS($AC$1006:AI1006),$AC$1006:$AS$1006,0)))),"Fix")))</f>
        <v>0</v>
      </c>
      <c r="I140" s="5">
        <f>IF(OR(INDEX($W$2:$W$1001,MATCH(ROWS($V$2:V140),$V$2:$V$1001,0),1)&gt;=100000,INDEX($AC$1005:$AS$1005,1,MATCH(COLUMNS($AC$1006:AJ1006),$AC$1006:$AS$1006,0))&gt;=100000), " ",IF(INDEX($AC$2:$AS$1001,MATCH(ROWS($V$2:V140),$V$2:$V$1001,0),MATCH(COLUMNS($AC$1006:AJ1006),$AC$1006:$AS$1006,0)), HYPERLINK("#",""), HYPERLINK(CONCATENATE("#Metadata!", ADDRESS(INDEX($X$2:$X$1001,MATCH(ROWS($V$2:V140),$V$2:$V$1001,0),0), INDEX($AC$1004:$AS$1004,1,MATCH(COLUMNS($AC$1006:AJ1006),$AC$1006:$AS$1006,0)))),"Fix")))</f>
        <v>0</v>
      </c>
      <c r="J140" s="5">
        <f>IF(OR(INDEX($W$2:$W$1001,MATCH(ROWS($V$2:V140),$V$2:$V$1001,0),1)&gt;=100000,INDEX($AC$1005:$AS$1005,1,MATCH(COLUMNS($AC$1006:AK1006),$AC$1006:$AS$1006,0))&gt;=100000), " ",IF(INDEX($AC$2:$AS$1001,MATCH(ROWS($V$2:V140),$V$2:$V$1001,0),MATCH(COLUMNS($AC$1006:AK1006),$AC$1006:$AS$1006,0)), HYPERLINK("#",""), HYPERLINK(CONCATENATE("#Metadata!", ADDRESS(INDEX($X$2:$X$1001,MATCH(ROWS($V$2:V140),$V$2:$V$1001,0),0), INDEX($AC$1004:$AS$1004,1,MATCH(COLUMNS($AC$1006:AK1006),$AC$1006:$AS$1006,0)))),"Fix")))</f>
        <v>0</v>
      </c>
      <c r="K140" s="5">
        <f>IF(OR(INDEX($W$2:$W$1001,MATCH(ROWS($V$2:V140),$V$2:$V$1001,0),1)&gt;=100000,INDEX($AC$1005:$AS$1005,1,MATCH(COLUMNS($AC$1006:AL1006),$AC$1006:$AS$1006,0))&gt;=100000), " ",IF(INDEX($AC$2:$AS$1001,MATCH(ROWS($V$2:V140),$V$2:$V$1001,0),MATCH(COLUMNS($AC$1006:AL1006),$AC$1006:$AS$1006,0)), HYPERLINK("#",""), HYPERLINK(CONCATENATE("#Metadata!", ADDRESS(INDEX($X$2:$X$1001,MATCH(ROWS($V$2:V140),$V$2:$V$1001,0),0), INDEX($AC$1004:$AS$1004,1,MATCH(COLUMNS($AC$1006:AL1006),$AC$1006:$AS$1006,0)))),"Fix")))</f>
        <v>0</v>
      </c>
      <c r="L140" s="5">
        <f>IF(OR(INDEX($W$2:$W$1001,MATCH(ROWS($V$2:V140),$V$2:$V$1001,0),1)&gt;=100000,INDEX($AC$1005:$AS$1005,1,MATCH(COLUMNS($AC$1006:AM1006),$AC$1006:$AS$1006,0))&gt;=100000), " ",IF(INDEX($AC$2:$AS$1001,MATCH(ROWS($V$2:V140),$V$2:$V$1001,0),MATCH(COLUMNS($AC$1006:AM1006),$AC$1006:$AS$1006,0)), HYPERLINK("#",""), HYPERLINK(CONCATENATE("#Metadata!", ADDRESS(INDEX($X$2:$X$1001,MATCH(ROWS($V$2:V140),$V$2:$V$1001,0),0), INDEX($AC$1004:$AS$1004,1,MATCH(COLUMNS($AC$1006:AM1006),$AC$1006:$AS$1006,0)))),"Fix")))</f>
        <v>0</v>
      </c>
      <c r="M140" s="5">
        <f>IF(OR(INDEX($W$2:$W$1001,MATCH(ROWS($V$2:V140),$V$2:$V$1001,0),1)&gt;=100000,INDEX($AC$1005:$AS$1005,1,MATCH(COLUMNS($AC$1006:AN1006),$AC$1006:$AS$1006,0))&gt;=100000), " ",IF(INDEX($AC$2:$AS$1001,MATCH(ROWS($V$2:V140),$V$2:$V$1001,0),MATCH(COLUMNS($AC$1006:AN1006),$AC$1006:$AS$1006,0)), HYPERLINK("#",""), HYPERLINK(CONCATENATE("#Metadata!", ADDRESS(INDEX($X$2:$X$1001,MATCH(ROWS($V$2:V140),$V$2:$V$1001,0),0), INDEX($AC$1004:$AS$1004,1,MATCH(COLUMNS($AC$1006:AN1006),$AC$1006:$AS$1006,0)))),"Fix")))</f>
        <v>0</v>
      </c>
      <c r="N140" s="5">
        <f>IF(OR(INDEX($W$2:$W$1001,MATCH(ROWS($V$2:V140),$V$2:$V$1001,0),1)&gt;=100000,INDEX($AC$1005:$AS$1005,1,MATCH(COLUMNS($AC$1006:AO1006),$AC$1006:$AS$1006,0))&gt;=100000), " ",IF(INDEX($AC$2:$AS$1001,MATCH(ROWS($V$2:V140),$V$2:$V$1001,0),MATCH(COLUMNS($AC$1006:AO1006),$AC$1006:$AS$1006,0)), HYPERLINK("#",""), HYPERLINK(CONCATENATE("#Metadata!", ADDRESS(INDEX($X$2:$X$1001,MATCH(ROWS($V$2:V140),$V$2:$V$1001,0),0), INDEX($AC$1004:$AS$1004,1,MATCH(COLUMNS($AC$1006:AO1006),$AC$1006:$AS$1006,0)))),"Fix")))</f>
        <v>0</v>
      </c>
      <c r="O140" s="5">
        <f>IF(OR(INDEX($W$2:$W$1001,MATCH(ROWS($V$2:V140),$V$2:$V$1001,0),1)&gt;=100000,INDEX($AC$1005:$AS$1005,1,MATCH(COLUMNS($AC$1006:AP1006),$AC$1006:$AS$1006,0))&gt;=100000), " ",IF(INDEX($AC$2:$AS$1001,MATCH(ROWS($V$2:V140),$V$2:$V$1001,0),MATCH(COLUMNS($AC$1006:AP1006),$AC$1006:$AS$1006,0)), HYPERLINK("#",""), HYPERLINK(CONCATENATE("#Metadata!", ADDRESS(INDEX($X$2:$X$1001,MATCH(ROWS($V$2:V140),$V$2:$V$1001,0),0), INDEX($AC$1004:$AS$1004,1,MATCH(COLUMNS($AC$1006:AP1006),$AC$1006:$AS$1006,0)))),"Fix")))</f>
        <v>0</v>
      </c>
      <c r="P140" s="5">
        <f>IF(OR(INDEX($W$2:$W$1001,MATCH(ROWS($V$2:V140),$V$2:$V$1001,0),1)&gt;=100000,INDEX($AC$1005:$AS$1005,1,MATCH(COLUMNS($AC$1006:AQ1006),$AC$1006:$AS$1006,0))&gt;=100000), " ",IF(INDEX($AC$2:$AS$1001,MATCH(ROWS($V$2:V140),$V$2:$V$1001,0),MATCH(COLUMNS($AC$1006:AQ1006),$AC$1006:$AS$1006,0)), HYPERLINK("#",""), HYPERLINK(CONCATENATE("#Metadata!", ADDRESS(INDEX($X$2:$X$1001,MATCH(ROWS($V$2:V140),$V$2:$V$1001,0),0), INDEX($AC$1004:$AS$1004,1,MATCH(COLUMNS($AC$1006:AQ1006),$AC$1006:$AS$1006,0)))),"Fix")))</f>
        <v>0</v>
      </c>
      <c r="Q140" s="5">
        <f>IF(OR(INDEX($W$2:$W$1001,MATCH(ROWS($V$2:V140),$V$2:$V$1001,0),1)&gt;=100000,INDEX($AC$1005:$AS$1005,1,MATCH(COLUMNS($AC$1006:AR1006),$AC$1006:$AS$1006,0))&gt;=100000), " ",IF(INDEX($AC$2:$AS$1001,MATCH(ROWS($V$2:V140),$V$2:$V$1001,0),MATCH(COLUMNS($AC$1006:AR1006),$AC$1006:$AS$1006,0)), HYPERLINK("#",""), HYPERLINK(CONCATENATE("#Metadata!", ADDRESS(INDEX($X$2:$X$1001,MATCH(ROWS($V$2:V140),$V$2:$V$1001,0),0), INDEX($AC$1004:$AS$1004,1,MATCH(COLUMNS($AC$1006:AR1006),$AC$1006:$AS$1006,0)))),"Fix")))</f>
        <v>0</v>
      </c>
      <c r="R140" s="5">
        <f>IF(OR(INDEX($W$2:$W$1001,MATCH(ROWS($V$2:V140),$V$2:$V$1001,0),1)&gt;=100000,INDEX($AC$1005:$AS$1005,1,MATCH(COLUMNS($AC$1006:AS1006),$AC$1006:$AS$1006,0))&gt;=100000), " ",IF(INDEX($AC$2:$AS$1001,MATCH(ROWS($V$2:V140),$V$2:$V$1001,0),MATCH(COLUMNS($AC$1006:AS1006),$AC$1006:$AS$1006,0)), HYPERLINK("#",""), HYPERLINK(CONCATENATE("#Metadata!", ADDRESS(INDEX($X$2:$X$1001,MATCH(ROWS($V$2:V140),$V$2:$V$1001,0),0), INDEX($AC$1004:$AS$1004,1,MATCH(COLUMNS($AC$1006:AS1006),$AC$1006:$AS$1006,0)))),"Fix")))</f>
        <v>0</v>
      </c>
      <c r="V140">
        <v>0</v>
      </c>
      <c r="W140">
        <v>0</v>
      </c>
      <c r="X140">
        <v>0</v>
      </c>
      <c r="Y140">
        <f>IF(Z140,TRUE,AND(AC140:AS140))</f>
        <v>0</v>
      </c>
      <c r="Z140">
        <f>COUNTBLANK(Metadata!B140:R140)=COLUMNS(Metadata!B140:R140)</f>
        <v>0</v>
      </c>
      <c r="AA140">
        <v>0</v>
      </c>
      <c r="AC140">
        <f>AND(IF(Metadata!B140="",FALSE,TRUE),COUNTIF(Metadata!B:B, Metadata!B140) = 1,NOT(ISERROR(SUMPRODUCT(SEARCH(MID(Metadata!B140,ROW(INDIRECT("1:"&amp;LEN(Metadata!B140))), 1),"0123456789abcdefghijklmnopqrstuvwxyzABCDEFGHIJKLMNOPQRSTUVWXYZ.")))))</f>
        <v>0</v>
      </c>
      <c r="AD140">
        <f>AND(IF(Metadata!C140="",FALSE,TRUE),exact(Metadata!C140,"Host-associated"))</f>
        <v>0</v>
      </c>
      <c r="AE140">
        <f>AND(IF(Metadata!D140="",FALSE,TRUE),OR(exact(Metadata!D140,"Animal"),exact(Metadata!D140,"Fungus"),exact(Metadata!D140,"Plant")))</f>
        <v>0</v>
      </c>
      <c r="AF140">
        <f>AND(IF(Metadata!E140="",FALSE,TRUE),OR(exact(Metadata!E140,"Plant secretion"),exact(Metadata!E140,"Plant rhizosphere"),exact(Metadata!E140,"Plant surface"),exact(Metadata!E140,"Plant corpus"),exact(Metadata!E140,"Fungus surface"),exact(Metadata!E140,"Fungus corpus"),exact(Metadata!E140,"Animal surface"),exact(Metadata!E140,"Animal proximal gut"),exact(Metadata!E140,"Animal corpus"),exact(Metadata!E140,"Animal distal gut"),exact(Metadata!E140,"Animal secretion")))</f>
        <v>0</v>
      </c>
      <c r="AG140">
        <f>OR(AND(IF(Metadata!F140="",FALSE,TRUE),OR(exact(Metadata!F140,"not collected"),exact(Metadata!F140,"not provided"),exact(Metadata!F140,"restricted access"))),AND(IF(Metadata!F140="",FALSE,TRUE),OR(exact(Metadata!F140,"organism-associated habitat"),exact(Metadata!F140,"plant-associated habitat"),exact(Metadata!F140,"animal-associated habitat"),exact(Metadata!F140,"insecta-associated habitat"),exact(Metadata!F140,"mammalia-associated habitat"),exact(Metadata!F140,"human-associated habitat"),exact(Metadata!F140,"livestock-associated habitat"))))</f>
        <v>0</v>
      </c>
      <c r="AH140">
        <f>AND(IF(Metadata!G140="",FALSE,TRUE),exact(Metadata!G140,"host-associated"))</f>
        <v>0</v>
      </c>
      <c r="AI140">
        <f>OR(AND(IF(Metadata!H140="",FALSE,TRUE),OR(exact(Metadata!H140,"not collected"),exact(Metadata!H140,"not provided"))),AND(IF(Metadata!H140="",FALSE,ISNUMBER(VALUE(Metadata!H140))),Metadata!H140&gt;0))</f>
        <v>0</v>
      </c>
      <c r="AJ140">
        <f>AND(IF(Metadata!I140="",FALSE,TRUE),exact(Metadata!I140,"years"))</f>
        <v>0</v>
      </c>
      <c r="AK140">
        <f>IF(Metadata!J140="",FALSE,TRUE)</f>
        <v>0</v>
      </c>
      <c r="AL140">
        <f>OR(AND(IF(Metadata!K140="",FALSE,TRUE),OR(exact(Metadata!K140,"not collected"),exact(Metadata!K140,"not provided"))),AND(IF(Metadata!K140="",FALSE,ISNUMBER(VALUE(Metadata!K140))),Metadata!K140&gt;0))</f>
        <v>0</v>
      </c>
      <c r="AM140">
        <f>AND(IF(Metadata!L140="",FALSE,TRUE),exact(Metadata!L140,"cm"))</f>
        <v>0</v>
      </c>
      <c r="AN140">
        <f>IF(Metadata!M140="",FALSE,TRUE)</f>
        <v>0</v>
      </c>
      <c r="AO140">
        <f>OR(AND(IF(Metadata!N140="",FALSE,TRUE),OR(exact(Metadata!N140,"not applicable"),exact(Metadata!N140,"not collected"),exact(Metadata!N140,"not provided"))),AND(IF(Metadata!N140="",FALSE,IF(ISERROR(INT(Metadata!N140)),FALSE,INT(Metadata!N140)=Metadata!N140)),Metadata!N140&gt;0))</f>
        <v>0</v>
      </c>
      <c r="AP140">
        <f>OR(AND(IF(Metadata!O140="",FALSE,TRUE),OR(exact(Metadata!O140,"not collected"),exact(Metadata!O140,"not provided"))),AND(IF(Metadata!O140="",FALSE,ISNUMBER(VALUE(Metadata!O140))),Metadata!O140&gt;0))</f>
        <v>0</v>
      </c>
      <c r="AQ140">
        <f>AND(IF(Metadata!P140="",FALSE,TRUE),exact(Metadata!P140,"kg"))</f>
        <v>0</v>
      </c>
      <c r="AR140">
        <f>OR(AND(IF(Metadata!Q140="",FALSE,TRUE),OR(exact(Metadata!Q140,"not applicable"),exact(Metadata!Q140,"not collected"),exact(Metadata!Q140,"not provided"),exact(Metadata!Q140,"restricted access"))),IF(Metadata!Q140="",FALSE,IF(ISERROR(INT(Metadata!Q140)),FALSE,INT(Metadata!Q140)=Metadata!Q140)))</f>
        <v>0</v>
      </c>
      <c r="AS140">
        <f>AND(IF(Metadata!R140="",FALSE,TRUE),exact(Metadata!R140,"Not applicable"))</f>
        <v>0</v>
      </c>
    </row>
    <row r="141" spans="1:45">
      <c r="A141" s="4">
        <f>IF(B141=" "," ",HYPERLINK(CONCATENATE("#metadata!",ADDRESS(INDEX($X$2:$X$1001,MATCH(ROWS($V$2:V141),$V$2:$V$1001,0),0),2)),INDEX($AA$2:$AA$1001,MATCH(ROWS($V$2:V141),$V$2:$V$1001,0),0)))</f>
        <v>0</v>
      </c>
      <c r="B141" s="5">
        <f>IF(OR(INDEX($W$2:$W$1001,MATCH(ROWS($V$2:V141),$V$2:$V$1001,0),1)&gt;=100000,INDEX($AC$1005:$AS$1005,1,MATCH(COLUMNS($AC$1006:AC1006),$AC$1006:$AS$1006,0))&gt;=100000), " ",IF(INDEX($AC$2:$AS$1001,MATCH(ROWS($V$2:V141),$V$2:$V$1001,0),MATCH(COLUMNS($AC$1006:AC1006),$AC$1006:$AS$1006,0)), HYPERLINK("#",""), HYPERLINK(CONCATENATE("#Metadata!", ADDRESS(INDEX($X$2:$X$1001,MATCH(ROWS($V$2:V141),$V$2:$V$1001,0),0), INDEX($AC$1004:$AS$1004,1,MATCH(COLUMNS($AC$1006:AC1006),$AC$1006:$AS$1006,0)))),"Fix")))</f>
        <v>0</v>
      </c>
      <c r="C141" s="5">
        <f>IF(OR(INDEX($W$2:$W$1001,MATCH(ROWS($V$2:V141),$V$2:$V$1001,0),1)&gt;=100000,INDEX($AC$1005:$AS$1005,1,MATCH(COLUMNS($AC$1006:AD1006),$AC$1006:$AS$1006,0))&gt;=100000), " ",IF(INDEX($AC$2:$AS$1001,MATCH(ROWS($V$2:V141),$V$2:$V$1001,0),MATCH(COLUMNS($AC$1006:AD1006),$AC$1006:$AS$1006,0)), HYPERLINK("#",""), HYPERLINK(CONCATENATE("#Metadata!", ADDRESS(INDEX($X$2:$X$1001,MATCH(ROWS($V$2:V141),$V$2:$V$1001,0),0), INDEX($AC$1004:$AS$1004,1,MATCH(COLUMNS($AC$1006:AD1006),$AC$1006:$AS$1006,0)))),"Fix")))</f>
        <v>0</v>
      </c>
      <c r="D141" s="5">
        <f>IF(OR(INDEX($W$2:$W$1001,MATCH(ROWS($V$2:V141),$V$2:$V$1001,0),1)&gt;=100000,INDEX($AC$1005:$AS$1005,1,MATCH(COLUMNS($AC$1006:AE1006),$AC$1006:$AS$1006,0))&gt;=100000), " ",IF(INDEX($AC$2:$AS$1001,MATCH(ROWS($V$2:V141),$V$2:$V$1001,0),MATCH(COLUMNS($AC$1006:AE1006),$AC$1006:$AS$1006,0)), HYPERLINK("#",""), HYPERLINK(CONCATENATE("#Metadata!", ADDRESS(INDEX($X$2:$X$1001,MATCH(ROWS($V$2:V141),$V$2:$V$1001,0),0), INDEX($AC$1004:$AS$1004,1,MATCH(COLUMNS($AC$1006:AE1006),$AC$1006:$AS$1006,0)))),"Fix")))</f>
        <v>0</v>
      </c>
      <c r="E141" s="5">
        <f>IF(OR(INDEX($W$2:$W$1001,MATCH(ROWS($V$2:V141),$V$2:$V$1001,0),1)&gt;=100000,INDEX($AC$1005:$AS$1005,1,MATCH(COLUMNS($AC$1006:AF1006),$AC$1006:$AS$1006,0))&gt;=100000), " ",IF(INDEX($AC$2:$AS$1001,MATCH(ROWS($V$2:V141),$V$2:$V$1001,0),MATCH(COLUMNS($AC$1006:AF1006),$AC$1006:$AS$1006,0)), HYPERLINK("#",""), HYPERLINK(CONCATENATE("#Metadata!", ADDRESS(INDEX($X$2:$X$1001,MATCH(ROWS($V$2:V141),$V$2:$V$1001,0),0), INDEX($AC$1004:$AS$1004,1,MATCH(COLUMNS($AC$1006:AF1006),$AC$1006:$AS$1006,0)))),"Fix")))</f>
        <v>0</v>
      </c>
      <c r="F141" s="5">
        <f>IF(OR(INDEX($W$2:$W$1001,MATCH(ROWS($V$2:V141),$V$2:$V$1001,0),1)&gt;=100000,INDEX($AC$1005:$AS$1005,1,MATCH(COLUMNS($AC$1006:AG1006),$AC$1006:$AS$1006,0))&gt;=100000), " ",IF(INDEX($AC$2:$AS$1001,MATCH(ROWS($V$2:V141),$V$2:$V$1001,0),MATCH(COLUMNS($AC$1006:AG1006),$AC$1006:$AS$1006,0)), HYPERLINK("#",""), HYPERLINK(CONCATENATE("#Metadata!", ADDRESS(INDEX($X$2:$X$1001,MATCH(ROWS($V$2:V141),$V$2:$V$1001,0),0), INDEX($AC$1004:$AS$1004,1,MATCH(COLUMNS($AC$1006:AG1006),$AC$1006:$AS$1006,0)))),"Fix")))</f>
        <v>0</v>
      </c>
      <c r="G141" s="5">
        <f>IF(OR(INDEX($W$2:$W$1001,MATCH(ROWS($V$2:V141),$V$2:$V$1001,0),1)&gt;=100000,INDEX($AC$1005:$AS$1005,1,MATCH(COLUMNS($AC$1006:AH1006),$AC$1006:$AS$1006,0))&gt;=100000), " ",IF(INDEX($AC$2:$AS$1001,MATCH(ROWS($V$2:V141),$V$2:$V$1001,0),MATCH(COLUMNS($AC$1006:AH1006),$AC$1006:$AS$1006,0)), HYPERLINK("#",""), HYPERLINK(CONCATENATE("#Metadata!", ADDRESS(INDEX($X$2:$X$1001,MATCH(ROWS($V$2:V141),$V$2:$V$1001,0),0), INDEX($AC$1004:$AS$1004,1,MATCH(COLUMNS($AC$1006:AH1006),$AC$1006:$AS$1006,0)))),"Fix")))</f>
        <v>0</v>
      </c>
      <c r="H141" s="5">
        <f>IF(OR(INDEX($W$2:$W$1001,MATCH(ROWS($V$2:V141),$V$2:$V$1001,0),1)&gt;=100000,INDEX($AC$1005:$AS$1005,1,MATCH(COLUMNS($AC$1006:AI1006),$AC$1006:$AS$1006,0))&gt;=100000), " ",IF(INDEX($AC$2:$AS$1001,MATCH(ROWS($V$2:V141),$V$2:$V$1001,0),MATCH(COLUMNS($AC$1006:AI1006),$AC$1006:$AS$1006,0)), HYPERLINK("#",""), HYPERLINK(CONCATENATE("#Metadata!", ADDRESS(INDEX($X$2:$X$1001,MATCH(ROWS($V$2:V141),$V$2:$V$1001,0),0), INDEX($AC$1004:$AS$1004,1,MATCH(COLUMNS($AC$1006:AI1006),$AC$1006:$AS$1006,0)))),"Fix")))</f>
        <v>0</v>
      </c>
      <c r="I141" s="5">
        <f>IF(OR(INDEX($W$2:$W$1001,MATCH(ROWS($V$2:V141),$V$2:$V$1001,0),1)&gt;=100000,INDEX($AC$1005:$AS$1005,1,MATCH(COLUMNS($AC$1006:AJ1006),$AC$1006:$AS$1006,0))&gt;=100000), " ",IF(INDEX($AC$2:$AS$1001,MATCH(ROWS($V$2:V141),$V$2:$V$1001,0),MATCH(COLUMNS($AC$1006:AJ1006),$AC$1006:$AS$1006,0)), HYPERLINK("#",""), HYPERLINK(CONCATENATE("#Metadata!", ADDRESS(INDEX($X$2:$X$1001,MATCH(ROWS($V$2:V141),$V$2:$V$1001,0),0), INDEX($AC$1004:$AS$1004,1,MATCH(COLUMNS($AC$1006:AJ1006),$AC$1006:$AS$1006,0)))),"Fix")))</f>
        <v>0</v>
      </c>
      <c r="J141" s="5">
        <f>IF(OR(INDEX($W$2:$W$1001,MATCH(ROWS($V$2:V141),$V$2:$V$1001,0),1)&gt;=100000,INDEX($AC$1005:$AS$1005,1,MATCH(COLUMNS($AC$1006:AK1006),$AC$1006:$AS$1006,0))&gt;=100000), " ",IF(INDEX($AC$2:$AS$1001,MATCH(ROWS($V$2:V141),$V$2:$V$1001,0),MATCH(COLUMNS($AC$1006:AK1006),$AC$1006:$AS$1006,0)), HYPERLINK("#",""), HYPERLINK(CONCATENATE("#Metadata!", ADDRESS(INDEX($X$2:$X$1001,MATCH(ROWS($V$2:V141),$V$2:$V$1001,0),0), INDEX($AC$1004:$AS$1004,1,MATCH(COLUMNS($AC$1006:AK1006),$AC$1006:$AS$1006,0)))),"Fix")))</f>
        <v>0</v>
      </c>
      <c r="K141" s="5">
        <f>IF(OR(INDEX($W$2:$W$1001,MATCH(ROWS($V$2:V141),$V$2:$V$1001,0),1)&gt;=100000,INDEX($AC$1005:$AS$1005,1,MATCH(COLUMNS($AC$1006:AL1006),$AC$1006:$AS$1006,0))&gt;=100000), " ",IF(INDEX($AC$2:$AS$1001,MATCH(ROWS($V$2:V141),$V$2:$V$1001,0),MATCH(COLUMNS($AC$1006:AL1006),$AC$1006:$AS$1006,0)), HYPERLINK("#",""), HYPERLINK(CONCATENATE("#Metadata!", ADDRESS(INDEX($X$2:$X$1001,MATCH(ROWS($V$2:V141),$V$2:$V$1001,0),0), INDEX($AC$1004:$AS$1004,1,MATCH(COLUMNS($AC$1006:AL1006),$AC$1006:$AS$1006,0)))),"Fix")))</f>
        <v>0</v>
      </c>
      <c r="L141" s="5">
        <f>IF(OR(INDEX($W$2:$W$1001,MATCH(ROWS($V$2:V141),$V$2:$V$1001,0),1)&gt;=100000,INDEX($AC$1005:$AS$1005,1,MATCH(COLUMNS($AC$1006:AM1006),$AC$1006:$AS$1006,0))&gt;=100000), " ",IF(INDEX($AC$2:$AS$1001,MATCH(ROWS($V$2:V141),$V$2:$V$1001,0),MATCH(COLUMNS($AC$1006:AM1006),$AC$1006:$AS$1006,0)), HYPERLINK("#",""), HYPERLINK(CONCATENATE("#Metadata!", ADDRESS(INDEX($X$2:$X$1001,MATCH(ROWS($V$2:V141),$V$2:$V$1001,0),0), INDEX($AC$1004:$AS$1004,1,MATCH(COLUMNS($AC$1006:AM1006),$AC$1006:$AS$1006,0)))),"Fix")))</f>
        <v>0</v>
      </c>
      <c r="M141" s="5">
        <f>IF(OR(INDEX($W$2:$W$1001,MATCH(ROWS($V$2:V141),$V$2:$V$1001,0),1)&gt;=100000,INDEX($AC$1005:$AS$1005,1,MATCH(COLUMNS($AC$1006:AN1006),$AC$1006:$AS$1006,0))&gt;=100000), " ",IF(INDEX($AC$2:$AS$1001,MATCH(ROWS($V$2:V141),$V$2:$V$1001,0),MATCH(COLUMNS($AC$1006:AN1006),$AC$1006:$AS$1006,0)), HYPERLINK("#",""), HYPERLINK(CONCATENATE("#Metadata!", ADDRESS(INDEX($X$2:$X$1001,MATCH(ROWS($V$2:V141),$V$2:$V$1001,0),0), INDEX($AC$1004:$AS$1004,1,MATCH(COLUMNS($AC$1006:AN1006),$AC$1006:$AS$1006,0)))),"Fix")))</f>
        <v>0</v>
      </c>
      <c r="N141" s="5">
        <f>IF(OR(INDEX($W$2:$W$1001,MATCH(ROWS($V$2:V141),$V$2:$V$1001,0),1)&gt;=100000,INDEX($AC$1005:$AS$1005,1,MATCH(COLUMNS($AC$1006:AO1006),$AC$1006:$AS$1006,0))&gt;=100000), " ",IF(INDEX($AC$2:$AS$1001,MATCH(ROWS($V$2:V141),$V$2:$V$1001,0),MATCH(COLUMNS($AC$1006:AO1006),$AC$1006:$AS$1006,0)), HYPERLINK("#",""), HYPERLINK(CONCATENATE("#Metadata!", ADDRESS(INDEX($X$2:$X$1001,MATCH(ROWS($V$2:V141),$V$2:$V$1001,0),0), INDEX($AC$1004:$AS$1004,1,MATCH(COLUMNS($AC$1006:AO1006),$AC$1006:$AS$1006,0)))),"Fix")))</f>
        <v>0</v>
      </c>
      <c r="O141" s="5">
        <f>IF(OR(INDEX($W$2:$W$1001,MATCH(ROWS($V$2:V141),$V$2:$V$1001,0),1)&gt;=100000,INDEX($AC$1005:$AS$1005,1,MATCH(COLUMNS($AC$1006:AP1006),$AC$1006:$AS$1006,0))&gt;=100000), " ",IF(INDEX($AC$2:$AS$1001,MATCH(ROWS($V$2:V141),$V$2:$V$1001,0),MATCH(COLUMNS($AC$1006:AP1006),$AC$1006:$AS$1006,0)), HYPERLINK("#",""), HYPERLINK(CONCATENATE("#Metadata!", ADDRESS(INDEX($X$2:$X$1001,MATCH(ROWS($V$2:V141),$V$2:$V$1001,0),0), INDEX($AC$1004:$AS$1004,1,MATCH(COLUMNS($AC$1006:AP1006),$AC$1006:$AS$1006,0)))),"Fix")))</f>
        <v>0</v>
      </c>
      <c r="P141" s="5">
        <f>IF(OR(INDEX($W$2:$W$1001,MATCH(ROWS($V$2:V141),$V$2:$V$1001,0),1)&gt;=100000,INDEX($AC$1005:$AS$1005,1,MATCH(COLUMNS($AC$1006:AQ1006),$AC$1006:$AS$1006,0))&gt;=100000), " ",IF(INDEX($AC$2:$AS$1001,MATCH(ROWS($V$2:V141),$V$2:$V$1001,0),MATCH(COLUMNS($AC$1006:AQ1006),$AC$1006:$AS$1006,0)), HYPERLINK("#",""), HYPERLINK(CONCATENATE("#Metadata!", ADDRESS(INDEX($X$2:$X$1001,MATCH(ROWS($V$2:V141),$V$2:$V$1001,0),0), INDEX($AC$1004:$AS$1004,1,MATCH(COLUMNS($AC$1006:AQ1006),$AC$1006:$AS$1006,0)))),"Fix")))</f>
        <v>0</v>
      </c>
      <c r="Q141" s="5">
        <f>IF(OR(INDEX($W$2:$W$1001,MATCH(ROWS($V$2:V141),$V$2:$V$1001,0),1)&gt;=100000,INDEX($AC$1005:$AS$1005,1,MATCH(COLUMNS($AC$1006:AR1006),$AC$1006:$AS$1006,0))&gt;=100000), " ",IF(INDEX($AC$2:$AS$1001,MATCH(ROWS($V$2:V141),$V$2:$V$1001,0),MATCH(COLUMNS($AC$1006:AR1006),$AC$1006:$AS$1006,0)), HYPERLINK("#",""), HYPERLINK(CONCATENATE("#Metadata!", ADDRESS(INDEX($X$2:$X$1001,MATCH(ROWS($V$2:V141),$V$2:$V$1001,0),0), INDEX($AC$1004:$AS$1004,1,MATCH(COLUMNS($AC$1006:AR1006),$AC$1006:$AS$1006,0)))),"Fix")))</f>
        <v>0</v>
      </c>
      <c r="R141" s="5">
        <f>IF(OR(INDEX($W$2:$W$1001,MATCH(ROWS($V$2:V141),$V$2:$V$1001,0),1)&gt;=100000,INDEX($AC$1005:$AS$1005,1,MATCH(COLUMNS($AC$1006:AS1006),$AC$1006:$AS$1006,0))&gt;=100000), " ",IF(INDEX($AC$2:$AS$1001,MATCH(ROWS($V$2:V141),$V$2:$V$1001,0),MATCH(COLUMNS($AC$1006:AS1006),$AC$1006:$AS$1006,0)), HYPERLINK("#",""), HYPERLINK(CONCATENATE("#Metadata!", ADDRESS(INDEX($X$2:$X$1001,MATCH(ROWS($V$2:V141),$V$2:$V$1001,0),0), INDEX($AC$1004:$AS$1004,1,MATCH(COLUMNS($AC$1006:AS1006),$AC$1006:$AS$1006,0)))),"Fix")))</f>
        <v>0</v>
      </c>
      <c r="V141">
        <v>0</v>
      </c>
      <c r="W141">
        <v>0</v>
      </c>
      <c r="X141">
        <v>0</v>
      </c>
      <c r="Y141">
        <f>IF(Z141,TRUE,AND(AC141:AS141))</f>
        <v>0</v>
      </c>
      <c r="Z141">
        <f>COUNTBLANK(Metadata!B141:R141)=COLUMNS(Metadata!B141:R141)</f>
        <v>0</v>
      </c>
      <c r="AA141">
        <v>0</v>
      </c>
      <c r="AC141">
        <f>AND(IF(Metadata!B141="",FALSE,TRUE),COUNTIF(Metadata!B:B, Metadata!B141) = 1,NOT(ISERROR(SUMPRODUCT(SEARCH(MID(Metadata!B141,ROW(INDIRECT("1:"&amp;LEN(Metadata!B141))), 1),"0123456789abcdefghijklmnopqrstuvwxyzABCDEFGHIJKLMNOPQRSTUVWXYZ.")))))</f>
        <v>0</v>
      </c>
      <c r="AD141">
        <f>AND(IF(Metadata!C141="",FALSE,TRUE),exact(Metadata!C141,"Host-associated"))</f>
        <v>0</v>
      </c>
      <c r="AE141">
        <f>AND(IF(Metadata!D141="",FALSE,TRUE),OR(exact(Metadata!D141,"Animal"),exact(Metadata!D141,"Fungus"),exact(Metadata!D141,"Plant")))</f>
        <v>0</v>
      </c>
      <c r="AF141">
        <f>AND(IF(Metadata!E141="",FALSE,TRUE),OR(exact(Metadata!E141,"Plant secretion"),exact(Metadata!E141,"Plant rhizosphere"),exact(Metadata!E141,"Plant surface"),exact(Metadata!E141,"Plant corpus"),exact(Metadata!E141,"Fungus surface"),exact(Metadata!E141,"Fungus corpus"),exact(Metadata!E141,"Animal surface"),exact(Metadata!E141,"Animal proximal gut"),exact(Metadata!E141,"Animal corpus"),exact(Metadata!E141,"Animal distal gut"),exact(Metadata!E141,"Animal secretion")))</f>
        <v>0</v>
      </c>
      <c r="AG141">
        <f>OR(AND(IF(Metadata!F141="",FALSE,TRUE),OR(exact(Metadata!F141,"not collected"),exact(Metadata!F141,"not provided"),exact(Metadata!F141,"restricted access"))),AND(IF(Metadata!F141="",FALSE,TRUE),OR(exact(Metadata!F141,"organism-associated habitat"),exact(Metadata!F141,"plant-associated habitat"),exact(Metadata!F141,"animal-associated habitat"),exact(Metadata!F141,"insecta-associated habitat"),exact(Metadata!F141,"mammalia-associated habitat"),exact(Metadata!F141,"human-associated habitat"),exact(Metadata!F141,"livestock-associated habitat"))))</f>
        <v>0</v>
      </c>
      <c r="AH141">
        <f>AND(IF(Metadata!G141="",FALSE,TRUE),exact(Metadata!G141,"host-associated"))</f>
        <v>0</v>
      </c>
      <c r="AI141">
        <f>OR(AND(IF(Metadata!H141="",FALSE,TRUE),OR(exact(Metadata!H141,"not collected"),exact(Metadata!H141,"not provided"))),AND(IF(Metadata!H141="",FALSE,ISNUMBER(VALUE(Metadata!H141))),Metadata!H141&gt;0))</f>
        <v>0</v>
      </c>
      <c r="AJ141">
        <f>AND(IF(Metadata!I141="",FALSE,TRUE),exact(Metadata!I141,"years"))</f>
        <v>0</v>
      </c>
      <c r="AK141">
        <f>IF(Metadata!J141="",FALSE,TRUE)</f>
        <v>0</v>
      </c>
      <c r="AL141">
        <f>OR(AND(IF(Metadata!K141="",FALSE,TRUE),OR(exact(Metadata!K141,"not collected"),exact(Metadata!K141,"not provided"))),AND(IF(Metadata!K141="",FALSE,ISNUMBER(VALUE(Metadata!K141))),Metadata!K141&gt;0))</f>
        <v>0</v>
      </c>
      <c r="AM141">
        <f>AND(IF(Metadata!L141="",FALSE,TRUE),exact(Metadata!L141,"cm"))</f>
        <v>0</v>
      </c>
      <c r="AN141">
        <f>IF(Metadata!M141="",FALSE,TRUE)</f>
        <v>0</v>
      </c>
      <c r="AO141">
        <f>OR(AND(IF(Metadata!N141="",FALSE,TRUE),OR(exact(Metadata!N141,"not applicable"),exact(Metadata!N141,"not collected"),exact(Metadata!N141,"not provided"))),AND(IF(Metadata!N141="",FALSE,IF(ISERROR(INT(Metadata!N141)),FALSE,INT(Metadata!N141)=Metadata!N141)),Metadata!N141&gt;0))</f>
        <v>0</v>
      </c>
      <c r="AP141">
        <f>OR(AND(IF(Metadata!O141="",FALSE,TRUE),OR(exact(Metadata!O141,"not collected"),exact(Metadata!O141,"not provided"))),AND(IF(Metadata!O141="",FALSE,ISNUMBER(VALUE(Metadata!O141))),Metadata!O141&gt;0))</f>
        <v>0</v>
      </c>
      <c r="AQ141">
        <f>AND(IF(Metadata!P141="",FALSE,TRUE),exact(Metadata!P141,"kg"))</f>
        <v>0</v>
      </c>
      <c r="AR141">
        <f>OR(AND(IF(Metadata!Q141="",FALSE,TRUE),OR(exact(Metadata!Q141,"not applicable"),exact(Metadata!Q141,"not collected"),exact(Metadata!Q141,"not provided"),exact(Metadata!Q141,"restricted access"))),IF(Metadata!Q141="",FALSE,IF(ISERROR(INT(Metadata!Q141)),FALSE,INT(Metadata!Q141)=Metadata!Q141)))</f>
        <v>0</v>
      </c>
      <c r="AS141">
        <f>AND(IF(Metadata!R141="",FALSE,TRUE),exact(Metadata!R141,"Not applicable"))</f>
        <v>0</v>
      </c>
    </row>
    <row r="142" spans="1:45">
      <c r="A142" s="4">
        <f>IF(B142=" "," ",HYPERLINK(CONCATENATE("#metadata!",ADDRESS(INDEX($X$2:$X$1001,MATCH(ROWS($V$2:V142),$V$2:$V$1001,0),0),2)),INDEX($AA$2:$AA$1001,MATCH(ROWS($V$2:V142),$V$2:$V$1001,0),0)))</f>
        <v>0</v>
      </c>
      <c r="B142" s="5">
        <f>IF(OR(INDEX($W$2:$W$1001,MATCH(ROWS($V$2:V142),$V$2:$V$1001,0),1)&gt;=100000,INDEX($AC$1005:$AS$1005,1,MATCH(COLUMNS($AC$1006:AC1006),$AC$1006:$AS$1006,0))&gt;=100000), " ",IF(INDEX($AC$2:$AS$1001,MATCH(ROWS($V$2:V142),$V$2:$V$1001,0),MATCH(COLUMNS($AC$1006:AC1006),$AC$1006:$AS$1006,0)), HYPERLINK("#",""), HYPERLINK(CONCATENATE("#Metadata!", ADDRESS(INDEX($X$2:$X$1001,MATCH(ROWS($V$2:V142),$V$2:$V$1001,0),0), INDEX($AC$1004:$AS$1004,1,MATCH(COLUMNS($AC$1006:AC1006),$AC$1006:$AS$1006,0)))),"Fix")))</f>
        <v>0</v>
      </c>
      <c r="C142" s="5">
        <f>IF(OR(INDEX($W$2:$W$1001,MATCH(ROWS($V$2:V142),$V$2:$V$1001,0),1)&gt;=100000,INDEX($AC$1005:$AS$1005,1,MATCH(COLUMNS($AC$1006:AD1006),$AC$1006:$AS$1006,0))&gt;=100000), " ",IF(INDEX($AC$2:$AS$1001,MATCH(ROWS($V$2:V142),$V$2:$V$1001,0),MATCH(COLUMNS($AC$1006:AD1006),$AC$1006:$AS$1006,0)), HYPERLINK("#",""), HYPERLINK(CONCATENATE("#Metadata!", ADDRESS(INDEX($X$2:$X$1001,MATCH(ROWS($V$2:V142),$V$2:$V$1001,0),0), INDEX($AC$1004:$AS$1004,1,MATCH(COLUMNS($AC$1006:AD1006),$AC$1006:$AS$1006,0)))),"Fix")))</f>
        <v>0</v>
      </c>
      <c r="D142" s="5">
        <f>IF(OR(INDEX($W$2:$W$1001,MATCH(ROWS($V$2:V142),$V$2:$V$1001,0),1)&gt;=100000,INDEX($AC$1005:$AS$1005,1,MATCH(COLUMNS($AC$1006:AE1006),$AC$1006:$AS$1006,0))&gt;=100000), " ",IF(INDEX($AC$2:$AS$1001,MATCH(ROWS($V$2:V142),$V$2:$V$1001,0),MATCH(COLUMNS($AC$1006:AE1006),$AC$1006:$AS$1006,0)), HYPERLINK("#",""), HYPERLINK(CONCATENATE("#Metadata!", ADDRESS(INDEX($X$2:$X$1001,MATCH(ROWS($V$2:V142),$V$2:$V$1001,0),0), INDEX($AC$1004:$AS$1004,1,MATCH(COLUMNS($AC$1006:AE1006),$AC$1006:$AS$1006,0)))),"Fix")))</f>
        <v>0</v>
      </c>
      <c r="E142" s="5">
        <f>IF(OR(INDEX($W$2:$W$1001,MATCH(ROWS($V$2:V142),$V$2:$V$1001,0),1)&gt;=100000,INDEX($AC$1005:$AS$1005,1,MATCH(COLUMNS($AC$1006:AF1006),$AC$1006:$AS$1006,0))&gt;=100000), " ",IF(INDEX($AC$2:$AS$1001,MATCH(ROWS($V$2:V142),$V$2:$V$1001,0),MATCH(COLUMNS($AC$1006:AF1006),$AC$1006:$AS$1006,0)), HYPERLINK("#",""), HYPERLINK(CONCATENATE("#Metadata!", ADDRESS(INDEX($X$2:$X$1001,MATCH(ROWS($V$2:V142),$V$2:$V$1001,0),0), INDEX($AC$1004:$AS$1004,1,MATCH(COLUMNS($AC$1006:AF1006),$AC$1006:$AS$1006,0)))),"Fix")))</f>
        <v>0</v>
      </c>
      <c r="F142" s="5">
        <f>IF(OR(INDEX($W$2:$W$1001,MATCH(ROWS($V$2:V142),$V$2:$V$1001,0),1)&gt;=100000,INDEX($AC$1005:$AS$1005,1,MATCH(COLUMNS($AC$1006:AG1006),$AC$1006:$AS$1006,0))&gt;=100000), " ",IF(INDEX($AC$2:$AS$1001,MATCH(ROWS($V$2:V142),$V$2:$V$1001,0),MATCH(COLUMNS($AC$1006:AG1006),$AC$1006:$AS$1006,0)), HYPERLINK("#",""), HYPERLINK(CONCATENATE("#Metadata!", ADDRESS(INDEX($X$2:$X$1001,MATCH(ROWS($V$2:V142),$V$2:$V$1001,0),0), INDEX($AC$1004:$AS$1004,1,MATCH(COLUMNS($AC$1006:AG1006),$AC$1006:$AS$1006,0)))),"Fix")))</f>
        <v>0</v>
      </c>
      <c r="G142" s="5">
        <f>IF(OR(INDEX($W$2:$W$1001,MATCH(ROWS($V$2:V142),$V$2:$V$1001,0),1)&gt;=100000,INDEX($AC$1005:$AS$1005,1,MATCH(COLUMNS($AC$1006:AH1006),$AC$1006:$AS$1006,0))&gt;=100000), " ",IF(INDEX($AC$2:$AS$1001,MATCH(ROWS($V$2:V142),$V$2:$V$1001,0),MATCH(COLUMNS($AC$1006:AH1006),$AC$1006:$AS$1006,0)), HYPERLINK("#",""), HYPERLINK(CONCATENATE("#Metadata!", ADDRESS(INDEX($X$2:$X$1001,MATCH(ROWS($V$2:V142),$V$2:$V$1001,0),0), INDEX($AC$1004:$AS$1004,1,MATCH(COLUMNS($AC$1006:AH1006),$AC$1006:$AS$1006,0)))),"Fix")))</f>
        <v>0</v>
      </c>
      <c r="H142" s="5">
        <f>IF(OR(INDEX($W$2:$W$1001,MATCH(ROWS($V$2:V142),$V$2:$V$1001,0),1)&gt;=100000,INDEX($AC$1005:$AS$1005,1,MATCH(COLUMNS($AC$1006:AI1006),$AC$1006:$AS$1006,0))&gt;=100000), " ",IF(INDEX($AC$2:$AS$1001,MATCH(ROWS($V$2:V142),$V$2:$V$1001,0),MATCH(COLUMNS($AC$1006:AI1006),$AC$1006:$AS$1006,0)), HYPERLINK("#",""), HYPERLINK(CONCATENATE("#Metadata!", ADDRESS(INDEX($X$2:$X$1001,MATCH(ROWS($V$2:V142),$V$2:$V$1001,0),0), INDEX($AC$1004:$AS$1004,1,MATCH(COLUMNS($AC$1006:AI1006),$AC$1006:$AS$1006,0)))),"Fix")))</f>
        <v>0</v>
      </c>
      <c r="I142" s="5">
        <f>IF(OR(INDEX($W$2:$W$1001,MATCH(ROWS($V$2:V142),$V$2:$V$1001,0),1)&gt;=100000,INDEX($AC$1005:$AS$1005,1,MATCH(COLUMNS($AC$1006:AJ1006),$AC$1006:$AS$1006,0))&gt;=100000), " ",IF(INDEX($AC$2:$AS$1001,MATCH(ROWS($V$2:V142),$V$2:$V$1001,0),MATCH(COLUMNS($AC$1006:AJ1006),$AC$1006:$AS$1006,0)), HYPERLINK("#",""), HYPERLINK(CONCATENATE("#Metadata!", ADDRESS(INDEX($X$2:$X$1001,MATCH(ROWS($V$2:V142),$V$2:$V$1001,0),0), INDEX($AC$1004:$AS$1004,1,MATCH(COLUMNS($AC$1006:AJ1006),$AC$1006:$AS$1006,0)))),"Fix")))</f>
        <v>0</v>
      </c>
      <c r="J142" s="5">
        <f>IF(OR(INDEX($W$2:$W$1001,MATCH(ROWS($V$2:V142),$V$2:$V$1001,0),1)&gt;=100000,INDEX($AC$1005:$AS$1005,1,MATCH(COLUMNS($AC$1006:AK1006),$AC$1006:$AS$1006,0))&gt;=100000), " ",IF(INDEX($AC$2:$AS$1001,MATCH(ROWS($V$2:V142),$V$2:$V$1001,0),MATCH(COLUMNS($AC$1006:AK1006),$AC$1006:$AS$1006,0)), HYPERLINK("#",""), HYPERLINK(CONCATENATE("#Metadata!", ADDRESS(INDEX($X$2:$X$1001,MATCH(ROWS($V$2:V142),$V$2:$V$1001,0),0), INDEX($AC$1004:$AS$1004,1,MATCH(COLUMNS($AC$1006:AK1006),$AC$1006:$AS$1006,0)))),"Fix")))</f>
        <v>0</v>
      </c>
      <c r="K142" s="5">
        <f>IF(OR(INDEX($W$2:$W$1001,MATCH(ROWS($V$2:V142),$V$2:$V$1001,0),1)&gt;=100000,INDEX($AC$1005:$AS$1005,1,MATCH(COLUMNS($AC$1006:AL1006),$AC$1006:$AS$1006,0))&gt;=100000), " ",IF(INDEX($AC$2:$AS$1001,MATCH(ROWS($V$2:V142),$V$2:$V$1001,0),MATCH(COLUMNS($AC$1006:AL1006),$AC$1006:$AS$1006,0)), HYPERLINK("#",""), HYPERLINK(CONCATENATE("#Metadata!", ADDRESS(INDEX($X$2:$X$1001,MATCH(ROWS($V$2:V142),$V$2:$V$1001,0),0), INDEX($AC$1004:$AS$1004,1,MATCH(COLUMNS($AC$1006:AL1006),$AC$1006:$AS$1006,0)))),"Fix")))</f>
        <v>0</v>
      </c>
      <c r="L142" s="5">
        <f>IF(OR(INDEX($W$2:$W$1001,MATCH(ROWS($V$2:V142),$V$2:$V$1001,0),1)&gt;=100000,INDEX($AC$1005:$AS$1005,1,MATCH(COLUMNS($AC$1006:AM1006),$AC$1006:$AS$1006,0))&gt;=100000), " ",IF(INDEX($AC$2:$AS$1001,MATCH(ROWS($V$2:V142),$V$2:$V$1001,0),MATCH(COLUMNS($AC$1006:AM1006),$AC$1006:$AS$1006,0)), HYPERLINK("#",""), HYPERLINK(CONCATENATE("#Metadata!", ADDRESS(INDEX($X$2:$X$1001,MATCH(ROWS($V$2:V142),$V$2:$V$1001,0),0), INDEX($AC$1004:$AS$1004,1,MATCH(COLUMNS($AC$1006:AM1006),$AC$1006:$AS$1006,0)))),"Fix")))</f>
        <v>0</v>
      </c>
      <c r="M142" s="5">
        <f>IF(OR(INDEX($W$2:$W$1001,MATCH(ROWS($V$2:V142),$V$2:$V$1001,0),1)&gt;=100000,INDEX($AC$1005:$AS$1005,1,MATCH(COLUMNS($AC$1006:AN1006),$AC$1006:$AS$1006,0))&gt;=100000), " ",IF(INDEX($AC$2:$AS$1001,MATCH(ROWS($V$2:V142),$V$2:$V$1001,0),MATCH(COLUMNS($AC$1006:AN1006),$AC$1006:$AS$1006,0)), HYPERLINK("#",""), HYPERLINK(CONCATENATE("#Metadata!", ADDRESS(INDEX($X$2:$X$1001,MATCH(ROWS($V$2:V142),$V$2:$V$1001,0),0), INDEX($AC$1004:$AS$1004,1,MATCH(COLUMNS($AC$1006:AN1006),$AC$1006:$AS$1006,0)))),"Fix")))</f>
        <v>0</v>
      </c>
      <c r="N142" s="5">
        <f>IF(OR(INDEX($W$2:$W$1001,MATCH(ROWS($V$2:V142),$V$2:$V$1001,0),1)&gt;=100000,INDEX($AC$1005:$AS$1005,1,MATCH(COLUMNS($AC$1006:AO1006),$AC$1006:$AS$1006,0))&gt;=100000), " ",IF(INDEX($AC$2:$AS$1001,MATCH(ROWS($V$2:V142),$V$2:$V$1001,0),MATCH(COLUMNS($AC$1006:AO1006),$AC$1006:$AS$1006,0)), HYPERLINK("#",""), HYPERLINK(CONCATENATE("#Metadata!", ADDRESS(INDEX($X$2:$X$1001,MATCH(ROWS($V$2:V142),$V$2:$V$1001,0),0), INDEX($AC$1004:$AS$1004,1,MATCH(COLUMNS($AC$1006:AO1006),$AC$1006:$AS$1006,0)))),"Fix")))</f>
        <v>0</v>
      </c>
      <c r="O142" s="5">
        <f>IF(OR(INDEX($W$2:$W$1001,MATCH(ROWS($V$2:V142),$V$2:$V$1001,0),1)&gt;=100000,INDEX($AC$1005:$AS$1005,1,MATCH(COLUMNS($AC$1006:AP1006),$AC$1006:$AS$1006,0))&gt;=100000), " ",IF(INDEX($AC$2:$AS$1001,MATCH(ROWS($V$2:V142),$V$2:$V$1001,0),MATCH(COLUMNS($AC$1006:AP1006),$AC$1006:$AS$1006,0)), HYPERLINK("#",""), HYPERLINK(CONCATENATE("#Metadata!", ADDRESS(INDEX($X$2:$X$1001,MATCH(ROWS($V$2:V142),$V$2:$V$1001,0),0), INDEX($AC$1004:$AS$1004,1,MATCH(COLUMNS($AC$1006:AP1006),$AC$1006:$AS$1006,0)))),"Fix")))</f>
        <v>0</v>
      </c>
      <c r="P142" s="5">
        <f>IF(OR(INDEX($W$2:$W$1001,MATCH(ROWS($V$2:V142),$V$2:$V$1001,0),1)&gt;=100000,INDEX($AC$1005:$AS$1005,1,MATCH(COLUMNS($AC$1006:AQ1006),$AC$1006:$AS$1006,0))&gt;=100000), " ",IF(INDEX($AC$2:$AS$1001,MATCH(ROWS($V$2:V142),$V$2:$V$1001,0),MATCH(COLUMNS($AC$1006:AQ1006),$AC$1006:$AS$1006,0)), HYPERLINK("#",""), HYPERLINK(CONCATENATE("#Metadata!", ADDRESS(INDEX($X$2:$X$1001,MATCH(ROWS($V$2:V142),$V$2:$V$1001,0),0), INDEX($AC$1004:$AS$1004,1,MATCH(COLUMNS($AC$1006:AQ1006),$AC$1006:$AS$1006,0)))),"Fix")))</f>
        <v>0</v>
      </c>
      <c r="Q142" s="5">
        <f>IF(OR(INDEX($W$2:$W$1001,MATCH(ROWS($V$2:V142),$V$2:$V$1001,0),1)&gt;=100000,INDEX($AC$1005:$AS$1005,1,MATCH(COLUMNS($AC$1006:AR1006),$AC$1006:$AS$1006,0))&gt;=100000), " ",IF(INDEX($AC$2:$AS$1001,MATCH(ROWS($V$2:V142),$V$2:$V$1001,0),MATCH(COLUMNS($AC$1006:AR1006),$AC$1006:$AS$1006,0)), HYPERLINK("#",""), HYPERLINK(CONCATENATE("#Metadata!", ADDRESS(INDEX($X$2:$X$1001,MATCH(ROWS($V$2:V142),$V$2:$V$1001,0),0), INDEX($AC$1004:$AS$1004,1,MATCH(COLUMNS($AC$1006:AR1006),$AC$1006:$AS$1006,0)))),"Fix")))</f>
        <v>0</v>
      </c>
      <c r="R142" s="5">
        <f>IF(OR(INDEX($W$2:$W$1001,MATCH(ROWS($V$2:V142),$V$2:$V$1001,0),1)&gt;=100000,INDEX($AC$1005:$AS$1005,1,MATCH(COLUMNS($AC$1006:AS1006),$AC$1006:$AS$1006,0))&gt;=100000), " ",IF(INDEX($AC$2:$AS$1001,MATCH(ROWS($V$2:V142),$V$2:$V$1001,0),MATCH(COLUMNS($AC$1006:AS1006),$AC$1006:$AS$1006,0)), HYPERLINK("#",""), HYPERLINK(CONCATENATE("#Metadata!", ADDRESS(INDEX($X$2:$X$1001,MATCH(ROWS($V$2:V142),$V$2:$V$1001,0),0), INDEX($AC$1004:$AS$1004,1,MATCH(COLUMNS($AC$1006:AS1006),$AC$1006:$AS$1006,0)))),"Fix")))</f>
        <v>0</v>
      </c>
      <c r="V142">
        <v>0</v>
      </c>
      <c r="W142">
        <v>0</v>
      </c>
      <c r="X142">
        <v>0</v>
      </c>
      <c r="Y142">
        <f>IF(Z142,TRUE,AND(AC142:AS142))</f>
        <v>0</v>
      </c>
      <c r="Z142">
        <f>COUNTBLANK(Metadata!B142:R142)=COLUMNS(Metadata!B142:R142)</f>
        <v>0</v>
      </c>
      <c r="AA142">
        <v>0</v>
      </c>
      <c r="AC142">
        <f>AND(IF(Metadata!B142="",FALSE,TRUE),COUNTIF(Metadata!B:B, Metadata!B142) = 1,NOT(ISERROR(SUMPRODUCT(SEARCH(MID(Metadata!B142,ROW(INDIRECT("1:"&amp;LEN(Metadata!B142))), 1),"0123456789abcdefghijklmnopqrstuvwxyzABCDEFGHIJKLMNOPQRSTUVWXYZ.")))))</f>
        <v>0</v>
      </c>
      <c r="AD142">
        <f>AND(IF(Metadata!C142="",FALSE,TRUE),exact(Metadata!C142,"Host-associated"))</f>
        <v>0</v>
      </c>
      <c r="AE142">
        <f>AND(IF(Metadata!D142="",FALSE,TRUE),OR(exact(Metadata!D142,"Animal"),exact(Metadata!D142,"Fungus"),exact(Metadata!D142,"Plant")))</f>
        <v>0</v>
      </c>
      <c r="AF142">
        <f>AND(IF(Metadata!E142="",FALSE,TRUE),OR(exact(Metadata!E142,"Plant secretion"),exact(Metadata!E142,"Plant rhizosphere"),exact(Metadata!E142,"Plant surface"),exact(Metadata!E142,"Plant corpus"),exact(Metadata!E142,"Fungus surface"),exact(Metadata!E142,"Fungus corpus"),exact(Metadata!E142,"Animal surface"),exact(Metadata!E142,"Animal proximal gut"),exact(Metadata!E142,"Animal corpus"),exact(Metadata!E142,"Animal distal gut"),exact(Metadata!E142,"Animal secretion")))</f>
        <v>0</v>
      </c>
      <c r="AG142">
        <f>OR(AND(IF(Metadata!F142="",FALSE,TRUE),OR(exact(Metadata!F142,"not collected"),exact(Metadata!F142,"not provided"),exact(Metadata!F142,"restricted access"))),AND(IF(Metadata!F142="",FALSE,TRUE),OR(exact(Metadata!F142,"organism-associated habitat"),exact(Metadata!F142,"plant-associated habitat"),exact(Metadata!F142,"animal-associated habitat"),exact(Metadata!F142,"insecta-associated habitat"),exact(Metadata!F142,"mammalia-associated habitat"),exact(Metadata!F142,"human-associated habitat"),exact(Metadata!F142,"livestock-associated habitat"))))</f>
        <v>0</v>
      </c>
      <c r="AH142">
        <f>AND(IF(Metadata!G142="",FALSE,TRUE),exact(Metadata!G142,"host-associated"))</f>
        <v>0</v>
      </c>
      <c r="AI142">
        <f>OR(AND(IF(Metadata!H142="",FALSE,TRUE),OR(exact(Metadata!H142,"not collected"),exact(Metadata!H142,"not provided"))),AND(IF(Metadata!H142="",FALSE,ISNUMBER(VALUE(Metadata!H142))),Metadata!H142&gt;0))</f>
        <v>0</v>
      </c>
      <c r="AJ142">
        <f>AND(IF(Metadata!I142="",FALSE,TRUE),exact(Metadata!I142,"years"))</f>
        <v>0</v>
      </c>
      <c r="AK142">
        <f>IF(Metadata!J142="",FALSE,TRUE)</f>
        <v>0</v>
      </c>
      <c r="AL142">
        <f>OR(AND(IF(Metadata!K142="",FALSE,TRUE),OR(exact(Metadata!K142,"not collected"),exact(Metadata!K142,"not provided"))),AND(IF(Metadata!K142="",FALSE,ISNUMBER(VALUE(Metadata!K142))),Metadata!K142&gt;0))</f>
        <v>0</v>
      </c>
      <c r="AM142">
        <f>AND(IF(Metadata!L142="",FALSE,TRUE),exact(Metadata!L142,"cm"))</f>
        <v>0</v>
      </c>
      <c r="AN142">
        <f>IF(Metadata!M142="",FALSE,TRUE)</f>
        <v>0</v>
      </c>
      <c r="AO142">
        <f>OR(AND(IF(Metadata!N142="",FALSE,TRUE),OR(exact(Metadata!N142,"not applicable"),exact(Metadata!N142,"not collected"),exact(Metadata!N142,"not provided"))),AND(IF(Metadata!N142="",FALSE,IF(ISERROR(INT(Metadata!N142)),FALSE,INT(Metadata!N142)=Metadata!N142)),Metadata!N142&gt;0))</f>
        <v>0</v>
      </c>
      <c r="AP142">
        <f>OR(AND(IF(Metadata!O142="",FALSE,TRUE),OR(exact(Metadata!O142,"not collected"),exact(Metadata!O142,"not provided"))),AND(IF(Metadata!O142="",FALSE,ISNUMBER(VALUE(Metadata!O142))),Metadata!O142&gt;0))</f>
        <v>0</v>
      </c>
      <c r="AQ142">
        <f>AND(IF(Metadata!P142="",FALSE,TRUE),exact(Metadata!P142,"kg"))</f>
        <v>0</v>
      </c>
      <c r="AR142">
        <f>OR(AND(IF(Metadata!Q142="",FALSE,TRUE),OR(exact(Metadata!Q142,"not applicable"),exact(Metadata!Q142,"not collected"),exact(Metadata!Q142,"not provided"),exact(Metadata!Q142,"restricted access"))),IF(Metadata!Q142="",FALSE,IF(ISERROR(INT(Metadata!Q142)),FALSE,INT(Metadata!Q142)=Metadata!Q142)))</f>
        <v>0</v>
      </c>
      <c r="AS142">
        <f>AND(IF(Metadata!R142="",FALSE,TRUE),exact(Metadata!R142,"Not applicable"))</f>
        <v>0</v>
      </c>
    </row>
    <row r="143" spans="1:45">
      <c r="A143" s="4">
        <f>IF(B143=" "," ",HYPERLINK(CONCATENATE("#metadata!",ADDRESS(INDEX($X$2:$X$1001,MATCH(ROWS($V$2:V143),$V$2:$V$1001,0),0),2)),INDEX($AA$2:$AA$1001,MATCH(ROWS($V$2:V143),$V$2:$V$1001,0),0)))</f>
        <v>0</v>
      </c>
      <c r="B143" s="5">
        <f>IF(OR(INDEX($W$2:$W$1001,MATCH(ROWS($V$2:V143),$V$2:$V$1001,0),1)&gt;=100000,INDEX($AC$1005:$AS$1005,1,MATCH(COLUMNS($AC$1006:AC1006),$AC$1006:$AS$1006,0))&gt;=100000), " ",IF(INDEX($AC$2:$AS$1001,MATCH(ROWS($V$2:V143),$V$2:$V$1001,0),MATCH(COLUMNS($AC$1006:AC1006),$AC$1006:$AS$1006,0)), HYPERLINK("#",""), HYPERLINK(CONCATENATE("#Metadata!", ADDRESS(INDEX($X$2:$X$1001,MATCH(ROWS($V$2:V143),$V$2:$V$1001,0),0), INDEX($AC$1004:$AS$1004,1,MATCH(COLUMNS($AC$1006:AC1006),$AC$1006:$AS$1006,0)))),"Fix")))</f>
        <v>0</v>
      </c>
      <c r="C143" s="5">
        <f>IF(OR(INDEX($W$2:$W$1001,MATCH(ROWS($V$2:V143),$V$2:$V$1001,0),1)&gt;=100000,INDEX($AC$1005:$AS$1005,1,MATCH(COLUMNS($AC$1006:AD1006),$AC$1006:$AS$1006,0))&gt;=100000), " ",IF(INDEX($AC$2:$AS$1001,MATCH(ROWS($V$2:V143),$V$2:$V$1001,0),MATCH(COLUMNS($AC$1006:AD1006),$AC$1006:$AS$1006,0)), HYPERLINK("#",""), HYPERLINK(CONCATENATE("#Metadata!", ADDRESS(INDEX($X$2:$X$1001,MATCH(ROWS($V$2:V143),$V$2:$V$1001,0),0), INDEX($AC$1004:$AS$1004,1,MATCH(COLUMNS($AC$1006:AD1006),$AC$1006:$AS$1006,0)))),"Fix")))</f>
        <v>0</v>
      </c>
      <c r="D143" s="5">
        <f>IF(OR(INDEX($W$2:$W$1001,MATCH(ROWS($V$2:V143),$V$2:$V$1001,0),1)&gt;=100000,INDEX($AC$1005:$AS$1005,1,MATCH(COLUMNS($AC$1006:AE1006),$AC$1006:$AS$1006,0))&gt;=100000), " ",IF(INDEX($AC$2:$AS$1001,MATCH(ROWS($V$2:V143),$V$2:$V$1001,0),MATCH(COLUMNS($AC$1006:AE1006),$AC$1006:$AS$1006,0)), HYPERLINK("#",""), HYPERLINK(CONCATENATE("#Metadata!", ADDRESS(INDEX($X$2:$X$1001,MATCH(ROWS($V$2:V143),$V$2:$V$1001,0),0), INDEX($AC$1004:$AS$1004,1,MATCH(COLUMNS($AC$1006:AE1006),$AC$1006:$AS$1006,0)))),"Fix")))</f>
        <v>0</v>
      </c>
      <c r="E143" s="5">
        <f>IF(OR(INDEX($W$2:$W$1001,MATCH(ROWS($V$2:V143),$V$2:$V$1001,0),1)&gt;=100000,INDEX($AC$1005:$AS$1005,1,MATCH(COLUMNS($AC$1006:AF1006),$AC$1006:$AS$1006,0))&gt;=100000), " ",IF(INDEX($AC$2:$AS$1001,MATCH(ROWS($V$2:V143),$V$2:$V$1001,0),MATCH(COLUMNS($AC$1006:AF1006),$AC$1006:$AS$1006,0)), HYPERLINK("#",""), HYPERLINK(CONCATENATE("#Metadata!", ADDRESS(INDEX($X$2:$X$1001,MATCH(ROWS($V$2:V143),$V$2:$V$1001,0),0), INDEX($AC$1004:$AS$1004,1,MATCH(COLUMNS($AC$1006:AF1006),$AC$1006:$AS$1006,0)))),"Fix")))</f>
        <v>0</v>
      </c>
      <c r="F143" s="5">
        <f>IF(OR(INDEX($W$2:$W$1001,MATCH(ROWS($V$2:V143),$V$2:$V$1001,0),1)&gt;=100000,INDEX($AC$1005:$AS$1005,1,MATCH(COLUMNS($AC$1006:AG1006),$AC$1006:$AS$1006,0))&gt;=100000), " ",IF(INDEX($AC$2:$AS$1001,MATCH(ROWS($V$2:V143),$V$2:$V$1001,0),MATCH(COLUMNS($AC$1006:AG1006),$AC$1006:$AS$1006,0)), HYPERLINK("#",""), HYPERLINK(CONCATENATE("#Metadata!", ADDRESS(INDEX($X$2:$X$1001,MATCH(ROWS($V$2:V143),$V$2:$V$1001,0),0), INDEX($AC$1004:$AS$1004,1,MATCH(COLUMNS($AC$1006:AG1006),$AC$1006:$AS$1006,0)))),"Fix")))</f>
        <v>0</v>
      </c>
      <c r="G143" s="5">
        <f>IF(OR(INDEX($W$2:$W$1001,MATCH(ROWS($V$2:V143),$V$2:$V$1001,0),1)&gt;=100000,INDEX($AC$1005:$AS$1005,1,MATCH(COLUMNS($AC$1006:AH1006),$AC$1006:$AS$1006,0))&gt;=100000), " ",IF(INDEX($AC$2:$AS$1001,MATCH(ROWS($V$2:V143),$V$2:$V$1001,0),MATCH(COLUMNS($AC$1006:AH1006),$AC$1006:$AS$1006,0)), HYPERLINK("#",""), HYPERLINK(CONCATENATE("#Metadata!", ADDRESS(INDEX($X$2:$X$1001,MATCH(ROWS($V$2:V143),$V$2:$V$1001,0),0), INDEX($AC$1004:$AS$1004,1,MATCH(COLUMNS($AC$1006:AH1006),$AC$1006:$AS$1006,0)))),"Fix")))</f>
        <v>0</v>
      </c>
      <c r="H143" s="5">
        <f>IF(OR(INDEX($W$2:$W$1001,MATCH(ROWS($V$2:V143),$V$2:$V$1001,0),1)&gt;=100000,INDEX($AC$1005:$AS$1005,1,MATCH(COLUMNS($AC$1006:AI1006),$AC$1006:$AS$1006,0))&gt;=100000), " ",IF(INDEX($AC$2:$AS$1001,MATCH(ROWS($V$2:V143),$V$2:$V$1001,0),MATCH(COLUMNS($AC$1006:AI1006),$AC$1006:$AS$1006,0)), HYPERLINK("#",""), HYPERLINK(CONCATENATE("#Metadata!", ADDRESS(INDEX($X$2:$X$1001,MATCH(ROWS($V$2:V143),$V$2:$V$1001,0),0), INDEX($AC$1004:$AS$1004,1,MATCH(COLUMNS($AC$1006:AI1006),$AC$1006:$AS$1006,0)))),"Fix")))</f>
        <v>0</v>
      </c>
      <c r="I143" s="5">
        <f>IF(OR(INDEX($W$2:$W$1001,MATCH(ROWS($V$2:V143),$V$2:$V$1001,0),1)&gt;=100000,INDEX($AC$1005:$AS$1005,1,MATCH(COLUMNS($AC$1006:AJ1006),$AC$1006:$AS$1006,0))&gt;=100000), " ",IF(INDEX($AC$2:$AS$1001,MATCH(ROWS($V$2:V143),$V$2:$V$1001,0),MATCH(COLUMNS($AC$1006:AJ1006),$AC$1006:$AS$1006,0)), HYPERLINK("#",""), HYPERLINK(CONCATENATE("#Metadata!", ADDRESS(INDEX($X$2:$X$1001,MATCH(ROWS($V$2:V143),$V$2:$V$1001,0),0), INDEX($AC$1004:$AS$1004,1,MATCH(COLUMNS($AC$1006:AJ1006),$AC$1006:$AS$1006,0)))),"Fix")))</f>
        <v>0</v>
      </c>
      <c r="J143" s="5">
        <f>IF(OR(INDEX($W$2:$W$1001,MATCH(ROWS($V$2:V143),$V$2:$V$1001,0),1)&gt;=100000,INDEX($AC$1005:$AS$1005,1,MATCH(COLUMNS($AC$1006:AK1006),$AC$1006:$AS$1006,0))&gt;=100000), " ",IF(INDEX($AC$2:$AS$1001,MATCH(ROWS($V$2:V143),$V$2:$V$1001,0),MATCH(COLUMNS($AC$1006:AK1006),$AC$1006:$AS$1006,0)), HYPERLINK("#",""), HYPERLINK(CONCATENATE("#Metadata!", ADDRESS(INDEX($X$2:$X$1001,MATCH(ROWS($V$2:V143),$V$2:$V$1001,0),0), INDEX($AC$1004:$AS$1004,1,MATCH(COLUMNS($AC$1006:AK1006),$AC$1006:$AS$1006,0)))),"Fix")))</f>
        <v>0</v>
      </c>
      <c r="K143" s="5">
        <f>IF(OR(INDEX($W$2:$W$1001,MATCH(ROWS($V$2:V143),$V$2:$V$1001,0),1)&gt;=100000,INDEX($AC$1005:$AS$1005,1,MATCH(COLUMNS($AC$1006:AL1006),$AC$1006:$AS$1006,0))&gt;=100000), " ",IF(INDEX($AC$2:$AS$1001,MATCH(ROWS($V$2:V143),$V$2:$V$1001,0),MATCH(COLUMNS($AC$1006:AL1006),$AC$1006:$AS$1006,0)), HYPERLINK("#",""), HYPERLINK(CONCATENATE("#Metadata!", ADDRESS(INDEX($X$2:$X$1001,MATCH(ROWS($V$2:V143),$V$2:$V$1001,0),0), INDEX($AC$1004:$AS$1004,1,MATCH(COLUMNS($AC$1006:AL1006),$AC$1006:$AS$1006,0)))),"Fix")))</f>
        <v>0</v>
      </c>
      <c r="L143" s="5">
        <f>IF(OR(INDEX($W$2:$W$1001,MATCH(ROWS($V$2:V143),$V$2:$V$1001,0),1)&gt;=100000,INDEX($AC$1005:$AS$1005,1,MATCH(COLUMNS($AC$1006:AM1006),$AC$1006:$AS$1006,0))&gt;=100000), " ",IF(INDEX($AC$2:$AS$1001,MATCH(ROWS($V$2:V143),$V$2:$V$1001,0),MATCH(COLUMNS($AC$1006:AM1006),$AC$1006:$AS$1006,0)), HYPERLINK("#",""), HYPERLINK(CONCATENATE("#Metadata!", ADDRESS(INDEX($X$2:$X$1001,MATCH(ROWS($V$2:V143),$V$2:$V$1001,0),0), INDEX($AC$1004:$AS$1004,1,MATCH(COLUMNS($AC$1006:AM1006),$AC$1006:$AS$1006,0)))),"Fix")))</f>
        <v>0</v>
      </c>
      <c r="M143" s="5">
        <f>IF(OR(INDEX($W$2:$W$1001,MATCH(ROWS($V$2:V143),$V$2:$V$1001,0),1)&gt;=100000,INDEX($AC$1005:$AS$1005,1,MATCH(COLUMNS($AC$1006:AN1006),$AC$1006:$AS$1006,0))&gt;=100000), " ",IF(INDEX($AC$2:$AS$1001,MATCH(ROWS($V$2:V143),$V$2:$V$1001,0),MATCH(COLUMNS($AC$1006:AN1006),$AC$1006:$AS$1006,0)), HYPERLINK("#",""), HYPERLINK(CONCATENATE("#Metadata!", ADDRESS(INDEX($X$2:$X$1001,MATCH(ROWS($V$2:V143),$V$2:$V$1001,0),0), INDEX($AC$1004:$AS$1004,1,MATCH(COLUMNS($AC$1006:AN1006),$AC$1006:$AS$1006,0)))),"Fix")))</f>
        <v>0</v>
      </c>
      <c r="N143" s="5">
        <f>IF(OR(INDEX($W$2:$W$1001,MATCH(ROWS($V$2:V143),$V$2:$V$1001,0),1)&gt;=100000,INDEX($AC$1005:$AS$1005,1,MATCH(COLUMNS($AC$1006:AO1006),$AC$1006:$AS$1006,0))&gt;=100000), " ",IF(INDEX($AC$2:$AS$1001,MATCH(ROWS($V$2:V143),$V$2:$V$1001,0),MATCH(COLUMNS($AC$1006:AO1006),$AC$1006:$AS$1006,0)), HYPERLINK("#",""), HYPERLINK(CONCATENATE("#Metadata!", ADDRESS(INDEX($X$2:$X$1001,MATCH(ROWS($V$2:V143),$V$2:$V$1001,0),0), INDEX($AC$1004:$AS$1004,1,MATCH(COLUMNS($AC$1006:AO1006),$AC$1006:$AS$1006,0)))),"Fix")))</f>
        <v>0</v>
      </c>
      <c r="O143" s="5">
        <f>IF(OR(INDEX($W$2:$W$1001,MATCH(ROWS($V$2:V143),$V$2:$V$1001,0),1)&gt;=100000,INDEX($AC$1005:$AS$1005,1,MATCH(COLUMNS($AC$1006:AP1006),$AC$1006:$AS$1006,0))&gt;=100000), " ",IF(INDEX($AC$2:$AS$1001,MATCH(ROWS($V$2:V143),$V$2:$V$1001,0),MATCH(COLUMNS($AC$1006:AP1006),$AC$1006:$AS$1006,0)), HYPERLINK("#",""), HYPERLINK(CONCATENATE("#Metadata!", ADDRESS(INDEX($X$2:$X$1001,MATCH(ROWS($V$2:V143),$V$2:$V$1001,0),0), INDEX($AC$1004:$AS$1004,1,MATCH(COLUMNS($AC$1006:AP1006),$AC$1006:$AS$1006,0)))),"Fix")))</f>
        <v>0</v>
      </c>
      <c r="P143" s="5">
        <f>IF(OR(INDEX($W$2:$W$1001,MATCH(ROWS($V$2:V143),$V$2:$V$1001,0),1)&gt;=100000,INDEX($AC$1005:$AS$1005,1,MATCH(COLUMNS($AC$1006:AQ1006),$AC$1006:$AS$1006,0))&gt;=100000), " ",IF(INDEX($AC$2:$AS$1001,MATCH(ROWS($V$2:V143),$V$2:$V$1001,0),MATCH(COLUMNS($AC$1006:AQ1006),$AC$1006:$AS$1006,0)), HYPERLINK("#",""), HYPERLINK(CONCATENATE("#Metadata!", ADDRESS(INDEX($X$2:$X$1001,MATCH(ROWS($V$2:V143),$V$2:$V$1001,0),0), INDEX($AC$1004:$AS$1004,1,MATCH(COLUMNS($AC$1006:AQ1006),$AC$1006:$AS$1006,0)))),"Fix")))</f>
        <v>0</v>
      </c>
      <c r="Q143" s="5">
        <f>IF(OR(INDEX($W$2:$W$1001,MATCH(ROWS($V$2:V143),$V$2:$V$1001,0),1)&gt;=100000,INDEX($AC$1005:$AS$1005,1,MATCH(COLUMNS($AC$1006:AR1006),$AC$1006:$AS$1006,0))&gt;=100000), " ",IF(INDEX($AC$2:$AS$1001,MATCH(ROWS($V$2:V143),$V$2:$V$1001,0),MATCH(COLUMNS($AC$1006:AR1006),$AC$1006:$AS$1006,0)), HYPERLINK("#",""), HYPERLINK(CONCATENATE("#Metadata!", ADDRESS(INDEX($X$2:$X$1001,MATCH(ROWS($V$2:V143),$V$2:$V$1001,0),0), INDEX($AC$1004:$AS$1004,1,MATCH(COLUMNS($AC$1006:AR1006),$AC$1006:$AS$1006,0)))),"Fix")))</f>
        <v>0</v>
      </c>
      <c r="R143" s="5">
        <f>IF(OR(INDEX($W$2:$W$1001,MATCH(ROWS($V$2:V143),$V$2:$V$1001,0),1)&gt;=100000,INDEX($AC$1005:$AS$1005,1,MATCH(COLUMNS($AC$1006:AS1006),$AC$1006:$AS$1006,0))&gt;=100000), " ",IF(INDEX($AC$2:$AS$1001,MATCH(ROWS($V$2:V143),$V$2:$V$1001,0),MATCH(COLUMNS($AC$1006:AS1006),$AC$1006:$AS$1006,0)), HYPERLINK("#",""), HYPERLINK(CONCATENATE("#Metadata!", ADDRESS(INDEX($X$2:$X$1001,MATCH(ROWS($V$2:V143),$V$2:$V$1001,0),0), INDEX($AC$1004:$AS$1004,1,MATCH(COLUMNS($AC$1006:AS1006),$AC$1006:$AS$1006,0)))),"Fix")))</f>
        <v>0</v>
      </c>
      <c r="V143">
        <v>0</v>
      </c>
      <c r="W143">
        <v>0</v>
      </c>
      <c r="X143">
        <v>0</v>
      </c>
      <c r="Y143">
        <f>IF(Z143,TRUE,AND(AC143:AS143))</f>
        <v>0</v>
      </c>
      <c r="Z143">
        <f>COUNTBLANK(Metadata!B143:R143)=COLUMNS(Metadata!B143:R143)</f>
        <v>0</v>
      </c>
      <c r="AA143">
        <v>0</v>
      </c>
      <c r="AC143">
        <f>AND(IF(Metadata!B143="",FALSE,TRUE),COUNTIF(Metadata!B:B, Metadata!B143) = 1,NOT(ISERROR(SUMPRODUCT(SEARCH(MID(Metadata!B143,ROW(INDIRECT("1:"&amp;LEN(Metadata!B143))), 1),"0123456789abcdefghijklmnopqrstuvwxyzABCDEFGHIJKLMNOPQRSTUVWXYZ.")))))</f>
        <v>0</v>
      </c>
      <c r="AD143">
        <f>AND(IF(Metadata!C143="",FALSE,TRUE),exact(Metadata!C143,"Host-associated"))</f>
        <v>0</v>
      </c>
      <c r="AE143">
        <f>AND(IF(Metadata!D143="",FALSE,TRUE),OR(exact(Metadata!D143,"Animal"),exact(Metadata!D143,"Fungus"),exact(Metadata!D143,"Plant")))</f>
        <v>0</v>
      </c>
      <c r="AF143">
        <f>AND(IF(Metadata!E143="",FALSE,TRUE),OR(exact(Metadata!E143,"Plant secretion"),exact(Metadata!E143,"Plant rhizosphere"),exact(Metadata!E143,"Plant surface"),exact(Metadata!E143,"Plant corpus"),exact(Metadata!E143,"Fungus surface"),exact(Metadata!E143,"Fungus corpus"),exact(Metadata!E143,"Animal surface"),exact(Metadata!E143,"Animal proximal gut"),exact(Metadata!E143,"Animal corpus"),exact(Metadata!E143,"Animal distal gut"),exact(Metadata!E143,"Animal secretion")))</f>
        <v>0</v>
      </c>
      <c r="AG143">
        <f>OR(AND(IF(Metadata!F143="",FALSE,TRUE),OR(exact(Metadata!F143,"not collected"),exact(Metadata!F143,"not provided"),exact(Metadata!F143,"restricted access"))),AND(IF(Metadata!F143="",FALSE,TRUE),OR(exact(Metadata!F143,"organism-associated habitat"),exact(Metadata!F143,"plant-associated habitat"),exact(Metadata!F143,"animal-associated habitat"),exact(Metadata!F143,"insecta-associated habitat"),exact(Metadata!F143,"mammalia-associated habitat"),exact(Metadata!F143,"human-associated habitat"),exact(Metadata!F143,"livestock-associated habitat"))))</f>
        <v>0</v>
      </c>
      <c r="AH143">
        <f>AND(IF(Metadata!G143="",FALSE,TRUE),exact(Metadata!G143,"host-associated"))</f>
        <v>0</v>
      </c>
      <c r="AI143">
        <f>OR(AND(IF(Metadata!H143="",FALSE,TRUE),OR(exact(Metadata!H143,"not collected"),exact(Metadata!H143,"not provided"))),AND(IF(Metadata!H143="",FALSE,ISNUMBER(VALUE(Metadata!H143))),Metadata!H143&gt;0))</f>
        <v>0</v>
      </c>
      <c r="AJ143">
        <f>AND(IF(Metadata!I143="",FALSE,TRUE),exact(Metadata!I143,"years"))</f>
        <v>0</v>
      </c>
      <c r="AK143">
        <f>IF(Metadata!J143="",FALSE,TRUE)</f>
        <v>0</v>
      </c>
      <c r="AL143">
        <f>OR(AND(IF(Metadata!K143="",FALSE,TRUE),OR(exact(Metadata!K143,"not collected"),exact(Metadata!K143,"not provided"))),AND(IF(Metadata!K143="",FALSE,ISNUMBER(VALUE(Metadata!K143))),Metadata!K143&gt;0))</f>
        <v>0</v>
      </c>
      <c r="AM143">
        <f>AND(IF(Metadata!L143="",FALSE,TRUE),exact(Metadata!L143,"cm"))</f>
        <v>0</v>
      </c>
      <c r="AN143">
        <f>IF(Metadata!M143="",FALSE,TRUE)</f>
        <v>0</v>
      </c>
      <c r="AO143">
        <f>OR(AND(IF(Metadata!N143="",FALSE,TRUE),OR(exact(Metadata!N143,"not applicable"),exact(Metadata!N143,"not collected"),exact(Metadata!N143,"not provided"))),AND(IF(Metadata!N143="",FALSE,IF(ISERROR(INT(Metadata!N143)),FALSE,INT(Metadata!N143)=Metadata!N143)),Metadata!N143&gt;0))</f>
        <v>0</v>
      </c>
      <c r="AP143">
        <f>OR(AND(IF(Metadata!O143="",FALSE,TRUE),OR(exact(Metadata!O143,"not collected"),exact(Metadata!O143,"not provided"))),AND(IF(Metadata!O143="",FALSE,ISNUMBER(VALUE(Metadata!O143))),Metadata!O143&gt;0))</f>
        <v>0</v>
      </c>
      <c r="AQ143">
        <f>AND(IF(Metadata!P143="",FALSE,TRUE),exact(Metadata!P143,"kg"))</f>
        <v>0</v>
      </c>
      <c r="AR143">
        <f>OR(AND(IF(Metadata!Q143="",FALSE,TRUE),OR(exact(Metadata!Q143,"not applicable"),exact(Metadata!Q143,"not collected"),exact(Metadata!Q143,"not provided"),exact(Metadata!Q143,"restricted access"))),IF(Metadata!Q143="",FALSE,IF(ISERROR(INT(Metadata!Q143)),FALSE,INT(Metadata!Q143)=Metadata!Q143)))</f>
        <v>0</v>
      </c>
      <c r="AS143">
        <f>AND(IF(Metadata!R143="",FALSE,TRUE),exact(Metadata!R143,"Not applicable"))</f>
        <v>0</v>
      </c>
    </row>
    <row r="144" spans="1:45">
      <c r="A144" s="4">
        <f>IF(B144=" "," ",HYPERLINK(CONCATENATE("#metadata!",ADDRESS(INDEX($X$2:$X$1001,MATCH(ROWS($V$2:V144),$V$2:$V$1001,0),0),2)),INDEX($AA$2:$AA$1001,MATCH(ROWS($V$2:V144),$V$2:$V$1001,0),0)))</f>
        <v>0</v>
      </c>
      <c r="B144" s="5">
        <f>IF(OR(INDEX($W$2:$W$1001,MATCH(ROWS($V$2:V144),$V$2:$V$1001,0),1)&gt;=100000,INDEX($AC$1005:$AS$1005,1,MATCH(COLUMNS($AC$1006:AC1006),$AC$1006:$AS$1006,0))&gt;=100000), " ",IF(INDEX($AC$2:$AS$1001,MATCH(ROWS($V$2:V144),$V$2:$V$1001,0),MATCH(COLUMNS($AC$1006:AC1006),$AC$1006:$AS$1006,0)), HYPERLINK("#",""), HYPERLINK(CONCATENATE("#Metadata!", ADDRESS(INDEX($X$2:$X$1001,MATCH(ROWS($V$2:V144),$V$2:$V$1001,0),0), INDEX($AC$1004:$AS$1004,1,MATCH(COLUMNS($AC$1006:AC1006),$AC$1006:$AS$1006,0)))),"Fix")))</f>
        <v>0</v>
      </c>
      <c r="C144" s="5">
        <f>IF(OR(INDEX($W$2:$W$1001,MATCH(ROWS($V$2:V144),$V$2:$V$1001,0),1)&gt;=100000,INDEX($AC$1005:$AS$1005,1,MATCH(COLUMNS($AC$1006:AD1006),$AC$1006:$AS$1006,0))&gt;=100000), " ",IF(INDEX($AC$2:$AS$1001,MATCH(ROWS($V$2:V144),$V$2:$V$1001,0),MATCH(COLUMNS($AC$1006:AD1006),$AC$1006:$AS$1006,0)), HYPERLINK("#",""), HYPERLINK(CONCATENATE("#Metadata!", ADDRESS(INDEX($X$2:$X$1001,MATCH(ROWS($V$2:V144),$V$2:$V$1001,0),0), INDEX($AC$1004:$AS$1004,1,MATCH(COLUMNS($AC$1006:AD1006),$AC$1006:$AS$1006,0)))),"Fix")))</f>
        <v>0</v>
      </c>
      <c r="D144" s="5">
        <f>IF(OR(INDEX($W$2:$W$1001,MATCH(ROWS($V$2:V144),$V$2:$V$1001,0),1)&gt;=100000,INDEX($AC$1005:$AS$1005,1,MATCH(COLUMNS($AC$1006:AE1006),$AC$1006:$AS$1006,0))&gt;=100000), " ",IF(INDEX($AC$2:$AS$1001,MATCH(ROWS($V$2:V144),$V$2:$V$1001,0),MATCH(COLUMNS($AC$1006:AE1006),$AC$1006:$AS$1006,0)), HYPERLINK("#",""), HYPERLINK(CONCATENATE("#Metadata!", ADDRESS(INDEX($X$2:$X$1001,MATCH(ROWS($V$2:V144),$V$2:$V$1001,0),0), INDEX($AC$1004:$AS$1004,1,MATCH(COLUMNS($AC$1006:AE1006),$AC$1006:$AS$1006,0)))),"Fix")))</f>
        <v>0</v>
      </c>
      <c r="E144" s="5">
        <f>IF(OR(INDEX($W$2:$W$1001,MATCH(ROWS($V$2:V144),$V$2:$V$1001,0),1)&gt;=100000,INDEX($AC$1005:$AS$1005,1,MATCH(COLUMNS($AC$1006:AF1006),$AC$1006:$AS$1006,0))&gt;=100000), " ",IF(INDEX($AC$2:$AS$1001,MATCH(ROWS($V$2:V144),$V$2:$V$1001,0),MATCH(COLUMNS($AC$1006:AF1006),$AC$1006:$AS$1006,0)), HYPERLINK("#",""), HYPERLINK(CONCATENATE("#Metadata!", ADDRESS(INDEX($X$2:$X$1001,MATCH(ROWS($V$2:V144),$V$2:$V$1001,0),0), INDEX($AC$1004:$AS$1004,1,MATCH(COLUMNS($AC$1006:AF1006),$AC$1006:$AS$1006,0)))),"Fix")))</f>
        <v>0</v>
      </c>
      <c r="F144" s="5">
        <f>IF(OR(INDEX($W$2:$W$1001,MATCH(ROWS($V$2:V144),$V$2:$V$1001,0),1)&gt;=100000,INDEX($AC$1005:$AS$1005,1,MATCH(COLUMNS($AC$1006:AG1006),$AC$1006:$AS$1006,0))&gt;=100000), " ",IF(INDEX($AC$2:$AS$1001,MATCH(ROWS($V$2:V144),$V$2:$V$1001,0),MATCH(COLUMNS($AC$1006:AG1006),$AC$1006:$AS$1006,0)), HYPERLINK("#",""), HYPERLINK(CONCATENATE("#Metadata!", ADDRESS(INDEX($X$2:$X$1001,MATCH(ROWS($V$2:V144),$V$2:$V$1001,0),0), INDEX($AC$1004:$AS$1004,1,MATCH(COLUMNS($AC$1006:AG1006),$AC$1006:$AS$1006,0)))),"Fix")))</f>
        <v>0</v>
      </c>
      <c r="G144" s="5">
        <f>IF(OR(INDEX($W$2:$W$1001,MATCH(ROWS($V$2:V144),$V$2:$V$1001,0),1)&gt;=100000,INDEX($AC$1005:$AS$1005,1,MATCH(COLUMNS($AC$1006:AH1006),$AC$1006:$AS$1006,0))&gt;=100000), " ",IF(INDEX($AC$2:$AS$1001,MATCH(ROWS($V$2:V144),$V$2:$V$1001,0),MATCH(COLUMNS($AC$1006:AH1006),$AC$1006:$AS$1006,0)), HYPERLINK("#",""), HYPERLINK(CONCATENATE("#Metadata!", ADDRESS(INDEX($X$2:$X$1001,MATCH(ROWS($V$2:V144),$V$2:$V$1001,0),0), INDEX($AC$1004:$AS$1004,1,MATCH(COLUMNS($AC$1006:AH1006),$AC$1006:$AS$1006,0)))),"Fix")))</f>
        <v>0</v>
      </c>
      <c r="H144" s="5">
        <f>IF(OR(INDEX($W$2:$W$1001,MATCH(ROWS($V$2:V144),$V$2:$V$1001,0),1)&gt;=100000,INDEX($AC$1005:$AS$1005,1,MATCH(COLUMNS($AC$1006:AI1006),$AC$1006:$AS$1006,0))&gt;=100000), " ",IF(INDEX($AC$2:$AS$1001,MATCH(ROWS($V$2:V144),$V$2:$V$1001,0),MATCH(COLUMNS($AC$1006:AI1006),$AC$1006:$AS$1006,0)), HYPERLINK("#",""), HYPERLINK(CONCATENATE("#Metadata!", ADDRESS(INDEX($X$2:$X$1001,MATCH(ROWS($V$2:V144),$V$2:$V$1001,0),0), INDEX($AC$1004:$AS$1004,1,MATCH(COLUMNS($AC$1006:AI1006),$AC$1006:$AS$1006,0)))),"Fix")))</f>
        <v>0</v>
      </c>
      <c r="I144" s="5">
        <f>IF(OR(INDEX($W$2:$W$1001,MATCH(ROWS($V$2:V144),$V$2:$V$1001,0),1)&gt;=100000,INDEX($AC$1005:$AS$1005,1,MATCH(COLUMNS($AC$1006:AJ1006),$AC$1006:$AS$1006,0))&gt;=100000), " ",IF(INDEX($AC$2:$AS$1001,MATCH(ROWS($V$2:V144),$V$2:$V$1001,0),MATCH(COLUMNS($AC$1006:AJ1006),$AC$1006:$AS$1006,0)), HYPERLINK("#",""), HYPERLINK(CONCATENATE("#Metadata!", ADDRESS(INDEX($X$2:$X$1001,MATCH(ROWS($V$2:V144),$V$2:$V$1001,0),0), INDEX($AC$1004:$AS$1004,1,MATCH(COLUMNS($AC$1006:AJ1006),$AC$1006:$AS$1006,0)))),"Fix")))</f>
        <v>0</v>
      </c>
      <c r="J144" s="5">
        <f>IF(OR(INDEX($W$2:$W$1001,MATCH(ROWS($V$2:V144),$V$2:$V$1001,0),1)&gt;=100000,INDEX($AC$1005:$AS$1005,1,MATCH(COLUMNS($AC$1006:AK1006),$AC$1006:$AS$1006,0))&gt;=100000), " ",IF(INDEX($AC$2:$AS$1001,MATCH(ROWS($V$2:V144),$V$2:$V$1001,0),MATCH(COLUMNS($AC$1006:AK1006),$AC$1006:$AS$1006,0)), HYPERLINK("#",""), HYPERLINK(CONCATENATE("#Metadata!", ADDRESS(INDEX($X$2:$X$1001,MATCH(ROWS($V$2:V144),$V$2:$V$1001,0),0), INDEX($AC$1004:$AS$1004,1,MATCH(COLUMNS($AC$1006:AK1006),$AC$1006:$AS$1006,0)))),"Fix")))</f>
        <v>0</v>
      </c>
      <c r="K144" s="5">
        <f>IF(OR(INDEX($W$2:$W$1001,MATCH(ROWS($V$2:V144),$V$2:$V$1001,0),1)&gt;=100000,INDEX($AC$1005:$AS$1005,1,MATCH(COLUMNS($AC$1006:AL1006),$AC$1006:$AS$1006,0))&gt;=100000), " ",IF(INDEX($AC$2:$AS$1001,MATCH(ROWS($V$2:V144),$V$2:$V$1001,0),MATCH(COLUMNS($AC$1006:AL1006),$AC$1006:$AS$1006,0)), HYPERLINK("#",""), HYPERLINK(CONCATENATE("#Metadata!", ADDRESS(INDEX($X$2:$X$1001,MATCH(ROWS($V$2:V144),$V$2:$V$1001,0),0), INDEX($AC$1004:$AS$1004,1,MATCH(COLUMNS($AC$1006:AL1006),$AC$1006:$AS$1006,0)))),"Fix")))</f>
        <v>0</v>
      </c>
      <c r="L144" s="5">
        <f>IF(OR(INDEX($W$2:$W$1001,MATCH(ROWS($V$2:V144),$V$2:$V$1001,0),1)&gt;=100000,INDEX($AC$1005:$AS$1005,1,MATCH(COLUMNS($AC$1006:AM1006),$AC$1006:$AS$1006,0))&gt;=100000), " ",IF(INDEX($AC$2:$AS$1001,MATCH(ROWS($V$2:V144),$V$2:$V$1001,0),MATCH(COLUMNS($AC$1006:AM1006),$AC$1006:$AS$1006,0)), HYPERLINK("#",""), HYPERLINK(CONCATENATE("#Metadata!", ADDRESS(INDEX($X$2:$X$1001,MATCH(ROWS($V$2:V144),$V$2:$V$1001,0),0), INDEX($AC$1004:$AS$1004,1,MATCH(COLUMNS($AC$1006:AM1006),$AC$1006:$AS$1006,0)))),"Fix")))</f>
        <v>0</v>
      </c>
      <c r="M144" s="5">
        <f>IF(OR(INDEX($W$2:$W$1001,MATCH(ROWS($V$2:V144),$V$2:$V$1001,0),1)&gt;=100000,INDEX($AC$1005:$AS$1005,1,MATCH(COLUMNS($AC$1006:AN1006),$AC$1006:$AS$1006,0))&gt;=100000), " ",IF(INDEX($AC$2:$AS$1001,MATCH(ROWS($V$2:V144),$V$2:$V$1001,0),MATCH(COLUMNS($AC$1006:AN1006),$AC$1006:$AS$1006,0)), HYPERLINK("#",""), HYPERLINK(CONCATENATE("#Metadata!", ADDRESS(INDEX($X$2:$X$1001,MATCH(ROWS($V$2:V144),$V$2:$V$1001,0),0), INDEX($AC$1004:$AS$1004,1,MATCH(COLUMNS($AC$1006:AN1006),$AC$1006:$AS$1006,0)))),"Fix")))</f>
        <v>0</v>
      </c>
      <c r="N144" s="5">
        <f>IF(OR(INDEX($W$2:$W$1001,MATCH(ROWS($V$2:V144),$V$2:$V$1001,0),1)&gt;=100000,INDEX($AC$1005:$AS$1005,1,MATCH(COLUMNS($AC$1006:AO1006),$AC$1006:$AS$1006,0))&gt;=100000), " ",IF(INDEX($AC$2:$AS$1001,MATCH(ROWS($V$2:V144),$V$2:$V$1001,0),MATCH(COLUMNS($AC$1006:AO1006),$AC$1006:$AS$1006,0)), HYPERLINK("#",""), HYPERLINK(CONCATENATE("#Metadata!", ADDRESS(INDEX($X$2:$X$1001,MATCH(ROWS($V$2:V144),$V$2:$V$1001,0),0), INDEX($AC$1004:$AS$1004,1,MATCH(COLUMNS($AC$1006:AO1006),$AC$1006:$AS$1006,0)))),"Fix")))</f>
        <v>0</v>
      </c>
      <c r="O144" s="5">
        <f>IF(OR(INDEX($W$2:$W$1001,MATCH(ROWS($V$2:V144),$V$2:$V$1001,0),1)&gt;=100000,INDEX($AC$1005:$AS$1005,1,MATCH(COLUMNS($AC$1006:AP1006),$AC$1006:$AS$1006,0))&gt;=100000), " ",IF(INDEX($AC$2:$AS$1001,MATCH(ROWS($V$2:V144),$V$2:$V$1001,0),MATCH(COLUMNS($AC$1006:AP1006),$AC$1006:$AS$1006,0)), HYPERLINK("#",""), HYPERLINK(CONCATENATE("#Metadata!", ADDRESS(INDEX($X$2:$X$1001,MATCH(ROWS($V$2:V144),$V$2:$V$1001,0),0), INDEX($AC$1004:$AS$1004,1,MATCH(COLUMNS($AC$1006:AP1006),$AC$1006:$AS$1006,0)))),"Fix")))</f>
        <v>0</v>
      </c>
      <c r="P144" s="5">
        <f>IF(OR(INDEX($W$2:$W$1001,MATCH(ROWS($V$2:V144),$V$2:$V$1001,0),1)&gt;=100000,INDEX($AC$1005:$AS$1005,1,MATCH(COLUMNS($AC$1006:AQ1006),$AC$1006:$AS$1006,0))&gt;=100000), " ",IF(INDEX($AC$2:$AS$1001,MATCH(ROWS($V$2:V144),$V$2:$V$1001,0),MATCH(COLUMNS($AC$1006:AQ1006),$AC$1006:$AS$1006,0)), HYPERLINK("#",""), HYPERLINK(CONCATENATE("#Metadata!", ADDRESS(INDEX($X$2:$X$1001,MATCH(ROWS($V$2:V144),$V$2:$V$1001,0),0), INDEX($AC$1004:$AS$1004,1,MATCH(COLUMNS($AC$1006:AQ1006),$AC$1006:$AS$1006,0)))),"Fix")))</f>
        <v>0</v>
      </c>
      <c r="Q144" s="5">
        <f>IF(OR(INDEX($W$2:$W$1001,MATCH(ROWS($V$2:V144),$V$2:$V$1001,0),1)&gt;=100000,INDEX($AC$1005:$AS$1005,1,MATCH(COLUMNS($AC$1006:AR1006),$AC$1006:$AS$1006,0))&gt;=100000), " ",IF(INDEX($AC$2:$AS$1001,MATCH(ROWS($V$2:V144),$V$2:$V$1001,0),MATCH(COLUMNS($AC$1006:AR1006),$AC$1006:$AS$1006,0)), HYPERLINK("#",""), HYPERLINK(CONCATENATE("#Metadata!", ADDRESS(INDEX($X$2:$X$1001,MATCH(ROWS($V$2:V144),$V$2:$V$1001,0),0), INDEX($AC$1004:$AS$1004,1,MATCH(COLUMNS($AC$1006:AR1006),$AC$1006:$AS$1006,0)))),"Fix")))</f>
        <v>0</v>
      </c>
      <c r="R144" s="5">
        <f>IF(OR(INDEX($W$2:$W$1001,MATCH(ROWS($V$2:V144),$V$2:$V$1001,0),1)&gt;=100000,INDEX($AC$1005:$AS$1005,1,MATCH(COLUMNS($AC$1006:AS1006),$AC$1006:$AS$1006,0))&gt;=100000), " ",IF(INDEX($AC$2:$AS$1001,MATCH(ROWS($V$2:V144),$V$2:$V$1001,0),MATCH(COLUMNS($AC$1006:AS1006),$AC$1006:$AS$1006,0)), HYPERLINK("#",""), HYPERLINK(CONCATENATE("#Metadata!", ADDRESS(INDEX($X$2:$X$1001,MATCH(ROWS($V$2:V144),$V$2:$V$1001,0),0), INDEX($AC$1004:$AS$1004,1,MATCH(COLUMNS($AC$1006:AS1006),$AC$1006:$AS$1006,0)))),"Fix")))</f>
        <v>0</v>
      </c>
      <c r="V144">
        <v>0</v>
      </c>
      <c r="W144">
        <v>0</v>
      </c>
      <c r="X144">
        <v>0</v>
      </c>
      <c r="Y144">
        <f>IF(Z144,TRUE,AND(AC144:AS144))</f>
        <v>0</v>
      </c>
      <c r="Z144">
        <f>COUNTBLANK(Metadata!B144:R144)=COLUMNS(Metadata!B144:R144)</f>
        <v>0</v>
      </c>
      <c r="AA144">
        <v>0</v>
      </c>
      <c r="AC144">
        <f>AND(IF(Metadata!B144="",FALSE,TRUE),COUNTIF(Metadata!B:B, Metadata!B144) = 1,NOT(ISERROR(SUMPRODUCT(SEARCH(MID(Metadata!B144,ROW(INDIRECT("1:"&amp;LEN(Metadata!B144))), 1),"0123456789abcdefghijklmnopqrstuvwxyzABCDEFGHIJKLMNOPQRSTUVWXYZ.")))))</f>
        <v>0</v>
      </c>
      <c r="AD144">
        <f>AND(IF(Metadata!C144="",FALSE,TRUE),exact(Metadata!C144,"Host-associated"))</f>
        <v>0</v>
      </c>
      <c r="AE144">
        <f>AND(IF(Metadata!D144="",FALSE,TRUE),OR(exact(Metadata!D144,"Animal"),exact(Metadata!D144,"Fungus"),exact(Metadata!D144,"Plant")))</f>
        <v>0</v>
      </c>
      <c r="AF144">
        <f>AND(IF(Metadata!E144="",FALSE,TRUE),OR(exact(Metadata!E144,"Plant secretion"),exact(Metadata!E144,"Plant rhizosphere"),exact(Metadata!E144,"Plant surface"),exact(Metadata!E144,"Plant corpus"),exact(Metadata!E144,"Fungus surface"),exact(Metadata!E144,"Fungus corpus"),exact(Metadata!E144,"Animal surface"),exact(Metadata!E144,"Animal proximal gut"),exact(Metadata!E144,"Animal corpus"),exact(Metadata!E144,"Animal distal gut"),exact(Metadata!E144,"Animal secretion")))</f>
        <v>0</v>
      </c>
      <c r="AG144">
        <f>OR(AND(IF(Metadata!F144="",FALSE,TRUE),OR(exact(Metadata!F144,"not collected"),exact(Metadata!F144,"not provided"),exact(Metadata!F144,"restricted access"))),AND(IF(Metadata!F144="",FALSE,TRUE),OR(exact(Metadata!F144,"organism-associated habitat"),exact(Metadata!F144,"plant-associated habitat"),exact(Metadata!F144,"animal-associated habitat"),exact(Metadata!F144,"insecta-associated habitat"),exact(Metadata!F144,"mammalia-associated habitat"),exact(Metadata!F144,"human-associated habitat"),exact(Metadata!F144,"livestock-associated habitat"))))</f>
        <v>0</v>
      </c>
      <c r="AH144">
        <f>AND(IF(Metadata!G144="",FALSE,TRUE),exact(Metadata!G144,"host-associated"))</f>
        <v>0</v>
      </c>
      <c r="AI144">
        <f>OR(AND(IF(Metadata!H144="",FALSE,TRUE),OR(exact(Metadata!H144,"not collected"),exact(Metadata!H144,"not provided"))),AND(IF(Metadata!H144="",FALSE,ISNUMBER(VALUE(Metadata!H144))),Metadata!H144&gt;0))</f>
        <v>0</v>
      </c>
      <c r="AJ144">
        <f>AND(IF(Metadata!I144="",FALSE,TRUE),exact(Metadata!I144,"years"))</f>
        <v>0</v>
      </c>
      <c r="AK144">
        <f>IF(Metadata!J144="",FALSE,TRUE)</f>
        <v>0</v>
      </c>
      <c r="AL144">
        <f>OR(AND(IF(Metadata!K144="",FALSE,TRUE),OR(exact(Metadata!K144,"not collected"),exact(Metadata!K144,"not provided"))),AND(IF(Metadata!K144="",FALSE,ISNUMBER(VALUE(Metadata!K144))),Metadata!K144&gt;0))</f>
        <v>0</v>
      </c>
      <c r="AM144">
        <f>AND(IF(Metadata!L144="",FALSE,TRUE),exact(Metadata!L144,"cm"))</f>
        <v>0</v>
      </c>
      <c r="AN144">
        <f>IF(Metadata!M144="",FALSE,TRUE)</f>
        <v>0</v>
      </c>
      <c r="AO144">
        <f>OR(AND(IF(Metadata!N144="",FALSE,TRUE),OR(exact(Metadata!N144,"not applicable"),exact(Metadata!N144,"not collected"),exact(Metadata!N144,"not provided"))),AND(IF(Metadata!N144="",FALSE,IF(ISERROR(INT(Metadata!N144)),FALSE,INT(Metadata!N144)=Metadata!N144)),Metadata!N144&gt;0))</f>
        <v>0</v>
      </c>
      <c r="AP144">
        <f>OR(AND(IF(Metadata!O144="",FALSE,TRUE),OR(exact(Metadata!O144,"not collected"),exact(Metadata!O144,"not provided"))),AND(IF(Metadata!O144="",FALSE,ISNUMBER(VALUE(Metadata!O144))),Metadata!O144&gt;0))</f>
        <v>0</v>
      </c>
      <c r="AQ144">
        <f>AND(IF(Metadata!P144="",FALSE,TRUE),exact(Metadata!P144,"kg"))</f>
        <v>0</v>
      </c>
      <c r="AR144">
        <f>OR(AND(IF(Metadata!Q144="",FALSE,TRUE),OR(exact(Metadata!Q144,"not applicable"),exact(Metadata!Q144,"not collected"),exact(Metadata!Q144,"not provided"),exact(Metadata!Q144,"restricted access"))),IF(Metadata!Q144="",FALSE,IF(ISERROR(INT(Metadata!Q144)),FALSE,INT(Metadata!Q144)=Metadata!Q144)))</f>
        <v>0</v>
      </c>
      <c r="AS144">
        <f>AND(IF(Metadata!R144="",FALSE,TRUE),exact(Metadata!R144,"Not applicable"))</f>
        <v>0</v>
      </c>
    </row>
    <row r="145" spans="1:45">
      <c r="A145" s="4">
        <f>IF(B145=" "," ",HYPERLINK(CONCATENATE("#metadata!",ADDRESS(INDEX($X$2:$X$1001,MATCH(ROWS($V$2:V145),$V$2:$V$1001,0),0),2)),INDEX($AA$2:$AA$1001,MATCH(ROWS($V$2:V145),$V$2:$V$1001,0),0)))</f>
        <v>0</v>
      </c>
      <c r="B145" s="5">
        <f>IF(OR(INDEX($W$2:$W$1001,MATCH(ROWS($V$2:V145),$V$2:$V$1001,0),1)&gt;=100000,INDEX($AC$1005:$AS$1005,1,MATCH(COLUMNS($AC$1006:AC1006),$AC$1006:$AS$1006,0))&gt;=100000), " ",IF(INDEX($AC$2:$AS$1001,MATCH(ROWS($V$2:V145),$V$2:$V$1001,0),MATCH(COLUMNS($AC$1006:AC1006),$AC$1006:$AS$1006,0)), HYPERLINK("#",""), HYPERLINK(CONCATENATE("#Metadata!", ADDRESS(INDEX($X$2:$X$1001,MATCH(ROWS($V$2:V145),$V$2:$V$1001,0),0), INDEX($AC$1004:$AS$1004,1,MATCH(COLUMNS($AC$1006:AC1006),$AC$1006:$AS$1006,0)))),"Fix")))</f>
        <v>0</v>
      </c>
      <c r="C145" s="5">
        <f>IF(OR(INDEX($W$2:$W$1001,MATCH(ROWS($V$2:V145),$V$2:$V$1001,0),1)&gt;=100000,INDEX($AC$1005:$AS$1005,1,MATCH(COLUMNS($AC$1006:AD1006),$AC$1006:$AS$1006,0))&gt;=100000), " ",IF(INDEX($AC$2:$AS$1001,MATCH(ROWS($V$2:V145),$V$2:$V$1001,0),MATCH(COLUMNS($AC$1006:AD1006),$AC$1006:$AS$1006,0)), HYPERLINK("#",""), HYPERLINK(CONCATENATE("#Metadata!", ADDRESS(INDEX($X$2:$X$1001,MATCH(ROWS($V$2:V145),$V$2:$V$1001,0),0), INDEX($AC$1004:$AS$1004,1,MATCH(COLUMNS($AC$1006:AD1006),$AC$1006:$AS$1006,0)))),"Fix")))</f>
        <v>0</v>
      </c>
      <c r="D145" s="5">
        <f>IF(OR(INDEX($W$2:$W$1001,MATCH(ROWS($V$2:V145),$V$2:$V$1001,0),1)&gt;=100000,INDEX($AC$1005:$AS$1005,1,MATCH(COLUMNS($AC$1006:AE1006),$AC$1006:$AS$1006,0))&gt;=100000), " ",IF(INDEX($AC$2:$AS$1001,MATCH(ROWS($V$2:V145),$V$2:$V$1001,0),MATCH(COLUMNS($AC$1006:AE1006),$AC$1006:$AS$1006,0)), HYPERLINK("#",""), HYPERLINK(CONCATENATE("#Metadata!", ADDRESS(INDEX($X$2:$X$1001,MATCH(ROWS($V$2:V145),$V$2:$V$1001,0),0), INDEX($AC$1004:$AS$1004,1,MATCH(COLUMNS($AC$1006:AE1006),$AC$1006:$AS$1006,0)))),"Fix")))</f>
        <v>0</v>
      </c>
      <c r="E145" s="5">
        <f>IF(OR(INDEX($W$2:$W$1001,MATCH(ROWS($V$2:V145),$V$2:$V$1001,0),1)&gt;=100000,INDEX($AC$1005:$AS$1005,1,MATCH(COLUMNS($AC$1006:AF1006),$AC$1006:$AS$1006,0))&gt;=100000), " ",IF(INDEX($AC$2:$AS$1001,MATCH(ROWS($V$2:V145),$V$2:$V$1001,0),MATCH(COLUMNS($AC$1006:AF1006),$AC$1006:$AS$1006,0)), HYPERLINK("#",""), HYPERLINK(CONCATENATE("#Metadata!", ADDRESS(INDEX($X$2:$X$1001,MATCH(ROWS($V$2:V145),$V$2:$V$1001,0),0), INDEX($AC$1004:$AS$1004,1,MATCH(COLUMNS($AC$1006:AF1006),$AC$1006:$AS$1006,0)))),"Fix")))</f>
        <v>0</v>
      </c>
      <c r="F145" s="5">
        <f>IF(OR(INDEX($W$2:$W$1001,MATCH(ROWS($V$2:V145),$V$2:$V$1001,0),1)&gt;=100000,INDEX($AC$1005:$AS$1005,1,MATCH(COLUMNS($AC$1006:AG1006),$AC$1006:$AS$1006,0))&gt;=100000), " ",IF(INDEX($AC$2:$AS$1001,MATCH(ROWS($V$2:V145),$V$2:$V$1001,0),MATCH(COLUMNS($AC$1006:AG1006),$AC$1006:$AS$1006,0)), HYPERLINK("#",""), HYPERLINK(CONCATENATE("#Metadata!", ADDRESS(INDEX($X$2:$X$1001,MATCH(ROWS($V$2:V145),$V$2:$V$1001,0),0), INDEX($AC$1004:$AS$1004,1,MATCH(COLUMNS($AC$1006:AG1006),$AC$1006:$AS$1006,0)))),"Fix")))</f>
        <v>0</v>
      </c>
      <c r="G145" s="5">
        <f>IF(OR(INDEX($W$2:$W$1001,MATCH(ROWS($V$2:V145),$V$2:$V$1001,0),1)&gt;=100000,INDEX($AC$1005:$AS$1005,1,MATCH(COLUMNS($AC$1006:AH1006),$AC$1006:$AS$1006,0))&gt;=100000), " ",IF(INDEX($AC$2:$AS$1001,MATCH(ROWS($V$2:V145),$V$2:$V$1001,0),MATCH(COLUMNS($AC$1006:AH1006),$AC$1006:$AS$1006,0)), HYPERLINK("#",""), HYPERLINK(CONCATENATE("#Metadata!", ADDRESS(INDEX($X$2:$X$1001,MATCH(ROWS($V$2:V145),$V$2:$V$1001,0),0), INDEX($AC$1004:$AS$1004,1,MATCH(COLUMNS($AC$1006:AH1006),$AC$1006:$AS$1006,0)))),"Fix")))</f>
        <v>0</v>
      </c>
      <c r="H145" s="5">
        <f>IF(OR(INDEX($W$2:$W$1001,MATCH(ROWS($V$2:V145),$V$2:$V$1001,0),1)&gt;=100000,INDEX($AC$1005:$AS$1005,1,MATCH(COLUMNS($AC$1006:AI1006),$AC$1006:$AS$1006,0))&gt;=100000), " ",IF(INDEX($AC$2:$AS$1001,MATCH(ROWS($V$2:V145),$V$2:$V$1001,0),MATCH(COLUMNS($AC$1006:AI1006),$AC$1006:$AS$1006,0)), HYPERLINK("#",""), HYPERLINK(CONCATENATE("#Metadata!", ADDRESS(INDEX($X$2:$X$1001,MATCH(ROWS($V$2:V145),$V$2:$V$1001,0),0), INDEX($AC$1004:$AS$1004,1,MATCH(COLUMNS($AC$1006:AI1006),$AC$1006:$AS$1006,0)))),"Fix")))</f>
        <v>0</v>
      </c>
      <c r="I145" s="5">
        <f>IF(OR(INDEX($W$2:$W$1001,MATCH(ROWS($V$2:V145),$V$2:$V$1001,0),1)&gt;=100000,INDEX($AC$1005:$AS$1005,1,MATCH(COLUMNS($AC$1006:AJ1006),$AC$1006:$AS$1006,0))&gt;=100000), " ",IF(INDEX($AC$2:$AS$1001,MATCH(ROWS($V$2:V145),$V$2:$V$1001,0),MATCH(COLUMNS($AC$1006:AJ1006),$AC$1006:$AS$1006,0)), HYPERLINK("#",""), HYPERLINK(CONCATENATE("#Metadata!", ADDRESS(INDEX($X$2:$X$1001,MATCH(ROWS($V$2:V145),$V$2:$V$1001,0),0), INDEX($AC$1004:$AS$1004,1,MATCH(COLUMNS($AC$1006:AJ1006),$AC$1006:$AS$1006,0)))),"Fix")))</f>
        <v>0</v>
      </c>
      <c r="J145" s="5">
        <f>IF(OR(INDEX($W$2:$W$1001,MATCH(ROWS($V$2:V145),$V$2:$V$1001,0),1)&gt;=100000,INDEX($AC$1005:$AS$1005,1,MATCH(COLUMNS($AC$1006:AK1006),$AC$1006:$AS$1006,0))&gt;=100000), " ",IF(INDEX($AC$2:$AS$1001,MATCH(ROWS($V$2:V145),$V$2:$V$1001,0),MATCH(COLUMNS($AC$1006:AK1006),$AC$1006:$AS$1006,0)), HYPERLINK("#",""), HYPERLINK(CONCATENATE("#Metadata!", ADDRESS(INDEX($X$2:$X$1001,MATCH(ROWS($V$2:V145),$V$2:$V$1001,0),0), INDEX($AC$1004:$AS$1004,1,MATCH(COLUMNS($AC$1006:AK1006),$AC$1006:$AS$1006,0)))),"Fix")))</f>
        <v>0</v>
      </c>
      <c r="K145" s="5">
        <f>IF(OR(INDEX($W$2:$W$1001,MATCH(ROWS($V$2:V145),$V$2:$V$1001,0),1)&gt;=100000,INDEX($AC$1005:$AS$1005,1,MATCH(COLUMNS($AC$1006:AL1006),$AC$1006:$AS$1006,0))&gt;=100000), " ",IF(INDEX($AC$2:$AS$1001,MATCH(ROWS($V$2:V145),$V$2:$V$1001,0),MATCH(COLUMNS($AC$1006:AL1006),$AC$1006:$AS$1006,0)), HYPERLINK("#",""), HYPERLINK(CONCATENATE("#Metadata!", ADDRESS(INDEX($X$2:$X$1001,MATCH(ROWS($V$2:V145),$V$2:$V$1001,0),0), INDEX($AC$1004:$AS$1004,1,MATCH(COLUMNS($AC$1006:AL1006),$AC$1006:$AS$1006,0)))),"Fix")))</f>
        <v>0</v>
      </c>
      <c r="L145" s="5">
        <f>IF(OR(INDEX($W$2:$W$1001,MATCH(ROWS($V$2:V145),$V$2:$V$1001,0),1)&gt;=100000,INDEX($AC$1005:$AS$1005,1,MATCH(COLUMNS($AC$1006:AM1006),$AC$1006:$AS$1006,0))&gt;=100000), " ",IF(INDEX($AC$2:$AS$1001,MATCH(ROWS($V$2:V145),$V$2:$V$1001,0),MATCH(COLUMNS($AC$1006:AM1006),$AC$1006:$AS$1006,0)), HYPERLINK("#",""), HYPERLINK(CONCATENATE("#Metadata!", ADDRESS(INDEX($X$2:$X$1001,MATCH(ROWS($V$2:V145),$V$2:$V$1001,0),0), INDEX($AC$1004:$AS$1004,1,MATCH(COLUMNS($AC$1006:AM1006),$AC$1006:$AS$1006,0)))),"Fix")))</f>
        <v>0</v>
      </c>
      <c r="M145" s="5">
        <f>IF(OR(INDEX($W$2:$W$1001,MATCH(ROWS($V$2:V145),$V$2:$V$1001,0),1)&gt;=100000,INDEX($AC$1005:$AS$1005,1,MATCH(COLUMNS($AC$1006:AN1006),$AC$1006:$AS$1006,0))&gt;=100000), " ",IF(INDEX($AC$2:$AS$1001,MATCH(ROWS($V$2:V145),$V$2:$V$1001,0),MATCH(COLUMNS($AC$1006:AN1006),$AC$1006:$AS$1006,0)), HYPERLINK("#",""), HYPERLINK(CONCATENATE("#Metadata!", ADDRESS(INDEX($X$2:$X$1001,MATCH(ROWS($V$2:V145),$V$2:$V$1001,0),0), INDEX($AC$1004:$AS$1004,1,MATCH(COLUMNS($AC$1006:AN1006),$AC$1006:$AS$1006,0)))),"Fix")))</f>
        <v>0</v>
      </c>
      <c r="N145" s="5">
        <f>IF(OR(INDEX($W$2:$W$1001,MATCH(ROWS($V$2:V145),$V$2:$V$1001,0),1)&gt;=100000,INDEX($AC$1005:$AS$1005,1,MATCH(COLUMNS($AC$1006:AO1006),$AC$1006:$AS$1006,0))&gt;=100000), " ",IF(INDEX($AC$2:$AS$1001,MATCH(ROWS($V$2:V145),$V$2:$V$1001,0),MATCH(COLUMNS($AC$1006:AO1006),$AC$1006:$AS$1006,0)), HYPERLINK("#",""), HYPERLINK(CONCATENATE("#Metadata!", ADDRESS(INDEX($X$2:$X$1001,MATCH(ROWS($V$2:V145),$V$2:$V$1001,0),0), INDEX($AC$1004:$AS$1004,1,MATCH(COLUMNS($AC$1006:AO1006),$AC$1006:$AS$1006,0)))),"Fix")))</f>
        <v>0</v>
      </c>
      <c r="O145" s="5">
        <f>IF(OR(INDEX($W$2:$W$1001,MATCH(ROWS($V$2:V145),$V$2:$V$1001,0),1)&gt;=100000,INDEX($AC$1005:$AS$1005,1,MATCH(COLUMNS($AC$1006:AP1006),$AC$1006:$AS$1006,0))&gt;=100000), " ",IF(INDEX($AC$2:$AS$1001,MATCH(ROWS($V$2:V145),$V$2:$V$1001,0),MATCH(COLUMNS($AC$1006:AP1006),$AC$1006:$AS$1006,0)), HYPERLINK("#",""), HYPERLINK(CONCATENATE("#Metadata!", ADDRESS(INDEX($X$2:$X$1001,MATCH(ROWS($V$2:V145),$V$2:$V$1001,0),0), INDEX($AC$1004:$AS$1004,1,MATCH(COLUMNS($AC$1006:AP1006),$AC$1006:$AS$1006,0)))),"Fix")))</f>
        <v>0</v>
      </c>
      <c r="P145" s="5">
        <f>IF(OR(INDEX($W$2:$W$1001,MATCH(ROWS($V$2:V145),$V$2:$V$1001,0),1)&gt;=100000,INDEX($AC$1005:$AS$1005,1,MATCH(COLUMNS($AC$1006:AQ1006),$AC$1006:$AS$1006,0))&gt;=100000), " ",IF(INDEX($AC$2:$AS$1001,MATCH(ROWS($V$2:V145),$V$2:$V$1001,0),MATCH(COLUMNS($AC$1006:AQ1006),$AC$1006:$AS$1006,0)), HYPERLINK("#",""), HYPERLINK(CONCATENATE("#Metadata!", ADDRESS(INDEX($X$2:$X$1001,MATCH(ROWS($V$2:V145),$V$2:$V$1001,0),0), INDEX($AC$1004:$AS$1004,1,MATCH(COLUMNS($AC$1006:AQ1006),$AC$1006:$AS$1006,0)))),"Fix")))</f>
        <v>0</v>
      </c>
      <c r="Q145" s="5">
        <f>IF(OR(INDEX($W$2:$W$1001,MATCH(ROWS($V$2:V145),$V$2:$V$1001,0),1)&gt;=100000,INDEX($AC$1005:$AS$1005,1,MATCH(COLUMNS($AC$1006:AR1006),$AC$1006:$AS$1006,0))&gt;=100000), " ",IF(INDEX($AC$2:$AS$1001,MATCH(ROWS($V$2:V145),$V$2:$V$1001,0),MATCH(COLUMNS($AC$1006:AR1006),$AC$1006:$AS$1006,0)), HYPERLINK("#",""), HYPERLINK(CONCATENATE("#Metadata!", ADDRESS(INDEX($X$2:$X$1001,MATCH(ROWS($V$2:V145),$V$2:$V$1001,0),0), INDEX($AC$1004:$AS$1004,1,MATCH(COLUMNS($AC$1006:AR1006),$AC$1006:$AS$1006,0)))),"Fix")))</f>
        <v>0</v>
      </c>
      <c r="R145" s="5">
        <f>IF(OR(INDEX($W$2:$W$1001,MATCH(ROWS($V$2:V145),$V$2:$V$1001,0),1)&gt;=100000,INDEX($AC$1005:$AS$1005,1,MATCH(COLUMNS($AC$1006:AS1006),$AC$1006:$AS$1006,0))&gt;=100000), " ",IF(INDEX($AC$2:$AS$1001,MATCH(ROWS($V$2:V145),$V$2:$V$1001,0),MATCH(COLUMNS($AC$1006:AS1006),$AC$1006:$AS$1006,0)), HYPERLINK("#",""), HYPERLINK(CONCATENATE("#Metadata!", ADDRESS(INDEX($X$2:$X$1001,MATCH(ROWS($V$2:V145),$V$2:$V$1001,0),0), INDEX($AC$1004:$AS$1004,1,MATCH(COLUMNS($AC$1006:AS1006),$AC$1006:$AS$1006,0)))),"Fix")))</f>
        <v>0</v>
      </c>
      <c r="V145">
        <v>0</v>
      </c>
      <c r="W145">
        <v>0</v>
      </c>
      <c r="X145">
        <v>0</v>
      </c>
      <c r="Y145">
        <f>IF(Z145,TRUE,AND(AC145:AS145))</f>
        <v>0</v>
      </c>
      <c r="Z145">
        <f>COUNTBLANK(Metadata!B145:R145)=COLUMNS(Metadata!B145:R145)</f>
        <v>0</v>
      </c>
      <c r="AA145">
        <v>0</v>
      </c>
      <c r="AC145">
        <f>AND(IF(Metadata!B145="",FALSE,TRUE),COUNTIF(Metadata!B:B, Metadata!B145) = 1,NOT(ISERROR(SUMPRODUCT(SEARCH(MID(Metadata!B145,ROW(INDIRECT("1:"&amp;LEN(Metadata!B145))), 1),"0123456789abcdefghijklmnopqrstuvwxyzABCDEFGHIJKLMNOPQRSTUVWXYZ.")))))</f>
        <v>0</v>
      </c>
      <c r="AD145">
        <f>AND(IF(Metadata!C145="",FALSE,TRUE),exact(Metadata!C145,"Host-associated"))</f>
        <v>0</v>
      </c>
      <c r="AE145">
        <f>AND(IF(Metadata!D145="",FALSE,TRUE),OR(exact(Metadata!D145,"Animal"),exact(Metadata!D145,"Fungus"),exact(Metadata!D145,"Plant")))</f>
        <v>0</v>
      </c>
      <c r="AF145">
        <f>AND(IF(Metadata!E145="",FALSE,TRUE),OR(exact(Metadata!E145,"Plant secretion"),exact(Metadata!E145,"Plant rhizosphere"),exact(Metadata!E145,"Plant surface"),exact(Metadata!E145,"Plant corpus"),exact(Metadata!E145,"Fungus surface"),exact(Metadata!E145,"Fungus corpus"),exact(Metadata!E145,"Animal surface"),exact(Metadata!E145,"Animal proximal gut"),exact(Metadata!E145,"Animal corpus"),exact(Metadata!E145,"Animal distal gut"),exact(Metadata!E145,"Animal secretion")))</f>
        <v>0</v>
      </c>
      <c r="AG145">
        <f>OR(AND(IF(Metadata!F145="",FALSE,TRUE),OR(exact(Metadata!F145,"not collected"),exact(Metadata!F145,"not provided"),exact(Metadata!F145,"restricted access"))),AND(IF(Metadata!F145="",FALSE,TRUE),OR(exact(Metadata!F145,"organism-associated habitat"),exact(Metadata!F145,"plant-associated habitat"),exact(Metadata!F145,"animal-associated habitat"),exact(Metadata!F145,"insecta-associated habitat"),exact(Metadata!F145,"mammalia-associated habitat"),exact(Metadata!F145,"human-associated habitat"),exact(Metadata!F145,"livestock-associated habitat"))))</f>
        <v>0</v>
      </c>
      <c r="AH145">
        <f>AND(IF(Metadata!G145="",FALSE,TRUE),exact(Metadata!G145,"host-associated"))</f>
        <v>0</v>
      </c>
      <c r="AI145">
        <f>OR(AND(IF(Metadata!H145="",FALSE,TRUE),OR(exact(Metadata!H145,"not collected"),exact(Metadata!H145,"not provided"))),AND(IF(Metadata!H145="",FALSE,ISNUMBER(VALUE(Metadata!H145))),Metadata!H145&gt;0))</f>
        <v>0</v>
      </c>
      <c r="AJ145">
        <f>AND(IF(Metadata!I145="",FALSE,TRUE),exact(Metadata!I145,"years"))</f>
        <v>0</v>
      </c>
      <c r="AK145">
        <f>IF(Metadata!J145="",FALSE,TRUE)</f>
        <v>0</v>
      </c>
      <c r="AL145">
        <f>OR(AND(IF(Metadata!K145="",FALSE,TRUE),OR(exact(Metadata!K145,"not collected"),exact(Metadata!K145,"not provided"))),AND(IF(Metadata!K145="",FALSE,ISNUMBER(VALUE(Metadata!K145))),Metadata!K145&gt;0))</f>
        <v>0</v>
      </c>
      <c r="AM145">
        <f>AND(IF(Metadata!L145="",FALSE,TRUE),exact(Metadata!L145,"cm"))</f>
        <v>0</v>
      </c>
      <c r="AN145">
        <f>IF(Metadata!M145="",FALSE,TRUE)</f>
        <v>0</v>
      </c>
      <c r="AO145">
        <f>OR(AND(IF(Metadata!N145="",FALSE,TRUE),OR(exact(Metadata!N145,"not applicable"),exact(Metadata!N145,"not collected"),exact(Metadata!N145,"not provided"))),AND(IF(Metadata!N145="",FALSE,IF(ISERROR(INT(Metadata!N145)),FALSE,INT(Metadata!N145)=Metadata!N145)),Metadata!N145&gt;0))</f>
        <v>0</v>
      </c>
      <c r="AP145">
        <f>OR(AND(IF(Metadata!O145="",FALSE,TRUE),OR(exact(Metadata!O145,"not collected"),exact(Metadata!O145,"not provided"))),AND(IF(Metadata!O145="",FALSE,ISNUMBER(VALUE(Metadata!O145))),Metadata!O145&gt;0))</f>
        <v>0</v>
      </c>
      <c r="AQ145">
        <f>AND(IF(Metadata!P145="",FALSE,TRUE),exact(Metadata!P145,"kg"))</f>
        <v>0</v>
      </c>
      <c r="AR145">
        <f>OR(AND(IF(Metadata!Q145="",FALSE,TRUE),OR(exact(Metadata!Q145,"not applicable"),exact(Metadata!Q145,"not collected"),exact(Metadata!Q145,"not provided"),exact(Metadata!Q145,"restricted access"))),IF(Metadata!Q145="",FALSE,IF(ISERROR(INT(Metadata!Q145)),FALSE,INT(Metadata!Q145)=Metadata!Q145)))</f>
        <v>0</v>
      </c>
      <c r="AS145">
        <f>AND(IF(Metadata!R145="",FALSE,TRUE),exact(Metadata!R145,"Not applicable"))</f>
        <v>0</v>
      </c>
    </row>
    <row r="146" spans="1:45">
      <c r="A146" s="4">
        <f>IF(B146=" "," ",HYPERLINK(CONCATENATE("#metadata!",ADDRESS(INDEX($X$2:$X$1001,MATCH(ROWS($V$2:V146),$V$2:$V$1001,0),0),2)),INDEX($AA$2:$AA$1001,MATCH(ROWS($V$2:V146),$V$2:$V$1001,0),0)))</f>
        <v>0</v>
      </c>
      <c r="B146" s="5">
        <f>IF(OR(INDEX($W$2:$W$1001,MATCH(ROWS($V$2:V146),$V$2:$V$1001,0),1)&gt;=100000,INDEX($AC$1005:$AS$1005,1,MATCH(COLUMNS($AC$1006:AC1006),$AC$1006:$AS$1006,0))&gt;=100000), " ",IF(INDEX($AC$2:$AS$1001,MATCH(ROWS($V$2:V146),$V$2:$V$1001,0),MATCH(COLUMNS($AC$1006:AC1006),$AC$1006:$AS$1006,0)), HYPERLINK("#",""), HYPERLINK(CONCATENATE("#Metadata!", ADDRESS(INDEX($X$2:$X$1001,MATCH(ROWS($V$2:V146),$V$2:$V$1001,0),0), INDEX($AC$1004:$AS$1004,1,MATCH(COLUMNS($AC$1006:AC1006),$AC$1006:$AS$1006,0)))),"Fix")))</f>
        <v>0</v>
      </c>
      <c r="C146" s="5">
        <f>IF(OR(INDEX($W$2:$W$1001,MATCH(ROWS($V$2:V146),$V$2:$V$1001,0),1)&gt;=100000,INDEX($AC$1005:$AS$1005,1,MATCH(COLUMNS($AC$1006:AD1006),$AC$1006:$AS$1006,0))&gt;=100000), " ",IF(INDEX($AC$2:$AS$1001,MATCH(ROWS($V$2:V146),$V$2:$V$1001,0),MATCH(COLUMNS($AC$1006:AD1006),$AC$1006:$AS$1006,0)), HYPERLINK("#",""), HYPERLINK(CONCATENATE("#Metadata!", ADDRESS(INDEX($X$2:$X$1001,MATCH(ROWS($V$2:V146),$V$2:$V$1001,0),0), INDEX($AC$1004:$AS$1004,1,MATCH(COLUMNS($AC$1006:AD1006),$AC$1006:$AS$1006,0)))),"Fix")))</f>
        <v>0</v>
      </c>
      <c r="D146" s="5">
        <f>IF(OR(INDEX($W$2:$W$1001,MATCH(ROWS($V$2:V146),$V$2:$V$1001,0),1)&gt;=100000,INDEX($AC$1005:$AS$1005,1,MATCH(COLUMNS($AC$1006:AE1006),$AC$1006:$AS$1006,0))&gt;=100000), " ",IF(INDEX($AC$2:$AS$1001,MATCH(ROWS($V$2:V146),$V$2:$V$1001,0),MATCH(COLUMNS($AC$1006:AE1006),$AC$1006:$AS$1006,0)), HYPERLINK("#",""), HYPERLINK(CONCATENATE("#Metadata!", ADDRESS(INDEX($X$2:$X$1001,MATCH(ROWS($V$2:V146),$V$2:$V$1001,0),0), INDEX($AC$1004:$AS$1004,1,MATCH(COLUMNS($AC$1006:AE1006),$AC$1006:$AS$1006,0)))),"Fix")))</f>
        <v>0</v>
      </c>
      <c r="E146" s="5">
        <f>IF(OR(INDEX($W$2:$W$1001,MATCH(ROWS($V$2:V146),$V$2:$V$1001,0),1)&gt;=100000,INDEX($AC$1005:$AS$1005,1,MATCH(COLUMNS($AC$1006:AF1006),$AC$1006:$AS$1006,0))&gt;=100000), " ",IF(INDEX($AC$2:$AS$1001,MATCH(ROWS($V$2:V146),$V$2:$V$1001,0),MATCH(COLUMNS($AC$1006:AF1006),$AC$1006:$AS$1006,0)), HYPERLINK("#",""), HYPERLINK(CONCATENATE("#Metadata!", ADDRESS(INDEX($X$2:$X$1001,MATCH(ROWS($V$2:V146),$V$2:$V$1001,0),0), INDEX($AC$1004:$AS$1004,1,MATCH(COLUMNS($AC$1006:AF1006),$AC$1006:$AS$1006,0)))),"Fix")))</f>
        <v>0</v>
      </c>
      <c r="F146" s="5">
        <f>IF(OR(INDEX($W$2:$W$1001,MATCH(ROWS($V$2:V146),$V$2:$V$1001,0),1)&gt;=100000,INDEX($AC$1005:$AS$1005,1,MATCH(COLUMNS($AC$1006:AG1006),$AC$1006:$AS$1006,0))&gt;=100000), " ",IF(INDEX($AC$2:$AS$1001,MATCH(ROWS($V$2:V146),$V$2:$V$1001,0),MATCH(COLUMNS($AC$1006:AG1006),$AC$1006:$AS$1006,0)), HYPERLINK("#",""), HYPERLINK(CONCATENATE("#Metadata!", ADDRESS(INDEX($X$2:$X$1001,MATCH(ROWS($V$2:V146),$V$2:$V$1001,0),0), INDEX($AC$1004:$AS$1004,1,MATCH(COLUMNS($AC$1006:AG1006),$AC$1006:$AS$1006,0)))),"Fix")))</f>
        <v>0</v>
      </c>
      <c r="G146" s="5">
        <f>IF(OR(INDEX($W$2:$W$1001,MATCH(ROWS($V$2:V146),$V$2:$V$1001,0),1)&gt;=100000,INDEX($AC$1005:$AS$1005,1,MATCH(COLUMNS($AC$1006:AH1006),$AC$1006:$AS$1006,0))&gt;=100000), " ",IF(INDEX($AC$2:$AS$1001,MATCH(ROWS($V$2:V146),$V$2:$V$1001,0),MATCH(COLUMNS($AC$1006:AH1006),$AC$1006:$AS$1006,0)), HYPERLINK("#",""), HYPERLINK(CONCATENATE("#Metadata!", ADDRESS(INDEX($X$2:$X$1001,MATCH(ROWS($V$2:V146),$V$2:$V$1001,0),0), INDEX($AC$1004:$AS$1004,1,MATCH(COLUMNS($AC$1006:AH1006),$AC$1006:$AS$1006,0)))),"Fix")))</f>
        <v>0</v>
      </c>
      <c r="H146" s="5">
        <f>IF(OR(INDEX($W$2:$W$1001,MATCH(ROWS($V$2:V146),$V$2:$V$1001,0),1)&gt;=100000,INDEX($AC$1005:$AS$1005,1,MATCH(COLUMNS($AC$1006:AI1006),$AC$1006:$AS$1006,0))&gt;=100000), " ",IF(INDEX($AC$2:$AS$1001,MATCH(ROWS($V$2:V146),$V$2:$V$1001,0),MATCH(COLUMNS($AC$1006:AI1006),$AC$1006:$AS$1006,0)), HYPERLINK("#",""), HYPERLINK(CONCATENATE("#Metadata!", ADDRESS(INDEX($X$2:$X$1001,MATCH(ROWS($V$2:V146),$V$2:$V$1001,0),0), INDEX($AC$1004:$AS$1004,1,MATCH(COLUMNS($AC$1006:AI1006),$AC$1006:$AS$1006,0)))),"Fix")))</f>
        <v>0</v>
      </c>
      <c r="I146" s="5">
        <f>IF(OR(INDEX($W$2:$W$1001,MATCH(ROWS($V$2:V146),$V$2:$V$1001,0),1)&gt;=100000,INDEX($AC$1005:$AS$1005,1,MATCH(COLUMNS($AC$1006:AJ1006),$AC$1006:$AS$1006,0))&gt;=100000), " ",IF(INDEX($AC$2:$AS$1001,MATCH(ROWS($V$2:V146),$V$2:$V$1001,0),MATCH(COLUMNS($AC$1006:AJ1006),$AC$1006:$AS$1006,0)), HYPERLINK("#",""), HYPERLINK(CONCATENATE("#Metadata!", ADDRESS(INDEX($X$2:$X$1001,MATCH(ROWS($V$2:V146),$V$2:$V$1001,0),0), INDEX($AC$1004:$AS$1004,1,MATCH(COLUMNS($AC$1006:AJ1006),$AC$1006:$AS$1006,0)))),"Fix")))</f>
        <v>0</v>
      </c>
      <c r="J146" s="5">
        <f>IF(OR(INDEX($W$2:$W$1001,MATCH(ROWS($V$2:V146),$V$2:$V$1001,0),1)&gt;=100000,INDEX($AC$1005:$AS$1005,1,MATCH(COLUMNS($AC$1006:AK1006),$AC$1006:$AS$1006,0))&gt;=100000), " ",IF(INDEX($AC$2:$AS$1001,MATCH(ROWS($V$2:V146),$V$2:$V$1001,0),MATCH(COLUMNS($AC$1006:AK1006),$AC$1006:$AS$1006,0)), HYPERLINK("#",""), HYPERLINK(CONCATENATE("#Metadata!", ADDRESS(INDEX($X$2:$X$1001,MATCH(ROWS($V$2:V146),$V$2:$V$1001,0),0), INDEX($AC$1004:$AS$1004,1,MATCH(COLUMNS($AC$1006:AK1006),$AC$1006:$AS$1006,0)))),"Fix")))</f>
        <v>0</v>
      </c>
      <c r="K146" s="5">
        <f>IF(OR(INDEX($W$2:$W$1001,MATCH(ROWS($V$2:V146),$V$2:$V$1001,0),1)&gt;=100000,INDEX($AC$1005:$AS$1005,1,MATCH(COLUMNS($AC$1006:AL1006),$AC$1006:$AS$1006,0))&gt;=100000), " ",IF(INDEX($AC$2:$AS$1001,MATCH(ROWS($V$2:V146),$V$2:$V$1001,0),MATCH(COLUMNS($AC$1006:AL1006),$AC$1006:$AS$1006,0)), HYPERLINK("#",""), HYPERLINK(CONCATENATE("#Metadata!", ADDRESS(INDEX($X$2:$X$1001,MATCH(ROWS($V$2:V146),$V$2:$V$1001,0),0), INDEX($AC$1004:$AS$1004,1,MATCH(COLUMNS($AC$1006:AL1006),$AC$1006:$AS$1006,0)))),"Fix")))</f>
        <v>0</v>
      </c>
      <c r="L146" s="5">
        <f>IF(OR(INDEX($W$2:$W$1001,MATCH(ROWS($V$2:V146),$V$2:$V$1001,0),1)&gt;=100000,INDEX($AC$1005:$AS$1005,1,MATCH(COLUMNS($AC$1006:AM1006),$AC$1006:$AS$1006,0))&gt;=100000), " ",IF(INDEX($AC$2:$AS$1001,MATCH(ROWS($V$2:V146),$V$2:$V$1001,0),MATCH(COLUMNS($AC$1006:AM1006),$AC$1006:$AS$1006,0)), HYPERLINK("#",""), HYPERLINK(CONCATENATE("#Metadata!", ADDRESS(INDEX($X$2:$X$1001,MATCH(ROWS($V$2:V146),$V$2:$V$1001,0),0), INDEX($AC$1004:$AS$1004,1,MATCH(COLUMNS($AC$1006:AM1006),$AC$1006:$AS$1006,0)))),"Fix")))</f>
        <v>0</v>
      </c>
      <c r="M146" s="5">
        <f>IF(OR(INDEX($W$2:$W$1001,MATCH(ROWS($V$2:V146),$V$2:$V$1001,0),1)&gt;=100000,INDEX($AC$1005:$AS$1005,1,MATCH(COLUMNS($AC$1006:AN1006),$AC$1006:$AS$1006,0))&gt;=100000), " ",IF(INDEX($AC$2:$AS$1001,MATCH(ROWS($V$2:V146),$V$2:$V$1001,0),MATCH(COLUMNS($AC$1006:AN1006),$AC$1006:$AS$1006,0)), HYPERLINK("#",""), HYPERLINK(CONCATENATE("#Metadata!", ADDRESS(INDEX($X$2:$X$1001,MATCH(ROWS($V$2:V146),$V$2:$V$1001,0),0), INDEX($AC$1004:$AS$1004,1,MATCH(COLUMNS($AC$1006:AN1006),$AC$1006:$AS$1006,0)))),"Fix")))</f>
        <v>0</v>
      </c>
      <c r="N146" s="5">
        <f>IF(OR(INDEX($W$2:$W$1001,MATCH(ROWS($V$2:V146),$V$2:$V$1001,0),1)&gt;=100000,INDEX($AC$1005:$AS$1005,1,MATCH(COLUMNS($AC$1006:AO1006),$AC$1006:$AS$1006,0))&gt;=100000), " ",IF(INDEX($AC$2:$AS$1001,MATCH(ROWS($V$2:V146),$V$2:$V$1001,0),MATCH(COLUMNS($AC$1006:AO1006),$AC$1006:$AS$1006,0)), HYPERLINK("#",""), HYPERLINK(CONCATENATE("#Metadata!", ADDRESS(INDEX($X$2:$X$1001,MATCH(ROWS($V$2:V146),$V$2:$V$1001,0),0), INDEX($AC$1004:$AS$1004,1,MATCH(COLUMNS($AC$1006:AO1006),$AC$1006:$AS$1006,0)))),"Fix")))</f>
        <v>0</v>
      </c>
      <c r="O146" s="5">
        <f>IF(OR(INDEX($W$2:$W$1001,MATCH(ROWS($V$2:V146),$V$2:$V$1001,0),1)&gt;=100000,INDEX($AC$1005:$AS$1005,1,MATCH(COLUMNS($AC$1006:AP1006),$AC$1006:$AS$1006,0))&gt;=100000), " ",IF(INDEX($AC$2:$AS$1001,MATCH(ROWS($V$2:V146),$V$2:$V$1001,0),MATCH(COLUMNS($AC$1006:AP1006),$AC$1006:$AS$1006,0)), HYPERLINK("#",""), HYPERLINK(CONCATENATE("#Metadata!", ADDRESS(INDEX($X$2:$X$1001,MATCH(ROWS($V$2:V146),$V$2:$V$1001,0),0), INDEX($AC$1004:$AS$1004,1,MATCH(COLUMNS($AC$1006:AP1006),$AC$1006:$AS$1006,0)))),"Fix")))</f>
        <v>0</v>
      </c>
      <c r="P146" s="5">
        <f>IF(OR(INDEX($W$2:$W$1001,MATCH(ROWS($V$2:V146),$V$2:$V$1001,0),1)&gt;=100000,INDEX($AC$1005:$AS$1005,1,MATCH(COLUMNS($AC$1006:AQ1006),$AC$1006:$AS$1006,0))&gt;=100000), " ",IF(INDEX($AC$2:$AS$1001,MATCH(ROWS($V$2:V146),$V$2:$V$1001,0),MATCH(COLUMNS($AC$1006:AQ1006),$AC$1006:$AS$1006,0)), HYPERLINK("#",""), HYPERLINK(CONCATENATE("#Metadata!", ADDRESS(INDEX($X$2:$X$1001,MATCH(ROWS($V$2:V146),$V$2:$V$1001,0),0), INDEX($AC$1004:$AS$1004,1,MATCH(COLUMNS($AC$1006:AQ1006),$AC$1006:$AS$1006,0)))),"Fix")))</f>
        <v>0</v>
      </c>
      <c r="Q146" s="5">
        <f>IF(OR(INDEX($W$2:$W$1001,MATCH(ROWS($V$2:V146),$V$2:$V$1001,0),1)&gt;=100000,INDEX($AC$1005:$AS$1005,1,MATCH(COLUMNS($AC$1006:AR1006),$AC$1006:$AS$1006,0))&gt;=100000), " ",IF(INDEX($AC$2:$AS$1001,MATCH(ROWS($V$2:V146),$V$2:$V$1001,0),MATCH(COLUMNS($AC$1006:AR1006),$AC$1006:$AS$1006,0)), HYPERLINK("#",""), HYPERLINK(CONCATENATE("#Metadata!", ADDRESS(INDEX($X$2:$X$1001,MATCH(ROWS($V$2:V146),$V$2:$V$1001,0),0), INDEX($AC$1004:$AS$1004,1,MATCH(COLUMNS($AC$1006:AR1006),$AC$1006:$AS$1006,0)))),"Fix")))</f>
        <v>0</v>
      </c>
      <c r="R146" s="5">
        <f>IF(OR(INDEX($W$2:$W$1001,MATCH(ROWS($V$2:V146),$V$2:$V$1001,0),1)&gt;=100000,INDEX($AC$1005:$AS$1005,1,MATCH(COLUMNS($AC$1006:AS1006),$AC$1006:$AS$1006,0))&gt;=100000), " ",IF(INDEX($AC$2:$AS$1001,MATCH(ROWS($V$2:V146),$V$2:$V$1001,0),MATCH(COLUMNS($AC$1006:AS1006),$AC$1006:$AS$1006,0)), HYPERLINK("#",""), HYPERLINK(CONCATENATE("#Metadata!", ADDRESS(INDEX($X$2:$X$1001,MATCH(ROWS($V$2:V146),$V$2:$V$1001,0),0), INDEX($AC$1004:$AS$1004,1,MATCH(COLUMNS($AC$1006:AS1006),$AC$1006:$AS$1006,0)))),"Fix")))</f>
        <v>0</v>
      </c>
      <c r="V146">
        <v>0</v>
      </c>
      <c r="W146">
        <v>0</v>
      </c>
      <c r="X146">
        <v>0</v>
      </c>
      <c r="Y146">
        <f>IF(Z146,TRUE,AND(AC146:AS146))</f>
        <v>0</v>
      </c>
      <c r="Z146">
        <f>COUNTBLANK(Metadata!B146:R146)=COLUMNS(Metadata!B146:R146)</f>
        <v>0</v>
      </c>
      <c r="AA146">
        <v>0</v>
      </c>
      <c r="AC146">
        <f>AND(IF(Metadata!B146="",FALSE,TRUE),COUNTIF(Metadata!B:B, Metadata!B146) = 1,NOT(ISERROR(SUMPRODUCT(SEARCH(MID(Metadata!B146,ROW(INDIRECT("1:"&amp;LEN(Metadata!B146))), 1),"0123456789abcdefghijklmnopqrstuvwxyzABCDEFGHIJKLMNOPQRSTUVWXYZ.")))))</f>
        <v>0</v>
      </c>
      <c r="AD146">
        <f>AND(IF(Metadata!C146="",FALSE,TRUE),exact(Metadata!C146,"Host-associated"))</f>
        <v>0</v>
      </c>
      <c r="AE146">
        <f>AND(IF(Metadata!D146="",FALSE,TRUE),OR(exact(Metadata!D146,"Animal"),exact(Metadata!D146,"Fungus"),exact(Metadata!D146,"Plant")))</f>
        <v>0</v>
      </c>
      <c r="AF146">
        <f>AND(IF(Metadata!E146="",FALSE,TRUE),OR(exact(Metadata!E146,"Plant secretion"),exact(Metadata!E146,"Plant rhizosphere"),exact(Metadata!E146,"Plant surface"),exact(Metadata!E146,"Plant corpus"),exact(Metadata!E146,"Fungus surface"),exact(Metadata!E146,"Fungus corpus"),exact(Metadata!E146,"Animal surface"),exact(Metadata!E146,"Animal proximal gut"),exact(Metadata!E146,"Animal corpus"),exact(Metadata!E146,"Animal distal gut"),exact(Metadata!E146,"Animal secretion")))</f>
        <v>0</v>
      </c>
      <c r="AG146">
        <f>OR(AND(IF(Metadata!F146="",FALSE,TRUE),OR(exact(Metadata!F146,"not collected"),exact(Metadata!F146,"not provided"),exact(Metadata!F146,"restricted access"))),AND(IF(Metadata!F146="",FALSE,TRUE),OR(exact(Metadata!F146,"organism-associated habitat"),exact(Metadata!F146,"plant-associated habitat"),exact(Metadata!F146,"animal-associated habitat"),exact(Metadata!F146,"insecta-associated habitat"),exact(Metadata!F146,"mammalia-associated habitat"),exact(Metadata!F146,"human-associated habitat"),exact(Metadata!F146,"livestock-associated habitat"))))</f>
        <v>0</v>
      </c>
      <c r="AH146">
        <f>AND(IF(Metadata!G146="",FALSE,TRUE),exact(Metadata!G146,"host-associated"))</f>
        <v>0</v>
      </c>
      <c r="AI146">
        <f>OR(AND(IF(Metadata!H146="",FALSE,TRUE),OR(exact(Metadata!H146,"not collected"),exact(Metadata!H146,"not provided"))),AND(IF(Metadata!H146="",FALSE,ISNUMBER(VALUE(Metadata!H146))),Metadata!H146&gt;0))</f>
        <v>0</v>
      </c>
      <c r="AJ146">
        <f>AND(IF(Metadata!I146="",FALSE,TRUE),exact(Metadata!I146,"years"))</f>
        <v>0</v>
      </c>
      <c r="AK146">
        <f>IF(Metadata!J146="",FALSE,TRUE)</f>
        <v>0</v>
      </c>
      <c r="AL146">
        <f>OR(AND(IF(Metadata!K146="",FALSE,TRUE),OR(exact(Metadata!K146,"not collected"),exact(Metadata!K146,"not provided"))),AND(IF(Metadata!K146="",FALSE,ISNUMBER(VALUE(Metadata!K146))),Metadata!K146&gt;0))</f>
        <v>0</v>
      </c>
      <c r="AM146">
        <f>AND(IF(Metadata!L146="",FALSE,TRUE),exact(Metadata!L146,"cm"))</f>
        <v>0</v>
      </c>
      <c r="AN146">
        <f>IF(Metadata!M146="",FALSE,TRUE)</f>
        <v>0</v>
      </c>
      <c r="AO146">
        <f>OR(AND(IF(Metadata!N146="",FALSE,TRUE),OR(exact(Metadata!N146,"not applicable"),exact(Metadata!N146,"not collected"),exact(Metadata!N146,"not provided"))),AND(IF(Metadata!N146="",FALSE,IF(ISERROR(INT(Metadata!N146)),FALSE,INT(Metadata!N146)=Metadata!N146)),Metadata!N146&gt;0))</f>
        <v>0</v>
      </c>
      <c r="AP146">
        <f>OR(AND(IF(Metadata!O146="",FALSE,TRUE),OR(exact(Metadata!O146,"not collected"),exact(Metadata!O146,"not provided"))),AND(IF(Metadata!O146="",FALSE,ISNUMBER(VALUE(Metadata!O146))),Metadata!O146&gt;0))</f>
        <v>0</v>
      </c>
      <c r="AQ146">
        <f>AND(IF(Metadata!P146="",FALSE,TRUE),exact(Metadata!P146,"kg"))</f>
        <v>0</v>
      </c>
      <c r="AR146">
        <f>OR(AND(IF(Metadata!Q146="",FALSE,TRUE),OR(exact(Metadata!Q146,"not applicable"),exact(Metadata!Q146,"not collected"),exact(Metadata!Q146,"not provided"),exact(Metadata!Q146,"restricted access"))),IF(Metadata!Q146="",FALSE,IF(ISERROR(INT(Metadata!Q146)),FALSE,INT(Metadata!Q146)=Metadata!Q146)))</f>
        <v>0</v>
      </c>
      <c r="AS146">
        <f>AND(IF(Metadata!R146="",FALSE,TRUE),exact(Metadata!R146,"Not applicable"))</f>
        <v>0</v>
      </c>
    </row>
    <row r="147" spans="1:45">
      <c r="A147" s="4">
        <f>IF(B147=" "," ",HYPERLINK(CONCATENATE("#metadata!",ADDRESS(INDEX($X$2:$X$1001,MATCH(ROWS($V$2:V147),$V$2:$V$1001,0),0),2)),INDEX($AA$2:$AA$1001,MATCH(ROWS($V$2:V147),$V$2:$V$1001,0),0)))</f>
        <v>0</v>
      </c>
      <c r="B147" s="5">
        <f>IF(OR(INDEX($W$2:$W$1001,MATCH(ROWS($V$2:V147),$V$2:$V$1001,0),1)&gt;=100000,INDEX($AC$1005:$AS$1005,1,MATCH(COLUMNS($AC$1006:AC1006),$AC$1006:$AS$1006,0))&gt;=100000), " ",IF(INDEX($AC$2:$AS$1001,MATCH(ROWS($V$2:V147),$V$2:$V$1001,0),MATCH(COLUMNS($AC$1006:AC1006),$AC$1006:$AS$1006,0)), HYPERLINK("#",""), HYPERLINK(CONCATENATE("#Metadata!", ADDRESS(INDEX($X$2:$X$1001,MATCH(ROWS($V$2:V147),$V$2:$V$1001,0),0), INDEX($AC$1004:$AS$1004,1,MATCH(COLUMNS($AC$1006:AC1006),$AC$1006:$AS$1006,0)))),"Fix")))</f>
        <v>0</v>
      </c>
      <c r="C147" s="5">
        <f>IF(OR(INDEX($W$2:$W$1001,MATCH(ROWS($V$2:V147),$V$2:$V$1001,0),1)&gt;=100000,INDEX($AC$1005:$AS$1005,1,MATCH(COLUMNS($AC$1006:AD1006),$AC$1006:$AS$1006,0))&gt;=100000), " ",IF(INDEX($AC$2:$AS$1001,MATCH(ROWS($V$2:V147),$V$2:$V$1001,0),MATCH(COLUMNS($AC$1006:AD1006),$AC$1006:$AS$1006,0)), HYPERLINK("#",""), HYPERLINK(CONCATENATE("#Metadata!", ADDRESS(INDEX($X$2:$X$1001,MATCH(ROWS($V$2:V147),$V$2:$V$1001,0),0), INDEX($AC$1004:$AS$1004,1,MATCH(COLUMNS($AC$1006:AD1006),$AC$1006:$AS$1006,0)))),"Fix")))</f>
        <v>0</v>
      </c>
      <c r="D147" s="5">
        <f>IF(OR(INDEX($W$2:$W$1001,MATCH(ROWS($V$2:V147),$V$2:$V$1001,0),1)&gt;=100000,INDEX($AC$1005:$AS$1005,1,MATCH(COLUMNS($AC$1006:AE1006),$AC$1006:$AS$1006,0))&gt;=100000), " ",IF(INDEX($AC$2:$AS$1001,MATCH(ROWS($V$2:V147),$V$2:$V$1001,0),MATCH(COLUMNS($AC$1006:AE1006),$AC$1006:$AS$1006,0)), HYPERLINK("#",""), HYPERLINK(CONCATENATE("#Metadata!", ADDRESS(INDEX($X$2:$X$1001,MATCH(ROWS($V$2:V147),$V$2:$V$1001,0),0), INDEX($AC$1004:$AS$1004,1,MATCH(COLUMNS($AC$1006:AE1006),$AC$1006:$AS$1006,0)))),"Fix")))</f>
        <v>0</v>
      </c>
      <c r="E147" s="5">
        <f>IF(OR(INDEX($W$2:$W$1001,MATCH(ROWS($V$2:V147),$V$2:$V$1001,0),1)&gt;=100000,INDEX($AC$1005:$AS$1005,1,MATCH(COLUMNS($AC$1006:AF1006),$AC$1006:$AS$1006,0))&gt;=100000), " ",IF(INDEX($AC$2:$AS$1001,MATCH(ROWS($V$2:V147),$V$2:$V$1001,0),MATCH(COLUMNS($AC$1006:AF1006),$AC$1006:$AS$1006,0)), HYPERLINK("#",""), HYPERLINK(CONCATENATE("#Metadata!", ADDRESS(INDEX($X$2:$X$1001,MATCH(ROWS($V$2:V147),$V$2:$V$1001,0),0), INDEX($AC$1004:$AS$1004,1,MATCH(COLUMNS($AC$1006:AF1006),$AC$1006:$AS$1006,0)))),"Fix")))</f>
        <v>0</v>
      </c>
      <c r="F147" s="5">
        <f>IF(OR(INDEX($W$2:$W$1001,MATCH(ROWS($V$2:V147),$V$2:$V$1001,0),1)&gt;=100000,INDEX($AC$1005:$AS$1005,1,MATCH(COLUMNS($AC$1006:AG1006),$AC$1006:$AS$1006,0))&gt;=100000), " ",IF(INDEX($AC$2:$AS$1001,MATCH(ROWS($V$2:V147),$V$2:$V$1001,0),MATCH(COLUMNS($AC$1006:AG1006),$AC$1006:$AS$1006,0)), HYPERLINK("#",""), HYPERLINK(CONCATENATE("#Metadata!", ADDRESS(INDEX($X$2:$X$1001,MATCH(ROWS($V$2:V147),$V$2:$V$1001,0),0), INDEX($AC$1004:$AS$1004,1,MATCH(COLUMNS($AC$1006:AG1006),$AC$1006:$AS$1006,0)))),"Fix")))</f>
        <v>0</v>
      </c>
      <c r="G147" s="5">
        <f>IF(OR(INDEX($W$2:$W$1001,MATCH(ROWS($V$2:V147),$V$2:$V$1001,0),1)&gt;=100000,INDEX($AC$1005:$AS$1005,1,MATCH(COLUMNS($AC$1006:AH1006),$AC$1006:$AS$1006,0))&gt;=100000), " ",IF(INDEX($AC$2:$AS$1001,MATCH(ROWS($V$2:V147),$V$2:$V$1001,0),MATCH(COLUMNS($AC$1006:AH1006),$AC$1006:$AS$1006,0)), HYPERLINK("#",""), HYPERLINK(CONCATENATE("#Metadata!", ADDRESS(INDEX($X$2:$X$1001,MATCH(ROWS($V$2:V147),$V$2:$V$1001,0),0), INDEX($AC$1004:$AS$1004,1,MATCH(COLUMNS($AC$1006:AH1006),$AC$1006:$AS$1006,0)))),"Fix")))</f>
        <v>0</v>
      </c>
      <c r="H147" s="5">
        <f>IF(OR(INDEX($W$2:$W$1001,MATCH(ROWS($V$2:V147),$V$2:$V$1001,0),1)&gt;=100000,INDEX($AC$1005:$AS$1005,1,MATCH(COLUMNS($AC$1006:AI1006),$AC$1006:$AS$1006,0))&gt;=100000), " ",IF(INDEX($AC$2:$AS$1001,MATCH(ROWS($V$2:V147),$V$2:$V$1001,0),MATCH(COLUMNS($AC$1006:AI1006),$AC$1006:$AS$1006,0)), HYPERLINK("#",""), HYPERLINK(CONCATENATE("#Metadata!", ADDRESS(INDEX($X$2:$X$1001,MATCH(ROWS($V$2:V147),$V$2:$V$1001,0),0), INDEX($AC$1004:$AS$1004,1,MATCH(COLUMNS($AC$1006:AI1006),$AC$1006:$AS$1006,0)))),"Fix")))</f>
        <v>0</v>
      </c>
      <c r="I147" s="5">
        <f>IF(OR(INDEX($W$2:$W$1001,MATCH(ROWS($V$2:V147),$V$2:$V$1001,0),1)&gt;=100000,INDEX($AC$1005:$AS$1005,1,MATCH(COLUMNS($AC$1006:AJ1006),$AC$1006:$AS$1006,0))&gt;=100000), " ",IF(INDEX($AC$2:$AS$1001,MATCH(ROWS($V$2:V147),$V$2:$V$1001,0),MATCH(COLUMNS($AC$1006:AJ1006),$AC$1006:$AS$1006,0)), HYPERLINK("#",""), HYPERLINK(CONCATENATE("#Metadata!", ADDRESS(INDEX($X$2:$X$1001,MATCH(ROWS($V$2:V147),$V$2:$V$1001,0),0), INDEX($AC$1004:$AS$1004,1,MATCH(COLUMNS($AC$1006:AJ1006),$AC$1006:$AS$1006,0)))),"Fix")))</f>
        <v>0</v>
      </c>
      <c r="J147" s="5">
        <f>IF(OR(INDEX($W$2:$W$1001,MATCH(ROWS($V$2:V147),$V$2:$V$1001,0),1)&gt;=100000,INDEX($AC$1005:$AS$1005,1,MATCH(COLUMNS($AC$1006:AK1006),$AC$1006:$AS$1006,0))&gt;=100000), " ",IF(INDEX($AC$2:$AS$1001,MATCH(ROWS($V$2:V147),$V$2:$V$1001,0),MATCH(COLUMNS($AC$1006:AK1006),$AC$1006:$AS$1006,0)), HYPERLINK("#",""), HYPERLINK(CONCATENATE("#Metadata!", ADDRESS(INDEX($X$2:$X$1001,MATCH(ROWS($V$2:V147),$V$2:$V$1001,0),0), INDEX($AC$1004:$AS$1004,1,MATCH(COLUMNS($AC$1006:AK1006),$AC$1006:$AS$1006,0)))),"Fix")))</f>
        <v>0</v>
      </c>
      <c r="K147" s="5">
        <f>IF(OR(INDEX($W$2:$W$1001,MATCH(ROWS($V$2:V147),$V$2:$V$1001,0),1)&gt;=100000,INDEX($AC$1005:$AS$1005,1,MATCH(COLUMNS($AC$1006:AL1006),$AC$1006:$AS$1006,0))&gt;=100000), " ",IF(INDEX($AC$2:$AS$1001,MATCH(ROWS($V$2:V147),$V$2:$V$1001,0),MATCH(COLUMNS($AC$1006:AL1006),$AC$1006:$AS$1006,0)), HYPERLINK("#",""), HYPERLINK(CONCATENATE("#Metadata!", ADDRESS(INDEX($X$2:$X$1001,MATCH(ROWS($V$2:V147),$V$2:$V$1001,0),0), INDEX($AC$1004:$AS$1004,1,MATCH(COLUMNS($AC$1006:AL1006),$AC$1006:$AS$1006,0)))),"Fix")))</f>
        <v>0</v>
      </c>
      <c r="L147" s="5">
        <f>IF(OR(INDEX($W$2:$W$1001,MATCH(ROWS($V$2:V147),$V$2:$V$1001,0),1)&gt;=100000,INDEX($AC$1005:$AS$1005,1,MATCH(COLUMNS($AC$1006:AM1006),$AC$1006:$AS$1006,0))&gt;=100000), " ",IF(INDEX($AC$2:$AS$1001,MATCH(ROWS($V$2:V147),$V$2:$V$1001,0),MATCH(COLUMNS($AC$1006:AM1006),$AC$1006:$AS$1006,0)), HYPERLINK("#",""), HYPERLINK(CONCATENATE("#Metadata!", ADDRESS(INDEX($X$2:$X$1001,MATCH(ROWS($V$2:V147),$V$2:$V$1001,0),0), INDEX($AC$1004:$AS$1004,1,MATCH(COLUMNS($AC$1006:AM1006),$AC$1006:$AS$1006,0)))),"Fix")))</f>
        <v>0</v>
      </c>
      <c r="M147" s="5">
        <f>IF(OR(INDEX($W$2:$W$1001,MATCH(ROWS($V$2:V147),$V$2:$V$1001,0),1)&gt;=100000,INDEX($AC$1005:$AS$1005,1,MATCH(COLUMNS($AC$1006:AN1006),$AC$1006:$AS$1006,0))&gt;=100000), " ",IF(INDEX($AC$2:$AS$1001,MATCH(ROWS($V$2:V147),$V$2:$V$1001,0),MATCH(COLUMNS($AC$1006:AN1006),$AC$1006:$AS$1006,0)), HYPERLINK("#",""), HYPERLINK(CONCATENATE("#Metadata!", ADDRESS(INDEX($X$2:$X$1001,MATCH(ROWS($V$2:V147),$V$2:$V$1001,0),0), INDEX($AC$1004:$AS$1004,1,MATCH(COLUMNS($AC$1006:AN1006),$AC$1006:$AS$1006,0)))),"Fix")))</f>
        <v>0</v>
      </c>
      <c r="N147" s="5">
        <f>IF(OR(INDEX($W$2:$W$1001,MATCH(ROWS($V$2:V147),$V$2:$V$1001,0),1)&gt;=100000,INDEX($AC$1005:$AS$1005,1,MATCH(COLUMNS($AC$1006:AO1006),$AC$1006:$AS$1006,0))&gt;=100000), " ",IF(INDEX($AC$2:$AS$1001,MATCH(ROWS($V$2:V147),$V$2:$V$1001,0),MATCH(COLUMNS($AC$1006:AO1006),$AC$1006:$AS$1006,0)), HYPERLINK("#",""), HYPERLINK(CONCATENATE("#Metadata!", ADDRESS(INDEX($X$2:$X$1001,MATCH(ROWS($V$2:V147),$V$2:$V$1001,0),0), INDEX($AC$1004:$AS$1004,1,MATCH(COLUMNS($AC$1006:AO1006),$AC$1006:$AS$1006,0)))),"Fix")))</f>
        <v>0</v>
      </c>
      <c r="O147" s="5">
        <f>IF(OR(INDEX($W$2:$W$1001,MATCH(ROWS($V$2:V147),$V$2:$V$1001,0),1)&gt;=100000,INDEX($AC$1005:$AS$1005,1,MATCH(COLUMNS($AC$1006:AP1006),$AC$1006:$AS$1006,0))&gt;=100000), " ",IF(INDEX($AC$2:$AS$1001,MATCH(ROWS($V$2:V147),$V$2:$V$1001,0),MATCH(COLUMNS($AC$1006:AP1006),$AC$1006:$AS$1006,0)), HYPERLINK("#",""), HYPERLINK(CONCATENATE("#Metadata!", ADDRESS(INDEX($X$2:$X$1001,MATCH(ROWS($V$2:V147),$V$2:$V$1001,0),0), INDEX($AC$1004:$AS$1004,1,MATCH(COLUMNS($AC$1006:AP1006),$AC$1006:$AS$1006,0)))),"Fix")))</f>
        <v>0</v>
      </c>
      <c r="P147" s="5">
        <f>IF(OR(INDEX($W$2:$W$1001,MATCH(ROWS($V$2:V147),$V$2:$V$1001,0),1)&gt;=100000,INDEX($AC$1005:$AS$1005,1,MATCH(COLUMNS($AC$1006:AQ1006),$AC$1006:$AS$1006,0))&gt;=100000), " ",IF(INDEX($AC$2:$AS$1001,MATCH(ROWS($V$2:V147),$V$2:$V$1001,0),MATCH(COLUMNS($AC$1006:AQ1006),$AC$1006:$AS$1006,0)), HYPERLINK("#",""), HYPERLINK(CONCATENATE("#Metadata!", ADDRESS(INDEX($X$2:$X$1001,MATCH(ROWS($V$2:V147),$V$2:$V$1001,0),0), INDEX($AC$1004:$AS$1004,1,MATCH(COLUMNS($AC$1006:AQ1006),$AC$1006:$AS$1006,0)))),"Fix")))</f>
        <v>0</v>
      </c>
      <c r="Q147" s="5">
        <f>IF(OR(INDEX($W$2:$W$1001,MATCH(ROWS($V$2:V147),$V$2:$V$1001,0),1)&gt;=100000,INDEX($AC$1005:$AS$1005,1,MATCH(COLUMNS($AC$1006:AR1006),$AC$1006:$AS$1006,0))&gt;=100000), " ",IF(INDEX($AC$2:$AS$1001,MATCH(ROWS($V$2:V147),$V$2:$V$1001,0),MATCH(COLUMNS($AC$1006:AR1006),$AC$1006:$AS$1006,0)), HYPERLINK("#",""), HYPERLINK(CONCATENATE("#Metadata!", ADDRESS(INDEX($X$2:$X$1001,MATCH(ROWS($V$2:V147),$V$2:$V$1001,0),0), INDEX($AC$1004:$AS$1004,1,MATCH(COLUMNS($AC$1006:AR1006),$AC$1006:$AS$1006,0)))),"Fix")))</f>
        <v>0</v>
      </c>
      <c r="R147" s="5">
        <f>IF(OR(INDEX($W$2:$W$1001,MATCH(ROWS($V$2:V147),$V$2:$V$1001,0),1)&gt;=100000,INDEX($AC$1005:$AS$1005,1,MATCH(COLUMNS($AC$1006:AS1006),$AC$1006:$AS$1006,0))&gt;=100000), " ",IF(INDEX($AC$2:$AS$1001,MATCH(ROWS($V$2:V147),$V$2:$V$1001,0),MATCH(COLUMNS($AC$1006:AS1006),$AC$1006:$AS$1006,0)), HYPERLINK("#",""), HYPERLINK(CONCATENATE("#Metadata!", ADDRESS(INDEX($X$2:$X$1001,MATCH(ROWS($V$2:V147),$V$2:$V$1001,0),0), INDEX($AC$1004:$AS$1004,1,MATCH(COLUMNS($AC$1006:AS1006),$AC$1006:$AS$1006,0)))),"Fix")))</f>
        <v>0</v>
      </c>
      <c r="V147">
        <v>0</v>
      </c>
      <c r="W147">
        <v>0</v>
      </c>
      <c r="X147">
        <v>0</v>
      </c>
      <c r="Y147">
        <f>IF(Z147,TRUE,AND(AC147:AS147))</f>
        <v>0</v>
      </c>
      <c r="Z147">
        <f>COUNTBLANK(Metadata!B147:R147)=COLUMNS(Metadata!B147:R147)</f>
        <v>0</v>
      </c>
      <c r="AA147">
        <v>0</v>
      </c>
      <c r="AC147">
        <f>AND(IF(Metadata!B147="",FALSE,TRUE),COUNTIF(Metadata!B:B, Metadata!B147) = 1,NOT(ISERROR(SUMPRODUCT(SEARCH(MID(Metadata!B147,ROW(INDIRECT("1:"&amp;LEN(Metadata!B147))), 1),"0123456789abcdefghijklmnopqrstuvwxyzABCDEFGHIJKLMNOPQRSTUVWXYZ.")))))</f>
        <v>0</v>
      </c>
      <c r="AD147">
        <f>AND(IF(Metadata!C147="",FALSE,TRUE),exact(Metadata!C147,"Host-associated"))</f>
        <v>0</v>
      </c>
      <c r="AE147">
        <f>AND(IF(Metadata!D147="",FALSE,TRUE),OR(exact(Metadata!D147,"Animal"),exact(Metadata!D147,"Fungus"),exact(Metadata!D147,"Plant")))</f>
        <v>0</v>
      </c>
      <c r="AF147">
        <f>AND(IF(Metadata!E147="",FALSE,TRUE),OR(exact(Metadata!E147,"Plant secretion"),exact(Metadata!E147,"Plant rhizosphere"),exact(Metadata!E147,"Plant surface"),exact(Metadata!E147,"Plant corpus"),exact(Metadata!E147,"Fungus surface"),exact(Metadata!E147,"Fungus corpus"),exact(Metadata!E147,"Animal surface"),exact(Metadata!E147,"Animal proximal gut"),exact(Metadata!E147,"Animal corpus"),exact(Metadata!E147,"Animal distal gut"),exact(Metadata!E147,"Animal secretion")))</f>
        <v>0</v>
      </c>
      <c r="AG147">
        <f>OR(AND(IF(Metadata!F147="",FALSE,TRUE),OR(exact(Metadata!F147,"not collected"),exact(Metadata!F147,"not provided"),exact(Metadata!F147,"restricted access"))),AND(IF(Metadata!F147="",FALSE,TRUE),OR(exact(Metadata!F147,"organism-associated habitat"),exact(Metadata!F147,"plant-associated habitat"),exact(Metadata!F147,"animal-associated habitat"),exact(Metadata!F147,"insecta-associated habitat"),exact(Metadata!F147,"mammalia-associated habitat"),exact(Metadata!F147,"human-associated habitat"),exact(Metadata!F147,"livestock-associated habitat"))))</f>
        <v>0</v>
      </c>
      <c r="AH147">
        <f>AND(IF(Metadata!G147="",FALSE,TRUE),exact(Metadata!G147,"host-associated"))</f>
        <v>0</v>
      </c>
      <c r="AI147">
        <f>OR(AND(IF(Metadata!H147="",FALSE,TRUE),OR(exact(Metadata!H147,"not collected"),exact(Metadata!H147,"not provided"))),AND(IF(Metadata!H147="",FALSE,ISNUMBER(VALUE(Metadata!H147))),Metadata!H147&gt;0))</f>
        <v>0</v>
      </c>
      <c r="AJ147">
        <f>AND(IF(Metadata!I147="",FALSE,TRUE),exact(Metadata!I147,"years"))</f>
        <v>0</v>
      </c>
      <c r="AK147">
        <f>IF(Metadata!J147="",FALSE,TRUE)</f>
        <v>0</v>
      </c>
      <c r="AL147">
        <f>OR(AND(IF(Metadata!K147="",FALSE,TRUE),OR(exact(Metadata!K147,"not collected"),exact(Metadata!K147,"not provided"))),AND(IF(Metadata!K147="",FALSE,ISNUMBER(VALUE(Metadata!K147))),Metadata!K147&gt;0))</f>
        <v>0</v>
      </c>
      <c r="AM147">
        <f>AND(IF(Metadata!L147="",FALSE,TRUE),exact(Metadata!L147,"cm"))</f>
        <v>0</v>
      </c>
      <c r="AN147">
        <f>IF(Metadata!M147="",FALSE,TRUE)</f>
        <v>0</v>
      </c>
      <c r="AO147">
        <f>OR(AND(IF(Metadata!N147="",FALSE,TRUE),OR(exact(Metadata!N147,"not applicable"),exact(Metadata!N147,"not collected"),exact(Metadata!N147,"not provided"))),AND(IF(Metadata!N147="",FALSE,IF(ISERROR(INT(Metadata!N147)),FALSE,INT(Metadata!N147)=Metadata!N147)),Metadata!N147&gt;0))</f>
        <v>0</v>
      </c>
      <c r="AP147">
        <f>OR(AND(IF(Metadata!O147="",FALSE,TRUE),OR(exact(Metadata!O147,"not collected"),exact(Metadata!O147,"not provided"))),AND(IF(Metadata!O147="",FALSE,ISNUMBER(VALUE(Metadata!O147))),Metadata!O147&gt;0))</f>
        <v>0</v>
      </c>
      <c r="AQ147">
        <f>AND(IF(Metadata!P147="",FALSE,TRUE),exact(Metadata!P147,"kg"))</f>
        <v>0</v>
      </c>
      <c r="AR147">
        <f>OR(AND(IF(Metadata!Q147="",FALSE,TRUE),OR(exact(Metadata!Q147,"not applicable"),exact(Metadata!Q147,"not collected"),exact(Metadata!Q147,"not provided"),exact(Metadata!Q147,"restricted access"))),IF(Metadata!Q147="",FALSE,IF(ISERROR(INT(Metadata!Q147)),FALSE,INT(Metadata!Q147)=Metadata!Q147)))</f>
        <v>0</v>
      </c>
      <c r="AS147">
        <f>AND(IF(Metadata!R147="",FALSE,TRUE),exact(Metadata!R147,"Not applicable"))</f>
        <v>0</v>
      </c>
    </row>
    <row r="148" spans="1:45">
      <c r="A148" s="4">
        <f>IF(B148=" "," ",HYPERLINK(CONCATENATE("#metadata!",ADDRESS(INDEX($X$2:$X$1001,MATCH(ROWS($V$2:V148),$V$2:$V$1001,0),0),2)),INDEX($AA$2:$AA$1001,MATCH(ROWS($V$2:V148),$V$2:$V$1001,0),0)))</f>
        <v>0</v>
      </c>
      <c r="B148" s="5">
        <f>IF(OR(INDEX($W$2:$W$1001,MATCH(ROWS($V$2:V148),$V$2:$V$1001,0),1)&gt;=100000,INDEX($AC$1005:$AS$1005,1,MATCH(COLUMNS($AC$1006:AC1006),$AC$1006:$AS$1006,0))&gt;=100000), " ",IF(INDEX($AC$2:$AS$1001,MATCH(ROWS($V$2:V148),$V$2:$V$1001,0),MATCH(COLUMNS($AC$1006:AC1006),$AC$1006:$AS$1006,0)), HYPERLINK("#",""), HYPERLINK(CONCATENATE("#Metadata!", ADDRESS(INDEX($X$2:$X$1001,MATCH(ROWS($V$2:V148),$V$2:$V$1001,0),0), INDEX($AC$1004:$AS$1004,1,MATCH(COLUMNS($AC$1006:AC1006),$AC$1006:$AS$1006,0)))),"Fix")))</f>
        <v>0</v>
      </c>
      <c r="C148" s="5">
        <f>IF(OR(INDEX($W$2:$W$1001,MATCH(ROWS($V$2:V148),$V$2:$V$1001,0),1)&gt;=100000,INDEX($AC$1005:$AS$1005,1,MATCH(COLUMNS($AC$1006:AD1006),$AC$1006:$AS$1006,0))&gt;=100000), " ",IF(INDEX($AC$2:$AS$1001,MATCH(ROWS($V$2:V148),$V$2:$V$1001,0),MATCH(COLUMNS($AC$1006:AD1006),$AC$1006:$AS$1006,0)), HYPERLINK("#",""), HYPERLINK(CONCATENATE("#Metadata!", ADDRESS(INDEX($X$2:$X$1001,MATCH(ROWS($V$2:V148),$V$2:$V$1001,0),0), INDEX($AC$1004:$AS$1004,1,MATCH(COLUMNS($AC$1006:AD1006),$AC$1006:$AS$1006,0)))),"Fix")))</f>
        <v>0</v>
      </c>
      <c r="D148" s="5">
        <f>IF(OR(INDEX($W$2:$W$1001,MATCH(ROWS($V$2:V148),$V$2:$V$1001,0),1)&gt;=100000,INDEX($AC$1005:$AS$1005,1,MATCH(COLUMNS($AC$1006:AE1006),$AC$1006:$AS$1006,0))&gt;=100000), " ",IF(INDEX($AC$2:$AS$1001,MATCH(ROWS($V$2:V148),$V$2:$V$1001,0),MATCH(COLUMNS($AC$1006:AE1006),$AC$1006:$AS$1006,0)), HYPERLINK("#",""), HYPERLINK(CONCATENATE("#Metadata!", ADDRESS(INDEX($X$2:$X$1001,MATCH(ROWS($V$2:V148),$V$2:$V$1001,0),0), INDEX($AC$1004:$AS$1004,1,MATCH(COLUMNS($AC$1006:AE1006),$AC$1006:$AS$1006,0)))),"Fix")))</f>
        <v>0</v>
      </c>
      <c r="E148" s="5">
        <f>IF(OR(INDEX($W$2:$W$1001,MATCH(ROWS($V$2:V148),$V$2:$V$1001,0),1)&gt;=100000,INDEX($AC$1005:$AS$1005,1,MATCH(COLUMNS($AC$1006:AF1006),$AC$1006:$AS$1006,0))&gt;=100000), " ",IF(INDEX($AC$2:$AS$1001,MATCH(ROWS($V$2:V148),$V$2:$V$1001,0),MATCH(COLUMNS($AC$1006:AF1006),$AC$1006:$AS$1006,0)), HYPERLINK("#",""), HYPERLINK(CONCATENATE("#Metadata!", ADDRESS(INDEX($X$2:$X$1001,MATCH(ROWS($V$2:V148),$V$2:$V$1001,0),0), INDEX($AC$1004:$AS$1004,1,MATCH(COLUMNS($AC$1006:AF1006),$AC$1006:$AS$1006,0)))),"Fix")))</f>
        <v>0</v>
      </c>
      <c r="F148" s="5">
        <f>IF(OR(INDEX($W$2:$W$1001,MATCH(ROWS($V$2:V148),$V$2:$V$1001,0),1)&gt;=100000,INDEX($AC$1005:$AS$1005,1,MATCH(COLUMNS($AC$1006:AG1006),$AC$1006:$AS$1006,0))&gt;=100000), " ",IF(INDEX($AC$2:$AS$1001,MATCH(ROWS($V$2:V148),$V$2:$V$1001,0),MATCH(COLUMNS($AC$1006:AG1006),$AC$1006:$AS$1006,0)), HYPERLINK("#",""), HYPERLINK(CONCATENATE("#Metadata!", ADDRESS(INDEX($X$2:$X$1001,MATCH(ROWS($V$2:V148),$V$2:$V$1001,0),0), INDEX($AC$1004:$AS$1004,1,MATCH(COLUMNS($AC$1006:AG1006),$AC$1006:$AS$1006,0)))),"Fix")))</f>
        <v>0</v>
      </c>
      <c r="G148" s="5">
        <f>IF(OR(INDEX($W$2:$W$1001,MATCH(ROWS($V$2:V148),$V$2:$V$1001,0),1)&gt;=100000,INDEX($AC$1005:$AS$1005,1,MATCH(COLUMNS($AC$1006:AH1006),$AC$1006:$AS$1006,0))&gt;=100000), " ",IF(INDEX($AC$2:$AS$1001,MATCH(ROWS($V$2:V148),$V$2:$V$1001,0),MATCH(COLUMNS($AC$1006:AH1006),$AC$1006:$AS$1006,0)), HYPERLINK("#",""), HYPERLINK(CONCATENATE("#Metadata!", ADDRESS(INDEX($X$2:$X$1001,MATCH(ROWS($V$2:V148),$V$2:$V$1001,0),0), INDEX($AC$1004:$AS$1004,1,MATCH(COLUMNS($AC$1006:AH1006),$AC$1006:$AS$1006,0)))),"Fix")))</f>
        <v>0</v>
      </c>
      <c r="H148" s="5">
        <f>IF(OR(INDEX($W$2:$W$1001,MATCH(ROWS($V$2:V148),$V$2:$V$1001,0),1)&gt;=100000,INDEX($AC$1005:$AS$1005,1,MATCH(COLUMNS($AC$1006:AI1006),$AC$1006:$AS$1006,0))&gt;=100000), " ",IF(INDEX($AC$2:$AS$1001,MATCH(ROWS($V$2:V148),$V$2:$V$1001,0),MATCH(COLUMNS($AC$1006:AI1006),$AC$1006:$AS$1006,0)), HYPERLINK("#",""), HYPERLINK(CONCATENATE("#Metadata!", ADDRESS(INDEX($X$2:$X$1001,MATCH(ROWS($V$2:V148),$V$2:$V$1001,0),0), INDEX($AC$1004:$AS$1004,1,MATCH(COLUMNS($AC$1006:AI1006),$AC$1006:$AS$1006,0)))),"Fix")))</f>
        <v>0</v>
      </c>
      <c r="I148" s="5">
        <f>IF(OR(INDEX($W$2:$W$1001,MATCH(ROWS($V$2:V148),$V$2:$V$1001,0),1)&gt;=100000,INDEX($AC$1005:$AS$1005,1,MATCH(COLUMNS($AC$1006:AJ1006),$AC$1006:$AS$1006,0))&gt;=100000), " ",IF(INDEX($AC$2:$AS$1001,MATCH(ROWS($V$2:V148),$V$2:$V$1001,0),MATCH(COLUMNS($AC$1006:AJ1006),$AC$1006:$AS$1006,0)), HYPERLINK("#",""), HYPERLINK(CONCATENATE("#Metadata!", ADDRESS(INDEX($X$2:$X$1001,MATCH(ROWS($V$2:V148),$V$2:$V$1001,0),0), INDEX($AC$1004:$AS$1004,1,MATCH(COLUMNS($AC$1006:AJ1006),$AC$1006:$AS$1006,0)))),"Fix")))</f>
        <v>0</v>
      </c>
      <c r="J148" s="5">
        <f>IF(OR(INDEX($W$2:$W$1001,MATCH(ROWS($V$2:V148),$V$2:$V$1001,0),1)&gt;=100000,INDEX($AC$1005:$AS$1005,1,MATCH(COLUMNS($AC$1006:AK1006),$AC$1006:$AS$1006,0))&gt;=100000), " ",IF(INDEX($AC$2:$AS$1001,MATCH(ROWS($V$2:V148),$V$2:$V$1001,0),MATCH(COLUMNS($AC$1006:AK1006),$AC$1006:$AS$1006,0)), HYPERLINK("#",""), HYPERLINK(CONCATENATE("#Metadata!", ADDRESS(INDEX($X$2:$X$1001,MATCH(ROWS($V$2:V148),$V$2:$V$1001,0),0), INDEX($AC$1004:$AS$1004,1,MATCH(COLUMNS($AC$1006:AK1006),$AC$1006:$AS$1006,0)))),"Fix")))</f>
        <v>0</v>
      </c>
      <c r="K148" s="5">
        <f>IF(OR(INDEX($W$2:$W$1001,MATCH(ROWS($V$2:V148),$V$2:$V$1001,0),1)&gt;=100000,INDEX($AC$1005:$AS$1005,1,MATCH(COLUMNS($AC$1006:AL1006),$AC$1006:$AS$1006,0))&gt;=100000), " ",IF(INDEX($AC$2:$AS$1001,MATCH(ROWS($V$2:V148),$V$2:$V$1001,0),MATCH(COLUMNS($AC$1006:AL1006),$AC$1006:$AS$1006,0)), HYPERLINK("#",""), HYPERLINK(CONCATENATE("#Metadata!", ADDRESS(INDEX($X$2:$X$1001,MATCH(ROWS($V$2:V148),$V$2:$V$1001,0),0), INDEX($AC$1004:$AS$1004,1,MATCH(COLUMNS($AC$1006:AL1006),$AC$1006:$AS$1006,0)))),"Fix")))</f>
        <v>0</v>
      </c>
      <c r="L148" s="5">
        <f>IF(OR(INDEX($W$2:$W$1001,MATCH(ROWS($V$2:V148),$V$2:$V$1001,0),1)&gt;=100000,INDEX($AC$1005:$AS$1005,1,MATCH(COLUMNS($AC$1006:AM1006),$AC$1006:$AS$1006,0))&gt;=100000), " ",IF(INDEX($AC$2:$AS$1001,MATCH(ROWS($V$2:V148),$V$2:$V$1001,0),MATCH(COLUMNS($AC$1006:AM1006),$AC$1006:$AS$1006,0)), HYPERLINK("#",""), HYPERLINK(CONCATENATE("#Metadata!", ADDRESS(INDEX($X$2:$X$1001,MATCH(ROWS($V$2:V148),$V$2:$V$1001,0),0), INDEX($AC$1004:$AS$1004,1,MATCH(COLUMNS($AC$1006:AM1006),$AC$1006:$AS$1006,0)))),"Fix")))</f>
        <v>0</v>
      </c>
      <c r="M148" s="5">
        <f>IF(OR(INDEX($W$2:$W$1001,MATCH(ROWS($V$2:V148),$V$2:$V$1001,0),1)&gt;=100000,INDEX($AC$1005:$AS$1005,1,MATCH(COLUMNS($AC$1006:AN1006),$AC$1006:$AS$1006,0))&gt;=100000), " ",IF(INDEX($AC$2:$AS$1001,MATCH(ROWS($V$2:V148),$V$2:$V$1001,0),MATCH(COLUMNS($AC$1006:AN1006),$AC$1006:$AS$1006,0)), HYPERLINK("#",""), HYPERLINK(CONCATENATE("#Metadata!", ADDRESS(INDEX($X$2:$X$1001,MATCH(ROWS($V$2:V148),$V$2:$V$1001,0),0), INDEX($AC$1004:$AS$1004,1,MATCH(COLUMNS($AC$1006:AN1006),$AC$1006:$AS$1006,0)))),"Fix")))</f>
        <v>0</v>
      </c>
      <c r="N148" s="5">
        <f>IF(OR(INDEX($W$2:$W$1001,MATCH(ROWS($V$2:V148),$V$2:$V$1001,0),1)&gt;=100000,INDEX($AC$1005:$AS$1005,1,MATCH(COLUMNS($AC$1006:AO1006),$AC$1006:$AS$1006,0))&gt;=100000), " ",IF(INDEX($AC$2:$AS$1001,MATCH(ROWS($V$2:V148),$V$2:$V$1001,0),MATCH(COLUMNS($AC$1006:AO1006),$AC$1006:$AS$1006,0)), HYPERLINK("#",""), HYPERLINK(CONCATENATE("#Metadata!", ADDRESS(INDEX($X$2:$X$1001,MATCH(ROWS($V$2:V148),$V$2:$V$1001,0),0), INDEX($AC$1004:$AS$1004,1,MATCH(COLUMNS($AC$1006:AO1006),$AC$1006:$AS$1006,0)))),"Fix")))</f>
        <v>0</v>
      </c>
      <c r="O148" s="5">
        <f>IF(OR(INDEX($W$2:$W$1001,MATCH(ROWS($V$2:V148),$V$2:$V$1001,0),1)&gt;=100000,INDEX($AC$1005:$AS$1005,1,MATCH(COLUMNS($AC$1006:AP1006),$AC$1006:$AS$1006,0))&gt;=100000), " ",IF(INDEX($AC$2:$AS$1001,MATCH(ROWS($V$2:V148),$V$2:$V$1001,0),MATCH(COLUMNS($AC$1006:AP1006),$AC$1006:$AS$1006,0)), HYPERLINK("#",""), HYPERLINK(CONCATENATE("#Metadata!", ADDRESS(INDEX($X$2:$X$1001,MATCH(ROWS($V$2:V148),$V$2:$V$1001,0),0), INDEX($AC$1004:$AS$1004,1,MATCH(COLUMNS($AC$1006:AP1006),$AC$1006:$AS$1006,0)))),"Fix")))</f>
        <v>0</v>
      </c>
      <c r="P148" s="5">
        <f>IF(OR(INDEX($W$2:$W$1001,MATCH(ROWS($V$2:V148),$V$2:$V$1001,0),1)&gt;=100000,INDEX($AC$1005:$AS$1005,1,MATCH(COLUMNS($AC$1006:AQ1006),$AC$1006:$AS$1006,0))&gt;=100000), " ",IF(INDEX($AC$2:$AS$1001,MATCH(ROWS($V$2:V148),$V$2:$V$1001,0),MATCH(COLUMNS($AC$1006:AQ1006),$AC$1006:$AS$1006,0)), HYPERLINK("#",""), HYPERLINK(CONCATENATE("#Metadata!", ADDRESS(INDEX($X$2:$X$1001,MATCH(ROWS($V$2:V148),$V$2:$V$1001,0),0), INDEX($AC$1004:$AS$1004,1,MATCH(COLUMNS($AC$1006:AQ1006),$AC$1006:$AS$1006,0)))),"Fix")))</f>
        <v>0</v>
      </c>
      <c r="Q148" s="5">
        <f>IF(OR(INDEX($W$2:$W$1001,MATCH(ROWS($V$2:V148),$V$2:$V$1001,0),1)&gt;=100000,INDEX($AC$1005:$AS$1005,1,MATCH(COLUMNS($AC$1006:AR1006),$AC$1006:$AS$1006,0))&gt;=100000), " ",IF(INDEX($AC$2:$AS$1001,MATCH(ROWS($V$2:V148),$V$2:$V$1001,0),MATCH(COLUMNS($AC$1006:AR1006),$AC$1006:$AS$1006,0)), HYPERLINK("#",""), HYPERLINK(CONCATENATE("#Metadata!", ADDRESS(INDEX($X$2:$X$1001,MATCH(ROWS($V$2:V148),$V$2:$V$1001,0),0), INDEX($AC$1004:$AS$1004,1,MATCH(COLUMNS($AC$1006:AR1006),$AC$1006:$AS$1006,0)))),"Fix")))</f>
        <v>0</v>
      </c>
      <c r="R148" s="5">
        <f>IF(OR(INDEX($W$2:$W$1001,MATCH(ROWS($V$2:V148),$V$2:$V$1001,0),1)&gt;=100000,INDEX($AC$1005:$AS$1005,1,MATCH(COLUMNS($AC$1006:AS1006),$AC$1006:$AS$1006,0))&gt;=100000), " ",IF(INDEX($AC$2:$AS$1001,MATCH(ROWS($V$2:V148),$V$2:$V$1001,0),MATCH(COLUMNS($AC$1006:AS1006),$AC$1006:$AS$1006,0)), HYPERLINK("#",""), HYPERLINK(CONCATENATE("#Metadata!", ADDRESS(INDEX($X$2:$X$1001,MATCH(ROWS($V$2:V148),$V$2:$V$1001,0),0), INDEX($AC$1004:$AS$1004,1,MATCH(COLUMNS($AC$1006:AS1006),$AC$1006:$AS$1006,0)))),"Fix")))</f>
        <v>0</v>
      </c>
      <c r="V148">
        <v>0</v>
      </c>
      <c r="W148">
        <v>0</v>
      </c>
      <c r="X148">
        <v>0</v>
      </c>
      <c r="Y148">
        <f>IF(Z148,TRUE,AND(AC148:AS148))</f>
        <v>0</v>
      </c>
      <c r="Z148">
        <f>COUNTBLANK(Metadata!B148:R148)=COLUMNS(Metadata!B148:R148)</f>
        <v>0</v>
      </c>
      <c r="AA148">
        <v>0</v>
      </c>
      <c r="AC148">
        <f>AND(IF(Metadata!B148="",FALSE,TRUE),COUNTIF(Metadata!B:B, Metadata!B148) = 1,NOT(ISERROR(SUMPRODUCT(SEARCH(MID(Metadata!B148,ROW(INDIRECT("1:"&amp;LEN(Metadata!B148))), 1),"0123456789abcdefghijklmnopqrstuvwxyzABCDEFGHIJKLMNOPQRSTUVWXYZ.")))))</f>
        <v>0</v>
      </c>
      <c r="AD148">
        <f>AND(IF(Metadata!C148="",FALSE,TRUE),exact(Metadata!C148,"Host-associated"))</f>
        <v>0</v>
      </c>
      <c r="AE148">
        <f>AND(IF(Metadata!D148="",FALSE,TRUE),OR(exact(Metadata!D148,"Animal"),exact(Metadata!D148,"Fungus"),exact(Metadata!D148,"Plant")))</f>
        <v>0</v>
      </c>
      <c r="AF148">
        <f>AND(IF(Metadata!E148="",FALSE,TRUE),OR(exact(Metadata!E148,"Plant secretion"),exact(Metadata!E148,"Plant rhizosphere"),exact(Metadata!E148,"Plant surface"),exact(Metadata!E148,"Plant corpus"),exact(Metadata!E148,"Fungus surface"),exact(Metadata!E148,"Fungus corpus"),exact(Metadata!E148,"Animal surface"),exact(Metadata!E148,"Animal proximal gut"),exact(Metadata!E148,"Animal corpus"),exact(Metadata!E148,"Animal distal gut"),exact(Metadata!E148,"Animal secretion")))</f>
        <v>0</v>
      </c>
      <c r="AG148">
        <f>OR(AND(IF(Metadata!F148="",FALSE,TRUE),OR(exact(Metadata!F148,"not collected"),exact(Metadata!F148,"not provided"),exact(Metadata!F148,"restricted access"))),AND(IF(Metadata!F148="",FALSE,TRUE),OR(exact(Metadata!F148,"organism-associated habitat"),exact(Metadata!F148,"plant-associated habitat"),exact(Metadata!F148,"animal-associated habitat"),exact(Metadata!F148,"insecta-associated habitat"),exact(Metadata!F148,"mammalia-associated habitat"),exact(Metadata!F148,"human-associated habitat"),exact(Metadata!F148,"livestock-associated habitat"))))</f>
        <v>0</v>
      </c>
      <c r="AH148">
        <f>AND(IF(Metadata!G148="",FALSE,TRUE),exact(Metadata!G148,"host-associated"))</f>
        <v>0</v>
      </c>
      <c r="AI148">
        <f>OR(AND(IF(Metadata!H148="",FALSE,TRUE),OR(exact(Metadata!H148,"not collected"),exact(Metadata!H148,"not provided"))),AND(IF(Metadata!H148="",FALSE,ISNUMBER(VALUE(Metadata!H148))),Metadata!H148&gt;0))</f>
        <v>0</v>
      </c>
      <c r="AJ148">
        <f>AND(IF(Metadata!I148="",FALSE,TRUE),exact(Metadata!I148,"years"))</f>
        <v>0</v>
      </c>
      <c r="AK148">
        <f>IF(Metadata!J148="",FALSE,TRUE)</f>
        <v>0</v>
      </c>
      <c r="AL148">
        <f>OR(AND(IF(Metadata!K148="",FALSE,TRUE),OR(exact(Metadata!K148,"not collected"),exact(Metadata!K148,"not provided"))),AND(IF(Metadata!K148="",FALSE,ISNUMBER(VALUE(Metadata!K148))),Metadata!K148&gt;0))</f>
        <v>0</v>
      </c>
      <c r="AM148">
        <f>AND(IF(Metadata!L148="",FALSE,TRUE),exact(Metadata!L148,"cm"))</f>
        <v>0</v>
      </c>
      <c r="AN148">
        <f>IF(Metadata!M148="",FALSE,TRUE)</f>
        <v>0</v>
      </c>
      <c r="AO148">
        <f>OR(AND(IF(Metadata!N148="",FALSE,TRUE),OR(exact(Metadata!N148,"not applicable"),exact(Metadata!N148,"not collected"),exact(Metadata!N148,"not provided"))),AND(IF(Metadata!N148="",FALSE,IF(ISERROR(INT(Metadata!N148)),FALSE,INT(Metadata!N148)=Metadata!N148)),Metadata!N148&gt;0))</f>
        <v>0</v>
      </c>
      <c r="AP148">
        <f>OR(AND(IF(Metadata!O148="",FALSE,TRUE),OR(exact(Metadata!O148,"not collected"),exact(Metadata!O148,"not provided"))),AND(IF(Metadata!O148="",FALSE,ISNUMBER(VALUE(Metadata!O148))),Metadata!O148&gt;0))</f>
        <v>0</v>
      </c>
      <c r="AQ148">
        <f>AND(IF(Metadata!P148="",FALSE,TRUE),exact(Metadata!P148,"kg"))</f>
        <v>0</v>
      </c>
      <c r="AR148">
        <f>OR(AND(IF(Metadata!Q148="",FALSE,TRUE),OR(exact(Metadata!Q148,"not applicable"),exact(Metadata!Q148,"not collected"),exact(Metadata!Q148,"not provided"),exact(Metadata!Q148,"restricted access"))),IF(Metadata!Q148="",FALSE,IF(ISERROR(INT(Metadata!Q148)),FALSE,INT(Metadata!Q148)=Metadata!Q148)))</f>
        <v>0</v>
      </c>
      <c r="AS148">
        <f>AND(IF(Metadata!R148="",FALSE,TRUE),exact(Metadata!R148,"Not applicable"))</f>
        <v>0</v>
      </c>
    </row>
    <row r="149" spans="1:45">
      <c r="A149" s="4">
        <f>IF(B149=" "," ",HYPERLINK(CONCATENATE("#metadata!",ADDRESS(INDEX($X$2:$X$1001,MATCH(ROWS($V$2:V149),$V$2:$V$1001,0),0),2)),INDEX($AA$2:$AA$1001,MATCH(ROWS($V$2:V149),$V$2:$V$1001,0),0)))</f>
        <v>0</v>
      </c>
      <c r="B149" s="5">
        <f>IF(OR(INDEX($W$2:$W$1001,MATCH(ROWS($V$2:V149),$V$2:$V$1001,0),1)&gt;=100000,INDEX($AC$1005:$AS$1005,1,MATCH(COLUMNS($AC$1006:AC1006),$AC$1006:$AS$1006,0))&gt;=100000), " ",IF(INDEX($AC$2:$AS$1001,MATCH(ROWS($V$2:V149),$V$2:$V$1001,0),MATCH(COLUMNS($AC$1006:AC1006),$AC$1006:$AS$1006,0)), HYPERLINK("#",""), HYPERLINK(CONCATENATE("#Metadata!", ADDRESS(INDEX($X$2:$X$1001,MATCH(ROWS($V$2:V149),$V$2:$V$1001,0),0), INDEX($AC$1004:$AS$1004,1,MATCH(COLUMNS($AC$1006:AC1006),$AC$1006:$AS$1006,0)))),"Fix")))</f>
        <v>0</v>
      </c>
      <c r="C149" s="5">
        <f>IF(OR(INDEX($W$2:$W$1001,MATCH(ROWS($V$2:V149),$V$2:$V$1001,0),1)&gt;=100000,INDEX($AC$1005:$AS$1005,1,MATCH(COLUMNS($AC$1006:AD1006),$AC$1006:$AS$1006,0))&gt;=100000), " ",IF(INDEX($AC$2:$AS$1001,MATCH(ROWS($V$2:V149),$V$2:$V$1001,0),MATCH(COLUMNS($AC$1006:AD1006),$AC$1006:$AS$1006,0)), HYPERLINK("#",""), HYPERLINK(CONCATENATE("#Metadata!", ADDRESS(INDEX($X$2:$X$1001,MATCH(ROWS($V$2:V149),$V$2:$V$1001,0),0), INDEX($AC$1004:$AS$1004,1,MATCH(COLUMNS($AC$1006:AD1006),$AC$1006:$AS$1006,0)))),"Fix")))</f>
        <v>0</v>
      </c>
      <c r="D149" s="5">
        <f>IF(OR(INDEX($W$2:$W$1001,MATCH(ROWS($V$2:V149),$V$2:$V$1001,0),1)&gt;=100000,INDEX($AC$1005:$AS$1005,1,MATCH(COLUMNS($AC$1006:AE1006),$AC$1006:$AS$1006,0))&gt;=100000), " ",IF(INDEX($AC$2:$AS$1001,MATCH(ROWS($V$2:V149),$V$2:$V$1001,0),MATCH(COLUMNS($AC$1006:AE1006),$AC$1006:$AS$1006,0)), HYPERLINK("#",""), HYPERLINK(CONCATENATE("#Metadata!", ADDRESS(INDEX($X$2:$X$1001,MATCH(ROWS($V$2:V149),$V$2:$V$1001,0),0), INDEX($AC$1004:$AS$1004,1,MATCH(COLUMNS($AC$1006:AE1006),$AC$1006:$AS$1006,0)))),"Fix")))</f>
        <v>0</v>
      </c>
      <c r="E149" s="5">
        <f>IF(OR(INDEX($W$2:$W$1001,MATCH(ROWS($V$2:V149),$V$2:$V$1001,0),1)&gt;=100000,INDEX($AC$1005:$AS$1005,1,MATCH(COLUMNS($AC$1006:AF1006),$AC$1006:$AS$1006,0))&gt;=100000), " ",IF(INDEX($AC$2:$AS$1001,MATCH(ROWS($V$2:V149),$V$2:$V$1001,0),MATCH(COLUMNS($AC$1006:AF1006),$AC$1006:$AS$1006,0)), HYPERLINK("#",""), HYPERLINK(CONCATENATE("#Metadata!", ADDRESS(INDEX($X$2:$X$1001,MATCH(ROWS($V$2:V149),$V$2:$V$1001,0),0), INDEX($AC$1004:$AS$1004,1,MATCH(COLUMNS($AC$1006:AF1006),$AC$1006:$AS$1006,0)))),"Fix")))</f>
        <v>0</v>
      </c>
      <c r="F149" s="5">
        <f>IF(OR(INDEX($W$2:$W$1001,MATCH(ROWS($V$2:V149),$V$2:$V$1001,0),1)&gt;=100000,INDEX($AC$1005:$AS$1005,1,MATCH(COLUMNS($AC$1006:AG1006),$AC$1006:$AS$1006,0))&gt;=100000), " ",IF(INDEX($AC$2:$AS$1001,MATCH(ROWS($V$2:V149),$V$2:$V$1001,0),MATCH(COLUMNS($AC$1006:AG1006),$AC$1006:$AS$1006,0)), HYPERLINK("#",""), HYPERLINK(CONCATENATE("#Metadata!", ADDRESS(INDEX($X$2:$X$1001,MATCH(ROWS($V$2:V149),$V$2:$V$1001,0),0), INDEX($AC$1004:$AS$1004,1,MATCH(COLUMNS($AC$1006:AG1006),$AC$1006:$AS$1006,0)))),"Fix")))</f>
        <v>0</v>
      </c>
      <c r="G149" s="5">
        <f>IF(OR(INDEX($W$2:$W$1001,MATCH(ROWS($V$2:V149),$V$2:$V$1001,0),1)&gt;=100000,INDEX($AC$1005:$AS$1005,1,MATCH(COLUMNS($AC$1006:AH1006),$AC$1006:$AS$1006,0))&gt;=100000), " ",IF(INDEX($AC$2:$AS$1001,MATCH(ROWS($V$2:V149),$V$2:$V$1001,0),MATCH(COLUMNS($AC$1006:AH1006),$AC$1006:$AS$1006,0)), HYPERLINK("#",""), HYPERLINK(CONCATENATE("#Metadata!", ADDRESS(INDEX($X$2:$X$1001,MATCH(ROWS($V$2:V149),$V$2:$V$1001,0),0), INDEX($AC$1004:$AS$1004,1,MATCH(COLUMNS($AC$1006:AH1006),$AC$1006:$AS$1006,0)))),"Fix")))</f>
        <v>0</v>
      </c>
      <c r="H149" s="5">
        <f>IF(OR(INDEX($W$2:$W$1001,MATCH(ROWS($V$2:V149),$V$2:$V$1001,0),1)&gt;=100000,INDEX($AC$1005:$AS$1005,1,MATCH(COLUMNS($AC$1006:AI1006),$AC$1006:$AS$1006,0))&gt;=100000), " ",IF(INDEX($AC$2:$AS$1001,MATCH(ROWS($V$2:V149),$V$2:$V$1001,0),MATCH(COLUMNS($AC$1006:AI1006),$AC$1006:$AS$1006,0)), HYPERLINK("#",""), HYPERLINK(CONCATENATE("#Metadata!", ADDRESS(INDEX($X$2:$X$1001,MATCH(ROWS($V$2:V149),$V$2:$V$1001,0),0), INDEX($AC$1004:$AS$1004,1,MATCH(COLUMNS($AC$1006:AI1006),$AC$1006:$AS$1006,0)))),"Fix")))</f>
        <v>0</v>
      </c>
      <c r="I149" s="5">
        <f>IF(OR(INDEX($W$2:$W$1001,MATCH(ROWS($V$2:V149),$V$2:$V$1001,0),1)&gt;=100000,INDEX($AC$1005:$AS$1005,1,MATCH(COLUMNS($AC$1006:AJ1006),$AC$1006:$AS$1006,0))&gt;=100000), " ",IF(INDEX($AC$2:$AS$1001,MATCH(ROWS($V$2:V149),$V$2:$V$1001,0),MATCH(COLUMNS($AC$1006:AJ1006),$AC$1006:$AS$1006,0)), HYPERLINK("#",""), HYPERLINK(CONCATENATE("#Metadata!", ADDRESS(INDEX($X$2:$X$1001,MATCH(ROWS($V$2:V149),$V$2:$V$1001,0),0), INDEX($AC$1004:$AS$1004,1,MATCH(COLUMNS($AC$1006:AJ1006),$AC$1006:$AS$1006,0)))),"Fix")))</f>
        <v>0</v>
      </c>
      <c r="J149" s="5">
        <f>IF(OR(INDEX($W$2:$W$1001,MATCH(ROWS($V$2:V149),$V$2:$V$1001,0),1)&gt;=100000,INDEX($AC$1005:$AS$1005,1,MATCH(COLUMNS($AC$1006:AK1006),$AC$1006:$AS$1006,0))&gt;=100000), " ",IF(INDEX($AC$2:$AS$1001,MATCH(ROWS($V$2:V149),$V$2:$V$1001,0),MATCH(COLUMNS($AC$1006:AK1006),$AC$1006:$AS$1006,0)), HYPERLINK("#",""), HYPERLINK(CONCATENATE("#Metadata!", ADDRESS(INDEX($X$2:$X$1001,MATCH(ROWS($V$2:V149),$V$2:$V$1001,0),0), INDEX($AC$1004:$AS$1004,1,MATCH(COLUMNS($AC$1006:AK1006),$AC$1006:$AS$1006,0)))),"Fix")))</f>
        <v>0</v>
      </c>
      <c r="K149" s="5">
        <f>IF(OR(INDEX($W$2:$W$1001,MATCH(ROWS($V$2:V149),$V$2:$V$1001,0),1)&gt;=100000,INDEX($AC$1005:$AS$1005,1,MATCH(COLUMNS($AC$1006:AL1006),$AC$1006:$AS$1006,0))&gt;=100000), " ",IF(INDEX($AC$2:$AS$1001,MATCH(ROWS($V$2:V149),$V$2:$V$1001,0),MATCH(COLUMNS($AC$1006:AL1006),$AC$1006:$AS$1006,0)), HYPERLINK("#",""), HYPERLINK(CONCATENATE("#Metadata!", ADDRESS(INDEX($X$2:$X$1001,MATCH(ROWS($V$2:V149),$V$2:$V$1001,0),0), INDEX($AC$1004:$AS$1004,1,MATCH(COLUMNS($AC$1006:AL1006),$AC$1006:$AS$1006,0)))),"Fix")))</f>
        <v>0</v>
      </c>
      <c r="L149" s="5">
        <f>IF(OR(INDEX($W$2:$W$1001,MATCH(ROWS($V$2:V149),$V$2:$V$1001,0),1)&gt;=100000,INDEX($AC$1005:$AS$1005,1,MATCH(COLUMNS($AC$1006:AM1006),$AC$1006:$AS$1006,0))&gt;=100000), " ",IF(INDEX($AC$2:$AS$1001,MATCH(ROWS($V$2:V149),$V$2:$V$1001,0),MATCH(COLUMNS($AC$1006:AM1006),$AC$1006:$AS$1006,0)), HYPERLINK("#",""), HYPERLINK(CONCATENATE("#Metadata!", ADDRESS(INDEX($X$2:$X$1001,MATCH(ROWS($V$2:V149),$V$2:$V$1001,0),0), INDEX($AC$1004:$AS$1004,1,MATCH(COLUMNS($AC$1006:AM1006),$AC$1006:$AS$1006,0)))),"Fix")))</f>
        <v>0</v>
      </c>
      <c r="M149" s="5">
        <f>IF(OR(INDEX($W$2:$W$1001,MATCH(ROWS($V$2:V149),$V$2:$V$1001,0),1)&gt;=100000,INDEX($AC$1005:$AS$1005,1,MATCH(COLUMNS($AC$1006:AN1006),$AC$1006:$AS$1006,0))&gt;=100000), " ",IF(INDEX($AC$2:$AS$1001,MATCH(ROWS($V$2:V149),$V$2:$V$1001,0),MATCH(COLUMNS($AC$1006:AN1006),$AC$1006:$AS$1006,0)), HYPERLINK("#",""), HYPERLINK(CONCATENATE("#Metadata!", ADDRESS(INDEX($X$2:$X$1001,MATCH(ROWS($V$2:V149),$V$2:$V$1001,0),0), INDEX($AC$1004:$AS$1004,1,MATCH(COLUMNS($AC$1006:AN1006),$AC$1006:$AS$1006,0)))),"Fix")))</f>
        <v>0</v>
      </c>
      <c r="N149" s="5">
        <f>IF(OR(INDEX($W$2:$W$1001,MATCH(ROWS($V$2:V149),$V$2:$V$1001,0),1)&gt;=100000,INDEX($AC$1005:$AS$1005,1,MATCH(COLUMNS($AC$1006:AO1006),$AC$1006:$AS$1006,0))&gt;=100000), " ",IF(INDEX($AC$2:$AS$1001,MATCH(ROWS($V$2:V149),$V$2:$V$1001,0),MATCH(COLUMNS($AC$1006:AO1006),$AC$1006:$AS$1006,0)), HYPERLINK("#",""), HYPERLINK(CONCATENATE("#Metadata!", ADDRESS(INDEX($X$2:$X$1001,MATCH(ROWS($V$2:V149),$V$2:$V$1001,0),0), INDEX($AC$1004:$AS$1004,1,MATCH(COLUMNS($AC$1006:AO1006),$AC$1006:$AS$1006,0)))),"Fix")))</f>
        <v>0</v>
      </c>
      <c r="O149" s="5">
        <f>IF(OR(INDEX($W$2:$W$1001,MATCH(ROWS($V$2:V149),$V$2:$V$1001,0),1)&gt;=100000,INDEX($AC$1005:$AS$1005,1,MATCH(COLUMNS($AC$1006:AP1006),$AC$1006:$AS$1006,0))&gt;=100000), " ",IF(INDEX($AC$2:$AS$1001,MATCH(ROWS($V$2:V149),$V$2:$V$1001,0),MATCH(COLUMNS($AC$1006:AP1006),$AC$1006:$AS$1006,0)), HYPERLINK("#",""), HYPERLINK(CONCATENATE("#Metadata!", ADDRESS(INDEX($X$2:$X$1001,MATCH(ROWS($V$2:V149),$V$2:$V$1001,0),0), INDEX($AC$1004:$AS$1004,1,MATCH(COLUMNS($AC$1006:AP1006),$AC$1006:$AS$1006,0)))),"Fix")))</f>
        <v>0</v>
      </c>
      <c r="P149" s="5">
        <f>IF(OR(INDEX($W$2:$W$1001,MATCH(ROWS($V$2:V149),$V$2:$V$1001,0),1)&gt;=100000,INDEX($AC$1005:$AS$1005,1,MATCH(COLUMNS($AC$1006:AQ1006),$AC$1006:$AS$1006,0))&gt;=100000), " ",IF(INDEX($AC$2:$AS$1001,MATCH(ROWS($V$2:V149),$V$2:$V$1001,0),MATCH(COLUMNS($AC$1006:AQ1006),$AC$1006:$AS$1006,0)), HYPERLINK("#",""), HYPERLINK(CONCATENATE("#Metadata!", ADDRESS(INDEX($X$2:$X$1001,MATCH(ROWS($V$2:V149),$V$2:$V$1001,0),0), INDEX($AC$1004:$AS$1004,1,MATCH(COLUMNS($AC$1006:AQ1006),$AC$1006:$AS$1006,0)))),"Fix")))</f>
        <v>0</v>
      </c>
      <c r="Q149" s="5">
        <f>IF(OR(INDEX($W$2:$W$1001,MATCH(ROWS($V$2:V149),$V$2:$V$1001,0),1)&gt;=100000,INDEX($AC$1005:$AS$1005,1,MATCH(COLUMNS($AC$1006:AR1006),$AC$1006:$AS$1006,0))&gt;=100000), " ",IF(INDEX($AC$2:$AS$1001,MATCH(ROWS($V$2:V149),$V$2:$V$1001,0),MATCH(COLUMNS($AC$1006:AR1006),$AC$1006:$AS$1006,0)), HYPERLINK("#",""), HYPERLINK(CONCATENATE("#Metadata!", ADDRESS(INDEX($X$2:$X$1001,MATCH(ROWS($V$2:V149),$V$2:$V$1001,0),0), INDEX($AC$1004:$AS$1004,1,MATCH(COLUMNS($AC$1006:AR1006),$AC$1006:$AS$1006,0)))),"Fix")))</f>
        <v>0</v>
      </c>
      <c r="R149" s="5">
        <f>IF(OR(INDEX($W$2:$W$1001,MATCH(ROWS($V$2:V149),$V$2:$V$1001,0),1)&gt;=100000,INDEX($AC$1005:$AS$1005,1,MATCH(COLUMNS($AC$1006:AS1006),$AC$1006:$AS$1006,0))&gt;=100000), " ",IF(INDEX($AC$2:$AS$1001,MATCH(ROWS($V$2:V149),$V$2:$V$1001,0),MATCH(COLUMNS($AC$1006:AS1006),$AC$1006:$AS$1006,0)), HYPERLINK("#",""), HYPERLINK(CONCATENATE("#Metadata!", ADDRESS(INDEX($X$2:$X$1001,MATCH(ROWS($V$2:V149),$V$2:$V$1001,0),0), INDEX($AC$1004:$AS$1004,1,MATCH(COLUMNS($AC$1006:AS1006),$AC$1006:$AS$1006,0)))),"Fix")))</f>
        <v>0</v>
      </c>
      <c r="V149">
        <v>0</v>
      </c>
      <c r="W149">
        <v>0</v>
      </c>
      <c r="X149">
        <v>0</v>
      </c>
      <c r="Y149">
        <f>IF(Z149,TRUE,AND(AC149:AS149))</f>
        <v>0</v>
      </c>
      <c r="Z149">
        <f>COUNTBLANK(Metadata!B149:R149)=COLUMNS(Metadata!B149:R149)</f>
        <v>0</v>
      </c>
      <c r="AA149">
        <v>0</v>
      </c>
      <c r="AC149">
        <f>AND(IF(Metadata!B149="",FALSE,TRUE),COUNTIF(Metadata!B:B, Metadata!B149) = 1,NOT(ISERROR(SUMPRODUCT(SEARCH(MID(Metadata!B149,ROW(INDIRECT("1:"&amp;LEN(Metadata!B149))), 1),"0123456789abcdefghijklmnopqrstuvwxyzABCDEFGHIJKLMNOPQRSTUVWXYZ.")))))</f>
        <v>0</v>
      </c>
      <c r="AD149">
        <f>AND(IF(Metadata!C149="",FALSE,TRUE),exact(Metadata!C149,"Host-associated"))</f>
        <v>0</v>
      </c>
      <c r="AE149">
        <f>AND(IF(Metadata!D149="",FALSE,TRUE),OR(exact(Metadata!D149,"Animal"),exact(Metadata!D149,"Fungus"),exact(Metadata!D149,"Plant")))</f>
        <v>0</v>
      </c>
      <c r="AF149">
        <f>AND(IF(Metadata!E149="",FALSE,TRUE),OR(exact(Metadata!E149,"Plant secretion"),exact(Metadata!E149,"Plant rhizosphere"),exact(Metadata!E149,"Plant surface"),exact(Metadata!E149,"Plant corpus"),exact(Metadata!E149,"Fungus surface"),exact(Metadata!E149,"Fungus corpus"),exact(Metadata!E149,"Animal surface"),exact(Metadata!E149,"Animal proximal gut"),exact(Metadata!E149,"Animal corpus"),exact(Metadata!E149,"Animal distal gut"),exact(Metadata!E149,"Animal secretion")))</f>
        <v>0</v>
      </c>
      <c r="AG149">
        <f>OR(AND(IF(Metadata!F149="",FALSE,TRUE),OR(exact(Metadata!F149,"not collected"),exact(Metadata!F149,"not provided"),exact(Metadata!F149,"restricted access"))),AND(IF(Metadata!F149="",FALSE,TRUE),OR(exact(Metadata!F149,"organism-associated habitat"),exact(Metadata!F149,"plant-associated habitat"),exact(Metadata!F149,"animal-associated habitat"),exact(Metadata!F149,"insecta-associated habitat"),exact(Metadata!F149,"mammalia-associated habitat"),exact(Metadata!F149,"human-associated habitat"),exact(Metadata!F149,"livestock-associated habitat"))))</f>
        <v>0</v>
      </c>
      <c r="AH149">
        <f>AND(IF(Metadata!G149="",FALSE,TRUE),exact(Metadata!G149,"host-associated"))</f>
        <v>0</v>
      </c>
      <c r="AI149">
        <f>OR(AND(IF(Metadata!H149="",FALSE,TRUE),OR(exact(Metadata!H149,"not collected"),exact(Metadata!H149,"not provided"))),AND(IF(Metadata!H149="",FALSE,ISNUMBER(VALUE(Metadata!H149))),Metadata!H149&gt;0))</f>
        <v>0</v>
      </c>
      <c r="AJ149">
        <f>AND(IF(Metadata!I149="",FALSE,TRUE),exact(Metadata!I149,"years"))</f>
        <v>0</v>
      </c>
      <c r="AK149">
        <f>IF(Metadata!J149="",FALSE,TRUE)</f>
        <v>0</v>
      </c>
      <c r="AL149">
        <f>OR(AND(IF(Metadata!K149="",FALSE,TRUE),OR(exact(Metadata!K149,"not collected"),exact(Metadata!K149,"not provided"))),AND(IF(Metadata!K149="",FALSE,ISNUMBER(VALUE(Metadata!K149))),Metadata!K149&gt;0))</f>
        <v>0</v>
      </c>
      <c r="AM149">
        <f>AND(IF(Metadata!L149="",FALSE,TRUE),exact(Metadata!L149,"cm"))</f>
        <v>0</v>
      </c>
      <c r="AN149">
        <f>IF(Metadata!M149="",FALSE,TRUE)</f>
        <v>0</v>
      </c>
      <c r="AO149">
        <f>OR(AND(IF(Metadata!N149="",FALSE,TRUE),OR(exact(Metadata!N149,"not applicable"),exact(Metadata!N149,"not collected"),exact(Metadata!N149,"not provided"))),AND(IF(Metadata!N149="",FALSE,IF(ISERROR(INT(Metadata!N149)),FALSE,INT(Metadata!N149)=Metadata!N149)),Metadata!N149&gt;0))</f>
        <v>0</v>
      </c>
      <c r="AP149">
        <f>OR(AND(IF(Metadata!O149="",FALSE,TRUE),OR(exact(Metadata!O149,"not collected"),exact(Metadata!O149,"not provided"))),AND(IF(Metadata!O149="",FALSE,ISNUMBER(VALUE(Metadata!O149))),Metadata!O149&gt;0))</f>
        <v>0</v>
      </c>
      <c r="AQ149">
        <f>AND(IF(Metadata!P149="",FALSE,TRUE),exact(Metadata!P149,"kg"))</f>
        <v>0</v>
      </c>
      <c r="AR149">
        <f>OR(AND(IF(Metadata!Q149="",FALSE,TRUE),OR(exact(Metadata!Q149,"not applicable"),exact(Metadata!Q149,"not collected"),exact(Metadata!Q149,"not provided"),exact(Metadata!Q149,"restricted access"))),IF(Metadata!Q149="",FALSE,IF(ISERROR(INT(Metadata!Q149)),FALSE,INT(Metadata!Q149)=Metadata!Q149)))</f>
        <v>0</v>
      </c>
      <c r="AS149">
        <f>AND(IF(Metadata!R149="",FALSE,TRUE),exact(Metadata!R149,"Not applicable"))</f>
        <v>0</v>
      </c>
    </row>
    <row r="150" spans="1:45">
      <c r="A150" s="4">
        <f>IF(B150=" "," ",HYPERLINK(CONCATENATE("#metadata!",ADDRESS(INDEX($X$2:$X$1001,MATCH(ROWS($V$2:V150),$V$2:$V$1001,0),0),2)),INDEX($AA$2:$AA$1001,MATCH(ROWS($V$2:V150),$V$2:$V$1001,0),0)))</f>
        <v>0</v>
      </c>
      <c r="B150" s="5">
        <f>IF(OR(INDEX($W$2:$W$1001,MATCH(ROWS($V$2:V150),$V$2:$V$1001,0),1)&gt;=100000,INDEX($AC$1005:$AS$1005,1,MATCH(COLUMNS($AC$1006:AC1006),$AC$1006:$AS$1006,0))&gt;=100000), " ",IF(INDEX($AC$2:$AS$1001,MATCH(ROWS($V$2:V150),$V$2:$V$1001,0),MATCH(COLUMNS($AC$1006:AC1006),$AC$1006:$AS$1006,0)), HYPERLINK("#",""), HYPERLINK(CONCATENATE("#Metadata!", ADDRESS(INDEX($X$2:$X$1001,MATCH(ROWS($V$2:V150),$V$2:$V$1001,0),0), INDEX($AC$1004:$AS$1004,1,MATCH(COLUMNS($AC$1006:AC1006),$AC$1006:$AS$1006,0)))),"Fix")))</f>
        <v>0</v>
      </c>
      <c r="C150" s="5">
        <f>IF(OR(INDEX($W$2:$W$1001,MATCH(ROWS($V$2:V150),$V$2:$V$1001,0),1)&gt;=100000,INDEX($AC$1005:$AS$1005,1,MATCH(COLUMNS($AC$1006:AD1006),$AC$1006:$AS$1006,0))&gt;=100000), " ",IF(INDEX($AC$2:$AS$1001,MATCH(ROWS($V$2:V150),$V$2:$V$1001,0),MATCH(COLUMNS($AC$1006:AD1006),$AC$1006:$AS$1006,0)), HYPERLINK("#",""), HYPERLINK(CONCATENATE("#Metadata!", ADDRESS(INDEX($X$2:$X$1001,MATCH(ROWS($V$2:V150),$V$2:$V$1001,0),0), INDEX($AC$1004:$AS$1004,1,MATCH(COLUMNS($AC$1006:AD1006),$AC$1006:$AS$1006,0)))),"Fix")))</f>
        <v>0</v>
      </c>
      <c r="D150" s="5">
        <f>IF(OR(INDEX($W$2:$W$1001,MATCH(ROWS($V$2:V150),$V$2:$V$1001,0),1)&gt;=100000,INDEX($AC$1005:$AS$1005,1,MATCH(COLUMNS($AC$1006:AE1006),$AC$1006:$AS$1006,0))&gt;=100000), " ",IF(INDEX($AC$2:$AS$1001,MATCH(ROWS($V$2:V150),$V$2:$V$1001,0),MATCH(COLUMNS($AC$1006:AE1006),$AC$1006:$AS$1006,0)), HYPERLINK("#",""), HYPERLINK(CONCATENATE("#Metadata!", ADDRESS(INDEX($X$2:$X$1001,MATCH(ROWS($V$2:V150),$V$2:$V$1001,0),0), INDEX($AC$1004:$AS$1004,1,MATCH(COLUMNS($AC$1006:AE1006),$AC$1006:$AS$1006,0)))),"Fix")))</f>
        <v>0</v>
      </c>
      <c r="E150" s="5">
        <f>IF(OR(INDEX($W$2:$W$1001,MATCH(ROWS($V$2:V150),$V$2:$V$1001,0),1)&gt;=100000,INDEX($AC$1005:$AS$1005,1,MATCH(COLUMNS($AC$1006:AF1006),$AC$1006:$AS$1006,0))&gt;=100000), " ",IF(INDEX($AC$2:$AS$1001,MATCH(ROWS($V$2:V150),$V$2:$V$1001,0),MATCH(COLUMNS($AC$1006:AF1006),$AC$1006:$AS$1006,0)), HYPERLINK("#",""), HYPERLINK(CONCATENATE("#Metadata!", ADDRESS(INDEX($X$2:$X$1001,MATCH(ROWS($V$2:V150),$V$2:$V$1001,0),0), INDEX($AC$1004:$AS$1004,1,MATCH(COLUMNS($AC$1006:AF1006),$AC$1006:$AS$1006,0)))),"Fix")))</f>
        <v>0</v>
      </c>
      <c r="F150" s="5">
        <f>IF(OR(INDEX($W$2:$W$1001,MATCH(ROWS($V$2:V150),$V$2:$V$1001,0),1)&gt;=100000,INDEX($AC$1005:$AS$1005,1,MATCH(COLUMNS($AC$1006:AG1006),$AC$1006:$AS$1006,0))&gt;=100000), " ",IF(INDEX($AC$2:$AS$1001,MATCH(ROWS($V$2:V150),$V$2:$V$1001,0),MATCH(COLUMNS($AC$1006:AG1006),$AC$1006:$AS$1006,0)), HYPERLINK("#",""), HYPERLINK(CONCATENATE("#Metadata!", ADDRESS(INDEX($X$2:$X$1001,MATCH(ROWS($V$2:V150),$V$2:$V$1001,0),0), INDEX($AC$1004:$AS$1004,1,MATCH(COLUMNS($AC$1006:AG1006),$AC$1006:$AS$1006,0)))),"Fix")))</f>
        <v>0</v>
      </c>
      <c r="G150" s="5">
        <f>IF(OR(INDEX($W$2:$W$1001,MATCH(ROWS($V$2:V150),$V$2:$V$1001,0),1)&gt;=100000,INDEX($AC$1005:$AS$1005,1,MATCH(COLUMNS($AC$1006:AH1006),$AC$1006:$AS$1006,0))&gt;=100000), " ",IF(INDEX($AC$2:$AS$1001,MATCH(ROWS($V$2:V150),$V$2:$V$1001,0),MATCH(COLUMNS($AC$1006:AH1006),$AC$1006:$AS$1006,0)), HYPERLINK("#",""), HYPERLINK(CONCATENATE("#Metadata!", ADDRESS(INDEX($X$2:$X$1001,MATCH(ROWS($V$2:V150),$V$2:$V$1001,0),0), INDEX($AC$1004:$AS$1004,1,MATCH(COLUMNS($AC$1006:AH1006),$AC$1006:$AS$1006,0)))),"Fix")))</f>
        <v>0</v>
      </c>
      <c r="H150" s="5">
        <f>IF(OR(INDEX($W$2:$W$1001,MATCH(ROWS($V$2:V150),$V$2:$V$1001,0),1)&gt;=100000,INDEX($AC$1005:$AS$1005,1,MATCH(COLUMNS($AC$1006:AI1006),$AC$1006:$AS$1006,0))&gt;=100000), " ",IF(INDEX($AC$2:$AS$1001,MATCH(ROWS($V$2:V150),$V$2:$V$1001,0),MATCH(COLUMNS($AC$1006:AI1006),$AC$1006:$AS$1006,0)), HYPERLINK("#",""), HYPERLINK(CONCATENATE("#Metadata!", ADDRESS(INDEX($X$2:$X$1001,MATCH(ROWS($V$2:V150),$V$2:$V$1001,0),0), INDEX($AC$1004:$AS$1004,1,MATCH(COLUMNS($AC$1006:AI1006),$AC$1006:$AS$1006,0)))),"Fix")))</f>
        <v>0</v>
      </c>
      <c r="I150" s="5">
        <f>IF(OR(INDEX($W$2:$W$1001,MATCH(ROWS($V$2:V150),$V$2:$V$1001,0),1)&gt;=100000,INDEX($AC$1005:$AS$1005,1,MATCH(COLUMNS($AC$1006:AJ1006),$AC$1006:$AS$1006,0))&gt;=100000), " ",IF(INDEX($AC$2:$AS$1001,MATCH(ROWS($V$2:V150),$V$2:$V$1001,0),MATCH(COLUMNS($AC$1006:AJ1006),$AC$1006:$AS$1006,0)), HYPERLINK("#",""), HYPERLINK(CONCATENATE("#Metadata!", ADDRESS(INDEX($X$2:$X$1001,MATCH(ROWS($V$2:V150),$V$2:$V$1001,0),0), INDEX($AC$1004:$AS$1004,1,MATCH(COLUMNS($AC$1006:AJ1006),$AC$1006:$AS$1006,0)))),"Fix")))</f>
        <v>0</v>
      </c>
      <c r="J150" s="5">
        <f>IF(OR(INDEX($W$2:$W$1001,MATCH(ROWS($V$2:V150),$V$2:$V$1001,0),1)&gt;=100000,INDEX($AC$1005:$AS$1005,1,MATCH(COLUMNS($AC$1006:AK1006),$AC$1006:$AS$1006,0))&gt;=100000), " ",IF(INDEX($AC$2:$AS$1001,MATCH(ROWS($V$2:V150),$V$2:$V$1001,0),MATCH(COLUMNS($AC$1006:AK1006),$AC$1006:$AS$1006,0)), HYPERLINK("#",""), HYPERLINK(CONCATENATE("#Metadata!", ADDRESS(INDEX($X$2:$X$1001,MATCH(ROWS($V$2:V150),$V$2:$V$1001,0),0), INDEX($AC$1004:$AS$1004,1,MATCH(COLUMNS($AC$1006:AK1006),$AC$1006:$AS$1006,0)))),"Fix")))</f>
        <v>0</v>
      </c>
      <c r="K150" s="5">
        <f>IF(OR(INDEX($W$2:$W$1001,MATCH(ROWS($V$2:V150),$V$2:$V$1001,0),1)&gt;=100000,INDEX($AC$1005:$AS$1005,1,MATCH(COLUMNS($AC$1006:AL1006),$AC$1006:$AS$1006,0))&gt;=100000), " ",IF(INDEX($AC$2:$AS$1001,MATCH(ROWS($V$2:V150),$V$2:$V$1001,0),MATCH(COLUMNS($AC$1006:AL1006),$AC$1006:$AS$1006,0)), HYPERLINK("#",""), HYPERLINK(CONCATENATE("#Metadata!", ADDRESS(INDEX($X$2:$X$1001,MATCH(ROWS($V$2:V150),$V$2:$V$1001,0),0), INDEX($AC$1004:$AS$1004,1,MATCH(COLUMNS($AC$1006:AL1006),$AC$1006:$AS$1006,0)))),"Fix")))</f>
        <v>0</v>
      </c>
      <c r="L150" s="5">
        <f>IF(OR(INDEX($W$2:$W$1001,MATCH(ROWS($V$2:V150),$V$2:$V$1001,0),1)&gt;=100000,INDEX($AC$1005:$AS$1005,1,MATCH(COLUMNS($AC$1006:AM1006),$AC$1006:$AS$1006,0))&gt;=100000), " ",IF(INDEX($AC$2:$AS$1001,MATCH(ROWS($V$2:V150),$V$2:$V$1001,0),MATCH(COLUMNS($AC$1006:AM1006),$AC$1006:$AS$1006,0)), HYPERLINK("#",""), HYPERLINK(CONCATENATE("#Metadata!", ADDRESS(INDEX($X$2:$X$1001,MATCH(ROWS($V$2:V150),$V$2:$V$1001,0),0), INDEX($AC$1004:$AS$1004,1,MATCH(COLUMNS($AC$1006:AM1006),$AC$1006:$AS$1006,0)))),"Fix")))</f>
        <v>0</v>
      </c>
      <c r="M150" s="5">
        <f>IF(OR(INDEX($W$2:$W$1001,MATCH(ROWS($V$2:V150),$V$2:$V$1001,0),1)&gt;=100000,INDEX($AC$1005:$AS$1005,1,MATCH(COLUMNS($AC$1006:AN1006),$AC$1006:$AS$1006,0))&gt;=100000), " ",IF(INDEX($AC$2:$AS$1001,MATCH(ROWS($V$2:V150),$V$2:$V$1001,0),MATCH(COLUMNS($AC$1006:AN1006),$AC$1006:$AS$1006,0)), HYPERLINK("#",""), HYPERLINK(CONCATENATE("#Metadata!", ADDRESS(INDEX($X$2:$X$1001,MATCH(ROWS($V$2:V150),$V$2:$V$1001,0),0), INDEX($AC$1004:$AS$1004,1,MATCH(COLUMNS($AC$1006:AN1006),$AC$1006:$AS$1006,0)))),"Fix")))</f>
        <v>0</v>
      </c>
      <c r="N150" s="5">
        <f>IF(OR(INDEX($W$2:$W$1001,MATCH(ROWS($V$2:V150),$V$2:$V$1001,0),1)&gt;=100000,INDEX($AC$1005:$AS$1005,1,MATCH(COLUMNS($AC$1006:AO1006),$AC$1006:$AS$1006,0))&gt;=100000), " ",IF(INDEX($AC$2:$AS$1001,MATCH(ROWS($V$2:V150),$V$2:$V$1001,0),MATCH(COLUMNS($AC$1006:AO1006),$AC$1006:$AS$1006,0)), HYPERLINK("#",""), HYPERLINK(CONCATENATE("#Metadata!", ADDRESS(INDEX($X$2:$X$1001,MATCH(ROWS($V$2:V150),$V$2:$V$1001,0),0), INDEX($AC$1004:$AS$1004,1,MATCH(COLUMNS($AC$1006:AO1006),$AC$1006:$AS$1006,0)))),"Fix")))</f>
        <v>0</v>
      </c>
      <c r="O150" s="5">
        <f>IF(OR(INDEX($W$2:$W$1001,MATCH(ROWS($V$2:V150),$V$2:$V$1001,0),1)&gt;=100000,INDEX($AC$1005:$AS$1005,1,MATCH(COLUMNS($AC$1006:AP1006),$AC$1006:$AS$1006,0))&gt;=100000), " ",IF(INDEX($AC$2:$AS$1001,MATCH(ROWS($V$2:V150),$V$2:$V$1001,0),MATCH(COLUMNS($AC$1006:AP1006),$AC$1006:$AS$1006,0)), HYPERLINK("#",""), HYPERLINK(CONCATENATE("#Metadata!", ADDRESS(INDEX($X$2:$X$1001,MATCH(ROWS($V$2:V150),$V$2:$V$1001,0),0), INDEX($AC$1004:$AS$1004,1,MATCH(COLUMNS($AC$1006:AP1006),$AC$1006:$AS$1006,0)))),"Fix")))</f>
        <v>0</v>
      </c>
      <c r="P150" s="5">
        <f>IF(OR(INDEX($W$2:$W$1001,MATCH(ROWS($V$2:V150),$V$2:$V$1001,0),1)&gt;=100000,INDEX($AC$1005:$AS$1005,1,MATCH(COLUMNS($AC$1006:AQ1006),$AC$1006:$AS$1006,0))&gt;=100000), " ",IF(INDEX($AC$2:$AS$1001,MATCH(ROWS($V$2:V150),$V$2:$V$1001,0),MATCH(COLUMNS($AC$1006:AQ1006),$AC$1006:$AS$1006,0)), HYPERLINK("#",""), HYPERLINK(CONCATENATE("#Metadata!", ADDRESS(INDEX($X$2:$X$1001,MATCH(ROWS($V$2:V150),$V$2:$V$1001,0),0), INDEX($AC$1004:$AS$1004,1,MATCH(COLUMNS($AC$1006:AQ1006),$AC$1006:$AS$1006,0)))),"Fix")))</f>
        <v>0</v>
      </c>
      <c r="Q150" s="5">
        <f>IF(OR(INDEX($W$2:$W$1001,MATCH(ROWS($V$2:V150),$V$2:$V$1001,0),1)&gt;=100000,INDEX($AC$1005:$AS$1005,1,MATCH(COLUMNS($AC$1006:AR1006),$AC$1006:$AS$1006,0))&gt;=100000), " ",IF(INDEX($AC$2:$AS$1001,MATCH(ROWS($V$2:V150),$V$2:$V$1001,0),MATCH(COLUMNS($AC$1006:AR1006),$AC$1006:$AS$1006,0)), HYPERLINK("#",""), HYPERLINK(CONCATENATE("#Metadata!", ADDRESS(INDEX($X$2:$X$1001,MATCH(ROWS($V$2:V150),$V$2:$V$1001,0),0), INDEX($AC$1004:$AS$1004,1,MATCH(COLUMNS($AC$1006:AR1006),$AC$1006:$AS$1006,0)))),"Fix")))</f>
        <v>0</v>
      </c>
      <c r="R150" s="5">
        <f>IF(OR(INDEX($W$2:$W$1001,MATCH(ROWS($V$2:V150),$V$2:$V$1001,0),1)&gt;=100000,INDEX($AC$1005:$AS$1005,1,MATCH(COLUMNS($AC$1006:AS1006),$AC$1006:$AS$1006,0))&gt;=100000), " ",IF(INDEX($AC$2:$AS$1001,MATCH(ROWS($V$2:V150),$V$2:$V$1001,0),MATCH(COLUMNS($AC$1006:AS1006),$AC$1006:$AS$1006,0)), HYPERLINK("#",""), HYPERLINK(CONCATENATE("#Metadata!", ADDRESS(INDEX($X$2:$X$1001,MATCH(ROWS($V$2:V150),$V$2:$V$1001,0),0), INDEX($AC$1004:$AS$1004,1,MATCH(COLUMNS($AC$1006:AS1006),$AC$1006:$AS$1006,0)))),"Fix")))</f>
        <v>0</v>
      </c>
      <c r="V150">
        <v>0</v>
      </c>
      <c r="W150">
        <v>0</v>
      </c>
      <c r="X150">
        <v>0</v>
      </c>
      <c r="Y150">
        <f>IF(Z150,TRUE,AND(AC150:AS150))</f>
        <v>0</v>
      </c>
      <c r="Z150">
        <f>COUNTBLANK(Metadata!B150:R150)=COLUMNS(Metadata!B150:R150)</f>
        <v>0</v>
      </c>
      <c r="AA150">
        <v>0</v>
      </c>
      <c r="AC150">
        <f>AND(IF(Metadata!B150="",FALSE,TRUE),COUNTIF(Metadata!B:B, Metadata!B150) = 1,NOT(ISERROR(SUMPRODUCT(SEARCH(MID(Metadata!B150,ROW(INDIRECT("1:"&amp;LEN(Metadata!B150))), 1),"0123456789abcdefghijklmnopqrstuvwxyzABCDEFGHIJKLMNOPQRSTUVWXYZ.")))))</f>
        <v>0</v>
      </c>
      <c r="AD150">
        <f>AND(IF(Metadata!C150="",FALSE,TRUE),exact(Metadata!C150,"Host-associated"))</f>
        <v>0</v>
      </c>
      <c r="AE150">
        <f>AND(IF(Metadata!D150="",FALSE,TRUE),OR(exact(Metadata!D150,"Animal"),exact(Metadata!D150,"Fungus"),exact(Metadata!D150,"Plant")))</f>
        <v>0</v>
      </c>
      <c r="AF150">
        <f>AND(IF(Metadata!E150="",FALSE,TRUE),OR(exact(Metadata!E150,"Plant secretion"),exact(Metadata!E150,"Plant rhizosphere"),exact(Metadata!E150,"Plant surface"),exact(Metadata!E150,"Plant corpus"),exact(Metadata!E150,"Fungus surface"),exact(Metadata!E150,"Fungus corpus"),exact(Metadata!E150,"Animal surface"),exact(Metadata!E150,"Animal proximal gut"),exact(Metadata!E150,"Animal corpus"),exact(Metadata!E150,"Animal distal gut"),exact(Metadata!E150,"Animal secretion")))</f>
        <v>0</v>
      </c>
      <c r="AG150">
        <f>OR(AND(IF(Metadata!F150="",FALSE,TRUE),OR(exact(Metadata!F150,"not collected"),exact(Metadata!F150,"not provided"),exact(Metadata!F150,"restricted access"))),AND(IF(Metadata!F150="",FALSE,TRUE),OR(exact(Metadata!F150,"organism-associated habitat"),exact(Metadata!F150,"plant-associated habitat"),exact(Metadata!F150,"animal-associated habitat"),exact(Metadata!F150,"insecta-associated habitat"),exact(Metadata!F150,"mammalia-associated habitat"),exact(Metadata!F150,"human-associated habitat"),exact(Metadata!F150,"livestock-associated habitat"))))</f>
        <v>0</v>
      </c>
      <c r="AH150">
        <f>AND(IF(Metadata!G150="",FALSE,TRUE),exact(Metadata!G150,"host-associated"))</f>
        <v>0</v>
      </c>
      <c r="AI150">
        <f>OR(AND(IF(Metadata!H150="",FALSE,TRUE),OR(exact(Metadata!H150,"not collected"),exact(Metadata!H150,"not provided"))),AND(IF(Metadata!H150="",FALSE,ISNUMBER(VALUE(Metadata!H150))),Metadata!H150&gt;0))</f>
        <v>0</v>
      </c>
      <c r="AJ150">
        <f>AND(IF(Metadata!I150="",FALSE,TRUE),exact(Metadata!I150,"years"))</f>
        <v>0</v>
      </c>
      <c r="AK150">
        <f>IF(Metadata!J150="",FALSE,TRUE)</f>
        <v>0</v>
      </c>
      <c r="AL150">
        <f>OR(AND(IF(Metadata!K150="",FALSE,TRUE),OR(exact(Metadata!K150,"not collected"),exact(Metadata!K150,"not provided"))),AND(IF(Metadata!K150="",FALSE,ISNUMBER(VALUE(Metadata!K150))),Metadata!K150&gt;0))</f>
        <v>0</v>
      </c>
      <c r="AM150">
        <f>AND(IF(Metadata!L150="",FALSE,TRUE),exact(Metadata!L150,"cm"))</f>
        <v>0</v>
      </c>
      <c r="AN150">
        <f>IF(Metadata!M150="",FALSE,TRUE)</f>
        <v>0</v>
      </c>
      <c r="AO150">
        <f>OR(AND(IF(Metadata!N150="",FALSE,TRUE),OR(exact(Metadata!N150,"not applicable"),exact(Metadata!N150,"not collected"),exact(Metadata!N150,"not provided"))),AND(IF(Metadata!N150="",FALSE,IF(ISERROR(INT(Metadata!N150)),FALSE,INT(Metadata!N150)=Metadata!N150)),Metadata!N150&gt;0))</f>
        <v>0</v>
      </c>
      <c r="AP150">
        <f>OR(AND(IF(Metadata!O150="",FALSE,TRUE),OR(exact(Metadata!O150,"not collected"),exact(Metadata!O150,"not provided"))),AND(IF(Metadata!O150="",FALSE,ISNUMBER(VALUE(Metadata!O150))),Metadata!O150&gt;0))</f>
        <v>0</v>
      </c>
      <c r="AQ150">
        <f>AND(IF(Metadata!P150="",FALSE,TRUE),exact(Metadata!P150,"kg"))</f>
        <v>0</v>
      </c>
      <c r="AR150">
        <f>OR(AND(IF(Metadata!Q150="",FALSE,TRUE),OR(exact(Metadata!Q150,"not applicable"),exact(Metadata!Q150,"not collected"),exact(Metadata!Q150,"not provided"),exact(Metadata!Q150,"restricted access"))),IF(Metadata!Q150="",FALSE,IF(ISERROR(INT(Metadata!Q150)),FALSE,INT(Metadata!Q150)=Metadata!Q150)))</f>
        <v>0</v>
      </c>
      <c r="AS150">
        <f>AND(IF(Metadata!R150="",FALSE,TRUE),exact(Metadata!R150,"Not applicable"))</f>
        <v>0</v>
      </c>
    </row>
    <row r="151" spans="1:45">
      <c r="A151" s="4">
        <f>IF(B151=" "," ",HYPERLINK(CONCATENATE("#metadata!",ADDRESS(INDEX($X$2:$X$1001,MATCH(ROWS($V$2:V151),$V$2:$V$1001,0),0),2)),INDEX($AA$2:$AA$1001,MATCH(ROWS($V$2:V151),$V$2:$V$1001,0),0)))</f>
        <v>0</v>
      </c>
      <c r="B151" s="5">
        <f>IF(OR(INDEX($W$2:$W$1001,MATCH(ROWS($V$2:V151),$V$2:$V$1001,0),1)&gt;=100000,INDEX($AC$1005:$AS$1005,1,MATCH(COLUMNS($AC$1006:AC1006),$AC$1006:$AS$1006,0))&gt;=100000), " ",IF(INDEX($AC$2:$AS$1001,MATCH(ROWS($V$2:V151),$V$2:$V$1001,0),MATCH(COLUMNS($AC$1006:AC1006),$AC$1006:$AS$1006,0)), HYPERLINK("#",""), HYPERLINK(CONCATENATE("#Metadata!", ADDRESS(INDEX($X$2:$X$1001,MATCH(ROWS($V$2:V151),$V$2:$V$1001,0),0), INDEX($AC$1004:$AS$1004,1,MATCH(COLUMNS($AC$1006:AC1006),$AC$1006:$AS$1006,0)))),"Fix")))</f>
        <v>0</v>
      </c>
      <c r="C151" s="5">
        <f>IF(OR(INDEX($W$2:$W$1001,MATCH(ROWS($V$2:V151),$V$2:$V$1001,0),1)&gt;=100000,INDEX($AC$1005:$AS$1005,1,MATCH(COLUMNS($AC$1006:AD1006),$AC$1006:$AS$1006,0))&gt;=100000), " ",IF(INDEX($AC$2:$AS$1001,MATCH(ROWS($V$2:V151),$V$2:$V$1001,0),MATCH(COLUMNS($AC$1006:AD1006),$AC$1006:$AS$1006,0)), HYPERLINK("#",""), HYPERLINK(CONCATENATE("#Metadata!", ADDRESS(INDEX($X$2:$X$1001,MATCH(ROWS($V$2:V151),$V$2:$V$1001,0),0), INDEX($AC$1004:$AS$1004,1,MATCH(COLUMNS($AC$1006:AD1006),$AC$1006:$AS$1006,0)))),"Fix")))</f>
        <v>0</v>
      </c>
      <c r="D151" s="5">
        <f>IF(OR(INDEX($W$2:$W$1001,MATCH(ROWS($V$2:V151),$V$2:$V$1001,0),1)&gt;=100000,INDEX($AC$1005:$AS$1005,1,MATCH(COLUMNS($AC$1006:AE1006),$AC$1006:$AS$1006,0))&gt;=100000), " ",IF(INDEX($AC$2:$AS$1001,MATCH(ROWS($V$2:V151),$V$2:$V$1001,0),MATCH(COLUMNS($AC$1006:AE1006),$AC$1006:$AS$1006,0)), HYPERLINK("#",""), HYPERLINK(CONCATENATE("#Metadata!", ADDRESS(INDEX($X$2:$X$1001,MATCH(ROWS($V$2:V151),$V$2:$V$1001,0),0), INDEX($AC$1004:$AS$1004,1,MATCH(COLUMNS($AC$1006:AE1006),$AC$1006:$AS$1006,0)))),"Fix")))</f>
        <v>0</v>
      </c>
      <c r="E151" s="5">
        <f>IF(OR(INDEX($W$2:$W$1001,MATCH(ROWS($V$2:V151),$V$2:$V$1001,0),1)&gt;=100000,INDEX($AC$1005:$AS$1005,1,MATCH(COLUMNS($AC$1006:AF1006),$AC$1006:$AS$1006,0))&gt;=100000), " ",IF(INDEX($AC$2:$AS$1001,MATCH(ROWS($V$2:V151),$V$2:$V$1001,0),MATCH(COLUMNS($AC$1006:AF1006),$AC$1006:$AS$1006,0)), HYPERLINK("#",""), HYPERLINK(CONCATENATE("#Metadata!", ADDRESS(INDEX($X$2:$X$1001,MATCH(ROWS($V$2:V151),$V$2:$V$1001,0),0), INDEX($AC$1004:$AS$1004,1,MATCH(COLUMNS($AC$1006:AF1006),$AC$1006:$AS$1006,0)))),"Fix")))</f>
        <v>0</v>
      </c>
      <c r="F151" s="5">
        <f>IF(OR(INDEX($W$2:$W$1001,MATCH(ROWS($V$2:V151),$V$2:$V$1001,0),1)&gt;=100000,INDEX($AC$1005:$AS$1005,1,MATCH(COLUMNS($AC$1006:AG1006),$AC$1006:$AS$1006,0))&gt;=100000), " ",IF(INDEX($AC$2:$AS$1001,MATCH(ROWS($V$2:V151),$V$2:$V$1001,0),MATCH(COLUMNS($AC$1006:AG1006),$AC$1006:$AS$1006,0)), HYPERLINK("#",""), HYPERLINK(CONCATENATE("#Metadata!", ADDRESS(INDEX($X$2:$X$1001,MATCH(ROWS($V$2:V151),$V$2:$V$1001,0),0), INDEX($AC$1004:$AS$1004,1,MATCH(COLUMNS($AC$1006:AG1006),$AC$1006:$AS$1006,0)))),"Fix")))</f>
        <v>0</v>
      </c>
      <c r="G151" s="5">
        <f>IF(OR(INDEX($W$2:$W$1001,MATCH(ROWS($V$2:V151),$V$2:$V$1001,0),1)&gt;=100000,INDEX($AC$1005:$AS$1005,1,MATCH(COLUMNS($AC$1006:AH1006),$AC$1006:$AS$1006,0))&gt;=100000), " ",IF(INDEX($AC$2:$AS$1001,MATCH(ROWS($V$2:V151),$V$2:$V$1001,0),MATCH(COLUMNS($AC$1006:AH1006),$AC$1006:$AS$1006,0)), HYPERLINK("#",""), HYPERLINK(CONCATENATE("#Metadata!", ADDRESS(INDEX($X$2:$X$1001,MATCH(ROWS($V$2:V151),$V$2:$V$1001,0),0), INDEX($AC$1004:$AS$1004,1,MATCH(COLUMNS($AC$1006:AH1006),$AC$1006:$AS$1006,0)))),"Fix")))</f>
        <v>0</v>
      </c>
      <c r="H151" s="5">
        <f>IF(OR(INDEX($W$2:$W$1001,MATCH(ROWS($V$2:V151),$V$2:$V$1001,0),1)&gt;=100000,INDEX($AC$1005:$AS$1005,1,MATCH(COLUMNS($AC$1006:AI1006),$AC$1006:$AS$1006,0))&gt;=100000), " ",IF(INDEX($AC$2:$AS$1001,MATCH(ROWS($V$2:V151),$V$2:$V$1001,0),MATCH(COLUMNS($AC$1006:AI1006),$AC$1006:$AS$1006,0)), HYPERLINK("#",""), HYPERLINK(CONCATENATE("#Metadata!", ADDRESS(INDEX($X$2:$X$1001,MATCH(ROWS($V$2:V151),$V$2:$V$1001,0),0), INDEX($AC$1004:$AS$1004,1,MATCH(COLUMNS($AC$1006:AI1006),$AC$1006:$AS$1006,0)))),"Fix")))</f>
        <v>0</v>
      </c>
      <c r="I151" s="5">
        <f>IF(OR(INDEX($W$2:$W$1001,MATCH(ROWS($V$2:V151),$V$2:$V$1001,0),1)&gt;=100000,INDEX($AC$1005:$AS$1005,1,MATCH(COLUMNS($AC$1006:AJ1006),$AC$1006:$AS$1006,0))&gt;=100000), " ",IF(INDEX($AC$2:$AS$1001,MATCH(ROWS($V$2:V151),$V$2:$V$1001,0),MATCH(COLUMNS($AC$1006:AJ1006),$AC$1006:$AS$1006,0)), HYPERLINK("#",""), HYPERLINK(CONCATENATE("#Metadata!", ADDRESS(INDEX($X$2:$X$1001,MATCH(ROWS($V$2:V151),$V$2:$V$1001,0),0), INDEX($AC$1004:$AS$1004,1,MATCH(COLUMNS($AC$1006:AJ1006),$AC$1006:$AS$1006,0)))),"Fix")))</f>
        <v>0</v>
      </c>
      <c r="J151" s="5">
        <f>IF(OR(INDEX($W$2:$W$1001,MATCH(ROWS($V$2:V151),$V$2:$V$1001,0),1)&gt;=100000,INDEX($AC$1005:$AS$1005,1,MATCH(COLUMNS($AC$1006:AK1006),$AC$1006:$AS$1006,0))&gt;=100000), " ",IF(INDEX($AC$2:$AS$1001,MATCH(ROWS($V$2:V151),$V$2:$V$1001,0),MATCH(COLUMNS($AC$1006:AK1006),$AC$1006:$AS$1006,0)), HYPERLINK("#",""), HYPERLINK(CONCATENATE("#Metadata!", ADDRESS(INDEX($X$2:$X$1001,MATCH(ROWS($V$2:V151),$V$2:$V$1001,0),0), INDEX($AC$1004:$AS$1004,1,MATCH(COLUMNS($AC$1006:AK1006),$AC$1006:$AS$1006,0)))),"Fix")))</f>
        <v>0</v>
      </c>
      <c r="K151" s="5">
        <f>IF(OR(INDEX($W$2:$W$1001,MATCH(ROWS($V$2:V151),$V$2:$V$1001,0),1)&gt;=100000,INDEX($AC$1005:$AS$1005,1,MATCH(COLUMNS($AC$1006:AL1006),$AC$1006:$AS$1006,0))&gt;=100000), " ",IF(INDEX($AC$2:$AS$1001,MATCH(ROWS($V$2:V151),$V$2:$V$1001,0),MATCH(COLUMNS($AC$1006:AL1006),$AC$1006:$AS$1006,0)), HYPERLINK("#",""), HYPERLINK(CONCATENATE("#Metadata!", ADDRESS(INDEX($X$2:$X$1001,MATCH(ROWS($V$2:V151),$V$2:$V$1001,0),0), INDEX($AC$1004:$AS$1004,1,MATCH(COLUMNS($AC$1006:AL1006),$AC$1006:$AS$1006,0)))),"Fix")))</f>
        <v>0</v>
      </c>
      <c r="L151" s="5">
        <f>IF(OR(INDEX($W$2:$W$1001,MATCH(ROWS($V$2:V151),$V$2:$V$1001,0),1)&gt;=100000,INDEX($AC$1005:$AS$1005,1,MATCH(COLUMNS($AC$1006:AM1006),$AC$1006:$AS$1006,0))&gt;=100000), " ",IF(INDEX($AC$2:$AS$1001,MATCH(ROWS($V$2:V151),$V$2:$V$1001,0),MATCH(COLUMNS($AC$1006:AM1006),$AC$1006:$AS$1006,0)), HYPERLINK("#",""), HYPERLINK(CONCATENATE("#Metadata!", ADDRESS(INDEX($X$2:$X$1001,MATCH(ROWS($V$2:V151),$V$2:$V$1001,0),0), INDEX($AC$1004:$AS$1004,1,MATCH(COLUMNS($AC$1006:AM1006),$AC$1006:$AS$1006,0)))),"Fix")))</f>
        <v>0</v>
      </c>
      <c r="M151" s="5">
        <f>IF(OR(INDEX($W$2:$W$1001,MATCH(ROWS($V$2:V151),$V$2:$V$1001,0),1)&gt;=100000,INDEX($AC$1005:$AS$1005,1,MATCH(COLUMNS($AC$1006:AN1006),$AC$1006:$AS$1006,0))&gt;=100000), " ",IF(INDEX($AC$2:$AS$1001,MATCH(ROWS($V$2:V151),$V$2:$V$1001,0),MATCH(COLUMNS($AC$1006:AN1006),$AC$1006:$AS$1006,0)), HYPERLINK("#",""), HYPERLINK(CONCATENATE("#Metadata!", ADDRESS(INDEX($X$2:$X$1001,MATCH(ROWS($V$2:V151),$V$2:$V$1001,0),0), INDEX($AC$1004:$AS$1004,1,MATCH(COLUMNS($AC$1006:AN1006),$AC$1006:$AS$1006,0)))),"Fix")))</f>
        <v>0</v>
      </c>
      <c r="N151" s="5">
        <f>IF(OR(INDEX($W$2:$W$1001,MATCH(ROWS($V$2:V151),$V$2:$V$1001,0),1)&gt;=100000,INDEX($AC$1005:$AS$1005,1,MATCH(COLUMNS($AC$1006:AO1006),$AC$1006:$AS$1006,0))&gt;=100000), " ",IF(INDEX($AC$2:$AS$1001,MATCH(ROWS($V$2:V151),$V$2:$V$1001,0),MATCH(COLUMNS($AC$1006:AO1006),$AC$1006:$AS$1006,0)), HYPERLINK("#",""), HYPERLINK(CONCATENATE("#Metadata!", ADDRESS(INDEX($X$2:$X$1001,MATCH(ROWS($V$2:V151),$V$2:$V$1001,0),0), INDEX($AC$1004:$AS$1004,1,MATCH(COLUMNS($AC$1006:AO1006),$AC$1006:$AS$1006,0)))),"Fix")))</f>
        <v>0</v>
      </c>
      <c r="O151" s="5">
        <f>IF(OR(INDEX($W$2:$W$1001,MATCH(ROWS($V$2:V151),$V$2:$V$1001,0),1)&gt;=100000,INDEX($AC$1005:$AS$1005,1,MATCH(COLUMNS($AC$1006:AP1006),$AC$1006:$AS$1006,0))&gt;=100000), " ",IF(INDEX($AC$2:$AS$1001,MATCH(ROWS($V$2:V151),$V$2:$V$1001,0),MATCH(COLUMNS($AC$1006:AP1006),$AC$1006:$AS$1006,0)), HYPERLINK("#",""), HYPERLINK(CONCATENATE("#Metadata!", ADDRESS(INDEX($X$2:$X$1001,MATCH(ROWS($V$2:V151),$V$2:$V$1001,0),0), INDEX($AC$1004:$AS$1004,1,MATCH(COLUMNS($AC$1006:AP1006),$AC$1006:$AS$1006,0)))),"Fix")))</f>
        <v>0</v>
      </c>
      <c r="P151" s="5">
        <f>IF(OR(INDEX($W$2:$W$1001,MATCH(ROWS($V$2:V151),$V$2:$V$1001,0),1)&gt;=100000,INDEX($AC$1005:$AS$1005,1,MATCH(COLUMNS($AC$1006:AQ1006),$AC$1006:$AS$1006,0))&gt;=100000), " ",IF(INDEX($AC$2:$AS$1001,MATCH(ROWS($V$2:V151),$V$2:$V$1001,0),MATCH(COLUMNS($AC$1006:AQ1006),$AC$1006:$AS$1006,0)), HYPERLINK("#",""), HYPERLINK(CONCATENATE("#Metadata!", ADDRESS(INDEX($X$2:$X$1001,MATCH(ROWS($V$2:V151),$V$2:$V$1001,0),0), INDEX($AC$1004:$AS$1004,1,MATCH(COLUMNS($AC$1006:AQ1006),$AC$1006:$AS$1006,0)))),"Fix")))</f>
        <v>0</v>
      </c>
      <c r="Q151" s="5">
        <f>IF(OR(INDEX($W$2:$W$1001,MATCH(ROWS($V$2:V151),$V$2:$V$1001,0),1)&gt;=100000,INDEX($AC$1005:$AS$1005,1,MATCH(COLUMNS($AC$1006:AR1006),$AC$1006:$AS$1006,0))&gt;=100000), " ",IF(INDEX($AC$2:$AS$1001,MATCH(ROWS($V$2:V151),$V$2:$V$1001,0),MATCH(COLUMNS($AC$1006:AR1006),$AC$1006:$AS$1006,0)), HYPERLINK("#",""), HYPERLINK(CONCATENATE("#Metadata!", ADDRESS(INDEX($X$2:$X$1001,MATCH(ROWS($V$2:V151),$V$2:$V$1001,0),0), INDEX($AC$1004:$AS$1004,1,MATCH(COLUMNS($AC$1006:AR1006),$AC$1006:$AS$1006,0)))),"Fix")))</f>
        <v>0</v>
      </c>
      <c r="R151" s="5">
        <f>IF(OR(INDEX($W$2:$W$1001,MATCH(ROWS($V$2:V151),$V$2:$V$1001,0),1)&gt;=100000,INDEX($AC$1005:$AS$1005,1,MATCH(COLUMNS($AC$1006:AS1006),$AC$1006:$AS$1006,0))&gt;=100000), " ",IF(INDEX($AC$2:$AS$1001,MATCH(ROWS($V$2:V151),$V$2:$V$1001,0),MATCH(COLUMNS($AC$1006:AS1006),$AC$1006:$AS$1006,0)), HYPERLINK("#",""), HYPERLINK(CONCATENATE("#Metadata!", ADDRESS(INDEX($X$2:$X$1001,MATCH(ROWS($V$2:V151),$V$2:$V$1001,0),0), INDEX($AC$1004:$AS$1004,1,MATCH(COLUMNS($AC$1006:AS1006),$AC$1006:$AS$1006,0)))),"Fix")))</f>
        <v>0</v>
      </c>
      <c r="V151">
        <v>0</v>
      </c>
      <c r="W151">
        <v>0</v>
      </c>
      <c r="X151">
        <v>0</v>
      </c>
      <c r="Y151">
        <f>IF(Z151,TRUE,AND(AC151:AS151))</f>
        <v>0</v>
      </c>
      <c r="Z151">
        <f>COUNTBLANK(Metadata!B151:R151)=COLUMNS(Metadata!B151:R151)</f>
        <v>0</v>
      </c>
      <c r="AA151">
        <v>0</v>
      </c>
      <c r="AC151">
        <f>AND(IF(Metadata!B151="",FALSE,TRUE),COUNTIF(Metadata!B:B, Metadata!B151) = 1,NOT(ISERROR(SUMPRODUCT(SEARCH(MID(Metadata!B151,ROW(INDIRECT("1:"&amp;LEN(Metadata!B151))), 1),"0123456789abcdefghijklmnopqrstuvwxyzABCDEFGHIJKLMNOPQRSTUVWXYZ.")))))</f>
        <v>0</v>
      </c>
      <c r="AD151">
        <f>AND(IF(Metadata!C151="",FALSE,TRUE),exact(Metadata!C151,"Host-associated"))</f>
        <v>0</v>
      </c>
      <c r="AE151">
        <f>AND(IF(Metadata!D151="",FALSE,TRUE),OR(exact(Metadata!D151,"Animal"),exact(Metadata!D151,"Fungus"),exact(Metadata!D151,"Plant")))</f>
        <v>0</v>
      </c>
      <c r="AF151">
        <f>AND(IF(Metadata!E151="",FALSE,TRUE),OR(exact(Metadata!E151,"Plant secretion"),exact(Metadata!E151,"Plant rhizosphere"),exact(Metadata!E151,"Plant surface"),exact(Metadata!E151,"Plant corpus"),exact(Metadata!E151,"Fungus surface"),exact(Metadata!E151,"Fungus corpus"),exact(Metadata!E151,"Animal surface"),exact(Metadata!E151,"Animal proximal gut"),exact(Metadata!E151,"Animal corpus"),exact(Metadata!E151,"Animal distal gut"),exact(Metadata!E151,"Animal secretion")))</f>
        <v>0</v>
      </c>
      <c r="AG151">
        <f>OR(AND(IF(Metadata!F151="",FALSE,TRUE),OR(exact(Metadata!F151,"not collected"),exact(Metadata!F151,"not provided"),exact(Metadata!F151,"restricted access"))),AND(IF(Metadata!F151="",FALSE,TRUE),OR(exact(Metadata!F151,"organism-associated habitat"),exact(Metadata!F151,"plant-associated habitat"),exact(Metadata!F151,"animal-associated habitat"),exact(Metadata!F151,"insecta-associated habitat"),exact(Metadata!F151,"mammalia-associated habitat"),exact(Metadata!F151,"human-associated habitat"),exact(Metadata!F151,"livestock-associated habitat"))))</f>
        <v>0</v>
      </c>
      <c r="AH151">
        <f>AND(IF(Metadata!G151="",FALSE,TRUE),exact(Metadata!G151,"host-associated"))</f>
        <v>0</v>
      </c>
      <c r="AI151">
        <f>OR(AND(IF(Metadata!H151="",FALSE,TRUE),OR(exact(Metadata!H151,"not collected"),exact(Metadata!H151,"not provided"))),AND(IF(Metadata!H151="",FALSE,ISNUMBER(VALUE(Metadata!H151))),Metadata!H151&gt;0))</f>
        <v>0</v>
      </c>
      <c r="AJ151">
        <f>AND(IF(Metadata!I151="",FALSE,TRUE),exact(Metadata!I151,"years"))</f>
        <v>0</v>
      </c>
      <c r="AK151">
        <f>IF(Metadata!J151="",FALSE,TRUE)</f>
        <v>0</v>
      </c>
      <c r="AL151">
        <f>OR(AND(IF(Metadata!K151="",FALSE,TRUE),OR(exact(Metadata!K151,"not collected"),exact(Metadata!K151,"not provided"))),AND(IF(Metadata!K151="",FALSE,ISNUMBER(VALUE(Metadata!K151))),Metadata!K151&gt;0))</f>
        <v>0</v>
      </c>
      <c r="AM151">
        <f>AND(IF(Metadata!L151="",FALSE,TRUE),exact(Metadata!L151,"cm"))</f>
        <v>0</v>
      </c>
      <c r="AN151">
        <f>IF(Metadata!M151="",FALSE,TRUE)</f>
        <v>0</v>
      </c>
      <c r="AO151">
        <f>OR(AND(IF(Metadata!N151="",FALSE,TRUE),OR(exact(Metadata!N151,"not applicable"),exact(Metadata!N151,"not collected"),exact(Metadata!N151,"not provided"))),AND(IF(Metadata!N151="",FALSE,IF(ISERROR(INT(Metadata!N151)),FALSE,INT(Metadata!N151)=Metadata!N151)),Metadata!N151&gt;0))</f>
        <v>0</v>
      </c>
      <c r="AP151">
        <f>OR(AND(IF(Metadata!O151="",FALSE,TRUE),OR(exact(Metadata!O151,"not collected"),exact(Metadata!O151,"not provided"))),AND(IF(Metadata!O151="",FALSE,ISNUMBER(VALUE(Metadata!O151))),Metadata!O151&gt;0))</f>
        <v>0</v>
      </c>
      <c r="AQ151">
        <f>AND(IF(Metadata!P151="",FALSE,TRUE),exact(Metadata!P151,"kg"))</f>
        <v>0</v>
      </c>
      <c r="AR151">
        <f>OR(AND(IF(Metadata!Q151="",FALSE,TRUE),OR(exact(Metadata!Q151,"not applicable"),exact(Metadata!Q151,"not collected"),exact(Metadata!Q151,"not provided"),exact(Metadata!Q151,"restricted access"))),IF(Metadata!Q151="",FALSE,IF(ISERROR(INT(Metadata!Q151)),FALSE,INT(Metadata!Q151)=Metadata!Q151)))</f>
        <v>0</v>
      </c>
      <c r="AS151">
        <f>AND(IF(Metadata!R151="",FALSE,TRUE),exact(Metadata!R151,"Not applicable"))</f>
        <v>0</v>
      </c>
    </row>
    <row r="152" spans="1:45">
      <c r="A152" s="4">
        <f>IF(B152=" "," ",HYPERLINK(CONCATENATE("#metadata!",ADDRESS(INDEX($X$2:$X$1001,MATCH(ROWS($V$2:V152),$V$2:$V$1001,0),0),2)),INDEX($AA$2:$AA$1001,MATCH(ROWS($V$2:V152),$V$2:$V$1001,0),0)))</f>
        <v>0</v>
      </c>
      <c r="B152" s="5">
        <f>IF(OR(INDEX($W$2:$W$1001,MATCH(ROWS($V$2:V152),$V$2:$V$1001,0),1)&gt;=100000,INDEX($AC$1005:$AS$1005,1,MATCH(COLUMNS($AC$1006:AC1006),$AC$1006:$AS$1006,0))&gt;=100000), " ",IF(INDEX($AC$2:$AS$1001,MATCH(ROWS($V$2:V152),$V$2:$V$1001,0),MATCH(COLUMNS($AC$1006:AC1006),$AC$1006:$AS$1006,0)), HYPERLINK("#",""), HYPERLINK(CONCATENATE("#Metadata!", ADDRESS(INDEX($X$2:$X$1001,MATCH(ROWS($V$2:V152),$V$2:$V$1001,0),0), INDEX($AC$1004:$AS$1004,1,MATCH(COLUMNS($AC$1006:AC1006),$AC$1006:$AS$1006,0)))),"Fix")))</f>
        <v>0</v>
      </c>
      <c r="C152" s="5">
        <f>IF(OR(INDEX($W$2:$W$1001,MATCH(ROWS($V$2:V152),$V$2:$V$1001,0),1)&gt;=100000,INDEX($AC$1005:$AS$1005,1,MATCH(COLUMNS($AC$1006:AD1006),$AC$1006:$AS$1006,0))&gt;=100000), " ",IF(INDEX($AC$2:$AS$1001,MATCH(ROWS($V$2:V152),$V$2:$V$1001,0),MATCH(COLUMNS($AC$1006:AD1006),$AC$1006:$AS$1006,0)), HYPERLINK("#",""), HYPERLINK(CONCATENATE("#Metadata!", ADDRESS(INDEX($X$2:$X$1001,MATCH(ROWS($V$2:V152),$V$2:$V$1001,0),0), INDEX($AC$1004:$AS$1004,1,MATCH(COLUMNS($AC$1006:AD1006),$AC$1006:$AS$1006,0)))),"Fix")))</f>
        <v>0</v>
      </c>
      <c r="D152" s="5">
        <f>IF(OR(INDEX($W$2:$W$1001,MATCH(ROWS($V$2:V152),$V$2:$V$1001,0),1)&gt;=100000,INDEX($AC$1005:$AS$1005,1,MATCH(COLUMNS($AC$1006:AE1006),$AC$1006:$AS$1006,0))&gt;=100000), " ",IF(INDEX($AC$2:$AS$1001,MATCH(ROWS($V$2:V152),$V$2:$V$1001,0),MATCH(COLUMNS($AC$1006:AE1006),$AC$1006:$AS$1006,0)), HYPERLINK("#",""), HYPERLINK(CONCATENATE("#Metadata!", ADDRESS(INDEX($X$2:$X$1001,MATCH(ROWS($V$2:V152),$V$2:$V$1001,0),0), INDEX($AC$1004:$AS$1004,1,MATCH(COLUMNS($AC$1006:AE1006),$AC$1006:$AS$1006,0)))),"Fix")))</f>
        <v>0</v>
      </c>
      <c r="E152" s="5">
        <f>IF(OR(INDEX($W$2:$W$1001,MATCH(ROWS($V$2:V152),$V$2:$V$1001,0),1)&gt;=100000,INDEX($AC$1005:$AS$1005,1,MATCH(COLUMNS($AC$1006:AF1006),$AC$1006:$AS$1006,0))&gt;=100000), " ",IF(INDEX($AC$2:$AS$1001,MATCH(ROWS($V$2:V152),$V$2:$V$1001,0),MATCH(COLUMNS($AC$1006:AF1006),$AC$1006:$AS$1006,0)), HYPERLINK("#",""), HYPERLINK(CONCATENATE("#Metadata!", ADDRESS(INDEX($X$2:$X$1001,MATCH(ROWS($V$2:V152),$V$2:$V$1001,0),0), INDEX($AC$1004:$AS$1004,1,MATCH(COLUMNS($AC$1006:AF1006),$AC$1006:$AS$1006,0)))),"Fix")))</f>
        <v>0</v>
      </c>
      <c r="F152" s="5">
        <f>IF(OR(INDEX($W$2:$W$1001,MATCH(ROWS($V$2:V152),$V$2:$V$1001,0),1)&gt;=100000,INDEX($AC$1005:$AS$1005,1,MATCH(COLUMNS($AC$1006:AG1006),$AC$1006:$AS$1006,0))&gt;=100000), " ",IF(INDEX($AC$2:$AS$1001,MATCH(ROWS($V$2:V152),$V$2:$V$1001,0),MATCH(COLUMNS($AC$1006:AG1006),$AC$1006:$AS$1006,0)), HYPERLINK("#",""), HYPERLINK(CONCATENATE("#Metadata!", ADDRESS(INDEX($X$2:$X$1001,MATCH(ROWS($V$2:V152),$V$2:$V$1001,0),0), INDEX($AC$1004:$AS$1004,1,MATCH(COLUMNS($AC$1006:AG1006),$AC$1006:$AS$1006,0)))),"Fix")))</f>
        <v>0</v>
      </c>
      <c r="G152" s="5">
        <f>IF(OR(INDEX($W$2:$W$1001,MATCH(ROWS($V$2:V152),$V$2:$V$1001,0),1)&gt;=100000,INDEX($AC$1005:$AS$1005,1,MATCH(COLUMNS($AC$1006:AH1006),$AC$1006:$AS$1006,0))&gt;=100000), " ",IF(INDEX($AC$2:$AS$1001,MATCH(ROWS($V$2:V152),$V$2:$V$1001,0),MATCH(COLUMNS($AC$1006:AH1006),$AC$1006:$AS$1006,0)), HYPERLINK("#",""), HYPERLINK(CONCATENATE("#Metadata!", ADDRESS(INDEX($X$2:$X$1001,MATCH(ROWS($V$2:V152),$V$2:$V$1001,0),0), INDEX($AC$1004:$AS$1004,1,MATCH(COLUMNS($AC$1006:AH1006),$AC$1006:$AS$1006,0)))),"Fix")))</f>
        <v>0</v>
      </c>
      <c r="H152" s="5">
        <f>IF(OR(INDEX($W$2:$W$1001,MATCH(ROWS($V$2:V152),$V$2:$V$1001,0),1)&gt;=100000,INDEX($AC$1005:$AS$1005,1,MATCH(COLUMNS($AC$1006:AI1006),$AC$1006:$AS$1006,0))&gt;=100000), " ",IF(INDEX($AC$2:$AS$1001,MATCH(ROWS($V$2:V152),$V$2:$V$1001,0),MATCH(COLUMNS($AC$1006:AI1006),$AC$1006:$AS$1006,0)), HYPERLINK("#",""), HYPERLINK(CONCATENATE("#Metadata!", ADDRESS(INDEX($X$2:$X$1001,MATCH(ROWS($V$2:V152),$V$2:$V$1001,0),0), INDEX($AC$1004:$AS$1004,1,MATCH(COLUMNS($AC$1006:AI1006),$AC$1006:$AS$1006,0)))),"Fix")))</f>
        <v>0</v>
      </c>
      <c r="I152" s="5">
        <f>IF(OR(INDEX($W$2:$W$1001,MATCH(ROWS($V$2:V152),$V$2:$V$1001,0),1)&gt;=100000,INDEX($AC$1005:$AS$1005,1,MATCH(COLUMNS($AC$1006:AJ1006),$AC$1006:$AS$1006,0))&gt;=100000), " ",IF(INDEX($AC$2:$AS$1001,MATCH(ROWS($V$2:V152),$V$2:$V$1001,0),MATCH(COLUMNS($AC$1006:AJ1006),$AC$1006:$AS$1006,0)), HYPERLINK("#",""), HYPERLINK(CONCATENATE("#Metadata!", ADDRESS(INDEX($X$2:$X$1001,MATCH(ROWS($V$2:V152),$V$2:$V$1001,0),0), INDEX($AC$1004:$AS$1004,1,MATCH(COLUMNS($AC$1006:AJ1006),$AC$1006:$AS$1006,0)))),"Fix")))</f>
        <v>0</v>
      </c>
      <c r="J152" s="5">
        <f>IF(OR(INDEX($W$2:$W$1001,MATCH(ROWS($V$2:V152),$V$2:$V$1001,0),1)&gt;=100000,INDEX($AC$1005:$AS$1005,1,MATCH(COLUMNS($AC$1006:AK1006),$AC$1006:$AS$1006,0))&gt;=100000), " ",IF(INDEX($AC$2:$AS$1001,MATCH(ROWS($V$2:V152),$V$2:$V$1001,0),MATCH(COLUMNS($AC$1006:AK1006),$AC$1006:$AS$1006,0)), HYPERLINK("#",""), HYPERLINK(CONCATENATE("#Metadata!", ADDRESS(INDEX($X$2:$X$1001,MATCH(ROWS($V$2:V152),$V$2:$V$1001,0),0), INDEX($AC$1004:$AS$1004,1,MATCH(COLUMNS($AC$1006:AK1006),$AC$1006:$AS$1006,0)))),"Fix")))</f>
        <v>0</v>
      </c>
      <c r="K152" s="5">
        <f>IF(OR(INDEX($W$2:$W$1001,MATCH(ROWS($V$2:V152),$V$2:$V$1001,0),1)&gt;=100000,INDEX($AC$1005:$AS$1005,1,MATCH(COLUMNS($AC$1006:AL1006),$AC$1006:$AS$1006,0))&gt;=100000), " ",IF(INDEX($AC$2:$AS$1001,MATCH(ROWS($V$2:V152),$V$2:$V$1001,0),MATCH(COLUMNS($AC$1006:AL1006),$AC$1006:$AS$1006,0)), HYPERLINK("#",""), HYPERLINK(CONCATENATE("#Metadata!", ADDRESS(INDEX($X$2:$X$1001,MATCH(ROWS($V$2:V152),$V$2:$V$1001,0),0), INDEX($AC$1004:$AS$1004,1,MATCH(COLUMNS($AC$1006:AL1006),$AC$1006:$AS$1006,0)))),"Fix")))</f>
        <v>0</v>
      </c>
      <c r="L152" s="5">
        <f>IF(OR(INDEX($W$2:$W$1001,MATCH(ROWS($V$2:V152),$V$2:$V$1001,0),1)&gt;=100000,INDEX($AC$1005:$AS$1005,1,MATCH(COLUMNS($AC$1006:AM1006),$AC$1006:$AS$1006,0))&gt;=100000), " ",IF(INDEX($AC$2:$AS$1001,MATCH(ROWS($V$2:V152),$V$2:$V$1001,0),MATCH(COLUMNS($AC$1006:AM1006),$AC$1006:$AS$1006,0)), HYPERLINK("#",""), HYPERLINK(CONCATENATE("#Metadata!", ADDRESS(INDEX($X$2:$X$1001,MATCH(ROWS($V$2:V152),$V$2:$V$1001,0),0), INDEX($AC$1004:$AS$1004,1,MATCH(COLUMNS($AC$1006:AM1006),$AC$1006:$AS$1006,0)))),"Fix")))</f>
        <v>0</v>
      </c>
      <c r="M152" s="5">
        <f>IF(OR(INDEX($W$2:$W$1001,MATCH(ROWS($V$2:V152),$V$2:$V$1001,0),1)&gt;=100000,INDEX($AC$1005:$AS$1005,1,MATCH(COLUMNS($AC$1006:AN1006),$AC$1006:$AS$1006,0))&gt;=100000), " ",IF(INDEX($AC$2:$AS$1001,MATCH(ROWS($V$2:V152),$V$2:$V$1001,0),MATCH(COLUMNS($AC$1006:AN1006),$AC$1006:$AS$1006,0)), HYPERLINK("#",""), HYPERLINK(CONCATENATE("#Metadata!", ADDRESS(INDEX($X$2:$X$1001,MATCH(ROWS($V$2:V152),$V$2:$V$1001,0),0), INDEX($AC$1004:$AS$1004,1,MATCH(COLUMNS($AC$1006:AN1006),$AC$1006:$AS$1006,0)))),"Fix")))</f>
        <v>0</v>
      </c>
      <c r="N152" s="5">
        <f>IF(OR(INDEX($W$2:$W$1001,MATCH(ROWS($V$2:V152),$V$2:$V$1001,0),1)&gt;=100000,INDEX($AC$1005:$AS$1005,1,MATCH(COLUMNS($AC$1006:AO1006),$AC$1006:$AS$1006,0))&gt;=100000), " ",IF(INDEX($AC$2:$AS$1001,MATCH(ROWS($V$2:V152),$V$2:$V$1001,0),MATCH(COLUMNS($AC$1006:AO1006),$AC$1006:$AS$1006,0)), HYPERLINK("#",""), HYPERLINK(CONCATENATE("#Metadata!", ADDRESS(INDEX($X$2:$X$1001,MATCH(ROWS($V$2:V152),$V$2:$V$1001,0),0), INDEX($AC$1004:$AS$1004,1,MATCH(COLUMNS($AC$1006:AO1006),$AC$1006:$AS$1006,0)))),"Fix")))</f>
        <v>0</v>
      </c>
      <c r="O152" s="5">
        <f>IF(OR(INDEX($W$2:$W$1001,MATCH(ROWS($V$2:V152),$V$2:$V$1001,0),1)&gt;=100000,INDEX($AC$1005:$AS$1005,1,MATCH(COLUMNS($AC$1006:AP1006),$AC$1006:$AS$1006,0))&gt;=100000), " ",IF(INDEX($AC$2:$AS$1001,MATCH(ROWS($V$2:V152),$V$2:$V$1001,0),MATCH(COLUMNS($AC$1006:AP1006),$AC$1006:$AS$1006,0)), HYPERLINK("#",""), HYPERLINK(CONCATENATE("#Metadata!", ADDRESS(INDEX($X$2:$X$1001,MATCH(ROWS($V$2:V152),$V$2:$V$1001,0),0), INDEX($AC$1004:$AS$1004,1,MATCH(COLUMNS($AC$1006:AP1006),$AC$1006:$AS$1006,0)))),"Fix")))</f>
        <v>0</v>
      </c>
      <c r="P152" s="5">
        <f>IF(OR(INDEX($W$2:$W$1001,MATCH(ROWS($V$2:V152),$V$2:$V$1001,0),1)&gt;=100000,INDEX($AC$1005:$AS$1005,1,MATCH(COLUMNS($AC$1006:AQ1006),$AC$1006:$AS$1006,0))&gt;=100000), " ",IF(INDEX($AC$2:$AS$1001,MATCH(ROWS($V$2:V152),$V$2:$V$1001,0),MATCH(COLUMNS($AC$1006:AQ1006),$AC$1006:$AS$1006,0)), HYPERLINK("#",""), HYPERLINK(CONCATENATE("#Metadata!", ADDRESS(INDEX($X$2:$X$1001,MATCH(ROWS($V$2:V152),$V$2:$V$1001,0),0), INDEX($AC$1004:$AS$1004,1,MATCH(COLUMNS($AC$1006:AQ1006),$AC$1006:$AS$1006,0)))),"Fix")))</f>
        <v>0</v>
      </c>
      <c r="Q152" s="5">
        <f>IF(OR(INDEX($W$2:$W$1001,MATCH(ROWS($V$2:V152),$V$2:$V$1001,0),1)&gt;=100000,INDEX($AC$1005:$AS$1005,1,MATCH(COLUMNS($AC$1006:AR1006),$AC$1006:$AS$1006,0))&gt;=100000), " ",IF(INDEX($AC$2:$AS$1001,MATCH(ROWS($V$2:V152),$V$2:$V$1001,0),MATCH(COLUMNS($AC$1006:AR1006),$AC$1006:$AS$1006,0)), HYPERLINK("#",""), HYPERLINK(CONCATENATE("#Metadata!", ADDRESS(INDEX($X$2:$X$1001,MATCH(ROWS($V$2:V152),$V$2:$V$1001,0),0), INDEX($AC$1004:$AS$1004,1,MATCH(COLUMNS($AC$1006:AR1006),$AC$1006:$AS$1006,0)))),"Fix")))</f>
        <v>0</v>
      </c>
      <c r="R152" s="5">
        <f>IF(OR(INDEX($W$2:$W$1001,MATCH(ROWS($V$2:V152),$V$2:$V$1001,0),1)&gt;=100000,INDEX($AC$1005:$AS$1005,1,MATCH(COLUMNS($AC$1006:AS1006),$AC$1006:$AS$1006,0))&gt;=100000), " ",IF(INDEX($AC$2:$AS$1001,MATCH(ROWS($V$2:V152),$V$2:$V$1001,0),MATCH(COLUMNS($AC$1006:AS1006),$AC$1006:$AS$1006,0)), HYPERLINK("#",""), HYPERLINK(CONCATENATE("#Metadata!", ADDRESS(INDEX($X$2:$X$1001,MATCH(ROWS($V$2:V152),$V$2:$V$1001,0),0), INDEX($AC$1004:$AS$1004,1,MATCH(COLUMNS($AC$1006:AS1006),$AC$1006:$AS$1006,0)))),"Fix")))</f>
        <v>0</v>
      </c>
      <c r="V152">
        <v>0</v>
      </c>
      <c r="W152">
        <v>0</v>
      </c>
      <c r="X152">
        <v>0</v>
      </c>
      <c r="Y152">
        <f>IF(Z152,TRUE,AND(AC152:AS152))</f>
        <v>0</v>
      </c>
      <c r="Z152">
        <f>COUNTBLANK(Metadata!B152:R152)=COLUMNS(Metadata!B152:R152)</f>
        <v>0</v>
      </c>
      <c r="AA152">
        <v>0</v>
      </c>
      <c r="AC152">
        <f>AND(IF(Metadata!B152="",FALSE,TRUE),COUNTIF(Metadata!B:B, Metadata!B152) = 1,NOT(ISERROR(SUMPRODUCT(SEARCH(MID(Metadata!B152,ROW(INDIRECT("1:"&amp;LEN(Metadata!B152))), 1),"0123456789abcdefghijklmnopqrstuvwxyzABCDEFGHIJKLMNOPQRSTUVWXYZ.")))))</f>
        <v>0</v>
      </c>
      <c r="AD152">
        <f>AND(IF(Metadata!C152="",FALSE,TRUE),exact(Metadata!C152,"Host-associated"))</f>
        <v>0</v>
      </c>
      <c r="AE152">
        <f>AND(IF(Metadata!D152="",FALSE,TRUE),OR(exact(Metadata!D152,"Animal"),exact(Metadata!D152,"Fungus"),exact(Metadata!D152,"Plant")))</f>
        <v>0</v>
      </c>
      <c r="AF152">
        <f>AND(IF(Metadata!E152="",FALSE,TRUE),OR(exact(Metadata!E152,"Plant secretion"),exact(Metadata!E152,"Plant rhizosphere"),exact(Metadata!E152,"Plant surface"),exact(Metadata!E152,"Plant corpus"),exact(Metadata!E152,"Fungus surface"),exact(Metadata!E152,"Fungus corpus"),exact(Metadata!E152,"Animal surface"),exact(Metadata!E152,"Animal proximal gut"),exact(Metadata!E152,"Animal corpus"),exact(Metadata!E152,"Animal distal gut"),exact(Metadata!E152,"Animal secretion")))</f>
        <v>0</v>
      </c>
      <c r="AG152">
        <f>OR(AND(IF(Metadata!F152="",FALSE,TRUE),OR(exact(Metadata!F152,"not collected"),exact(Metadata!F152,"not provided"),exact(Metadata!F152,"restricted access"))),AND(IF(Metadata!F152="",FALSE,TRUE),OR(exact(Metadata!F152,"organism-associated habitat"),exact(Metadata!F152,"plant-associated habitat"),exact(Metadata!F152,"animal-associated habitat"),exact(Metadata!F152,"insecta-associated habitat"),exact(Metadata!F152,"mammalia-associated habitat"),exact(Metadata!F152,"human-associated habitat"),exact(Metadata!F152,"livestock-associated habitat"))))</f>
        <v>0</v>
      </c>
      <c r="AH152">
        <f>AND(IF(Metadata!G152="",FALSE,TRUE),exact(Metadata!G152,"host-associated"))</f>
        <v>0</v>
      </c>
      <c r="AI152">
        <f>OR(AND(IF(Metadata!H152="",FALSE,TRUE),OR(exact(Metadata!H152,"not collected"),exact(Metadata!H152,"not provided"))),AND(IF(Metadata!H152="",FALSE,ISNUMBER(VALUE(Metadata!H152))),Metadata!H152&gt;0))</f>
        <v>0</v>
      </c>
      <c r="AJ152">
        <f>AND(IF(Metadata!I152="",FALSE,TRUE),exact(Metadata!I152,"years"))</f>
        <v>0</v>
      </c>
      <c r="AK152">
        <f>IF(Metadata!J152="",FALSE,TRUE)</f>
        <v>0</v>
      </c>
      <c r="AL152">
        <f>OR(AND(IF(Metadata!K152="",FALSE,TRUE),OR(exact(Metadata!K152,"not collected"),exact(Metadata!K152,"not provided"))),AND(IF(Metadata!K152="",FALSE,ISNUMBER(VALUE(Metadata!K152))),Metadata!K152&gt;0))</f>
        <v>0</v>
      </c>
      <c r="AM152">
        <f>AND(IF(Metadata!L152="",FALSE,TRUE),exact(Metadata!L152,"cm"))</f>
        <v>0</v>
      </c>
      <c r="AN152">
        <f>IF(Metadata!M152="",FALSE,TRUE)</f>
        <v>0</v>
      </c>
      <c r="AO152">
        <f>OR(AND(IF(Metadata!N152="",FALSE,TRUE),OR(exact(Metadata!N152,"not applicable"),exact(Metadata!N152,"not collected"),exact(Metadata!N152,"not provided"))),AND(IF(Metadata!N152="",FALSE,IF(ISERROR(INT(Metadata!N152)),FALSE,INT(Metadata!N152)=Metadata!N152)),Metadata!N152&gt;0))</f>
        <v>0</v>
      </c>
      <c r="AP152">
        <f>OR(AND(IF(Metadata!O152="",FALSE,TRUE),OR(exact(Metadata!O152,"not collected"),exact(Metadata!O152,"not provided"))),AND(IF(Metadata!O152="",FALSE,ISNUMBER(VALUE(Metadata!O152))),Metadata!O152&gt;0))</f>
        <v>0</v>
      </c>
      <c r="AQ152">
        <f>AND(IF(Metadata!P152="",FALSE,TRUE),exact(Metadata!P152,"kg"))</f>
        <v>0</v>
      </c>
      <c r="AR152">
        <f>OR(AND(IF(Metadata!Q152="",FALSE,TRUE),OR(exact(Metadata!Q152,"not applicable"),exact(Metadata!Q152,"not collected"),exact(Metadata!Q152,"not provided"),exact(Metadata!Q152,"restricted access"))),IF(Metadata!Q152="",FALSE,IF(ISERROR(INT(Metadata!Q152)),FALSE,INT(Metadata!Q152)=Metadata!Q152)))</f>
        <v>0</v>
      </c>
      <c r="AS152">
        <f>AND(IF(Metadata!R152="",FALSE,TRUE),exact(Metadata!R152,"Not applicable"))</f>
        <v>0</v>
      </c>
    </row>
    <row r="153" spans="1:45">
      <c r="A153" s="4">
        <f>IF(B153=" "," ",HYPERLINK(CONCATENATE("#metadata!",ADDRESS(INDEX($X$2:$X$1001,MATCH(ROWS($V$2:V153),$V$2:$V$1001,0),0),2)),INDEX($AA$2:$AA$1001,MATCH(ROWS($V$2:V153),$V$2:$V$1001,0),0)))</f>
        <v>0</v>
      </c>
      <c r="B153" s="5">
        <f>IF(OR(INDEX($W$2:$W$1001,MATCH(ROWS($V$2:V153),$V$2:$V$1001,0),1)&gt;=100000,INDEX($AC$1005:$AS$1005,1,MATCH(COLUMNS($AC$1006:AC1006),$AC$1006:$AS$1006,0))&gt;=100000), " ",IF(INDEX($AC$2:$AS$1001,MATCH(ROWS($V$2:V153),$V$2:$V$1001,0),MATCH(COLUMNS($AC$1006:AC1006),$AC$1006:$AS$1006,0)), HYPERLINK("#",""), HYPERLINK(CONCATENATE("#Metadata!", ADDRESS(INDEX($X$2:$X$1001,MATCH(ROWS($V$2:V153),$V$2:$V$1001,0),0), INDEX($AC$1004:$AS$1004,1,MATCH(COLUMNS($AC$1006:AC1006),$AC$1006:$AS$1006,0)))),"Fix")))</f>
        <v>0</v>
      </c>
      <c r="C153" s="5">
        <f>IF(OR(INDEX($W$2:$W$1001,MATCH(ROWS($V$2:V153),$V$2:$V$1001,0),1)&gt;=100000,INDEX($AC$1005:$AS$1005,1,MATCH(COLUMNS($AC$1006:AD1006),$AC$1006:$AS$1006,0))&gt;=100000), " ",IF(INDEX($AC$2:$AS$1001,MATCH(ROWS($V$2:V153),$V$2:$V$1001,0),MATCH(COLUMNS($AC$1006:AD1006),$AC$1006:$AS$1006,0)), HYPERLINK("#",""), HYPERLINK(CONCATENATE("#Metadata!", ADDRESS(INDEX($X$2:$X$1001,MATCH(ROWS($V$2:V153),$V$2:$V$1001,0),0), INDEX($AC$1004:$AS$1004,1,MATCH(COLUMNS($AC$1006:AD1006),$AC$1006:$AS$1006,0)))),"Fix")))</f>
        <v>0</v>
      </c>
      <c r="D153" s="5">
        <f>IF(OR(INDEX($W$2:$W$1001,MATCH(ROWS($V$2:V153),$V$2:$V$1001,0),1)&gt;=100000,INDEX($AC$1005:$AS$1005,1,MATCH(COLUMNS($AC$1006:AE1006),$AC$1006:$AS$1006,0))&gt;=100000), " ",IF(INDEX($AC$2:$AS$1001,MATCH(ROWS($V$2:V153),$V$2:$V$1001,0),MATCH(COLUMNS($AC$1006:AE1006),$AC$1006:$AS$1006,0)), HYPERLINK("#",""), HYPERLINK(CONCATENATE("#Metadata!", ADDRESS(INDEX($X$2:$X$1001,MATCH(ROWS($V$2:V153),$V$2:$V$1001,0),0), INDEX($AC$1004:$AS$1004,1,MATCH(COLUMNS($AC$1006:AE1006),$AC$1006:$AS$1006,0)))),"Fix")))</f>
        <v>0</v>
      </c>
      <c r="E153" s="5">
        <f>IF(OR(INDEX($W$2:$W$1001,MATCH(ROWS($V$2:V153),$V$2:$V$1001,0),1)&gt;=100000,INDEX($AC$1005:$AS$1005,1,MATCH(COLUMNS($AC$1006:AF1006),$AC$1006:$AS$1006,0))&gt;=100000), " ",IF(INDEX($AC$2:$AS$1001,MATCH(ROWS($V$2:V153),$V$2:$V$1001,0),MATCH(COLUMNS($AC$1006:AF1006),$AC$1006:$AS$1006,0)), HYPERLINK("#",""), HYPERLINK(CONCATENATE("#Metadata!", ADDRESS(INDEX($X$2:$X$1001,MATCH(ROWS($V$2:V153),$V$2:$V$1001,0),0), INDEX($AC$1004:$AS$1004,1,MATCH(COLUMNS($AC$1006:AF1006),$AC$1006:$AS$1006,0)))),"Fix")))</f>
        <v>0</v>
      </c>
      <c r="F153" s="5">
        <f>IF(OR(INDEX($W$2:$W$1001,MATCH(ROWS($V$2:V153),$V$2:$V$1001,0),1)&gt;=100000,INDEX($AC$1005:$AS$1005,1,MATCH(COLUMNS($AC$1006:AG1006),$AC$1006:$AS$1006,0))&gt;=100000), " ",IF(INDEX($AC$2:$AS$1001,MATCH(ROWS($V$2:V153),$V$2:$V$1001,0),MATCH(COLUMNS($AC$1006:AG1006),$AC$1006:$AS$1006,0)), HYPERLINK("#",""), HYPERLINK(CONCATENATE("#Metadata!", ADDRESS(INDEX($X$2:$X$1001,MATCH(ROWS($V$2:V153),$V$2:$V$1001,0),0), INDEX($AC$1004:$AS$1004,1,MATCH(COLUMNS($AC$1006:AG1006),$AC$1006:$AS$1006,0)))),"Fix")))</f>
        <v>0</v>
      </c>
      <c r="G153" s="5">
        <f>IF(OR(INDEX($W$2:$W$1001,MATCH(ROWS($V$2:V153),$V$2:$V$1001,0),1)&gt;=100000,INDEX($AC$1005:$AS$1005,1,MATCH(COLUMNS($AC$1006:AH1006),$AC$1006:$AS$1006,0))&gt;=100000), " ",IF(INDEX($AC$2:$AS$1001,MATCH(ROWS($V$2:V153),$V$2:$V$1001,0),MATCH(COLUMNS($AC$1006:AH1006),$AC$1006:$AS$1006,0)), HYPERLINK("#",""), HYPERLINK(CONCATENATE("#Metadata!", ADDRESS(INDEX($X$2:$X$1001,MATCH(ROWS($V$2:V153),$V$2:$V$1001,0),0), INDEX($AC$1004:$AS$1004,1,MATCH(COLUMNS($AC$1006:AH1006),$AC$1006:$AS$1006,0)))),"Fix")))</f>
        <v>0</v>
      </c>
      <c r="H153" s="5">
        <f>IF(OR(INDEX($W$2:$W$1001,MATCH(ROWS($V$2:V153),$V$2:$V$1001,0),1)&gt;=100000,INDEX($AC$1005:$AS$1005,1,MATCH(COLUMNS($AC$1006:AI1006),$AC$1006:$AS$1006,0))&gt;=100000), " ",IF(INDEX($AC$2:$AS$1001,MATCH(ROWS($V$2:V153),$V$2:$V$1001,0),MATCH(COLUMNS($AC$1006:AI1006),$AC$1006:$AS$1006,0)), HYPERLINK("#",""), HYPERLINK(CONCATENATE("#Metadata!", ADDRESS(INDEX($X$2:$X$1001,MATCH(ROWS($V$2:V153),$V$2:$V$1001,0),0), INDEX($AC$1004:$AS$1004,1,MATCH(COLUMNS($AC$1006:AI1006),$AC$1006:$AS$1006,0)))),"Fix")))</f>
        <v>0</v>
      </c>
      <c r="I153" s="5">
        <f>IF(OR(INDEX($W$2:$W$1001,MATCH(ROWS($V$2:V153),$V$2:$V$1001,0),1)&gt;=100000,INDEX($AC$1005:$AS$1005,1,MATCH(COLUMNS($AC$1006:AJ1006),$AC$1006:$AS$1006,0))&gt;=100000), " ",IF(INDEX($AC$2:$AS$1001,MATCH(ROWS($V$2:V153),$V$2:$V$1001,0),MATCH(COLUMNS($AC$1006:AJ1006),$AC$1006:$AS$1006,0)), HYPERLINK("#",""), HYPERLINK(CONCATENATE("#Metadata!", ADDRESS(INDEX($X$2:$X$1001,MATCH(ROWS($V$2:V153),$V$2:$V$1001,0),0), INDEX($AC$1004:$AS$1004,1,MATCH(COLUMNS($AC$1006:AJ1006),$AC$1006:$AS$1006,0)))),"Fix")))</f>
        <v>0</v>
      </c>
      <c r="J153" s="5">
        <f>IF(OR(INDEX($W$2:$W$1001,MATCH(ROWS($V$2:V153),$V$2:$V$1001,0),1)&gt;=100000,INDEX($AC$1005:$AS$1005,1,MATCH(COLUMNS($AC$1006:AK1006),$AC$1006:$AS$1006,0))&gt;=100000), " ",IF(INDEX($AC$2:$AS$1001,MATCH(ROWS($V$2:V153),$V$2:$V$1001,0),MATCH(COLUMNS($AC$1006:AK1006),$AC$1006:$AS$1006,0)), HYPERLINK("#",""), HYPERLINK(CONCATENATE("#Metadata!", ADDRESS(INDEX($X$2:$X$1001,MATCH(ROWS($V$2:V153),$V$2:$V$1001,0),0), INDEX($AC$1004:$AS$1004,1,MATCH(COLUMNS($AC$1006:AK1006),$AC$1006:$AS$1006,0)))),"Fix")))</f>
        <v>0</v>
      </c>
      <c r="K153" s="5">
        <f>IF(OR(INDEX($W$2:$W$1001,MATCH(ROWS($V$2:V153),$V$2:$V$1001,0),1)&gt;=100000,INDEX($AC$1005:$AS$1005,1,MATCH(COLUMNS($AC$1006:AL1006),$AC$1006:$AS$1006,0))&gt;=100000), " ",IF(INDEX($AC$2:$AS$1001,MATCH(ROWS($V$2:V153),$V$2:$V$1001,0),MATCH(COLUMNS($AC$1006:AL1006),$AC$1006:$AS$1006,0)), HYPERLINK("#",""), HYPERLINK(CONCATENATE("#Metadata!", ADDRESS(INDEX($X$2:$X$1001,MATCH(ROWS($V$2:V153),$V$2:$V$1001,0),0), INDEX($AC$1004:$AS$1004,1,MATCH(COLUMNS($AC$1006:AL1006),$AC$1006:$AS$1006,0)))),"Fix")))</f>
        <v>0</v>
      </c>
      <c r="L153" s="5">
        <f>IF(OR(INDEX($W$2:$W$1001,MATCH(ROWS($V$2:V153),$V$2:$V$1001,0),1)&gt;=100000,INDEX($AC$1005:$AS$1005,1,MATCH(COLUMNS($AC$1006:AM1006),$AC$1006:$AS$1006,0))&gt;=100000), " ",IF(INDEX($AC$2:$AS$1001,MATCH(ROWS($V$2:V153),$V$2:$V$1001,0),MATCH(COLUMNS($AC$1006:AM1006),$AC$1006:$AS$1006,0)), HYPERLINK("#",""), HYPERLINK(CONCATENATE("#Metadata!", ADDRESS(INDEX($X$2:$X$1001,MATCH(ROWS($V$2:V153),$V$2:$V$1001,0),0), INDEX($AC$1004:$AS$1004,1,MATCH(COLUMNS($AC$1006:AM1006),$AC$1006:$AS$1006,0)))),"Fix")))</f>
        <v>0</v>
      </c>
      <c r="M153" s="5">
        <f>IF(OR(INDEX($W$2:$W$1001,MATCH(ROWS($V$2:V153),$V$2:$V$1001,0),1)&gt;=100000,INDEX($AC$1005:$AS$1005,1,MATCH(COLUMNS($AC$1006:AN1006),$AC$1006:$AS$1006,0))&gt;=100000), " ",IF(INDEX($AC$2:$AS$1001,MATCH(ROWS($V$2:V153),$V$2:$V$1001,0),MATCH(COLUMNS($AC$1006:AN1006),$AC$1006:$AS$1006,0)), HYPERLINK("#",""), HYPERLINK(CONCATENATE("#Metadata!", ADDRESS(INDEX($X$2:$X$1001,MATCH(ROWS($V$2:V153),$V$2:$V$1001,0),0), INDEX($AC$1004:$AS$1004,1,MATCH(COLUMNS($AC$1006:AN1006),$AC$1006:$AS$1006,0)))),"Fix")))</f>
        <v>0</v>
      </c>
      <c r="N153" s="5">
        <f>IF(OR(INDEX($W$2:$W$1001,MATCH(ROWS($V$2:V153),$V$2:$V$1001,0),1)&gt;=100000,INDEX($AC$1005:$AS$1005,1,MATCH(COLUMNS($AC$1006:AO1006),$AC$1006:$AS$1006,0))&gt;=100000), " ",IF(INDEX($AC$2:$AS$1001,MATCH(ROWS($V$2:V153),$V$2:$V$1001,0),MATCH(COLUMNS($AC$1006:AO1006),$AC$1006:$AS$1006,0)), HYPERLINK("#",""), HYPERLINK(CONCATENATE("#Metadata!", ADDRESS(INDEX($X$2:$X$1001,MATCH(ROWS($V$2:V153),$V$2:$V$1001,0),0), INDEX($AC$1004:$AS$1004,1,MATCH(COLUMNS($AC$1006:AO1006),$AC$1006:$AS$1006,0)))),"Fix")))</f>
        <v>0</v>
      </c>
      <c r="O153" s="5">
        <f>IF(OR(INDEX($W$2:$W$1001,MATCH(ROWS($V$2:V153),$V$2:$V$1001,0),1)&gt;=100000,INDEX($AC$1005:$AS$1005,1,MATCH(COLUMNS($AC$1006:AP1006),$AC$1006:$AS$1006,0))&gt;=100000), " ",IF(INDEX($AC$2:$AS$1001,MATCH(ROWS($V$2:V153),$V$2:$V$1001,0),MATCH(COLUMNS($AC$1006:AP1006),$AC$1006:$AS$1006,0)), HYPERLINK("#",""), HYPERLINK(CONCATENATE("#Metadata!", ADDRESS(INDEX($X$2:$X$1001,MATCH(ROWS($V$2:V153),$V$2:$V$1001,0),0), INDEX($AC$1004:$AS$1004,1,MATCH(COLUMNS($AC$1006:AP1006),$AC$1006:$AS$1006,0)))),"Fix")))</f>
        <v>0</v>
      </c>
      <c r="P153" s="5">
        <f>IF(OR(INDEX($W$2:$W$1001,MATCH(ROWS($V$2:V153),$V$2:$V$1001,0),1)&gt;=100000,INDEX($AC$1005:$AS$1005,1,MATCH(COLUMNS($AC$1006:AQ1006),$AC$1006:$AS$1006,0))&gt;=100000), " ",IF(INDEX($AC$2:$AS$1001,MATCH(ROWS($V$2:V153),$V$2:$V$1001,0),MATCH(COLUMNS($AC$1006:AQ1006),$AC$1006:$AS$1006,0)), HYPERLINK("#",""), HYPERLINK(CONCATENATE("#Metadata!", ADDRESS(INDEX($X$2:$X$1001,MATCH(ROWS($V$2:V153),$V$2:$V$1001,0),0), INDEX($AC$1004:$AS$1004,1,MATCH(COLUMNS($AC$1006:AQ1006),$AC$1006:$AS$1006,0)))),"Fix")))</f>
        <v>0</v>
      </c>
      <c r="Q153" s="5">
        <f>IF(OR(INDEX($W$2:$W$1001,MATCH(ROWS($V$2:V153),$V$2:$V$1001,0),1)&gt;=100000,INDEX($AC$1005:$AS$1005,1,MATCH(COLUMNS($AC$1006:AR1006),$AC$1006:$AS$1006,0))&gt;=100000), " ",IF(INDEX($AC$2:$AS$1001,MATCH(ROWS($V$2:V153),$V$2:$V$1001,0),MATCH(COLUMNS($AC$1006:AR1006),$AC$1006:$AS$1006,0)), HYPERLINK("#",""), HYPERLINK(CONCATENATE("#Metadata!", ADDRESS(INDEX($X$2:$X$1001,MATCH(ROWS($V$2:V153),$V$2:$V$1001,0),0), INDEX($AC$1004:$AS$1004,1,MATCH(COLUMNS($AC$1006:AR1006),$AC$1006:$AS$1006,0)))),"Fix")))</f>
        <v>0</v>
      </c>
      <c r="R153" s="5">
        <f>IF(OR(INDEX($W$2:$W$1001,MATCH(ROWS($V$2:V153),$V$2:$V$1001,0),1)&gt;=100000,INDEX($AC$1005:$AS$1005,1,MATCH(COLUMNS($AC$1006:AS1006),$AC$1006:$AS$1006,0))&gt;=100000), " ",IF(INDEX($AC$2:$AS$1001,MATCH(ROWS($V$2:V153),$V$2:$V$1001,0),MATCH(COLUMNS($AC$1006:AS1006),$AC$1006:$AS$1006,0)), HYPERLINK("#",""), HYPERLINK(CONCATENATE("#Metadata!", ADDRESS(INDEX($X$2:$X$1001,MATCH(ROWS($V$2:V153),$V$2:$V$1001,0),0), INDEX($AC$1004:$AS$1004,1,MATCH(COLUMNS($AC$1006:AS1006),$AC$1006:$AS$1006,0)))),"Fix")))</f>
        <v>0</v>
      </c>
      <c r="V153">
        <v>0</v>
      </c>
      <c r="W153">
        <v>0</v>
      </c>
      <c r="X153">
        <v>0</v>
      </c>
      <c r="Y153">
        <f>IF(Z153,TRUE,AND(AC153:AS153))</f>
        <v>0</v>
      </c>
      <c r="Z153">
        <f>COUNTBLANK(Metadata!B153:R153)=COLUMNS(Metadata!B153:R153)</f>
        <v>0</v>
      </c>
      <c r="AA153">
        <v>0</v>
      </c>
      <c r="AC153">
        <f>AND(IF(Metadata!B153="",FALSE,TRUE),COUNTIF(Metadata!B:B, Metadata!B153) = 1,NOT(ISERROR(SUMPRODUCT(SEARCH(MID(Metadata!B153,ROW(INDIRECT("1:"&amp;LEN(Metadata!B153))), 1),"0123456789abcdefghijklmnopqrstuvwxyzABCDEFGHIJKLMNOPQRSTUVWXYZ.")))))</f>
        <v>0</v>
      </c>
      <c r="AD153">
        <f>AND(IF(Metadata!C153="",FALSE,TRUE),exact(Metadata!C153,"Host-associated"))</f>
        <v>0</v>
      </c>
      <c r="AE153">
        <f>AND(IF(Metadata!D153="",FALSE,TRUE),OR(exact(Metadata!D153,"Animal"),exact(Metadata!D153,"Fungus"),exact(Metadata!D153,"Plant")))</f>
        <v>0</v>
      </c>
      <c r="AF153">
        <f>AND(IF(Metadata!E153="",FALSE,TRUE),OR(exact(Metadata!E153,"Plant secretion"),exact(Metadata!E153,"Plant rhizosphere"),exact(Metadata!E153,"Plant surface"),exact(Metadata!E153,"Plant corpus"),exact(Metadata!E153,"Fungus surface"),exact(Metadata!E153,"Fungus corpus"),exact(Metadata!E153,"Animal surface"),exact(Metadata!E153,"Animal proximal gut"),exact(Metadata!E153,"Animal corpus"),exact(Metadata!E153,"Animal distal gut"),exact(Metadata!E153,"Animal secretion")))</f>
        <v>0</v>
      </c>
      <c r="AG153">
        <f>OR(AND(IF(Metadata!F153="",FALSE,TRUE),OR(exact(Metadata!F153,"not collected"),exact(Metadata!F153,"not provided"),exact(Metadata!F153,"restricted access"))),AND(IF(Metadata!F153="",FALSE,TRUE),OR(exact(Metadata!F153,"organism-associated habitat"),exact(Metadata!F153,"plant-associated habitat"),exact(Metadata!F153,"animal-associated habitat"),exact(Metadata!F153,"insecta-associated habitat"),exact(Metadata!F153,"mammalia-associated habitat"),exact(Metadata!F153,"human-associated habitat"),exact(Metadata!F153,"livestock-associated habitat"))))</f>
        <v>0</v>
      </c>
      <c r="AH153">
        <f>AND(IF(Metadata!G153="",FALSE,TRUE),exact(Metadata!G153,"host-associated"))</f>
        <v>0</v>
      </c>
      <c r="AI153">
        <f>OR(AND(IF(Metadata!H153="",FALSE,TRUE),OR(exact(Metadata!H153,"not collected"),exact(Metadata!H153,"not provided"))),AND(IF(Metadata!H153="",FALSE,ISNUMBER(VALUE(Metadata!H153))),Metadata!H153&gt;0))</f>
        <v>0</v>
      </c>
      <c r="AJ153">
        <f>AND(IF(Metadata!I153="",FALSE,TRUE),exact(Metadata!I153,"years"))</f>
        <v>0</v>
      </c>
      <c r="AK153">
        <f>IF(Metadata!J153="",FALSE,TRUE)</f>
        <v>0</v>
      </c>
      <c r="AL153">
        <f>OR(AND(IF(Metadata!K153="",FALSE,TRUE),OR(exact(Metadata!K153,"not collected"),exact(Metadata!K153,"not provided"))),AND(IF(Metadata!K153="",FALSE,ISNUMBER(VALUE(Metadata!K153))),Metadata!K153&gt;0))</f>
        <v>0</v>
      </c>
      <c r="AM153">
        <f>AND(IF(Metadata!L153="",FALSE,TRUE),exact(Metadata!L153,"cm"))</f>
        <v>0</v>
      </c>
      <c r="AN153">
        <f>IF(Metadata!M153="",FALSE,TRUE)</f>
        <v>0</v>
      </c>
      <c r="AO153">
        <f>OR(AND(IF(Metadata!N153="",FALSE,TRUE),OR(exact(Metadata!N153,"not applicable"),exact(Metadata!N153,"not collected"),exact(Metadata!N153,"not provided"))),AND(IF(Metadata!N153="",FALSE,IF(ISERROR(INT(Metadata!N153)),FALSE,INT(Metadata!N153)=Metadata!N153)),Metadata!N153&gt;0))</f>
        <v>0</v>
      </c>
      <c r="AP153">
        <f>OR(AND(IF(Metadata!O153="",FALSE,TRUE),OR(exact(Metadata!O153,"not collected"),exact(Metadata!O153,"not provided"))),AND(IF(Metadata!O153="",FALSE,ISNUMBER(VALUE(Metadata!O153))),Metadata!O153&gt;0))</f>
        <v>0</v>
      </c>
      <c r="AQ153">
        <f>AND(IF(Metadata!P153="",FALSE,TRUE),exact(Metadata!P153,"kg"))</f>
        <v>0</v>
      </c>
      <c r="AR153">
        <f>OR(AND(IF(Metadata!Q153="",FALSE,TRUE),OR(exact(Metadata!Q153,"not applicable"),exact(Metadata!Q153,"not collected"),exact(Metadata!Q153,"not provided"),exact(Metadata!Q153,"restricted access"))),IF(Metadata!Q153="",FALSE,IF(ISERROR(INT(Metadata!Q153)),FALSE,INT(Metadata!Q153)=Metadata!Q153)))</f>
        <v>0</v>
      </c>
      <c r="AS153">
        <f>AND(IF(Metadata!R153="",FALSE,TRUE),exact(Metadata!R153,"Not applicable"))</f>
        <v>0</v>
      </c>
    </row>
    <row r="154" spans="1:45">
      <c r="A154" s="4">
        <f>IF(B154=" "," ",HYPERLINK(CONCATENATE("#metadata!",ADDRESS(INDEX($X$2:$X$1001,MATCH(ROWS($V$2:V154),$V$2:$V$1001,0),0),2)),INDEX($AA$2:$AA$1001,MATCH(ROWS($V$2:V154),$V$2:$V$1001,0),0)))</f>
        <v>0</v>
      </c>
      <c r="B154" s="5">
        <f>IF(OR(INDEX($W$2:$W$1001,MATCH(ROWS($V$2:V154),$V$2:$V$1001,0),1)&gt;=100000,INDEX($AC$1005:$AS$1005,1,MATCH(COLUMNS($AC$1006:AC1006),$AC$1006:$AS$1006,0))&gt;=100000), " ",IF(INDEX($AC$2:$AS$1001,MATCH(ROWS($V$2:V154),$V$2:$V$1001,0),MATCH(COLUMNS($AC$1006:AC1006),$AC$1006:$AS$1006,0)), HYPERLINK("#",""), HYPERLINK(CONCATENATE("#Metadata!", ADDRESS(INDEX($X$2:$X$1001,MATCH(ROWS($V$2:V154),$V$2:$V$1001,0),0), INDEX($AC$1004:$AS$1004,1,MATCH(COLUMNS($AC$1006:AC1006),$AC$1006:$AS$1006,0)))),"Fix")))</f>
        <v>0</v>
      </c>
      <c r="C154" s="5">
        <f>IF(OR(INDEX($W$2:$W$1001,MATCH(ROWS($V$2:V154),$V$2:$V$1001,0),1)&gt;=100000,INDEX($AC$1005:$AS$1005,1,MATCH(COLUMNS($AC$1006:AD1006),$AC$1006:$AS$1006,0))&gt;=100000), " ",IF(INDEX($AC$2:$AS$1001,MATCH(ROWS($V$2:V154),$V$2:$V$1001,0),MATCH(COLUMNS($AC$1006:AD1006),$AC$1006:$AS$1006,0)), HYPERLINK("#",""), HYPERLINK(CONCATENATE("#Metadata!", ADDRESS(INDEX($X$2:$X$1001,MATCH(ROWS($V$2:V154),$V$2:$V$1001,0),0), INDEX($AC$1004:$AS$1004,1,MATCH(COLUMNS($AC$1006:AD1006),$AC$1006:$AS$1006,0)))),"Fix")))</f>
        <v>0</v>
      </c>
      <c r="D154" s="5">
        <f>IF(OR(INDEX($W$2:$W$1001,MATCH(ROWS($V$2:V154),$V$2:$V$1001,0),1)&gt;=100000,INDEX($AC$1005:$AS$1005,1,MATCH(COLUMNS($AC$1006:AE1006),$AC$1006:$AS$1006,0))&gt;=100000), " ",IF(INDEX($AC$2:$AS$1001,MATCH(ROWS($V$2:V154),$V$2:$V$1001,0),MATCH(COLUMNS($AC$1006:AE1006),$AC$1006:$AS$1006,0)), HYPERLINK("#",""), HYPERLINK(CONCATENATE("#Metadata!", ADDRESS(INDEX($X$2:$X$1001,MATCH(ROWS($V$2:V154),$V$2:$V$1001,0),0), INDEX($AC$1004:$AS$1004,1,MATCH(COLUMNS($AC$1006:AE1006),$AC$1006:$AS$1006,0)))),"Fix")))</f>
        <v>0</v>
      </c>
      <c r="E154" s="5">
        <f>IF(OR(INDEX($W$2:$W$1001,MATCH(ROWS($V$2:V154),$V$2:$V$1001,0),1)&gt;=100000,INDEX($AC$1005:$AS$1005,1,MATCH(COLUMNS($AC$1006:AF1006),$AC$1006:$AS$1006,0))&gt;=100000), " ",IF(INDEX($AC$2:$AS$1001,MATCH(ROWS($V$2:V154),$V$2:$V$1001,0),MATCH(COLUMNS($AC$1006:AF1006),$AC$1006:$AS$1006,0)), HYPERLINK("#",""), HYPERLINK(CONCATENATE("#Metadata!", ADDRESS(INDEX($X$2:$X$1001,MATCH(ROWS($V$2:V154),$V$2:$V$1001,0),0), INDEX($AC$1004:$AS$1004,1,MATCH(COLUMNS($AC$1006:AF1006),$AC$1006:$AS$1006,0)))),"Fix")))</f>
        <v>0</v>
      </c>
      <c r="F154" s="5">
        <f>IF(OR(INDEX($W$2:$W$1001,MATCH(ROWS($V$2:V154),$V$2:$V$1001,0),1)&gt;=100000,INDEX($AC$1005:$AS$1005,1,MATCH(COLUMNS($AC$1006:AG1006),$AC$1006:$AS$1006,0))&gt;=100000), " ",IF(INDEX($AC$2:$AS$1001,MATCH(ROWS($V$2:V154),$V$2:$V$1001,0),MATCH(COLUMNS($AC$1006:AG1006),$AC$1006:$AS$1006,0)), HYPERLINK("#",""), HYPERLINK(CONCATENATE("#Metadata!", ADDRESS(INDEX($X$2:$X$1001,MATCH(ROWS($V$2:V154),$V$2:$V$1001,0),0), INDEX($AC$1004:$AS$1004,1,MATCH(COLUMNS($AC$1006:AG1006),$AC$1006:$AS$1006,0)))),"Fix")))</f>
        <v>0</v>
      </c>
      <c r="G154" s="5">
        <f>IF(OR(INDEX($W$2:$W$1001,MATCH(ROWS($V$2:V154),$V$2:$V$1001,0),1)&gt;=100000,INDEX($AC$1005:$AS$1005,1,MATCH(COLUMNS($AC$1006:AH1006),$AC$1006:$AS$1006,0))&gt;=100000), " ",IF(INDEX($AC$2:$AS$1001,MATCH(ROWS($V$2:V154),$V$2:$V$1001,0),MATCH(COLUMNS($AC$1006:AH1006),$AC$1006:$AS$1006,0)), HYPERLINK("#",""), HYPERLINK(CONCATENATE("#Metadata!", ADDRESS(INDEX($X$2:$X$1001,MATCH(ROWS($V$2:V154),$V$2:$V$1001,0),0), INDEX($AC$1004:$AS$1004,1,MATCH(COLUMNS($AC$1006:AH1006),$AC$1006:$AS$1006,0)))),"Fix")))</f>
        <v>0</v>
      </c>
      <c r="H154" s="5">
        <f>IF(OR(INDEX($W$2:$W$1001,MATCH(ROWS($V$2:V154),$V$2:$V$1001,0),1)&gt;=100000,INDEX($AC$1005:$AS$1005,1,MATCH(COLUMNS($AC$1006:AI1006),$AC$1006:$AS$1006,0))&gt;=100000), " ",IF(INDEX($AC$2:$AS$1001,MATCH(ROWS($V$2:V154),$V$2:$V$1001,0),MATCH(COLUMNS($AC$1006:AI1006),$AC$1006:$AS$1006,0)), HYPERLINK("#",""), HYPERLINK(CONCATENATE("#Metadata!", ADDRESS(INDEX($X$2:$X$1001,MATCH(ROWS($V$2:V154),$V$2:$V$1001,0),0), INDEX($AC$1004:$AS$1004,1,MATCH(COLUMNS($AC$1006:AI1006),$AC$1006:$AS$1006,0)))),"Fix")))</f>
        <v>0</v>
      </c>
      <c r="I154" s="5">
        <f>IF(OR(INDEX($W$2:$W$1001,MATCH(ROWS($V$2:V154),$V$2:$V$1001,0),1)&gt;=100000,INDEX($AC$1005:$AS$1005,1,MATCH(COLUMNS($AC$1006:AJ1006),$AC$1006:$AS$1006,0))&gt;=100000), " ",IF(INDEX($AC$2:$AS$1001,MATCH(ROWS($V$2:V154),$V$2:$V$1001,0),MATCH(COLUMNS($AC$1006:AJ1006),$AC$1006:$AS$1006,0)), HYPERLINK("#",""), HYPERLINK(CONCATENATE("#Metadata!", ADDRESS(INDEX($X$2:$X$1001,MATCH(ROWS($V$2:V154),$V$2:$V$1001,0),0), INDEX($AC$1004:$AS$1004,1,MATCH(COLUMNS($AC$1006:AJ1006),$AC$1006:$AS$1006,0)))),"Fix")))</f>
        <v>0</v>
      </c>
      <c r="J154" s="5">
        <f>IF(OR(INDEX($W$2:$W$1001,MATCH(ROWS($V$2:V154),$V$2:$V$1001,0),1)&gt;=100000,INDEX($AC$1005:$AS$1005,1,MATCH(COLUMNS($AC$1006:AK1006),$AC$1006:$AS$1006,0))&gt;=100000), " ",IF(INDEX($AC$2:$AS$1001,MATCH(ROWS($V$2:V154),$V$2:$V$1001,0),MATCH(COLUMNS($AC$1006:AK1006),$AC$1006:$AS$1006,0)), HYPERLINK("#",""), HYPERLINK(CONCATENATE("#Metadata!", ADDRESS(INDEX($X$2:$X$1001,MATCH(ROWS($V$2:V154),$V$2:$V$1001,0),0), INDEX($AC$1004:$AS$1004,1,MATCH(COLUMNS($AC$1006:AK1006),$AC$1006:$AS$1006,0)))),"Fix")))</f>
        <v>0</v>
      </c>
      <c r="K154" s="5">
        <f>IF(OR(INDEX($W$2:$W$1001,MATCH(ROWS($V$2:V154),$V$2:$V$1001,0),1)&gt;=100000,INDEX($AC$1005:$AS$1005,1,MATCH(COLUMNS($AC$1006:AL1006),$AC$1006:$AS$1006,0))&gt;=100000), " ",IF(INDEX($AC$2:$AS$1001,MATCH(ROWS($V$2:V154),$V$2:$V$1001,0),MATCH(COLUMNS($AC$1006:AL1006),$AC$1006:$AS$1006,0)), HYPERLINK("#",""), HYPERLINK(CONCATENATE("#Metadata!", ADDRESS(INDEX($X$2:$X$1001,MATCH(ROWS($V$2:V154),$V$2:$V$1001,0),0), INDEX($AC$1004:$AS$1004,1,MATCH(COLUMNS($AC$1006:AL1006),$AC$1006:$AS$1006,0)))),"Fix")))</f>
        <v>0</v>
      </c>
      <c r="L154" s="5">
        <f>IF(OR(INDEX($W$2:$W$1001,MATCH(ROWS($V$2:V154),$V$2:$V$1001,0),1)&gt;=100000,INDEX($AC$1005:$AS$1005,1,MATCH(COLUMNS($AC$1006:AM1006),$AC$1006:$AS$1006,0))&gt;=100000), " ",IF(INDEX($AC$2:$AS$1001,MATCH(ROWS($V$2:V154),$V$2:$V$1001,0),MATCH(COLUMNS($AC$1006:AM1006),$AC$1006:$AS$1006,0)), HYPERLINK("#",""), HYPERLINK(CONCATENATE("#Metadata!", ADDRESS(INDEX($X$2:$X$1001,MATCH(ROWS($V$2:V154),$V$2:$V$1001,0),0), INDEX($AC$1004:$AS$1004,1,MATCH(COLUMNS($AC$1006:AM1006),$AC$1006:$AS$1006,0)))),"Fix")))</f>
        <v>0</v>
      </c>
      <c r="M154" s="5">
        <f>IF(OR(INDEX($W$2:$W$1001,MATCH(ROWS($V$2:V154),$V$2:$V$1001,0),1)&gt;=100000,INDEX($AC$1005:$AS$1005,1,MATCH(COLUMNS($AC$1006:AN1006),$AC$1006:$AS$1006,0))&gt;=100000), " ",IF(INDEX($AC$2:$AS$1001,MATCH(ROWS($V$2:V154),$V$2:$V$1001,0),MATCH(COLUMNS($AC$1006:AN1006),$AC$1006:$AS$1006,0)), HYPERLINK("#",""), HYPERLINK(CONCATENATE("#Metadata!", ADDRESS(INDEX($X$2:$X$1001,MATCH(ROWS($V$2:V154),$V$2:$V$1001,0),0), INDEX($AC$1004:$AS$1004,1,MATCH(COLUMNS($AC$1006:AN1006),$AC$1006:$AS$1006,0)))),"Fix")))</f>
        <v>0</v>
      </c>
      <c r="N154" s="5">
        <f>IF(OR(INDEX($W$2:$W$1001,MATCH(ROWS($V$2:V154),$V$2:$V$1001,0),1)&gt;=100000,INDEX($AC$1005:$AS$1005,1,MATCH(COLUMNS($AC$1006:AO1006),$AC$1006:$AS$1006,0))&gt;=100000), " ",IF(INDEX($AC$2:$AS$1001,MATCH(ROWS($V$2:V154),$V$2:$V$1001,0),MATCH(COLUMNS($AC$1006:AO1006),$AC$1006:$AS$1006,0)), HYPERLINK("#",""), HYPERLINK(CONCATENATE("#Metadata!", ADDRESS(INDEX($X$2:$X$1001,MATCH(ROWS($V$2:V154),$V$2:$V$1001,0),0), INDEX($AC$1004:$AS$1004,1,MATCH(COLUMNS($AC$1006:AO1006),$AC$1006:$AS$1006,0)))),"Fix")))</f>
        <v>0</v>
      </c>
      <c r="O154" s="5">
        <f>IF(OR(INDEX($W$2:$W$1001,MATCH(ROWS($V$2:V154),$V$2:$V$1001,0),1)&gt;=100000,INDEX($AC$1005:$AS$1005,1,MATCH(COLUMNS($AC$1006:AP1006),$AC$1006:$AS$1006,0))&gt;=100000), " ",IF(INDEX($AC$2:$AS$1001,MATCH(ROWS($V$2:V154),$V$2:$V$1001,0),MATCH(COLUMNS($AC$1006:AP1006),$AC$1006:$AS$1006,0)), HYPERLINK("#",""), HYPERLINK(CONCATENATE("#Metadata!", ADDRESS(INDEX($X$2:$X$1001,MATCH(ROWS($V$2:V154),$V$2:$V$1001,0),0), INDEX($AC$1004:$AS$1004,1,MATCH(COLUMNS($AC$1006:AP1006),$AC$1006:$AS$1006,0)))),"Fix")))</f>
        <v>0</v>
      </c>
      <c r="P154" s="5">
        <f>IF(OR(INDEX($W$2:$W$1001,MATCH(ROWS($V$2:V154),$V$2:$V$1001,0),1)&gt;=100000,INDEX($AC$1005:$AS$1005,1,MATCH(COLUMNS($AC$1006:AQ1006),$AC$1006:$AS$1006,0))&gt;=100000), " ",IF(INDEX($AC$2:$AS$1001,MATCH(ROWS($V$2:V154),$V$2:$V$1001,0),MATCH(COLUMNS($AC$1006:AQ1006),$AC$1006:$AS$1006,0)), HYPERLINK("#",""), HYPERLINK(CONCATENATE("#Metadata!", ADDRESS(INDEX($X$2:$X$1001,MATCH(ROWS($V$2:V154),$V$2:$V$1001,0),0), INDEX($AC$1004:$AS$1004,1,MATCH(COLUMNS($AC$1006:AQ1006),$AC$1006:$AS$1006,0)))),"Fix")))</f>
        <v>0</v>
      </c>
      <c r="Q154" s="5">
        <f>IF(OR(INDEX($W$2:$W$1001,MATCH(ROWS($V$2:V154),$V$2:$V$1001,0),1)&gt;=100000,INDEX($AC$1005:$AS$1005,1,MATCH(COLUMNS($AC$1006:AR1006),$AC$1006:$AS$1006,0))&gt;=100000), " ",IF(INDEX($AC$2:$AS$1001,MATCH(ROWS($V$2:V154),$V$2:$V$1001,0),MATCH(COLUMNS($AC$1006:AR1006),$AC$1006:$AS$1006,0)), HYPERLINK("#",""), HYPERLINK(CONCATENATE("#Metadata!", ADDRESS(INDEX($X$2:$X$1001,MATCH(ROWS($V$2:V154),$V$2:$V$1001,0),0), INDEX($AC$1004:$AS$1004,1,MATCH(COLUMNS($AC$1006:AR1006),$AC$1006:$AS$1006,0)))),"Fix")))</f>
        <v>0</v>
      </c>
      <c r="R154" s="5">
        <f>IF(OR(INDEX($W$2:$W$1001,MATCH(ROWS($V$2:V154),$V$2:$V$1001,0),1)&gt;=100000,INDEX($AC$1005:$AS$1005,1,MATCH(COLUMNS($AC$1006:AS1006),$AC$1006:$AS$1006,0))&gt;=100000), " ",IF(INDEX($AC$2:$AS$1001,MATCH(ROWS($V$2:V154),$V$2:$V$1001,0),MATCH(COLUMNS($AC$1006:AS1006),$AC$1006:$AS$1006,0)), HYPERLINK("#",""), HYPERLINK(CONCATENATE("#Metadata!", ADDRESS(INDEX($X$2:$X$1001,MATCH(ROWS($V$2:V154),$V$2:$V$1001,0),0), INDEX($AC$1004:$AS$1004,1,MATCH(COLUMNS($AC$1006:AS1006),$AC$1006:$AS$1006,0)))),"Fix")))</f>
        <v>0</v>
      </c>
      <c r="V154">
        <v>0</v>
      </c>
      <c r="W154">
        <v>0</v>
      </c>
      <c r="X154">
        <v>0</v>
      </c>
      <c r="Y154">
        <f>IF(Z154,TRUE,AND(AC154:AS154))</f>
        <v>0</v>
      </c>
      <c r="Z154">
        <f>COUNTBLANK(Metadata!B154:R154)=COLUMNS(Metadata!B154:R154)</f>
        <v>0</v>
      </c>
      <c r="AA154">
        <v>0</v>
      </c>
      <c r="AC154">
        <f>AND(IF(Metadata!B154="",FALSE,TRUE),COUNTIF(Metadata!B:B, Metadata!B154) = 1,NOT(ISERROR(SUMPRODUCT(SEARCH(MID(Metadata!B154,ROW(INDIRECT("1:"&amp;LEN(Metadata!B154))), 1),"0123456789abcdefghijklmnopqrstuvwxyzABCDEFGHIJKLMNOPQRSTUVWXYZ.")))))</f>
        <v>0</v>
      </c>
      <c r="AD154">
        <f>AND(IF(Metadata!C154="",FALSE,TRUE),exact(Metadata!C154,"Host-associated"))</f>
        <v>0</v>
      </c>
      <c r="AE154">
        <f>AND(IF(Metadata!D154="",FALSE,TRUE),OR(exact(Metadata!D154,"Animal"),exact(Metadata!D154,"Fungus"),exact(Metadata!D154,"Plant")))</f>
        <v>0</v>
      </c>
      <c r="AF154">
        <f>AND(IF(Metadata!E154="",FALSE,TRUE),OR(exact(Metadata!E154,"Plant secretion"),exact(Metadata!E154,"Plant rhizosphere"),exact(Metadata!E154,"Plant surface"),exact(Metadata!E154,"Plant corpus"),exact(Metadata!E154,"Fungus surface"),exact(Metadata!E154,"Fungus corpus"),exact(Metadata!E154,"Animal surface"),exact(Metadata!E154,"Animal proximal gut"),exact(Metadata!E154,"Animal corpus"),exact(Metadata!E154,"Animal distal gut"),exact(Metadata!E154,"Animal secretion")))</f>
        <v>0</v>
      </c>
      <c r="AG154">
        <f>OR(AND(IF(Metadata!F154="",FALSE,TRUE),OR(exact(Metadata!F154,"not collected"),exact(Metadata!F154,"not provided"),exact(Metadata!F154,"restricted access"))),AND(IF(Metadata!F154="",FALSE,TRUE),OR(exact(Metadata!F154,"organism-associated habitat"),exact(Metadata!F154,"plant-associated habitat"),exact(Metadata!F154,"animal-associated habitat"),exact(Metadata!F154,"insecta-associated habitat"),exact(Metadata!F154,"mammalia-associated habitat"),exact(Metadata!F154,"human-associated habitat"),exact(Metadata!F154,"livestock-associated habitat"))))</f>
        <v>0</v>
      </c>
      <c r="AH154">
        <f>AND(IF(Metadata!G154="",FALSE,TRUE),exact(Metadata!G154,"host-associated"))</f>
        <v>0</v>
      </c>
      <c r="AI154">
        <f>OR(AND(IF(Metadata!H154="",FALSE,TRUE),OR(exact(Metadata!H154,"not collected"),exact(Metadata!H154,"not provided"))),AND(IF(Metadata!H154="",FALSE,ISNUMBER(VALUE(Metadata!H154))),Metadata!H154&gt;0))</f>
        <v>0</v>
      </c>
      <c r="AJ154">
        <f>AND(IF(Metadata!I154="",FALSE,TRUE),exact(Metadata!I154,"years"))</f>
        <v>0</v>
      </c>
      <c r="AK154">
        <f>IF(Metadata!J154="",FALSE,TRUE)</f>
        <v>0</v>
      </c>
      <c r="AL154">
        <f>OR(AND(IF(Metadata!K154="",FALSE,TRUE),OR(exact(Metadata!K154,"not collected"),exact(Metadata!K154,"not provided"))),AND(IF(Metadata!K154="",FALSE,ISNUMBER(VALUE(Metadata!K154))),Metadata!K154&gt;0))</f>
        <v>0</v>
      </c>
      <c r="AM154">
        <f>AND(IF(Metadata!L154="",FALSE,TRUE),exact(Metadata!L154,"cm"))</f>
        <v>0</v>
      </c>
      <c r="AN154">
        <f>IF(Metadata!M154="",FALSE,TRUE)</f>
        <v>0</v>
      </c>
      <c r="AO154">
        <f>OR(AND(IF(Metadata!N154="",FALSE,TRUE),OR(exact(Metadata!N154,"not applicable"),exact(Metadata!N154,"not collected"),exact(Metadata!N154,"not provided"))),AND(IF(Metadata!N154="",FALSE,IF(ISERROR(INT(Metadata!N154)),FALSE,INT(Metadata!N154)=Metadata!N154)),Metadata!N154&gt;0))</f>
        <v>0</v>
      </c>
      <c r="AP154">
        <f>OR(AND(IF(Metadata!O154="",FALSE,TRUE),OR(exact(Metadata!O154,"not collected"),exact(Metadata!O154,"not provided"))),AND(IF(Metadata!O154="",FALSE,ISNUMBER(VALUE(Metadata!O154))),Metadata!O154&gt;0))</f>
        <v>0</v>
      </c>
      <c r="AQ154">
        <f>AND(IF(Metadata!P154="",FALSE,TRUE),exact(Metadata!P154,"kg"))</f>
        <v>0</v>
      </c>
      <c r="AR154">
        <f>OR(AND(IF(Metadata!Q154="",FALSE,TRUE),OR(exact(Metadata!Q154,"not applicable"),exact(Metadata!Q154,"not collected"),exact(Metadata!Q154,"not provided"),exact(Metadata!Q154,"restricted access"))),IF(Metadata!Q154="",FALSE,IF(ISERROR(INT(Metadata!Q154)),FALSE,INT(Metadata!Q154)=Metadata!Q154)))</f>
        <v>0</v>
      </c>
      <c r="AS154">
        <f>AND(IF(Metadata!R154="",FALSE,TRUE),exact(Metadata!R154,"Not applicable"))</f>
        <v>0</v>
      </c>
    </row>
    <row r="155" spans="1:45">
      <c r="A155" s="4">
        <f>IF(B155=" "," ",HYPERLINK(CONCATENATE("#metadata!",ADDRESS(INDEX($X$2:$X$1001,MATCH(ROWS($V$2:V155),$V$2:$V$1001,0),0),2)),INDEX($AA$2:$AA$1001,MATCH(ROWS($V$2:V155),$V$2:$V$1001,0),0)))</f>
        <v>0</v>
      </c>
      <c r="B155" s="5">
        <f>IF(OR(INDEX($W$2:$W$1001,MATCH(ROWS($V$2:V155),$V$2:$V$1001,0),1)&gt;=100000,INDEX($AC$1005:$AS$1005,1,MATCH(COLUMNS($AC$1006:AC1006),$AC$1006:$AS$1006,0))&gt;=100000), " ",IF(INDEX($AC$2:$AS$1001,MATCH(ROWS($V$2:V155),$V$2:$V$1001,0),MATCH(COLUMNS($AC$1006:AC1006),$AC$1006:$AS$1006,0)), HYPERLINK("#",""), HYPERLINK(CONCATENATE("#Metadata!", ADDRESS(INDEX($X$2:$X$1001,MATCH(ROWS($V$2:V155),$V$2:$V$1001,0),0), INDEX($AC$1004:$AS$1004,1,MATCH(COLUMNS($AC$1006:AC1006),$AC$1006:$AS$1006,0)))),"Fix")))</f>
        <v>0</v>
      </c>
      <c r="C155" s="5">
        <f>IF(OR(INDEX($W$2:$W$1001,MATCH(ROWS($V$2:V155),$V$2:$V$1001,0),1)&gt;=100000,INDEX($AC$1005:$AS$1005,1,MATCH(COLUMNS($AC$1006:AD1006),$AC$1006:$AS$1006,0))&gt;=100000), " ",IF(INDEX($AC$2:$AS$1001,MATCH(ROWS($V$2:V155),$V$2:$V$1001,0),MATCH(COLUMNS($AC$1006:AD1006),$AC$1006:$AS$1006,0)), HYPERLINK("#",""), HYPERLINK(CONCATENATE("#Metadata!", ADDRESS(INDEX($X$2:$X$1001,MATCH(ROWS($V$2:V155),$V$2:$V$1001,0),0), INDEX($AC$1004:$AS$1004,1,MATCH(COLUMNS($AC$1006:AD1006),$AC$1006:$AS$1006,0)))),"Fix")))</f>
        <v>0</v>
      </c>
      <c r="D155" s="5">
        <f>IF(OR(INDEX($W$2:$W$1001,MATCH(ROWS($V$2:V155),$V$2:$V$1001,0),1)&gt;=100000,INDEX($AC$1005:$AS$1005,1,MATCH(COLUMNS($AC$1006:AE1006),$AC$1006:$AS$1006,0))&gt;=100000), " ",IF(INDEX($AC$2:$AS$1001,MATCH(ROWS($V$2:V155),$V$2:$V$1001,0),MATCH(COLUMNS($AC$1006:AE1006),$AC$1006:$AS$1006,0)), HYPERLINK("#",""), HYPERLINK(CONCATENATE("#Metadata!", ADDRESS(INDEX($X$2:$X$1001,MATCH(ROWS($V$2:V155),$V$2:$V$1001,0),0), INDEX($AC$1004:$AS$1004,1,MATCH(COLUMNS($AC$1006:AE1006),$AC$1006:$AS$1006,0)))),"Fix")))</f>
        <v>0</v>
      </c>
      <c r="E155" s="5">
        <f>IF(OR(INDEX($W$2:$W$1001,MATCH(ROWS($V$2:V155),$V$2:$V$1001,0),1)&gt;=100000,INDEX($AC$1005:$AS$1005,1,MATCH(COLUMNS($AC$1006:AF1006),$AC$1006:$AS$1006,0))&gt;=100000), " ",IF(INDEX($AC$2:$AS$1001,MATCH(ROWS($V$2:V155),$V$2:$V$1001,0),MATCH(COLUMNS($AC$1006:AF1006),$AC$1006:$AS$1006,0)), HYPERLINK("#",""), HYPERLINK(CONCATENATE("#Metadata!", ADDRESS(INDEX($X$2:$X$1001,MATCH(ROWS($V$2:V155),$V$2:$V$1001,0),0), INDEX($AC$1004:$AS$1004,1,MATCH(COLUMNS($AC$1006:AF1006),$AC$1006:$AS$1006,0)))),"Fix")))</f>
        <v>0</v>
      </c>
      <c r="F155" s="5">
        <f>IF(OR(INDEX($W$2:$W$1001,MATCH(ROWS($V$2:V155),$V$2:$V$1001,0),1)&gt;=100000,INDEX($AC$1005:$AS$1005,1,MATCH(COLUMNS($AC$1006:AG1006),$AC$1006:$AS$1006,0))&gt;=100000), " ",IF(INDEX($AC$2:$AS$1001,MATCH(ROWS($V$2:V155),$V$2:$V$1001,0),MATCH(COLUMNS($AC$1006:AG1006),$AC$1006:$AS$1006,0)), HYPERLINK("#",""), HYPERLINK(CONCATENATE("#Metadata!", ADDRESS(INDEX($X$2:$X$1001,MATCH(ROWS($V$2:V155),$V$2:$V$1001,0),0), INDEX($AC$1004:$AS$1004,1,MATCH(COLUMNS($AC$1006:AG1006),$AC$1006:$AS$1006,0)))),"Fix")))</f>
        <v>0</v>
      </c>
      <c r="G155" s="5">
        <f>IF(OR(INDEX($W$2:$W$1001,MATCH(ROWS($V$2:V155),$V$2:$V$1001,0),1)&gt;=100000,INDEX($AC$1005:$AS$1005,1,MATCH(COLUMNS($AC$1006:AH1006),$AC$1006:$AS$1006,0))&gt;=100000), " ",IF(INDEX($AC$2:$AS$1001,MATCH(ROWS($V$2:V155),$V$2:$V$1001,0),MATCH(COLUMNS($AC$1006:AH1006),$AC$1006:$AS$1006,0)), HYPERLINK("#",""), HYPERLINK(CONCATENATE("#Metadata!", ADDRESS(INDEX($X$2:$X$1001,MATCH(ROWS($V$2:V155),$V$2:$V$1001,0),0), INDEX($AC$1004:$AS$1004,1,MATCH(COLUMNS($AC$1006:AH1006),$AC$1006:$AS$1006,0)))),"Fix")))</f>
        <v>0</v>
      </c>
      <c r="H155" s="5">
        <f>IF(OR(INDEX($W$2:$W$1001,MATCH(ROWS($V$2:V155),$V$2:$V$1001,0),1)&gt;=100000,INDEX($AC$1005:$AS$1005,1,MATCH(COLUMNS($AC$1006:AI1006),$AC$1006:$AS$1006,0))&gt;=100000), " ",IF(INDEX($AC$2:$AS$1001,MATCH(ROWS($V$2:V155),$V$2:$V$1001,0),MATCH(COLUMNS($AC$1006:AI1006),$AC$1006:$AS$1006,0)), HYPERLINK("#",""), HYPERLINK(CONCATENATE("#Metadata!", ADDRESS(INDEX($X$2:$X$1001,MATCH(ROWS($V$2:V155),$V$2:$V$1001,0),0), INDEX($AC$1004:$AS$1004,1,MATCH(COLUMNS($AC$1006:AI1006),$AC$1006:$AS$1006,0)))),"Fix")))</f>
        <v>0</v>
      </c>
      <c r="I155" s="5">
        <f>IF(OR(INDEX($W$2:$W$1001,MATCH(ROWS($V$2:V155),$V$2:$V$1001,0),1)&gt;=100000,INDEX($AC$1005:$AS$1005,1,MATCH(COLUMNS($AC$1006:AJ1006),$AC$1006:$AS$1006,0))&gt;=100000), " ",IF(INDEX($AC$2:$AS$1001,MATCH(ROWS($V$2:V155),$V$2:$V$1001,0),MATCH(COLUMNS($AC$1006:AJ1006),$AC$1006:$AS$1006,0)), HYPERLINK("#",""), HYPERLINK(CONCATENATE("#Metadata!", ADDRESS(INDEX($X$2:$X$1001,MATCH(ROWS($V$2:V155),$V$2:$V$1001,0),0), INDEX($AC$1004:$AS$1004,1,MATCH(COLUMNS($AC$1006:AJ1006),$AC$1006:$AS$1006,0)))),"Fix")))</f>
        <v>0</v>
      </c>
      <c r="J155" s="5">
        <f>IF(OR(INDEX($W$2:$W$1001,MATCH(ROWS($V$2:V155),$V$2:$V$1001,0),1)&gt;=100000,INDEX($AC$1005:$AS$1005,1,MATCH(COLUMNS($AC$1006:AK1006),$AC$1006:$AS$1006,0))&gt;=100000), " ",IF(INDEX($AC$2:$AS$1001,MATCH(ROWS($V$2:V155),$V$2:$V$1001,0),MATCH(COLUMNS($AC$1006:AK1006),$AC$1006:$AS$1006,0)), HYPERLINK("#",""), HYPERLINK(CONCATENATE("#Metadata!", ADDRESS(INDEX($X$2:$X$1001,MATCH(ROWS($V$2:V155),$V$2:$V$1001,0),0), INDEX($AC$1004:$AS$1004,1,MATCH(COLUMNS($AC$1006:AK1006),$AC$1006:$AS$1006,0)))),"Fix")))</f>
        <v>0</v>
      </c>
      <c r="K155" s="5">
        <f>IF(OR(INDEX($W$2:$W$1001,MATCH(ROWS($V$2:V155),$V$2:$V$1001,0),1)&gt;=100000,INDEX($AC$1005:$AS$1005,1,MATCH(COLUMNS($AC$1006:AL1006),$AC$1006:$AS$1006,0))&gt;=100000), " ",IF(INDEX($AC$2:$AS$1001,MATCH(ROWS($V$2:V155),$V$2:$V$1001,0),MATCH(COLUMNS($AC$1006:AL1006),$AC$1006:$AS$1006,0)), HYPERLINK("#",""), HYPERLINK(CONCATENATE("#Metadata!", ADDRESS(INDEX($X$2:$X$1001,MATCH(ROWS($V$2:V155),$V$2:$V$1001,0),0), INDEX($AC$1004:$AS$1004,1,MATCH(COLUMNS($AC$1006:AL1006),$AC$1006:$AS$1006,0)))),"Fix")))</f>
        <v>0</v>
      </c>
      <c r="L155" s="5">
        <f>IF(OR(INDEX($W$2:$W$1001,MATCH(ROWS($V$2:V155),$V$2:$V$1001,0),1)&gt;=100000,INDEX($AC$1005:$AS$1005,1,MATCH(COLUMNS($AC$1006:AM1006),$AC$1006:$AS$1006,0))&gt;=100000), " ",IF(INDEX($AC$2:$AS$1001,MATCH(ROWS($V$2:V155),$V$2:$V$1001,0),MATCH(COLUMNS($AC$1006:AM1006),$AC$1006:$AS$1006,0)), HYPERLINK("#",""), HYPERLINK(CONCATENATE("#Metadata!", ADDRESS(INDEX($X$2:$X$1001,MATCH(ROWS($V$2:V155),$V$2:$V$1001,0),0), INDEX($AC$1004:$AS$1004,1,MATCH(COLUMNS($AC$1006:AM1006),$AC$1006:$AS$1006,0)))),"Fix")))</f>
        <v>0</v>
      </c>
      <c r="M155" s="5">
        <f>IF(OR(INDEX($W$2:$W$1001,MATCH(ROWS($V$2:V155),$V$2:$V$1001,0),1)&gt;=100000,INDEX($AC$1005:$AS$1005,1,MATCH(COLUMNS($AC$1006:AN1006),$AC$1006:$AS$1006,0))&gt;=100000), " ",IF(INDEX($AC$2:$AS$1001,MATCH(ROWS($V$2:V155),$V$2:$V$1001,0),MATCH(COLUMNS($AC$1006:AN1006),$AC$1006:$AS$1006,0)), HYPERLINK("#",""), HYPERLINK(CONCATENATE("#Metadata!", ADDRESS(INDEX($X$2:$X$1001,MATCH(ROWS($V$2:V155),$V$2:$V$1001,0),0), INDEX($AC$1004:$AS$1004,1,MATCH(COLUMNS($AC$1006:AN1006),$AC$1006:$AS$1006,0)))),"Fix")))</f>
        <v>0</v>
      </c>
      <c r="N155" s="5">
        <f>IF(OR(INDEX($W$2:$W$1001,MATCH(ROWS($V$2:V155),$V$2:$V$1001,0),1)&gt;=100000,INDEX($AC$1005:$AS$1005,1,MATCH(COLUMNS($AC$1006:AO1006),$AC$1006:$AS$1006,0))&gt;=100000), " ",IF(INDEX($AC$2:$AS$1001,MATCH(ROWS($V$2:V155),$V$2:$V$1001,0),MATCH(COLUMNS($AC$1006:AO1006),$AC$1006:$AS$1006,0)), HYPERLINK("#",""), HYPERLINK(CONCATENATE("#Metadata!", ADDRESS(INDEX($X$2:$X$1001,MATCH(ROWS($V$2:V155),$V$2:$V$1001,0),0), INDEX($AC$1004:$AS$1004,1,MATCH(COLUMNS($AC$1006:AO1006),$AC$1006:$AS$1006,0)))),"Fix")))</f>
        <v>0</v>
      </c>
      <c r="O155" s="5">
        <f>IF(OR(INDEX($W$2:$W$1001,MATCH(ROWS($V$2:V155),$V$2:$V$1001,0),1)&gt;=100000,INDEX($AC$1005:$AS$1005,1,MATCH(COLUMNS($AC$1006:AP1006),$AC$1006:$AS$1006,0))&gt;=100000), " ",IF(INDEX($AC$2:$AS$1001,MATCH(ROWS($V$2:V155),$V$2:$V$1001,0),MATCH(COLUMNS($AC$1006:AP1006),$AC$1006:$AS$1006,0)), HYPERLINK("#",""), HYPERLINK(CONCATENATE("#Metadata!", ADDRESS(INDEX($X$2:$X$1001,MATCH(ROWS($V$2:V155),$V$2:$V$1001,0),0), INDEX($AC$1004:$AS$1004,1,MATCH(COLUMNS($AC$1006:AP1006),$AC$1006:$AS$1006,0)))),"Fix")))</f>
        <v>0</v>
      </c>
      <c r="P155" s="5">
        <f>IF(OR(INDEX($W$2:$W$1001,MATCH(ROWS($V$2:V155),$V$2:$V$1001,0),1)&gt;=100000,INDEX($AC$1005:$AS$1005,1,MATCH(COLUMNS($AC$1006:AQ1006),$AC$1006:$AS$1006,0))&gt;=100000), " ",IF(INDEX($AC$2:$AS$1001,MATCH(ROWS($V$2:V155),$V$2:$V$1001,0),MATCH(COLUMNS($AC$1006:AQ1006),$AC$1006:$AS$1006,0)), HYPERLINK("#",""), HYPERLINK(CONCATENATE("#Metadata!", ADDRESS(INDEX($X$2:$X$1001,MATCH(ROWS($V$2:V155),$V$2:$V$1001,0),0), INDEX($AC$1004:$AS$1004,1,MATCH(COLUMNS($AC$1006:AQ1006),$AC$1006:$AS$1006,0)))),"Fix")))</f>
        <v>0</v>
      </c>
      <c r="Q155" s="5">
        <f>IF(OR(INDEX($W$2:$W$1001,MATCH(ROWS($V$2:V155),$V$2:$V$1001,0),1)&gt;=100000,INDEX($AC$1005:$AS$1005,1,MATCH(COLUMNS($AC$1006:AR1006),$AC$1006:$AS$1006,0))&gt;=100000), " ",IF(INDEX($AC$2:$AS$1001,MATCH(ROWS($V$2:V155),$V$2:$V$1001,0),MATCH(COLUMNS($AC$1006:AR1006),$AC$1006:$AS$1006,0)), HYPERLINK("#",""), HYPERLINK(CONCATENATE("#Metadata!", ADDRESS(INDEX($X$2:$X$1001,MATCH(ROWS($V$2:V155),$V$2:$V$1001,0),0), INDEX($AC$1004:$AS$1004,1,MATCH(COLUMNS($AC$1006:AR1006),$AC$1006:$AS$1006,0)))),"Fix")))</f>
        <v>0</v>
      </c>
      <c r="R155" s="5">
        <f>IF(OR(INDEX($W$2:$W$1001,MATCH(ROWS($V$2:V155),$V$2:$V$1001,0),1)&gt;=100000,INDEX($AC$1005:$AS$1005,1,MATCH(COLUMNS($AC$1006:AS1006),$AC$1006:$AS$1006,0))&gt;=100000), " ",IF(INDEX($AC$2:$AS$1001,MATCH(ROWS($V$2:V155),$V$2:$V$1001,0),MATCH(COLUMNS($AC$1006:AS1006),$AC$1006:$AS$1006,0)), HYPERLINK("#",""), HYPERLINK(CONCATENATE("#Metadata!", ADDRESS(INDEX($X$2:$X$1001,MATCH(ROWS($V$2:V155),$V$2:$V$1001,0),0), INDEX($AC$1004:$AS$1004,1,MATCH(COLUMNS($AC$1006:AS1006),$AC$1006:$AS$1006,0)))),"Fix")))</f>
        <v>0</v>
      </c>
      <c r="V155">
        <v>0</v>
      </c>
      <c r="W155">
        <v>0</v>
      </c>
      <c r="X155">
        <v>0</v>
      </c>
      <c r="Y155">
        <f>IF(Z155,TRUE,AND(AC155:AS155))</f>
        <v>0</v>
      </c>
      <c r="Z155">
        <f>COUNTBLANK(Metadata!B155:R155)=COLUMNS(Metadata!B155:R155)</f>
        <v>0</v>
      </c>
      <c r="AA155">
        <v>0</v>
      </c>
      <c r="AC155">
        <f>AND(IF(Metadata!B155="",FALSE,TRUE),COUNTIF(Metadata!B:B, Metadata!B155) = 1,NOT(ISERROR(SUMPRODUCT(SEARCH(MID(Metadata!B155,ROW(INDIRECT("1:"&amp;LEN(Metadata!B155))), 1),"0123456789abcdefghijklmnopqrstuvwxyzABCDEFGHIJKLMNOPQRSTUVWXYZ.")))))</f>
        <v>0</v>
      </c>
      <c r="AD155">
        <f>AND(IF(Metadata!C155="",FALSE,TRUE),exact(Metadata!C155,"Host-associated"))</f>
        <v>0</v>
      </c>
      <c r="AE155">
        <f>AND(IF(Metadata!D155="",FALSE,TRUE),OR(exact(Metadata!D155,"Animal"),exact(Metadata!D155,"Fungus"),exact(Metadata!D155,"Plant")))</f>
        <v>0</v>
      </c>
      <c r="AF155">
        <f>AND(IF(Metadata!E155="",FALSE,TRUE),OR(exact(Metadata!E155,"Plant secretion"),exact(Metadata!E155,"Plant rhizosphere"),exact(Metadata!E155,"Plant surface"),exact(Metadata!E155,"Plant corpus"),exact(Metadata!E155,"Fungus surface"),exact(Metadata!E155,"Fungus corpus"),exact(Metadata!E155,"Animal surface"),exact(Metadata!E155,"Animal proximal gut"),exact(Metadata!E155,"Animal corpus"),exact(Metadata!E155,"Animal distal gut"),exact(Metadata!E155,"Animal secretion")))</f>
        <v>0</v>
      </c>
      <c r="AG155">
        <f>OR(AND(IF(Metadata!F155="",FALSE,TRUE),OR(exact(Metadata!F155,"not collected"),exact(Metadata!F155,"not provided"),exact(Metadata!F155,"restricted access"))),AND(IF(Metadata!F155="",FALSE,TRUE),OR(exact(Metadata!F155,"organism-associated habitat"),exact(Metadata!F155,"plant-associated habitat"),exact(Metadata!F155,"animal-associated habitat"),exact(Metadata!F155,"insecta-associated habitat"),exact(Metadata!F155,"mammalia-associated habitat"),exact(Metadata!F155,"human-associated habitat"),exact(Metadata!F155,"livestock-associated habitat"))))</f>
        <v>0</v>
      </c>
      <c r="AH155">
        <f>AND(IF(Metadata!G155="",FALSE,TRUE),exact(Metadata!G155,"host-associated"))</f>
        <v>0</v>
      </c>
      <c r="AI155">
        <f>OR(AND(IF(Metadata!H155="",FALSE,TRUE),OR(exact(Metadata!H155,"not collected"),exact(Metadata!H155,"not provided"))),AND(IF(Metadata!H155="",FALSE,ISNUMBER(VALUE(Metadata!H155))),Metadata!H155&gt;0))</f>
        <v>0</v>
      </c>
      <c r="AJ155">
        <f>AND(IF(Metadata!I155="",FALSE,TRUE),exact(Metadata!I155,"years"))</f>
        <v>0</v>
      </c>
      <c r="AK155">
        <f>IF(Metadata!J155="",FALSE,TRUE)</f>
        <v>0</v>
      </c>
      <c r="AL155">
        <f>OR(AND(IF(Metadata!K155="",FALSE,TRUE),OR(exact(Metadata!K155,"not collected"),exact(Metadata!K155,"not provided"))),AND(IF(Metadata!K155="",FALSE,ISNUMBER(VALUE(Metadata!K155))),Metadata!K155&gt;0))</f>
        <v>0</v>
      </c>
      <c r="AM155">
        <f>AND(IF(Metadata!L155="",FALSE,TRUE),exact(Metadata!L155,"cm"))</f>
        <v>0</v>
      </c>
      <c r="AN155">
        <f>IF(Metadata!M155="",FALSE,TRUE)</f>
        <v>0</v>
      </c>
      <c r="AO155">
        <f>OR(AND(IF(Metadata!N155="",FALSE,TRUE),OR(exact(Metadata!N155,"not applicable"),exact(Metadata!N155,"not collected"),exact(Metadata!N155,"not provided"))),AND(IF(Metadata!N155="",FALSE,IF(ISERROR(INT(Metadata!N155)),FALSE,INT(Metadata!N155)=Metadata!N155)),Metadata!N155&gt;0))</f>
        <v>0</v>
      </c>
      <c r="AP155">
        <f>OR(AND(IF(Metadata!O155="",FALSE,TRUE),OR(exact(Metadata!O155,"not collected"),exact(Metadata!O155,"not provided"))),AND(IF(Metadata!O155="",FALSE,ISNUMBER(VALUE(Metadata!O155))),Metadata!O155&gt;0))</f>
        <v>0</v>
      </c>
      <c r="AQ155">
        <f>AND(IF(Metadata!P155="",FALSE,TRUE),exact(Metadata!P155,"kg"))</f>
        <v>0</v>
      </c>
      <c r="AR155">
        <f>OR(AND(IF(Metadata!Q155="",FALSE,TRUE),OR(exact(Metadata!Q155,"not applicable"),exact(Metadata!Q155,"not collected"),exact(Metadata!Q155,"not provided"),exact(Metadata!Q155,"restricted access"))),IF(Metadata!Q155="",FALSE,IF(ISERROR(INT(Metadata!Q155)),FALSE,INT(Metadata!Q155)=Metadata!Q155)))</f>
        <v>0</v>
      </c>
      <c r="AS155">
        <f>AND(IF(Metadata!R155="",FALSE,TRUE),exact(Metadata!R155,"Not applicable"))</f>
        <v>0</v>
      </c>
    </row>
    <row r="156" spans="1:45">
      <c r="A156" s="4">
        <f>IF(B156=" "," ",HYPERLINK(CONCATENATE("#metadata!",ADDRESS(INDEX($X$2:$X$1001,MATCH(ROWS($V$2:V156),$V$2:$V$1001,0),0),2)),INDEX($AA$2:$AA$1001,MATCH(ROWS($V$2:V156),$V$2:$V$1001,0),0)))</f>
        <v>0</v>
      </c>
      <c r="B156" s="5">
        <f>IF(OR(INDEX($W$2:$W$1001,MATCH(ROWS($V$2:V156),$V$2:$V$1001,0),1)&gt;=100000,INDEX($AC$1005:$AS$1005,1,MATCH(COLUMNS($AC$1006:AC1006),$AC$1006:$AS$1006,0))&gt;=100000), " ",IF(INDEX($AC$2:$AS$1001,MATCH(ROWS($V$2:V156),$V$2:$V$1001,0),MATCH(COLUMNS($AC$1006:AC1006),$AC$1006:$AS$1006,0)), HYPERLINK("#",""), HYPERLINK(CONCATENATE("#Metadata!", ADDRESS(INDEX($X$2:$X$1001,MATCH(ROWS($V$2:V156),$V$2:$V$1001,0),0), INDEX($AC$1004:$AS$1004,1,MATCH(COLUMNS($AC$1006:AC1006),$AC$1006:$AS$1006,0)))),"Fix")))</f>
        <v>0</v>
      </c>
      <c r="C156" s="5">
        <f>IF(OR(INDEX($W$2:$W$1001,MATCH(ROWS($V$2:V156),$V$2:$V$1001,0),1)&gt;=100000,INDEX($AC$1005:$AS$1005,1,MATCH(COLUMNS($AC$1006:AD1006),$AC$1006:$AS$1006,0))&gt;=100000), " ",IF(INDEX($AC$2:$AS$1001,MATCH(ROWS($V$2:V156),$V$2:$V$1001,0),MATCH(COLUMNS($AC$1006:AD1006),$AC$1006:$AS$1006,0)), HYPERLINK("#",""), HYPERLINK(CONCATENATE("#Metadata!", ADDRESS(INDEX($X$2:$X$1001,MATCH(ROWS($V$2:V156),$V$2:$V$1001,0),0), INDEX($AC$1004:$AS$1004,1,MATCH(COLUMNS($AC$1006:AD1006),$AC$1006:$AS$1006,0)))),"Fix")))</f>
        <v>0</v>
      </c>
      <c r="D156" s="5">
        <f>IF(OR(INDEX($W$2:$W$1001,MATCH(ROWS($V$2:V156),$V$2:$V$1001,0),1)&gt;=100000,INDEX($AC$1005:$AS$1005,1,MATCH(COLUMNS($AC$1006:AE1006),$AC$1006:$AS$1006,0))&gt;=100000), " ",IF(INDEX($AC$2:$AS$1001,MATCH(ROWS($V$2:V156),$V$2:$V$1001,0),MATCH(COLUMNS($AC$1006:AE1006),$AC$1006:$AS$1006,0)), HYPERLINK("#",""), HYPERLINK(CONCATENATE("#Metadata!", ADDRESS(INDEX($X$2:$X$1001,MATCH(ROWS($V$2:V156),$V$2:$V$1001,0),0), INDEX($AC$1004:$AS$1004,1,MATCH(COLUMNS($AC$1006:AE1006),$AC$1006:$AS$1006,0)))),"Fix")))</f>
        <v>0</v>
      </c>
      <c r="E156" s="5">
        <f>IF(OR(INDEX($W$2:$W$1001,MATCH(ROWS($V$2:V156),$V$2:$V$1001,0),1)&gt;=100000,INDEX($AC$1005:$AS$1005,1,MATCH(COLUMNS($AC$1006:AF1006),$AC$1006:$AS$1006,0))&gt;=100000), " ",IF(INDEX($AC$2:$AS$1001,MATCH(ROWS($V$2:V156),$V$2:$V$1001,0),MATCH(COLUMNS($AC$1006:AF1006),$AC$1006:$AS$1006,0)), HYPERLINK("#",""), HYPERLINK(CONCATENATE("#Metadata!", ADDRESS(INDEX($X$2:$X$1001,MATCH(ROWS($V$2:V156),$V$2:$V$1001,0),0), INDEX($AC$1004:$AS$1004,1,MATCH(COLUMNS($AC$1006:AF1006),$AC$1006:$AS$1006,0)))),"Fix")))</f>
        <v>0</v>
      </c>
      <c r="F156" s="5">
        <f>IF(OR(INDEX($W$2:$W$1001,MATCH(ROWS($V$2:V156),$V$2:$V$1001,0),1)&gt;=100000,INDEX($AC$1005:$AS$1005,1,MATCH(COLUMNS($AC$1006:AG1006),$AC$1006:$AS$1006,0))&gt;=100000), " ",IF(INDEX($AC$2:$AS$1001,MATCH(ROWS($V$2:V156),$V$2:$V$1001,0),MATCH(COLUMNS($AC$1006:AG1006),$AC$1006:$AS$1006,0)), HYPERLINK("#",""), HYPERLINK(CONCATENATE("#Metadata!", ADDRESS(INDEX($X$2:$X$1001,MATCH(ROWS($V$2:V156),$V$2:$V$1001,0),0), INDEX($AC$1004:$AS$1004,1,MATCH(COLUMNS($AC$1006:AG1006),$AC$1006:$AS$1006,0)))),"Fix")))</f>
        <v>0</v>
      </c>
      <c r="G156" s="5">
        <f>IF(OR(INDEX($W$2:$W$1001,MATCH(ROWS($V$2:V156),$V$2:$V$1001,0),1)&gt;=100000,INDEX($AC$1005:$AS$1005,1,MATCH(COLUMNS($AC$1006:AH1006),$AC$1006:$AS$1006,0))&gt;=100000), " ",IF(INDEX($AC$2:$AS$1001,MATCH(ROWS($V$2:V156),$V$2:$V$1001,0),MATCH(COLUMNS($AC$1006:AH1006),$AC$1006:$AS$1006,0)), HYPERLINK("#",""), HYPERLINK(CONCATENATE("#Metadata!", ADDRESS(INDEX($X$2:$X$1001,MATCH(ROWS($V$2:V156),$V$2:$V$1001,0),0), INDEX($AC$1004:$AS$1004,1,MATCH(COLUMNS($AC$1006:AH1006),$AC$1006:$AS$1006,0)))),"Fix")))</f>
        <v>0</v>
      </c>
      <c r="H156" s="5">
        <f>IF(OR(INDEX($W$2:$W$1001,MATCH(ROWS($V$2:V156),$V$2:$V$1001,0),1)&gt;=100000,INDEX($AC$1005:$AS$1005,1,MATCH(COLUMNS($AC$1006:AI1006),$AC$1006:$AS$1006,0))&gt;=100000), " ",IF(INDEX($AC$2:$AS$1001,MATCH(ROWS($V$2:V156),$V$2:$V$1001,0),MATCH(COLUMNS($AC$1006:AI1006),$AC$1006:$AS$1006,0)), HYPERLINK("#",""), HYPERLINK(CONCATENATE("#Metadata!", ADDRESS(INDEX($X$2:$X$1001,MATCH(ROWS($V$2:V156),$V$2:$V$1001,0),0), INDEX($AC$1004:$AS$1004,1,MATCH(COLUMNS($AC$1006:AI1006),$AC$1006:$AS$1006,0)))),"Fix")))</f>
        <v>0</v>
      </c>
      <c r="I156" s="5">
        <f>IF(OR(INDEX($W$2:$W$1001,MATCH(ROWS($V$2:V156),$V$2:$V$1001,0),1)&gt;=100000,INDEX($AC$1005:$AS$1005,1,MATCH(COLUMNS($AC$1006:AJ1006),$AC$1006:$AS$1006,0))&gt;=100000), " ",IF(INDEX($AC$2:$AS$1001,MATCH(ROWS($V$2:V156),$V$2:$V$1001,0),MATCH(COLUMNS($AC$1006:AJ1006),$AC$1006:$AS$1006,0)), HYPERLINK("#",""), HYPERLINK(CONCATENATE("#Metadata!", ADDRESS(INDEX($X$2:$X$1001,MATCH(ROWS($V$2:V156),$V$2:$V$1001,0),0), INDEX($AC$1004:$AS$1004,1,MATCH(COLUMNS($AC$1006:AJ1006),$AC$1006:$AS$1006,0)))),"Fix")))</f>
        <v>0</v>
      </c>
      <c r="J156" s="5">
        <f>IF(OR(INDEX($W$2:$W$1001,MATCH(ROWS($V$2:V156),$V$2:$V$1001,0),1)&gt;=100000,INDEX($AC$1005:$AS$1005,1,MATCH(COLUMNS($AC$1006:AK1006),$AC$1006:$AS$1006,0))&gt;=100000), " ",IF(INDEX($AC$2:$AS$1001,MATCH(ROWS($V$2:V156),$V$2:$V$1001,0),MATCH(COLUMNS($AC$1006:AK1006),$AC$1006:$AS$1006,0)), HYPERLINK("#",""), HYPERLINK(CONCATENATE("#Metadata!", ADDRESS(INDEX($X$2:$X$1001,MATCH(ROWS($V$2:V156),$V$2:$V$1001,0),0), INDEX($AC$1004:$AS$1004,1,MATCH(COLUMNS($AC$1006:AK1006),$AC$1006:$AS$1006,0)))),"Fix")))</f>
        <v>0</v>
      </c>
      <c r="K156" s="5">
        <f>IF(OR(INDEX($W$2:$W$1001,MATCH(ROWS($V$2:V156),$V$2:$V$1001,0),1)&gt;=100000,INDEX($AC$1005:$AS$1005,1,MATCH(COLUMNS($AC$1006:AL1006),$AC$1006:$AS$1006,0))&gt;=100000), " ",IF(INDEX($AC$2:$AS$1001,MATCH(ROWS($V$2:V156),$V$2:$V$1001,0),MATCH(COLUMNS($AC$1006:AL1006),$AC$1006:$AS$1006,0)), HYPERLINK("#",""), HYPERLINK(CONCATENATE("#Metadata!", ADDRESS(INDEX($X$2:$X$1001,MATCH(ROWS($V$2:V156),$V$2:$V$1001,0),0), INDEX($AC$1004:$AS$1004,1,MATCH(COLUMNS($AC$1006:AL1006),$AC$1006:$AS$1006,0)))),"Fix")))</f>
        <v>0</v>
      </c>
      <c r="L156" s="5">
        <f>IF(OR(INDEX($W$2:$W$1001,MATCH(ROWS($V$2:V156),$V$2:$V$1001,0),1)&gt;=100000,INDEX($AC$1005:$AS$1005,1,MATCH(COLUMNS($AC$1006:AM1006),$AC$1006:$AS$1006,0))&gt;=100000), " ",IF(INDEX($AC$2:$AS$1001,MATCH(ROWS($V$2:V156),$V$2:$V$1001,0),MATCH(COLUMNS($AC$1006:AM1006),$AC$1006:$AS$1006,0)), HYPERLINK("#",""), HYPERLINK(CONCATENATE("#Metadata!", ADDRESS(INDEX($X$2:$X$1001,MATCH(ROWS($V$2:V156),$V$2:$V$1001,0),0), INDEX($AC$1004:$AS$1004,1,MATCH(COLUMNS($AC$1006:AM1006),$AC$1006:$AS$1006,0)))),"Fix")))</f>
        <v>0</v>
      </c>
      <c r="M156" s="5">
        <f>IF(OR(INDEX($W$2:$W$1001,MATCH(ROWS($V$2:V156),$V$2:$V$1001,0),1)&gt;=100000,INDEX($AC$1005:$AS$1005,1,MATCH(COLUMNS($AC$1006:AN1006),$AC$1006:$AS$1006,0))&gt;=100000), " ",IF(INDEX($AC$2:$AS$1001,MATCH(ROWS($V$2:V156),$V$2:$V$1001,0),MATCH(COLUMNS($AC$1006:AN1006),$AC$1006:$AS$1006,0)), HYPERLINK("#",""), HYPERLINK(CONCATENATE("#Metadata!", ADDRESS(INDEX($X$2:$X$1001,MATCH(ROWS($V$2:V156),$V$2:$V$1001,0),0), INDEX($AC$1004:$AS$1004,1,MATCH(COLUMNS($AC$1006:AN1006),$AC$1006:$AS$1006,0)))),"Fix")))</f>
        <v>0</v>
      </c>
      <c r="N156" s="5">
        <f>IF(OR(INDEX($W$2:$W$1001,MATCH(ROWS($V$2:V156),$V$2:$V$1001,0),1)&gt;=100000,INDEX($AC$1005:$AS$1005,1,MATCH(COLUMNS($AC$1006:AO1006),$AC$1006:$AS$1006,0))&gt;=100000), " ",IF(INDEX($AC$2:$AS$1001,MATCH(ROWS($V$2:V156),$V$2:$V$1001,0),MATCH(COLUMNS($AC$1006:AO1006),$AC$1006:$AS$1006,0)), HYPERLINK("#",""), HYPERLINK(CONCATENATE("#Metadata!", ADDRESS(INDEX($X$2:$X$1001,MATCH(ROWS($V$2:V156),$V$2:$V$1001,0),0), INDEX($AC$1004:$AS$1004,1,MATCH(COLUMNS($AC$1006:AO1006),$AC$1006:$AS$1006,0)))),"Fix")))</f>
        <v>0</v>
      </c>
      <c r="O156" s="5">
        <f>IF(OR(INDEX($W$2:$W$1001,MATCH(ROWS($V$2:V156),$V$2:$V$1001,0),1)&gt;=100000,INDEX($AC$1005:$AS$1005,1,MATCH(COLUMNS($AC$1006:AP1006),$AC$1006:$AS$1006,0))&gt;=100000), " ",IF(INDEX($AC$2:$AS$1001,MATCH(ROWS($V$2:V156),$V$2:$V$1001,0),MATCH(COLUMNS($AC$1006:AP1006),$AC$1006:$AS$1006,0)), HYPERLINK("#",""), HYPERLINK(CONCATENATE("#Metadata!", ADDRESS(INDEX($X$2:$X$1001,MATCH(ROWS($V$2:V156),$V$2:$V$1001,0),0), INDEX($AC$1004:$AS$1004,1,MATCH(COLUMNS($AC$1006:AP1006),$AC$1006:$AS$1006,0)))),"Fix")))</f>
        <v>0</v>
      </c>
      <c r="P156" s="5">
        <f>IF(OR(INDEX($W$2:$W$1001,MATCH(ROWS($V$2:V156),$V$2:$V$1001,0),1)&gt;=100000,INDEX($AC$1005:$AS$1005,1,MATCH(COLUMNS($AC$1006:AQ1006),$AC$1006:$AS$1006,0))&gt;=100000), " ",IF(INDEX($AC$2:$AS$1001,MATCH(ROWS($V$2:V156),$V$2:$V$1001,0),MATCH(COLUMNS($AC$1006:AQ1006),$AC$1006:$AS$1006,0)), HYPERLINK("#",""), HYPERLINK(CONCATENATE("#Metadata!", ADDRESS(INDEX($X$2:$X$1001,MATCH(ROWS($V$2:V156),$V$2:$V$1001,0),0), INDEX($AC$1004:$AS$1004,1,MATCH(COLUMNS($AC$1006:AQ1006),$AC$1006:$AS$1006,0)))),"Fix")))</f>
        <v>0</v>
      </c>
      <c r="Q156" s="5">
        <f>IF(OR(INDEX($W$2:$W$1001,MATCH(ROWS($V$2:V156),$V$2:$V$1001,0),1)&gt;=100000,INDEX($AC$1005:$AS$1005,1,MATCH(COLUMNS($AC$1006:AR1006),$AC$1006:$AS$1006,0))&gt;=100000), " ",IF(INDEX($AC$2:$AS$1001,MATCH(ROWS($V$2:V156),$V$2:$V$1001,0),MATCH(COLUMNS($AC$1006:AR1006),$AC$1006:$AS$1006,0)), HYPERLINK("#",""), HYPERLINK(CONCATENATE("#Metadata!", ADDRESS(INDEX($X$2:$X$1001,MATCH(ROWS($V$2:V156),$V$2:$V$1001,0),0), INDEX($AC$1004:$AS$1004,1,MATCH(COLUMNS($AC$1006:AR1006),$AC$1006:$AS$1006,0)))),"Fix")))</f>
        <v>0</v>
      </c>
      <c r="R156" s="5">
        <f>IF(OR(INDEX($W$2:$W$1001,MATCH(ROWS($V$2:V156),$V$2:$V$1001,0),1)&gt;=100000,INDEX($AC$1005:$AS$1005,1,MATCH(COLUMNS($AC$1006:AS1006),$AC$1006:$AS$1006,0))&gt;=100000), " ",IF(INDEX($AC$2:$AS$1001,MATCH(ROWS($V$2:V156),$V$2:$V$1001,0),MATCH(COLUMNS($AC$1006:AS1006),$AC$1006:$AS$1006,0)), HYPERLINK("#",""), HYPERLINK(CONCATENATE("#Metadata!", ADDRESS(INDEX($X$2:$X$1001,MATCH(ROWS($V$2:V156),$V$2:$V$1001,0),0), INDEX($AC$1004:$AS$1004,1,MATCH(COLUMNS($AC$1006:AS1006),$AC$1006:$AS$1006,0)))),"Fix")))</f>
        <v>0</v>
      </c>
      <c r="V156">
        <v>0</v>
      </c>
      <c r="W156">
        <v>0</v>
      </c>
      <c r="X156">
        <v>0</v>
      </c>
      <c r="Y156">
        <f>IF(Z156,TRUE,AND(AC156:AS156))</f>
        <v>0</v>
      </c>
      <c r="Z156">
        <f>COUNTBLANK(Metadata!B156:R156)=COLUMNS(Metadata!B156:R156)</f>
        <v>0</v>
      </c>
      <c r="AA156">
        <v>0</v>
      </c>
      <c r="AC156">
        <f>AND(IF(Metadata!B156="",FALSE,TRUE),COUNTIF(Metadata!B:B, Metadata!B156) = 1,NOT(ISERROR(SUMPRODUCT(SEARCH(MID(Metadata!B156,ROW(INDIRECT("1:"&amp;LEN(Metadata!B156))), 1),"0123456789abcdefghijklmnopqrstuvwxyzABCDEFGHIJKLMNOPQRSTUVWXYZ.")))))</f>
        <v>0</v>
      </c>
      <c r="AD156">
        <f>AND(IF(Metadata!C156="",FALSE,TRUE),exact(Metadata!C156,"Host-associated"))</f>
        <v>0</v>
      </c>
      <c r="AE156">
        <f>AND(IF(Metadata!D156="",FALSE,TRUE),OR(exact(Metadata!D156,"Animal"),exact(Metadata!D156,"Fungus"),exact(Metadata!D156,"Plant")))</f>
        <v>0</v>
      </c>
      <c r="AF156">
        <f>AND(IF(Metadata!E156="",FALSE,TRUE),OR(exact(Metadata!E156,"Plant secretion"),exact(Metadata!E156,"Plant rhizosphere"),exact(Metadata!E156,"Plant surface"),exact(Metadata!E156,"Plant corpus"),exact(Metadata!E156,"Fungus surface"),exact(Metadata!E156,"Fungus corpus"),exact(Metadata!E156,"Animal surface"),exact(Metadata!E156,"Animal proximal gut"),exact(Metadata!E156,"Animal corpus"),exact(Metadata!E156,"Animal distal gut"),exact(Metadata!E156,"Animal secretion")))</f>
        <v>0</v>
      </c>
      <c r="AG156">
        <f>OR(AND(IF(Metadata!F156="",FALSE,TRUE),OR(exact(Metadata!F156,"not collected"),exact(Metadata!F156,"not provided"),exact(Metadata!F156,"restricted access"))),AND(IF(Metadata!F156="",FALSE,TRUE),OR(exact(Metadata!F156,"organism-associated habitat"),exact(Metadata!F156,"plant-associated habitat"),exact(Metadata!F156,"animal-associated habitat"),exact(Metadata!F156,"insecta-associated habitat"),exact(Metadata!F156,"mammalia-associated habitat"),exact(Metadata!F156,"human-associated habitat"),exact(Metadata!F156,"livestock-associated habitat"))))</f>
        <v>0</v>
      </c>
      <c r="AH156">
        <f>AND(IF(Metadata!G156="",FALSE,TRUE),exact(Metadata!G156,"host-associated"))</f>
        <v>0</v>
      </c>
      <c r="AI156">
        <f>OR(AND(IF(Metadata!H156="",FALSE,TRUE),OR(exact(Metadata!H156,"not collected"),exact(Metadata!H156,"not provided"))),AND(IF(Metadata!H156="",FALSE,ISNUMBER(VALUE(Metadata!H156))),Metadata!H156&gt;0))</f>
        <v>0</v>
      </c>
      <c r="AJ156">
        <f>AND(IF(Metadata!I156="",FALSE,TRUE),exact(Metadata!I156,"years"))</f>
        <v>0</v>
      </c>
      <c r="AK156">
        <f>IF(Metadata!J156="",FALSE,TRUE)</f>
        <v>0</v>
      </c>
      <c r="AL156">
        <f>OR(AND(IF(Metadata!K156="",FALSE,TRUE),OR(exact(Metadata!K156,"not collected"),exact(Metadata!K156,"not provided"))),AND(IF(Metadata!K156="",FALSE,ISNUMBER(VALUE(Metadata!K156))),Metadata!K156&gt;0))</f>
        <v>0</v>
      </c>
      <c r="AM156">
        <f>AND(IF(Metadata!L156="",FALSE,TRUE),exact(Metadata!L156,"cm"))</f>
        <v>0</v>
      </c>
      <c r="AN156">
        <f>IF(Metadata!M156="",FALSE,TRUE)</f>
        <v>0</v>
      </c>
      <c r="AO156">
        <f>OR(AND(IF(Metadata!N156="",FALSE,TRUE),OR(exact(Metadata!N156,"not applicable"),exact(Metadata!N156,"not collected"),exact(Metadata!N156,"not provided"))),AND(IF(Metadata!N156="",FALSE,IF(ISERROR(INT(Metadata!N156)),FALSE,INT(Metadata!N156)=Metadata!N156)),Metadata!N156&gt;0))</f>
        <v>0</v>
      </c>
      <c r="AP156">
        <f>OR(AND(IF(Metadata!O156="",FALSE,TRUE),OR(exact(Metadata!O156,"not collected"),exact(Metadata!O156,"not provided"))),AND(IF(Metadata!O156="",FALSE,ISNUMBER(VALUE(Metadata!O156))),Metadata!O156&gt;0))</f>
        <v>0</v>
      </c>
      <c r="AQ156">
        <f>AND(IF(Metadata!P156="",FALSE,TRUE),exact(Metadata!P156,"kg"))</f>
        <v>0</v>
      </c>
      <c r="AR156">
        <f>OR(AND(IF(Metadata!Q156="",FALSE,TRUE),OR(exact(Metadata!Q156,"not applicable"),exact(Metadata!Q156,"not collected"),exact(Metadata!Q156,"not provided"),exact(Metadata!Q156,"restricted access"))),IF(Metadata!Q156="",FALSE,IF(ISERROR(INT(Metadata!Q156)),FALSE,INT(Metadata!Q156)=Metadata!Q156)))</f>
        <v>0</v>
      </c>
      <c r="AS156">
        <f>AND(IF(Metadata!R156="",FALSE,TRUE),exact(Metadata!R156,"Not applicable"))</f>
        <v>0</v>
      </c>
    </row>
    <row r="157" spans="1:45">
      <c r="A157" s="4">
        <f>IF(B157=" "," ",HYPERLINK(CONCATENATE("#metadata!",ADDRESS(INDEX($X$2:$X$1001,MATCH(ROWS($V$2:V157),$V$2:$V$1001,0),0),2)),INDEX($AA$2:$AA$1001,MATCH(ROWS($V$2:V157),$V$2:$V$1001,0),0)))</f>
        <v>0</v>
      </c>
      <c r="B157" s="5">
        <f>IF(OR(INDEX($W$2:$W$1001,MATCH(ROWS($V$2:V157),$V$2:$V$1001,0),1)&gt;=100000,INDEX($AC$1005:$AS$1005,1,MATCH(COLUMNS($AC$1006:AC1006),$AC$1006:$AS$1006,0))&gt;=100000), " ",IF(INDEX($AC$2:$AS$1001,MATCH(ROWS($V$2:V157),$V$2:$V$1001,0),MATCH(COLUMNS($AC$1006:AC1006),$AC$1006:$AS$1006,0)), HYPERLINK("#",""), HYPERLINK(CONCATENATE("#Metadata!", ADDRESS(INDEX($X$2:$X$1001,MATCH(ROWS($V$2:V157),$V$2:$V$1001,0),0), INDEX($AC$1004:$AS$1004,1,MATCH(COLUMNS($AC$1006:AC1006),$AC$1006:$AS$1006,0)))),"Fix")))</f>
        <v>0</v>
      </c>
      <c r="C157" s="5">
        <f>IF(OR(INDEX($W$2:$W$1001,MATCH(ROWS($V$2:V157),$V$2:$V$1001,0),1)&gt;=100000,INDEX($AC$1005:$AS$1005,1,MATCH(COLUMNS($AC$1006:AD1006),$AC$1006:$AS$1006,0))&gt;=100000), " ",IF(INDEX($AC$2:$AS$1001,MATCH(ROWS($V$2:V157),$V$2:$V$1001,0),MATCH(COLUMNS($AC$1006:AD1006),$AC$1006:$AS$1006,0)), HYPERLINK("#",""), HYPERLINK(CONCATENATE("#Metadata!", ADDRESS(INDEX($X$2:$X$1001,MATCH(ROWS($V$2:V157),$V$2:$V$1001,0),0), INDEX($AC$1004:$AS$1004,1,MATCH(COLUMNS($AC$1006:AD1006),$AC$1006:$AS$1006,0)))),"Fix")))</f>
        <v>0</v>
      </c>
      <c r="D157" s="5">
        <f>IF(OR(INDEX($W$2:$W$1001,MATCH(ROWS($V$2:V157),$V$2:$V$1001,0),1)&gt;=100000,INDEX($AC$1005:$AS$1005,1,MATCH(COLUMNS($AC$1006:AE1006),$AC$1006:$AS$1006,0))&gt;=100000), " ",IF(INDEX($AC$2:$AS$1001,MATCH(ROWS($V$2:V157),$V$2:$V$1001,0),MATCH(COLUMNS($AC$1006:AE1006),$AC$1006:$AS$1006,0)), HYPERLINK("#",""), HYPERLINK(CONCATENATE("#Metadata!", ADDRESS(INDEX($X$2:$X$1001,MATCH(ROWS($V$2:V157),$V$2:$V$1001,0),0), INDEX($AC$1004:$AS$1004,1,MATCH(COLUMNS($AC$1006:AE1006),$AC$1006:$AS$1006,0)))),"Fix")))</f>
        <v>0</v>
      </c>
      <c r="E157" s="5">
        <f>IF(OR(INDEX($W$2:$W$1001,MATCH(ROWS($V$2:V157),$V$2:$V$1001,0),1)&gt;=100000,INDEX($AC$1005:$AS$1005,1,MATCH(COLUMNS($AC$1006:AF1006),$AC$1006:$AS$1006,0))&gt;=100000), " ",IF(INDEX($AC$2:$AS$1001,MATCH(ROWS($V$2:V157),$V$2:$V$1001,0),MATCH(COLUMNS($AC$1006:AF1006),$AC$1006:$AS$1006,0)), HYPERLINK("#",""), HYPERLINK(CONCATENATE("#Metadata!", ADDRESS(INDEX($X$2:$X$1001,MATCH(ROWS($V$2:V157),$V$2:$V$1001,0),0), INDEX($AC$1004:$AS$1004,1,MATCH(COLUMNS($AC$1006:AF1006),$AC$1006:$AS$1006,0)))),"Fix")))</f>
        <v>0</v>
      </c>
      <c r="F157" s="5">
        <f>IF(OR(INDEX($W$2:$W$1001,MATCH(ROWS($V$2:V157),$V$2:$V$1001,0),1)&gt;=100000,INDEX($AC$1005:$AS$1005,1,MATCH(COLUMNS($AC$1006:AG1006),$AC$1006:$AS$1006,0))&gt;=100000), " ",IF(INDEX($AC$2:$AS$1001,MATCH(ROWS($V$2:V157),$V$2:$V$1001,0),MATCH(COLUMNS($AC$1006:AG1006),$AC$1006:$AS$1006,0)), HYPERLINK("#",""), HYPERLINK(CONCATENATE("#Metadata!", ADDRESS(INDEX($X$2:$X$1001,MATCH(ROWS($V$2:V157),$V$2:$V$1001,0),0), INDEX($AC$1004:$AS$1004,1,MATCH(COLUMNS($AC$1006:AG1006),$AC$1006:$AS$1006,0)))),"Fix")))</f>
        <v>0</v>
      </c>
      <c r="G157" s="5">
        <f>IF(OR(INDEX($W$2:$W$1001,MATCH(ROWS($V$2:V157),$V$2:$V$1001,0),1)&gt;=100000,INDEX($AC$1005:$AS$1005,1,MATCH(COLUMNS($AC$1006:AH1006),$AC$1006:$AS$1006,0))&gt;=100000), " ",IF(INDEX($AC$2:$AS$1001,MATCH(ROWS($V$2:V157),$V$2:$V$1001,0),MATCH(COLUMNS($AC$1006:AH1006),$AC$1006:$AS$1006,0)), HYPERLINK("#",""), HYPERLINK(CONCATENATE("#Metadata!", ADDRESS(INDEX($X$2:$X$1001,MATCH(ROWS($V$2:V157),$V$2:$V$1001,0),0), INDEX($AC$1004:$AS$1004,1,MATCH(COLUMNS($AC$1006:AH1006),$AC$1006:$AS$1006,0)))),"Fix")))</f>
        <v>0</v>
      </c>
      <c r="H157" s="5">
        <f>IF(OR(INDEX($W$2:$W$1001,MATCH(ROWS($V$2:V157),$V$2:$V$1001,0),1)&gt;=100000,INDEX($AC$1005:$AS$1005,1,MATCH(COLUMNS($AC$1006:AI1006),$AC$1006:$AS$1006,0))&gt;=100000), " ",IF(INDEX($AC$2:$AS$1001,MATCH(ROWS($V$2:V157),$V$2:$V$1001,0),MATCH(COLUMNS($AC$1006:AI1006),$AC$1006:$AS$1006,0)), HYPERLINK("#",""), HYPERLINK(CONCATENATE("#Metadata!", ADDRESS(INDEX($X$2:$X$1001,MATCH(ROWS($V$2:V157),$V$2:$V$1001,0),0), INDEX($AC$1004:$AS$1004,1,MATCH(COLUMNS($AC$1006:AI1006),$AC$1006:$AS$1006,0)))),"Fix")))</f>
        <v>0</v>
      </c>
      <c r="I157" s="5">
        <f>IF(OR(INDEX($W$2:$W$1001,MATCH(ROWS($V$2:V157),$V$2:$V$1001,0),1)&gt;=100000,INDEX($AC$1005:$AS$1005,1,MATCH(COLUMNS($AC$1006:AJ1006),$AC$1006:$AS$1006,0))&gt;=100000), " ",IF(INDEX($AC$2:$AS$1001,MATCH(ROWS($V$2:V157),$V$2:$V$1001,0),MATCH(COLUMNS($AC$1006:AJ1006),$AC$1006:$AS$1006,0)), HYPERLINK("#",""), HYPERLINK(CONCATENATE("#Metadata!", ADDRESS(INDEX($X$2:$X$1001,MATCH(ROWS($V$2:V157),$V$2:$V$1001,0),0), INDEX($AC$1004:$AS$1004,1,MATCH(COLUMNS($AC$1006:AJ1006),$AC$1006:$AS$1006,0)))),"Fix")))</f>
        <v>0</v>
      </c>
      <c r="J157" s="5">
        <f>IF(OR(INDEX($W$2:$W$1001,MATCH(ROWS($V$2:V157),$V$2:$V$1001,0),1)&gt;=100000,INDEX($AC$1005:$AS$1005,1,MATCH(COLUMNS($AC$1006:AK1006),$AC$1006:$AS$1006,0))&gt;=100000), " ",IF(INDEX($AC$2:$AS$1001,MATCH(ROWS($V$2:V157),$V$2:$V$1001,0),MATCH(COLUMNS($AC$1006:AK1006),$AC$1006:$AS$1006,0)), HYPERLINK("#",""), HYPERLINK(CONCATENATE("#Metadata!", ADDRESS(INDEX($X$2:$X$1001,MATCH(ROWS($V$2:V157),$V$2:$V$1001,0),0), INDEX($AC$1004:$AS$1004,1,MATCH(COLUMNS($AC$1006:AK1006),$AC$1006:$AS$1006,0)))),"Fix")))</f>
        <v>0</v>
      </c>
      <c r="K157" s="5">
        <f>IF(OR(INDEX($W$2:$W$1001,MATCH(ROWS($V$2:V157),$V$2:$V$1001,0),1)&gt;=100000,INDEX($AC$1005:$AS$1005,1,MATCH(COLUMNS($AC$1006:AL1006),$AC$1006:$AS$1006,0))&gt;=100000), " ",IF(INDEX($AC$2:$AS$1001,MATCH(ROWS($V$2:V157),$V$2:$V$1001,0),MATCH(COLUMNS($AC$1006:AL1006),$AC$1006:$AS$1006,0)), HYPERLINK("#",""), HYPERLINK(CONCATENATE("#Metadata!", ADDRESS(INDEX($X$2:$X$1001,MATCH(ROWS($V$2:V157),$V$2:$V$1001,0),0), INDEX($AC$1004:$AS$1004,1,MATCH(COLUMNS($AC$1006:AL1006),$AC$1006:$AS$1006,0)))),"Fix")))</f>
        <v>0</v>
      </c>
      <c r="L157" s="5">
        <f>IF(OR(INDEX($W$2:$W$1001,MATCH(ROWS($V$2:V157),$V$2:$V$1001,0),1)&gt;=100000,INDEX($AC$1005:$AS$1005,1,MATCH(COLUMNS($AC$1006:AM1006),$AC$1006:$AS$1006,0))&gt;=100000), " ",IF(INDEX($AC$2:$AS$1001,MATCH(ROWS($V$2:V157),$V$2:$V$1001,0),MATCH(COLUMNS($AC$1006:AM1006),$AC$1006:$AS$1006,0)), HYPERLINK("#",""), HYPERLINK(CONCATENATE("#Metadata!", ADDRESS(INDEX($X$2:$X$1001,MATCH(ROWS($V$2:V157),$V$2:$V$1001,0),0), INDEX($AC$1004:$AS$1004,1,MATCH(COLUMNS($AC$1006:AM1006),$AC$1006:$AS$1006,0)))),"Fix")))</f>
        <v>0</v>
      </c>
      <c r="M157" s="5">
        <f>IF(OR(INDEX($W$2:$W$1001,MATCH(ROWS($V$2:V157),$V$2:$V$1001,0),1)&gt;=100000,INDEX($AC$1005:$AS$1005,1,MATCH(COLUMNS($AC$1006:AN1006),$AC$1006:$AS$1006,0))&gt;=100000), " ",IF(INDEX($AC$2:$AS$1001,MATCH(ROWS($V$2:V157),$V$2:$V$1001,0),MATCH(COLUMNS($AC$1006:AN1006),$AC$1006:$AS$1006,0)), HYPERLINK("#",""), HYPERLINK(CONCATENATE("#Metadata!", ADDRESS(INDEX($X$2:$X$1001,MATCH(ROWS($V$2:V157),$V$2:$V$1001,0),0), INDEX($AC$1004:$AS$1004,1,MATCH(COLUMNS($AC$1006:AN1006),$AC$1006:$AS$1006,0)))),"Fix")))</f>
        <v>0</v>
      </c>
      <c r="N157" s="5">
        <f>IF(OR(INDEX($W$2:$W$1001,MATCH(ROWS($V$2:V157),$V$2:$V$1001,0),1)&gt;=100000,INDEX($AC$1005:$AS$1005,1,MATCH(COLUMNS($AC$1006:AO1006),$AC$1006:$AS$1006,0))&gt;=100000), " ",IF(INDEX($AC$2:$AS$1001,MATCH(ROWS($V$2:V157),$V$2:$V$1001,0),MATCH(COLUMNS($AC$1006:AO1006),$AC$1006:$AS$1006,0)), HYPERLINK("#",""), HYPERLINK(CONCATENATE("#Metadata!", ADDRESS(INDEX($X$2:$X$1001,MATCH(ROWS($V$2:V157),$V$2:$V$1001,0),0), INDEX($AC$1004:$AS$1004,1,MATCH(COLUMNS($AC$1006:AO1006),$AC$1006:$AS$1006,0)))),"Fix")))</f>
        <v>0</v>
      </c>
      <c r="O157" s="5">
        <f>IF(OR(INDEX($W$2:$W$1001,MATCH(ROWS($V$2:V157),$V$2:$V$1001,0),1)&gt;=100000,INDEX($AC$1005:$AS$1005,1,MATCH(COLUMNS($AC$1006:AP1006),$AC$1006:$AS$1006,0))&gt;=100000), " ",IF(INDEX($AC$2:$AS$1001,MATCH(ROWS($V$2:V157),$V$2:$V$1001,0),MATCH(COLUMNS($AC$1006:AP1006),$AC$1006:$AS$1006,0)), HYPERLINK("#",""), HYPERLINK(CONCATENATE("#Metadata!", ADDRESS(INDEX($X$2:$X$1001,MATCH(ROWS($V$2:V157),$V$2:$V$1001,0),0), INDEX($AC$1004:$AS$1004,1,MATCH(COLUMNS($AC$1006:AP1006),$AC$1006:$AS$1006,0)))),"Fix")))</f>
        <v>0</v>
      </c>
      <c r="P157" s="5">
        <f>IF(OR(INDEX($W$2:$W$1001,MATCH(ROWS($V$2:V157),$V$2:$V$1001,0),1)&gt;=100000,INDEX($AC$1005:$AS$1005,1,MATCH(COLUMNS($AC$1006:AQ1006),$AC$1006:$AS$1006,0))&gt;=100000), " ",IF(INDEX($AC$2:$AS$1001,MATCH(ROWS($V$2:V157),$V$2:$V$1001,0),MATCH(COLUMNS($AC$1006:AQ1006),$AC$1006:$AS$1006,0)), HYPERLINK("#",""), HYPERLINK(CONCATENATE("#Metadata!", ADDRESS(INDEX($X$2:$X$1001,MATCH(ROWS($V$2:V157),$V$2:$V$1001,0),0), INDEX($AC$1004:$AS$1004,1,MATCH(COLUMNS($AC$1006:AQ1006),$AC$1006:$AS$1006,0)))),"Fix")))</f>
        <v>0</v>
      </c>
      <c r="Q157" s="5">
        <f>IF(OR(INDEX($W$2:$W$1001,MATCH(ROWS($V$2:V157),$V$2:$V$1001,0),1)&gt;=100000,INDEX($AC$1005:$AS$1005,1,MATCH(COLUMNS($AC$1006:AR1006),$AC$1006:$AS$1006,0))&gt;=100000), " ",IF(INDEX($AC$2:$AS$1001,MATCH(ROWS($V$2:V157),$V$2:$V$1001,0),MATCH(COLUMNS($AC$1006:AR1006),$AC$1006:$AS$1006,0)), HYPERLINK("#",""), HYPERLINK(CONCATENATE("#Metadata!", ADDRESS(INDEX($X$2:$X$1001,MATCH(ROWS($V$2:V157),$V$2:$V$1001,0),0), INDEX($AC$1004:$AS$1004,1,MATCH(COLUMNS($AC$1006:AR1006),$AC$1006:$AS$1006,0)))),"Fix")))</f>
        <v>0</v>
      </c>
      <c r="R157" s="5">
        <f>IF(OR(INDEX($W$2:$W$1001,MATCH(ROWS($V$2:V157),$V$2:$V$1001,0),1)&gt;=100000,INDEX($AC$1005:$AS$1005,1,MATCH(COLUMNS($AC$1006:AS1006),$AC$1006:$AS$1006,0))&gt;=100000), " ",IF(INDEX($AC$2:$AS$1001,MATCH(ROWS($V$2:V157),$V$2:$V$1001,0),MATCH(COLUMNS($AC$1006:AS1006),$AC$1006:$AS$1006,0)), HYPERLINK("#",""), HYPERLINK(CONCATENATE("#Metadata!", ADDRESS(INDEX($X$2:$X$1001,MATCH(ROWS($V$2:V157),$V$2:$V$1001,0),0), INDEX($AC$1004:$AS$1004,1,MATCH(COLUMNS($AC$1006:AS1006),$AC$1006:$AS$1006,0)))),"Fix")))</f>
        <v>0</v>
      </c>
      <c r="V157">
        <v>0</v>
      </c>
      <c r="W157">
        <v>0</v>
      </c>
      <c r="X157">
        <v>0</v>
      </c>
      <c r="Y157">
        <f>IF(Z157,TRUE,AND(AC157:AS157))</f>
        <v>0</v>
      </c>
      <c r="Z157">
        <f>COUNTBLANK(Metadata!B157:R157)=COLUMNS(Metadata!B157:R157)</f>
        <v>0</v>
      </c>
      <c r="AA157">
        <v>0</v>
      </c>
      <c r="AC157">
        <f>AND(IF(Metadata!B157="",FALSE,TRUE),COUNTIF(Metadata!B:B, Metadata!B157) = 1,NOT(ISERROR(SUMPRODUCT(SEARCH(MID(Metadata!B157,ROW(INDIRECT("1:"&amp;LEN(Metadata!B157))), 1),"0123456789abcdefghijklmnopqrstuvwxyzABCDEFGHIJKLMNOPQRSTUVWXYZ.")))))</f>
        <v>0</v>
      </c>
      <c r="AD157">
        <f>AND(IF(Metadata!C157="",FALSE,TRUE),exact(Metadata!C157,"Host-associated"))</f>
        <v>0</v>
      </c>
      <c r="AE157">
        <f>AND(IF(Metadata!D157="",FALSE,TRUE),OR(exact(Metadata!D157,"Animal"),exact(Metadata!D157,"Fungus"),exact(Metadata!D157,"Plant")))</f>
        <v>0</v>
      </c>
      <c r="AF157">
        <f>AND(IF(Metadata!E157="",FALSE,TRUE),OR(exact(Metadata!E157,"Plant secretion"),exact(Metadata!E157,"Plant rhizosphere"),exact(Metadata!E157,"Plant surface"),exact(Metadata!E157,"Plant corpus"),exact(Metadata!E157,"Fungus surface"),exact(Metadata!E157,"Fungus corpus"),exact(Metadata!E157,"Animal surface"),exact(Metadata!E157,"Animal proximal gut"),exact(Metadata!E157,"Animal corpus"),exact(Metadata!E157,"Animal distal gut"),exact(Metadata!E157,"Animal secretion")))</f>
        <v>0</v>
      </c>
      <c r="AG157">
        <f>OR(AND(IF(Metadata!F157="",FALSE,TRUE),OR(exact(Metadata!F157,"not collected"),exact(Metadata!F157,"not provided"),exact(Metadata!F157,"restricted access"))),AND(IF(Metadata!F157="",FALSE,TRUE),OR(exact(Metadata!F157,"organism-associated habitat"),exact(Metadata!F157,"plant-associated habitat"),exact(Metadata!F157,"animal-associated habitat"),exact(Metadata!F157,"insecta-associated habitat"),exact(Metadata!F157,"mammalia-associated habitat"),exact(Metadata!F157,"human-associated habitat"),exact(Metadata!F157,"livestock-associated habitat"))))</f>
        <v>0</v>
      </c>
      <c r="AH157">
        <f>AND(IF(Metadata!G157="",FALSE,TRUE),exact(Metadata!G157,"host-associated"))</f>
        <v>0</v>
      </c>
      <c r="AI157">
        <f>OR(AND(IF(Metadata!H157="",FALSE,TRUE),OR(exact(Metadata!H157,"not collected"),exact(Metadata!H157,"not provided"))),AND(IF(Metadata!H157="",FALSE,ISNUMBER(VALUE(Metadata!H157))),Metadata!H157&gt;0))</f>
        <v>0</v>
      </c>
      <c r="AJ157">
        <f>AND(IF(Metadata!I157="",FALSE,TRUE),exact(Metadata!I157,"years"))</f>
        <v>0</v>
      </c>
      <c r="AK157">
        <f>IF(Metadata!J157="",FALSE,TRUE)</f>
        <v>0</v>
      </c>
      <c r="AL157">
        <f>OR(AND(IF(Metadata!K157="",FALSE,TRUE),OR(exact(Metadata!K157,"not collected"),exact(Metadata!K157,"not provided"))),AND(IF(Metadata!K157="",FALSE,ISNUMBER(VALUE(Metadata!K157))),Metadata!K157&gt;0))</f>
        <v>0</v>
      </c>
      <c r="AM157">
        <f>AND(IF(Metadata!L157="",FALSE,TRUE),exact(Metadata!L157,"cm"))</f>
        <v>0</v>
      </c>
      <c r="AN157">
        <f>IF(Metadata!M157="",FALSE,TRUE)</f>
        <v>0</v>
      </c>
      <c r="AO157">
        <f>OR(AND(IF(Metadata!N157="",FALSE,TRUE),OR(exact(Metadata!N157,"not applicable"),exact(Metadata!N157,"not collected"),exact(Metadata!N157,"not provided"))),AND(IF(Metadata!N157="",FALSE,IF(ISERROR(INT(Metadata!N157)),FALSE,INT(Metadata!N157)=Metadata!N157)),Metadata!N157&gt;0))</f>
        <v>0</v>
      </c>
      <c r="AP157">
        <f>OR(AND(IF(Metadata!O157="",FALSE,TRUE),OR(exact(Metadata!O157,"not collected"),exact(Metadata!O157,"not provided"))),AND(IF(Metadata!O157="",FALSE,ISNUMBER(VALUE(Metadata!O157))),Metadata!O157&gt;0))</f>
        <v>0</v>
      </c>
      <c r="AQ157">
        <f>AND(IF(Metadata!P157="",FALSE,TRUE),exact(Metadata!P157,"kg"))</f>
        <v>0</v>
      </c>
      <c r="AR157">
        <f>OR(AND(IF(Metadata!Q157="",FALSE,TRUE),OR(exact(Metadata!Q157,"not applicable"),exact(Metadata!Q157,"not collected"),exact(Metadata!Q157,"not provided"),exact(Metadata!Q157,"restricted access"))),IF(Metadata!Q157="",FALSE,IF(ISERROR(INT(Metadata!Q157)),FALSE,INT(Metadata!Q157)=Metadata!Q157)))</f>
        <v>0</v>
      </c>
      <c r="AS157">
        <f>AND(IF(Metadata!R157="",FALSE,TRUE),exact(Metadata!R157,"Not applicable"))</f>
        <v>0</v>
      </c>
    </row>
    <row r="158" spans="1:45">
      <c r="A158" s="4">
        <f>IF(B158=" "," ",HYPERLINK(CONCATENATE("#metadata!",ADDRESS(INDEX($X$2:$X$1001,MATCH(ROWS($V$2:V158),$V$2:$V$1001,0),0),2)),INDEX($AA$2:$AA$1001,MATCH(ROWS($V$2:V158),$V$2:$V$1001,0),0)))</f>
        <v>0</v>
      </c>
      <c r="B158" s="5">
        <f>IF(OR(INDEX($W$2:$W$1001,MATCH(ROWS($V$2:V158),$V$2:$V$1001,0),1)&gt;=100000,INDEX($AC$1005:$AS$1005,1,MATCH(COLUMNS($AC$1006:AC1006),$AC$1006:$AS$1006,0))&gt;=100000), " ",IF(INDEX($AC$2:$AS$1001,MATCH(ROWS($V$2:V158),$V$2:$V$1001,0),MATCH(COLUMNS($AC$1006:AC1006),$AC$1006:$AS$1006,0)), HYPERLINK("#",""), HYPERLINK(CONCATENATE("#Metadata!", ADDRESS(INDEX($X$2:$X$1001,MATCH(ROWS($V$2:V158),$V$2:$V$1001,0),0), INDEX($AC$1004:$AS$1004,1,MATCH(COLUMNS($AC$1006:AC1006),$AC$1006:$AS$1006,0)))),"Fix")))</f>
        <v>0</v>
      </c>
      <c r="C158" s="5">
        <f>IF(OR(INDEX($W$2:$W$1001,MATCH(ROWS($V$2:V158),$V$2:$V$1001,0),1)&gt;=100000,INDEX($AC$1005:$AS$1005,1,MATCH(COLUMNS($AC$1006:AD1006),$AC$1006:$AS$1006,0))&gt;=100000), " ",IF(INDEX($AC$2:$AS$1001,MATCH(ROWS($V$2:V158),$V$2:$V$1001,0),MATCH(COLUMNS($AC$1006:AD1006),$AC$1006:$AS$1006,0)), HYPERLINK("#",""), HYPERLINK(CONCATENATE("#Metadata!", ADDRESS(INDEX($X$2:$X$1001,MATCH(ROWS($V$2:V158),$V$2:$V$1001,0),0), INDEX($AC$1004:$AS$1004,1,MATCH(COLUMNS($AC$1006:AD1006),$AC$1006:$AS$1006,0)))),"Fix")))</f>
        <v>0</v>
      </c>
      <c r="D158" s="5">
        <f>IF(OR(INDEX($W$2:$W$1001,MATCH(ROWS($V$2:V158),$V$2:$V$1001,0),1)&gt;=100000,INDEX($AC$1005:$AS$1005,1,MATCH(COLUMNS($AC$1006:AE1006),$AC$1006:$AS$1006,0))&gt;=100000), " ",IF(INDEX($AC$2:$AS$1001,MATCH(ROWS($V$2:V158),$V$2:$V$1001,0),MATCH(COLUMNS($AC$1006:AE1006),$AC$1006:$AS$1006,0)), HYPERLINK("#",""), HYPERLINK(CONCATENATE("#Metadata!", ADDRESS(INDEX($X$2:$X$1001,MATCH(ROWS($V$2:V158),$V$2:$V$1001,0),0), INDEX($AC$1004:$AS$1004,1,MATCH(COLUMNS($AC$1006:AE1006),$AC$1006:$AS$1006,0)))),"Fix")))</f>
        <v>0</v>
      </c>
      <c r="E158" s="5">
        <f>IF(OR(INDEX($W$2:$W$1001,MATCH(ROWS($V$2:V158),$V$2:$V$1001,0),1)&gt;=100000,INDEX($AC$1005:$AS$1005,1,MATCH(COLUMNS($AC$1006:AF1006),$AC$1006:$AS$1006,0))&gt;=100000), " ",IF(INDEX($AC$2:$AS$1001,MATCH(ROWS($V$2:V158),$V$2:$V$1001,0),MATCH(COLUMNS($AC$1006:AF1006),$AC$1006:$AS$1006,0)), HYPERLINK("#",""), HYPERLINK(CONCATENATE("#Metadata!", ADDRESS(INDEX($X$2:$X$1001,MATCH(ROWS($V$2:V158),$V$2:$V$1001,0),0), INDEX($AC$1004:$AS$1004,1,MATCH(COLUMNS($AC$1006:AF1006),$AC$1006:$AS$1006,0)))),"Fix")))</f>
        <v>0</v>
      </c>
      <c r="F158" s="5">
        <f>IF(OR(INDEX($W$2:$W$1001,MATCH(ROWS($V$2:V158),$V$2:$V$1001,0),1)&gt;=100000,INDEX($AC$1005:$AS$1005,1,MATCH(COLUMNS($AC$1006:AG1006),$AC$1006:$AS$1006,0))&gt;=100000), " ",IF(INDEX($AC$2:$AS$1001,MATCH(ROWS($V$2:V158),$V$2:$V$1001,0),MATCH(COLUMNS($AC$1006:AG1006),$AC$1006:$AS$1006,0)), HYPERLINK("#",""), HYPERLINK(CONCATENATE("#Metadata!", ADDRESS(INDEX($X$2:$X$1001,MATCH(ROWS($V$2:V158),$V$2:$V$1001,0),0), INDEX($AC$1004:$AS$1004,1,MATCH(COLUMNS($AC$1006:AG1006),$AC$1006:$AS$1006,0)))),"Fix")))</f>
        <v>0</v>
      </c>
      <c r="G158" s="5">
        <f>IF(OR(INDEX($W$2:$W$1001,MATCH(ROWS($V$2:V158),$V$2:$V$1001,0),1)&gt;=100000,INDEX($AC$1005:$AS$1005,1,MATCH(COLUMNS($AC$1006:AH1006),$AC$1006:$AS$1006,0))&gt;=100000), " ",IF(INDEX($AC$2:$AS$1001,MATCH(ROWS($V$2:V158),$V$2:$V$1001,0),MATCH(COLUMNS($AC$1006:AH1006),$AC$1006:$AS$1006,0)), HYPERLINK("#",""), HYPERLINK(CONCATENATE("#Metadata!", ADDRESS(INDEX($X$2:$X$1001,MATCH(ROWS($V$2:V158),$V$2:$V$1001,0),0), INDEX($AC$1004:$AS$1004,1,MATCH(COLUMNS($AC$1006:AH1006),$AC$1006:$AS$1006,0)))),"Fix")))</f>
        <v>0</v>
      </c>
      <c r="H158" s="5">
        <f>IF(OR(INDEX($W$2:$W$1001,MATCH(ROWS($V$2:V158),$V$2:$V$1001,0),1)&gt;=100000,INDEX($AC$1005:$AS$1005,1,MATCH(COLUMNS($AC$1006:AI1006),$AC$1006:$AS$1006,0))&gt;=100000), " ",IF(INDEX($AC$2:$AS$1001,MATCH(ROWS($V$2:V158),$V$2:$V$1001,0),MATCH(COLUMNS($AC$1006:AI1006),$AC$1006:$AS$1006,0)), HYPERLINK("#",""), HYPERLINK(CONCATENATE("#Metadata!", ADDRESS(INDEX($X$2:$X$1001,MATCH(ROWS($V$2:V158),$V$2:$V$1001,0),0), INDEX($AC$1004:$AS$1004,1,MATCH(COLUMNS($AC$1006:AI1006),$AC$1006:$AS$1006,0)))),"Fix")))</f>
        <v>0</v>
      </c>
      <c r="I158" s="5">
        <f>IF(OR(INDEX($W$2:$W$1001,MATCH(ROWS($V$2:V158),$V$2:$V$1001,0),1)&gt;=100000,INDEX($AC$1005:$AS$1005,1,MATCH(COLUMNS($AC$1006:AJ1006),$AC$1006:$AS$1006,0))&gt;=100000), " ",IF(INDEX($AC$2:$AS$1001,MATCH(ROWS($V$2:V158),$V$2:$V$1001,0),MATCH(COLUMNS($AC$1006:AJ1006),$AC$1006:$AS$1006,0)), HYPERLINK("#",""), HYPERLINK(CONCATENATE("#Metadata!", ADDRESS(INDEX($X$2:$X$1001,MATCH(ROWS($V$2:V158),$V$2:$V$1001,0),0), INDEX($AC$1004:$AS$1004,1,MATCH(COLUMNS($AC$1006:AJ1006),$AC$1006:$AS$1006,0)))),"Fix")))</f>
        <v>0</v>
      </c>
      <c r="J158" s="5">
        <f>IF(OR(INDEX($W$2:$W$1001,MATCH(ROWS($V$2:V158),$V$2:$V$1001,0),1)&gt;=100000,INDEX($AC$1005:$AS$1005,1,MATCH(COLUMNS($AC$1006:AK1006),$AC$1006:$AS$1006,0))&gt;=100000), " ",IF(INDEX($AC$2:$AS$1001,MATCH(ROWS($V$2:V158),$V$2:$V$1001,0),MATCH(COLUMNS($AC$1006:AK1006),$AC$1006:$AS$1006,0)), HYPERLINK("#",""), HYPERLINK(CONCATENATE("#Metadata!", ADDRESS(INDEX($X$2:$X$1001,MATCH(ROWS($V$2:V158),$V$2:$V$1001,0),0), INDEX($AC$1004:$AS$1004,1,MATCH(COLUMNS($AC$1006:AK1006),$AC$1006:$AS$1006,0)))),"Fix")))</f>
        <v>0</v>
      </c>
      <c r="K158" s="5">
        <f>IF(OR(INDEX($W$2:$W$1001,MATCH(ROWS($V$2:V158),$V$2:$V$1001,0),1)&gt;=100000,INDEX($AC$1005:$AS$1005,1,MATCH(COLUMNS($AC$1006:AL1006),$AC$1006:$AS$1006,0))&gt;=100000), " ",IF(INDEX($AC$2:$AS$1001,MATCH(ROWS($V$2:V158),$V$2:$V$1001,0),MATCH(COLUMNS($AC$1006:AL1006),$AC$1006:$AS$1006,0)), HYPERLINK("#",""), HYPERLINK(CONCATENATE("#Metadata!", ADDRESS(INDEX($X$2:$X$1001,MATCH(ROWS($V$2:V158),$V$2:$V$1001,0),0), INDEX($AC$1004:$AS$1004,1,MATCH(COLUMNS($AC$1006:AL1006),$AC$1006:$AS$1006,0)))),"Fix")))</f>
        <v>0</v>
      </c>
      <c r="L158" s="5">
        <f>IF(OR(INDEX($W$2:$W$1001,MATCH(ROWS($V$2:V158),$V$2:$V$1001,0),1)&gt;=100000,INDEX($AC$1005:$AS$1005,1,MATCH(COLUMNS($AC$1006:AM1006),$AC$1006:$AS$1006,0))&gt;=100000), " ",IF(INDEX($AC$2:$AS$1001,MATCH(ROWS($V$2:V158),$V$2:$V$1001,0),MATCH(COLUMNS($AC$1006:AM1006),$AC$1006:$AS$1006,0)), HYPERLINK("#",""), HYPERLINK(CONCATENATE("#Metadata!", ADDRESS(INDEX($X$2:$X$1001,MATCH(ROWS($V$2:V158),$V$2:$V$1001,0),0), INDEX($AC$1004:$AS$1004,1,MATCH(COLUMNS($AC$1006:AM1006),$AC$1006:$AS$1006,0)))),"Fix")))</f>
        <v>0</v>
      </c>
      <c r="M158" s="5">
        <f>IF(OR(INDEX($W$2:$W$1001,MATCH(ROWS($V$2:V158),$V$2:$V$1001,0),1)&gt;=100000,INDEX($AC$1005:$AS$1005,1,MATCH(COLUMNS($AC$1006:AN1006),$AC$1006:$AS$1006,0))&gt;=100000), " ",IF(INDEX($AC$2:$AS$1001,MATCH(ROWS($V$2:V158),$V$2:$V$1001,0),MATCH(COLUMNS($AC$1006:AN1006),$AC$1006:$AS$1006,0)), HYPERLINK("#",""), HYPERLINK(CONCATENATE("#Metadata!", ADDRESS(INDEX($X$2:$X$1001,MATCH(ROWS($V$2:V158),$V$2:$V$1001,0),0), INDEX($AC$1004:$AS$1004,1,MATCH(COLUMNS($AC$1006:AN1006),$AC$1006:$AS$1006,0)))),"Fix")))</f>
        <v>0</v>
      </c>
      <c r="N158" s="5">
        <f>IF(OR(INDEX($W$2:$W$1001,MATCH(ROWS($V$2:V158),$V$2:$V$1001,0),1)&gt;=100000,INDEX($AC$1005:$AS$1005,1,MATCH(COLUMNS($AC$1006:AO1006),$AC$1006:$AS$1006,0))&gt;=100000), " ",IF(INDEX($AC$2:$AS$1001,MATCH(ROWS($V$2:V158),$V$2:$V$1001,0),MATCH(COLUMNS($AC$1006:AO1006),$AC$1006:$AS$1006,0)), HYPERLINK("#",""), HYPERLINK(CONCATENATE("#Metadata!", ADDRESS(INDEX($X$2:$X$1001,MATCH(ROWS($V$2:V158),$V$2:$V$1001,0),0), INDEX($AC$1004:$AS$1004,1,MATCH(COLUMNS($AC$1006:AO1006),$AC$1006:$AS$1006,0)))),"Fix")))</f>
        <v>0</v>
      </c>
      <c r="O158" s="5">
        <f>IF(OR(INDEX($W$2:$W$1001,MATCH(ROWS($V$2:V158),$V$2:$V$1001,0),1)&gt;=100000,INDEX($AC$1005:$AS$1005,1,MATCH(COLUMNS($AC$1006:AP1006),$AC$1006:$AS$1006,0))&gt;=100000), " ",IF(INDEX($AC$2:$AS$1001,MATCH(ROWS($V$2:V158),$V$2:$V$1001,0),MATCH(COLUMNS($AC$1006:AP1006),$AC$1006:$AS$1006,0)), HYPERLINK("#",""), HYPERLINK(CONCATENATE("#Metadata!", ADDRESS(INDEX($X$2:$X$1001,MATCH(ROWS($V$2:V158),$V$2:$V$1001,0),0), INDEX($AC$1004:$AS$1004,1,MATCH(COLUMNS($AC$1006:AP1006),$AC$1006:$AS$1006,0)))),"Fix")))</f>
        <v>0</v>
      </c>
      <c r="P158" s="5">
        <f>IF(OR(INDEX($W$2:$W$1001,MATCH(ROWS($V$2:V158),$V$2:$V$1001,0),1)&gt;=100000,INDEX($AC$1005:$AS$1005,1,MATCH(COLUMNS($AC$1006:AQ1006),$AC$1006:$AS$1006,0))&gt;=100000), " ",IF(INDEX($AC$2:$AS$1001,MATCH(ROWS($V$2:V158),$V$2:$V$1001,0),MATCH(COLUMNS($AC$1006:AQ1006),$AC$1006:$AS$1006,0)), HYPERLINK("#",""), HYPERLINK(CONCATENATE("#Metadata!", ADDRESS(INDEX($X$2:$X$1001,MATCH(ROWS($V$2:V158),$V$2:$V$1001,0),0), INDEX($AC$1004:$AS$1004,1,MATCH(COLUMNS($AC$1006:AQ1006),$AC$1006:$AS$1006,0)))),"Fix")))</f>
        <v>0</v>
      </c>
      <c r="Q158" s="5">
        <f>IF(OR(INDEX($W$2:$W$1001,MATCH(ROWS($V$2:V158),$V$2:$V$1001,0),1)&gt;=100000,INDEX($AC$1005:$AS$1005,1,MATCH(COLUMNS($AC$1006:AR1006),$AC$1006:$AS$1006,0))&gt;=100000), " ",IF(INDEX($AC$2:$AS$1001,MATCH(ROWS($V$2:V158),$V$2:$V$1001,0),MATCH(COLUMNS($AC$1006:AR1006),$AC$1006:$AS$1006,0)), HYPERLINK("#",""), HYPERLINK(CONCATENATE("#Metadata!", ADDRESS(INDEX($X$2:$X$1001,MATCH(ROWS($V$2:V158),$V$2:$V$1001,0),0), INDEX($AC$1004:$AS$1004,1,MATCH(COLUMNS($AC$1006:AR1006),$AC$1006:$AS$1006,0)))),"Fix")))</f>
        <v>0</v>
      </c>
      <c r="R158" s="5">
        <f>IF(OR(INDEX($W$2:$W$1001,MATCH(ROWS($V$2:V158),$V$2:$V$1001,0),1)&gt;=100000,INDEX($AC$1005:$AS$1005,1,MATCH(COLUMNS($AC$1006:AS1006),$AC$1006:$AS$1006,0))&gt;=100000), " ",IF(INDEX($AC$2:$AS$1001,MATCH(ROWS($V$2:V158),$V$2:$V$1001,0),MATCH(COLUMNS($AC$1006:AS1006),$AC$1006:$AS$1006,0)), HYPERLINK("#",""), HYPERLINK(CONCATENATE("#Metadata!", ADDRESS(INDEX($X$2:$X$1001,MATCH(ROWS($V$2:V158),$V$2:$V$1001,0),0), INDEX($AC$1004:$AS$1004,1,MATCH(COLUMNS($AC$1006:AS1006),$AC$1006:$AS$1006,0)))),"Fix")))</f>
        <v>0</v>
      </c>
      <c r="V158">
        <v>0</v>
      </c>
      <c r="W158">
        <v>0</v>
      </c>
      <c r="X158">
        <v>0</v>
      </c>
      <c r="Y158">
        <f>IF(Z158,TRUE,AND(AC158:AS158))</f>
        <v>0</v>
      </c>
      <c r="Z158">
        <f>COUNTBLANK(Metadata!B158:R158)=COLUMNS(Metadata!B158:R158)</f>
        <v>0</v>
      </c>
      <c r="AA158">
        <v>0</v>
      </c>
      <c r="AC158">
        <f>AND(IF(Metadata!B158="",FALSE,TRUE),COUNTIF(Metadata!B:B, Metadata!B158) = 1,NOT(ISERROR(SUMPRODUCT(SEARCH(MID(Metadata!B158,ROW(INDIRECT("1:"&amp;LEN(Metadata!B158))), 1),"0123456789abcdefghijklmnopqrstuvwxyzABCDEFGHIJKLMNOPQRSTUVWXYZ.")))))</f>
        <v>0</v>
      </c>
      <c r="AD158">
        <f>AND(IF(Metadata!C158="",FALSE,TRUE),exact(Metadata!C158,"Host-associated"))</f>
        <v>0</v>
      </c>
      <c r="AE158">
        <f>AND(IF(Metadata!D158="",FALSE,TRUE),OR(exact(Metadata!D158,"Animal"),exact(Metadata!D158,"Fungus"),exact(Metadata!D158,"Plant")))</f>
        <v>0</v>
      </c>
      <c r="AF158">
        <f>AND(IF(Metadata!E158="",FALSE,TRUE),OR(exact(Metadata!E158,"Plant secretion"),exact(Metadata!E158,"Plant rhizosphere"),exact(Metadata!E158,"Plant surface"),exact(Metadata!E158,"Plant corpus"),exact(Metadata!E158,"Fungus surface"),exact(Metadata!E158,"Fungus corpus"),exact(Metadata!E158,"Animal surface"),exact(Metadata!E158,"Animal proximal gut"),exact(Metadata!E158,"Animal corpus"),exact(Metadata!E158,"Animal distal gut"),exact(Metadata!E158,"Animal secretion")))</f>
        <v>0</v>
      </c>
      <c r="AG158">
        <f>OR(AND(IF(Metadata!F158="",FALSE,TRUE),OR(exact(Metadata!F158,"not collected"),exact(Metadata!F158,"not provided"),exact(Metadata!F158,"restricted access"))),AND(IF(Metadata!F158="",FALSE,TRUE),OR(exact(Metadata!F158,"organism-associated habitat"),exact(Metadata!F158,"plant-associated habitat"),exact(Metadata!F158,"animal-associated habitat"),exact(Metadata!F158,"insecta-associated habitat"),exact(Metadata!F158,"mammalia-associated habitat"),exact(Metadata!F158,"human-associated habitat"),exact(Metadata!F158,"livestock-associated habitat"))))</f>
        <v>0</v>
      </c>
      <c r="AH158">
        <f>AND(IF(Metadata!G158="",FALSE,TRUE),exact(Metadata!G158,"host-associated"))</f>
        <v>0</v>
      </c>
      <c r="AI158">
        <f>OR(AND(IF(Metadata!H158="",FALSE,TRUE),OR(exact(Metadata!H158,"not collected"),exact(Metadata!H158,"not provided"))),AND(IF(Metadata!H158="",FALSE,ISNUMBER(VALUE(Metadata!H158))),Metadata!H158&gt;0))</f>
        <v>0</v>
      </c>
      <c r="AJ158">
        <f>AND(IF(Metadata!I158="",FALSE,TRUE),exact(Metadata!I158,"years"))</f>
        <v>0</v>
      </c>
      <c r="AK158">
        <f>IF(Metadata!J158="",FALSE,TRUE)</f>
        <v>0</v>
      </c>
      <c r="AL158">
        <f>OR(AND(IF(Metadata!K158="",FALSE,TRUE),OR(exact(Metadata!K158,"not collected"),exact(Metadata!K158,"not provided"))),AND(IF(Metadata!K158="",FALSE,ISNUMBER(VALUE(Metadata!K158))),Metadata!K158&gt;0))</f>
        <v>0</v>
      </c>
      <c r="AM158">
        <f>AND(IF(Metadata!L158="",FALSE,TRUE),exact(Metadata!L158,"cm"))</f>
        <v>0</v>
      </c>
      <c r="AN158">
        <f>IF(Metadata!M158="",FALSE,TRUE)</f>
        <v>0</v>
      </c>
      <c r="AO158">
        <f>OR(AND(IF(Metadata!N158="",FALSE,TRUE),OR(exact(Metadata!N158,"not applicable"),exact(Metadata!N158,"not collected"),exact(Metadata!N158,"not provided"))),AND(IF(Metadata!N158="",FALSE,IF(ISERROR(INT(Metadata!N158)),FALSE,INT(Metadata!N158)=Metadata!N158)),Metadata!N158&gt;0))</f>
        <v>0</v>
      </c>
      <c r="AP158">
        <f>OR(AND(IF(Metadata!O158="",FALSE,TRUE),OR(exact(Metadata!O158,"not collected"),exact(Metadata!O158,"not provided"))),AND(IF(Metadata!O158="",FALSE,ISNUMBER(VALUE(Metadata!O158))),Metadata!O158&gt;0))</f>
        <v>0</v>
      </c>
      <c r="AQ158">
        <f>AND(IF(Metadata!P158="",FALSE,TRUE),exact(Metadata!P158,"kg"))</f>
        <v>0</v>
      </c>
      <c r="AR158">
        <f>OR(AND(IF(Metadata!Q158="",FALSE,TRUE),OR(exact(Metadata!Q158,"not applicable"),exact(Metadata!Q158,"not collected"),exact(Metadata!Q158,"not provided"),exact(Metadata!Q158,"restricted access"))),IF(Metadata!Q158="",FALSE,IF(ISERROR(INT(Metadata!Q158)),FALSE,INT(Metadata!Q158)=Metadata!Q158)))</f>
        <v>0</v>
      </c>
      <c r="AS158">
        <f>AND(IF(Metadata!R158="",FALSE,TRUE),exact(Metadata!R158,"Not applicable"))</f>
        <v>0</v>
      </c>
    </row>
    <row r="159" spans="1:45">
      <c r="A159" s="4">
        <f>IF(B159=" "," ",HYPERLINK(CONCATENATE("#metadata!",ADDRESS(INDEX($X$2:$X$1001,MATCH(ROWS($V$2:V159),$V$2:$V$1001,0),0),2)),INDEX($AA$2:$AA$1001,MATCH(ROWS($V$2:V159),$V$2:$V$1001,0),0)))</f>
        <v>0</v>
      </c>
      <c r="B159" s="5">
        <f>IF(OR(INDEX($W$2:$W$1001,MATCH(ROWS($V$2:V159),$V$2:$V$1001,0),1)&gt;=100000,INDEX($AC$1005:$AS$1005,1,MATCH(COLUMNS($AC$1006:AC1006),$AC$1006:$AS$1006,0))&gt;=100000), " ",IF(INDEX($AC$2:$AS$1001,MATCH(ROWS($V$2:V159),$V$2:$V$1001,0),MATCH(COLUMNS($AC$1006:AC1006),$AC$1006:$AS$1006,0)), HYPERLINK("#",""), HYPERLINK(CONCATENATE("#Metadata!", ADDRESS(INDEX($X$2:$X$1001,MATCH(ROWS($V$2:V159),$V$2:$V$1001,0),0), INDEX($AC$1004:$AS$1004,1,MATCH(COLUMNS($AC$1006:AC1006),$AC$1006:$AS$1006,0)))),"Fix")))</f>
        <v>0</v>
      </c>
      <c r="C159" s="5">
        <f>IF(OR(INDEX($W$2:$W$1001,MATCH(ROWS($V$2:V159),$V$2:$V$1001,0),1)&gt;=100000,INDEX($AC$1005:$AS$1005,1,MATCH(COLUMNS($AC$1006:AD1006),$AC$1006:$AS$1006,0))&gt;=100000), " ",IF(INDEX($AC$2:$AS$1001,MATCH(ROWS($V$2:V159),$V$2:$V$1001,0),MATCH(COLUMNS($AC$1006:AD1006),$AC$1006:$AS$1006,0)), HYPERLINK("#",""), HYPERLINK(CONCATENATE("#Metadata!", ADDRESS(INDEX($X$2:$X$1001,MATCH(ROWS($V$2:V159),$V$2:$V$1001,0),0), INDEX($AC$1004:$AS$1004,1,MATCH(COLUMNS($AC$1006:AD1006),$AC$1006:$AS$1006,0)))),"Fix")))</f>
        <v>0</v>
      </c>
      <c r="D159" s="5">
        <f>IF(OR(INDEX($W$2:$W$1001,MATCH(ROWS($V$2:V159),$V$2:$V$1001,0),1)&gt;=100000,INDEX($AC$1005:$AS$1005,1,MATCH(COLUMNS($AC$1006:AE1006),$AC$1006:$AS$1006,0))&gt;=100000), " ",IF(INDEX($AC$2:$AS$1001,MATCH(ROWS($V$2:V159),$V$2:$V$1001,0),MATCH(COLUMNS($AC$1006:AE1006),$AC$1006:$AS$1006,0)), HYPERLINK("#",""), HYPERLINK(CONCATENATE("#Metadata!", ADDRESS(INDEX($X$2:$X$1001,MATCH(ROWS($V$2:V159),$V$2:$V$1001,0),0), INDEX($AC$1004:$AS$1004,1,MATCH(COLUMNS($AC$1006:AE1006),$AC$1006:$AS$1006,0)))),"Fix")))</f>
        <v>0</v>
      </c>
      <c r="E159" s="5">
        <f>IF(OR(INDEX($W$2:$W$1001,MATCH(ROWS($V$2:V159),$V$2:$V$1001,0),1)&gt;=100000,INDEX($AC$1005:$AS$1005,1,MATCH(COLUMNS($AC$1006:AF1006),$AC$1006:$AS$1006,0))&gt;=100000), " ",IF(INDEX($AC$2:$AS$1001,MATCH(ROWS($V$2:V159),$V$2:$V$1001,0),MATCH(COLUMNS($AC$1006:AF1006),$AC$1006:$AS$1006,0)), HYPERLINK("#",""), HYPERLINK(CONCATENATE("#Metadata!", ADDRESS(INDEX($X$2:$X$1001,MATCH(ROWS($V$2:V159),$V$2:$V$1001,0),0), INDEX($AC$1004:$AS$1004,1,MATCH(COLUMNS($AC$1006:AF1006),$AC$1006:$AS$1006,0)))),"Fix")))</f>
        <v>0</v>
      </c>
      <c r="F159" s="5">
        <f>IF(OR(INDEX($W$2:$W$1001,MATCH(ROWS($V$2:V159),$V$2:$V$1001,0),1)&gt;=100000,INDEX($AC$1005:$AS$1005,1,MATCH(COLUMNS($AC$1006:AG1006),$AC$1006:$AS$1006,0))&gt;=100000), " ",IF(INDEX($AC$2:$AS$1001,MATCH(ROWS($V$2:V159),$V$2:$V$1001,0),MATCH(COLUMNS($AC$1006:AG1006),$AC$1006:$AS$1006,0)), HYPERLINK("#",""), HYPERLINK(CONCATENATE("#Metadata!", ADDRESS(INDEX($X$2:$X$1001,MATCH(ROWS($V$2:V159),$V$2:$V$1001,0),0), INDEX($AC$1004:$AS$1004,1,MATCH(COLUMNS($AC$1006:AG1006),$AC$1006:$AS$1006,0)))),"Fix")))</f>
        <v>0</v>
      </c>
      <c r="G159" s="5">
        <f>IF(OR(INDEX($W$2:$W$1001,MATCH(ROWS($V$2:V159),$V$2:$V$1001,0),1)&gt;=100000,INDEX($AC$1005:$AS$1005,1,MATCH(COLUMNS($AC$1006:AH1006),$AC$1006:$AS$1006,0))&gt;=100000), " ",IF(INDEX($AC$2:$AS$1001,MATCH(ROWS($V$2:V159),$V$2:$V$1001,0),MATCH(COLUMNS($AC$1006:AH1006),$AC$1006:$AS$1006,0)), HYPERLINK("#",""), HYPERLINK(CONCATENATE("#Metadata!", ADDRESS(INDEX($X$2:$X$1001,MATCH(ROWS($V$2:V159),$V$2:$V$1001,0),0), INDEX($AC$1004:$AS$1004,1,MATCH(COLUMNS($AC$1006:AH1006),$AC$1006:$AS$1006,0)))),"Fix")))</f>
        <v>0</v>
      </c>
      <c r="H159" s="5">
        <f>IF(OR(INDEX($W$2:$W$1001,MATCH(ROWS($V$2:V159),$V$2:$V$1001,0),1)&gt;=100000,INDEX($AC$1005:$AS$1005,1,MATCH(COLUMNS($AC$1006:AI1006),$AC$1006:$AS$1006,0))&gt;=100000), " ",IF(INDEX($AC$2:$AS$1001,MATCH(ROWS($V$2:V159),$V$2:$V$1001,0),MATCH(COLUMNS($AC$1006:AI1006),$AC$1006:$AS$1006,0)), HYPERLINK("#",""), HYPERLINK(CONCATENATE("#Metadata!", ADDRESS(INDEX($X$2:$X$1001,MATCH(ROWS($V$2:V159),$V$2:$V$1001,0),0), INDEX($AC$1004:$AS$1004,1,MATCH(COLUMNS($AC$1006:AI1006),$AC$1006:$AS$1006,0)))),"Fix")))</f>
        <v>0</v>
      </c>
      <c r="I159" s="5">
        <f>IF(OR(INDEX($W$2:$W$1001,MATCH(ROWS($V$2:V159),$V$2:$V$1001,0),1)&gt;=100000,INDEX($AC$1005:$AS$1005,1,MATCH(COLUMNS($AC$1006:AJ1006),$AC$1006:$AS$1006,0))&gt;=100000), " ",IF(INDEX($AC$2:$AS$1001,MATCH(ROWS($V$2:V159),$V$2:$V$1001,0),MATCH(COLUMNS($AC$1006:AJ1006),$AC$1006:$AS$1006,0)), HYPERLINK("#",""), HYPERLINK(CONCATENATE("#Metadata!", ADDRESS(INDEX($X$2:$X$1001,MATCH(ROWS($V$2:V159),$V$2:$V$1001,0),0), INDEX($AC$1004:$AS$1004,1,MATCH(COLUMNS($AC$1006:AJ1006),$AC$1006:$AS$1006,0)))),"Fix")))</f>
        <v>0</v>
      </c>
      <c r="J159" s="5">
        <f>IF(OR(INDEX($W$2:$W$1001,MATCH(ROWS($V$2:V159),$V$2:$V$1001,0),1)&gt;=100000,INDEX($AC$1005:$AS$1005,1,MATCH(COLUMNS($AC$1006:AK1006),$AC$1006:$AS$1006,0))&gt;=100000), " ",IF(INDEX($AC$2:$AS$1001,MATCH(ROWS($V$2:V159),$V$2:$V$1001,0),MATCH(COLUMNS($AC$1006:AK1006),$AC$1006:$AS$1006,0)), HYPERLINK("#",""), HYPERLINK(CONCATENATE("#Metadata!", ADDRESS(INDEX($X$2:$X$1001,MATCH(ROWS($V$2:V159),$V$2:$V$1001,0),0), INDEX($AC$1004:$AS$1004,1,MATCH(COLUMNS($AC$1006:AK1006),$AC$1006:$AS$1006,0)))),"Fix")))</f>
        <v>0</v>
      </c>
      <c r="K159" s="5">
        <f>IF(OR(INDEX($W$2:$W$1001,MATCH(ROWS($V$2:V159),$V$2:$V$1001,0),1)&gt;=100000,INDEX($AC$1005:$AS$1005,1,MATCH(COLUMNS($AC$1006:AL1006),$AC$1006:$AS$1006,0))&gt;=100000), " ",IF(INDEX($AC$2:$AS$1001,MATCH(ROWS($V$2:V159),$V$2:$V$1001,0),MATCH(COLUMNS($AC$1006:AL1006),$AC$1006:$AS$1006,0)), HYPERLINK("#",""), HYPERLINK(CONCATENATE("#Metadata!", ADDRESS(INDEX($X$2:$X$1001,MATCH(ROWS($V$2:V159),$V$2:$V$1001,0),0), INDEX($AC$1004:$AS$1004,1,MATCH(COLUMNS($AC$1006:AL1006),$AC$1006:$AS$1006,0)))),"Fix")))</f>
        <v>0</v>
      </c>
      <c r="L159" s="5">
        <f>IF(OR(INDEX($W$2:$W$1001,MATCH(ROWS($V$2:V159),$V$2:$V$1001,0),1)&gt;=100000,INDEX($AC$1005:$AS$1005,1,MATCH(COLUMNS($AC$1006:AM1006),$AC$1006:$AS$1006,0))&gt;=100000), " ",IF(INDEX($AC$2:$AS$1001,MATCH(ROWS($V$2:V159),$V$2:$V$1001,0),MATCH(COLUMNS($AC$1006:AM1006),$AC$1006:$AS$1006,0)), HYPERLINK("#",""), HYPERLINK(CONCATENATE("#Metadata!", ADDRESS(INDEX($X$2:$X$1001,MATCH(ROWS($V$2:V159),$V$2:$V$1001,0),0), INDEX($AC$1004:$AS$1004,1,MATCH(COLUMNS($AC$1006:AM1006),$AC$1006:$AS$1006,0)))),"Fix")))</f>
        <v>0</v>
      </c>
      <c r="M159" s="5">
        <f>IF(OR(INDEX($W$2:$W$1001,MATCH(ROWS($V$2:V159),$V$2:$V$1001,0),1)&gt;=100000,INDEX($AC$1005:$AS$1005,1,MATCH(COLUMNS($AC$1006:AN1006),$AC$1006:$AS$1006,0))&gt;=100000), " ",IF(INDEX($AC$2:$AS$1001,MATCH(ROWS($V$2:V159),$V$2:$V$1001,0),MATCH(COLUMNS($AC$1006:AN1006),$AC$1006:$AS$1006,0)), HYPERLINK("#",""), HYPERLINK(CONCATENATE("#Metadata!", ADDRESS(INDEX($X$2:$X$1001,MATCH(ROWS($V$2:V159),$V$2:$V$1001,0),0), INDEX($AC$1004:$AS$1004,1,MATCH(COLUMNS($AC$1006:AN1006),$AC$1006:$AS$1006,0)))),"Fix")))</f>
        <v>0</v>
      </c>
      <c r="N159" s="5">
        <f>IF(OR(INDEX($W$2:$W$1001,MATCH(ROWS($V$2:V159),$V$2:$V$1001,0),1)&gt;=100000,INDEX($AC$1005:$AS$1005,1,MATCH(COLUMNS($AC$1006:AO1006),$AC$1006:$AS$1006,0))&gt;=100000), " ",IF(INDEX($AC$2:$AS$1001,MATCH(ROWS($V$2:V159),$V$2:$V$1001,0),MATCH(COLUMNS($AC$1006:AO1006),$AC$1006:$AS$1006,0)), HYPERLINK("#",""), HYPERLINK(CONCATENATE("#Metadata!", ADDRESS(INDEX($X$2:$X$1001,MATCH(ROWS($V$2:V159),$V$2:$V$1001,0),0), INDEX($AC$1004:$AS$1004,1,MATCH(COLUMNS($AC$1006:AO1006),$AC$1006:$AS$1006,0)))),"Fix")))</f>
        <v>0</v>
      </c>
      <c r="O159" s="5">
        <f>IF(OR(INDEX($W$2:$W$1001,MATCH(ROWS($V$2:V159),$V$2:$V$1001,0),1)&gt;=100000,INDEX($AC$1005:$AS$1005,1,MATCH(COLUMNS($AC$1006:AP1006),$AC$1006:$AS$1006,0))&gt;=100000), " ",IF(INDEX($AC$2:$AS$1001,MATCH(ROWS($V$2:V159),$V$2:$V$1001,0),MATCH(COLUMNS($AC$1006:AP1006),$AC$1006:$AS$1006,0)), HYPERLINK("#",""), HYPERLINK(CONCATENATE("#Metadata!", ADDRESS(INDEX($X$2:$X$1001,MATCH(ROWS($V$2:V159),$V$2:$V$1001,0),0), INDEX($AC$1004:$AS$1004,1,MATCH(COLUMNS($AC$1006:AP1006),$AC$1006:$AS$1006,0)))),"Fix")))</f>
        <v>0</v>
      </c>
      <c r="P159" s="5">
        <f>IF(OR(INDEX($W$2:$W$1001,MATCH(ROWS($V$2:V159),$V$2:$V$1001,0),1)&gt;=100000,INDEX($AC$1005:$AS$1005,1,MATCH(COLUMNS($AC$1006:AQ1006),$AC$1006:$AS$1006,0))&gt;=100000), " ",IF(INDEX($AC$2:$AS$1001,MATCH(ROWS($V$2:V159),$V$2:$V$1001,0),MATCH(COLUMNS($AC$1006:AQ1006),$AC$1006:$AS$1006,0)), HYPERLINK("#",""), HYPERLINK(CONCATENATE("#Metadata!", ADDRESS(INDEX($X$2:$X$1001,MATCH(ROWS($V$2:V159),$V$2:$V$1001,0),0), INDEX($AC$1004:$AS$1004,1,MATCH(COLUMNS($AC$1006:AQ1006),$AC$1006:$AS$1006,0)))),"Fix")))</f>
        <v>0</v>
      </c>
      <c r="Q159" s="5">
        <f>IF(OR(INDEX($W$2:$W$1001,MATCH(ROWS($V$2:V159),$V$2:$V$1001,0),1)&gt;=100000,INDEX($AC$1005:$AS$1005,1,MATCH(COLUMNS($AC$1006:AR1006),$AC$1006:$AS$1006,0))&gt;=100000), " ",IF(INDEX($AC$2:$AS$1001,MATCH(ROWS($V$2:V159),$V$2:$V$1001,0),MATCH(COLUMNS($AC$1006:AR1006),$AC$1006:$AS$1006,0)), HYPERLINK("#",""), HYPERLINK(CONCATENATE("#Metadata!", ADDRESS(INDEX($X$2:$X$1001,MATCH(ROWS($V$2:V159),$V$2:$V$1001,0),0), INDEX($AC$1004:$AS$1004,1,MATCH(COLUMNS($AC$1006:AR1006),$AC$1006:$AS$1006,0)))),"Fix")))</f>
        <v>0</v>
      </c>
      <c r="R159" s="5">
        <f>IF(OR(INDEX($W$2:$W$1001,MATCH(ROWS($V$2:V159),$V$2:$V$1001,0),1)&gt;=100000,INDEX($AC$1005:$AS$1005,1,MATCH(COLUMNS($AC$1006:AS1006),$AC$1006:$AS$1006,0))&gt;=100000), " ",IF(INDEX($AC$2:$AS$1001,MATCH(ROWS($V$2:V159),$V$2:$V$1001,0),MATCH(COLUMNS($AC$1006:AS1006),$AC$1006:$AS$1006,0)), HYPERLINK("#",""), HYPERLINK(CONCATENATE("#Metadata!", ADDRESS(INDEX($X$2:$X$1001,MATCH(ROWS($V$2:V159),$V$2:$V$1001,0),0), INDEX($AC$1004:$AS$1004,1,MATCH(COLUMNS($AC$1006:AS1006),$AC$1006:$AS$1006,0)))),"Fix")))</f>
        <v>0</v>
      </c>
      <c r="V159">
        <v>0</v>
      </c>
      <c r="W159">
        <v>0</v>
      </c>
      <c r="X159">
        <v>0</v>
      </c>
      <c r="Y159">
        <f>IF(Z159,TRUE,AND(AC159:AS159))</f>
        <v>0</v>
      </c>
      <c r="Z159">
        <f>COUNTBLANK(Metadata!B159:R159)=COLUMNS(Metadata!B159:R159)</f>
        <v>0</v>
      </c>
      <c r="AA159">
        <v>0</v>
      </c>
      <c r="AC159">
        <f>AND(IF(Metadata!B159="",FALSE,TRUE),COUNTIF(Metadata!B:B, Metadata!B159) = 1,NOT(ISERROR(SUMPRODUCT(SEARCH(MID(Metadata!B159,ROW(INDIRECT("1:"&amp;LEN(Metadata!B159))), 1),"0123456789abcdefghijklmnopqrstuvwxyzABCDEFGHIJKLMNOPQRSTUVWXYZ.")))))</f>
        <v>0</v>
      </c>
      <c r="AD159">
        <f>AND(IF(Metadata!C159="",FALSE,TRUE),exact(Metadata!C159,"Host-associated"))</f>
        <v>0</v>
      </c>
      <c r="AE159">
        <f>AND(IF(Metadata!D159="",FALSE,TRUE),OR(exact(Metadata!D159,"Animal"),exact(Metadata!D159,"Fungus"),exact(Metadata!D159,"Plant")))</f>
        <v>0</v>
      </c>
      <c r="AF159">
        <f>AND(IF(Metadata!E159="",FALSE,TRUE),OR(exact(Metadata!E159,"Plant secretion"),exact(Metadata!E159,"Plant rhizosphere"),exact(Metadata!E159,"Plant surface"),exact(Metadata!E159,"Plant corpus"),exact(Metadata!E159,"Fungus surface"),exact(Metadata!E159,"Fungus corpus"),exact(Metadata!E159,"Animal surface"),exact(Metadata!E159,"Animal proximal gut"),exact(Metadata!E159,"Animal corpus"),exact(Metadata!E159,"Animal distal gut"),exact(Metadata!E159,"Animal secretion")))</f>
        <v>0</v>
      </c>
      <c r="AG159">
        <f>OR(AND(IF(Metadata!F159="",FALSE,TRUE),OR(exact(Metadata!F159,"not collected"),exact(Metadata!F159,"not provided"),exact(Metadata!F159,"restricted access"))),AND(IF(Metadata!F159="",FALSE,TRUE),OR(exact(Metadata!F159,"organism-associated habitat"),exact(Metadata!F159,"plant-associated habitat"),exact(Metadata!F159,"animal-associated habitat"),exact(Metadata!F159,"insecta-associated habitat"),exact(Metadata!F159,"mammalia-associated habitat"),exact(Metadata!F159,"human-associated habitat"),exact(Metadata!F159,"livestock-associated habitat"))))</f>
        <v>0</v>
      </c>
      <c r="AH159">
        <f>AND(IF(Metadata!G159="",FALSE,TRUE),exact(Metadata!G159,"host-associated"))</f>
        <v>0</v>
      </c>
      <c r="AI159">
        <f>OR(AND(IF(Metadata!H159="",FALSE,TRUE),OR(exact(Metadata!H159,"not collected"),exact(Metadata!H159,"not provided"))),AND(IF(Metadata!H159="",FALSE,ISNUMBER(VALUE(Metadata!H159))),Metadata!H159&gt;0))</f>
        <v>0</v>
      </c>
      <c r="AJ159">
        <f>AND(IF(Metadata!I159="",FALSE,TRUE),exact(Metadata!I159,"years"))</f>
        <v>0</v>
      </c>
      <c r="AK159">
        <f>IF(Metadata!J159="",FALSE,TRUE)</f>
        <v>0</v>
      </c>
      <c r="AL159">
        <f>OR(AND(IF(Metadata!K159="",FALSE,TRUE),OR(exact(Metadata!K159,"not collected"),exact(Metadata!K159,"not provided"))),AND(IF(Metadata!K159="",FALSE,ISNUMBER(VALUE(Metadata!K159))),Metadata!K159&gt;0))</f>
        <v>0</v>
      </c>
      <c r="AM159">
        <f>AND(IF(Metadata!L159="",FALSE,TRUE),exact(Metadata!L159,"cm"))</f>
        <v>0</v>
      </c>
      <c r="AN159">
        <f>IF(Metadata!M159="",FALSE,TRUE)</f>
        <v>0</v>
      </c>
      <c r="AO159">
        <f>OR(AND(IF(Metadata!N159="",FALSE,TRUE),OR(exact(Metadata!N159,"not applicable"),exact(Metadata!N159,"not collected"),exact(Metadata!N159,"not provided"))),AND(IF(Metadata!N159="",FALSE,IF(ISERROR(INT(Metadata!N159)),FALSE,INT(Metadata!N159)=Metadata!N159)),Metadata!N159&gt;0))</f>
        <v>0</v>
      </c>
      <c r="AP159">
        <f>OR(AND(IF(Metadata!O159="",FALSE,TRUE),OR(exact(Metadata!O159,"not collected"),exact(Metadata!O159,"not provided"))),AND(IF(Metadata!O159="",FALSE,ISNUMBER(VALUE(Metadata!O159))),Metadata!O159&gt;0))</f>
        <v>0</v>
      </c>
      <c r="AQ159">
        <f>AND(IF(Metadata!P159="",FALSE,TRUE),exact(Metadata!P159,"kg"))</f>
        <v>0</v>
      </c>
      <c r="AR159">
        <f>OR(AND(IF(Metadata!Q159="",FALSE,TRUE),OR(exact(Metadata!Q159,"not applicable"),exact(Metadata!Q159,"not collected"),exact(Metadata!Q159,"not provided"),exact(Metadata!Q159,"restricted access"))),IF(Metadata!Q159="",FALSE,IF(ISERROR(INT(Metadata!Q159)),FALSE,INT(Metadata!Q159)=Metadata!Q159)))</f>
        <v>0</v>
      </c>
      <c r="AS159">
        <f>AND(IF(Metadata!R159="",FALSE,TRUE),exact(Metadata!R159,"Not applicable"))</f>
        <v>0</v>
      </c>
    </row>
    <row r="160" spans="1:45">
      <c r="A160" s="4">
        <f>IF(B160=" "," ",HYPERLINK(CONCATENATE("#metadata!",ADDRESS(INDEX($X$2:$X$1001,MATCH(ROWS($V$2:V160),$V$2:$V$1001,0),0),2)),INDEX($AA$2:$AA$1001,MATCH(ROWS($V$2:V160),$V$2:$V$1001,0),0)))</f>
        <v>0</v>
      </c>
      <c r="B160" s="5">
        <f>IF(OR(INDEX($W$2:$W$1001,MATCH(ROWS($V$2:V160),$V$2:$V$1001,0),1)&gt;=100000,INDEX($AC$1005:$AS$1005,1,MATCH(COLUMNS($AC$1006:AC1006),$AC$1006:$AS$1006,0))&gt;=100000), " ",IF(INDEX($AC$2:$AS$1001,MATCH(ROWS($V$2:V160),$V$2:$V$1001,0),MATCH(COLUMNS($AC$1006:AC1006),$AC$1006:$AS$1006,0)), HYPERLINK("#",""), HYPERLINK(CONCATENATE("#Metadata!", ADDRESS(INDEX($X$2:$X$1001,MATCH(ROWS($V$2:V160),$V$2:$V$1001,0),0), INDEX($AC$1004:$AS$1004,1,MATCH(COLUMNS($AC$1006:AC1006),$AC$1006:$AS$1006,0)))),"Fix")))</f>
        <v>0</v>
      </c>
      <c r="C160" s="5">
        <f>IF(OR(INDEX($W$2:$W$1001,MATCH(ROWS($V$2:V160),$V$2:$V$1001,0),1)&gt;=100000,INDEX($AC$1005:$AS$1005,1,MATCH(COLUMNS($AC$1006:AD1006),$AC$1006:$AS$1006,0))&gt;=100000), " ",IF(INDEX($AC$2:$AS$1001,MATCH(ROWS($V$2:V160),$V$2:$V$1001,0),MATCH(COLUMNS($AC$1006:AD1006),$AC$1006:$AS$1006,0)), HYPERLINK("#",""), HYPERLINK(CONCATENATE("#Metadata!", ADDRESS(INDEX($X$2:$X$1001,MATCH(ROWS($V$2:V160),$V$2:$V$1001,0),0), INDEX($AC$1004:$AS$1004,1,MATCH(COLUMNS($AC$1006:AD1006),$AC$1006:$AS$1006,0)))),"Fix")))</f>
        <v>0</v>
      </c>
      <c r="D160" s="5">
        <f>IF(OR(INDEX($W$2:$W$1001,MATCH(ROWS($V$2:V160),$V$2:$V$1001,0),1)&gt;=100000,INDEX($AC$1005:$AS$1005,1,MATCH(COLUMNS($AC$1006:AE1006),$AC$1006:$AS$1006,0))&gt;=100000), " ",IF(INDEX($AC$2:$AS$1001,MATCH(ROWS($V$2:V160),$V$2:$V$1001,0),MATCH(COLUMNS($AC$1006:AE1006),$AC$1006:$AS$1006,0)), HYPERLINK("#",""), HYPERLINK(CONCATENATE("#Metadata!", ADDRESS(INDEX($X$2:$X$1001,MATCH(ROWS($V$2:V160),$V$2:$V$1001,0),0), INDEX($AC$1004:$AS$1004,1,MATCH(COLUMNS($AC$1006:AE1006),$AC$1006:$AS$1006,0)))),"Fix")))</f>
        <v>0</v>
      </c>
      <c r="E160" s="5">
        <f>IF(OR(INDEX($W$2:$W$1001,MATCH(ROWS($V$2:V160),$V$2:$V$1001,0),1)&gt;=100000,INDEX($AC$1005:$AS$1005,1,MATCH(COLUMNS($AC$1006:AF1006),$AC$1006:$AS$1006,0))&gt;=100000), " ",IF(INDEX($AC$2:$AS$1001,MATCH(ROWS($V$2:V160),$V$2:$V$1001,0),MATCH(COLUMNS($AC$1006:AF1006),$AC$1006:$AS$1006,0)), HYPERLINK("#",""), HYPERLINK(CONCATENATE("#Metadata!", ADDRESS(INDEX($X$2:$X$1001,MATCH(ROWS($V$2:V160),$V$2:$V$1001,0),0), INDEX($AC$1004:$AS$1004,1,MATCH(COLUMNS($AC$1006:AF1006),$AC$1006:$AS$1006,0)))),"Fix")))</f>
        <v>0</v>
      </c>
      <c r="F160" s="5">
        <f>IF(OR(INDEX($W$2:$W$1001,MATCH(ROWS($V$2:V160),$V$2:$V$1001,0),1)&gt;=100000,INDEX($AC$1005:$AS$1005,1,MATCH(COLUMNS($AC$1006:AG1006),$AC$1006:$AS$1006,0))&gt;=100000), " ",IF(INDEX($AC$2:$AS$1001,MATCH(ROWS($V$2:V160),$V$2:$V$1001,0),MATCH(COLUMNS($AC$1006:AG1006),$AC$1006:$AS$1006,0)), HYPERLINK("#",""), HYPERLINK(CONCATENATE("#Metadata!", ADDRESS(INDEX($X$2:$X$1001,MATCH(ROWS($V$2:V160),$V$2:$V$1001,0),0), INDEX($AC$1004:$AS$1004,1,MATCH(COLUMNS($AC$1006:AG1006),$AC$1006:$AS$1006,0)))),"Fix")))</f>
        <v>0</v>
      </c>
      <c r="G160" s="5">
        <f>IF(OR(INDEX($W$2:$W$1001,MATCH(ROWS($V$2:V160),$V$2:$V$1001,0),1)&gt;=100000,INDEX($AC$1005:$AS$1005,1,MATCH(COLUMNS($AC$1006:AH1006),$AC$1006:$AS$1006,0))&gt;=100000), " ",IF(INDEX($AC$2:$AS$1001,MATCH(ROWS($V$2:V160),$V$2:$V$1001,0),MATCH(COLUMNS($AC$1006:AH1006),$AC$1006:$AS$1006,0)), HYPERLINK("#",""), HYPERLINK(CONCATENATE("#Metadata!", ADDRESS(INDEX($X$2:$X$1001,MATCH(ROWS($V$2:V160),$V$2:$V$1001,0),0), INDEX($AC$1004:$AS$1004,1,MATCH(COLUMNS($AC$1006:AH1006),$AC$1006:$AS$1006,0)))),"Fix")))</f>
        <v>0</v>
      </c>
      <c r="H160" s="5">
        <f>IF(OR(INDEX($W$2:$W$1001,MATCH(ROWS($V$2:V160),$V$2:$V$1001,0),1)&gt;=100000,INDEX($AC$1005:$AS$1005,1,MATCH(COLUMNS($AC$1006:AI1006),$AC$1006:$AS$1006,0))&gt;=100000), " ",IF(INDEX($AC$2:$AS$1001,MATCH(ROWS($V$2:V160),$V$2:$V$1001,0),MATCH(COLUMNS($AC$1006:AI1006),$AC$1006:$AS$1006,0)), HYPERLINK("#",""), HYPERLINK(CONCATENATE("#Metadata!", ADDRESS(INDEX($X$2:$X$1001,MATCH(ROWS($V$2:V160),$V$2:$V$1001,0),0), INDEX($AC$1004:$AS$1004,1,MATCH(COLUMNS($AC$1006:AI1006),$AC$1006:$AS$1006,0)))),"Fix")))</f>
        <v>0</v>
      </c>
      <c r="I160" s="5">
        <f>IF(OR(INDEX($W$2:$W$1001,MATCH(ROWS($V$2:V160),$V$2:$V$1001,0),1)&gt;=100000,INDEX($AC$1005:$AS$1005,1,MATCH(COLUMNS($AC$1006:AJ1006),$AC$1006:$AS$1006,0))&gt;=100000), " ",IF(INDEX($AC$2:$AS$1001,MATCH(ROWS($V$2:V160),$V$2:$V$1001,0),MATCH(COLUMNS($AC$1006:AJ1006),$AC$1006:$AS$1006,0)), HYPERLINK("#",""), HYPERLINK(CONCATENATE("#Metadata!", ADDRESS(INDEX($X$2:$X$1001,MATCH(ROWS($V$2:V160),$V$2:$V$1001,0),0), INDEX($AC$1004:$AS$1004,1,MATCH(COLUMNS($AC$1006:AJ1006),$AC$1006:$AS$1006,0)))),"Fix")))</f>
        <v>0</v>
      </c>
      <c r="J160" s="5">
        <f>IF(OR(INDEX($W$2:$W$1001,MATCH(ROWS($V$2:V160),$V$2:$V$1001,0),1)&gt;=100000,INDEX($AC$1005:$AS$1005,1,MATCH(COLUMNS($AC$1006:AK1006),$AC$1006:$AS$1006,0))&gt;=100000), " ",IF(INDEX($AC$2:$AS$1001,MATCH(ROWS($V$2:V160),$V$2:$V$1001,0),MATCH(COLUMNS($AC$1006:AK1006),$AC$1006:$AS$1006,0)), HYPERLINK("#",""), HYPERLINK(CONCATENATE("#Metadata!", ADDRESS(INDEX($X$2:$X$1001,MATCH(ROWS($V$2:V160),$V$2:$V$1001,0),0), INDEX($AC$1004:$AS$1004,1,MATCH(COLUMNS($AC$1006:AK1006),$AC$1006:$AS$1006,0)))),"Fix")))</f>
        <v>0</v>
      </c>
      <c r="K160" s="5">
        <f>IF(OR(INDEX($W$2:$W$1001,MATCH(ROWS($V$2:V160),$V$2:$V$1001,0),1)&gt;=100000,INDEX($AC$1005:$AS$1005,1,MATCH(COLUMNS($AC$1006:AL1006),$AC$1006:$AS$1006,0))&gt;=100000), " ",IF(INDEX($AC$2:$AS$1001,MATCH(ROWS($V$2:V160),$V$2:$V$1001,0),MATCH(COLUMNS($AC$1006:AL1006),$AC$1006:$AS$1006,0)), HYPERLINK("#",""), HYPERLINK(CONCATENATE("#Metadata!", ADDRESS(INDEX($X$2:$X$1001,MATCH(ROWS($V$2:V160),$V$2:$V$1001,0),0), INDEX($AC$1004:$AS$1004,1,MATCH(COLUMNS($AC$1006:AL1006),$AC$1006:$AS$1006,0)))),"Fix")))</f>
        <v>0</v>
      </c>
      <c r="L160" s="5">
        <f>IF(OR(INDEX($W$2:$W$1001,MATCH(ROWS($V$2:V160),$V$2:$V$1001,0),1)&gt;=100000,INDEX($AC$1005:$AS$1005,1,MATCH(COLUMNS($AC$1006:AM1006),$AC$1006:$AS$1006,0))&gt;=100000), " ",IF(INDEX($AC$2:$AS$1001,MATCH(ROWS($V$2:V160),$V$2:$V$1001,0),MATCH(COLUMNS($AC$1006:AM1006),$AC$1006:$AS$1006,0)), HYPERLINK("#",""), HYPERLINK(CONCATENATE("#Metadata!", ADDRESS(INDEX($X$2:$X$1001,MATCH(ROWS($V$2:V160),$V$2:$V$1001,0),0), INDEX($AC$1004:$AS$1004,1,MATCH(COLUMNS($AC$1006:AM1006),$AC$1006:$AS$1006,0)))),"Fix")))</f>
        <v>0</v>
      </c>
      <c r="M160" s="5">
        <f>IF(OR(INDEX($W$2:$W$1001,MATCH(ROWS($V$2:V160),$V$2:$V$1001,0),1)&gt;=100000,INDEX($AC$1005:$AS$1005,1,MATCH(COLUMNS($AC$1006:AN1006),$AC$1006:$AS$1006,0))&gt;=100000), " ",IF(INDEX($AC$2:$AS$1001,MATCH(ROWS($V$2:V160),$V$2:$V$1001,0),MATCH(COLUMNS($AC$1006:AN1006),$AC$1006:$AS$1006,0)), HYPERLINK("#",""), HYPERLINK(CONCATENATE("#Metadata!", ADDRESS(INDEX($X$2:$X$1001,MATCH(ROWS($V$2:V160),$V$2:$V$1001,0),0), INDEX($AC$1004:$AS$1004,1,MATCH(COLUMNS($AC$1006:AN1006),$AC$1006:$AS$1006,0)))),"Fix")))</f>
        <v>0</v>
      </c>
      <c r="N160" s="5">
        <f>IF(OR(INDEX($W$2:$W$1001,MATCH(ROWS($V$2:V160),$V$2:$V$1001,0),1)&gt;=100000,INDEX($AC$1005:$AS$1005,1,MATCH(COLUMNS($AC$1006:AO1006),$AC$1006:$AS$1006,0))&gt;=100000), " ",IF(INDEX($AC$2:$AS$1001,MATCH(ROWS($V$2:V160),$V$2:$V$1001,0),MATCH(COLUMNS($AC$1006:AO1006),$AC$1006:$AS$1006,0)), HYPERLINK("#",""), HYPERLINK(CONCATENATE("#Metadata!", ADDRESS(INDEX($X$2:$X$1001,MATCH(ROWS($V$2:V160),$V$2:$V$1001,0),0), INDEX($AC$1004:$AS$1004,1,MATCH(COLUMNS($AC$1006:AO1006),$AC$1006:$AS$1006,0)))),"Fix")))</f>
        <v>0</v>
      </c>
      <c r="O160" s="5">
        <f>IF(OR(INDEX($W$2:$W$1001,MATCH(ROWS($V$2:V160),$V$2:$V$1001,0),1)&gt;=100000,INDEX($AC$1005:$AS$1005,1,MATCH(COLUMNS($AC$1006:AP1006),$AC$1006:$AS$1006,0))&gt;=100000), " ",IF(INDEX($AC$2:$AS$1001,MATCH(ROWS($V$2:V160),$V$2:$V$1001,0),MATCH(COLUMNS($AC$1006:AP1006),$AC$1006:$AS$1006,0)), HYPERLINK("#",""), HYPERLINK(CONCATENATE("#Metadata!", ADDRESS(INDEX($X$2:$X$1001,MATCH(ROWS($V$2:V160),$V$2:$V$1001,0),0), INDEX($AC$1004:$AS$1004,1,MATCH(COLUMNS($AC$1006:AP1006),$AC$1006:$AS$1006,0)))),"Fix")))</f>
        <v>0</v>
      </c>
      <c r="P160" s="5">
        <f>IF(OR(INDEX($W$2:$W$1001,MATCH(ROWS($V$2:V160),$V$2:$V$1001,0),1)&gt;=100000,INDEX($AC$1005:$AS$1005,1,MATCH(COLUMNS($AC$1006:AQ1006),$AC$1006:$AS$1006,0))&gt;=100000), " ",IF(INDEX($AC$2:$AS$1001,MATCH(ROWS($V$2:V160),$V$2:$V$1001,0),MATCH(COLUMNS($AC$1006:AQ1006),$AC$1006:$AS$1006,0)), HYPERLINK("#",""), HYPERLINK(CONCATENATE("#Metadata!", ADDRESS(INDEX($X$2:$X$1001,MATCH(ROWS($V$2:V160),$V$2:$V$1001,0),0), INDEX($AC$1004:$AS$1004,1,MATCH(COLUMNS($AC$1006:AQ1006),$AC$1006:$AS$1006,0)))),"Fix")))</f>
        <v>0</v>
      </c>
      <c r="Q160" s="5">
        <f>IF(OR(INDEX($W$2:$W$1001,MATCH(ROWS($V$2:V160),$V$2:$V$1001,0),1)&gt;=100000,INDEX($AC$1005:$AS$1005,1,MATCH(COLUMNS($AC$1006:AR1006),$AC$1006:$AS$1006,0))&gt;=100000), " ",IF(INDEX($AC$2:$AS$1001,MATCH(ROWS($V$2:V160),$V$2:$V$1001,0),MATCH(COLUMNS($AC$1006:AR1006),$AC$1006:$AS$1006,0)), HYPERLINK("#",""), HYPERLINK(CONCATENATE("#Metadata!", ADDRESS(INDEX($X$2:$X$1001,MATCH(ROWS($V$2:V160),$V$2:$V$1001,0),0), INDEX($AC$1004:$AS$1004,1,MATCH(COLUMNS($AC$1006:AR1006),$AC$1006:$AS$1006,0)))),"Fix")))</f>
        <v>0</v>
      </c>
      <c r="R160" s="5">
        <f>IF(OR(INDEX($W$2:$W$1001,MATCH(ROWS($V$2:V160),$V$2:$V$1001,0),1)&gt;=100000,INDEX($AC$1005:$AS$1005,1,MATCH(COLUMNS($AC$1006:AS1006),$AC$1006:$AS$1006,0))&gt;=100000), " ",IF(INDEX($AC$2:$AS$1001,MATCH(ROWS($V$2:V160),$V$2:$V$1001,0),MATCH(COLUMNS($AC$1006:AS1006),$AC$1006:$AS$1006,0)), HYPERLINK("#",""), HYPERLINK(CONCATENATE("#Metadata!", ADDRESS(INDEX($X$2:$X$1001,MATCH(ROWS($V$2:V160),$V$2:$V$1001,0),0), INDEX($AC$1004:$AS$1004,1,MATCH(COLUMNS($AC$1006:AS1006),$AC$1006:$AS$1006,0)))),"Fix")))</f>
        <v>0</v>
      </c>
      <c r="V160">
        <v>0</v>
      </c>
      <c r="W160">
        <v>0</v>
      </c>
      <c r="X160">
        <v>0</v>
      </c>
      <c r="Y160">
        <f>IF(Z160,TRUE,AND(AC160:AS160))</f>
        <v>0</v>
      </c>
      <c r="Z160">
        <f>COUNTBLANK(Metadata!B160:R160)=COLUMNS(Metadata!B160:R160)</f>
        <v>0</v>
      </c>
      <c r="AA160">
        <v>0</v>
      </c>
      <c r="AC160">
        <f>AND(IF(Metadata!B160="",FALSE,TRUE),COUNTIF(Metadata!B:B, Metadata!B160) = 1,NOT(ISERROR(SUMPRODUCT(SEARCH(MID(Metadata!B160,ROW(INDIRECT("1:"&amp;LEN(Metadata!B160))), 1),"0123456789abcdefghijklmnopqrstuvwxyzABCDEFGHIJKLMNOPQRSTUVWXYZ.")))))</f>
        <v>0</v>
      </c>
      <c r="AD160">
        <f>AND(IF(Metadata!C160="",FALSE,TRUE),exact(Metadata!C160,"Host-associated"))</f>
        <v>0</v>
      </c>
      <c r="AE160">
        <f>AND(IF(Metadata!D160="",FALSE,TRUE),OR(exact(Metadata!D160,"Animal"),exact(Metadata!D160,"Fungus"),exact(Metadata!D160,"Plant")))</f>
        <v>0</v>
      </c>
      <c r="AF160">
        <f>AND(IF(Metadata!E160="",FALSE,TRUE),OR(exact(Metadata!E160,"Plant secretion"),exact(Metadata!E160,"Plant rhizosphere"),exact(Metadata!E160,"Plant surface"),exact(Metadata!E160,"Plant corpus"),exact(Metadata!E160,"Fungus surface"),exact(Metadata!E160,"Fungus corpus"),exact(Metadata!E160,"Animal surface"),exact(Metadata!E160,"Animal proximal gut"),exact(Metadata!E160,"Animal corpus"),exact(Metadata!E160,"Animal distal gut"),exact(Metadata!E160,"Animal secretion")))</f>
        <v>0</v>
      </c>
      <c r="AG160">
        <f>OR(AND(IF(Metadata!F160="",FALSE,TRUE),OR(exact(Metadata!F160,"not collected"),exact(Metadata!F160,"not provided"),exact(Metadata!F160,"restricted access"))),AND(IF(Metadata!F160="",FALSE,TRUE),OR(exact(Metadata!F160,"organism-associated habitat"),exact(Metadata!F160,"plant-associated habitat"),exact(Metadata!F160,"animal-associated habitat"),exact(Metadata!F160,"insecta-associated habitat"),exact(Metadata!F160,"mammalia-associated habitat"),exact(Metadata!F160,"human-associated habitat"),exact(Metadata!F160,"livestock-associated habitat"))))</f>
        <v>0</v>
      </c>
      <c r="AH160">
        <f>AND(IF(Metadata!G160="",FALSE,TRUE),exact(Metadata!G160,"host-associated"))</f>
        <v>0</v>
      </c>
      <c r="AI160">
        <f>OR(AND(IF(Metadata!H160="",FALSE,TRUE),OR(exact(Metadata!H160,"not collected"),exact(Metadata!H160,"not provided"))),AND(IF(Metadata!H160="",FALSE,ISNUMBER(VALUE(Metadata!H160))),Metadata!H160&gt;0))</f>
        <v>0</v>
      </c>
      <c r="AJ160">
        <f>AND(IF(Metadata!I160="",FALSE,TRUE),exact(Metadata!I160,"years"))</f>
        <v>0</v>
      </c>
      <c r="AK160">
        <f>IF(Metadata!J160="",FALSE,TRUE)</f>
        <v>0</v>
      </c>
      <c r="AL160">
        <f>OR(AND(IF(Metadata!K160="",FALSE,TRUE),OR(exact(Metadata!K160,"not collected"),exact(Metadata!K160,"not provided"))),AND(IF(Metadata!K160="",FALSE,ISNUMBER(VALUE(Metadata!K160))),Metadata!K160&gt;0))</f>
        <v>0</v>
      </c>
      <c r="AM160">
        <f>AND(IF(Metadata!L160="",FALSE,TRUE),exact(Metadata!L160,"cm"))</f>
        <v>0</v>
      </c>
      <c r="AN160">
        <f>IF(Metadata!M160="",FALSE,TRUE)</f>
        <v>0</v>
      </c>
      <c r="AO160">
        <f>OR(AND(IF(Metadata!N160="",FALSE,TRUE),OR(exact(Metadata!N160,"not applicable"),exact(Metadata!N160,"not collected"),exact(Metadata!N160,"not provided"))),AND(IF(Metadata!N160="",FALSE,IF(ISERROR(INT(Metadata!N160)),FALSE,INT(Metadata!N160)=Metadata!N160)),Metadata!N160&gt;0))</f>
        <v>0</v>
      </c>
      <c r="AP160">
        <f>OR(AND(IF(Metadata!O160="",FALSE,TRUE),OR(exact(Metadata!O160,"not collected"),exact(Metadata!O160,"not provided"))),AND(IF(Metadata!O160="",FALSE,ISNUMBER(VALUE(Metadata!O160))),Metadata!O160&gt;0))</f>
        <v>0</v>
      </c>
      <c r="AQ160">
        <f>AND(IF(Metadata!P160="",FALSE,TRUE),exact(Metadata!P160,"kg"))</f>
        <v>0</v>
      </c>
      <c r="AR160">
        <f>OR(AND(IF(Metadata!Q160="",FALSE,TRUE),OR(exact(Metadata!Q160,"not applicable"),exact(Metadata!Q160,"not collected"),exact(Metadata!Q160,"not provided"),exact(Metadata!Q160,"restricted access"))),IF(Metadata!Q160="",FALSE,IF(ISERROR(INT(Metadata!Q160)),FALSE,INT(Metadata!Q160)=Metadata!Q160)))</f>
        <v>0</v>
      </c>
      <c r="AS160">
        <f>AND(IF(Metadata!R160="",FALSE,TRUE),exact(Metadata!R160,"Not applicable"))</f>
        <v>0</v>
      </c>
    </row>
    <row r="161" spans="1:45">
      <c r="A161" s="4">
        <f>IF(B161=" "," ",HYPERLINK(CONCATENATE("#metadata!",ADDRESS(INDEX($X$2:$X$1001,MATCH(ROWS($V$2:V161),$V$2:$V$1001,0),0),2)),INDEX($AA$2:$AA$1001,MATCH(ROWS($V$2:V161),$V$2:$V$1001,0),0)))</f>
        <v>0</v>
      </c>
      <c r="B161" s="5">
        <f>IF(OR(INDEX($W$2:$W$1001,MATCH(ROWS($V$2:V161),$V$2:$V$1001,0),1)&gt;=100000,INDEX($AC$1005:$AS$1005,1,MATCH(COLUMNS($AC$1006:AC1006),$AC$1006:$AS$1006,0))&gt;=100000), " ",IF(INDEX($AC$2:$AS$1001,MATCH(ROWS($V$2:V161),$V$2:$V$1001,0),MATCH(COLUMNS($AC$1006:AC1006),$AC$1006:$AS$1006,0)), HYPERLINK("#",""), HYPERLINK(CONCATENATE("#Metadata!", ADDRESS(INDEX($X$2:$X$1001,MATCH(ROWS($V$2:V161),$V$2:$V$1001,0),0), INDEX($AC$1004:$AS$1004,1,MATCH(COLUMNS($AC$1006:AC1006),$AC$1006:$AS$1006,0)))),"Fix")))</f>
        <v>0</v>
      </c>
      <c r="C161" s="5">
        <f>IF(OR(INDEX($W$2:$W$1001,MATCH(ROWS($V$2:V161),$V$2:$V$1001,0),1)&gt;=100000,INDEX($AC$1005:$AS$1005,1,MATCH(COLUMNS($AC$1006:AD1006),$AC$1006:$AS$1006,0))&gt;=100000), " ",IF(INDEX($AC$2:$AS$1001,MATCH(ROWS($V$2:V161),$V$2:$V$1001,0),MATCH(COLUMNS($AC$1006:AD1006),$AC$1006:$AS$1006,0)), HYPERLINK("#",""), HYPERLINK(CONCATENATE("#Metadata!", ADDRESS(INDEX($X$2:$X$1001,MATCH(ROWS($V$2:V161),$V$2:$V$1001,0),0), INDEX($AC$1004:$AS$1004,1,MATCH(COLUMNS($AC$1006:AD1006),$AC$1006:$AS$1006,0)))),"Fix")))</f>
        <v>0</v>
      </c>
      <c r="D161" s="5">
        <f>IF(OR(INDEX($W$2:$W$1001,MATCH(ROWS($V$2:V161),$V$2:$V$1001,0),1)&gt;=100000,INDEX($AC$1005:$AS$1005,1,MATCH(COLUMNS($AC$1006:AE1006),$AC$1006:$AS$1006,0))&gt;=100000), " ",IF(INDEX($AC$2:$AS$1001,MATCH(ROWS($V$2:V161),$V$2:$V$1001,0),MATCH(COLUMNS($AC$1006:AE1006),$AC$1006:$AS$1006,0)), HYPERLINK("#",""), HYPERLINK(CONCATENATE("#Metadata!", ADDRESS(INDEX($X$2:$X$1001,MATCH(ROWS($V$2:V161),$V$2:$V$1001,0),0), INDEX($AC$1004:$AS$1004,1,MATCH(COLUMNS($AC$1006:AE1006),$AC$1006:$AS$1006,0)))),"Fix")))</f>
        <v>0</v>
      </c>
      <c r="E161" s="5">
        <f>IF(OR(INDEX($W$2:$W$1001,MATCH(ROWS($V$2:V161),$V$2:$V$1001,0),1)&gt;=100000,INDEX($AC$1005:$AS$1005,1,MATCH(COLUMNS($AC$1006:AF1006),$AC$1006:$AS$1006,0))&gt;=100000), " ",IF(INDEX($AC$2:$AS$1001,MATCH(ROWS($V$2:V161),$V$2:$V$1001,0),MATCH(COLUMNS($AC$1006:AF1006),$AC$1006:$AS$1006,0)), HYPERLINK("#",""), HYPERLINK(CONCATENATE("#Metadata!", ADDRESS(INDEX($X$2:$X$1001,MATCH(ROWS($V$2:V161),$V$2:$V$1001,0),0), INDEX($AC$1004:$AS$1004,1,MATCH(COLUMNS($AC$1006:AF1006),$AC$1006:$AS$1006,0)))),"Fix")))</f>
        <v>0</v>
      </c>
      <c r="F161" s="5">
        <f>IF(OR(INDEX($W$2:$W$1001,MATCH(ROWS($V$2:V161),$V$2:$V$1001,0),1)&gt;=100000,INDEX($AC$1005:$AS$1005,1,MATCH(COLUMNS($AC$1006:AG1006),$AC$1006:$AS$1006,0))&gt;=100000), " ",IF(INDEX($AC$2:$AS$1001,MATCH(ROWS($V$2:V161),$V$2:$V$1001,0),MATCH(COLUMNS($AC$1006:AG1006),$AC$1006:$AS$1006,0)), HYPERLINK("#",""), HYPERLINK(CONCATENATE("#Metadata!", ADDRESS(INDEX($X$2:$X$1001,MATCH(ROWS($V$2:V161),$V$2:$V$1001,0),0), INDEX($AC$1004:$AS$1004,1,MATCH(COLUMNS($AC$1006:AG1006),$AC$1006:$AS$1006,0)))),"Fix")))</f>
        <v>0</v>
      </c>
      <c r="G161" s="5">
        <f>IF(OR(INDEX($W$2:$W$1001,MATCH(ROWS($V$2:V161),$V$2:$V$1001,0),1)&gt;=100000,INDEX($AC$1005:$AS$1005,1,MATCH(COLUMNS($AC$1006:AH1006),$AC$1006:$AS$1006,0))&gt;=100000), " ",IF(INDEX($AC$2:$AS$1001,MATCH(ROWS($V$2:V161),$V$2:$V$1001,0),MATCH(COLUMNS($AC$1006:AH1006),$AC$1006:$AS$1006,0)), HYPERLINK("#",""), HYPERLINK(CONCATENATE("#Metadata!", ADDRESS(INDEX($X$2:$X$1001,MATCH(ROWS($V$2:V161),$V$2:$V$1001,0),0), INDEX($AC$1004:$AS$1004,1,MATCH(COLUMNS($AC$1006:AH1006),$AC$1006:$AS$1006,0)))),"Fix")))</f>
        <v>0</v>
      </c>
      <c r="H161" s="5">
        <f>IF(OR(INDEX($W$2:$W$1001,MATCH(ROWS($V$2:V161),$V$2:$V$1001,0),1)&gt;=100000,INDEX($AC$1005:$AS$1005,1,MATCH(COLUMNS($AC$1006:AI1006),$AC$1006:$AS$1006,0))&gt;=100000), " ",IF(INDEX($AC$2:$AS$1001,MATCH(ROWS($V$2:V161),$V$2:$V$1001,0),MATCH(COLUMNS($AC$1006:AI1006),$AC$1006:$AS$1006,0)), HYPERLINK("#",""), HYPERLINK(CONCATENATE("#Metadata!", ADDRESS(INDEX($X$2:$X$1001,MATCH(ROWS($V$2:V161),$V$2:$V$1001,0),0), INDEX($AC$1004:$AS$1004,1,MATCH(COLUMNS($AC$1006:AI1006),$AC$1006:$AS$1006,0)))),"Fix")))</f>
        <v>0</v>
      </c>
      <c r="I161" s="5">
        <f>IF(OR(INDEX($W$2:$W$1001,MATCH(ROWS($V$2:V161),$V$2:$V$1001,0),1)&gt;=100000,INDEX($AC$1005:$AS$1005,1,MATCH(COLUMNS($AC$1006:AJ1006),$AC$1006:$AS$1006,0))&gt;=100000), " ",IF(INDEX($AC$2:$AS$1001,MATCH(ROWS($V$2:V161),$V$2:$V$1001,0),MATCH(COLUMNS($AC$1006:AJ1006),$AC$1006:$AS$1006,0)), HYPERLINK("#",""), HYPERLINK(CONCATENATE("#Metadata!", ADDRESS(INDEX($X$2:$X$1001,MATCH(ROWS($V$2:V161),$V$2:$V$1001,0),0), INDEX($AC$1004:$AS$1004,1,MATCH(COLUMNS($AC$1006:AJ1006),$AC$1006:$AS$1006,0)))),"Fix")))</f>
        <v>0</v>
      </c>
      <c r="J161" s="5">
        <f>IF(OR(INDEX($W$2:$W$1001,MATCH(ROWS($V$2:V161),$V$2:$V$1001,0),1)&gt;=100000,INDEX($AC$1005:$AS$1005,1,MATCH(COLUMNS($AC$1006:AK1006),$AC$1006:$AS$1006,0))&gt;=100000), " ",IF(INDEX($AC$2:$AS$1001,MATCH(ROWS($V$2:V161),$V$2:$V$1001,0),MATCH(COLUMNS($AC$1006:AK1006),$AC$1006:$AS$1006,0)), HYPERLINK("#",""), HYPERLINK(CONCATENATE("#Metadata!", ADDRESS(INDEX($X$2:$X$1001,MATCH(ROWS($V$2:V161),$V$2:$V$1001,0),0), INDEX($AC$1004:$AS$1004,1,MATCH(COLUMNS($AC$1006:AK1006),$AC$1006:$AS$1006,0)))),"Fix")))</f>
        <v>0</v>
      </c>
      <c r="K161" s="5">
        <f>IF(OR(INDEX($W$2:$W$1001,MATCH(ROWS($V$2:V161),$V$2:$V$1001,0),1)&gt;=100000,INDEX($AC$1005:$AS$1005,1,MATCH(COLUMNS($AC$1006:AL1006),$AC$1006:$AS$1006,0))&gt;=100000), " ",IF(INDEX($AC$2:$AS$1001,MATCH(ROWS($V$2:V161),$V$2:$V$1001,0),MATCH(COLUMNS($AC$1006:AL1006),$AC$1006:$AS$1006,0)), HYPERLINK("#",""), HYPERLINK(CONCATENATE("#Metadata!", ADDRESS(INDEX($X$2:$X$1001,MATCH(ROWS($V$2:V161),$V$2:$V$1001,0),0), INDEX($AC$1004:$AS$1004,1,MATCH(COLUMNS($AC$1006:AL1006),$AC$1006:$AS$1006,0)))),"Fix")))</f>
        <v>0</v>
      </c>
      <c r="L161" s="5">
        <f>IF(OR(INDEX($W$2:$W$1001,MATCH(ROWS($V$2:V161),$V$2:$V$1001,0),1)&gt;=100000,INDEX($AC$1005:$AS$1005,1,MATCH(COLUMNS($AC$1006:AM1006),$AC$1006:$AS$1006,0))&gt;=100000), " ",IF(INDEX($AC$2:$AS$1001,MATCH(ROWS($V$2:V161),$V$2:$V$1001,0),MATCH(COLUMNS($AC$1006:AM1006),$AC$1006:$AS$1006,0)), HYPERLINK("#",""), HYPERLINK(CONCATENATE("#Metadata!", ADDRESS(INDEX($X$2:$X$1001,MATCH(ROWS($V$2:V161),$V$2:$V$1001,0),0), INDEX($AC$1004:$AS$1004,1,MATCH(COLUMNS($AC$1006:AM1006),$AC$1006:$AS$1006,0)))),"Fix")))</f>
        <v>0</v>
      </c>
      <c r="M161" s="5">
        <f>IF(OR(INDEX($W$2:$W$1001,MATCH(ROWS($V$2:V161),$V$2:$V$1001,0),1)&gt;=100000,INDEX($AC$1005:$AS$1005,1,MATCH(COLUMNS($AC$1006:AN1006),$AC$1006:$AS$1006,0))&gt;=100000), " ",IF(INDEX($AC$2:$AS$1001,MATCH(ROWS($V$2:V161),$V$2:$V$1001,0),MATCH(COLUMNS($AC$1006:AN1006),$AC$1006:$AS$1006,0)), HYPERLINK("#",""), HYPERLINK(CONCATENATE("#Metadata!", ADDRESS(INDEX($X$2:$X$1001,MATCH(ROWS($V$2:V161),$V$2:$V$1001,0),0), INDEX($AC$1004:$AS$1004,1,MATCH(COLUMNS($AC$1006:AN1006),$AC$1006:$AS$1006,0)))),"Fix")))</f>
        <v>0</v>
      </c>
      <c r="N161" s="5">
        <f>IF(OR(INDEX($W$2:$W$1001,MATCH(ROWS($V$2:V161),$V$2:$V$1001,0),1)&gt;=100000,INDEX($AC$1005:$AS$1005,1,MATCH(COLUMNS($AC$1006:AO1006),$AC$1006:$AS$1006,0))&gt;=100000), " ",IF(INDEX($AC$2:$AS$1001,MATCH(ROWS($V$2:V161),$V$2:$V$1001,0),MATCH(COLUMNS($AC$1006:AO1006),$AC$1006:$AS$1006,0)), HYPERLINK("#",""), HYPERLINK(CONCATENATE("#Metadata!", ADDRESS(INDEX($X$2:$X$1001,MATCH(ROWS($V$2:V161),$V$2:$V$1001,0),0), INDEX($AC$1004:$AS$1004,1,MATCH(COLUMNS($AC$1006:AO1006),$AC$1006:$AS$1006,0)))),"Fix")))</f>
        <v>0</v>
      </c>
      <c r="O161" s="5">
        <f>IF(OR(INDEX($W$2:$W$1001,MATCH(ROWS($V$2:V161),$V$2:$V$1001,0),1)&gt;=100000,INDEX($AC$1005:$AS$1005,1,MATCH(COLUMNS($AC$1006:AP1006),$AC$1006:$AS$1006,0))&gt;=100000), " ",IF(INDEX($AC$2:$AS$1001,MATCH(ROWS($V$2:V161),$V$2:$V$1001,0),MATCH(COLUMNS($AC$1006:AP1006),$AC$1006:$AS$1006,0)), HYPERLINK("#",""), HYPERLINK(CONCATENATE("#Metadata!", ADDRESS(INDEX($X$2:$X$1001,MATCH(ROWS($V$2:V161),$V$2:$V$1001,0),0), INDEX($AC$1004:$AS$1004,1,MATCH(COLUMNS($AC$1006:AP1006),$AC$1006:$AS$1006,0)))),"Fix")))</f>
        <v>0</v>
      </c>
      <c r="P161" s="5">
        <f>IF(OR(INDEX($W$2:$W$1001,MATCH(ROWS($V$2:V161),$V$2:$V$1001,0),1)&gt;=100000,INDEX($AC$1005:$AS$1005,1,MATCH(COLUMNS($AC$1006:AQ1006),$AC$1006:$AS$1006,0))&gt;=100000), " ",IF(INDEX($AC$2:$AS$1001,MATCH(ROWS($V$2:V161),$V$2:$V$1001,0),MATCH(COLUMNS($AC$1006:AQ1006),$AC$1006:$AS$1006,0)), HYPERLINK("#",""), HYPERLINK(CONCATENATE("#Metadata!", ADDRESS(INDEX($X$2:$X$1001,MATCH(ROWS($V$2:V161),$V$2:$V$1001,0),0), INDEX($AC$1004:$AS$1004,1,MATCH(COLUMNS($AC$1006:AQ1006),$AC$1006:$AS$1006,0)))),"Fix")))</f>
        <v>0</v>
      </c>
      <c r="Q161" s="5">
        <f>IF(OR(INDEX($W$2:$W$1001,MATCH(ROWS($V$2:V161),$V$2:$V$1001,0),1)&gt;=100000,INDEX($AC$1005:$AS$1005,1,MATCH(COLUMNS($AC$1006:AR1006),$AC$1006:$AS$1006,0))&gt;=100000), " ",IF(INDEX($AC$2:$AS$1001,MATCH(ROWS($V$2:V161),$V$2:$V$1001,0),MATCH(COLUMNS($AC$1006:AR1006),$AC$1006:$AS$1006,0)), HYPERLINK("#",""), HYPERLINK(CONCATENATE("#Metadata!", ADDRESS(INDEX($X$2:$X$1001,MATCH(ROWS($V$2:V161),$V$2:$V$1001,0),0), INDEX($AC$1004:$AS$1004,1,MATCH(COLUMNS($AC$1006:AR1006),$AC$1006:$AS$1006,0)))),"Fix")))</f>
        <v>0</v>
      </c>
      <c r="R161" s="5">
        <f>IF(OR(INDEX($W$2:$W$1001,MATCH(ROWS($V$2:V161),$V$2:$V$1001,0),1)&gt;=100000,INDEX($AC$1005:$AS$1005,1,MATCH(COLUMNS($AC$1006:AS1006),$AC$1006:$AS$1006,0))&gt;=100000), " ",IF(INDEX($AC$2:$AS$1001,MATCH(ROWS($V$2:V161),$V$2:$V$1001,0),MATCH(COLUMNS($AC$1006:AS1006),$AC$1006:$AS$1006,0)), HYPERLINK("#",""), HYPERLINK(CONCATENATE("#Metadata!", ADDRESS(INDEX($X$2:$X$1001,MATCH(ROWS($V$2:V161),$V$2:$V$1001,0),0), INDEX($AC$1004:$AS$1004,1,MATCH(COLUMNS($AC$1006:AS1006),$AC$1006:$AS$1006,0)))),"Fix")))</f>
        <v>0</v>
      </c>
      <c r="V161">
        <v>0</v>
      </c>
      <c r="W161">
        <v>0</v>
      </c>
      <c r="X161">
        <v>0</v>
      </c>
      <c r="Y161">
        <f>IF(Z161,TRUE,AND(AC161:AS161))</f>
        <v>0</v>
      </c>
      <c r="Z161">
        <f>COUNTBLANK(Metadata!B161:R161)=COLUMNS(Metadata!B161:R161)</f>
        <v>0</v>
      </c>
      <c r="AA161">
        <v>0</v>
      </c>
      <c r="AC161">
        <f>AND(IF(Metadata!B161="",FALSE,TRUE),COUNTIF(Metadata!B:B, Metadata!B161) = 1,NOT(ISERROR(SUMPRODUCT(SEARCH(MID(Metadata!B161,ROW(INDIRECT("1:"&amp;LEN(Metadata!B161))), 1),"0123456789abcdefghijklmnopqrstuvwxyzABCDEFGHIJKLMNOPQRSTUVWXYZ.")))))</f>
        <v>0</v>
      </c>
      <c r="AD161">
        <f>AND(IF(Metadata!C161="",FALSE,TRUE),exact(Metadata!C161,"Host-associated"))</f>
        <v>0</v>
      </c>
      <c r="AE161">
        <f>AND(IF(Metadata!D161="",FALSE,TRUE),OR(exact(Metadata!D161,"Animal"),exact(Metadata!D161,"Fungus"),exact(Metadata!D161,"Plant")))</f>
        <v>0</v>
      </c>
      <c r="AF161">
        <f>AND(IF(Metadata!E161="",FALSE,TRUE),OR(exact(Metadata!E161,"Plant secretion"),exact(Metadata!E161,"Plant rhizosphere"),exact(Metadata!E161,"Plant surface"),exact(Metadata!E161,"Plant corpus"),exact(Metadata!E161,"Fungus surface"),exact(Metadata!E161,"Fungus corpus"),exact(Metadata!E161,"Animal surface"),exact(Metadata!E161,"Animal proximal gut"),exact(Metadata!E161,"Animal corpus"),exact(Metadata!E161,"Animal distal gut"),exact(Metadata!E161,"Animal secretion")))</f>
        <v>0</v>
      </c>
      <c r="AG161">
        <f>OR(AND(IF(Metadata!F161="",FALSE,TRUE),OR(exact(Metadata!F161,"not collected"),exact(Metadata!F161,"not provided"),exact(Metadata!F161,"restricted access"))),AND(IF(Metadata!F161="",FALSE,TRUE),OR(exact(Metadata!F161,"organism-associated habitat"),exact(Metadata!F161,"plant-associated habitat"),exact(Metadata!F161,"animal-associated habitat"),exact(Metadata!F161,"insecta-associated habitat"),exact(Metadata!F161,"mammalia-associated habitat"),exact(Metadata!F161,"human-associated habitat"),exact(Metadata!F161,"livestock-associated habitat"))))</f>
        <v>0</v>
      </c>
      <c r="AH161">
        <f>AND(IF(Metadata!G161="",FALSE,TRUE),exact(Metadata!G161,"host-associated"))</f>
        <v>0</v>
      </c>
      <c r="AI161">
        <f>OR(AND(IF(Metadata!H161="",FALSE,TRUE),OR(exact(Metadata!H161,"not collected"),exact(Metadata!H161,"not provided"))),AND(IF(Metadata!H161="",FALSE,ISNUMBER(VALUE(Metadata!H161))),Metadata!H161&gt;0))</f>
        <v>0</v>
      </c>
      <c r="AJ161">
        <f>AND(IF(Metadata!I161="",FALSE,TRUE),exact(Metadata!I161,"years"))</f>
        <v>0</v>
      </c>
      <c r="AK161">
        <f>IF(Metadata!J161="",FALSE,TRUE)</f>
        <v>0</v>
      </c>
      <c r="AL161">
        <f>OR(AND(IF(Metadata!K161="",FALSE,TRUE),OR(exact(Metadata!K161,"not collected"),exact(Metadata!K161,"not provided"))),AND(IF(Metadata!K161="",FALSE,ISNUMBER(VALUE(Metadata!K161))),Metadata!K161&gt;0))</f>
        <v>0</v>
      </c>
      <c r="AM161">
        <f>AND(IF(Metadata!L161="",FALSE,TRUE),exact(Metadata!L161,"cm"))</f>
        <v>0</v>
      </c>
      <c r="AN161">
        <f>IF(Metadata!M161="",FALSE,TRUE)</f>
        <v>0</v>
      </c>
      <c r="AO161">
        <f>OR(AND(IF(Metadata!N161="",FALSE,TRUE),OR(exact(Metadata!N161,"not applicable"),exact(Metadata!N161,"not collected"),exact(Metadata!N161,"not provided"))),AND(IF(Metadata!N161="",FALSE,IF(ISERROR(INT(Metadata!N161)),FALSE,INT(Metadata!N161)=Metadata!N161)),Metadata!N161&gt;0))</f>
        <v>0</v>
      </c>
      <c r="AP161">
        <f>OR(AND(IF(Metadata!O161="",FALSE,TRUE),OR(exact(Metadata!O161,"not collected"),exact(Metadata!O161,"not provided"))),AND(IF(Metadata!O161="",FALSE,ISNUMBER(VALUE(Metadata!O161))),Metadata!O161&gt;0))</f>
        <v>0</v>
      </c>
      <c r="AQ161">
        <f>AND(IF(Metadata!P161="",FALSE,TRUE),exact(Metadata!P161,"kg"))</f>
        <v>0</v>
      </c>
      <c r="AR161">
        <f>OR(AND(IF(Metadata!Q161="",FALSE,TRUE),OR(exact(Metadata!Q161,"not applicable"),exact(Metadata!Q161,"not collected"),exact(Metadata!Q161,"not provided"),exact(Metadata!Q161,"restricted access"))),IF(Metadata!Q161="",FALSE,IF(ISERROR(INT(Metadata!Q161)),FALSE,INT(Metadata!Q161)=Metadata!Q161)))</f>
        <v>0</v>
      </c>
      <c r="AS161">
        <f>AND(IF(Metadata!R161="",FALSE,TRUE),exact(Metadata!R161,"Not applicable"))</f>
        <v>0</v>
      </c>
    </row>
    <row r="162" spans="1:45">
      <c r="A162" s="4">
        <f>IF(B162=" "," ",HYPERLINK(CONCATENATE("#metadata!",ADDRESS(INDEX($X$2:$X$1001,MATCH(ROWS($V$2:V162),$V$2:$V$1001,0),0),2)),INDEX($AA$2:$AA$1001,MATCH(ROWS($V$2:V162),$V$2:$V$1001,0),0)))</f>
        <v>0</v>
      </c>
      <c r="B162" s="5">
        <f>IF(OR(INDEX($W$2:$W$1001,MATCH(ROWS($V$2:V162),$V$2:$V$1001,0),1)&gt;=100000,INDEX($AC$1005:$AS$1005,1,MATCH(COLUMNS($AC$1006:AC1006),$AC$1006:$AS$1006,0))&gt;=100000), " ",IF(INDEX($AC$2:$AS$1001,MATCH(ROWS($V$2:V162),$V$2:$V$1001,0),MATCH(COLUMNS($AC$1006:AC1006),$AC$1006:$AS$1006,0)), HYPERLINK("#",""), HYPERLINK(CONCATENATE("#Metadata!", ADDRESS(INDEX($X$2:$X$1001,MATCH(ROWS($V$2:V162),$V$2:$V$1001,0),0), INDEX($AC$1004:$AS$1004,1,MATCH(COLUMNS($AC$1006:AC1006),$AC$1006:$AS$1006,0)))),"Fix")))</f>
        <v>0</v>
      </c>
      <c r="C162" s="5">
        <f>IF(OR(INDEX($W$2:$W$1001,MATCH(ROWS($V$2:V162),$V$2:$V$1001,0),1)&gt;=100000,INDEX($AC$1005:$AS$1005,1,MATCH(COLUMNS($AC$1006:AD1006),$AC$1006:$AS$1006,0))&gt;=100000), " ",IF(INDEX($AC$2:$AS$1001,MATCH(ROWS($V$2:V162),$V$2:$V$1001,0),MATCH(COLUMNS($AC$1006:AD1006),$AC$1006:$AS$1006,0)), HYPERLINK("#",""), HYPERLINK(CONCATENATE("#Metadata!", ADDRESS(INDEX($X$2:$X$1001,MATCH(ROWS($V$2:V162),$V$2:$V$1001,0),0), INDEX($AC$1004:$AS$1004,1,MATCH(COLUMNS($AC$1006:AD1006),$AC$1006:$AS$1006,0)))),"Fix")))</f>
        <v>0</v>
      </c>
      <c r="D162" s="5">
        <f>IF(OR(INDEX($W$2:$W$1001,MATCH(ROWS($V$2:V162),$V$2:$V$1001,0),1)&gt;=100000,INDEX($AC$1005:$AS$1005,1,MATCH(COLUMNS($AC$1006:AE1006),$AC$1006:$AS$1006,0))&gt;=100000), " ",IF(INDEX($AC$2:$AS$1001,MATCH(ROWS($V$2:V162),$V$2:$V$1001,0),MATCH(COLUMNS($AC$1006:AE1006),$AC$1006:$AS$1006,0)), HYPERLINK("#",""), HYPERLINK(CONCATENATE("#Metadata!", ADDRESS(INDEX($X$2:$X$1001,MATCH(ROWS($V$2:V162),$V$2:$V$1001,0),0), INDEX($AC$1004:$AS$1004,1,MATCH(COLUMNS($AC$1006:AE1006),$AC$1006:$AS$1006,0)))),"Fix")))</f>
        <v>0</v>
      </c>
      <c r="E162" s="5">
        <f>IF(OR(INDEX($W$2:$W$1001,MATCH(ROWS($V$2:V162),$V$2:$V$1001,0),1)&gt;=100000,INDEX($AC$1005:$AS$1005,1,MATCH(COLUMNS($AC$1006:AF1006),$AC$1006:$AS$1006,0))&gt;=100000), " ",IF(INDEX($AC$2:$AS$1001,MATCH(ROWS($V$2:V162),$V$2:$V$1001,0),MATCH(COLUMNS($AC$1006:AF1006),$AC$1006:$AS$1006,0)), HYPERLINK("#",""), HYPERLINK(CONCATENATE("#Metadata!", ADDRESS(INDEX($X$2:$X$1001,MATCH(ROWS($V$2:V162),$V$2:$V$1001,0),0), INDEX($AC$1004:$AS$1004,1,MATCH(COLUMNS($AC$1006:AF1006),$AC$1006:$AS$1006,0)))),"Fix")))</f>
        <v>0</v>
      </c>
      <c r="F162" s="5">
        <f>IF(OR(INDEX($W$2:$W$1001,MATCH(ROWS($V$2:V162),$V$2:$V$1001,0),1)&gt;=100000,INDEX($AC$1005:$AS$1005,1,MATCH(COLUMNS($AC$1006:AG1006),$AC$1006:$AS$1006,0))&gt;=100000), " ",IF(INDEX($AC$2:$AS$1001,MATCH(ROWS($V$2:V162),$V$2:$V$1001,0),MATCH(COLUMNS($AC$1006:AG1006),$AC$1006:$AS$1006,0)), HYPERLINK("#",""), HYPERLINK(CONCATENATE("#Metadata!", ADDRESS(INDEX($X$2:$X$1001,MATCH(ROWS($V$2:V162),$V$2:$V$1001,0),0), INDEX($AC$1004:$AS$1004,1,MATCH(COLUMNS($AC$1006:AG1006),$AC$1006:$AS$1006,0)))),"Fix")))</f>
        <v>0</v>
      </c>
      <c r="G162" s="5">
        <f>IF(OR(INDEX($W$2:$W$1001,MATCH(ROWS($V$2:V162),$V$2:$V$1001,0),1)&gt;=100000,INDEX($AC$1005:$AS$1005,1,MATCH(COLUMNS($AC$1006:AH1006),$AC$1006:$AS$1006,0))&gt;=100000), " ",IF(INDEX($AC$2:$AS$1001,MATCH(ROWS($V$2:V162),$V$2:$V$1001,0),MATCH(COLUMNS($AC$1006:AH1006),$AC$1006:$AS$1006,0)), HYPERLINK("#",""), HYPERLINK(CONCATENATE("#Metadata!", ADDRESS(INDEX($X$2:$X$1001,MATCH(ROWS($V$2:V162),$V$2:$V$1001,0),0), INDEX($AC$1004:$AS$1004,1,MATCH(COLUMNS($AC$1006:AH1006),$AC$1006:$AS$1006,0)))),"Fix")))</f>
        <v>0</v>
      </c>
      <c r="H162" s="5">
        <f>IF(OR(INDEX($W$2:$W$1001,MATCH(ROWS($V$2:V162),$V$2:$V$1001,0),1)&gt;=100000,INDEX($AC$1005:$AS$1005,1,MATCH(COLUMNS($AC$1006:AI1006),$AC$1006:$AS$1006,0))&gt;=100000), " ",IF(INDEX($AC$2:$AS$1001,MATCH(ROWS($V$2:V162),$V$2:$V$1001,0),MATCH(COLUMNS($AC$1006:AI1006),$AC$1006:$AS$1006,0)), HYPERLINK("#",""), HYPERLINK(CONCATENATE("#Metadata!", ADDRESS(INDEX($X$2:$X$1001,MATCH(ROWS($V$2:V162),$V$2:$V$1001,0),0), INDEX($AC$1004:$AS$1004,1,MATCH(COLUMNS($AC$1006:AI1006),$AC$1006:$AS$1006,0)))),"Fix")))</f>
        <v>0</v>
      </c>
      <c r="I162" s="5">
        <f>IF(OR(INDEX($W$2:$W$1001,MATCH(ROWS($V$2:V162),$V$2:$V$1001,0),1)&gt;=100000,INDEX($AC$1005:$AS$1005,1,MATCH(COLUMNS($AC$1006:AJ1006),$AC$1006:$AS$1006,0))&gt;=100000), " ",IF(INDEX($AC$2:$AS$1001,MATCH(ROWS($V$2:V162),$V$2:$V$1001,0),MATCH(COLUMNS($AC$1006:AJ1006),$AC$1006:$AS$1006,0)), HYPERLINK("#",""), HYPERLINK(CONCATENATE("#Metadata!", ADDRESS(INDEX($X$2:$X$1001,MATCH(ROWS($V$2:V162),$V$2:$V$1001,0),0), INDEX($AC$1004:$AS$1004,1,MATCH(COLUMNS($AC$1006:AJ1006),$AC$1006:$AS$1006,0)))),"Fix")))</f>
        <v>0</v>
      </c>
      <c r="J162" s="5">
        <f>IF(OR(INDEX($W$2:$W$1001,MATCH(ROWS($V$2:V162),$V$2:$V$1001,0),1)&gt;=100000,INDEX($AC$1005:$AS$1005,1,MATCH(COLUMNS($AC$1006:AK1006),$AC$1006:$AS$1006,0))&gt;=100000), " ",IF(INDEX($AC$2:$AS$1001,MATCH(ROWS($V$2:V162),$V$2:$V$1001,0),MATCH(COLUMNS($AC$1006:AK1006),$AC$1006:$AS$1006,0)), HYPERLINK("#",""), HYPERLINK(CONCATENATE("#Metadata!", ADDRESS(INDEX($X$2:$X$1001,MATCH(ROWS($V$2:V162),$V$2:$V$1001,0),0), INDEX($AC$1004:$AS$1004,1,MATCH(COLUMNS($AC$1006:AK1006),$AC$1006:$AS$1006,0)))),"Fix")))</f>
        <v>0</v>
      </c>
      <c r="K162" s="5">
        <f>IF(OR(INDEX($W$2:$W$1001,MATCH(ROWS($V$2:V162),$V$2:$V$1001,0),1)&gt;=100000,INDEX($AC$1005:$AS$1005,1,MATCH(COLUMNS($AC$1006:AL1006),$AC$1006:$AS$1006,0))&gt;=100000), " ",IF(INDEX($AC$2:$AS$1001,MATCH(ROWS($V$2:V162),$V$2:$V$1001,0),MATCH(COLUMNS($AC$1006:AL1006),$AC$1006:$AS$1006,0)), HYPERLINK("#",""), HYPERLINK(CONCATENATE("#Metadata!", ADDRESS(INDEX($X$2:$X$1001,MATCH(ROWS($V$2:V162),$V$2:$V$1001,0),0), INDEX($AC$1004:$AS$1004,1,MATCH(COLUMNS($AC$1006:AL1006),$AC$1006:$AS$1006,0)))),"Fix")))</f>
        <v>0</v>
      </c>
      <c r="L162" s="5">
        <f>IF(OR(INDEX($W$2:$W$1001,MATCH(ROWS($V$2:V162),$V$2:$V$1001,0),1)&gt;=100000,INDEX($AC$1005:$AS$1005,1,MATCH(COLUMNS($AC$1006:AM1006),$AC$1006:$AS$1006,0))&gt;=100000), " ",IF(INDEX($AC$2:$AS$1001,MATCH(ROWS($V$2:V162),$V$2:$V$1001,0),MATCH(COLUMNS($AC$1006:AM1006),$AC$1006:$AS$1006,0)), HYPERLINK("#",""), HYPERLINK(CONCATENATE("#Metadata!", ADDRESS(INDEX($X$2:$X$1001,MATCH(ROWS($V$2:V162),$V$2:$V$1001,0),0), INDEX($AC$1004:$AS$1004,1,MATCH(COLUMNS($AC$1006:AM1006),$AC$1006:$AS$1006,0)))),"Fix")))</f>
        <v>0</v>
      </c>
      <c r="M162" s="5">
        <f>IF(OR(INDEX($W$2:$W$1001,MATCH(ROWS($V$2:V162),$V$2:$V$1001,0),1)&gt;=100000,INDEX($AC$1005:$AS$1005,1,MATCH(COLUMNS($AC$1006:AN1006),$AC$1006:$AS$1006,0))&gt;=100000), " ",IF(INDEX($AC$2:$AS$1001,MATCH(ROWS($V$2:V162),$V$2:$V$1001,0),MATCH(COLUMNS($AC$1006:AN1006),$AC$1006:$AS$1006,0)), HYPERLINK("#",""), HYPERLINK(CONCATENATE("#Metadata!", ADDRESS(INDEX($X$2:$X$1001,MATCH(ROWS($V$2:V162),$V$2:$V$1001,0),0), INDEX($AC$1004:$AS$1004,1,MATCH(COLUMNS($AC$1006:AN1006),$AC$1006:$AS$1006,0)))),"Fix")))</f>
        <v>0</v>
      </c>
      <c r="N162" s="5">
        <f>IF(OR(INDEX($W$2:$W$1001,MATCH(ROWS($V$2:V162),$V$2:$V$1001,0),1)&gt;=100000,INDEX($AC$1005:$AS$1005,1,MATCH(COLUMNS($AC$1006:AO1006),$AC$1006:$AS$1006,0))&gt;=100000), " ",IF(INDEX($AC$2:$AS$1001,MATCH(ROWS($V$2:V162),$V$2:$V$1001,0),MATCH(COLUMNS($AC$1006:AO1006),$AC$1006:$AS$1006,0)), HYPERLINK("#",""), HYPERLINK(CONCATENATE("#Metadata!", ADDRESS(INDEX($X$2:$X$1001,MATCH(ROWS($V$2:V162),$V$2:$V$1001,0),0), INDEX($AC$1004:$AS$1004,1,MATCH(COLUMNS($AC$1006:AO1006),$AC$1006:$AS$1006,0)))),"Fix")))</f>
        <v>0</v>
      </c>
      <c r="O162" s="5">
        <f>IF(OR(INDEX($W$2:$W$1001,MATCH(ROWS($V$2:V162),$V$2:$V$1001,0),1)&gt;=100000,INDEX($AC$1005:$AS$1005,1,MATCH(COLUMNS($AC$1006:AP1006),$AC$1006:$AS$1006,0))&gt;=100000), " ",IF(INDEX($AC$2:$AS$1001,MATCH(ROWS($V$2:V162),$V$2:$V$1001,0),MATCH(COLUMNS($AC$1006:AP1006),$AC$1006:$AS$1006,0)), HYPERLINK("#",""), HYPERLINK(CONCATENATE("#Metadata!", ADDRESS(INDEX($X$2:$X$1001,MATCH(ROWS($V$2:V162),$V$2:$V$1001,0),0), INDEX($AC$1004:$AS$1004,1,MATCH(COLUMNS($AC$1006:AP1006),$AC$1006:$AS$1006,0)))),"Fix")))</f>
        <v>0</v>
      </c>
      <c r="P162" s="5">
        <f>IF(OR(INDEX($W$2:$W$1001,MATCH(ROWS($V$2:V162),$V$2:$V$1001,0),1)&gt;=100000,INDEX($AC$1005:$AS$1005,1,MATCH(COLUMNS($AC$1006:AQ1006),$AC$1006:$AS$1006,0))&gt;=100000), " ",IF(INDEX($AC$2:$AS$1001,MATCH(ROWS($V$2:V162),$V$2:$V$1001,0),MATCH(COLUMNS($AC$1006:AQ1006),$AC$1006:$AS$1006,0)), HYPERLINK("#",""), HYPERLINK(CONCATENATE("#Metadata!", ADDRESS(INDEX($X$2:$X$1001,MATCH(ROWS($V$2:V162),$V$2:$V$1001,0),0), INDEX($AC$1004:$AS$1004,1,MATCH(COLUMNS($AC$1006:AQ1006),$AC$1006:$AS$1006,0)))),"Fix")))</f>
        <v>0</v>
      </c>
      <c r="Q162" s="5">
        <f>IF(OR(INDEX($W$2:$W$1001,MATCH(ROWS($V$2:V162),$V$2:$V$1001,0),1)&gt;=100000,INDEX($AC$1005:$AS$1005,1,MATCH(COLUMNS($AC$1006:AR1006),$AC$1006:$AS$1006,0))&gt;=100000), " ",IF(INDEX($AC$2:$AS$1001,MATCH(ROWS($V$2:V162),$V$2:$V$1001,0),MATCH(COLUMNS($AC$1006:AR1006),$AC$1006:$AS$1006,0)), HYPERLINK("#",""), HYPERLINK(CONCATENATE("#Metadata!", ADDRESS(INDEX($X$2:$X$1001,MATCH(ROWS($V$2:V162),$V$2:$V$1001,0),0), INDEX($AC$1004:$AS$1004,1,MATCH(COLUMNS($AC$1006:AR1006),$AC$1006:$AS$1006,0)))),"Fix")))</f>
        <v>0</v>
      </c>
      <c r="R162" s="5">
        <f>IF(OR(INDEX($W$2:$W$1001,MATCH(ROWS($V$2:V162),$V$2:$V$1001,0),1)&gt;=100000,INDEX($AC$1005:$AS$1005,1,MATCH(COLUMNS($AC$1006:AS1006),$AC$1006:$AS$1006,0))&gt;=100000), " ",IF(INDEX($AC$2:$AS$1001,MATCH(ROWS($V$2:V162),$V$2:$V$1001,0),MATCH(COLUMNS($AC$1006:AS1006),$AC$1006:$AS$1006,0)), HYPERLINK("#",""), HYPERLINK(CONCATENATE("#Metadata!", ADDRESS(INDEX($X$2:$X$1001,MATCH(ROWS($V$2:V162),$V$2:$V$1001,0),0), INDEX($AC$1004:$AS$1004,1,MATCH(COLUMNS($AC$1006:AS1006),$AC$1006:$AS$1006,0)))),"Fix")))</f>
        <v>0</v>
      </c>
      <c r="V162">
        <v>0</v>
      </c>
      <c r="W162">
        <v>0</v>
      </c>
      <c r="X162">
        <v>0</v>
      </c>
      <c r="Y162">
        <f>IF(Z162,TRUE,AND(AC162:AS162))</f>
        <v>0</v>
      </c>
      <c r="Z162">
        <f>COUNTBLANK(Metadata!B162:R162)=COLUMNS(Metadata!B162:R162)</f>
        <v>0</v>
      </c>
      <c r="AA162">
        <v>0</v>
      </c>
      <c r="AC162">
        <f>AND(IF(Metadata!B162="",FALSE,TRUE),COUNTIF(Metadata!B:B, Metadata!B162) = 1,NOT(ISERROR(SUMPRODUCT(SEARCH(MID(Metadata!B162,ROW(INDIRECT("1:"&amp;LEN(Metadata!B162))), 1),"0123456789abcdefghijklmnopqrstuvwxyzABCDEFGHIJKLMNOPQRSTUVWXYZ.")))))</f>
        <v>0</v>
      </c>
      <c r="AD162">
        <f>AND(IF(Metadata!C162="",FALSE,TRUE),exact(Metadata!C162,"Host-associated"))</f>
        <v>0</v>
      </c>
      <c r="AE162">
        <f>AND(IF(Metadata!D162="",FALSE,TRUE),OR(exact(Metadata!D162,"Animal"),exact(Metadata!D162,"Fungus"),exact(Metadata!D162,"Plant")))</f>
        <v>0</v>
      </c>
      <c r="AF162">
        <f>AND(IF(Metadata!E162="",FALSE,TRUE),OR(exact(Metadata!E162,"Plant secretion"),exact(Metadata!E162,"Plant rhizosphere"),exact(Metadata!E162,"Plant surface"),exact(Metadata!E162,"Plant corpus"),exact(Metadata!E162,"Fungus surface"),exact(Metadata!E162,"Fungus corpus"),exact(Metadata!E162,"Animal surface"),exact(Metadata!E162,"Animal proximal gut"),exact(Metadata!E162,"Animal corpus"),exact(Metadata!E162,"Animal distal gut"),exact(Metadata!E162,"Animal secretion")))</f>
        <v>0</v>
      </c>
      <c r="AG162">
        <f>OR(AND(IF(Metadata!F162="",FALSE,TRUE),OR(exact(Metadata!F162,"not collected"),exact(Metadata!F162,"not provided"),exact(Metadata!F162,"restricted access"))),AND(IF(Metadata!F162="",FALSE,TRUE),OR(exact(Metadata!F162,"organism-associated habitat"),exact(Metadata!F162,"plant-associated habitat"),exact(Metadata!F162,"animal-associated habitat"),exact(Metadata!F162,"insecta-associated habitat"),exact(Metadata!F162,"mammalia-associated habitat"),exact(Metadata!F162,"human-associated habitat"),exact(Metadata!F162,"livestock-associated habitat"))))</f>
        <v>0</v>
      </c>
      <c r="AH162">
        <f>AND(IF(Metadata!G162="",FALSE,TRUE),exact(Metadata!G162,"host-associated"))</f>
        <v>0</v>
      </c>
      <c r="AI162">
        <f>OR(AND(IF(Metadata!H162="",FALSE,TRUE),OR(exact(Metadata!H162,"not collected"),exact(Metadata!H162,"not provided"))),AND(IF(Metadata!H162="",FALSE,ISNUMBER(VALUE(Metadata!H162))),Metadata!H162&gt;0))</f>
        <v>0</v>
      </c>
      <c r="AJ162">
        <f>AND(IF(Metadata!I162="",FALSE,TRUE),exact(Metadata!I162,"years"))</f>
        <v>0</v>
      </c>
      <c r="AK162">
        <f>IF(Metadata!J162="",FALSE,TRUE)</f>
        <v>0</v>
      </c>
      <c r="AL162">
        <f>OR(AND(IF(Metadata!K162="",FALSE,TRUE),OR(exact(Metadata!K162,"not collected"),exact(Metadata!K162,"not provided"))),AND(IF(Metadata!K162="",FALSE,ISNUMBER(VALUE(Metadata!K162))),Metadata!K162&gt;0))</f>
        <v>0</v>
      </c>
      <c r="AM162">
        <f>AND(IF(Metadata!L162="",FALSE,TRUE),exact(Metadata!L162,"cm"))</f>
        <v>0</v>
      </c>
      <c r="AN162">
        <f>IF(Metadata!M162="",FALSE,TRUE)</f>
        <v>0</v>
      </c>
      <c r="AO162">
        <f>OR(AND(IF(Metadata!N162="",FALSE,TRUE),OR(exact(Metadata!N162,"not applicable"),exact(Metadata!N162,"not collected"),exact(Metadata!N162,"not provided"))),AND(IF(Metadata!N162="",FALSE,IF(ISERROR(INT(Metadata!N162)),FALSE,INT(Metadata!N162)=Metadata!N162)),Metadata!N162&gt;0))</f>
        <v>0</v>
      </c>
      <c r="AP162">
        <f>OR(AND(IF(Metadata!O162="",FALSE,TRUE),OR(exact(Metadata!O162,"not collected"),exact(Metadata!O162,"not provided"))),AND(IF(Metadata!O162="",FALSE,ISNUMBER(VALUE(Metadata!O162))),Metadata!O162&gt;0))</f>
        <v>0</v>
      </c>
      <c r="AQ162">
        <f>AND(IF(Metadata!P162="",FALSE,TRUE),exact(Metadata!P162,"kg"))</f>
        <v>0</v>
      </c>
      <c r="AR162">
        <f>OR(AND(IF(Metadata!Q162="",FALSE,TRUE),OR(exact(Metadata!Q162,"not applicable"),exact(Metadata!Q162,"not collected"),exact(Metadata!Q162,"not provided"),exact(Metadata!Q162,"restricted access"))),IF(Metadata!Q162="",FALSE,IF(ISERROR(INT(Metadata!Q162)),FALSE,INT(Metadata!Q162)=Metadata!Q162)))</f>
        <v>0</v>
      </c>
      <c r="AS162">
        <f>AND(IF(Metadata!R162="",FALSE,TRUE),exact(Metadata!R162,"Not applicable"))</f>
        <v>0</v>
      </c>
    </row>
    <row r="163" spans="1:45">
      <c r="A163" s="4">
        <f>IF(B163=" "," ",HYPERLINK(CONCATENATE("#metadata!",ADDRESS(INDEX($X$2:$X$1001,MATCH(ROWS($V$2:V163),$V$2:$V$1001,0),0),2)),INDEX($AA$2:$AA$1001,MATCH(ROWS($V$2:V163),$V$2:$V$1001,0),0)))</f>
        <v>0</v>
      </c>
      <c r="B163" s="5">
        <f>IF(OR(INDEX($W$2:$W$1001,MATCH(ROWS($V$2:V163),$V$2:$V$1001,0),1)&gt;=100000,INDEX($AC$1005:$AS$1005,1,MATCH(COLUMNS($AC$1006:AC1006),$AC$1006:$AS$1006,0))&gt;=100000), " ",IF(INDEX($AC$2:$AS$1001,MATCH(ROWS($V$2:V163),$V$2:$V$1001,0),MATCH(COLUMNS($AC$1006:AC1006),$AC$1006:$AS$1006,0)), HYPERLINK("#",""), HYPERLINK(CONCATENATE("#Metadata!", ADDRESS(INDEX($X$2:$X$1001,MATCH(ROWS($V$2:V163),$V$2:$V$1001,0),0), INDEX($AC$1004:$AS$1004,1,MATCH(COLUMNS($AC$1006:AC1006),$AC$1006:$AS$1006,0)))),"Fix")))</f>
        <v>0</v>
      </c>
      <c r="C163" s="5">
        <f>IF(OR(INDEX($W$2:$W$1001,MATCH(ROWS($V$2:V163),$V$2:$V$1001,0),1)&gt;=100000,INDEX($AC$1005:$AS$1005,1,MATCH(COLUMNS($AC$1006:AD1006),$AC$1006:$AS$1006,0))&gt;=100000), " ",IF(INDEX($AC$2:$AS$1001,MATCH(ROWS($V$2:V163),$V$2:$V$1001,0),MATCH(COLUMNS($AC$1006:AD1006),$AC$1006:$AS$1006,0)), HYPERLINK("#",""), HYPERLINK(CONCATENATE("#Metadata!", ADDRESS(INDEX($X$2:$X$1001,MATCH(ROWS($V$2:V163),$V$2:$V$1001,0),0), INDEX($AC$1004:$AS$1004,1,MATCH(COLUMNS($AC$1006:AD1006),$AC$1006:$AS$1006,0)))),"Fix")))</f>
        <v>0</v>
      </c>
      <c r="D163" s="5">
        <f>IF(OR(INDEX($W$2:$W$1001,MATCH(ROWS($V$2:V163),$V$2:$V$1001,0),1)&gt;=100000,INDEX($AC$1005:$AS$1005,1,MATCH(COLUMNS($AC$1006:AE1006),$AC$1006:$AS$1006,0))&gt;=100000), " ",IF(INDEX($AC$2:$AS$1001,MATCH(ROWS($V$2:V163),$V$2:$V$1001,0),MATCH(COLUMNS($AC$1006:AE1006),$AC$1006:$AS$1006,0)), HYPERLINK("#",""), HYPERLINK(CONCATENATE("#Metadata!", ADDRESS(INDEX($X$2:$X$1001,MATCH(ROWS($V$2:V163),$V$2:$V$1001,0),0), INDEX($AC$1004:$AS$1004,1,MATCH(COLUMNS($AC$1006:AE1006),$AC$1006:$AS$1006,0)))),"Fix")))</f>
        <v>0</v>
      </c>
      <c r="E163" s="5">
        <f>IF(OR(INDEX($W$2:$W$1001,MATCH(ROWS($V$2:V163),$V$2:$V$1001,0),1)&gt;=100000,INDEX($AC$1005:$AS$1005,1,MATCH(COLUMNS($AC$1006:AF1006),$AC$1006:$AS$1006,0))&gt;=100000), " ",IF(INDEX($AC$2:$AS$1001,MATCH(ROWS($V$2:V163),$V$2:$V$1001,0),MATCH(COLUMNS($AC$1006:AF1006),$AC$1006:$AS$1006,0)), HYPERLINK("#",""), HYPERLINK(CONCATENATE("#Metadata!", ADDRESS(INDEX($X$2:$X$1001,MATCH(ROWS($V$2:V163),$V$2:$V$1001,0),0), INDEX($AC$1004:$AS$1004,1,MATCH(COLUMNS($AC$1006:AF1006),$AC$1006:$AS$1006,0)))),"Fix")))</f>
        <v>0</v>
      </c>
      <c r="F163" s="5">
        <f>IF(OR(INDEX($W$2:$W$1001,MATCH(ROWS($V$2:V163),$V$2:$V$1001,0),1)&gt;=100000,INDEX($AC$1005:$AS$1005,1,MATCH(COLUMNS($AC$1006:AG1006),$AC$1006:$AS$1006,0))&gt;=100000), " ",IF(INDEX($AC$2:$AS$1001,MATCH(ROWS($V$2:V163),$V$2:$V$1001,0),MATCH(COLUMNS($AC$1006:AG1006),$AC$1006:$AS$1006,0)), HYPERLINK("#",""), HYPERLINK(CONCATENATE("#Metadata!", ADDRESS(INDEX($X$2:$X$1001,MATCH(ROWS($V$2:V163),$V$2:$V$1001,0),0), INDEX($AC$1004:$AS$1004,1,MATCH(COLUMNS($AC$1006:AG1006),$AC$1006:$AS$1006,0)))),"Fix")))</f>
        <v>0</v>
      </c>
      <c r="G163" s="5">
        <f>IF(OR(INDEX($W$2:$W$1001,MATCH(ROWS($V$2:V163),$V$2:$V$1001,0),1)&gt;=100000,INDEX($AC$1005:$AS$1005,1,MATCH(COLUMNS($AC$1006:AH1006),$AC$1006:$AS$1006,0))&gt;=100000), " ",IF(INDEX($AC$2:$AS$1001,MATCH(ROWS($V$2:V163),$V$2:$V$1001,0),MATCH(COLUMNS($AC$1006:AH1006),$AC$1006:$AS$1006,0)), HYPERLINK("#",""), HYPERLINK(CONCATENATE("#Metadata!", ADDRESS(INDEX($X$2:$X$1001,MATCH(ROWS($V$2:V163),$V$2:$V$1001,0),0), INDEX($AC$1004:$AS$1004,1,MATCH(COLUMNS($AC$1006:AH1006),$AC$1006:$AS$1006,0)))),"Fix")))</f>
        <v>0</v>
      </c>
      <c r="H163" s="5">
        <f>IF(OR(INDEX($W$2:$W$1001,MATCH(ROWS($V$2:V163),$V$2:$V$1001,0),1)&gt;=100000,INDEX($AC$1005:$AS$1005,1,MATCH(COLUMNS($AC$1006:AI1006),$AC$1006:$AS$1006,0))&gt;=100000), " ",IF(INDEX($AC$2:$AS$1001,MATCH(ROWS($V$2:V163),$V$2:$V$1001,0),MATCH(COLUMNS($AC$1006:AI1006),$AC$1006:$AS$1006,0)), HYPERLINK("#",""), HYPERLINK(CONCATENATE("#Metadata!", ADDRESS(INDEX($X$2:$X$1001,MATCH(ROWS($V$2:V163),$V$2:$V$1001,0),0), INDEX($AC$1004:$AS$1004,1,MATCH(COLUMNS($AC$1006:AI1006),$AC$1006:$AS$1006,0)))),"Fix")))</f>
        <v>0</v>
      </c>
      <c r="I163" s="5">
        <f>IF(OR(INDEX($W$2:$W$1001,MATCH(ROWS($V$2:V163),$V$2:$V$1001,0),1)&gt;=100000,INDEX($AC$1005:$AS$1005,1,MATCH(COLUMNS($AC$1006:AJ1006),$AC$1006:$AS$1006,0))&gt;=100000), " ",IF(INDEX($AC$2:$AS$1001,MATCH(ROWS($V$2:V163),$V$2:$V$1001,0),MATCH(COLUMNS($AC$1006:AJ1006),$AC$1006:$AS$1006,0)), HYPERLINK("#",""), HYPERLINK(CONCATENATE("#Metadata!", ADDRESS(INDEX($X$2:$X$1001,MATCH(ROWS($V$2:V163),$V$2:$V$1001,0),0), INDEX($AC$1004:$AS$1004,1,MATCH(COLUMNS($AC$1006:AJ1006),$AC$1006:$AS$1006,0)))),"Fix")))</f>
        <v>0</v>
      </c>
      <c r="J163" s="5">
        <f>IF(OR(INDEX($W$2:$W$1001,MATCH(ROWS($V$2:V163),$V$2:$V$1001,0),1)&gt;=100000,INDEX($AC$1005:$AS$1005,1,MATCH(COLUMNS($AC$1006:AK1006),$AC$1006:$AS$1006,0))&gt;=100000), " ",IF(INDEX($AC$2:$AS$1001,MATCH(ROWS($V$2:V163),$V$2:$V$1001,0),MATCH(COLUMNS($AC$1006:AK1006),$AC$1006:$AS$1006,0)), HYPERLINK("#",""), HYPERLINK(CONCATENATE("#Metadata!", ADDRESS(INDEX($X$2:$X$1001,MATCH(ROWS($V$2:V163),$V$2:$V$1001,0),0), INDEX($AC$1004:$AS$1004,1,MATCH(COLUMNS($AC$1006:AK1006),$AC$1006:$AS$1006,0)))),"Fix")))</f>
        <v>0</v>
      </c>
      <c r="K163" s="5">
        <f>IF(OR(INDEX($W$2:$W$1001,MATCH(ROWS($V$2:V163),$V$2:$V$1001,0),1)&gt;=100000,INDEX($AC$1005:$AS$1005,1,MATCH(COLUMNS($AC$1006:AL1006),$AC$1006:$AS$1006,0))&gt;=100000), " ",IF(INDEX($AC$2:$AS$1001,MATCH(ROWS($V$2:V163),$V$2:$V$1001,0),MATCH(COLUMNS($AC$1006:AL1006),$AC$1006:$AS$1006,0)), HYPERLINK("#",""), HYPERLINK(CONCATENATE("#Metadata!", ADDRESS(INDEX($X$2:$X$1001,MATCH(ROWS($V$2:V163),$V$2:$V$1001,0),0), INDEX($AC$1004:$AS$1004,1,MATCH(COLUMNS($AC$1006:AL1006),$AC$1006:$AS$1006,0)))),"Fix")))</f>
        <v>0</v>
      </c>
      <c r="L163" s="5">
        <f>IF(OR(INDEX($W$2:$W$1001,MATCH(ROWS($V$2:V163),$V$2:$V$1001,0),1)&gt;=100000,INDEX($AC$1005:$AS$1005,1,MATCH(COLUMNS($AC$1006:AM1006),$AC$1006:$AS$1006,0))&gt;=100000), " ",IF(INDEX($AC$2:$AS$1001,MATCH(ROWS($V$2:V163),$V$2:$V$1001,0),MATCH(COLUMNS($AC$1006:AM1006),$AC$1006:$AS$1006,0)), HYPERLINK("#",""), HYPERLINK(CONCATENATE("#Metadata!", ADDRESS(INDEX($X$2:$X$1001,MATCH(ROWS($V$2:V163),$V$2:$V$1001,0),0), INDEX($AC$1004:$AS$1004,1,MATCH(COLUMNS($AC$1006:AM1006),$AC$1006:$AS$1006,0)))),"Fix")))</f>
        <v>0</v>
      </c>
      <c r="M163" s="5">
        <f>IF(OR(INDEX($W$2:$W$1001,MATCH(ROWS($V$2:V163),$V$2:$V$1001,0),1)&gt;=100000,INDEX($AC$1005:$AS$1005,1,MATCH(COLUMNS($AC$1006:AN1006),$AC$1006:$AS$1006,0))&gt;=100000), " ",IF(INDEX($AC$2:$AS$1001,MATCH(ROWS($V$2:V163),$V$2:$V$1001,0),MATCH(COLUMNS($AC$1006:AN1006),$AC$1006:$AS$1006,0)), HYPERLINK("#",""), HYPERLINK(CONCATENATE("#Metadata!", ADDRESS(INDEX($X$2:$X$1001,MATCH(ROWS($V$2:V163),$V$2:$V$1001,0),0), INDEX($AC$1004:$AS$1004,1,MATCH(COLUMNS($AC$1006:AN1006),$AC$1006:$AS$1006,0)))),"Fix")))</f>
        <v>0</v>
      </c>
      <c r="N163" s="5">
        <f>IF(OR(INDEX($W$2:$W$1001,MATCH(ROWS($V$2:V163),$V$2:$V$1001,0),1)&gt;=100000,INDEX($AC$1005:$AS$1005,1,MATCH(COLUMNS($AC$1006:AO1006),$AC$1006:$AS$1006,0))&gt;=100000), " ",IF(INDEX($AC$2:$AS$1001,MATCH(ROWS($V$2:V163),$V$2:$V$1001,0),MATCH(COLUMNS($AC$1006:AO1006),$AC$1006:$AS$1006,0)), HYPERLINK("#",""), HYPERLINK(CONCATENATE("#Metadata!", ADDRESS(INDEX($X$2:$X$1001,MATCH(ROWS($V$2:V163),$V$2:$V$1001,0),0), INDEX($AC$1004:$AS$1004,1,MATCH(COLUMNS($AC$1006:AO1006),$AC$1006:$AS$1006,0)))),"Fix")))</f>
        <v>0</v>
      </c>
      <c r="O163" s="5">
        <f>IF(OR(INDEX($W$2:$W$1001,MATCH(ROWS($V$2:V163),$V$2:$V$1001,0),1)&gt;=100000,INDEX($AC$1005:$AS$1005,1,MATCH(COLUMNS($AC$1006:AP1006),$AC$1006:$AS$1006,0))&gt;=100000), " ",IF(INDEX($AC$2:$AS$1001,MATCH(ROWS($V$2:V163),$V$2:$V$1001,0),MATCH(COLUMNS($AC$1006:AP1006),$AC$1006:$AS$1006,0)), HYPERLINK("#",""), HYPERLINK(CONCATENATE("#Metadata!", ADDRESS(INDEX($X$2:$X$1001,MATCH(ROWS($V$2:V163),$V$2:$V$1001,0),0), INDEX($AC$1004:$AS$1004,1,MATCH(COLUMNS($AC$1006:AP1006),$AC$1006:$AS$1006,0)))),"Fix")))</f>
        <v>0</v>
      </c>
      <c r="P163" s="5">
        <f>IF(OR(INDEX($W$2:$W$1001,MATCH(ROWS($V$2:V163),$V$2:$V$1001,0),1)&gt;=100000,INDEX($AC$1005:$AS$1005,1,MATCH(COLUMNS($AC$1006:AQ1006),$AC$1006:$AS$1006,0))&gt;=100000), " ",IF(INDEX($AC$2:$AS$1001,MATCH(ROWS($V$2:V163),$V$2:$V$1001,0),MATCH(COLUMNS($AC$1006:AQ1006),$AC$1006:$AS$1006,0)), HYPERLINK("#",""), HYPERLINK(CONCATENATE("#Metadata!", ADDRESS(INDEX($X$2:$X$1001,MATCH(ROWS($V$2:V163),$V$2:$V$1001,0),0), INDEX($AC$1004:$AS$1004,1,MATCH(COLUMNS($AC$1006:AQ1006),$AC$1006:$AS$1006,0)))),"Fix")))</f>
        <v>0</v>
      </c>
      <c r="Q163" s="5">
        <f>IF(OR(INDEX($W$2:$W$1001,MATCH(ROWS($V$2:V163),$V$2:$V$1001,0),1)&gt;=100000,INDEX($AC$1005:$AS$1005,1,MATCH(COLUMNS($AC$1006:AR1006),$AC$1006:$AS$1006,0))&gt;=100000), " ",IF(INDEX($AC$2:$AS$1001,MATCH(ROWS($V$2:V163),$V$2:$V$1001,0),MATCH(COLUMNS($AC$1006:AR1006),$AC$1006:$AS$1006,0)), HYPERLINK("#",""), HYPERLINK(CONCATENATE("#Metadata!", ADDRESS(INDEX($X$2:$X$1001,MATCH(ROWS($V$2:V163),$V$2:$V$1001,0),0), INDEX($AC$1004:$AS$1004,1,MATCH(COLUMNS($AC$1006:AR1006),$AC$1006:$AS$1006,0)))),"Fix")))</f>
        <v>0</v>
      </c>
      <c r="R163" s="5">
        <f>IF(OR(INDEX($W$2:$W$1001,MATCH(ROWS($V$2:V163),$V$2:$V$1001,0),1)&gt;=100000,INDEX($AC$1005:$AS$1005,1,MATCH(COLUMNS($AC$1006:AS1006),$AC$1006:$AS$1006,0))&gt;=100000), " ",IF(INDEX($AC$2:$AS$1001,MATCH(ROWS($V$2:V163),$V$2:$V$1001,0),MATCH(COLUMNS($AC$1006:AS1006),$AC$1006:$AS$1006,0)), HYPERLINK("#",""), HYPERLINK(CONCATENATE("#Metadata!", ADDRESS(INDEX($X$2:$X$1001,MATCH(ROWS($V$2:V163),$V$2:$V$1001,0),0), INDEX($AC$1004:$AS$1004,1,MATCH(COLUMNS($AC$1006:AS1006),$AC$1006:$AS$1006,0)))),"Fix")))</f>
        <v>0</v>
      </c>
      <c r="V163">
        <v>0</v>
      </c>
      <c r="W163">
        <v>0</v>
      </c>
      <c r="X163">
        <v>0</v>
      </c>
      <c r="Y163">
        <f>IF(Z163,TRUE,AND(AC163:AS163))</f>
        <v>0</v>
      </c>
      <c r="Z163">
        <f>COUNTBLANK(Metadata!B163:R163)=COLUMNS(Metadata!B163:R163)</f>
        <v>0</v>
      </c>
      <c r="AA163">
        <v>0</v>
      </c>
      <c r="AC163">
        <f>AND(IF(Metadata!B163="",FALSE,TRUE),COUNTIF(Metadata!B:B, Metadata!B163) = 1,NOT(ISERROR(SUMPRODUCT(SEARCH(MID(Metadata!B163,ROW(INDIRECT("1:"&amp;LEN(Metadata!B163))), 1),"0123456789abcdefghijklmnopqrstuvwxyzABCDEFGHIJKLMNOPQRSTUVWXYZ.")))))</f>
        <v>0</v>
      </c>
      <c r="AD163">
        <f>AND(IF(Metadata!C163="",FALSE,TRUE),exact(Metadata!C163,"Host-associated"))</f>
        <v>0</v>
      </c>
      <c r="AE163">
        <f>AND(IF(Metadata!D163="",FALSE,TRUE),OR(exact(Metadata!D163,"Animal"),exact(Metadata!D163,"Fungus"),exact(Metadata!D163,"Plant")))</f>
        <v>0</v>
      </c>
      <c r="AF163">
        <f>AND(IF(Metadata!E163="",FALSE,TRUE),OR(exact(Metadata!E163,"Plant secretion"),exact(Metadata!E163,"Plant rhizosphere"),exact(Metadata!E163,"Plant surface"),exact(Metadata!E163,"Plant corpus"),exact(Metadata!E163,"Fungus surface"),exact(Metadata!E163,"Fungus corpus"),exact(Metadata!E163,"Animal surface"),exact(Metadata!E163,"Animal proximal gut"),exact(Metadata!E163,"Animal corpus"),exact(Metadata!E163,"Animal distal gut"),exact(Metadata!E163,"Animal secretion")))</f>
        <v>0</v>
      </c>
      <c r="AG163">
        <f>OR(AND(IF(Metadata!F163="",FALSE,TRUE),OR(exact(Metadata!F163,"not collected"),exact(Metadata!F163,"not provided"),exact(Metadata!F163,"restricted access"))),AND(IF(Metadata!F163="",FALSE,TRUE),OR(exact(Metadata!F163,"organism-associated habitat"),exact(Metadata!F163,"plant-associated habitat"),exact(Metadata!F163,"animal-associated habitat"),exact(Metadata!F163,"insecta-associated habitat"),exact(Metadata!F163,"mammalia-associated habitat"),exact(Metadata!F163,"human-associated habitat"),exact(Metadata!F163,"livestock-associated habitat"))))</f>
        <v>0</v>
      </c>
      <c r="AH163">
        <f>AND(IF(Metadata!G163="",FALSE,TRUE),exact(Metadata!G163,"host-associated"))</f>
        <v>0</v>
      </c>
      <c r="AI163">
        <f>OR(AND(IF(Metadata!H163="",FALSE,TRUE),OR(exact(Metadata!H163,"not collected"),exact(Metadata!H163,"not provided"))),AND(IF(Metadata!H163="",FALSE,ISNUMBER(VALUE(Metadata!H163))),Metadata!H163&gt;0))</f>
        <v>0</v>
      </c>
      <c r="AJ163">
        <f>AND(IF(Metadata!I163="",FALSE,TRUE),exact(Metadata!I163,"years"))</f>
        <v>0</v>
      </c>
      <c r="AK163">
        <f>IF(Metadata!J163="",FALSE,TRUE)</f>
        <v>0</v>
      </c>
      <c r="AL163">
        <f>OR(AND(IF(Metadata!K163="",FALSE,TRUE),OR(exact(Metadata!K163,"not collected"),exact(Metadata!K163,"not provided"))),AND(IF(Metadata!K163="",FALSE,ISNUMBER(VALUE(Metadata!K163))),Metadata!K163&gt;0))</f>
        <v>0</v>
      </c>
      <c r="AM163">
        <f>AND(IF(Metadata!L163="",FALSE,TRUE),exact(Metadata!L163,"cm"))</f>
        <v>0</v>
      </c>
      <c r="AN163">
        <f>IF(Metadata!M163="",FALSE,TRUE)</f>
        <v>0</v>
      </c>
      <c r="AO163">
        <f>OR(AND(IF(Metadata!N163="",FALSE,TRUE),OR(exact(Metadata!N163,"not applicable"),exact(Metadata!N163,"not collected"),exact(Metadata!N163,"not provided"))),AND(IF(Metadata!N163="",FALSE,IF(ISERROR(INT(Metadata!N163)),FALSE,INT(Metadata!N163)=Metadata!N163)),Metadata!N163&gt;0))</f>
        <v>0</v>
      </c>
      <c r="AP163">
        <f>OR(AND(IF(Metadata!O163="",FALSE,TRUE),OR(exact(Metadata!O163,"not collected"),exact(Metadata!O163,"not provided"))),AND(IF(Metadata!O163="",FALSE,ISNUMBER(VALUE(Metadata!O163))),Metadata!O163&gt;0))</f>
        <v>0</v>
      </c>
      <c r="AQ163">
        <f>AND(IF(Metadata!P163="",FALSE,TRUE),exact(Metadata!P163,"kg"))</f>
        <v>0</v>
      </c>
      <c r="AR163">
        <f>OR(AND(IF(Metadata!Q163="",FALSE,TRUE),OR(exact(Metadata!Q163,"not applicable"),exact(Metadata!Q163,"not collected"),exact(Metadata!Q163,"not provided"),exact(Metadata!Q163,"restricted access"))),IF(Metadata!Q163="",FALSE,IF(ISERROR(INT(Metadata!Q163)),FALSE,INT(Metadata!Q163)=Metadata!Q163)))</f>
        <v>0</v>
      </c>
      <c r="AS163">
        <f>AND(IF(Metadata!R163="",FALSE,TRUE),exact(Metadata!R163,"Not applicable"))</f>
        <v>0</v>
      </c>
    </row>
    <row r="164" spans="1:45">
      <c r="A164" s="4">
        <f>IF(B164=" "," ",HYPERLINK(CONCATENATE("#metadata!",ADDRESS(INDEX($X$2:$X$1001,MATCH(ROWS($V$2:V164),$V$2:$V$1001,0),0),2)),INDEX($AA$2:$AA$1001,MATCH(ROWS($V$2:V164),$V$2:$V$1001,0),0)))</f>
        <v>0</v>
      </c>
      <c r="B164" s="5">
        <f>IF(OR(INDEX($W$2:$W$1001,MATCH(ROWS($V$2:V164),$V$2:$V$1001,0),1)&gt;=100000,INDEX($AC$1005:$AS$1005,1,MATCH(COLUMNS($AC$1006:AC1006),$AC$1006:$AS$1006,0))&gt;=100000), " ",IF(INDEX($AC$2:$AS$1001,MATCH(ROWS($V$2:V164),$V$2:$V$1001,0),MATCH(COLUMNS($AC$1006:AC1006),$AC$1006:$AS$1006,0)), HYPERLINK("#",""), HYPERLINK(CONCATENATE("#Metadata!", ADDRESS(INDEX($X$2:$X$1001,MATCH(ROWS($V$2:V164),$V$2:$V$1001,0),0), INDEX($AC$1004:$AS$1004,1,MATCH(COLUMNS($AC$1006:AC1006),$AC$1006:$AS$1006,0)))),"Fix")))</f>
        <v>0</v>
      </c>
      <c r="C164" s="5">
        <f>IF(OR(INDEX($W$2:$W$1001,MATCH(ROWS($V$2:V164),$V$2:$V$1001,0),1)&gt;=100000,INDEX($AC$1005:$AS$1005,1,MATCH(COLUMNS($AC$1006:AD1006),$AC$1006:$AS$1006,0))&gt;=100000), " ",IF(INDEX($AC$2:$AS$1001,MATCH(ROWS($V$2:V164),$V$2:$V$1001,0),MATCH(COLUMNS($AC$1006:AD1006),$AC$1006:$AS$1006,0)), HYPERLINK("#",""), HYPERLINK(CONCATENATE("#Metadata!", ADDRESS(INDEX($X$2:$X$1001,MATCH(ROWS($V$2:V164),$V$2:$V$1001,0),0), INDEX($AC$1004:$AS$1004,1,MATCH(COLUMNS($AC$1006:AD1006),$AC$1006:$AS$1006,0)))),"Fix")))</f>
        <v>0</v>
      </c>
      <c r="D164" s="5">
        <f>IF(OR(INDEX($W$2:$W$1001,MATCH(ROWS($V$2:V164),$V$2:$V$1001,0),1)&gt;=100000,INDEX($AC$1005:$AS$1005,1,MATCH(COLUMNS($AC$1006:AE1006),$AC$1006:$AS$1006,0))&gt;=100000), " ",IF(INDEX($AC$2:$AS$1001,MATCH(ROWS($V$2:V164),$V$2:$V$1001,0),MATCH(COLUMNS($AC$1006:AE1006),$AC$1006:$AS$1006,0)), HYPERLINK("#",""), HYPERLINK(CONCATENATE("#Metadata!", ADDRESS(INDEX($X$2:$X$1001,MATCH(ROWS($V$2:V164),$V$2:$V$1001,0),0), INDEX($AC$1004:$AS$1004,1,MATCH(COLUMNS($AC$1006:AE1006),$AC$1006:$AS$1006,0)))),"Fix")))</f>
        <v>0</v>
      </c>
      <c r="E164" s="5">
        <f>IF(OR(INDEX($W$2:$W$1001,MATCH(ROWS($V$2:V164),$V$2:$V$1001,0),1)&gt;=100000,INDEX($AC$1005:$AS$1005,1,MATCH(COLUMNS($AC$1006:AF1006),$AC$1006:$AS$1006,0))&gt;=100000), " ",IF(INDEX($AC$2:$AS$1001,MATCH(ROWS($V$2:V164),$V$2:$V$1001,0),MATCH(COLUMNS($AC$1006:AF1006),$AC$1006:$AS$1006,0)), HYPERLINK("#",""), HYPERLINK(CONCATENATE("#Metadata!", ADDRESS(INDEX($X$2:$X$1001,MATCH(ROWS($V$2:V164),$V$2:$V$1001,0),0), INDEX($AC$1004:$AS$1004,1,MATCH(COLUMNS($AC$1006:AF1006),$AC$1006:$AS$1006,0)))),"Fix")))</f>
        <v>0</v>
      </c>
      <c r="F164" s="5">
        <f>IF(OR(INDEX($W$2:$W$1001,MATCH(ROWS($V$2:V164),$V$2:$V$1001,0),1)&gt;=100000,INDEX($AC$1005:$AS$1005,1,MATCH(COLUMNS($AC$1006:AG1006),$AC$1006:$AS$1006,0))&gt;=100000), " ",IF(INDEX($AC$2:$AS$1001,MATCH(ROWS($V$2:V164),$V$2:$V$1001,0),MATCH(COLUMNS($AC$1006:AG1006),$AC$1006:$AS$1006,0)), HYPERLINK("#",""), HYPERLINK(CONCATENATE("#Metadata!", ADDRESS(INDEX($X$2:$X$1001,MATCH(ROWS($V$2:V164),$V$2:$V$1001,0),0), INDEX($AC$1004:$AS$1004,1,MATCH(COLUMNS($AC$1006:AG1006),$AC$1006:$AS$1006,0)))),"Fix")))</f>
        <v>0</v>
      </c>
      <c r="G164" s="5">
        <f>IF(OR(INDEX($W$2:$W$1001,MATCH(ROWS($V$2:V164),$V$2:$V$1001,0),1)&gt;=100000,INDEX($AC$1005:$AS$1005,1,MATCH(COLUMNS($AC$1006:AH1006),$AC$1006:$AS$1006,0))&gt;=100000), " ",IF(INDEX($AC$2:$AS$1001,MATCH(ROWS($V$2:V164),$V$2:$V$1001,0),MATCH(COLUMNS($AC$1006:AH1006),$AC$1006:$AS$1006,0)), HYPERLINK("#",""), HYPERLINK(CONCATENATE("#Metadata!", ADDRESS(INDEX($X$2:$X$1001,MATCH(ROWS($V$2:V164),$V$2:$V$1001,0),0), INDEX($AC$1004:$AS$1004,1,MATCH(COLUMNS($AC$1006:AH1006),$AC$1006:$AS$1006,0)))),"Fix")))</f>
        <v>0</v>
      </c>
      <c r="H164" s="5">
        <f>IF(OR(INDEX($W$2:$W$1001,MATCH(ROWS($V$2:V164),$V$2:$V$1001,0),1)&gt;=100000,INDEX($AC$1005:$AS$1005,1,MATCH(COLUMNS($AC$1006:AI1006),$AC$1006:$AS$1006,0))&gt;=100000), " ",IF(INDEX($AC$2:$AS$1001,MATCH(ROWS($V$2:V164),$V$2:$V$1001,0),MATCH(COLUMNS($AC$1006:AI1006),$AC$1006:$AS$1006,0)), HYPERLINK("#",""), HYPERLINK(CONCATENATE("#Metadata!", ADDRESS(INDEX($X$2:$X$1001,MATCH(ROWS($V$2:V164),$V$2:$V$1001,0),0), INDEX($AC$1004:$AS$1004,1,MATCH(COLUMNS($AC$1006:AI1006),$AC$1006:$AS$1006,0)))),"Fix")))</f>
        <v>0</v>
      </c>
      <c r="I164" s="5">
        <f>IF(OR(INDEX($W$2:$W$1001,MATCH(ROWS($V$2:V164),$V$2:$V$1001,0),1)&gt;=100000,INDEX($AC$1005:$AS$1005,1,MATCH(COLUMNS($AC$1006:AJ1006),$AC$1006:$AS$1006,0))&gt;=100000), " ",IF(INDEX($AC$2:$AS$1001,MATCH(ROWS($V$2:V164),$V$2:$V$1001,0),MATCH(COLUMNS($AC$1006:AJ1006),$AC$1006:$AS$1006,0)), HYPERLINK("#",""), HYPERLINK(CONCATENATE("#Metadata!", ADDRESS(INDEX($X$2:$X$1001,MATCH(ROWS($V$2:V164),$V$2:$V$1001,0),0), INDEX($AC$1004:$AS$1004,1,MATCH(COLUMNS($AC$1006:AJ1006),$AC$1006:$AS$1006,0)))),"Fix")))</f>
        <v>0</v>
      </c>
      <c r="J164" s="5">
        <f>IF(OR(INDEX($W$2:$W$1001,MATCH(ROWS($V$2:V164),$V$2:$V$1001,0),1)&gt;=100000,INDEX($AC$1005:$AS$1005,1,MATCH(COLUMNS($AC$1006:AK1006),$AC$1006:$AS$1006,0))&gt;=100000), " ",IF(INDEX($AC$2:$AS$1001,MATCH(ROWS($V$2:V164),$V$2:$V$1001,0),MATCH(COLUMNS($AC$1006:AK1006),$AC$1006:$AS$1006,0)), HYPERLINK("#",""), HYPERLINK(CONCATENATE("#Metadata!", ADDRESS(INDEX($X$2:$X$1001,MATCH(ROWS($V$2:V164),$V$2:$V$1001,0),0), INDEX($AC$1004:$AS$1004,1,MATCH(COLUMNS($AC$1006:AK1006),$AC$1006:$AS$1006,0)))),"Fix")))</f>
        <v>0</v>
      </c>
      <c r="K164" s="5">
        <f>IF(OR(INDEX($W$2:$W$1001,MATCH(ROWS($V$2:V164),$V$2:$V$1001,0),1)&gt;=100000,INDEX($AC$1005:$AS$1005,1,MATCH(COLUMNS($AC$1006:AL1006),$AC$1006:$AS$1006,0))&gt;=100000), " ",IF(INDEX($AC$2:$AS$1001,MATCH(ROWS($V$2:V164),$V$2:$V$1001,0),MATCH(COLUMNS($AC$1006:AL1006),$AC$1006:$AS$1006,0)), HYPERLINK("#",""), HYPERLINK(CONCATENATE("#Metadata!", ADDRESS(INDEX($X$2:$X$1001,MATCH(ROWS($V$2:V164),$V$2:$V$1001,0),0), INDEX($AC$1004:$AS$1004,1,MATCH(COLUMNS($AC$1006:AL1006),$AC$1006:$AS$1006,0)))),"Fix")))</f>
        <v>0</v>
      </c>
      <c r="L164" s="5">
        <f>IF(OR(INDEX($W$2:$W$1001,MATCH(ROWS($V$2:V164),$V$2:$V$1001,0),1)&gt;=100000,INDEX($AC$1005:$AS$1005,1,MATCH(COLUMNS($AC$1006:AM1006),$AC$1006:$AS$1006,0))&gt;=100000), " ",IF(INDEX($AC$2:$AS$1001,MATCH(ROWS($V$2:V164),$V$2:$V$1001,0),MATCH(COLUMNS($AC$1006:AM1006),$AC$1006:$AS$1006,0)), HYPERLINK("#",""), HYPERLINK(CONCATENATE("#Metadata!", ADDRESS(INDEX($X$2:$X$1001,MATCH(ROWS($V$2:V164),$V$2:$V$1001,0),0), INDEX($AC$1004:$AS$1004,1,MATCH(COLUMNS($AC$1006:AM1006),$AC$1006:$AS$1006,0)))),"Fix")))</f>
        <v>0</v>
      </c>
      <c r="M164" s="5">
        <f>IF(OR(INDEX($W$2:$W$1001,MATCH(ROWS($V$2:V164),$V$2:$V$1001,0),1)&gt;=100000,INDEX($AC$1005:$AS$1005,1,MATCH(COLUMNS($AC$1006:AN1006),$AC$1006:$AS$1006,0))&gt;=100000), " ",IF(INDEX($AC$2:$AS$1001,MATCH(ROWS($V$2:V164),$V$2:$V$1001,0),MATCH(COLUMNS($AC$1006:AN1006),$AC$1006:$AS$1006,0)), HYPERLINK("#",""), HYPERLINK(CONCATENATE("#Metadata!", ADDRESS(INDEX($X$2:$X$1001,MATCH(ROWS($V$2:V164),$V$2:$V$1001,0),0), INDEX($AC$1004:$AS$1004,1,MATCH(COLUMNS($AC$1006:AN1006),$AC$1006:$AS$1006,0)))),"Fix")))</f>
        <v>0</v>
      </c>
      <c r="N164" s="5">
        <f>IF(OR(INDEX($W$2:$W$1001,MATCH(ROWS($V$2:V164),$V$2:$V$1001,0),1)&gt;=100000,INDEX($AC$1005:$AS$1005,1,MATCH(COLUMNS($AC$1006:AO1006),$AC$1006:$AS$1006,0))&gt;=100000), " ",IF(INDEX($AC$2:$AS$1001,MATCH(ROWS($V$2:V164),$V$2:$V$1001,0),MATCH(COLUMNS($AC$1006:AO1006),$AC$1006:$AS$1006,0)), HYPERLINK("#",""), HYPERLINK(CONCATENATE("#Metadata!", ADDRESS(INDEX($X$2:$X$1001,MATCH(ROWS($V$2:V164),$V$2:$V$1001,0),0), INDEX($AC$1004:$AS$1004,1,MATCH(COLUMNS($AC$1006:AO1006),$AC$1006:$AS$1006,0)))),"Fix")))</f>
        <v>0</v>
      </c>
      <c r="O164" s="5">
        <f>IF(OR(INDEX($W$2:$W$1001,MATCH(ROWS($V$2:V164),$V$2:$V$1001,0),1)&gt;=100000,INDEX($AC$1005:$AS$1005,1,MATCH(COLUMNS($AC$1006:AP1006),$AC$1006:$AS$1006,0))&gt;=100000), " ",IF(INDEX($AC$2:$AS$1001,MATCH(ROWS($V$2:V164),$V$2:$V$1001,0),MATCH(COLUMNS($AC$1006:AP1006),$AC$1006:$AS$1006,0)), HYPERLINK("#",""), HYPERLINK(CONCATENATE("#Metadata!", ADDRESS(INDEX($X$2:$X$1001,MATCH(ROWS($V$2:V164),$V$2:$V$1001,0),0), INDEX($AC$1004:$AS$1004,1,MATCH(COLUMNS($AC$1006:AP1006),$AC$1006:$AS$1006,0)))),"Fix")))</f>
        <v>0</v>
      </c>
      <c r="P164" s="5">
        <f>IF(OR(INDEX($W$2:$W$1001,MATCH(ROWS($V$2:V164),$V$2:$V$1001,0),1)&gt;=100000,INDEX($AC$1005:$AS$1005,1,MATCH(COLUMNS($AC$1006:AQ1006),$AC$1006:$AS$1006,0))&gt;=100000), " ",IF(INDEX($AC$2:$AS$1001,MATCH(ROWS($V$2:V164),$V$2:$V$1001,0),MATCH(COLUMNS($AC$1006:AQ1006),$AC$1006:$AS$1006,0)), HYPERLINK("#",""), HYPERLINK(CONCATENATE("#Metadata!", ADDRESS(INDEX($X$2:$X$1001,MATCH(ROWS($V$2:V164),$V$2:$V$1001,0),0), INDEX($AC$1004:$AS$1004,1,MATCH(COLUMNS($AC$1006:AQ1006),$AC$1006:$AS$1006,0)))),"Fix")))</f>
        <v>0</v>
      </c>
      <c r="Q164" s="5">
        <f>IF(OR(INDEX($W$2:$W$1001,MATCH(ROWS($V$2:V164),$V$2:$V$1001,0),1)&gt;=100000,INDEX($AC$1005:$AS$1005,1,MATCH(COLUMNS($AC$1006:AR1006),$AC$1006:$AS$1006,0))&gt;=100000), " ",IF(INDEX($AC$2:$AS$1001,MATCH(ROWS($V$2:V164),$V$2:$V$1001,0),MATCH(COLUMNS($AC$1006:AR1006),$AC$1006:$AS$1006,0)), HYPERLINK("#",""), HYPERLINK(CONCATENATE("#Metadata!", ADDRESS(INDEX($X$2:$X$1001,MATCH(ROWS($V$2:V164),$V$2:$V$1001,0),0), INDEX($AC$1004:$AS$1004,1,MATCH(COLUMNS($AC$1006:AR1006),$AC$1006:$AS$1006,0)))),"Fix")))</f>
        <v>0</v>
      </c>
      <c r="R164" s="5">
        <f>IF(OR(INDEX($W$2:$W$1001,MATCH(ROWS($V$2:V164),$V$2:$V$1001,0),1)&gt;=100000,INDEX($AC$1005:$AS$1005,1,MATCH(COLUMNS($AC$1006:AS1006),$AC$1006:$AS$1006,0))&gt;=100000), " ",IF(INDEX($AC$2:$AS$1001,MATCH(ROWS($V$2:V164),$V$2:$V$1001,0),MATCH(COLUMNS($AC$1006:AS1006),$AC$1006:$AS$1006,0)), HYPERLINK("#",""), HYPERLINK(CONCATENATE("#Metadata!", ADDRESS(INDEX($X$2:$X$1001,MATCH(ROWS($V$2:V164),$V$2:$V$1001,0),0), INDEX($AC$1004:$AS$1004,1,MATCH(COLUMNS($AC$1006:AS1006),$AC$1006:$AS$1006,0)))),"Fix")))</f>
        <v>0</v>
      </c>
      <c r="V164">
        <v>0</v>
      </c>
      <c r="W164">
        <v>0</v>
      </c>
      <c r="X164">
        <v>0</v>
      </c>
      <c r="Y164">
        <f>IF(Z164,TRUE,AND(AC164:AS164))</f>
        <v>0</v>
      </c>
      <c r="Z164">
        <f>COUNTBLANK(Metadata!B164:R164)=COLUMNS(Metadata!B164:R164)</f>
        <v>0</v>
      </c>
      <c r="AA164">
        <v>0</v>
      </c>
      <c r="AC164">
        <f>AND(IF(Metadata!B164="",FALSE,TRUE),COUNTIF(Metadata!B:B, Metadata!B164) = 1,NOT(ISERROR(SUMPRODUCT(SEARCH(MID(Metadata!B164,ROW(INDIRECT("1:"&amp;LEN(Metadata!B164))), 1),"0123456789abcdefghijklmnopqrstuvwxyzABCDEFGHIJKLMNOPQRSTUVWXYZ.")))))</f>
        <v>0</v>
      </c>
      <c r="AD164">
        <f>AND(IF(Metadata!C164="",FALSE,TRUE),exact(Metadata!C164,"Host-associated"))</f>
        <v>0</v>
      </c>
      <c r="AE164">
        <f>AND(IF(Metadata!D164="",FALSE,TRUE),OR(exact(Metadata!D164,"Animal"),exact(Metadata!D164,"Fungus"),exact(Metadata!D164,"Plant")))</f>
        <v>0</v>
      </c>
      <c r="AF164">
        <f>AND(IF(Metadata!E164="",FALSE,TRUE),OR(exact(Metadata!E164,"Plant secretion"),exact(Metadata!E164,"Plant rhizosphere"),exact(Metadata!E164,"Plant surface"),exact(Metadata!E164,"Plant corpus"),exact(Metadata!E164,"Fungus surface"),exact(Metadata!E164,"Fungus corpus"),exact(Metadata!E164,"Animal surface"),exact(Metadata!E164,"Animal proximal gut"),exact(Metadata!E164,"Animal corpus"),exact(Metadata!E164,"Animal distal gut"),exact(Metadata!E164,"Animal secretion")))</f>
        <v>0</v>
      </c>
      <c r="AG164">
        <f>OR(AND(IF(Metadata!F164="",FALSE,TRUE),OR(exact(Metadata!F164,"not collected"),exact(Metadata!F164,"not provided"),exact(Metadata!F164,"restricted access"))),AND(IF(Metadata!F164="",FALSE,TRUE),OR(exact(Metadata!F164,"organism-associated habitat"),exact(Metadata!F164,"plant-associated habitat"),exact(Metadata!F164,"animal-associated habitat"),exact(Metadata!F164,"insecta-associated habitat"),exact(Metadata!F164,"mammalia-associated habitat"),exact(Metadata!F164,"human-associated habitat"),exact(Metadata!F164,"livestock-associated habitat"))))</f>
        <v>0</v>
      </c>
      <c r="AH164">
        <f>AND(IF(Metadata!G164="",FALSE,TRUE),exact(Metadata!G164,"host-associated"))</f>
        <v>0</v>
      </c>
      <c r="AI164">
        <f>OR(AND(IF(Metadata!H164="",FALSE,TRUE),OR(exact(Metadata!H164,"not collected"),exact(Metadata!H164,"not provided"))),AND(IF(Metadata!H164="",FALSE,ISNUMBER(VALUE(Metadata!H164))),Metadata!H164&gt;0))</f>
        <v>0</v>
      </c>
      <c r="AJ164">
        <f>AND(IF(Metadata!I164="",FALSE,TRUE),exact(Metadata!I164,"years"))</f>
        <v>0</v>
      </c>
      <c r="AK164">
        <f>IF(Metadata!J164="",FALSE,TRUE)</f>
        <v>0</v>
      </c>
      <c r="AL164">
        <f>OR(AND(IF(Metadata!K164="",FALSE,TRUE),OR(exact(Metadata!K164,"not collected"),exact(Metadata!K164,"not provided"))),AND(IF(Metadata!K164="",FALSE,ISNUMBER(VALUE(Metadata!K164))),Metadata!K164&gt;0))</f>
        <v>0</v>
      </c>
      <c r="AM164">
        <f>AND(IF(Metadata!L164="",FALSE,TRUE),exact(Metadata!L164,"cm"))</f>
        <v>0</v>
      </c>
      <c r="AN164">
        <f>IF(Metadata!M164="",FALSE,TRUE)</f>
        <v>0</v>
      </c>
      <c r="AO164">
        <f>OR(AND(IF(Metadata!N164="",FALSE,TRUE),OR(exact(Metadata!N164,"not applicable"),exact(Metadata!N164,"not collected"),exact(Metadata!N164,"not provided"))),AND(IF(Metadata!N164="",FALSE,IF(ISERROR(INT(Metadata!N164)),FALSE,INT(Metadata!N164)=Metadata!N164)),Metadata!N164&gt;0))</f>
        <v>0</v>
      </c>
      <c r="AP164">
        <f>OR(AND(IF(Metadata!O164="",FALSE,TRUE),OR(exact(Metadata!O164,"not collected"),exact(Metadata!O164,"not provided"))),AND(IF(Metadata!O164="",FALSE,ISNUMBER(VALUE(Metadata!O164))),Metadata!O164&gt;0))</f>
        <v>0</v>
      </c>
      <c r="AQ164">
        <f>AND(IF(Metadata!P164="",FALSE,TRUE),exact(Metadata!P164,"kg"))</f>
        <v>0</v>
      </c>
      <c r="AR164">
        <f>OR(AND(IF(Metadata!Q164="",FALSE,TRUE),OR(exact(Metadata!Q164,"not applicable"),exact(Metadata!Q164,"not collected"),exact(Metadata!Q164,"not provided"),exact(Metadata!Q164,"restricted access"))),IF(Metadata!Q164="",FALSE,IF(ISERROR(INT(Metadata!Q164)),FALSE,INT(Metadata!Q164)=Metadata!Q164)))</f>
        <v>0</v>
      </c>
      <c r="AS164">
        <f>AND(IF(Metadata!R164="",FALSE,TRUE),exact(Metadata!R164,"Not applicable"))</f>
        <v>0</v>
      </c>
    </row>
    <row r="165" spans="1:45">
      <c r="A165" s="4">
        <f>IF(B165=" "," ",HYPERLINK(CONCATENATE("#metadata!",ADDRESS(INDEX($X$2:$X$1001,MATCH(ROWS($V$2:V165),$V$2:$V$1001,0),0),2)),INDEX($AA$2:$AA$1001,MATCH(ROWS($V$2:V165),$V$2:$V$1001,0),0)))</f>
        <v>0</v>
      </c>
      <c r="B165" s="5">
        <f>IF(OR(INDEX($W$2:$W$1001,MATCH(ROWS($V$2:V165),$V$2:$V$1001,0),1)&gt;=100000,INDEX($AC$1005:$AS$1005,1,MATCH(COLUMNS($AC$1006:AC1006),$AC$1006:$AS$1006,0))&gt;=100000), " ",IF(INDEX($AC$2:$AS$1001,MATCH(ROWS($V$2:V165),$V$2:$V$1001,0),MATCH(COLUMNS($AC$1006:AC1006),$AC$1006:$AS$1006,0)), HYPERLINK("#",""), HYPERLINK(CONCATENATE("#Metadata!", ADDRESS(INDEX($X$2:$X$1001,MATCH(ROWS($V$2:V165),$V$2:$V$1001,0),0), INDEX($AC$1004:$AS$1004,1,MATCH(COLUMNS($AC$1006:AC1006),$AC$1006:$AS$1006,0)))),"Fix")))</f>
        <v>0</v>
      </c>
      <c r="C165" s="5">
        <f>IF(OR(INDEX($W$2:$W$1001,MATCH(ROWS($V$2:V165),$V$2:$V$1001,0),1)&gt;=100000,INDEX($AC$1005:$AS$1005,1,MATCH(COLUMNS($AC$1006:AD1006),$AC$1006:$AS$1006,0))&gt;=100000), " ",IF(INDEX($AC$2:$AS$1001,MATCH(ROWS($V$2:V165),$V$2:$V$1001,0),MATCH(COLUMNS($AC$1006:AD1006),$AC$1006:$AS$1006,0)), HYPERLINK("#",""), HYPERLINK(CONCATENATE("#Metadata!", ADDRESS(INDEX($X$2:$X$1001,MATCH(ROWS($V$2:V165),$V$2:$V$1001,0),0), INDEX($AC$1004:$AS$1004,1,MATCH(COLUMNS($AC$1006:AD1006),$AC$1006:$AS$1006,0)))),"Fix")))</f>
        <v>0</v>
      </c>
      <c r="D165" s="5">
        <f>IF(OR(INDEX($W$2:$W$1001,MATCH(ROWS($V$2:V165),$V$2:$V$1001,0),1)&gt;=100000,INDEX($AC$1005:$AS$1005,1,MATCH(COLUMNS($AC$1006:AE1006),$AC$1006:$AS$1006,0))&gt;=100000), " ",IF(INDEX($AC$2:$AS$1001,MATCH(ROWS($V$2:V165),$V$2:$V$1001,0),MATCH(COLUMNS($AC$1006:AE1006),$AC$1006:$AS$1006,0)), HYPERLINK("#",""), HYPERLINK(CONCATENATE("#Metadata!", ADDRESS(INDEX($X$2:$X$1001,MATCH(ROWS($V$2:V165),$V$2:$V$1001,0),0), INDEX($AC$1004:$AS$1004,1,MATCH(COLUMNS($AC$1006:AE1006),$AC$1006:$AS$1006,0)))),"Fix")))</f>
        <v>0</v>
      </c>
      <c r="E165" s="5">
        <f>IF(OR(INDEX($W$2:$W$1001,MATCH(ROWS($V$2:V165),$V$2:$V$1001,0),1)&gt;=100000,INDEX($AC$1005:$AS$1005,1,MATCH(COLUMNS($AC$1006:AF1006),$AC$1006:$AS$1006,0))&gt;=100000), " ",IF(INDEX($AC$2:$AS$1001,MATCH(ROWS($V$2:V165),$V$2:$V$1001,0),MATCH(COLUMNS($AC$1006:AF1006),$AC$1006:$AS$1006,0)), HYPERLINK("#",""), HYPERLINK(CONCATENATE("#Metadata!", ADDRESS(INDEX($X$2:$X$1001,MATCH(ROWS($V$2:V165),$V$2:$V$1001,0),0), INDEX($AC$1004:$AS$1004,1,MATCH(COLUMNS($AC$1006:AF1006),$AC$1006:$AS$1006,0)))),"Fix")))</f>
        <v>0</v>
      </c>
      <c r="F165" s="5">
        <f>IF(OR(INDEX($W$2:$W$1001,MATCH(ROWS($V$2:V165),$V$2:$V$1001,0),1)&gt;=100000,INDEX($AC$1005:$AS$1005,1,MATCH(COLUMNS($AC$1006:AG1006),$AC$1006:$AS$1006,0))&gt;=100000), " ",IF(INDEX($AC$2:$AS$1001,MATCH(ROWS($V$2:V165),$V$2:$V$1001,0),MATCH(COLUMNS($AC$1006:AG1006),$AC$1006:$AS$1006,0)), HYPERLINK("#",""), HYPERLINK(CONCATENATE("#Metadata!", ADDRESS(INDEX($X$2:$X$1001,MATCH(ROWS($V$2:V165),$V$2:$V$1001,0),0), INDEX($AC$1004:$AS$1004,1,MATCH(COLUMNS($AC$1006:AG1006),$AC$1006:$AS$1006,0)))),"Fix")))</f>
        <v>0</v>
      </c>
      <c r="G165" s="5">
        <f>IF(OR(INDEX($W$2:$W$1001,MATCH(ROWS($V$2:V165),$V$2:$V$1001,0),1)&gt;=100000,INDEX($AC$1005:$AS$1005,1,MATCH(COLUMNS($AC$1006:AH1006),$AC$1006:$AS$1006,0))&gt;=100000), " ",IF(INDEX($AC$2:$AS$1001,MATCH(ROWS($V$2:V165),$V$2:$V$1001,0),MATCH(COLUMNS($AC$1006:AH1006),$AC$1006:$AS$1006,0)), HYPERLINK("#",""), HYPERLINK(CONCATENATE("#Metadata!", ADDRESS(INDEX($X$2:$X$1001,MATCH(ROWS($V$2:V165),$V$2:$V$1001,0),0), INDEX($AC$1004:$AS$1004,1,MATCH(COLUMNS($AC$1006:AH1006),$AC$1006:$AS$1006,0)))),"Fix")))</f>
        <v>0</v>
      </c>
      <c r="H165" s="5">
        <f>IF(OR(INDEX($W$2:$W$1001,MATCH(ROWS($V$2:V165),$V$2:$V$1001,0),1)&gt;=100000,INDEX($AC$1005:$AS$1005,1,MATCH(COLUMNS($AC$1006:AI1006),$AC$1006:$AS$1006,0))&gt;=100000), " ",IF(INDEX($AC$2:$AS$1001,MATCH(ROWS($V$2:V165),$V$2:$V$1001,0),MATCH(COLUMNS($AC$1006:AI1006),$AC$1006:$AS$1006,0)), HYPERLINK("#",""), HYPERLINK(CONCATENATE("#Metadata!", ADDRESS(INDEX($X$2:$X$1001,MATCH(ROWS($V$2:V165),$V$2:$V$1001,0),0), INDEX($AC$1004:$AS$1004,1,MATCH(COLUMNS($AC$1006:AI1006),$AC$1006:$AS$1006,0)))),"Fix")))</f>
        <v>0</v>
      </c>
      <c r="I165" s="5">
        <f>IF(OR(INDEX($W$2:$W$1001,MATCH(ROWS($V$2:V165),$V$2:$V$1001,0),1)&gt;=100000,INDEX($AC$1005:$AS$1005,1,MATCH(COLUMNS($AC$1006:AJ1006),$AC$1006:$AS$1006,0))&gt;=100000), " ",IF(INDEX($AC$2:$AS$1001,MATCH(ROWS($V$2:V165),$V$2:$V$1001,0),MATCH(COLUMNS($AC$1006:AJ1006),$AC$1006:$AS$1006,0)), HYPERLINK("#",""), HYPERLINK(CONCATENATE("#Metadata!", ADDRESS(INDEX($X$2:$X$1001,MATCH(ROWS($V$2:V165),$V$2:$V$1001,0),0), INDEX($AC$1004:$AS$1004,1,MATCH(COLUMNS($AC$1006:AJ1006),$AC$1006:$AS$1006,0)))),"Fix")))</f>
        <v>0</v>
      </c>
      <c r="J165" s="5">
        <f>IF(OR(INDEX($W$2:$W$1001,MATCH(ROWS($V$2:V165),$V$2:$V$1001,0),1)&gt;=100000,INDEX($AC$1005:$AS$1005,1,MATCH(COLUMNS($AC$1006:AK1006),$AC$1006:$AS$1006,0))&gt;=100000), " ",IF(INDEX($AC$2:$AS$1001,MATCH(ROWS($V$2:V165),$V$2:$V$1001,0),MATCH(COLUMNS($AC$1006:AK1006),$AC$1006:$AS$1006,0)), HYPERLINK("#",""), HYPERLINK(CONCATENATE("#Metadata!", ADDRESS(INDEX($X$2:$X$1001,MATCH(ROWS($V$2:V165),$V$2:$V$1001,0),0), INDEX($AC$1004:$AS$1004,1,MATCH(COLUMNS($AC$1006:AK1006),$AC$1006:$AS$1006,0)))),"Fix")))</f>
        <v>0</v>
      </c>
      <c r="K165" s="5">
        <f>IF(OR(INDEX($W$2:$W$1001,MATCH(ROWS($V$2:V165),$V$2:$V$1001,0),1)&gt;=100000,INDEX($AC$1005:$AS$1005,1,MATCH(COLUMNS($AC$1006:AL1006),$AC$1006:$AS$1006,0))&gt;=100000), " ",IF(INDEX($AC$2:$AS$1001,MATCH(ROWS($V$2:V165),$V$2:$V$1001,0),MATCH(COLUMNS($AC$1006:AL1006),$AC$1006:$AS$1006,0)), HYPERLINK("#",""), HYPERLINK(CONCATENATE("#Metadata!", ADDRESS(INDEX($X$2:$X$1001,MATCH(ROWS($V$2:V165),$V$2:$V$1001,0),0), INDEX($AC$1004:$AS$1004,1,MATCH(COLUMNS($AC$1006:AL1006),$AC$1006:$AS$1006,0)))),"Fix")))</f>
        <v>0</v>
      </c>
      <c r="L165" s="5">
        <f>IF(OR(INDEX($W$2:$W$1001,MATCH(ROWS($V$2:V165),$V$2:$V$1001,0),1)&gt;=100000,INDEX($AC$1005:$AS$1005,1,MATCH(COLUMNS($AC$1006:AM1006),$AC$1006:$AS$1006,0))&gt;=100000), " ",IF(INDEX($AC$2:$AS$1001,MATCH(ROWS($V$2:V165),$V$2:$V$1001,0),MATCH(COLUMNS($AC$1006:AM1006),$AC$1006:$AS$1006,0)), HYPERLINK("#",""), HYPERLINK(CONCATENATE("#Metadata!", ADDRESS(INDEX($X$2:$X$1001,MATCH(ROWS($V$2:V165),$V$2:$V$1001,0),0), INDEX($AC$1004:$AS$1004,1,MATCH(COLUMNS($AC$1006:AM1006),$AC$1006:$AS$1006,0)))),"Fix")))</f>
        <v>0</v>
      </c>
      <c r="M165" s="5">
        <f>IF(OR(INDEX($W$2:$W$1001,MATCH(ROWS($V$2:V165),$V$2:$V$1001,0),1)&gt;=100000,INDEX($AC$1005:$AS$1005,1,MATCH(COLUMNS($AC$1006:AN1006),$AC$1006:$AS$1006,0))&gt;=100000), " ",IF(INDEX($AC$2:$AS$1001,MATCH(ROWS($V$2:V165),$V$2:$V$1001,0),MATCH(COLUMNS($AC$1006:AN1006),$AC$1006:$AS$1006,0)), HYPERLINK("#",""), HYPERLINK(CONCATENATE("#Metadata!", ADDRESS(INDEX($X$2:$X$1001,MATCH(ROWS($V$2:V165),$V$2:$V$1001,0),0), INDEX($AC$1004:$AS$1004,1,MATCH(COLUMNS($AC$1006:AN1006),$AC$1006:$AS$1006,0)))),"Fix")))</f>
        <v>0</v>
      </c>
      <c r="N165" s="5">
        <f>IF(OR(INDEX($W$2:$W$1001,MATCH(ROWS($V$2:V165),$V$2:$V$1001,0),1)&gt;=100000,INDEX($AC$1005:$AS$1005,1,MATCH(COLUMNS($AC$1006:AO1006),$AC$1006:$AS$1006,0))&gt;=100000), " ",IF(INDEX($AC$2:$AS$1001,MATCH(ROWS($V$2:V165),$V$2:$V$1001,0),MATCH(COLUMNS($AC$1006:AO1006),$AC$1006:$AS$1006,0)), HYPERLINK("#",""), HYPERLINK(CONCATENATE("#Metadata!", ADDRESS(INDEX($X$2:$X$1001,MATCH(ROWS($V$2:V165),$V$2:$V$1001,0),0), INDEX($AC$1004:$AS$1004,1,MATCH(COLUMNS($AC$1006:AO1006),$AC$1006:$AS$1006,0)))),"Fix")))</f>
        <v>0</v>
      </c>
      <c r="O165" s="5">
        <f>IF(OR(INDEX($W$2:$W$1001,MATCH(ROWS($V$2:V165),$V$2:$V$1001,0),1)&gt;=100000,INDEX($AC$1005:$AS$1005,1,MATCH(COLUMNS($AC$1006:AP1006),$AC$1006:$AS$1006,0))&gt;=100000), " ",IF(INDEX($AC$2:$AS$1001,MATCH(ROWS($V$2:V165),$V$2:$V$1001,0),MATCH(COLUMNS($AC$1006:AP1006),$AC$1006:$AS$1006,0)), HYPERLINK("#",""), HYPERLINK(CONCATENATE("#Metadata!", ADDRESS(INDEX($X$2:$X$1001,MATCH(ROWS($V$2:V165),$V$2:$V$1001,0),0), INDEX($AC$1004:$AS$1004,1,MATCH(COLUMNS($AC$1006:AP1006),$AC$1006:$AS$1006,0)))),"Fix")))</f>
        <v>0</v>
      </c>
      <c r="P165" s="5">
        <f>IF(OR(INDEX($W$2:$W$1001,MATCH(ROWS($V$2:V165),$V$2:$V$1001,0),1)&gt;=100000,INDEX($AC$1005:$AS$1005,1,MATCH(COLUMNS($AC$1006:AQ1006),$AC$1006:$AS$1006,0))&gt;=100000), " ",IF(INDEX($AC$2:$AS$1001,MATCH(ROWS($V$2:V165),$V$2:$V$1001,0),MATCH(COLUMNS($AC$1006:AQ1006),$AC$1006:$AS$1006,0)), HYPERLINK("#",""), HYPERLINK(CONCATENATE("#Metadata!", ADDRESS(INDEX($X$2:$X$1001,MATCH(ROWS($V$2:V165),$V$2:$V$1001,0),0), INDEX($AC$1004:$AS$1004,1,MATCH(COLUMNS($AC$1006:AQ1006),$AC$1006:$AS$1006,0)))),"Fix")))</f>
        <v>0</v>
      </c>
      <c r="Q165" s="5">
        <f>IF(OR(INDEX($W$2:$W$1001,MATCH(ROWS($V$2:V165),$V$2:$V$1001,0),1)&gt;=100000,INDEX($AC$1005:$AS$1005,1,MATCH(COLUMNS($AC$1006:AR1006),$AC$1006:$AS$1006,0))&gt;=100000), " ",IF(INDEX($AC$2:$AS$1001,MATCH(ROWS($V$2:V165),$V$2:$V$1001,0),MATCH(COLUMNS($AC$1006:AR1006),$AC$1006:$AS$1006,0)), HYPERLINK("#",""), HYPERLINK(CONCATENATE("#Metadata!", ADDRESS(INDEX($X$2:$X$1001,MATCH(ROWS($V$2:V165),$V$2:$V$1001,0),0), INDEX($AC$1004:$AS$1004,1,MATCH(COLUMNS($AC$1006:AR1006),$AC$1006:$AS$1006,0)))),"Fix")))</f>
        <v>0</v>
      </c>
      <c r="R165" s="5">
        <f>IF(OR(INDEX($W$2:$W$1001,MATCH(ROWS($V$2:V165),$V$2:$V$1001,0),1)&gt;=100000,INDEX($AC$1005:$AS$1005,1,MATCH(COLUMNS($AC$1006:AS1006),$AC$1006:$AS$1006,0))&gt;=100000), " ",IF(INDEX($AC$2:$AS$1001,MATCH(ROWS($V$2:V165),$V$2:$V$1001,0),MATCH(COLUMNS($AC$1006:AS1006),$AC$1006:$AS$1006,0)), HYPERLINK("#",""), HYPERLINK(CONCATENATE("#Metadata!", ADDRESS(INDEX($X$2:$X$1001,MATCH(ROWS($V$2:V165),$V$2:$V$1001,0),0), INDEX($AC$1004:$AS$1004,1,MATCH(COLUMNS($AC$1006:AS1006),$AC$1006:$AS$1006,0)))),"Fix")))</f>
        <v>0</v>
      </c>
      <c r="V165">
        <v>0</v>
      </c>
      <c r="W165">
        <v>0</v>
      </c>
      <c r="X165">
        <v>0</v>
      </c>
      <c r="Y165">
        <f>IF(Z165,TRUE,AND(AC165:AS165))</f>
        <v>0</v>
      </c>
      <c r="Z165">
        <f>COUNTBLANK(Metadata!B165:R165)=COLUMNS(Metadata!B165:R165)</f>
        <v>0</v>
      </c>
      <c r="AA165">
        <v>0</v>
      </c>
      <c r="AC165">
        <f>AND(IF(Metadata!B165="",FALSE,TRUE),COUNTIF(Metadata!B:B, Metadata!B165) = 1,NOT(ISERROR(SUMPRODUCT(SEARCH(MID(Metadata!B165,ROW(INDIRECT("1:"&amp;LEN(Metadata!B165))), 1),"0123456789abcdefghijklmnopqrstuvwxyzABCDEFGHIJKLMNOPQRSTUVWXYZ.")))))</f>
        <v>0</v>
      </c>
      <c r="AD165">
        <f>AND(IF(Metadata!C165="",FALSE,TRUE),exact(Metadata!C165,"Host-associated"))</f>
        <v>0</v>
      </c>
      <c r="AE165">
        <f>AND(IF(Metadata!D165="",FALSE,TRUE),OR(exact(Metadata!D165,"Animal"),exact(Metadata!D165,"Fungus"),exact(Metadata!D165,"Plant")))</f>
        <v>0</v>
      </c>
      <c r="AF165">
        <f>AND(IF(Metadata!E165="",FALSE,TRUE),OR(exact(Metadata!E165,"Plant secretion"),exact(Metadata!E165,"Plant rhizosphere"),exact(Metadata!E165,"Plant surface"),exact(Metadata!E165,"Plant corpus"),exact(Metadata!E165,"Fungus surface"),exact(Metadata!E165,"Fungus corpus"),exact(Metadata!E165,"Animal surface"),exact(Metadata!E165,"Animal proximal gut"),exact(Metadata!E165,"Animal corpus"),exact(Metadata!E165,"Animal distal gut"),exact(Metadata!E165,"Animal secretion")))</f>
        <v>0</v>
      </c>
      <c r="AG165">
        <f>OR(AND(IF(Metadata!F165="",FALSE,TRUE),OR(exact(Metadata!F165,"not collected"),exact(Metadata!F165,"not provided"),exact(Metadata!F165,"restricted access"))),AND(IF(Metadata!F165="",FALSE,TRUE),OR(exact(Metadata!F165,"organism-associated habitat"),exact(Metadata!F165,"plant-associated habitat"),exact(Metadata!F165,"animal-associated habitat"),exact(Metadata!F165,"insecta-associated habitat"),exact(Metadata!F165,"mammalia-associated habitat"),exact(Metadata!F165,"human-associated habitat"),exact(Metadata!F165,"livestock-associated habitat"))))</f>
        <v>0</v>
      </c>
      <c r="AH165">
        <f>AND(IF(Metadata!G165="",FALSE,TRUE),exact(Metadata!G165,"host-associated"))</f>
        <v>0</v>
      </c>
      <c r="AI165">
        <f>OR(AND(IF(Metadata!H165="",FALSE,TRUE),OR(exact(Metadata!H165,"not collected"),exact(Metadata!H165,"not provided"))),AND(IF(Metadata!H165="",FALSE,ISNUMBER(VALUE(Metadata!H165))),Metadata!H165&gt;0))</f>
        <v>0</v>
      </c>
      <c r="AJ165">
        <f>AND(IF(Metadata!I165="",FALSE,TRUE),exact(Metadata!I165,"years"))</f>
        <v>0</v>
      </c>
      <c r="AK165">
        <f>IF(Metadata!J165="",FALSE,TRUE)</f>
        <v>0</v>
      </c>
      <c r="AL165">
        <f>OR(AND(IF(Metadata!K165="",FALSE,TRUE),OR(exact(Metadata!K165,"not collected"),exact(Metadata!K165,"not provided"))),AND(IF(Metadata!K165="",FALSE,ISNUMBER(VALUE(Metadata!K165))),Metadata!K165&gt;0))</f>
        <v>0</v>
      </c>
      <c r="AM165">
        <f>AND(IF(Metadata!L165="",FALSE,TRUE),exact(Metadata!L165,"cm"))</f>
        <v>0</v>
      </c>
      <c r="AN165">
        <f>IF(Metadata!M165="",FALSE,TRUE)</f>
        <v>0</v>
      </c>
      <c r="AO165">
        <f>OR(AND(IF(Metadata!N165="",FALSE,TRUE),OR(exact(Metadata!N165,"not applicable"),exact(Metadata!N165,"not collected"),exact(Metadata!N165,"not provided"))),AND(IF(Metadata!N165="",FALSE,IF(ISERROR(INT(Metadata!N165)),FALSE,INT(Metadata!N165)=Metadata!N165)),Metadata!N165&gt;0))</f>
        <v>0</v>
      </c>
      <c r="AP165">
        <f>OR(AND(IF(Metadata!O165="",FALSE,TRUE),OR(exact(Metadata!O165,"not collected"),exact(Metadata!O165,"not provided"))),AND(IF(Metadata!O165="",FALSE,ISNUMBER(VALUE(Metadata!O165))),Metadata!O165&gt;0))</f>
        <v>0</v>
      </c>
      <c r="AQ165">
        <f>AND(IF(Metadata!P165="",FALSE,TRUE),exact(Metadata!P165,"kg"))</f>
        <v>0</v>
      </c>
      <c r="AR165">
        <f>OR(AND(IF(Metadata!Q165="",FALSE,TRUE),OR(exact(Metadata!Q165,"not applicable"),exact(Metadata!Q165,"not collected"),exact(Metadata!Q165,"not provided"),exact(Metadata!Q165,"restricted access"))),IF(Metadata!Q165="",FALSE,IF(ISERROR(INT(Metadata!Q165)),FALSE,INT(Metadata!Q165)=Metadata!Q165)))</f>
        <v>0</v>
      </c>
      <c r="AS165">
        <f>AND(IF(Metadata!R165="",FALSE,TRUE),exact(Metadata!R165,"Not applicable"))</f>
        <v>0</v>
      </c>
    </row>
    <row r="166" spans="1:45">
      <c r="A166" s="4">
        <f>IF(B166=" "," ",HYPERLINK(CONCATENATE("#metadata!",ADDRESS(INDEX($X$2:$X$1001,MATCH(ROWS($V$2:V166),$V$2:$V$1001,0),0),2)),INDEX($AA$2:$AA$1001,MATCH(ROWS($V$2:V166),$V$2:$V$1001,0),0)))</f>
        <v>0</v>
      </c>
      <c r="B166" s="5">
        <f>IF(OR(INDEX($W$2:$W$1001,MATCH(ROWS($V$2:V166),$V$2:$V$1001,0),1)&gt;=100000,INDEX($AC$1005:$AS$1005,1,MATCH(COLUMNS($AC$1006:AC1006),$AC$1006:$AS$1006,0))&gt;=100000), " ",IF(INDEX($AC$2:$AS$1001,MATCH(ROWS($V$2:V166),$V$2:$V$1001,0),MATCH(COLUMNS($AC$1006:AC1006),$AC$1006:$AS$1006,0)), HYPERLINK("#",""), HYPERLINK(CONCATENATE("#Metadata!", ADDRESS(INDEX($X$2:$X$1001,MATCH(ROWS($V$2:V166),$V$2:$V$1001,0),0), INDEX($AC$1004:$AS$1004,1,MATCH(COLUMNS($AC$1006:AC1006),$AC$1006:$AS$1006,0)))),"Fix")))</f>
        <v>0</v>
      </c>
      <c r="C166" s="5">
        <f>IF(OR(INDEX($W$2:$W$1001,MATCH(ROWS($V$2:V166),$V$2:$V$1001,0),1)&gt;=100000,INDEX($AC$1005:$AS$1005,1,MATCH(COLUMNS($AC$1006:AD1006),$AC$1006:$AS$1006,0))&gt;=100000), " ",IF(INDEX($AC$2:$AS$1001,MATCH(ROWS($V$2:V166),$V$2:$V$1001,0),MATCH(COLUMNS($AC$1006:AD1006),$AC$1006:$AS$1006,0)), HYPERLINK("#",""), HYPERLINK(CONCATENATE("#Metadata!", ADDRESS(INDEX($X$2:$X$1001,MATCH(ROWS($V$2:V166),$V$2:$V$1001,0),0), INDEX($AC$1004:$AS$1004,1,MATCH(COLUMNS($AC$1006:AD1006),$AC$1006:$AS$1006,0)))),"Fix")))</f>
        <v>0</v>
      </c>
      <c r="D166" s="5">
        <f>IF(OR(INDEX($W$2:$W$1001,MATCH(ROWS($V$2:V166),$V$2:$V$1001,0),1)&gt;=100000,INDEX($AC$1005:$AS$1005,1,MATCH(COLUMNS($AC$1006:AE1006),$AC$1006:$AS$1006,0))&gt;=100000), " ",IF(INDEX($AC$2:$AS$1001,MATCH(ROWS($V$2:V166),$V$2:$V$1001,0),MATCH(COLUMNS($AC$1006:AE1006),$AC$1006:$AS$1006,0)), HYPERLINK("#",""), HYPERLINK(CONCATENATE("#Metadata!", ADDRESS(INDEX($X$2:$X$1001,MATCH(ROWS($V$2:V166),$V$2:$V$1001,0),0), INDEX($AC$1004:$AS$1004,1,MATCH(COLUMNS($AC$1006:AE1006),$AC$1006:$AS$1006,0)))),"Fix")))</f>
        <v>0</v>
      </c>
      <c r="E166" s="5">
        <f>IF(OR(INDEX($W$2:$W$1001,MATCH(ROWS($V$2:V166),$V$2:$V$1001,0),1)&gt;=100000,INDEX($AC$1005:$AS$1005,1,MATCH(COLUMNS($AC$1006:AF1006),$AC$1006:$AS$1006,0))&gt;=100000), " ",IF(INDEX($AC$2:$AS$1001,MATCH(ROWS($V$2:V166),$V$2:$V$1001,0),MATCH(COLUMNS($AC$1006:AF1006),$AC$1006:$AS$1006,0)), HYPERLINK("#",""), HYPERLINK(CONCATENATE("#Metadata!", ADDRESS(INDEX($X$2:$X$1001,MATCH(ROWS($V$2:V166),$V$2:$V$1001,0),0), INDEX($AC$1004:$AS$1004,1,MATCH(COLUMNS($AC$1006:AF1006),$AC$1006:$AS$1006,0)))),"Fix")))</f>
        <v>0</v>
      </c>
      <c r="F166" s="5">
        <f>IF(OR(INDEX($W$2:$W$1001,MATCH(ROWS($V$2:V166),$V$2:$V$1001,0),1)&gt;=100000,INDEX($AC$1005:$AS$1005,1,MATCH(COLUMNS($AC$1006:AG1006),$AC$1006:$AS$1006,0))&gt;=100000), " ",IF(INDEX($AC$2:$AS$1001,MATCH(ROWS($V$2:V166),$V$2:$V$1001,0),MATCH(COLUMNS($AC$1006:AG1006),$AC$1006:$AS$1006,0)), HYPERLINK("#",""), HYPERLINK(CONCATENATE("#Metadata!", ADDRESS(INDEX($X$2:$X$1001,MATCH(ROWS($V$2:V166),$V$2:$V$1001,0),0), INDEX($AC$1004:$AS$1004,1,MATCH(COLUMNS($AC$1006:AG1006),$AC$1006:$AS$1006,0)))),"Fix")))</f>
        <v>0</v>
      </c>
      <c r="G166" s="5">
        <f>IF(OR(INDEX($W$2:$W$1001,MATCH(ROWS($V$2:V166),$V$2:$V$1001,0),1)&gt;=100000,INDEX($AC$1005:$AS$1005,1,MATCH(COLUMNS($AC$1006:AH1006),$AC$1006:$AS$1006,0))&gt;=100000), " ",IF(INDEX($AC$2:$AS$1001,MATCH(ROWS($V$2:V166),$V$2:$V$1001,0),MATCH(COLUMNS($AC$1006:AH1006),$AC$1006:$AS$1006,0)), HYPERLINK("#",""), HYPERLINK(CONCATENATE("#Metadata!", ADDRESS(INDEX($X$2:$X$1001,MATCH(ROWS($V$2:V166),$V$2:$V$1001,0),0), INDEX($AC$1004:$AS$1004,1,MATCH(COLUMNS($AC$1006:AH1006),$AC$1006:$AS$1006,0)))),"Fix")))</f>
        <v>0</v>
      </c>
      <c r="H166" s="5">
        <f>IF(OR(INDEX($W$2:$W$1001,MATCH(ROWS($V$2:V166),$V$2:$V$1001,0),1)&gt;=100000,INDEX($AC$1005:$AS$1005,1,MATCH(COLUMNS($AC$1006:AI1006),$AC$1006:$AS$1006,0))&gt;=100000), " ",IF(INDEX($AC$2:$AS$1001,MATCH(ROWS($V$2:V166),$V$2:$V$1001,0),MATCH(COLUMNS($AC$1006:AI1006),$AC$1006:$AS$1006,0)), HYPERLINK("#",""), HYPERLINK(CONCATENATE("#Metadata!", ADDRESS(INDEX($X$2:$X$1001,MATCH(ROWS($V$2:V166),$V$2:$V$1001,0),0), INDEX($AC$1004:$AS$1004,1,MATCH(COLUMNS($AC$1006:AI1006),$AC$1006:$AS$1006,0)))),"Fix")))</f>
        <v>0</v>
      </c>
      <c r="I166" s="5">
        <f>IF(OR(INDEX($W$2:$W$1001,MATCH(ROWS($V$2:V166),$V$2:$V$1001,0),1)&gt;=100000,INDEX($AC$1005:$AS$1005,1,MATCH(COLUMNS($AC$1006:AJ1006),$AC$1006:$AS$1006,0))&gt;=100000), " ",IF(INDEX($AC$2:$AS$1001,MATCH(ROWS($V$2:V166),$V$2:$V$1001,0),MATCH(COLUMNS($AC$1006:AJ1006),$AC$1006:$AS$1006,0)), HYPERLINK("#",""), HYPERLINK(CONCATENATE("#Metadata!", ADDRESS(INDEX($X$2:$X$1001,MATCH(ROWS($V$2:V166),$V$2:$V$1001,0),0), INDEX($AC$1004:$AS$1004,1,MATCH(COLUMNS($AC$1006:AJ1006),$AC$1006:$AS$1006,0)))),"Fix")))</f>
        <v>0</v>
      </c>
      <c r="J166" s="5">
        <f>IF(OR(INDEX($W$2:$W$1001,MATCH(ROWS($V$2:V166),$V$2:$V$1001,0),1)&gt;=100000,INDEX($AC$1005:$AS$1005,1,MATCH(COLUMNS($AC$1006:AK1006),$AC$1006:$AS$1006,0))&gt;=100000), " ",IF(INDEX($AC$2:$AS$1001,MATCH(ROWS($V$2:V166),$V$2:$V$1001,0),MATCH(COLUMNS($AC$1006:AK1006),$AC$1006:$AS$1006,0)), HYPERLINK("#",""), HYPERLINK(CONCATENATE("#Metadata!", ADDRESS(INDEX($X$2:$X$1001,MATCH(ROWS($V$2:V166),$V$2:$V$1001,0),0), INDEX($AC$1004:$AS$1004,1,MATCH(COLUMNS($AC$1006:AK1006),$AC$1006:$AS$1006,0)))),"Fix")))</f>
        <v>0</v>
      </c>
      <c r="K166" s="5">
        <f>IF(OR(INDEX($W$2:$W$1001,MATCH(ROWS($V$2:V166),$V$2:$V$1001,0),1)&gt;=100000,INDEX($AC$1005:$AS$1005,1,MATCH(COLUMNS($AC$1006:AL1006),$AC$1006:$AS$1006,0))&gt;=100000), " ",IF(INDEX($AC$2:$AS$1001,MATCH(ROWS($V$2:V166),$V$2:$V$1001,0),MATCH(COLUMNS($AC$1006:AL1006),$AC$1006:$AS$1006,0)), HYPERLINK("#",""), HYPERLINK(CONCATENATE("#Metadata!", ADDRESS(INDEX($X$2:$X$1001,MATCH(ROWS($V$2:V166),$V$2:$V$1001,0),0), INDEX($AC$1004:$AS$1004,1,MATCH(COLUMNS($AC$1006:AL1006),$AC$1006:$AS$1006,0)))),"Fix")))</f>
        <v>0</v>
      </c>
      <c r="L166" s="5">
        <f>IF(OR(INDEX($W$2:$W$1001,MATCH(ROWS($V$2:V166),$V$2:$V$1001,0),1)&gt;=100000,INDEX($AC$1005:$AS$1005,1,MATCH(COLUMNS($AC$1006:AM1006),$AC$1006:$AS$1006,0))&gt;=100000), " ",IF(INDEX($AC$2:$AS$1001,MATCH(ROWS($V$2:V166),$V$2:$V$1001,0),MATCH(COLUMNS($AC$1006:AM1006),$AC$1006:$AS$1006,0)), HYPERLINK("#",""), HYPERLINK(CONCATENATE("#Metadata!", ADDRESS(INDEX($X$2:$X$1001,MATCH(ROWS($V$2:V166),$V$2:$V$1001,0),0), INDEX($AC$1004:$AS$1004,1,MATCH(COLUMNS($AC$1006:AM1006),$AC$1006:$AS$1006,0)))),"Fix")))</f>
        <v>0</v>
      </c>
      <c r="M166" s="5">
        <f>IF(OR(INDEX($W$2:$W$1001,MATCH(ROWS($V$2:V166),$V$2:$V$1001,0),1)&gt;=100000,INDEX($AC$1005:$AS$1005,1,MATCH(COLUMNS($AC$1006:AN1006),$AC$1006:$AS$1006,0))&gt;=100000), " ",IF(INDEX($AC$2:$AS$1001,MATCH(ROWS($V$2:V166),$V$2:$V$1001,0),MATCH(COLUMNS($AC$1006:AN1006),$AC$1006:$AS$1006,0)), HYPERLINK("#",""), HYPERLINK(CONCATENATE("#Metadata!", ADDRESS(INDEX($X$2:$X$1001,MATCH(ROWS($V$2:V166),$V$2:$V$1001,0),0), INDEX($AC$1004:$AS$1004,1,MATCH(COLUMNS($AC$1006:AN1006),$AC$1006:$AS$1006,0)))),"Fix")))</f>
        <v>0</v>
      </c>
      <c r="N166" s="5">
        <f>IF(OR(INDEX($W$2:$W$1001,MATCH(ROWS($V$2:V166),$V$2:$V$1001,0),1)&gt;=100000,INDEX($AC$1005:$AS$1005,1,MATCH(COLUMNS($AC$1006:AO1006),$AC$1006:$AS$1006,0))&gt;=100000), " ",IF(INDEX($AC$2:$AS$1001,MATCH(ROWS($V$2:V166),$V$2:$V$1001,0),MATCH(COLUMNS($AC$1006:AO1006),$AC$1006:$AS$1006,0)), HYPERLINK("#",""), HYPERLINK(CONCATENATE("#Metadata!", ADDRESS(INDEX($X$2:$X$1001,MATCH(ROWS($V$2:V166),$V$2:$V$1001,0),0), INDEX($AC$1004:$AS$1004,1,MATCH(COLUMNS($AC$1006:AO1006),$AC$1006:$AS$1006,0)))),"Fix")))</f>
        <v>0</v>
      </c>
      <c r="O166" s="5">
        <f>IF(OR(INDEX($W$2:$W$1001,MATCH(ROWS($V$2:V166),$V$2:$V$1001,0),1)&gt;=100000,INDEX($AC$1005:$AS$1005,1,MATCH(COLUMNS($AC$1006:AP1006),$AC$1006:$AS$1006,0))&gt;=100000), " ",IF(INDEX($AC$2:$AS$1001,MATCH(ROWS($V$2:V166),$V$2:$V$1001,0),MATCH(COLUMNS($AC$1006:AP1006),$AC$1006:$AS$1006,0)), HYPERLINK("#",""), HYPERLINK(CONCATENATE("#Metadata!", ADDRESS(INDEX($X$2:$X$1001,MATCH(ROWS($V$2:V166),$V$2:$V$1001,0),0), INDEX($AC$1004:$AS$1004,1,MATCH(COLUMNS($AC$1006:AP1006),$AC$1006:$AS$1006,0)))),"Fix")))</f>
        <v>0</v>
      </c>
      <c r="P166" s="5">
        <f>IF(OR(INDEX($W$2:$W$1001,MATCH(ROWS($V$2:V166),$V$2:$V$1001,0),1)&gt;=100000,INDEX($AC$1005:$AS$1005,1,MATCH(COLUMNS($AC$1006:AQ1006),$AC$1006:$AS$1006,0))&gt;=100000), " ",IF(INDEX($AC$2:$AS$1001,MATCH(ROWS($V$2:V166),$V$2:$V$1001,0),MATCH(COLUMNS($AC$1006:AQ1006),$AC$1006:$AS$1006,0)), HYPERLINK("#",""), HYPERLINK(CONCATENATE("#Metadata!", ADDRESS(INDEX($X$2:$X$1001,MATCH(ROWS($V$2:V166),$V$2:$V$1001,0),0), INDEX($AC$1004:$AS$1004,1,MATCH(COLUMNS($AC$1006:AQ1006),$AC$1006:$AS$1006,0)))),"Fix")))</f>
        <v>0</v>
      </c>
      <c r="Q166" s="5">
        <f>IF(OR(INDEX($W$2:$W$1001,MATCH(ROWS($V$2:V166),$V$2:$V$1001,0),1)&gt;=100000,INDEX($AC$1005:$AS$1005,1,MATCH(COLUMNS($AC$1006:AR1006),$AC$1006:$AS$1006,0))&gt;=100000), " ",IF(INDEX($AC$2:$AS$1001,MATCH(ROWS($V$2:V166),$V$2:$V$1001,0),MATCH(COLUMNS($AC$1006:AR1006),$AC$1006:$AS$1006,0)), HYPERLINK("#",""), HYPERLINK(CONCATENATE("#Metadata!", ADDRESS(INDEX($X$2:$X$1001,MATCH(ROWS($V$2:V166),$V$2:$V$1001,0),0), INDEX($AC$1004:$AS$1004,1,MATCH(COLUMNS($AC$1006:AR1006),$AC$1006:$AS$1006,0)))),"Fix")))</f>
        <v>0</v>
      </c>
      <c r="R166" s="5">
        <f>IF(OR(INDEX($W$2:$W$1001,MATCH(ROWS($V$2:V166),$V$2:$V$1001,0),1)&gt;=100000,INDEX($AC$1005:$AS$1005,1,MATCH(COLUMNS($AC$1006:AS1006),$AC$1006:$AS$1006,0))&gt;=100000), " ",IF(INDEX($AC$2:$AS$1001,MATCH(ROWS($V$2:V166),$V$2:$V$1001,0),MATCH(COLUMNS($AC$1006:AS1006),$AC$1006:$AS$1006,0)), HYPERLINK("#",""), HYPERLINK(CONCATENATE("#Metadata!", ADDRESS(INDEX($X$2:$X$1001,MATCH(ROWS($V$2:V166),$V$2:$V$1001,0),0), INDEX($AC$1004:$AS$1004,1,MATCH(COLUMNS($AC$1006:AS1006),$AC$1006:$AS$1006,0)))),"Fix")))</f>
        <v>0</v>
      </c>
      <c r="V166">
        <v>0</v>
      </c>
      <c r="W166">
        <v>0</v>
      </c>
      <c r="X166">
        <v>0</v>
      </c>
      <c r="Y166">
        <f>IF(Z166,TRUE,AND(AC166:AS166))</f>
        <v>0</v>
      </c>
      <c r="Z166">
        <f>COUNTBLANK(Metadata!B166:R166)=COLUMNS(Metadata!B166:R166)</f>
        <v>0</v>
      </c>
      <c r="AA166">
        <v>0</v>
      </c>
      <c r="AC166">
        <f>AND(IF(Metadata!B166="",FALSE,TRUE),COUNTIF(Metadata!B:B, Metadata!B166) = 1,NOT(ISERROR(SUMPRODUCT(SEARCH(MID(Metadata!B166,ROW(INDIRECT("1:"&amp;LEN(Metadata!B166))), 1),"0123456789abcdefghijklmnopqrstuvwxyzABCDEFGHIJKLMNOPQRSTUVWXYZ.")))))</f>
        <v>0</v>
      </c>
      <c r="AD166">
        <f>AND(IF(Metadata!C166="",FALSE,TRUE),exact(Metadata!C166,"Host-associated"))</f>
        <v>0</v>
      </c>
      <c r="AE166">
        <f>AND(IF(Metadata!D166="",FALSE,TRUE),OR(exact(Metadata!D166,"Animal"),exact(Metadata!D166,"Fungus"),exact(Metadata!D166,"Plant")))</f>
        <v>0</v>
      </c>
      <c r="AF166">
        <f>AND(IF(Metadata!E166="",FALSE,TRUE),OR(exact(Metadata!E166,"Plant secretion"),exact(Metadata!E166,"Plant rhizosphere"),exact(Metadata!E166,"Plant surface"),exact(Metadata!E166,"Plant corpus"),exact(Metadata!E166,"Fungus surface"),exact(Metadata!E166,"Fungus corpus"),exact(Metadata!E166,"Animal surface"),exact(Metadata!E166,"Animal proximal gut"),exact(Metadata!E166,"Animal corpus"),exact(Metadata!E166,"Animal distal gut"),exact(Metadata!E166,"Animal secretion")))</f>
        <v>0</v>
      </c>
      <c r="AG166">
        <f>OR(AND(IF(Metadata!F166="",FALSE,TRUE),OR(exact(Metadata!F166,"not collected"),exact(Metadata!F166,"not provided"),exact(Metadata!F166,"restricted access"))),AND(IF(Metadata!F166="",FALSE,TRUE),OR(exact(Metadata!F166,"organism-associated habitat"),exact(Metadata!F166,"plant-associated habitat"),exact(Metadata!F166,"animal-associated habitat"),exact(Metadata!F166,"insecta-associated habitat"),exact(Metadata!F166,"mammalia-associated habitat"),exact(Metadata!F166,"human-associated habitat"),exact(Metadata!F166,"livestock-associated habitat"))))</f>
        <v>0</v>
      </c>
      <c r="AH166">
        <f>AND(IF(Metadata!G166="",FALSE,TRUE),exact(Metadata!G166,"host-associated"))</f>
        <v>0</v>
      </c>
      <c r="AI166">
        <f>OR(AND(IF(Metadata!H166="",FALSE,TRUE),OR(exact(Metadata!H166,"not collected"),exact(Metadata!H166,"not provided"))),AND(IF(Metadata!H166="",FALSE,ISNUMBER(VALUE(Metadata!H166))),Metadata!H166&gt;0))</f>
        <v>0</v>
      </c>
      <c r="AJ166">
        <f>AND(IF(Metadata!I166="",FALSE,TRUE),exact(Metadata!I166,"years"))</f>
        <v>0</v>
      </c>
      <c r="AK166">
        <f>IF(Metadata!J166="",FALSE,TRUE)</f>
        <v>0</v>
      </c>
      <c r="AL166">
        <f>OR(AND(IF(Metadata!K166="",FALSE,TRUE),OR(exact(Metadata!K166,"not collected"),exact(Metadata!K166,"not provided"))),AND(IF(Metadata!K166="",FALSE,ISNUMBER(VALUE(Metadata!K166))),Metadata!K166&gt;0))</f>
        <v>0</v>
      </c>
      <c r="AM166">
        <f>AND(IF(Metadata!L166="",FALSE,TRUE),exact(Metadata!L166,"cm"))</f>
        <v>0</v>
      </c>
      <c r="AN166">
        <f>IF(Metadata!M166="",FALSE,TRUE)</f>
        <v>0</v>
      </c>
      <c r="AO166">
        <f>OR(AND(IF(Metadata!N166="",FALSE,TRUE),OR(exact(Metadata!N166,"not applicable"),exact(Metadata!N166,"not collected"),exact(Metadata!N166,"not provided"))),AND(IF(Metadata!N166="",FALSE,IF(ISERROR(INT(Metadata!N166)),FALSE,INT(Metadata!N166)=Metadata!N166)),Metadata!N166&gt;0))</f>
        <v>0</v>
      </c>
      <c r="AP166">
        <f>OR(AND(IF(Metadata!O166="",FALSE,TRUE),OR(exact(Metadata!O166,"not collected"),exact(Metadata!O166,"not provided"))),AND(IF(Metadata!O166="",FALSE,ISNUMBER(VALUE(Metadata!O166))),Metadata!O166&gt;0))</f>
        <v>0</v>
      </c>
      <c r="AQ166">
        <f>AND(IF(Metadata!P166="",FALSE,TRUE),exact(Metadata!P166,"kg"))</f>
        <v>0</v>
      </c>
      <c r="AR166">
        <f>OR(AND(IF(Metadata!Q166="",FALSE,TRUE),OR(exact(Metadata!Q166,"not applicable"),exact(Metadata!Q166,"not collected"),exact(Metadata!Q166,"not provided"),exact(Metadata!Q166,"restricted access"))),IF(Metadata!Q166="",FALSE,IF(ISERROR(INT(Metadata!Q166)),FALSE,INT(Metadata!Q166)=Metadata!Q166)))</f>
        <v>0</v>
      </c>
      <c r="AS166">
        <f>AND(IF(Metadata!R166="",FALSE,TRUE),exact(Metadata!R166,"Not applicable"))</f>
        <v>0</v>
      </c>
    </row>
    <row r="167" spans="1:45">
      <c r="A167" s="4">
        <f>IF(B167=" "," ",HYPERLINK(CONCATENATE("#metadata!",ADDRESS(INDEX($X$2:$X$1001,MATCH(ROWS($V$2:V167),$V$2:$V$1001,0),0),2)),INDEX($AA$2:$AA$1001,MATCH(ROWS($V$2:V167),$V$2:$V$1001,0),0)))</f>
        <v>0</v>
      </c>
      <c r="B167" s="5">
        <f>IF(OR(INDEX($W$2:$W$1001,MATCH(ROWS($V$2:V167),$V$2:$V$1001,0),1)&gt;=100000,INDEX($AC$1005:$AS$1005,1,MATCH(COLUMNS($AC$1006:AC1006),$AC$1006:$AS$1006,0))&gt;=100000), " ",IF(INDEX($AC$2:$AS$1001,MATCH(ROWS($V$2:V167),$V$2:$V$1001,0),MATCH(COLUMNS($AC$1006:AC1006),$AC$1006:$AS$1006,0)), HYPERLINK("#",""), HYPERLINK(CONCATENATE("#Metadata!", ADDRESS(INDEX($X$2:$X$1001,MATCH(ROWS($V$2:V167),$V$2:$V$1001,0),0), INDEX($AC$1004:$AS$1004,1,MATCH(COLUMNS($AC$1006:AC1006),$AC$1006:$AS$1006,0)))),"Fix")))</f>
        <v>0</v>
      </c>
      <c r="C167" s="5">
        <f>IF(OR(INDEX($W$2:$W$1001,MATCH(ROWS($V$2:V167),$V$2:$V$1001,0),1)&gt;=100000,INDEX($AC$1005:$AS$1005,1,MATCH(COLUMNS($AC$1006:AD1006),$AC$1006:$AS$1006,0))&gt;=100000), " ",IF(INDEX($AC$2:$AS$1001,MATCH(ROWS($V$2:V167),$V$2:$V$1001,0),MATCH(COLUMNS($AC$1006:AD1006),$AC$1006:$AS$1006,0)), HYPERLINK("#",""), HYPERLINK(CONCATENATE("#Metadata!", ADDRESS(INDEX($X$2:$X$1001,MATCH(ROWS($V$2:V167),$V$2:$V$1001,0),0), INDEX($AC$1004:$AS$1004,1,MATCH(COLUMNS($AC$1006:AD1006),$AC$1006:$AS$1006,0)))),"Fix")))</f>
        <v>0</v>
      </c>
      <c r="D167" s="5">
        <f>IF(OR(INDEX($W$2:$W$1001,MATCH(ROWS($V$2:V167),$V$2:$V$1001,0),1)&gt;=100000,INDEX($AC$1005:$AS$1005,1,MATCH(COLUMNS($AC$1006:AE1006),$AC$1006:$AS$1006,0))&gt;=100000), " ",IF(INDEX($AC$2:$AS$1001,MATCH(ROWS($V$2:V167),$V$2:$V$1001,0),MATCH(COLUMNS($AC$1006:AE1006),$AC$1006:$AS$1006,0)), HYPERLINK("#",""), HYPERLINK(CONCATENATE("#Metadata!", ADDRESS(INDEX($X$2:$X$1001,MATCH(ROWS($V$2:V167),$V$2:$V$1001,0),0), INDEX($AC$1004:$AS$1004,1,MATCH(COLUMNS($AC$1006:AE1006),$AC$1006:$AS$1006,0)))),"Fix")))</f>
        <v>0</v>
      </c>
      <c r="E167" s="5">
        <f>IF(OR(INDEX($W$2:$W$1001,MATCH(ROWS($V$2:V167),$V$2:$V$1001,0),1)&gt;=100000,INDEX($AC$1005:$AS$1005,1,MATCH(COLUMNS($AC$1006:AF1006),$AC$1006:$AS$1006,0))&gt;=100000), " ",IF(INDEX($AC$2:$AS$1001,MATCH(ROWS($V$2:V167),$V$2:$V$1001,0),MATCH(COLUMNS($AC$1006:AF1006),$AC$1006:$AS$1006,0)), HYPERLINK("#",""), HYPERLINK(CONCATENATE("#Metadata!", ADDRESS(INDEX($X$2:$X$1001,MATCH(ROWS($V$2:V167),$V$2:$V$1001,0),0), INDEX($AC$1004:$AS$1004,1,MATCH(COLUMNS($AC$1006:AF1006),$AC$1006:$AS$1006,0)))),"Fix")))</f>
        <v>0</v>
      </c>
      <c r="F167" s="5">
        <f>IF(OR(INDEX($W$2:$W$1001,MATCH(ROWS($V$2:V167),$V$2:$V$1001,0),1)&gt;=100000,INDEX($AC$1005:$AS$1005,1,MATCH(COLUMNS($AC$1006:AG1006),$AC$1006:$AS$1006,0))&gt;=100000), " ",IF(INDEX($AC$2:$AS$1001,MATCH(ROWS($V$2:V167),$V$2:$V$1001,0),MATCH(COLUMNS($AC$1006:AG1006),$AC$1006:$AS$1006,0)), HYPERLINK("#",""), HYPERLINK(CONCATENATE("#Metadata!", ADDRESS(INDEX($X$2:$X$1001,MATCH(ROWS($V$2:V167),$V$2:$V$1001,0),0), INDEX($AC$1004:$AS$1004,1,MATCH(COLUMNS($AC$1006:AG1006),$AC$1006:$AS$1006,0)))),"Fix")))</f>
        <v>0</v>
      </c>
      <c r="G167" s="5">
        <f>IF(OR(INDEX($W$2:$W$1001,MATCH(ROWS($V$2:V167),$V$2:$V$1001,0),1)&gt;=100000,INDEX($AC$1005:$AS$1005,1,MATCH(COLUMNS($AC$1006:AH1006),$AC$1006:$AS$1006,0))&gt;=100000), " ",IF(INDEX($AC$2:$AS$1001,MATCH(ROWS($V$2:V167),$V$2:$V$1001,0),MATCH(COLUMNS($AC$1006:AH1006),$AC$1006:$AS$1006,0)), HYPERLINK("#",""), HYPERLINK(CONCATENATE("#Metadata!", ADDRESS(INDEX($X$2:$X$1001,MATCH(ROWS($V$2:V167),$V$2:$V$1001,0),0), INDEX($AC$1004:$AS$1004,1,MATCH(COLUMNS($AC$1006:AH1006),$AC$1006:$AS$1006,0)))),"Fix")))</f>
        <v>0</v>
      </c>
      <c r="H167" s="5">
        <f>IF(OR(INDEX($W$2:$W$1001,MATCH(ROWS($V$2:V167),$V$2:$V$1001,0),1)&gt;=100000,INDEX($AC$1005:$AS$1005,1,MATCH(COLUMNS($AC$1006:AI1006),$AC$1006:$AS$1006,0))&gt;=100000), " ",IF(INDEX($AC$2:$AS$1001,MATCH(ROWS($V$2:V167),$V$2:$V$1001,0),MATCH(COLUMNS($AC$1006:AI1006),$AC$1006:$AS$1006,0)), HYPERLINK("#",""), HYPERLINK(CONCATENATE("#Metadata!", ADDRESS(INDEX($X$2:$X$1001,MATCH(ROWS($V$2:V167),$V$2:$V$1001,0),0), INDEX($AC$1004:$AS$1004,1,MATCH(COLUMNS($AC$1006:AI1006),$AC$1006:$AS$1006,0)))),"Fix")))</f>
        <v>0</v>
      </c>
      <c r="I167" s="5">
        <f>IF(OR(INDEX($W$2:$W$1001,MATCH(ROWS($V$2:V167),$V$2:$V$1001,0),1)&gt;=100000,INDEX($AC$1005:$AS$1005,1,MATCH(COLUMNS($AC$1006:AJ1006),$AC$1006:$AS$1006,0))&gt;=100000), " ",IF(INDEX($AC$2:$AS$1001,MATCH(ROWS($V$2:V167),$V$2:$V$1001,0),MATCH(COLUMNS($AC$1006:AJ1006),$AC$1006:$AS$1006,0)), HYPERLINK("#",""), HYPERLINK(CONCATENATE("#Metadata!", ADDRESS(INDEX($X$2:$X$1001,MATCH(ROWS($V$2:V167),$V$2:$V$1001,0),0), INDEX($AC$1004:$AS$1004,1,MATCH(COLUMNS($AC$1006:AJ1006),$AC$1006:$AS$1006,0)))),"Fix")))</f>
        <v>0</v>
      </c>
      <c r="J167" s="5">
        <f>IF(OR(INDEX($W$2:$W$1001,MATCH(ROWS($V$2:V167),$V$2:$V$1001,0),1)&gt;=100000,INDEX($AC$1005:$AS$1005,1,MATCH(COLUMNS($AC$1006:AK1006),$AC$1006:$AS$1006,0))&gt;=100000), " ",IF(INDEX($AC$2:$AS$1001,MATCH(ROWS($V$2:V167),$V$2:$V$1001,0),MATCH(COLUMNS($AC$1006:AK1006),$AC$1006:$AS$1006,0)), HYPERLINK("#",""), HYPERLINK(CONCATENATE("#Metadata!", ADDRESS(INDEX($X$2:$X$1001,MATCH(ROWS($V$2:V167),$V$2:$V$1001,0),0), INDEX($AC$1004:$AS$1004,1,MATCH(COLUMNS($AC$1006:AK1006),$AC$1006:$AS$1006,0)))),"Fix")))</f>
        <v>0</v>
      </c>
      <c r="K167" s="5">
        <f>IF(OR(INDEX($W$2:$W$1001,MATCH(ROWS($V$2:V167),$V$2:$V$1001,0),1)&gt;=100000,INDEX($AC$1005:$AS$1005,1,MATCH(COLUMNS($AC$1006:AL1006),$AC$1006:$AS$1006,0))&gt;=100000), " ",IF(INDEX($AC$2:$AS$1001,MATCH(ROWS($V$2:V167),$V$2:$V$1001,0),MATCH(COLUMNS($AC$1006:AL1006),$AC$1006:$AS$1006,0)), HYPERLINK("#",""), HYPERLINK(CONCATENATE("#Metadata!", ADDRESS(INDEX($X$2:$X$1001,MATCH(ROWS($V$2:V167),$V$2:$V$1001,0),0), INDEX($AC$1004:$AS$1004,1,MATCH(COLUMNS($AC$1006:AL1006),$AC$1006:$AS$1006,0)))),"Fix")))</f>
        <v>0</v>
      </c>
      <c r="L167" s="5">
        <f>IF(OR(INDEX($W$2:$W$1001,MATCH(ROWS($V$2:V167),$V$2:$V$1001,0),1)&gt;=100000,INDEX($AC$1005:$AS$1005,1,MATCH(COLUMNS($AC$1006:AM1006),$AC$1006:$AS$1006,0))&gt;=100000), " ",IF(INDEX($AC$2:$AS$1001,MATCH(ROWS($V$2:V167),$V$2:$V$1001,0),MATCH(COLUMNS($AC$1006:AM1006),$AC$1006:$AS$1006,0)), HYPERLINK("#",""), HYPERLINK(CONCATENATE("#Metadata!", ADDRESS(INDEX($X$2:$X$1001,MATCH(ROWS($V$2:V167),$V$2:$V$1001,0),0), INDEX($AC$1004:$AS$1004,1,MATCH(COLUMNS($AC$1006:AM1006),$AC$1006:$AS$1006,0)))),"Fix")))</f>
        <v>0</v>
      </c>
      <c r="M167" s="5">
        <f>IF(OR(INDEX($W$2:$W$1001,MATCH(ROWS($V$2:V167),$V$2:$V$1001,0),1)&gt;=100000,INDEX($AC$1005:$AS$1005,1,MATCH(COLUMNS($AC$1006:AN1006),$AC$1006:$AS$1006,0))&gt;=100000), " ",IF(INDEX($AC$2:$AS$1001,MATCH(ROWS($V$2:V167),$V$2:$V$1001,0),MATCH(COLUMNS($AC$1006:AN1006),$AC$1006:$AS$1006,0)), HYPERLINK("#",""), HYPERLINK(CONCATENATE("#Metadata!", ADDRESS(INDEX($X$2:$X$1001,MATCH(ROWS($V$2:V167),$V$2:$V$1001,0),0), INDEX($AC$1004:$AS$1004,1,MATCH(COLUMNS($AC$1006:AN1006),$AC$1006:$AS$1006,0)))),"Fix")))</f>
        <v>0</v>
      </c>
      <c r="N167" s="5">
        <f>IF(OR(INDEX($W$2:$W$1001,MATCH(ROWS($V$2:V167),$V$2:$V$1001,0),1)&gt;=100000,INDEX($AC$1005:$AS$1005,1,MATCH(COLUMNS($AC$1006:AO1006),$AC$1006:$AS$1006,0))&gt;=100000), " ",IF(INDEX($AC$2:$AS$1001,MATCH(ROWS($V$2:V167),$V$2:$V$1001,0),MATCH(COLUMNS($AC$1006:AO1006),$AC$1006:$AS$1006,0)), HYPERLINK("#",""), HYPERLINK(CONCATENATE("#Metadata!", ADDRESS(INDEX($X$2:$X$1001,MATCH(ROWS($V$2:V167),$V$2:$V$1001,0),0), INDEX($AC$1004:$AS$1004,1,MATCH(COLUMNS($AC$1006:AO1006),$AC$1006:$AS$1006,0)))),"Fix")))</f>
        <v>0</v>
      </c>
      <c r="O167" s="5">
        <f>IF(OR(INDEX($W$2:$W$1001,MATCH(ROWS($V$2:V167),$V$2:$V$1001,0),1)&gt;=100000,INDEX($AC$1005:$AS$1005,1,MATCH(COLUMNS($AC$1006:AP1006),$AC$1006:$AS$1006,0))&gt;=100000), " ",IF(INDEX($AC$2:$AS$1001,MATCH(ROWS($V$2:V167),$V$2:$V$1001,0),MATCH(COLUMNS($AC$1006:AP1006),$AC$1006:$AS$1006,0)), HYPERLINK("#",""), HYPERLINK(CONCATENATE("#Metadata!", ADDRESS(INDEX($X$2:$X$1001,MATCH(ROWS($V$2:V167),$V$2:$V$1001,0),0), INDEX($AC$1004:$AS$1004,1,MATCH(COLUMNS($AC$1006:AP1006),$AC$1006:$AS$1006,0)))),"Fix")))</f>
        <v>0</v>
      </c>
      <c r="P167" s="5">
        <f>IF(OR(INDEX($W$2:$W$1001,MATCH(ROWS($V$2:V167),$V$2:$V$1001,0),1)&gt;=100000,INDEX($AC$1005:$AS$1005,1,MATCH(COLUMNS($AC$1006:AQ1006),$AC$1006:$AS$1006,0))&gt;=100000), " ",IF(INDEX($AC$2:$AS$1001,MATCH(ROWS($V$2:V167),$V$2:$V$1001,0),MATCH(COLUMNS($AC$1006:AQ1006),$AC$1006:$AS$1006,0)), HYPERLINK("#",""), HYPERLINK(CONCATENATE("#Metadata!", ADDRESS(INDEX($X$2:$X$1001,MATCH(ROWS($V$2:V167),$V$2:$V$1001,0),0), INDEX($AC$1004:$AS$1004,1,MATCH(COLUMNS($AC$1006:AQ1006),$AC$1006:$AS$1006,0)))),"Fix")))</f>
        <v>0</v>
      </c>
      <c r="Q167" s="5">
        <f>IF(OR(INDEX($W$2:$W$1001,MATCH(ROWS($V$2:V167),$V$2:$V$1001,0),1)&gt;=100000,INDEX($AC$1005:$AS$1005,1,MATCH(COLUMNS($AC$1006:AR1006),$AC$1006:$AS$1006,0))&gt;=100000), " ",IF(INDEX($AC$2:$AS$1001,MATCH(ROWS($V$2:V167),$V$2:$V$1001,0),MATCH(COLUMNS($AC$1006:AR1006),$AC$1006:$AS$1006,0)), HYPERLINK("#",""), HYPERLINK(CONCATENATE("#Metadata!", ADDRESS(INDEX($X$2:$X$1001,MATCH(ROWS($V$2:V167),$V$2:$V$1001,0),0), INDEX($AC$1004:$AS$1004,1,MATCH(COLUMNS($AC$1006:AR1006),$AC$1006:$AS$1006,0)))),"Fix")))</f>
        <v>0</v>
      </c>
      <c r="R167" s="5">
        <f>IF(OR(INDEX($W$2:$W$1001,MATCH(ROWS($V$2:V167),$V$2:$V$1001,0),1)&gt;=100000,INDEX($AC$1005:$AS$1005,1,MATCH(COLUMNS($AC$1006:AS1006),$AC$1006:$AS$1006,0))&gt;=100000), " ",IF(INDEX($AC$2:$AS$1001,MATCH(ROWS($V$2:V167),$V$2:$V$1001,0),MATCH(COLUMNS($AC$1006:AS1006),$AC$1006:$AS$1006,0)), HYPERLINK("#",""), HYPERLINK(CONCATENATE("#Metadata!", ADDRESS(INDEX($X$2:$X$1001,MATCH(ROWS($V$2:V167),$V$2:$V$1001,0),0), INDEX($AC$1004:$AS$1004,1,MATCH(COLUMNS($AC$1006:AS1006),$AC$1006:$AS$1006,0)))),"Fix")))</f>
        <v>0</v>
      </c>
      <c r="V167">
        <v>0</v>
      </c>
      <c r="W167">
        <v>0</v>
      </c>
      <c r="X167">
        <v>0</v>
      </c>
      <c r="Y167">
        <f>IF(Z167,TRUE,AND(AC167:AS167))</f>
        <v>0</v>
      </c>
      <c r="Z167">
        <f>COUNTBLANK(Metadata!B167:R167)=COLUMNS(Metadata!B167:R167)</f>
        <v>0</v>
      </c>
      <c r="AA167">
        <v>0</v>
      </c>
      <c r="AC167">
        <f>AND(IF(Metadata!B167="",FALSE,TRUE),COUNTIF(Metadata!B:B, Metadata!B167) = 1,NOT(ISERROR(SUMPRODUCT(SEARCH(MID(Metadata!B167,ROW(INDIRECT("1:"&amp;LEN(Metadata!B167))), 1),"0123456789abcdefghijklmnopqrstuvwxyzABCDEFGHIJKLMNOPQRSTUVWXYZ.")))))</f>
        <v>0</v>
      </c>
      <c r="AD167">
        <f>AND(IF(Metadata!C167="",FALSE,TRUE),exact(Metadata!C167,"Host-associated"))</f>
        <v>0</v>
      </c>
      <c r="AE167">
        <f>AND(IF(Metadata!D167="",FALSE,TRUE),OR(exact(Metadata!D167,"Animal"),exact(Metadata!D167,"Fungus"),exact(Metadata!D167,"Plant")))</f>
        <v>0</v>
      </c>
      <c r="AF167">
        <f>AND(IF(Metadata!E167="",FALSE,TRUE),OR(exact(Metadata!E167,"Plant secretion"),exact(Metadata!E167,"Plant rhizosphere"),exact(Metadata!E167,"Plant surface"),exact(Metadata!E167,"Plant corpus"),exact(Metadata!E167,"Fungus surface"),exact(Metadata!E167,"Fungus corpus"),exact(Metadata!E167,"Animal surface"),exact(Metadata!E167,"Animal proximal gut"),exact(Metadata!E167,"Animal corpus"),exact(Metadata!E167,"Animal distal gut"),exact(Metadata!E167,"Animal secretion")))</f>
        <v>0</v>
      </c>
      <c r="AG167">
        <f>OR(AND(IF(Metadata!F167="",FALSE,TRUE),OR(exact(Metadata!F167,"not collected"),exact(Metadata!F167,"not provided"),exact(Metadata!F167,"restricted access"))),AND(IF(Metadata!F167="",FALSE,TRUE),OR(exact(Metadata!F167,"organism-associated habitat"),exact(Metadata!F167,"plant-associated habitat"),exact(Metadata!F167,"animal-associated habitat"),exact(Metadata!F167,"insecta-associated habitat"),exact(Metadata!F167,"mammalia-associated habitat"),exact(Metadata!F167,"human-associated habitat"),exact(Metadata!F167,"livestock-associated habitat"))))</f>
        <v>0</v>
      </c>
      <c r="AH167">
        <f>AND(IF(Metadata!G167="",FALSE,TRUE),exact(Metadata!G167,"host-associated"))</f>
        <v>0</v>
      </c>
      <c r="AI167">
        <f>OR(AND(IF(Metadata!H167="",FALSE,TRUE),OR(exact(Metadata!H167,"not collected"),exact(Metadata!H167,"not provided"))),AND(IF(Metadata!H167="",FALSE,ISNUMBER(VALUE(Metadata!H167))),Metadata!H167&gt;0))</f>
        <v>0</v>
      </c>
      <c r="AJ167">
        <f>AND(IF(Metadata!I167="",FALSE,TRUE),exact(Metadata!I167,"years"))</f>
        <v>0</v>
      </c>
      <c r="AK167">
        <f>IF(Metadata!J167="",FALSE,TRUE)</f>
        <v>0</v>
      </c>
      <c r="AL167">
        <f>OR(AND(IF(Metadata!K167="",FALSE,TRUE),OR(exact(Metadata!K167,"not collected"),exact(Metadata!K167,"not provided"))),AND(IF(Metadata!K167="",FALSE,ISNUMBER(VALUE(Metadata!K167))),Metadata!K167&gt;0))</f>
        <v>0</v>
      </c>
      <c r="AM167">
        <f>AND(IF(Metadata!L167="",FALSE,TRUE),exact(Metadata!L167,"cm"))</f>
        <v>0</v>
      </c>
      <c r="AN167">
        <f>IF(Metadata!M167="",FALSE,TRUE)</f>
        <v>0</v>
      </c>
      <c r="AO167">
        <f>OR(AND(IF(Metadata!N167="",FALSE,TRUE),OR(exact(Metadata!N167,"not applicable"),exact(Metadata!N167,"not collected"),exact(Metadata!N167,"not provided"))),AND(IF(Metadata!N167="",FALSE,IF(ISERROR(INT(Metadata!N167)),FALSE,INT(Metadata!N167)=Metadata!N167)),Metadata!N167&gt;0))</f>
        <v>0</v>
      </c>
      <c r="AP167">
        <f>OR(AND(IF(Metadata!O167="",FALSE,TRUE),OR(exact(Metadata!O167,"not collected"),exact(Metadata!O167,"not provided"))),AND(IF(Metadata!O167="",FALSE,ISNUMBER(VALUE(Metadata!O167))),Metadata!O167&gt;0))</f>
        <v>0</v>
      </c>
      <c r="AQ167">
        <f>AND(IF(Metadata!P167="",FALSE,TRUE),exact(Metadata!P167,"kg"))</f>
        <v>0</v>
      </c>
      <c r="AR167">
        <f>OR(AND(IF(Metadata!Q167="",FALSE,TRUE),OR(exact(Metadata!Q167,"not applicable"),exact(Metadata!Q167,"not collected"),exact(Metadata!Q167,"not provided"),exact(Metadata!Q167,"restricted access"))),IF(Metadata!Q167="",FALSE,IF(ISERROR(INT(Metadata!Q167)),FALSE,INT(Metadata!Q167)=Metadata!Q167)))</f>
        <v>0</v>
      </c>
      <c r="AS167">
        <f>AND(IF(Metadata!R167="",FALSE,TRUE),exact(Metadata!R167,"Not applicable"))</f>
        <v>0</v>
      </c>
    </row>
    <row r="168" spans="1:45">
      <c r="A168" s="4">
        <f>IF(B168=" "," ",HYPERLINK(CONCATENATE("#metadata!",ADDRESS(INDEX($X$2:$X$1001,MATCH(ROWS($V$2:V168),$V$2:$V$1001,0),0),2)),INDEX($AA$2:$AA$1001,MATCH(ROWS($V$2:V168),$V$2:$V$1001,0),0)))</f>
        <v>0</v>
      </c>
      <c r="B168" s="5">
        <f>IF(OR(INDEX($W$2:$W$1001,MATCH(ROWS($V$2:V168),$V$2:$V$1001,0),1)&gt;=100000,INDEX($AC$1005:$AS$1005,1,MATCH(COLUMNS($AC$1006:AC1006),$AC$1006:$AS$1006,0))&gt;=100000), " ",IF(INDEX($AC$2:$AS$1001,MATCH(ROWS($V$2:V168),$V$2:$V$1001,0),MATCH(COLUMNS($AC$1006:AC1006),$AC$1006:$AS$1006,0)), HYPERLINK("#",""), HYPERLINK(CONCATENATE("#Metadata!", ADDRESS(INDEX($X$2:$X$1001,MATCH(ROWS($V$2:V168),$V$2:$V$1001,0),0), INDEX($AC$1004:$AS$1004,1,MATCH(COLUMNS($AC$1006:AC1006),$AC$1006:$AS$1006,0)))),"Fix")))</f>
        <v>0</v>
      </c>
      <c r="C168" s="5">
        <f>IF(OR(INDEX($W$2:$W$1001,MATCH(ROWS($V$2:V168),$V$2:$V$1001,0),1)&gt;=100000,INDEX($AC$1005:$AS$1005,1,MATCH(COLUMNS($AC$1006:AD1006),$AC$1006:$AS$1006,0))&gt;=100000), " ",IF(INDEX($AC$2:$AS$1001,MATCH(ROWS($V$2:V168),$V$2:$V$1001,0),MATCH(COLUMNS($AC$1006:AD1006),$AC$1006:$AS$1006,0)), HYPERLINK("#",""), HYPERLINK(CONCATENATE("#Metadata!", ADDRESS(INDEX($X$2:$X$1001,MATCH(ROWS($V$2:V168),$V$2:$V$1001,0),0), INDEX($AC$1004:$AS$1004,1,MATCH(COLUMNS($AC$1006:AD1006),$AC$1006:$AS$1006,0)))),"Fix")))</f>
        <v>0</v>
      </c>
      <c r="D168" s="5">
        <f>IF(OR(INDEX($W$2:$W$1001,MATCH(ROWS($V$2:V168),$V$2:$V$1001,0),1)&gt;=100000,INDEX($AC$1005:$AS$1005,1,MATCH(COLUMNS($AC$1006:AE1006),$AC$1006:$AS$1006,0))&gt;=100000), " ",IF(INDEX($AC$2:$AS$1001,MATCH(ROWS($V$2:V168),$V$2:$V$1001,0),MATCH(COLUMNS($AC$1006:AE1006),$AC$1006:$AS$1006,0)), HYPERLINK("#",""), HYPERLINK(CONCATENATE("#Metadata!", ADDRESS(INDEX($X$2:$X$1001,MATCH(ROWS($V$2:V168),$V$2:$V$1001,0),0), INDEX($AC$1004:$AS$1004,1,MATCH(COLUMNS($AC$1006:AE1006),$AC$1006:$AS$1006,0)))),"Fix")))</f>
        <v>0</v>
      </c>
      <c r="E168" s="5">
        <f>IF(OR(INDEX($W$2:$W$1001,MATCH(ROWS($V$2:V168),$V$2:$V$1001,0),1)&gt;=100000,INDEX($AC$1005:$AS$1005,1,MATCH(COLUMNS($AC$1006:AF1006),$AC$1006:$AS$1006,0))&gt;=100000), " ",IF(INDEX($AC$2:$AS$1001,MATCH(ROWS($V$2:V168),$V$2:$V$1001,0),MATCH(COLUMNS($AC$1006:AF1006),$AC$1006:$AS$1006,0)), HYPERLINK("#",""), HYPERLINK(CONCATENATE("#Metadata!", ADDRESS(INDEX($X$2:$X$1001,MATCH(ROWS($V$2:V168),$V$2:$V$1001,0),0), INDEX($AC$1004:$AS$1004,1,MATCH(COLUMNS($AC$1006:AF1006),$AC$1006:$AS$1006,0)))),"Fix")))</f>
        <v>0</v>
      </c>
      <c r="F168" s="5">
        <f>IF(OR(INDEX($W$2:$W$1001,MATCH(ROWS($V$2:V168),$V$2:$V$1001,0),1)&gt;=100000,INDEX($AC$1005:$AS$1005,1,MATCH(COLUMNS($AC$1006:AG1006),$AC$1006:$AS$1006,0))&gt;=100000), " ",IF(INDEX($AC$2:$AS$1001,MATCH(ROWS($V$2:V168),$V$2:$V$1001,0),MATCH(COLUMNS($AC$1006:AG1006),$AC$1006:$AS$1006,0)), HYPERLINK("#",""), HYPERLINK(CONCATENATE("#Metadata!", ADDRESS(INDEX($X$2:$X$1001,MATCH(ROWS($V$2:V168),$V$2:$V$1001,0),0), INDEX($AC$1004:$AS$1004,1,MATCH(COLUMNS($AC$1006:AG1006),$AC$1006:$AS$1006,0)))),"Fix")))</f>
        <v>0</v>
      </c>
      <c r="G168" s="5">
        <f>IF(OR(INDEX($W$2:$W$1001,MATCH(ROWS($V$2:V168),$V$2:$V$1001,0),1)&gt;=100000,INDEX($AC$1005:$AS$1005,1,MATCH(COLUMNS($AC$1006:AH1006),$AC$1006:$AS$1006,0))&gt;=100000), " ",IF(INDEX($AC$2:$AS$1001,MATCH(ROWS($V$2:V168),$V$2:$V$1001,0),MATCH(COLUMNS($AC$1006:AH1006),$AC$1006:$AS$1006,0)), HYPERLINK("#",""), HYPERLINK(CONCATENATE("#Metadata!", ADDRESS(INDEX($X$2:$X$1001,MATCH(ROWS($V$2:V168),$V$2:$V$1001,0),0), INDEX($AC$1004:$AS$1004,1,MATCH(COLUMNS($AC$1006:AH1006),$AC$1006:$AS$1006,0)))),"Fix")))</f>
        <v>0</v>
      </c>
      <c r="H168" s="5">
        <f>IF(OR(INDEX($W$2:$W$1001,MATCH(ROWS($V$2:V168),$V$2:$V$1001,0),1)&gt;=100000,INDEX($AC$1005:$AS$1005,1,MATCH(COLUMNS($AC$1006:AI1006),$AC$1006:$AS$1006,0))&gt;=100000), " ",IF(INDEX($AC$2:$AS$1001,MATCH(ROWS($V$2:V168),$V$2:$V$1001,0),MATCH(COLUMNS($AC$1006:AI1006),$AC$1006:$AS$1006,0)), HYPERLINK("#",""), HYPERLINK(CONCATENATE("#Metadata!", ADDRESS(INDEX($X$2:$X$1001,MATCH(ROWS($V$2:V168),$V$2:$V$1001,0),0), INDEX($AC$1004:$AS$1004,1,MATCH(COLUMNS($AC$1006:AI1006),$AC$1006:$AS$1006,0)))),"Fix")))</f>
        <v>0</v>
      </c>
      <c r="I168" s="5">
        <f>IF(OR(INDEX($W$2:$W$1001,MATCH(ROWS($V$2:V168),$V$2:$V$1001,0),1)&gt;=100000,INDEX($AC$1005:$AS$1005,1,MATCH(COLUMNS($AC$1006:AJ1006),$AC$1006:$AS$1006,0))&gt;=100000), " ",IF(INDEX($AC$2:$AS$1001,MATCH(ROWS($V$2:V168),$V$2:$V$1001,0),MATCH(COLUMNS($AC$1006:AJ1006),$AC$1006:$AS$1006,0)), HYPERLINK("#",""), HYPERLINK(CONCATENATE("#Metadata!", ADDRESS(INDEX($X$2:$X$1001,MATCH(ROWS($V$2:V168),$V$2:$V$1001,0),0), INDEX($AC$1004:$AS$1004,1,MATCH(COLUMNS($AC$1006:AJ1006),$AC$1006:$AS$1006,0)))),"Fix")))</f>
        <v>0</v>
      </c>
      <c r="J168" s="5">
        <f>IF(OR(INDEX($W$2:$W$1001,MATCH(ROWS($V$2:V168),$V$2:$V$1001,0),1)&gt;=100000,INDEX($AC$1005:$AS$1005,1,MATCH(COLUMNS($AC$1006:AK1006),$AC$1006:$AS$1006,0))&gt;=100000), " ",IF(INDEX($AC$2:$AS$1001,MATCH(ROWS($V$2:V168),$V$2:$V$1001,0),MATCH(COLUMNS($AC$1006:AK1006),$AC$1006:$AS$1006,0)), HYPERLINK("#",""), HYPERLINK(CONCATENATE("#Metadata!", ADDRESS(INDEX($X$2:$X$1001,MATCH(ROWS($V$2:V168),$V$2:$V$1001,0),0), INDEX($AC$1004:$AS$1004,1,MATCH(COLUMNS($AC$1006:AK1006),$AC$1006:$AS$1006,0)))),"Fix")))</f>
        <v>0</v>
      </c>
      <c r="K168" s="5">
        <f>IF(OR(INDEX($W$2:$W$1001,MATCH(ROWS($V$2:V168),$V$2:$V$1001,0),1)&gt;=100000,INDEX($AC$1005:$AS$1005,1,MATCH(COLUMNS($AC$1006:AL1006),$AC$1006:$AS$1006,0))&gt;=100000), " ",IF(INDEX($AC$2:$AS$1001,MATCH(ROWS($V$2:V168),$V$2:$V$1001,0),MATCH(COLUMNS($AC$1006:AL1006),$AC$1006:$AS$1006,0)), HYPERLINK("#",""), HYPERLINK(CONCATENATE("#Metadata!", ADDRESS(INDEX($X$2:$X$1001,MATCH(ROWS($V$2:V168),$V$2:$V$1001,0),0), INDEX($AC$1004:$AS$1004,1,MATCH(COLUMNS($AC$1006:AL1006),$AC$1006:$AS$1006,0)))),"Fix")))</f>
        <v>0</v>
      </c>
      <c r="L168" s="5">
        <f>IF(OR(INDEX($W$2:$W$1001,MATCH(ROWS($V$2:V168),$V$2:$V$1001,0),1)&gt;=100000,INDEX($AC$1005:$AS$1005,1,MATCH(COLUMNS($AC$1006:AM1006),$AC$1006:$AS$1006,0))&gt;=100000), " ",IF(INDEX($AC$2:$AS$1001,MATCH(ROWS($V$2:V168),$V$2:$V$1001,0),MATCH(COLUMNS($AC$1006:AM1006),$AC$1006:$AS$1006,0)), HYPERLINK("#",""), HYPERLINK(CONCATENATE("#Metadata!", ADDRESS(INDEX($X$2:$X$1001,MATCH(ROWS($V$2:V168),$V$2:$V$1001,0),0), INDEX($AC$1004:$AS$1004,1,MATCH(COLUMNS($AC$1006:AM1006),$AC$1006:$AS$1006,0)))),"Fix")))</f>
        <v>0</v>
      </c>
      <c r="M168" s="5">
        <f>IF(OR(INDEX($W$2:$W$1001,MATCH(ROWS($V$2:V168),$V$2:$V$1001,0),1)&gt;=100000,INDEX($AC$1005:$AS$1005,1,MATCH(COLUMNS($AC$1006:AN1006),$AC$1006:$AS$1006,0))&gt;=100000), " ",IF(INDEX($AC$2:$AS$1001,MATCH(ROWS($V$2:V168),$V$2:$V$1001,0),MATCH(COLUMNS($AC$1006:AN1006),$AC$1006:$AS$1006,0)), HYPERLINK("#",""), HYPERLINK(CONCATENATE("#Metadata!", ADDRESS(INDEX($X$2:$X$1001,MATCH(ROWS($V$2:V168),$V$2:$V$1001,0),0), INDEX($AC$1004:$AS$1004,1,MATCH(COLUMNS($AC$1006:AN1006),$AC$1006:$AS$1006,0)))),"Fix")))</f>
        <v>0</v>
      </c>
      <c r="N168" s="5">
        <f>IF(OR(INDEX($W$2:$W$1001,MATCH(ROWS($V$2:V168),$V$2:$V$1001,0),1)&gt;=100000,INDEX($AC$1005:$AS$1005,1,MATCH(COLUMNS($AC$1006:AO1006),$AC$1006:$AS$1006,0))&gt;=100000), " ",IF(INDEX($AC$2:$AS$1001,MATCH(ROWS($V$2:V168),$V$2:$V$1001,0),MATCH(COLUMNS($AC$1006:AO1006),$AC$1006:$AS$1006,0)), HYPERLINK("#",""), HYPERLINK(CONCATENATE("#Metadata!", ADDRESS(INDEX($X$2:$X$1001,MATCH(ROWS($V$2:V168),$V$2:$V$1001,0),0), INDEX($AC$1004:$AS$1004,1,MATCH(COLUMNS($AC$1006:AO1006),$AC$1006:$AS$1006,0)))),"Fix")))</f>
        <v>0</v>
      </c>
      <c r="O168" s="5">
        <f>IF(OR(INDEX($W$2:$W$1001,MATCH(ROWS($V$2:V168),$V$2:$V$1001,0),1)&gt;=100000,INDEX($AC$1005:$AS$1005,1,MATCH(COLUMNS($AC$1006:AP1006),$AC$1006:$AS$1006,0))&gt;=100000), " ",IF(INDEX($AC$2:$AS$1001,MATCH(ROWS($V$2:V168),$V$2:$V$1001,0),MATCH(COLUMNS($AC$1006:AP1006),$AC$1006:$AS$1006,0)), HYPERLINK("#",""), HYPERLINK(CONCATENATE("#Metadata!", ADDRESS(INDEX($X$2:$X$1001,MATCH(ROWS($V$2:V168),$V$2:$V$1001,0),0), INDEX($AC$1004:$AS$1004,1,MATCH(COLUMNS($AC$1006:AP1006),$AC$1006:$AS$1006,0)))),"Fix")))</f>
        <v>0</v>
      </c>
      <c r="P168" s="5">
        <f>IF(OR(INDEX($W$2:$W$1001,MATCH(ROWS($V$2:V168),$V$2:$V$1001,0),1)&gt;=100000,INDEX($AC$1005:$AS$1005,1,MATCH(COLUMNS($AC$1006:AQ1006),$AC$1006:$AS$1006,0))&gt;=100000), " ",IF(INDEX($AC$2:$AS$1001,MATCH(ROWS($V$2:V168),$V$2:$V$1001,0),MATCH(COLUMNS($AC$1006:AQ1006),$AC$1006:$AS$1006,0)), HYPERLINK("#",""), HYPERLINK(CONCATENATE("#Metadata!", ADDRESS(INDEX($X$2:$X$1001,MATCH(ROWS($V$2:V168),$V$2:$V$1001,0),0), INDEX($AC$1004:$AS$1004,1,MATCH(COLUMNS($AC$1006:AQ1006),$AC$1006:$AS$1006,0)))),"Fix")))</f>
        <v>0</v>
      </c>
      <c r="Q168" s="5">
        <f>IF(OR(INDEX($W$2:$W$1001,MATCH(ROWS($V$2:V168),$V$2:$V$1001,0),1)&gt;=100000,INDEX($AC$1005:$AS$1005,1,MATCH(COLUMNS($AC$1006:AR1006),$AC$1006:$AS$1006,0))&gt;=100000), " ",IF(INDEX($AC$2:$AS$1001,MATCH(ROWS($V$2:V168),$V$2:$V$1001,0),MATCH(COLUMNS($AC$1006:AR1006),$AC$1006:$AS$1006,0)), HYPERLINK("#",""), HYPERLINK(CONCATENATE("#Metadata!", ADDRESS(INDEX($X$2:$X$1001,MATCH(ROWS($V$2:V168),$V$2:$V$1001,0),0), INDEX($AC$1004:$AS$1004,1,MATCH(COLUMNS($AC$1006:AR1006),$AC$1006:$AS$1006,0)))),"Fix")))</f>
        <v>0</v>
      </c>
      <c r="R168" s="5">
        <f>IF(OR(INDEX($W$2:$W$1001,MATCH(ROWS($V$2:V168),$V$2:$V$1001,0),1)&gt;=100000,INDEX($AC$1005:$AS$1005,1,MATCH(COLUMNS($AC$1006:AS1006),$AC$1006:$AS$1006,0))&gt;=100000), " ",IF(INDEX($AC$2:$AS$1001,MATCH(ROWS($V$2:V168),$V$2:$V$1001,0),MATCH(COLUMNS($AC$1006:AS1006),$AC$1006:$AS$1006,0)), HYPERLINK("#",""), HYPERLINK(CONCATENATE("#Metadata!", ADDRESS(INDEX($X$2:$X$1001,MATCH(ROWS($V$2:V168),$V$2:$V$1001,0),0), INDEX($AC$1004:$AS$1004,1,MATCH(COLUMNS($AC$1006:AS1006),$AC$1006:$AS$1006,0)))),"Fix")))</f>
        <v>0</v>
      </c>
      <c r="V168">
        <v>0</v>
      </c>
      <c r="W168">
        <v>0</v>
      </c>
      <c r="X168">
        <v>0</v>
      </c>
      <c r="Y168">
        <f>IF(Z168,TRUE,AND(AC168:AS168))</f>
        <v>0</v>
      </c>
      <c r="Z168">
        <f>COUNTBLANK(Metadata!B168:R168)=COLUMNS(Metadata!B168:R168)</f>
        <v>0</v>
      </c>
      <c r="AA168">
        <v>0</v>
      </c>
      <c r="AC168">
        <f>AND(IF(Metadata!B168="",FALSE,TRUE),COUNTIF(Metadata!B:B, Metadata!B168) = 1,NOT(ISERROR(SUMPRODUCT(SEARCH(MID(Metadata!B168,ROW(INDIRECT("1:"&amp;LEN(Metadata!B168))), 1),"0123456789abcdefghijklmnopqrstuvwxyzABCDEFGHIJKLMNOPQRSTUVWXYZ.")))))</f>
        <v>0</v>
      </c>
      <c r="AD168">
        <f>AND(IF(Metadata!C168="",FALSE,TRUE),exact(Metadata!C168,"Host-associated"))</f>
        <v>0</v>
      </c>
      <c r="AE168">
        <f>AND(IF(Metadata!D168="",FALSE,TRUE),OR(exact(Metadata!D168,"Animal"),exact(Metadata!D168,"Fungus"),exact(Metadata!D168,"Plant")))</f>
        <v>0</v>
      </c>
      <c r="AF168">
        <f>AND(IF(Metadata!E168="",FALSE,TRUE),OR(exact(Metadata!E168,"Plant secretion"),exact(Metadata!E168,"Plant rhizosphere"),exact(Metadata!E168,"Plant surface"),exact(Metadata!E168,"Plant corpus"),exact(Metadata!E168,"Fungus surface"),exact(Metadata!E168,"Fungus corpus"),exact(Metadata!E168,"Animal surface"),exact(Metadata!E168,"Animal proximal gut"),exact(Metadata!E168,"Animal corpus"),exact(Metadata!E168,"Animal distal gut"),exact(Metadata!E168,"Animal secretion")))</f>
        <v>0</v>
      </c>
      <c r="AG168">
        <f>OR(AND(IF(Metadata!F168="",FALSE,TRUE),OR(exact(Metadata!F168,"not collected"),exact(Metadata!F168,"not provided"),exact(Metadata!F168,"restricted access"))),AND(IF(Metadata!F168="",FALSE,TRUE),OR(exact(Metadata!F168,"organism-associated habitat"),exact(Metadata!F168,"plant-associated habitat"),exact(Metadata!F168,"animal-associated habitat"),exact(Metadata!F168,"insecta-associated habitat"),exact(Metadata!F168,"mammalia-associated habitat"),exact(Metadata!F168,"human-associated habitat"),exact(Metadata!F168,"livestock-associated habitat"))))</f>
        <v>0</v>
      </c>
      <c r="AH168">
        <f>AND(IF(Metadata!G168="",FALSE,TRUE),exact(Metadata!G168,"host-associated"))</f>
        <v>0</v>
      </c>
      <c r="AI168">
        <f>OR(AND(IF(Metadata!H168="",FALSE,TRUE),OR(exact(Metadata!H168,"not collected"),exact(Metadata!H168,"not provided"))),AND(IF(Metadata!H168="",FALSE,ISNUMBER(VALUE(Metadata!H168))),Metadata!H168&gt;0))</f>
        <v>0</v>
      </c>
      <c r="AJ168">
        <f>AND(IF(Metadata!I168="",FALSE,TRUE),exact(Metadata!I168,"years"))</f>
        <v>0</v>
      </c>
      <c r="AK168">
        <f>IF(Metadata!J168="",FALSE,TRUE)</f>
        <v>0</v>
      </c>
      <c r="AL168">
        <f>OR(AND(IF(Metadata!K168="",FALSE,TRUE),OR(exact(Metadata!K168,"not collected"),exact(Metadata!K168,"not provided"))),AND(IF(Metadata!K168="",FALSE,ISNUMBER(VALUE(Metadata!K168))),Metadata!K168&gt;0))</f>
        <v>0</v>
      </c>
      <c r="AM168">
        <f>AND(IF(Metadata!L168="",FALSE,TRUE),exact(Metadata!L168,"cm"))</f>
        <v>0</v>
      </c>
      <c r="AN168">
        <f>IF(Metadata!M168="",FALSE,TRUE)</f>
        <v>0</v>
      </c>
      <c r="AO168">
        <f>OR(AND(IF(Metadata!N168="",FALSE,TRUE),OR(exact(Metadata!N168,"not applicable"),exact(Metadata!N168,"not collected"),exact(Metadata!N168,"not provided"))),AND(IF(Metadata!N168="",FALSE,IF(ISERROR(INT(Metadata!N168)),FALSE,INT(Metadata!N168)=Metadata!N168)),Metadata!N168&gt;0))</f>
        <v>0</v>
      </c>
      <c r="AP168">
        <f>OR(AND(IF(Metadata!O168="",FALSE,TRUE),OR(exact(Metadata!O168,"not collected"),exact(Metadata!O168,"not provided"))),AND(IF(Metadata!O168="",FALSE,ISNUMBER(VALUE(Metadata!O168))),Metadata!O168&gt;0))</f>
        <v>0</v>
      </c>
      <c r="AQ168">
        <f>AND(IF(Metadata!P168="",FALSE,TRUE),exact(Metadata!P168,"kg"))</f>
        <v>0</v>
      </c>
      <c r="AR168">
        <f>OR(AND(IF(Metadata!Q168="",FALSE,TRUE),OR(exact(Metadata!Q168,"not applicable"),exact(Metadata!Q168,"not collected"),exact(Metadata!Q168,"not provided"),exact(Metadata!Q168,"restricted access"))),IF(Metadata!Q168="",FALSE,IF(ISERROR(INT(Metadata!Q168)),FALSE,INT(Metadata!Q168)=Metadata!Q168)))</f>
        <v>0</v>
      </c>
      <c r="AS168">
        <f>AND(IF(Metadata!R168="",FALSE,TRUE),exact(Metadata!R168,"Not applicable"))</f>
        <v>0</v>
      </c>
    </row>
    <row r="169" spans="1:45">
      <c r="A169" s="4">
        <f>IF(B169=" "," ",HYPERLINK(CONCATENATE("#metadata!",ADDRESS(INDEX($X$2:$X$1001,MATCH(ROWS($V$2:V169),$V$2:$V$1001,0),0),2)),INDEX($AA$2:$AA$1001,MATCH(ROWS($V$2:V169),$V$2:$V$1001,0),0)))</f>
        <v>0</v>
      </c>
      <c r="B169" s="5">
        <f>IF(OR(INDEX($W$2:$W$1001,MATCH(ROWS($V$2:V169),$V$2:$V$1001,0),1)&gt;=100000,INDEX($AC$1005:$AS$1005,1,MATCH(COLUMNS($AC$1006:AC1006),$AC$1006:$AS$1006,0))&gt;=100000), " ",IF(INDEX($AC$2:$AS$1001,MATCH(ROWS($V$2:V169),$V$2:$V$1001,0),MATCH(COLUMNS($AC$1006:AC1006),$AC$1006:$AS$1006,0)), HYPERLINK("#",""), HYPERLINK(CONCATENATE("#Metadata!", ADDRESS(INDEX($X$2:$X$1001,MATCH(ROWS($V$2:V169),$V$2:$V$1001,0),0), INDEX($AC$1004:$AS$1004,1,MATCH(COLUMNS($AC$1006:AC1006),$AC$1006:$AS$1006,0)))),"Fix")))</f>
        <v>0</v>
      </c>
      <c r="C169" s="5">
        <f>IF(OR(INDEX($W$2:$W$1001,MATCH(ROWS($V$2:V169),$V$2:$V$1001,0),1)&gt;=100000,INDEX($AC$1005:$AS$1005,1,MATCH(COLUMNS($AC$1006:AD1006),$AC$1006:$AS$1006,0))&gt;=100000), " ",IF(INDEX($AC$2:$AS$1001,MATCH(ROWS($V$2:V169),$V$2:$V$1001,0),MATCH(COLUMNS($AC$1006:AD1006),$AC$1006:$AS$1006,0)), HYPERLINK("#",""), HYPERLINK(CONCATENATE("#Metadata!", ADDRESS(INDEX($X$2:$X$1001,MATCH(ROWS($V$2:V169),$V$2:$V$1001,0),0), INDEX($AC$1004:$AS$1004,1,MATCH(COLUMNS($AC$1006:AD1006),$AC$1006:$AS$1006,0)))),"Fix")))</f>
        <v>0</v>
      </c>
      <c r="D169" s="5">
        <f>IF(OR(INDEX($W$2:$W$1001,MATCH(ROWS($V$2:V169),$V$2:$V$1001,0),1)&gt;=100000,INDEX($AC$1005:$AS$1005,1,MATCH(COLUMNS($AC$1006:AE1006),$AC$1006:$AS$1006,0))&gt;=100000), " ",IF(INDEX($AC$2:$AS$1001,MATCH(ROWS($V$2:V169),$V$2:$V$1001,0),MATCH(COLUMNS($AC$1006:AE1006),$AC$1006:$AS$1006,0)), HYPERLINK("#",""), HYPERLINK(CONCATENATE("#Metadata!", ADDRESS(INDEX($X$2:$X$1001,MATCH(ROWS($V$2:V169),$V$2:$V$1001,0),0), INDEX($AC$1004:$AS$1004,1,MATCH(COLUMNS($AC$1006:AE1006),$AC$1006:$AS$1006,0)))),"Fix")))</f>
        <v>0</v>
      </c>
      <c r="E169" s="5">
        <f>IF(OR(INDEX($W$2:$W$1001,MATCH(ROWS($V$2:V169),$V$2:$V$1001,0),1)&gt;=100000,INDEX($AC$1005:$AS$1005,1,MATCH(COLUMNS($AC$1006:AF1006),$AC$1006:$AS$1006,0))&gt;=100000), " ",IF(INDEX($AC$2:$AS$1001,MATCH(ROWS($V$2:V169),$V$2:$V$1001,0),MATCH(COLUMNS($AC$1006:AF1006),$AC$1006:$AS$1006,0)), HYPERLINK("#",""), HYPERLINK(CONCATENATE("#Metadata!", ADDRESS(INDEX($X$2:$X$1001,MATCH(ROWS($V$2:V169),$V$2:$V$1001,0),0), INDEX($AC$1004:$AS$1004,1,MATCH(COLUMNS($AC$1006:AF1006),$AC$1006:$AS$1006,0)))),"Fix")))</f>
        <v>0</v>
      </c>
      <c r="F169" s="5">
        <f>IF(OR(INDEX($W$2:$W$1001,MATCH(ROWS($V$2:V169),$V$2:$V$1001,0),1)&gt;=100000,INDEX($AC$1005:$AS$1005,1,MATCH(COLUMNS($AC$1006:AG1006),$AC$1006:$AS$1006,0))&gt;=100000), " ",IF(INDEX($AC$2:$AS$1001,MATCH(ROWS($V$2:V169),$V$2:$V$1001,0),MATCH(COLUMNS($AC$1006:AG1006),$AC$1006:$AS$1006,0)), HYPERLINK("#",""), HYPERLINK(CONCATENATE("#Metadata!", ADDRESS(INDEX($X$2:$X$1001,MATCH(ROWS($V$2:V169),$V$2:$V$1001,0),0), INDEX($AC$1004:$AS$1004,1,MATCH(COLUMNS($AC$1006:AG1006),$AC$1006:$AS$1006,0)))),"Fix")))</f>
        <v>0</v>
      </c>
      <c r="G169" s="5">
        <f>IF(OR(INDEX($W$2:$W$1001,MATCH(ROWS($V$2:V169),$V$2:$V$1001,0),1)&gt;=100000,INDEX($AC$1005:$AS$1005,1,MATCH(COLUMNS($AC$1006:AH1006),$AC$1006:$AS$1006,0))&gt;=100000), " ",IF(INDEX($AC$2:$AS$1001,MATCH(ROWS($V$2:V169),$V$2:$V$1001,0),MATCH(COLUMNS($AC$1006:AH1006),$AC$1006:$AS$1006,0)), HYPERLINK("#",""), HYPERLINK(CONCATENATE("#Metadata!", ADDRESS(INDEX($X$2:$X$1001,MATCH(ROWS($V$2:V169),$V$2:$V$1001,0),0), INDEX($AC$1004:$AS$1004,1,MATCH(COLUMNS($AC$1006:AH1006),$AC$1006:$AS$1006,0)))),"Fix")))</f>
        <v>0</v>
      </c>
      <c r="H169" s="5">
        <f>IF(OR(INDEX($W$2:$W$1001,MATCH(ROWS($V$2:V169),$V$2:$V$1001,0),1)&gt;=100000,INDEX($AC$1005:$AS$1005,1,MATCH(COLUMNS($AC$1006:AI1006),$AC$1006:$AS$1006,0))&gt;=100000), " ",IF(INDEX($AC$2:$AS$1001,MATCH(ROWS($V$2:V169),$V$2:$V$1001,0),MATCH(COLUMNS($AC$1006:AI1006),$AC$1006:$AS$1006,0)), HYPERLINK("#",""), HYPERLINK(CONCATENATE("#Metadata!", ADDRESS(INDEX($X$2:$X$1001,MATCH(ROWS($V$2:V169),$V$2:$V$1001,0),0), INDEX($AC$1004:$AS$1004,1,MATCH(COLUMNS($AC$1006:AI1006),$AC$1006:$AS$1006,0)))),"Fix")))</f>
        <v>0</v>
      </c>
      <c r="I169" s="5">
        <f>IF(OR(INDEX($W$2:$W$1001,MATCH(ROWS($V$2:V169),$V$2:$V$1001,0),1)&gt;=100000,INDEX($AC$1005:$AS$1005,1,MATCH(COLUMNS($AC$1006:AJ1006),$AC$1006:$AS$1006,0))&gt;=100000), " ",IF(INDEX($AC$2:$AS$1001,MATCH(ROWS($V$2:V169),$V$2:$V$1001,0),MATCH(COLUMNS($AC$1006:AJ1006),$AC$1006:$AS$1006,0)), HYPERLINK("#",""), HYPERLINK(CONCATENATE("#Metadata!", ADDRESS(INDEX($X$2:$X$1001,MATCH(ROWS($V$2:V169),$V$2:$V$1001,0),0), INDEX($AC$1004:$AS$1004,1,MATCH(COLUMNS($AC$1006:AJ1006),$AC$1006:$AS$1006,0)))),"Fix")))</f>
        <v>0</v>
      </c>
      <c r="J169" s="5">
        <f>IF(OR(INDEX($W$2:$W$1001,MATCH(ROWS($V$2:V169),$V$2:$V$1001,0),1)&gt;=100000,INDEX($AC$1005:$AS$1005,1,MATCH(COLUMNS($AC$1006:AK1006),$AC$1006:$AS$1006,0))&gt;=100000), " ",IF(INDEX($AC$2:$AS$1001,MATCH(ROWS($V$2:V169),$V$2:$V$1001,0),MATCH(COLUMNS($AC$1006:AK1006),$AC$1006:$AS$1006,0)), HYPERLINK("#",""), HYPERLINK(CONCATENATE("#Metadata!", ADDRESS(INDEX($X$2:$X$1001,MATCH(ROWS($V$2:V169),$V$2:$V$1001,0),0), INDEX($AC$1004:$AS$1004,1,MATCH(COLUMNS($AC$1006:AK1006),$AC$1006:$AS$1006,0)))),"Fix")))</f>
        <v>0</v>
      </c>
      <c r="K169" s="5">
        <f>IF(OR(INDEX($W$2:$W$1001,MATCH(ROWS($V$2:V169),$V$2:$V$1001,0),1)&gt;=100000,INDEX($AC$1005:$AS$1005,1,MATCH(COLUMNS($AC$1006:AL1006),$AC$1006:$AS$1006,0))&gt;=100000), " ",IF(INDEX($AC$2:$AS$1001,MATCH(ROWS($V$2:V169),$V$2:$V$1001,0),MATCH(COLUMNS($AC$1006:AL1006),$AC$1006:$AS$1006,0)), HYPERLINK("#",""), HYPERLINK(CONCATENATE("#Metadata!", ADDRESS(INDEX($X$2:$X$1001,MATCH(ROWS($V$2:V169),$V$2:$V$1001,0),0), INDEX($AC$1004:$AS$1004,1,MATCH(COLUMNS($AC$1006:AL1006),$AC$1006:$AS$1006,0)))),"Fix")))</f>
        <v>0</v>
      </c>
      <c r="L169" s="5">
        <f>IF(OR(INDEX($W$2:$W$1001,MATCH(ROWS($V$2:V169),$V$2:$V$1001,0),1)&gt;=100000,INDEX($AC$1005:$AS$1005,1,MATCH(COLUMNS($AC$1006:AM1006),$AC$1006:$AS$1006,0))&gt;=100000), " ",IF(INDEX($AC$2:$AS$1001,MATCH(ROWS($V$2:V169),$V$2:$V$1001,0),MATCH(COLUMNS($AC$1006:AM1006),$AC$1006:$AS$1006,0)), HYPERLINK("#",""), HYPERLINK(CONCATENATE("#Metadata!", ADDRESS(INDEX($X$2:$X$1001,MATCH(ROWS($V$2:V169),$V$2:$V$1001,0),0), INDEX($AC$1004:$AS$1004,1,MATCH(COLUMNS($AC$1006:AM1006),$AC$1006:$AS$1006,0)))),"Fix")))</f>
        <v>0</v>
      </c>
      <c r="M169" s="5">
        <f>IF(OR(INDEX($W$2:$W$1001,MATCH(ROWS($V$2:V169),$V$2:$V$1001,0),1)&gt;=100000,INDEX($AC$1005:$AS$1005,1,MATCH(COLUMNS($AC$1006:AN1006),$AC$1006:$AS$1006,0))&gt;=100000), " ",IF(INDEX($AC$2:$AS$1001,MATCH(ROWS($V$2:V169),$V$2:$V$1001,0),MATCH(COLUMNS($AC$1006:AN1006),$AC$1006:$AS$1006,0)), HYPERLINK("#",""), HYPERLINK(CONCATENATE("#Metadata!", ADDRESS(INDEX($X$2:$X$1001,MATCH(ROWS($V$2:V169),$V$2:$V$1001,0),0), INDEX($AC$1004:$AS$1004,1,MATCH(COLUMNS($AC$1006:AN1006),$AC$1006:$AS$1006,0)))),"Fix")))</f>
        <v>0</v>
      </c>
      <c r="N169" s="5">
        <f>IF(OR(INDEX($W$2:$W$1001,MATCH(ROWS($V$2:V169),$V$2:$V$1001,0),1)&gt;=100000,INDEX($AC$1005:$AS$1005,1,MATCH(COLUMNS($AC$1006:AO1006),$AC$1006:$AS$1006,0))&gt;=100000), " ",IF(INDEX($AC$2:$AS$1001,MATCH(ROWS($V$2:V169),$V$2:$V$1001,0),MATCH(COLUMNS($AC$1006:AO1006),$AC$1006:$AS$1006,0)), HYPERLINK("#",""), HYPERLINK(CONCATENATE("#Metadata!", ADDRESS(INDEX($X$2:$X$1001,MATCH(ROWS($V$2:V169),$V$2:$V$1001,0),0), INDEX($AC$1004:$AS$1004,1,MATCH(COLUMNS($AC$1006:AO1006),$AC$1006:$AS$1006,0)))),"Fix")))</f>
        <v>0</v>
      </c>
      <c r="O169" s="5">
        <f>IF(OR(INDEX($W$2:$W$1001,MATCH(ROWS($V$2:V169),$V$2:$V$1001,0),1)&gt;=100000,INDEX($AC$1005:$AS$1005,1,MATCH(COLUMNS($AC$1006:AP1006),$AC$1006:$AS$1006,0))&gt;=100000), " ",IF(INDEX($AC$2:$AS$1001,MATCH(ROWS($V$2:V169),$V$2:$V$1001,0),MATCH(COLUMNS($AC$1006:AP1006),$AC$1006:$AS$1006,0)), HYPERLINK("#",""), HYPERLINK(CONCATENATE("#Metadata!", ADDRESS(INDEX($X$2:$X$1001,MATCH(ROWS($V$2:V169),$V$2:$V$1001,0),0), INDEX($AC$1004:$AS$1004,1,MATCH(COLUMNS($AC$1006:AP1006),$AC$1006:$AS$1006,0)))),"Fix")))</f>
        <v>0</v>
      </c>
      <c r="P169" s="5">
        <f>IF(OR(INDEX($W$2:$W$1001,MATCH(ROWS($V$2:V169),$V$2:$V$1001,0),1)&gt;=100000,INDEX($AC$1005:$AS$1005,1,MATCH(COLUMNS($AC$1006:AQ1006),$AC$1006:$AS$1006,0))&gt;=100000), " ",IF(INDEX($AC$2:$AS$1001,MATCH(ROWS($V$2:V169),$V$2:$V$1001,0),MATCH(COLUMNS($AC$1006:AQ1006),$AC$1006:$AS$1006,0)), HYPERLINK("#",""), HYPERLINK(CONCATENATE("#Metadata!", ADDRESS(INDEX($X$2:$X$1001,MATCH(ROWS($V$2:V169),$V$2:$V$1001,0),0), INDEX($AC$1004:$AS$1004,1,MATCH(COLUMNS($AC$1006:AQ1006),$AC$1006:$AS$1006,0)))),"Fix")))</f>
        <v>0</v>
      </c>
      <c r="Q169" s="5">
        <f>IF(OR(INDEX($W$2:$W$1001,MATCH(ROWS($V$2:V169),$V$2:$V$1001,0),1)&gt;=100000,INDEX($AC$1005:$AS$1005,1,MATCH(COLUMNS($AC$1006:AR1006),$AC$1006:$AS$1006,0))&gt;=100000), " ",IF(INDEX($AC$2:$AS$1001,MATCH(ROWS($V$2:V169),$V$2:$V$1001,0),MATCH(COLUMNS($AC$1006:AR1006),$AC$1006:$AS$1006,0)), HYPERLINK("#",""), HYPERLINK(CONCATENATE("#Metadata!", ADDRESS(INDEX($X$2:$X$1001,MATCH(ROWS($V$2:V169),$V$2:$V$1001,0),0), INDEX($AC$1004:$AS$1004,1,MATCH(COLUMNS($AC$1006:AR1006),$AC$1006:$AS$1006,0)))),"Fix")))</f>
        <v>0</v>
      </c>
      <c r="R169" s="5">
        <f>IF(OR(INDEX($W$2:$W$1001,MATCH(ROWS($V$2:V169),$V$2:$V$1001,0),1)&gt;=100000,INDEX($AC$1005:$AS$1005,1,MATCH(COLUMNS($AC$1006:AS1006),$AC$1006:$AS$1006,0))&gt;=100000), " ",IF(INDEX($AC$2:$AS$1001,MATCH(ROWS($V$2:V169),$V$2:$V$1001,0),MATCH(COLUMNS($AC$1006:AS1006),$AC$1006:$AS$1006,0)), HYPERLINK("#",""), HYPERLINK(CONCATENATE("#Metadata!", ADDRESS(INDEX($X$2:$X$1001,MATCH(ROWS($V$2:V169),$V$2:$V$1001,0),0), INDEX($AC$1004:$AS$1004,1,MATCH(COLUMNS($AC$1006:AS1006),$AC$1006:$AS$1006,0)))),"Fix")))</f>
        <v>0</v>
      </c>
      <c r="V169">
        <v>0</v>
      </c>
      <c r="W169">
        <v>0</v>
      </c>
      <c r="X169">
        <v>0</v>
      </c>
      <c r="Y169">
        <f>IF(Z169,TRUE,AND(AC169:AS169))</f>
        <v>0</v>
      </c>
      <c r="Z169">
        <f>COUNTBLANK(Metadata!B169:R169)=COLUMNS(Metadata!B169:R169)</f>
        <v>0</v>
      </c>
      <c r="AA169">
        <v>0</v>
      </c>
      <c r="AC169">
        <f>AND(IF(Metadata!B169="",FALSE,TRUE),COUNTIF(Metadata!B:B, Metadata!B169) = 1,NOT(ISERROR(SUMPRODUCT(SEARCH(MID(Metadata!B169,ROW(INDIRECT("1:"&amp;LEN(Metadata!B169))), 1),"0123456789abcdefghijklmnopqrstuvwxyzABCDEFGHIJKLMNOPQRSTUVWXYZ.")))))</f>
        <v>0</v>
      </c>
      <c r="AD169">
        <f>AND(IF(Metadata!C169="",FALSE,TRUE),exact(Metadata!C169,"Host-associated"))</f>
        <v>0</v>
      </c>
      <c r="AE169">
        <f>AND(IF(Metadata!D169="",FALSE,TRUE),OR(exact(Metadata!D169,"Animal"),exact(Metadata!D169,"Fungus"),exact(Metadata!D169,"Plant")))</f>
        <v>0</v>
      </c>
      <c r="AF169">
        <f>AND(IF(Metadata!E169="",FALSE,TRUE),OR(exact(Metadata!E169,"Plant secretion"),exact(Metadata!E169,"Plant rhizosphere"),exact(Metadata!E169,"Plant surface"),exact(Metadata!E169,"Plant corpus"),exact(Metadata!E169,"Fungus surface"),exact(Metadata!E169,"Fungus corpus"),exact(Metadata!E169,"Animal surface"),exact(Metadata!E169,"Animal proximal gut"),exact(Metadata!E169,"Animal corpus"),exact(Metadata!E169,"Animal distal gut"),exact(Metadata!E169,"Animal secretion")))</f>
        <v>0</v>
      </c>
      <c r="AG169">
        <f>OR(AND(IF(Metadata!F169="",FALSE,TRUE),OR(exact(Metadata!F169,"not collected"),exact(Metadata!F169,"not provided"),exact(Metadata!F169,"restricted access"))),AND(IF(Metadata!F169="",FALSE,TRUE),OR(exact(Metadata!F169,"organism-associated habitat"),exact(Metadata!F169,"plant-associated habitat"),exact(Metadata!F169,"animal-associated habitat"),exact(Metadata!F169,"insecta-associated habitat"),exact(Metadata!F169,"mammalia-associated habitat"),exact(Metadata!F169,"human-associated habitat"),exact(Metadata!F169,"livestock-associated habitat"))))</f>
        <v>0</v>
      </c>
      <c r="AH169">
        <f>AND(IF(Metadata!G169="",FALSE,TRUE),exact(Metadata!G169,"host-associated"))</f>
        <v>0</v>
      </c>
      <c r="AI169">
        <f>OR(AND(IF(Metadata!H169="",FALSE,TRUE),OR(exact(Metadata!H169,"not collected"),exact(Metadata!H169,"not provided"))),AND(IF(Metadata!H169="",FALSE,ISNUMBER(VALUE(Metadata!H169))),Metadata!H169&gt;0))</f>
        <v>0</v>
      </c>
      <c r="AJ169">
        <f>AND(IF(Metadata!I169="",FALSE,TRUE),exact(Metadata!I169,"years"))</f>
        <v>0</v>
      </c>
      <c r="AK169">
        <f>IF(Metadata!J169="",FALSE,TRUE)</f>
        <v>0</v>
      </c>
      <c r="AL169">
        <f>OR(AND(IF(Metadata!K169="",FALSE,TRUE),OR(exact(Metadata!K169,"not collected"),exact(Metadata!K169,"not provided"))),AND(IF(Metadata!K169="",FALSE,ISNUMBER(VALUE(Metadata!K169))),Metadata!K169&gt;0))</f>
        <v>0</v>
      </c>
      <c r="AM169">
        <f>AND(IF(Metadata!L169="",FALSE,TRUE),exact(Metadata!L169,"cm"))</f>
        <v>0</v>
      </c>
      <c r="AN169">
        <f>IF(Metadata!M169="",FALSE,TRUE)</f>
        <v>0</v>
      </c>
      <c r="AO169">
        <f>OR(AND(IF(Metadata!N169="",FALSE,TRUE),OR(exact(Metadata!N169,"not applicable"),exact(Metadata!N169,"not collected"),exact(Metadata!N169,"not provided"))),AND(IF(Metadata!N169="",FALSE,IF(ISERROR(INT(Metadata!N169)),FALSE,INT(Metadata!N169)=Metadata!N169)),Metadata!N169&gt;0))</f>
        <v>0</v>
      </c>
      <c r="AP169">
        <f>OR(AND(IF(Metadata!O169="",FALSE,TRUE),OR(exact(Metadata!O169,"not collected"),exact(Metadata!O169,"not provided"))),AND(IF(Metadata!O169="",FALSE,ISNUMBER(VALUE(Metadata!O169))),Metadata!O169&gt;0))</f>
        <v>0</v>
      </c>
      <c r="AQ169">
        <f>AND(IF(Metadata!P169="",FALSE,TRUE),exact(Metadata!P169,"kg"))</f>
        <v>0</v>
      </c>
      <c r="AR169">
        <f>OR(AND(IF(Metadata!Q169="",FALSE,TRUE),OR(exact(Metadata!Q169,"not applicable"),exact(Metadata!Q169,"not collected"),exact(Metadata!Q169,"not provided"),exact(Metadata!Q169,"restricted access"))),IF(Metadata!Q169="",FALSE,IF(ISERROR(INT(Metadata!Q169)),FALSE,INT(Metadata!Q169)=Metadata!Q169)))</f>
        <v>0</v>
      </c>
      <c r="AS169">
        <f>AND(IF(Metadata!R169="",FALSE,TRUE),exact(Metadata!R169,"Not applicable"))</f>
        <v>0</v>
      </c>
    </row>
    <row r="170" spans="1:45">
      <c r="A170" s="4">
        <f>IF(B170=" "," ",HYPERLINK(CONCATENATE("#metadata!",ADDRESS(INDEX($X$2:$X$1001,MATCH(ROWS($V$2:V170),$V$2:$V$1001,0),0),2)),INDEX($AA$2:$AA$1001,MATCH(ROWS($V$2:V170),$V$2:$V$1001,0),0)))</f>
        <v>0</v>
      </c>
      <c r="B170" s="5">
        <f>IF(OR(INDEX($W$2:$W$1001,MATCH(ROWS($V$2:V170),$V$2:$V$1001,0),1)&gt;=100000,INDEX($AC$1005:$AS$1005,1,MATCH(COLUMNS($AC$1006:AC1006),$AC$1006:$AS$1006,0))&gt;=100000), " ",IF(INDEX($AC$2:$AS$1001,MATCH(ROWS($V$2:V170),$V$2:$V$1001,0),MATCH(COLUMNS($AC$1006:AC1006),$AC$1006:$AS$1006,0)), HYPERLINK("#",""), HYPERLINK(CONCATENATE("#Metadata!", ADDRESS(INDEX($X$2:$X$1001,MATCH(ROWS($V$2:V170),$V$2:$V$1001,0),0), INDEX($AC$1004:$AS$1004,1,MATCH(COLUMNS($AC$1006:AC1006),$AC$1006:$AS$1006,0)))),"Fix")))</f>
        <v>0</v>
      </c>
      <c r="C170" s="5">
        <f>IF(OR(INDEX($W$2:$W$1001,MATCH(ROWS($V$2:V170),$V$2:$V$1001,0),1)&gt;=100000,INDEX($AC$1005:$AS$1005,1,MATCH(COLUMNS($AC$1006:AD1006),$AC$1006:$AS$1006,0))&gt;=100000), " ",IF(INDEX($AC$2:$AS$1001,MATCH(ROWS($V$2:V170),$V$2:$V$1001,0),MATCH(COLUMNS($AC$1006:AD1006),$AC$1006:$AS$1006,0)), HYPERLINK("#",""), HYPERLINK(CONCATENATE("#Metadata!", ADDRESS(INDEX($X$2:$X$1001,MATCH(ROWS($V$2:V170),$V$2:$V$1001,0),0), INDEX($AC$1004:$AS$1004,1,MATCH(COLUMNS($AC$1006:AD1006),$AC$1006:$AS$1006,0)))),"Fix")))</f>
        <v>0</v>
      </c>
      <c r="D170" s="5">
        <f>IF(OR(INDEX($W$2:$W$1001,MATCH(ROWS($V$2:V170),$V$2:$V$1001,0),1)&gt;=100000,INDEX($AC$1005:$AS$1005,1,MATCH(COLUMNS($AC$1006:AE1006),$AC$1006:$AS$1006,0))&gt;=100000), " ",IF(INDEX($AC$2:$AS$1001,MATCH(ROWS($V$2:V170),$V$2:$V$1001,0),MATCH(COLUMNS($AC$1006:AE1006),$AC$1006:$AS$1006,0)), HYPERLINK("#",""), HYPERLINK(CONCATENATE("#Metadata!", ADDRESS(INDEX($X$2:$X$1001,MATCH(ROWS($V$2:V170),$V$2:$V$1001,0),0), INDEX($AC$1004:$AS$1004,1,MATCH(COLUMNS($AC$1006:AE1006),$AC$1006:$AS$1006,0)))),"Fix")))</f>
        <v>0</v>
      </c>
      <c r="E170" s="5">
        <f>IF(OR(INDEX($W$2:$W$1001,MATCH(ROWS($V$2:V170),$V$2:$V$1001,0),1)&gt;=100000,INDEX($AC$1005:$AS$1005,1,MATCH(COLUMNS($AC$1006:AF1006),$AC$1006:$AS$1006,0))&gt;=100000), " ",IF(INDEX($AC$2:$AS$1001,MATCH(ROWS($V$2:V170),$V$2:$V$1001,0),MATCH(COLUMNS($AC$1006:AF1006),$AC$1006:$AS$1006,0)), HYPERLINK("#",""), HYPERLINK(CONCATENATE("#Metadata!", ADDRESS(INDEX($X$2:$X$1001,MATCH(ROWS($V$2:V170),$V$2:$V$1001,0),0), INDEX($AC$1004:$AS$1004,1,MATCH(COLUMNS($AC$1006:AF1006),$AC$1006:$AS$1006,0)))),"Fix")))</f>
        <v>0</v>
      </c>
      <c r="F170" s="5">
        <f>IF(OR(INDEX($W$2:$W$1001,MATCH(ROWS($V$2:V170),$V$2:$V$1001,0),1)&gt;=100000,INDEX($AC$1005:$AS$1005,1,MATCH(COLUMNS($AC$1006:AG1006),$AC$1006:$AS$1006,0))&gt;=100000), " ",IF(INDEX($AC$2:$AS$1001,MATCH(ROWS($V$2:V170),$V$2:$V$1001,0),MATCH(COLUMNS($AC$1006:AG1006),$AC$1006:$AS$1006,0)), HYPERLINK("#",""), HYPERLINK(CONCATENATE("#Metadata!", ADDRESS(INDEX($X$2:$X$1001,MATCH(ROWS($V$2:V170),$V$2:$V$1001,0),0), INDEX($AC$1004:$AS$1004,1,MATCH(COLUMNS($AC$1006:AG1006),$AC$1006:$AS$1006,0)))),"Fix")))</f>
        <v>0</v>
      </c>
      <c r="G170" s="5">
        <f>IF(OR(INDEX($W$2:$W$1001,MATCH(ROWS($V$2:V170),$V$2:$V$1001,0),1)&gt;=100000,INDEX($AC$1005:$AS$1005,1,MATCH(COLUMNS($AC$1006:AH1006),$AC$1006:$AS$1006,0))&gt;=100000), " ",IF(INDEX($AC$2:$AS$1001,MATCH(ROWS($V$2:V170),$V$2:$V$1001,0),MATCH(COLUMNS($AC$1006:AH1006),$AC$1006:$AS$1006,0)), HYPERLINK("#",""), HYPERLINK(CONCATENATE("#Metadata!", ADDRESS(INDEX($X$2:$X$1001,MATCH(ROWS($V$2:V170),$V$2:$V$1001,0),0), INDEX($AC$1004:$AS$1004,1,MATCH(COLUMNS($AC$1006:AH1006),$AC$1006:$AS$1006,0)))),"Fix")))</f>
        <v>0</v>
      </c>
      <c r="H170" s="5">
        <f>IF(OR(INDEX($W$2:$W$1001,MATCH(ROWS($V$2:V170),$V$2:$V$1001,0),1)&gt;=100000,INDEX($AC$1005:$AS$1005,1,MATCH(COLUMNS($AC$1006:AI1006),$AC$1006:$AS$1006,0))&gt;=100000), " ",IF(INDEX($AC$2:$AS$1001,MATCH(ROWS($V$2:V170),$V$2:$V$1001,0),MATCH(COLUMNS($AC$1006:AI1006),$AC$1006:$AS$1006,0)), HYPERLINK("#",""), HYPERLINK(CONCATENATE("#Metadata!", ADDRESS(INDEX($X$2:$X$1001,MATCH(ROWS($V$2:V170),$V$2:$V$1001,0),0), INDEX($AC$1004:$AS$1004,1,MATCH(COLUMNS($AC$1006:AI1006),$AC$1006:$AS$1006,0)))),"Fix")))</f>
        <v>0</v>
      </c>
      <c r="I170" s="5">
        <f>IF(OR(INDEX($W$2:$W$1001,MATCH(ROWS($V$2:V170),$V$2:$V$1001,0),1)&gt;=100000,INDEX($AC$1005:$AS$1005,1,MATCH(COLUMNS($AC$1006:AJ1006),$AC$1006:$AS$1006,0))&gt;=100000), " ",IF(INDEX($AC$2:$AS$1001,MATCH(ROWS($V$2:V170),$V$2:$V$1001,0),MATCH(COLUMNS($AC$1006:AJ1006),$AC$1006:$AS$1006,0)), HYPERLINK("#",""), HYPERLINK(CONCATENATE("#Metadata!", ADDRESS(INDEX($X$2:$X$1001,MATCH(ROWS($V$2:V170),$V$2:$V$1001,0),0), INDEX($AC$1004:$AS$1004,1,MATCH(COLUMNS($AC$1006:AJ1006),$AC$1006:$AS$1006,0)))),"Fix")))</f>
        <v>0</v>
      </c>
      <c r="J170" s="5">
        <f>IF(OR(INDEX($W$2:$W$1001,MATCH(ROWS($V$2:V170),$V$2:$V$1001,0),1)&gt;=100000,INDEX($AC$1005:$AS$1005,1,MATCH(COLUMNS($AC$1006:AK1006),$AC$1006:$AS$1006,0))&gt;=100000), " ",IF(INDEX($AC$2:$AS$1001,MATCH(ROWS($V$2:V170),$V$2:$V$1001,0),MATCH(COLUMNS($AC$1006:AK1006),$AC$1006:$AS$1006,0)), HYPERLINK("#",""), HYPERLINK(CONCATENATE("#Metadata!", ADDRESS(INDEX($X$2:$X$1001,MATCH(ROWS($V$2:V170),$V$2:$V$1001,0),0), INDEX($AC$1004:$AS$1004,1,MATCH(COLUMNS($AC$1006:AK1006),$AC$1006:$AS$1006,0)))),"Fix")))</f>
        <v>0</v>
      </c>
      <c r="K170" s="5">
        <f>IF(OR(INDEX($W$2:$W$1001,MATCH(ROWS($V$2:V170),$V$2:$V$1001,0),1)&gt;=100000,INDEX($AC$1005:$AS$1005,1,MATCH(COLUMNS($AC$1006:AL1006),$AC$1006:$AS$1006,0))&gt;=100000), " ",IF(INDEX($AC$2:$AS$1001,MATCH(ROWS($V$2:V170),$V$2:$V$1001,0),MATCH(COLUMNS($AC$1006:AL1006),$AC$1006:$AS$1006,0)), HYPERLINK("#",""), HYPERLINK(CONCATENATE("#Metadata!", ADDRESS(INDEX($X$2:$X$1001,MATCH(ROWS($V$2:V170),$V$2:$V$1001,0),0), INDEX($AC$1004:$AS$1004,1,MATCH(COLUMNS($AC$1006:AL1006),$AC$1006:$AS$1006,0)))),"Fix")))</f>
        <v>0</v>
      </c>
      <c r="L170" s="5">
        <f>IF(OR(INDEX($W$2:$W$1001,MATCH(ROWS($V$2:V170),$V$2:$V$1001,0),1)&gt;=100000,INDEX($AC$1005:$AS$1005,1,MATCH(COLUMNS($AC$1006:AM1006),$AC$1006:$AS$1006,0))&gt;=100000), " ",IF(INDEX($AC$2:$AS$1001,MATCH(ROWS($V$2:V170),$V$2:$V$1001,0),MATCH(COLUMNS($AC$1006:AM1006),$AC$1006:$AS$1006,0)), HYPERLINK("#",""), HYPERLINK(CONCATENATE("#Metadata!", ADDRESS(INDEX($X$2:$X$1001,MATCH(ROWS($V$2:V170),$V$2:$V$1001,0),0), INDEX($AC$1004:$AS$1004,1,MATCH(COLUMNS($AC$1006:AM1006),$AC$1006:$AS$1006,0)))),"Fix")))</f>
        <v>0</v>
      </c>
      <c r="M170" s="5">
        <f>IF(OR(INDEX($W$2:$W$1001,MATCH(ROWS($V$2:V170),$V$2:$V$1001,0),1)&gt;=100000,INDEX($AC$1005:$AS$1005,1,MATCH(COLUMNS($AC$1006:AN1006),$AC$1006:$AS$1006,0))&gt;=100000), " ",IF(INDEX($AC$2:$AS$1001,MATCH(ROWS($V$2:V170),$V$2:$V$1001,0),MATCH(COLUMNS($AC$1006:AN1006),$AC$1006:$AS$1006,0)), HYPERLINK("#",""), HYPERLINK(CONCATENATE("#Metadata!", ADDRESS(INDEX($X$2:$X$1001,MATCH(ROWS($V$2:V170),$V$2:$V$1001,0),0), INDEX($AC$1004:$AS$1004,1,MATCH(COLUMNS($AC$1006:AN1006),$AC$1006:$AS$1006,0)))),"Fix")))</f>
        <v>0</v>
      </c>
      <c r="N170" s="5">
        <f>IF(OR(INDEX($W$2:$W$1001,MATCH(ROWS($V$2:V170),$V$2:$V$1001,0),1)&gt;=100000,INDEX($AC$1005:$AS$1005,1,MATCH(COLUMNS($AC$1006:AO1006),$AC$1006:$AS$1006,0))&gt;=100000), " ",IF(INDEX($AC$2:$AS$1001,MATCH(ROWS($V$2:V170),$V$2:$V$1001,0),MATCH(COLUMNS($AC$1006:AO1006),$AC$1006:$AS$1006,0)), HYPERLINK("#",""), HYPERLINK(CONCATENATE("#Metadata!", ADDRESS(INDEX($X$2:$X$1001,MATCH(ROWS($V$2:V170),$V$2:$V$1001,0),0), INDEX($AC$1004:$AS$1004,1,MATCH(COLUMNS($AC$1006:AO1006),$AC$1006:$AS$1006,0)))),"Fix")))</f>
        <v>0</v>
      </c>
      <c r="O170" s="5">
        <f>IF(OR(INDEX($W$2:$W$1001,MATCH(ROWS($V$2:V170),$V$2:$V$1001,0),1)&gt;=100000,INDEX($AC$1005:$AS$1005,1,MATCH(COLUMNS($AC$1006:AP1006),$AC$1006:$AS$1006,0))&gt;=100000), " ",IF(INDEX($AC$2:$AS$1001,MATCH(ROWS($V$2:V170),$V$2:$V$1001,0),MATCH(COLUMNS($AC$1006:AP1006),$AC$1006:$AS$1006,0)), HYPERLINK("#",""), HYPERLINK(CONCATENATE("#Metadata!", ADDRESS(INDEX($X$2:$X$1001,MATCH(ROWS($V$2:V170),$V$2:$V$1001,0),0), INDEX($AC$1004:$AS$1004,1,MATCH(COLUMNS($AC$1006:AP1006),$AC$1006:$AS$1006,0)))),"Fix")))</f>
        <v>0</v>
      </c>
      <c r="P170" s="5">
        <f>IF(OR(INDEX($W$2:$W$1001,MATCH(ROWS($V$2:V170),$V$2:$V$1001,0),1)&gt;=100000,INDEX($AC$1005:$AS$1005,1,MATCH(COLUMNS($AC$1006:AQ1006),$AC$1006:$AS$1006,0))&gt;=100000), " ",IF(INDEX($AC$2:$AS$1001,MATCH(ROWS($V$2:V170),$V$2:$V$1001,0),MATCH(COLUMNS($AC$1006:AQ1006),$AC$1006:$AS$1006,0)), HYPERLINK("#",""), HYPERLINK(CONCATENATE("#Metadata!", ADDRESS(INDEX($X$2:$X$1001,MATCH(ROWS($V$2:V170),$V$2:$V$1001,0),0), INDEX($AC$1004:$AS$1004,1,MATCH(COLUMNS($AC$1006:AQ1006),$AC$1006:$AS$1006,0)))),"Fix")))</f>
        <v>0</v>
      </c>
      <c r="Q170" s="5">
        <f>IF(OR(INDEX($W$2:$W$1001,MATCH(ROWS($V$2:V170),$V$2:$V$1001,0),1)&gt;=100000,INDEX($AC$1005:$AS$1005,1,MATCH(COLUMNS($AC$1006:AR1006),$AC$1006:$AS$1006,0))&gt;=100000), " ",IF(INDEX($AC$2:$AS$1001,MATCH(ROWS($V$2:V170),$V$2:$V$1001,0),MATCH(COLUMNS($AC$1006:AR1006),$AC$1006:$AS$1006,0)), HYPERLINK("#",""), HYPERLINK(CONCATENATE("#Metadata!", ADDRESS(INDEX($X$2:$X$1001,MATCH(ROWS($V$2:V170),$V$2:$V$1001,0),0), INDEX($AC$1004:$AS$1004,1,MATCH(COLUMNS($AC$1006:AR1006),$AC$1006:$AS$1006,0)))),"Fix")))</f>
        <v>0</v>
      </c>
      <c r="R170" s="5">
        <f>IF(OR(INDEX($W$2:$W$1001,MATCH(ROWS($V$2:V170),$V$2:$V$1001,0),1)&gt;=100000,INDEX($AC$1005:$AS$1005,1,MATCH(COLUMNS($AC$1006:AS1006),$AC$1006:$AS$1006,0))&gt;=100000), " ",IF(INDEX($AC$2:$AS$1001,MATCH(ROWS($V$2:V170),$V$2:$V$1001,0),MATCH(COLUMNS($AC$1006:AS1006),$AC$1006:$AS$1006,0)), HYPERLINK("#",""), HYPERLINK(CONCATENATE("#Metadata!", ADDRESS(INDEX($X$2:$X$1001,MATCH(ROWS($V$2:V170),$V$2:$V$1001,0),0), INDEX($AC$1004:$AS$1004,1,MATCH(COLUMNS($AC$1006:AS1006),$AC$1006:$AS$1006,0)))),"Fix")))</f>
        <v>0</v>
      </c>
      <c r="V170">
        <v>0</v>
      </c>
      <c r="W170">
        <v>0</v>
      </c>
      <c r="X170">
        <v>0</v>
      </c>
      <c r="Y170">
        <f>IF(Z170,TRUE,AND(AC170:AS170))</f>
        <v>0</v>
      </c>
      <c r="Z170">
        <f>COUNTBLANK(Metadata!B170:R170)=COLUMNS(Metadata!B170:R170)</f>
        <v>0</v>
      </c>
      <c r="AA170">
        <v>0</v>
      </c>
      <c r="AC170">
        <f>AND(IF(Metadata!B170="",FALSE,TRUE),COUNTIF(Metadata!B:B, Metadata!B170) = 1,NOT(ISERROR(SUMPRODUCT(SEARCH(MID(Metadata!B170,ROW(INDIRECT("1:"&amp;LEN(Metadata!B170))), 1),"0123456789abcdefghijklmnopqrstuvwxyzABCDEFGHIJKLMNOPQRSTUVWXYZ.")))))</f>
        <v>0</v>
      </c>
      <c r="AD170">
        <f>AND(IF(Metadata!C170="",FALSE,TRUE),exact(Metadata!C170,"Host-associated"))</f>
        <v>0</v>
      </c>
      <c r="AE170">
        <f>AND(IF(Metadata!D170="",FALSE,TRUE),OR(exact(Metadata!D170,"Animal"),exact(Metadata!D170,"Fungus"),exact(Metadata!D170,"Plant")))</f>
        <v>0</v>
      </c>
      <c r="AF170">
        <f>AND(IF(Metadata!E170="",FALSE,TRUE),OR(exact(Metadata!E170,"Plant secretion"),exact(Metadata!E170,"Plant rhizosphere"),exact(Metadata!E170,"Plant surface"),exact(Metadata!E170,"Plant corpus"),exact(Metadata!E170,"Fungus surface"),exact(Metadata!E170,"Fungus corpus"),exact(Metadata!E170,"Animal surface"),exact(Metadata!E170,"Animal proximal gut"),exact(Metadata!E170,"Animal corpus"),exact(Metadata!E170,"Animal distal gut"),exact(Metadata!E170,"Animal secretion")))</f>
        <v>0</v>
      </c>
      <c r="AG170">
        <f>OR(AND(IF(Metadata!F170="",FALSE,TRUE),OR(exact(Metadata!F170,"not collected"),exact(Metadata!F170,"not provided"),exact(Metadata!F170,"restricted access"))),AND(IF(Metadata!F170="",FALSE,TRUE),OR(exact(Metadata!F170,"organism-associated habitat"),exact(Metadata!F170,"plant-associated habitat"),exact(Metadata!F170,"animal-associated habitat"),exact(Metadata!F170,"insecta-associated habitat"),exact(Metadata!F170,"mammalia-associated habitat"),exact(Metadata!F170,"human-associated habitat"),exact(Metadata!F170,"livestock-associated habitat"))))</f>
        <v>0</v>
      </c>
      <c r="AH170">
        <f>AND(IF(Metadata!G170="",FALSE,TRUE),exact(Metadata!G170,"host-associated"))</f>
        <v>0</v>
      </c>
      <c r="AI170">
        <f>OR(AND(IF(Metadata!H170="",FALSE,TRUE),OR(exact(Metadata!H170,"not collected"),exact(Metadata!H170,"not provided"))),AND(IF(Metadata!H170="",FALSE,ISNUMBER(VALUE(Metadata!H170))),Metadata!H170&gt;0))</f>
        <v>0</v>
      </c>
      <c r="AJ170">
        <f>AND(IF(Metadata!I170="",FALSE,TRUE),exact(Metadata!I170,"years"))</f>
        <v>0</v>
      </c>
      <c r="AK170">
        <f>IF(Metadata!J170="",FALSE,TRUE)</f>
        <v>0</v>
      </c>
      <c r="AL170">
        <f>OR(AND(IF(Metadata!K170="",FALSE,TRUE),OR(exact(Metadata!K170,"not collected"),exact(Metadata!K170,"not provided"))),AND(IF(Metadata!K170="",FALSE,ISNUMBER(VALUE(Metadata!K170))),Metadata!K170&gt;0))</f>
        <v>0</v>
      </c>
      <c r="AM170">
        <f>AND(IF(Metadata!L170="",FALSE,TRUE),exact(Metadata!L170,"cm"))</f>
        <v>0</v>
      </c>
      <c r="AN170">
        <f>IF(Metadata!M170="",FALSE,TRUE)</f>
        <v>0</v>
      </c>
      <c r="AO170">
        <f>OR(AND(IF(Metadata!N170="",FALSE,TRUE),OR(exact(Metadata!N170,"not applicable"),exact(Metadata!N170,"not collected"),exact(Metadata!N170,"not provided"))),AND(IF(Metadata!N170="",FALSE,IF(ISERROR(INT(Metadata!N170)),FALSE,INT(Metadata!N170)=Metadata!N170)),Metadata!N170&gt;0))</f>
        <v>0</v>
      </c>
      <c r="AP170">
        <f>OR(AND(IF(Metadata!O170="",FALSE,TRUE),OR(exact(Metadata!O170,"not collected"),exact(Metadata!O170,"not provided"))),AND(IF(Metadata!O170="",FALSE,ISNUMBER(VALUE(Metadata!O170))),Metadata!O170&gt;0))</f>
        <v>0</v>
      </c>
      <c r="AQ170">
        <f>AND(IF(Metadata!P170="",FALSE,TRUE),exact(Metadata!P170,"kg"))</f>
        <v>0</v>
      </c>
      <c r="AR170">
        <f>OR(AND(IF(Metadata!Q170="",FALSE,TRUE),OR(exact(Metadata!Q170,"not applicable"),exact(Metadata!Q170,"not collected"),exact(Metadata!Q170,"not provided"),exact(Metadata!Q170,"restricted access"))),IF(Metadata!Q170="",FALSE,IF(ISERROR(INT(Metadata!Q170)),FALSE,INT(Metadata!Q170)=Metadata!Q170)))</f>
        <v>0</v>
      </c>
      <c r="AS170">
        <f>AND(IF(Metadata!R170="",FALSE,TRUE),exact(Metadata!R170,"Not applicable"))</f>
        <v>0</v>
      </c>
    </row>
    <row r="171" spans="1:45">
      <c r="A171" s="4">
        <f>IF(B171=" "," ",HYPERLINK(CONCATENATE("#metadata!",ADDRESS(INDEX($X$2:$X$1001,MATCH(ROWS($V$2:V171),$V$2:$V$1001,0),0),2)),INDEX($AA$2:$AA$1001,MATCH(ROWS($V$2:V171),$V$2:$V$1001,0),0)))</f>
        <v>0</v>
      </c>
      <c r="B171" s="5">
        <f>IF(OR(INDEX($W$2:$W$1001,MATCH(ROWS($V$2:V171),$V$2:$V$1001,0),1)&gt;=100000,INDEX($AC$1005:$AS$1005,1,MATCH(COLUMNS($AC$1006:AC1006),$AC$1006:$AS$1006,0))&gt;=100000), " ",IF(INDEX($AC$2:$AS$1001,MATCH(ROWS($V$2:V171),$V$2:$V$1001,0),MATCH(COLUMNS($AC$1006:AC1006),$AC$1006:$AS$1006,0)), HYPERLINK("#",""), HYPERLINK(CONCATENATE("#Metadata!", ADDRESS(INDEX($X$2:$X$1001,MATCH(ROWS($V$2:V171),$V$2:$V$1001,0),0), INDEX($AC$1004:$AS$1004,1,MATCH(COLUMNS($AC$1006:AC1006),$AC$1006:$AS$1006,0)))),"Fix")))</f>
        <v>0</v>
      </c>
      <c r="C171" s="5">
        <f>IF(OR(INDEX($W$2:$W$1001,MATCH(ROWS($V$2:V171),$V$2:$V$1001,0),1)&gt;=100000,INDEX($AC$1005:$AS$1005,1,MATCH(COLUMNS($AC$1006:AD1006),$AC$1006:$AS$1006,0))&gt;=100000), " ",IF(INDEX($AC$2:$AS$1001,MATCH(ROWS($V$2:V171),$V$2:$V$1001,0),MATCH(COLUMNS($AC$1006:AD1006),$AC$1006:$AS$1006,0)), HYPERLINK("#",""), HYPERLINK(CONCATENATE("#Metadata!", ADDRESS(INDEX($X$2:$X$1001,MATCH(ROWS($V$2:V171),$V$2:$V$1001,0),0), INDEX($AC$1004:$AS$1004,1,MATCH(COLUMNS($AC$1006:AD1006),$AC$1006:$AS$1006,0)))),"Fix")))</f>
        <v>0</v>
      </c>
      <c r="D171" s="5">
        <f>IF(OR(INDEX($W$2:$W$1001,MATCH(ROWS($V$2:V171),$V$2:$V$1001,0),1)&gt;=100000,INDEX($AC$1005:$AS$1005,1,MATCH(COLUMNS($AC$1006:AE1006),$AC$1006:$AS$1006,0))&gt;=100000), " ",IF(INDEX($AC$2:$AS$1001,MATCH(ROWS($V$2:V171),$V$2:$V$1001,0),MATCH(COLUMNS($AC$1006:AE1006),$AC$1006:$AS$1006,0)), HYPERLINK("#",""), HYPERLINK(CONCATENATE("#Metadata!", ADDRESS(INDEX($X$2:$X$1001,MATCH(ROWS($V$2:V171),$V$2:$V$1001,0),0), INDEX($AC$1004:$AS$1004,1,MATCH(COLUMNS($AC$1006:AE1006),$AC$1006:$AS$1006,0)))),"Fix")))</f>
        <v>0</v>
      </c>
      <c r="E171" s="5">
        <f>IF(OR(INDEX($W$2:$W$1001,MATCH(ROWS($V$2:V171),$V$2:$V$1001,0),1)&gt;=100000,INDEX($AC$1005:$AS$1005,1,MATCH(COLUMNS($AC$1006:AF1006),$AC$1006:$AS$1006,0))&gt;=100000), " ",IF(INDEX($AC$2:$AS$1001,MATCH(ROWS($V$2:V171),$V$2:$V$1001,0),MATCH(COLUMNS($AC$1006:AF1006),$AC$1006:$AS$1006,0)), HYPERLINK("#",""), HYPERLINK(CONCATENATE("#Metadata!", ADDRESS(INDEX($X$2:$X$1001,MATCH(ROWS($V$2:V171),$V$2:$V$1001,0),0), INDEX($AC$1004:$AS$1004,1,MATCH(COLUMNS($AC$1006:AF1006),$AC$1006:$AS$1006,0)))),"Fix")))</f>
        <v>0</v>
      </c>
      <c r="F171" s="5">
        <f>IF(OR(INDEX($W$2:$W$1001,MATCH(ROWS($V$2:V171),$V$2:$V$1001,0),1)&gt;=100000,INDEX($AC$1005:$AS$1005,1,MATCH(COLUMNS($AC$1006:AG1006),$AC$1006:$AS$1006,0))&gt;=100000), " ",IF(INDEX($AC$2:$AS$1001,MATCH(ROWS($V$2:V171),$V$2:$V$1001,0),MATCH(COLUMNS($AC$1006:AG1006),$AC$1006:$AS$1006,0)), HYPERLINK("#",""), HYPERLINK(CONCATENATE("#Metadata!", ADDRESS(INDEX($X$2:$X$1001,MATCH(ROWS($V$2:V171),$V$2:$V$1001,0),0), INDEX($AC$1004:$AS$1004,1,MATCH(COLUMNS($AC$1006:AG1006),$AC$1006:$AS$1006,0)))),"Fix")))</f>
        <v>0</v>
      </c>
      <c r="G171" s="5">
        <f>IF(OR(INDEX($W$2:$W$1001,MATCH(ROWS($V$2:V171),$V$2:$V$1001,0),1)&gt;=100000,INDEX($AC$1005:$AS$1005,1,MATCH(COLUMNS($AC$1006:AH1006),$AC$1006:$AS$1006,0))&gt;=100000), " ",IF(INDEX($AC$2:$AS$1001,MATCH(ROWS($V$2:V171),$V$2:$V$1001,0),MATCH(COLUMNS($AC$1006:AH1006),$AC$1006:$AS$1006,0)), HYPERLINK("#",""), HYPERLINK(CONCATENATE("#Metadata!", ADDRESS(INDEX($X$2:$X$1001,MATCH(ROWS($V$2:V171),$V$2:$V$1001,0),0), INDEX($AC$1004:$AS$1004,1,MATCH(COLUMNS($AC$1006:AH1006),$AC$1006:$AS$1006,0)))),"Fix")))</f>
        <v>0</v>
      </c>
      <c r="H171" s="5">
        <f>IF(OR(INDEX($W$2:$W$1001,MATCH(ROWS($V$2:V171),$V$2:$V$1001,0),1)&gt;=100000,INDEX($AC$1005:$AS$1005,1,MATCH(COLUMNS($AC$1006:AI1006),$AC$1006:$AS$1006,0))&gt;=100000), " ",IF(INDEX($AC$2:$AS$1001,MATCH(ROWS($V$2:V171),$V$2:$V$1001,0),MATCH(COLUMNS($AC$1006:AI1006),$AC$1006:$AS$1006,0)), HYPERLINK("#",""), HYPERLINK(CONCATENATE("#Metadata!", ADDRESS(INDEX($X$2:$X$1001,MATCH(ROWS($V$2:V171),$V$2:$V$1001,0),0), INDEX($AC$1004:$AS$1004,1,MATCH(COLUMNS($AC$1006:AI1006),$AC$1006:$AS$1006,0)))),"Fix")))</f>
        <v>0</v>
      </c>
      <c r="I171" s="5">
        <f>IF(OR(INDEX($W$2:$W$1001,MATCH(ROWS($V$2:V171),$V$2:$V$1001,0),1)&gt;=100000,INDEX($AC$1005:$AS$1005,1,MATCH(COLUMNS($AC$1006:AJ1006),$AC$1006:$AS$1006,0))&gt;=100000), " ",IF(INDEX($AC$2:$AS$1001,MATCH(ROWS($V$2:V171),$V$2:$V$1001,0),MATCH(COLUMNS($AC$1006:AJ1006),$AC$1006:$AS$1006,0)), HYPERLINK("#",""), HYPERLINK(CONCATENATE("#Metadata!", ADDRESS(INDEX($X$2:$X$1001,MATCH(ROWS($V$2:V171),$V$2:$V$1001,0),0), INDEX($AC$1004:$AS$1004,1,MATCH(COLUMNS($AC$1006:AJ1006),$AC$1006:$AS$1006,0)))),"Fix")))</f>
        <v>0</v>
      </c>
      <c r="J171" s="5">
        <f>IF(OR(INDEX($W$2:$W$1001,MATCH(ROWS($V$2:V171),$V$2:$V$1001,0),1)&gt;=100000,INDEX($AC$1005:$AS$1005,1,MATCH(COLUMNS($AC$1006:AK1006),$AC$1006:$AS$1006,0))&gt;=100000), " ",IF(INDEX($AC$2:$AS$1001,MATCH(ROWS($V$2:V171),$V$2:$V$1001,0),MATCH(COLUMNS($AC$1006:AK1006),$AC$1006:$AS$1006,0)), HYPERLINK("#",""), HYPERLINK(CONCATENATE("#Metadata!", ADDRESS(INDEX($X$2:$X$1001,MATCH(ROWS($V$2:V171),$V$2:$V$1001,0),0), INDEX($AC$1004:$AS$1004,1,MATCH(COLUMNS($AC$1006:AK1006),$AC$1006:$AS$1006,0)))),"Fix")))</f>
        <v>0</v>
      </c>
      <c r="K171" s="5">
        <f>IF(OR(INDEX($W$2:$W$1001,MATCH(ROWS($V$2:V171),$V$2:$V$1001,0),1)&gt;=100000,INDEX($AC$1005:$AS$1005,1,MATCH(COLUMNS($AC$1006:AL1006),$AC$1006:$AS$1006,0))&gt;=100000), " ",IF(INDEX($AC$2:$AS$1001,MATCH(ROWS($V$2:V171),$V$2:$V$1001,0),MATCH(COLUMNS($AC$1006:AL1006),$AC$1006:$AS$1006,0)), HYPERLINK("#",""), HYPERLINK(CONCATENATE("#Metadata!", ADDRESS(INDEX($X$2:$X$1001,MATCH(ROWS($V$2:V171),$V$2:$V$1001,0),0), INDEX($AC$1004:$AS$1004,1,MATCH(COLUMNS($AC$1006:AL1006),$AC$1006:$AS$1006,0)))),"Fix")))</f>
        <v>0</v>
      </c>
      <c r="L171" s="5">
        <f>IF(OR(INDEX($W$2:$W$1001,MATCH(ROWS($V$2:V171),$V$2:$V$1001,0),1)&gt;=100000,INDEX($AC$1005:$AS$1005,1,MATCH(COLUMNS($AC$1006:AM1006),$AC$1006:$AS$1006,0))&gt;=100000), " ",IF(INDEX($AC$2:$AS$1001,MATCH(ROWS($V$2:V171),$V$2:$V$1001,0),MATCH(COLUMNS($AC$1006:AM1006),$AC$1006:$AS$1006,0)), HYPERLINK("#",""), HYPERLINK(CONCATENATE("#Metadata!", ADDRESS(INDEX($X$2:$X$1001,MATCH(ROWS($V$2:V171),$V$2:$V$1001,0),0), INDEX($AC$1004:$AS$1004,1,MATCH(COLUMNS($AC$1006:AM1006),$AC$1006:$AS$1006,0)))),"Fix")))</f>
        <v>0</v>
      </c>
      <c r="M171" s="5">
        <f>IF(OR(INDEX($W$2:$W$1001,MATCH(ROWS($V$2:V171),$V$2:$V$1001,0),1)&gt;=100000,INDEX($AC$1005:$AS$1005,1,MATCH(COLUMNS($AC$1006:AN1006),$AC$1006:$AS$1006,0))&gt;=100000), " ",IF(INDEX($AC$2:$AS$1001,MATCH(ROWS($V$2:V171),$V$2:$V$1001,0),MATCH(COLUMNS($AC$1006:AN1006),$AC$1006:$AS$1006,0)), HYPERLINK("#",""), HYPERLINK(CONCATENATE("#Metadata!", ADDRESS(INDEX($X$2:$X$1001,MATCH(ROWS($V$2:V171),$V$2:$V$1001,0),0), INDEX($AC$1004:$AS$1004,1,MATCH(COLUMNS($AC$1006:AN1006),$AC$1006:$AS$1006,0)))),"Fix")))</f>
        <v>0</v>
      </c>
      <c r="N171" s="5">
        <f>IF(OR(INDEX($W$2:$W$1001,MATCH(ROWS($V$2:V171),$V$2:$V$1001,0),1)&gt;=100000,INDEX($AC$1005:$AS$1005,1,MATCH(COLUMNS($AC$1006:AO1006),$AC$1006:$AS$1006,0))&gt;=100000), " ",IF(INDEX($AC$2:$AS$1001,MATCH(ROWS($V$2:V171),$V$2:$V$1001,0),MATCH(COLUMNS($AC$1006:AO1006),$AC$1006:$AS$1006,0)), HYPERLINK("#",""), HYPERLINK(CONCATENATE("#Metadata!", ADDRESS(INDEX($X$2:$X$1001,MATCH(ROWS($V$2:V171),$V$2:$V$1001,0),0), INDEX($AC$1004:$AS$1004,1,MATCH(COLUMNS($AC$1006:AO1006),$AC$1006:$AS$1006,0)))),"Fix")))</f>
        <v>0</v>
      </c>
      <c r="O171" s="5">
        <f>IF(OR(INDEX($W$2:$W$1001,MATCH(ROWS($V$2:V171),$V$2:$V$1001,0),1)&gt;=100000,INDEX($AC$1005:$AS$1005,1,MATCH(COLUMNS($AC$1006:AP1006),$AC$1006:$AS$1006,0))&gt;=100000), " ",IF(INDEX($AC$2:$AS$1001,MATCH(ROWS($V$2:V171),$V$2:$V$1001,0),MATCH(COLUMNS($AC$1006:AP1006),$AC$1006:$AS$1006,0)), HYPERLINK("#",""), HYPERLINK(CONCATENATE("#Metadata!", ADDRESS(INDEX($X$2:$X$1001,MATCH(ROWS($V$2:V171),$V$2:$V$1001,0),0), INDEX($AC$1004:$AS$1004,1,MATCH(COLUMNS($AC$1006:AP1006),$AC$1006:$AS$1006,0)))),"Fix")))</f>
        <v>0</v>
      </c>
      <c r="P171" s="5">
        <f>IF(OR(INDEX($W$2:$W$1001,MATCH(ROWS($V$2:V171),$V$2:$V$1001,0),1)&gt;=100000,INDEX($AC$1005:$AS$1005,1,MATCH(COLUMNS($AC$1006:AQ1006),$AC$1006:$AS$1006,0))&gt;=100000), " ",IF(INDEX($AC$2:$AS$1001,MATCH(ROWS($V$2:V171),$V$2:$V$1001,0),MATCH(COLUMNS($AC$1006:AQ1006),$AC$1006:$AS$1006,0)), HYPERLINK("#",""), HYPERLINK(CONCATENATE("#Metadata!", ADDRESS(INDEX($X$2:$X$1001,MATCH(ROWS($V$2:V171),$V$2:$V$1001,0),0), INDEX($AC$1004:$AS$1004,1,MATCH(COLUMNS($AC$1006:AQ1006),$AC$1006:$AS$1006,0)))),"Fix")))</f>
        <v>0</v>
      </c>
      <c r="Q171" s="5">
        <f>IF(OR(INDEX($W$2:$W$1001,MATCH(ROWS($V$2:V171),$V$2:$V$1001,0),1)&gt;=100000,INDEX($AC$1005:$AS$1005,1,MATCH(COLUMNS($AC$1006:AR1006),$AC$1006:$AS$1006,0))&gt;=100000), " ",IF(INDEX($AC$2:$AS$1001,MATCH(ROWS($V$2:V171),$V$2:$V$1001,0),MATCH(COLUMNS($AC$1006:AR1006),$AC$1006:$AS$1006,0)), HYPERLINK("#",""), HYPERLINK(CONCATENATE("#Metadata!", ADDRESS(INDEX($X$2:$X$1001,MATCH(ROWS($V$2:V171),$V$2:$V$1001,0),0), INDEX($AC$1004:$AS$1004,1,MATCH(COLUMNS($AC$1006:AR1006),$AC$1006:$AS$1006,0)))),"Fix")))</f>
        <v>0</v>
      </c>
      <c r="R171" s="5">
        <f>IF(OR(INDEX($W$2:$W$1001,MATCH(ROWS($V$2:V171),$V$2:$V$1001,0),1)&gt;=100000,INDEX($AC$1005:$AS$1005,1,MATCH(COLUMNS($AC$1006:AS1006),$AC$1006:$AS$1006,0))&gt;=100000), " ",IF(INDEX($AC$2:$AS$1001,MATCH(ROWS($V$2:V171),$V$2:$V$1001,0),MATCH(COLUMNS($AC$1006:AS1006),$AC$1006:$AS$1006,0)), HYPERLINK("#",""), HYPERLINK(CONCATENATE("#Metadata!", ADDRESS(INDEX($X$2:$X$1001,MATCH(ROWS($V$2:V171),$V$2:$V$1001,0),0), INDEX($AC$1004:$AS$1004,1,MATCH(COLUMNS($AC$1006:AS1006),$AC$1006:$AS$1006,0)))),"Fix")))</f>
        <v>0</v>
      </c>
      <c r="V171">
        <v>0</v>
      </c>
      <c r="W171">
        <v>0</v>
      </c>
      <c r="X171">
        <v>0</v>
      </c>
      <c r="Y171">
        <f>IF(Z171,TRUE,AND(AC171:AS171))</f>
        <v>0</v>
      </c>
      <c r="Z171">
        <f>COUNTBLANK(Metadata!B171:R171)=COLUMNS(Metadata!B171:R171)</f>
        <v>0</v>
      </c>
      <c r="AA171">
        <v>0</v>
      </c>
      <c r="AC171">
        <f>AND(IF(Metadata!B171="",FALSE,TRUE),COUNTIF(Metadata!B:B, Metadata!B171) = 1,NOT(ISERROR(SUMPRODUCT(SEARCH(MID(Metadata!B171,ROW(INDIRECT("1:"&amp;LEN(Metadata!B171))), 1),"0123456789abcdefghijklmnopqrstuvwxyzABCDEFGHIJKLMNOPQRSTUVWXYZ.")))))</f>
        <v>0</v>
      </c>
      <c r="AD171">
        <f>AND(IF(Metadata!C171="",FALSE,TRUE),exact(Metadata!C171,"Host-associated"))</f>
        <v>0</v>
      </c>
      <c r="AE171">
        <f>AND(IF(Metadata!D171="",FALSE,TRUE),OR(exact(Metadata!D171,"Animal"),exact(Metadata!D171,"Fungus"),exact(Metadata!D171,"Plant")))</f>
        <v>0</v>
      </c>
      <c r="AF171">
        <f>AND(IF(Metadata!E171="",FALSE,TRUE),OR(exact(Metadata!E171,"Plant secretion"),exact(Metadata!E171,"Plant rhizosphere"),exact(Metadata!E171,"Plant surface"),exact(Metadata!E171,"Plant corpus"),exact(Metadata!E171,"Fungus surface"),exact(Metadata!E171,"Fungus corpus"),exact(Metadata!E171,"Animal surface"),exact(Metadata!E171,"Animal proximal gut"),exact(Metadata!E171,"Animal corpus"),exact(Metadata!E171,"Animal distal gut"),exact(Metadata!E171,"Animal secretion")))</f>
        <v>0</v>
      </c>
      <c r="AG171">
        <f>OR(AND(IF(Metadata!F171="",FALSE,TRUE),OR(exact(Metadata!F171,"not collected"),exact(Metadata!F171,"not provided"),exact(Metadata!F171,"restricted access"))),AND(IF(Metadata!F171="",FALSE,TRUE),OR(exact(Metadata!F171,"organism-associated habitat"),exact(Metadata!F171,"plant-associated habitat"),exact(Metadata!F171,"animal-associated habitat"),exact(Metadata!F171,"insecta-associated habitat"),exact(Metadata!F171,"mammalia-associated habitat"),exact(Metadata!F171,"human-associated habitat"),exact(Metadata!F171,"livestock-associated habitat"))))</f>
        <v>0</v>
      </c>
      <c r="AH171">
        <f>AND(IF(Metadata!G171="",FALSE,TRUE),exact(Metadata!G171,"host-associated"))</f>
        <v>0</v>
      </c>
      <c r="AI171">
        <f>OR(AND(IF(Metadata!H171="",FALSE,TRUE),OR(exact(Metadata!H171,"not collected"),exact(Metadata!H171,"not provided"))),AND(IF(Metadata!H171="",FALSE,ISNUMBER(VALUE(Metadata!H171))),Metadata!H171&gt;0))</f>
        <v>0</v>
      </c>
      <c r="AJ171">
        <f>AND(IF(Metadata!I171="",FALSE,TRUE),exact(Metadata!I171,"years"))</f>
        <v>0</v>
      </c>
      <c r="AK171">
        <f>IF(Metadata!J171="",FALSE,TRUE)</f>
        <v>0</v>
      </c>
      <c r="AL171">
        <f>OR(AND(IF(Metadata!K171="",FALSE,TRUE),OR(exact(Metadata!K171,"not collected"),exact(Metadata!K171,"not provided"))),AND(IF(Metadata!K171="",FALSE,ISNUMBER(VALUE(Metadata!K171))),Metadata!K171&gt;0))</f>
        <v>0</v>
      </c>
      <c r="AM171">
        <f>AND(IF(Metadata!L171="",FALSE,TRUE),exact(Metadata!L171,"cm"))</f>
        <v>0</v>
      </c>
      <c r="AN171">
        <f>IF(Metadata!M171="",FALSE,TRUE)</f>
        <v>0</v>
      </c>
      <c r="AO171">
        <f>OR(AND(IF(Metadata!N171="",FALSE,TRUE),OR(exact(Metadata!N171,"not applicable"),exact(Metadata!N171,"not collected"),exact(Metadata!N171,"not provided"))),AND(IF(Metadata!N171="",FALSE,IF(ISERROR(INT(Metadata!N171)),FALSE,INT(Metadata!N171)=Metadata!N171)),Metadata!N171&gt;0))</f>
        <v>0</v>
      </c>
      <c r="AP171">
        <f>OR(AND(IF(Metadata!O171="",FALSE,TRUE),OR(exact(Metadata!O171,"not collected"),exact(Metadata!O171,"not provided"))),AND(IF(Metadata!O171="",FALSE,ISNUMBER(VALUE(Metadata!O171))),Metadata!O171&gt;0))</f>
        <v>0</v>
      </c>
      <c r="AQ171">
        <f>AND(IF(Metadata!P171="",FALSE,TRUE),exact(Metadata!P171,"kg"))</f>
        <v>0</v>
      </c>
      <c r="AR171">
        <f>OR(AND(IF(Metadata!Q171="",FALSE,TRUE),OR(exact(Metadata!Q171,"not applicable"),exact(Metadata!Q171,"not collected"),exact(Metadata!Q171,"not provided"),exact(Metadata!Q171,"restricted access"))),IF(Metadata!Q171="",FALSE,IF(ISERROR(INT(Metadata!Q171)),FALSE,INT(Metadata!Q171)=Metadata!Q171)))</f>
        <v>0</v>
      </c>
      <c r="AS171">
        <f>AND(IF(Metadata!R171="",FALSE,TRUE),exact(Metadata!R171,"Not applicable"))</f>
        <v>0</v>
      </c>
    </row>
    <row r="172" spans="1:45">
      <c r="A172" s="4">
        <f>IF(B172=" "," ",HYPERLINK(CONCATENATE("#metadata!",ADDRESS(INDEX($X$2:$X$1001,MATCH(ROWS($V$2:V172),$V$2:$V$1001,0),0),2)),INDEX($AA$2:$AA$1001,MATCH(ROWS($V$2:V172),$V$2:$V$1001,0),0)))</f>
        <v>0</v>
      </c>
      <c r="B172" s="5">
        <f>IF(OR(INDEX($W$2:$W$1001,MATCH(ROWS($V$2:V172),$V$2:$V$1001,0),1)&gt;=100000,INDEX($AC$1005:$AS$1005,1,MATCH(COLUMNS($AC$1006:AC1006),$AC$1006:$AS$1006,0))&gt;=100000), " ",IF(INDEX($AC$2:$AS$1001,MATCH(ROWS($V$2:V172),$V$2:$V$1001,0),MATCH(COLUMNS($AC$1006:AC1006),$AC$1006:$AS$1006,0)), HYPERLINK("#",""), HYPERLINK(CONCATENATE("#Metadata!", ADDRESS(INDEX($X$2:$X$1001,MATCH(ROWS($V$2:V172),$V$2:$V$1001,0),0), INDEX($AC$1004:$AS$1004,1,MATCH(COLUMNS($AC$1006:AC1006),$AC$1006:$AS$1006,0)))),"Fix")))</f>
        <v>0</v>
      </c>
      <c r="C172" s="5">
        <f>IF(OR(INDEX($W$2:$W$1001,MATCH(ROWS($V$2:V172),$V$2:$V$1001,0),1)&gt;=100000,INDEX($AC$1005:$AS$1005,1,MATCH(COLUMNS($AC$1006:AD1006),$AC$1006:$AS$1006,0))&gt;=100000), " ",IF(INDEX($AC$2:$AS$1001,MATCH(ROWS($V$2:V172),$V$2:$V$1001,0),MATCH(COLUMNS($AC$1006:AD1006),$AC$1006:$AS$1006,0)), HYPERLINK("#",""), HYPERLINK(CONCATENATE("#Metadata!", ADDRESS(INDEX($X$2:$X$1001,MATCH(ROWS($V$2:V172),$V$2:$V$1001,0),0), INDEX($AC$1004:$AS$1004,1,MATCH(COLUMNS($AC$1006:AD1006),$AC$1006:$AS$1006,0)))),"Fix")))</f>
        <v>0</v>
      </c>
      <c r="D172" s="5">
        <f>IF(OR(INDEX($W$2:$W$1001,MATCH(ROWS($V$2:V172),$V$2:$V$1001,0),1)&gt;=100000,INDEX($AC$1005:$AS$1005,1,MATCH(COLUMNS($AC$1006:AE1006),$AC$1006:$AS$1006,0))&gt;=100000), " ",IF(INDEX($AC$2:$AS$1001,MATCH(ROWS($V$2:V172),$V$2:$V$1001,0),MATCH(COLUMNS($AC$1006:AE1006),$AC$1006:$AS$1006,0)), HYPERLINK("#",""), HYPERLINK(CONCATENATE("#Metadata!", ADDRESS(INDEX($X$2:$X$1001,MATCH(ROWS($V$2:V172),$V$2:$V$1001,0),0), INDEX($AC$1004:$AS$1004,1,MATCH(COLUMNS($AC$1006:AE1006),$AC$1006:$AS$1006,0)))),"Fix")))</f>
        <v>0</v>
      </c>
      <c r="E172" s="5">
        <f>IF(OR(INDEX($W$2:$W$1001,MATCH(ROWS($V$2:V172),$V$2:$V$1001,0),1)&gt;=100000,INDEX($AC$1005:$AS$1005,1,MATCH(COLUMNS($AC$1006:AF1006),$AC$1006:$AS$1006,0))&gt;=100000), " ",IF(INDEX($AC$2:$AS$1001,MATCH(ROWS($V$2:V172),$V$2:$V$1001,0),MATCH(COLUMNS($AC$1006:AF1006),$AC$1006:$AS$1006,0)), HYPERLINK("#",""), HYPERLINK(CONCATENATE("#Metadata!", ADDRESS(INDEX($X$2:$X$1001,MATCH(ROWS($V$2:V172),$V$2:$V$1001,0),0), INDEX($AC$1004:$AS$1004,1,MATCH(COLUMNS($AC$1006:AF1006),$AC$1006:$AS$1006,0)))),"Fix")))</f>
        <v>0</v>
      </c>
      <c r="F172" s="5">
        <f>IF(OR(INDEX($W$2:$W$1001,MATCH(ROWS($V$2:V172),$V$2:$V$1001,0),1)&gt;=100000,INDEX($AC$1005:$AS$1005,1,MATCH(COLUMNS($AC$1006:AG1006),$AC$1006:$AS$1006,0))&gt;=100000), " ",IF(INDEX($AC$2:$AS$1001,MATCH(ROWS($V$2:V172),$V$2:$V$1001,0),MATCH(COLUMNS($AC$1006:AG1006),$AC$1006:$AS$1006,0)), HYPERLINK("#",""), HYPERLINK(CONCATENATE("#Metadata!", ADDRESS(INDEX($X$2:$X$1001,MATCH(ROWS($V$2:V172),$V$2:$V$1001,0),0), INDEX($AC$1004:$AS$1004,1,MATCH(COLUMNS($AC$1006:AG1006),$AC$1006:$AS$1006,0)))),"Fix")))</f>
        <v>0</v>
      </c>
      <c r="G172" s="5">
        <f>IF(OR(INDEX($W$2:$W$1001,MATCH(ROWS($V$2:V172),$V$2:$V$1001,0),1)&gt;=100000,INDEX($AC$1005:$AS$1005,1,MATCH(COLUMNS($AC$1006:AH1006),$AC$1006:$AS$1006,0))&gt;=100000), " ",IF(INDEX($AC$2:$AS$1001,MATCH(ROWS($V$2:V172),$V$2:$V$1001,0),MATCH(COLUMNS($AC$1006:AH1006),$AC$1006:$AS$1006,0)), HYPERLINK("#",""), HYPERLINK(CONCATENATE("#Metadata!", ADDRESS(INDEX($X$2:$X$1001,MATCH(ROWS($V$2:V172),$V$2:$V$1001,0),0), INDEX($AC$1004:$AS$1004,1,MATCH(COLUMNS($AC$1006:AH1006),$AC$1006:$AS$1006,0)))),"Fix")))</f>
        <v>0</v>
      </c>
      <c r="H172" s="5">
        <f>IF(OR(INDEX($W$2:$W$1001,MATCH(ROWS($V$2:V172),$V$2:$V$1001,0),1)&gt;=100000,INDEX($AC$1005:$AS$1005,1,MATCH(COLUMNS($AC$1006:AI1006),$AC$1006:$AS$1006,0))&gt;=100000), " ",IF(INDEX($AC$2:$AS$1001,MATCH(ROWS($V$2:V172),$V$2:$V$1001,0),MATCH(COLUMNS($AC$1006:AI1006),$AC$1006:$AS$1006,0)), HYPERLINK("#",""), HYPERLINK(CONCATENATE("#Metadata!", ADDRESS(INDEX($X$2:$X$1001,MATCH(ROWS($V$2:V172),$V$2:$V$1001,0),0), INDEX($AC$1004:$AS$1004,1,MATCH(COLUMNS($AC$1006:AI1006),$AC$1006:$AS$1006,0)))),"Fix")))</f>
        <v>0</v>
      </c>
      <c r="I172" s="5">
        <f>IF(OR(INDEX($W$2:$W$1001,MATCH(ROWS($V$2:V172),$V$2:$V$1001,0),1)&gt;=100000,INDEX($AC$1005:$AS$1005,1,MATCH(COLUMNS($AC$1006:AJ1006),$AC$1006:$AS$1006,0))&gt;=100000), " ",IF(INDEX($AC$2:$AS$1001,MATCH(ROWS($V$2:V172),$V$2:$V$1001,0),MATCH(COLUMNS($AC$1006:AJ1006),$AC$1006:$AS$1006,0)), HYPERLINK("#",""), HYPERLINK(CONCATENATE("#Metadata!", ADDRESS(INDEX($X$2:$X$1001,MATCH(ROWS($V$2:V172),$V$2:$V$1001,0),0), INDEX($AC$1004:$AS$1004,1,MATCH(COLUMNS($AC$1006:AJ1006),$AC$1006:$AS$1006,0)))),"Fix")))</f>
        <v>0</v>
      </c>
      <c r="J172" s="5">
        <f>IF(OR(INDEX($W$2:$W$1001,MATCH(ROWS($V$2:V172),$V$2:$V$1001,0),1)&gt;=100000,INDEX($AC$1005:$AS$1005,1,MATCH(COLUMNS($AC$1006:AK1006),$AC$1006:$AS$1006,0))&gt;=100000), " ",IF(INDEX($AC$2:$AS$1001,MATCH(ROWS($V$2:V172),$V$2:$V$1001,0),MATCH(COLUMNS($AC$1006:AK1006),$AC$1006:$AS$1006,0)), HYPERLINK("#",""), HYPERLINK(CONCATENATE("#Metadata!", ADDRESS(INDEX($X$2:$X$1001,MATCH(ROWS($V$2:V172),$V$2:$V$1001,0),0), INDEX($AC$1004:$AS$1004,1,MATCH(COLUMNS($AC$1006:AK1006),$AC$1006:$AS$1006,0)))),"Fix")))</f>
        <v>0</v>
      </c>
      <c r="K172" s="5">
        <f>IF(OR(INDEX($W$2:$W$1001,MATCH(ROWS($V$2:V172),$V$2:$V$1001,0),1)&gt;=100000,INDEX($AC$1005:$AS$1005,1,MATCH(COLUMNS($AC$1006:AL1006),$AC$1006:$AS$1006,0))&gt;=100000), " ",IF(INDEX($AC$2:$AS$1001,MATCH(ROWS($V$2:V172),$V$2:$V$1001,0),MATCH(COLUMNS($AC$1006:AL1006),$AC$1006:$AS$1006,0)), HYPERLINK("#",""), HYPERLINK(CONCATENATE("#Metadata!", ADDRESS(INDEX($X$2:$X$1001,MATCH(ROWS($V$2:V172),$V$2:$V$1001,0),0), INDEX($AC$1004:$AS$1004,1,MATCH(COLUMNS($AC$1006:AL1006),$AC$1006:$AS$1006,0)))),"Fix")))</f>
        <v>0</v>
      </c>
      <c r="L172" s="5">
        <f>IF(OR(INDEX($W$2:$W$1001,MATCH(ROWS($V$2:V172),$V$2:$V$1001,0),1)&gt;=100000,INDEX($AC$1005:$AS$1005,1,MATCH(COLUMNS($AC$1006:AM1006),$AC$1006:$AS$1006,0))&gt;=100000), " ",IF(INDEX($AC$2:$AS$1001,MATCH(ROWS($V$2:V172),$V$2:$V$1001,0),MATCH(COLUMNS($AC$1006:AM1006),$AC$1006:$AS$1006,0)), HYPERLINK("#",""), HYPERLINK(CONCATENATE("#Metadata!", ADDRESS(INDEX($X$2:$X$1001,MATCH(ROWS($V$2:V172),$V$2:$V$1001,0),0), INDEX($AC$1004:$AS$1004,1,MATCH(COLUMNS($AC$1006:AM1006),$AC$1006:$AS$1006,0)))),"Fix")))</f>
        <v>0</v>
      </c>
      <c r="M172" s="5">
        <f>IF(OR(INDEX($W$2:$W$1001,MATCH(ROWS($V$2:V172),$V$2:$V$1001,0),1)&gt;=100000,INDEX($AC$1005:$AS$1005,1,MATCH(COLUMNS($AC$1006:AN1006),$AC$1006:$AS$1006,0))&gt;=100000), " ",IF(INDEX($AC$2:$AS$1001,MATCH(ROWS($V$2:V172),$V$2:$V$1001,0),MATCH(COLUMNS($AC$1006:AN1006),$AC$1006:$AS$1006,0)), HYPERLINK("#",""), HYPERLINK(CONCATENATE("#Metadata!", ADDRESS(INDEX($X$2:$X$1001,MATCH(ROWS($V$2:V172),$V$2:$V$1001,0),0), INDEX($AC$1004:$AS$1004,1,MATCH(COLUMNS($AC$1006:AN1006),$AC$1006:$AS$1006,0)))),"Fix")))</f>
        <v>0</v>
      </c>
      <c r="N172" s="5">
        <f>IF(OR(INDEX($W$2:$W$1001,MATCH(ROWS($V$2:V172),$V$2:$V$1001,0),1)&gt;=100000,INDEX($AC$1005:$AS$1005,1,MATCH(COLUMNS($AC$1006:AO1006),$AC$1006:$AS$1006,0))&gt;=100000), " ",IF(INDEX($AC$2:$AS$1001,MATCH(ROWS($V$2:V172),$V$2:$V$1001,0),MATCH(COLUMNS($AC$1006:AO1006),$AC$1006:$AS$1006,0)), HYPERLINK("#",""), HYPERLINK(CONCATENATE("#Metadata!", ADDRESS(INDEX($X$2:$X$1001,MATCH(ROWS($V$2:V172),$V$2:$V$1001,0),0), INDEX($AC$1004:$AS$1004,1,MATCH(COLUMNS($AC$1006:AO1006),$AC$1006:$AS$1006,0)))),"Fix")))</f>
        <v>0</v>
      </c>
      <c r="O172" s="5">
        <f>IF(OR(INDEX($W$2:$W$1001,MATCH(ROWS($V$2:V172),$V$2:$V$1001,0),1)&gt;=100000,INDEX($AC$1005:$AS$1005,1,MATCH(COLUMNS($AC$1006:AP1006),$AC$1006:$AS$1006,0))&gt;=100000), " ",IF(INDEX($AC$2:$AS$1001,MATCH(ROWS($V$2:V172),$V$2:$V$1001,0),MATCH(COLUMNS($AC$1006:AP1006),$AC$1006:$AS$1006,0)), HYPERLINK("#",""), HYPERLINK(CONCATENATE("#Metadata!", ADDRESS(INDEX($X$2:$X$1001,MATCH(ROWS($V$2:V172),$V$2:$V$1001,0),0), INDEX($AC$1004:$AS$1004,1,MATCH(COLUMNS($AC$1006:AP1006),$AC$1006:$AS$1006,0)))),"Fix")))</f>
        <v>0</v>
      </c>
      <c r="P172" s="5">
        <f>IF(OR(INDEX($W$2:$W$1001,MATCH(ROWS($V$2:V172),$V$2:$V$1001,0),1)&gt;=100000,INDEX($AC$1005:$AS$1005,1,MATCH(COLUMNS($AC$1006:AQ1006),$AC$1006:$AS$1006,0))&gt;=100000), " ",IF(INDEX($AC$2:$AS$1001,MATCH(ROWS($V$2:V172),$V$2:$V$1001,0),MATCH(COLUMNS($AC$1006:AQ1006),$AC$1006:$AS$1006,0)), HYPERLINK("#",""), HYPERLINK(CONCATENATE("#Metadata!", ADDRESS(INDEX($X$2:$X$1001,MATCH(ROWS($V$2:V172),$V$2:$V$1001,0),0), INDEX($AC$1004:$AS$1004,1,MATCH(COLUMNS($AC$1006:AQ1006),$AC$1006:$AS$1006,0)))),"Fix")))</f>
        <v>0</v>
      </c>
      <c r="Q172" s="5">
        <f>IF(OR(INDEX($W$2:$W$1001,MATCH(ROWS($V$2:V172),$V$2:$V$1001,0),1)&gt;=100000,INDEX($AC$1005:$AS$1005,1,MATCH(COLUMNS($AC$1006:AR1006),$AC$1006:$AS$1006,0))&gt;=100000), " ",IF(INDEX($AC$2:$AS$1001,MATCH(ROWS($V$2:V172),$V$2:$V$1001,0),MATCH(COLUMNS($AC$1006:AR1006),$AC$1006:$AS$1006,0)), HYPERLINK("#",""), HYPERLINK(CONCATENATE("#Metadata!", ADDRESS(INDEX($X$2:$X$1001,MATCH(ROWS($V$2:V172),$V$2:$V$1001,0),0), INDEX($AC$1004:$AS$1004,1,MATCH(COLUMNS($AC$1006:AR1006),$AC$1006:$AS$1006,0)))),"Fix")))</f>
        <v>0</v>
      </c>
      <c r="R172" s="5">
        <f>IF(OR(INDEX($W$2:$W$1001,MATCH(ROWS($V$2:V172),$V$2:$V$1001,0),1)&gt;=100000,INDEX($AC$1005:$AS$1005,1,MATCH(COLUMNS($AC$1006:AS1006),$AC$1006:$AS$1006,0))&gt;=100000), " ",IF(INDEX($AC$2:$AS$1001,MATCH(ROWS($V$2:V172),$V$2:$V$1001,0),MATCH(COLUMNS($AC$1006:AS1006),$AC$1006:$AS$1006,0)), HYPERLINK("#",""), HYPERLINK(CONCATENATE("#Metadata!", ADDRESS(INDEX($X$2:$X$1001,MATCH(ROWS($V$2:V172),$V$2:$V$1001,0),0), INDEX($AC$1004:$AS$1004,1,MATCH(COLUMNS($AC$1006:AS1006),$AC$1006:$AS$1006,0)))),"Fix")))</f>
        <v>0</v>
      </c>
      <c r="V172">
        <v>0</v>
      </c>
      <c r="W172">
        <v>0</v>
      </c>
      <c r="X172">
        <v>0</v>
      </c>
      <c r="Y172">
        <f>IF(Z172,TRUE,AND(AC172:AS172))</f>
        <v>0</v>
      </c>
      <c r="Z172">
        <f>COUNTBLANK(Metadata!B172:R172)=COLUMNS(Metadata!B172:R172)</f>
        <v>0</v>
      </c>
      <c r="AA172">
        <v>0</v>
      </c>
      <c r="AC172">
        <f>AND(IF(Metadata!B172="",FALSE,TRUE),COUNTIF(Metadata!B:B, Metadata!B172) = 1,NOT(ISERROR(SUMPRODUCT(SEARCH(MID(Metadata!B172,ROW(INDIRECT("1:"&amp;LEN(Metadata!B172))), 1),"0123456789abcdefghijklmnopqrstuvwxyzABCDEFGHIJKLMNOPQRSTUVWXYZ.")))))</f>
        <v>0</v>
      </c>
      <c r="AD172">
        <f>AND(IF(Metadata!C172="",FALSE,TRUE),exact(Metadata!C172,"Host-associated"))</f>
        <v>0</v>
      </c>
      <c r="AE172">
        <f>AND(IF(Metadata!D172="",FALSE,TRUE),OR(exact(Metadata!D172,"Animal"),exact(Metadata!D172,"Fungus"),exact(Metadata!D172,"Plant")))</f>
        <v>0</v>
      </c>
      <c r="AF172">
        <f>AND(IF(Metadata!E172="",FALSE,TRUE),OR(exact(Metadata!E172,"Plant secretion"),exact(Metadata!E172,"Plant rhizosphere"),exact(Metadata!E172,"Plant surface"),exact(Metadata!E172,"Plant corpus"),exact(Metadata!E172,"Fungus surface"),exact(Metadata!E172,"Fungus corpus"),exact(Metadata!E172,"Animal surface"),exact(Metadata!E172,"Animal proximal gut"),exact(Metadata!E172,"Animal corpus"),exact(Metadata!E172,"Animal distal gut"),exact(Metadata!E172,"Animal secretion")))</f>
        <v>0</v>
      </c>
      <c r="AG172">
        <f>OR(AND(IF(Metadata!F172="",FALSE,TRUE),OR(exact(Metadata!F172,"not collected"),exact(Metadata!F172,"not provided"),exact(Metadata!F172,"restricted access"))),AND(IF(Metadata!F172="",FALSE,TRUE),OR(exact(Metadata!F172,"organism-associated habitat"),exact(Metadata!F172,"plant-associated habitat"),exact(Metadata!F172,"animal-associated habitat"),exact(Metadata!F172,"insecta-associated habitat"),exact(Metadata!F172,"mammalia-associated habitat"),exact(Metadata!F172,"human-associated habitat"),exact(Metadata!F172,"livestock-associated habitat"))))</f>
        <v>0</v>
      </c>
      <c r="AH172">
        <f>AND(IF(Metadata!G172="",FALSE,TRUE),exact(Metadata!G172,"host-associated"))</f>
        <v>0</v>
      </c>
      <c r="AI172">
        <f>OR(AND(IF(Metadata!H172="",FALSE,TRUE),OR(exact(Metadata!H172,"not collected"),exact(Metadata!H172,"not provided"))),AND(IF(Metadata!H172="",FALSE,ISNUMBER(VALUE(Metadata!H172))),Metadata!H172&gt;0))</f>
        <v>0</v>
      </c>
      <c r="AJ172">
        <f>AND(IF(Metadata!I172="",FALSE,TRUE),exact(Metadata!I172,"years"))</f>
        <v>0</v>
      </c>
      <c r="AK172">
        <f>IF(Metadata!J172="",FALSE,TRUE)</f>
        <v>0</v>
      </c>
      <c r="AL172">
        <f>OR(AND(IF(Metadata!K172="",FALSE,TRUE),OR(exact(Metadata!K172,"not collected"),exact(Metadata!K172,"not provided"))),AND(IF(Metadata!K172="",FALSE,ISNUMBER(VALUE(Metadata!K172))),Metadata!K172&gt;0))</f>
        <v>0</v>
      </c>
      <c r="AM172">
        <f>AND(IF(Metadata!L172="",FALSE,TRUE),exact(Metadata!L172,"cm"))</f>
        <v>0</v>
      </c>
      <c r="AN172">
        <f>IF(Metadata!M172="",FALSE,TRUE)</f>
        <v>0</v>
      </c>
      <c r="AO172">
        <f>OR(AND(IF(Metadata!N172="",FALSE,TRUE),OR(exact(Metadata!N172,"not applicable"),exact(Metadata!N172,"not collected"),exact(Metadata!N172,"not provided"))),AND(IF(Metadata!N172="",FALSE,IF(ISERROR(INT(Metadata!N172)),FALSE,INT(Metadata!N172)=Metadata!N172)),Metadata!N172&gt;0))</f>
        <v>0</v>
      </c>
      <c r="AP172">
        <f>OR(AND(IF(Metadata!O172="",FALSE,TRUE),OR(exact(Metadata!O172,"not collected"),exact(Metadata!O172,"not provided"))),AND(IF(Metadata!O172="",FALSE,ISNUMBER(VALUE(Metadata!O172))),Metadata!O172&gt;0))</f>
        <v>0</v>
      </c>
      <c r="AQ172">
        <f>AND(IF(Metadata!P172="",FALSE,TRUE),exact(Metadata!P172,"kg"))</f>
        <v>0</v>
      </c>
      <c r="AR172">
        <f>OR(AND(IF(Metadata!Q172="",FALSE,TRUE),OR(exact(Metadata!Q172,"not applicable"),exact(Metadata!Q172,"not collected"),exact(Metadata!Q172,"not provided"),exact(Metadata!Q172,"restricted access"))),IF(Metadata!Q172="",FALSE,IF(ISERROR(INT(Metadata!Q172)),FALSE,INT(Metadata!Q172)=Metadata!Q172)))</f>
        <v>0</v>
      </c>
      <c r="AS172">
        <f>AND(IF(Metadata!R172="",FALSE,TRUE),exact(Metadata!R172,"Not applicable"))</f>
        <v>0</v>
      </c>
    </row>
    <row r="173" spans="1:45">
      <c r="A173" s="4">
        <f>IF(B173=" "," ",HYPERLINK(CONCATENATE("#metadata!",ADDRESS(INDEX($X$2:$X$1001,MATCH(ROWS($V$2:V173),$V$2:$V$1001,0),0),2)),INDEX($AA$2:$AA$1001,MATCH(ROWS($V$2:V173),$V$2:$V$1001,0),0)))</f>
        <v>0</v>
      </c>
      <c r="B173" s="5">
        <f>IF(OR(INDEX($W$2:$W$1001,MATCH(ROWS($V$2:V173),$V$2:$V$1001,0),1)&gt;=100000,INDEX($AC$1005:$AS$1005,1,MATCH(COLUMNS($AC$1006:AC1006),$AC$1006:$AS$1006,0))&gt;=100000), " ",IF(INDEX($AC$2:$AS$1001,MATCH(ROWS($V$2:V173),$V$2:$V$1001,0),MATCH(COLUMNS($AC$1006:AC1006),$AC$1006:$AS$1006,0)), HYPERLINK("#",""), HYPERLINK(CONCATENATE("#Metadata!", ADDRESS(INDEX($X$2:$X$1001,MATCH(ROWS($V$2:V173),$V$2:$V$1001,0),0), INDEX($AC$1004:$AS$1004,1,MATCH(COLUMNS($AC$1006:AC1006),$AC$1006:$AS$1006,0)))),"Fix")))</f>
        <v>0</v>
      </c>
      <c r="C173" s="5">
        <f>IF(OR(INDEX($W$2:$W$1001,MATCH(ROWS($V$2:V173),$V$2:$V$1001,0),1)&gt;=100000,INDEX($AC$1005:$AS$1005,1,MATCH(COLUMNS($AC$1006:AD1006),$AC$1006:$AS$1006,0))&gt;=100000), " ",IF(INDEX($AC$2:$AS$1001,MATCH(ROWS($V$2:V173),$V$2:$V$1001,0),MATCH(COLUMNS($AC$1006:AD1006),$AC$1006:$AS$1006,0)), HYPERLINK("#",""), HYPERLINK(CONCATENATE("#Metadata!", ADDRESS(INDEX($X$2:$X$1001,MATCH(ROWS($V$2:V173),$V$2:$V$1001,0),0), INDEX($AC$1004:$AS$1004,1,MATCH(COLUMNS($AC$1006:AD1006),$AC$1006:$AS$1006,0)))),"Fix")))</f>
        <v>0</v>
      </c>
      <c r="D173" s="5">
        <f>IF(OR(INDEX($W$2:$W$1001,MATCH(ROWS($V$2:V173),$V$2:$V$1001,0),1)&gt;=100000,INDEX($AC$1005:$AS$1005,1,MATCH(COLUMNS($AC$1006:AE1006),$AC$1006:$AS$1006,0))&gt;=100000), " ",IF(INDEX($AC$2:$AS$1001,MATCH(ROWS($V$2:V173),$V$2:$V$1001,0),MATCH(COLUMNS($AC$1006:AE1006),$AC$1006:$AS$1006,0)), HYPERLINK("#",""), HYPERLINK(CONCATENATE("#Metadata!", ADDRESS(INDEX($X$2:$X$1001,MATCH(ROWS($V$2:V173),$V$2:$V$1001,0),0), INDEX($AC$1004:$AS$1004,1,MATCH(COLUMNS($AC$1006:AE1006),$AC$1006:$AS$1006,0)))),"Fix")))</f>
        <v>0</v>
      </c>
      <c r="E173" s="5">
        <f>IF(OR(INDEX($W$2:$W$1001,MATCH(ROWS($V$2:V173),$V$2:$V$1001,0),1)&gt;=100000,INDEX($AC$1005:$AS$1005,1,MATCH(COLUMNS($AC$1006:AF1006),$AC$1006:$AS$1006,0))&gt;=100000), " ",IF(INDEX($AC$2:$AS$1001,MATCH(ROWS($V$2:V173),$V$2:$V$1001,0),MATCH(COLUMNS($AC$1006:AF1006),$AC$1006:$AS$1006,0)), HYPERLINK("#",""), HYPERLINK(CONCATENATE("#Metadata!", ADDRESS(INDEX($X$2:$X$1001,MATCH(ROWS($V$2:V173),$V$2:$V$1001,0),0), INDEX($AC$1004:$AS$1004,1,MATCH(COLUMNS($AC$1006:AF1006),$AC$1006:$AS$1006,0)))),"Fix")))</f>
        <v>0</v>
      </c>
      <c r="F173" s="5">
        <f>IF(OR(INDEX($W$2:$W$1001,MATCH(ROWS($V$2:V173),$V$2:$V$1001,0),1)&gt;=100000,INDEX($AC$1005:$AS$1005,1,MATCH(COLUMNS($AC$1006:AG1006),$AC$1006:$AS$1006,0))&gt;=100000), " ",IF(INDEX($AC$2:$AS$1001,MATCH(ROWS($V$2:V173),$V$2:$V$1001,0),MATCH(COLUMNS($AC$1006:AG1006),$AC$1006:$AS$1006,0)), HYPERLINK("#",""), HYPERLINK(CONCATENATE("#Metadata!", ADDRESS(INDEX($X$2:$X$1001,MATCH(ROWS($V$2:V173),$V$2:$V$1001,0),0), INDEX($AC$1004:$AS$1004,1,MATCH(COLUMNS($AC$1006:AG1006),$AC$1006:$AS$1006,0)))),"Fix")))</f>
        <v>0</v>
      </c>
      <c r="G173" s="5">
        <f>IF(OR(INDEX($W$2:$W$1001,MATCH(ROWS($V$2:V173),$V$2:$V$1001,0),1)&gt;=100000,INDEX($AC$1005:$AS$1005,1,MATCH(COLUMNS($AC$1006:AH1006),$AC$1006:$AS$1006,0))&gt;=100000), " ",IF(INDEX($AC$2:$AS$1001,MATCH(ROWS($V$2:V173),$V$2:$V$1001,0),MATCH(COLUMNS($AC$1006:AH1006),$AC$1006:$AS$1006,0)), HYPERLINK("#",""), HYPERLINK(CONCATENATE("#Metadata!", ADDRESS(INDEX($X$2:$X$1001,MATCH(ROWS($V$2:V173),$V$2:$V$1001,0),0), INDEX($AC$1004:$AS$1004,1,MATCH(COLUMNS($AC$1006:AH1006),$AC$1006:$AS$1006,0)))),"Fix")))</f>
        <v>0</v>
      </c>
      <c r="H173" s="5">
        <f>IF(OR(INDEX($W$2:$W$1001,MATCH(ROWS($V$2:V173),$V$2:$V$1001,0),1)&gt;=100000,INDEX($AC$1005:$AS$1005,1,MATCH(COLUMNS($AC$1006:AI1006),$AC$1006:$AS$1006,0))&gt;=100000), " ",IF(INDEX($AC$2:$AS$1001,MATCH(ROWS($V$2:V173),$V$2:$V$1001,0),MATCH(COLUMNS($AC$1006:AI1006),$AC$1006:$AS$1006,0)), HYPERLINK("#",""), HYPERLINK(CONCATENATE("#Metadata!", ADDRESS(INDEX($X$2:$X$1001,MATCH(ROWS($V$2:V173),$V$2:$V$1001,0),0), INDEX($AC$1004:$AS$1004,1,MATCH(COLUMNS($AC$1006:AI1006),$AC$1006:$AS$1006,0)))),"Fix")))</f>
        <v>0</v>
      </c>
      <c r="I173" s="5">
        <f>IF(OR(INDEX($W$2:$W$1001,MATCH(ROWS($V$2:V173),$V$2:$V$1001,0),1)&gt;=100000,INDEX($AC$1005:$AS$1005,1,MATCH(COLUMNS($AC$1006:AJ1006),$AC$1006:$AS$1006,0))&gt;=100000), " ",IF(INDEX($AC$2:$AS$1001,MATCH(ROWS($V$2:V173),$V$2:$V$1001,0),MATCH(COLUMNS($AC$1006:AJ1006),$AC$1006:$AS$1006,0)), HYPERLINK("#",""), HYPERLINK(CONCATENATE("#Metadata!", ADDRESS(INDEX($X$2:$X$1001,MATCH(ROWS($V$2:V173),$V$2:$V$1001,0),0), INDEX($AC$1004:$AS$1004,1,MATCH(COLUMNS($AC$1006:AJ1006),$AC$1006:$AS$1006,0)))),"Fix")))</f>
        <v>0</v>
      </c>
      <c r="J173" s="5">
        <f>IF(OR(INDEX($W$2:$W$1001,MATCH(ROWS($V$2:V173),$V$2:$V$1001,0),1)&gt;=100000,INDEX($AC$1005:$AS$1005,1,MATCH(COLUMNS($AC$1006:AK1006),$AC$1006:$AS$1006,0))&gt;=100000), " ",IF(INDEX($AC$2:$AS$1001,MATCH(ROWS($V$2:V173),$V$2:$V$1001,0),MATCH(COLUMNS($AC$1006:AK1006),$AC$1006:$AS$1006,0)), HYPERLINK("#",""), HYPERLINK(CONCATENATE("#Metadata!", ADDRESS(INDEX($X$2:$X$1001,MATCH(ROWS($V$2:V173),$V$2:$V$1001,0),0), INDEX($AC$1004:$AS$1004,1,MATCH(COLUMNS($AC$1006:AK1006),$AC$1006:$AS$1006,0)))),"Fix")))</f>
        <v>0</v>
      </c>
      <c r="K173" s="5">
        <f>IF(OR(INDEX($W$2:$W$1001,MATCH(ROWS($V$2:V173),$V$2:$V$1001,0),1)&gt;=100000,INDEX($AC$1005:$AS$1005,1,MATCH(COLUMNS($AC$1006:AL1006),$AC$1006:$AS$1006,0))&gt;=100000), " ",IF(INDEX($AC$2:$AS$1001,MATCH(ROWS($V$2:V173),$V$2:$V$1001,0),MATCH(COLUMNS($AC$1006:AL1006),$AC$1006:$AS$1006,0)), HYPERLINK("#",""), HYPERLINK(CONCATENATE("#Metadata!", ADDRESS(INDEX($X$2:$X$1001,MATCH(ROWS($V$2:V173),$V$2:$V$1001,0),0), INDEX($AC$1004:$AS$1004,1,MATCH(COLUMNS($AC$1006:AL1006),$AC$1006:$AS$1006,0)))),"Fix")))</f>
        <v>0</v>
      </c>
      <c r="L173" s="5">
        <f>IF(OR(INDEX($W$2:$W$1001,MATCH(ROWS($V$2:V173),$V$2:$V$1001,0),1)&gt;=100000,INDEX($AC$1005:$AS$1005,1,MATCH(COLUMNS($AC$1006:AM1006),$AC$1006:$AS$1006,0))&gt;=100000), " ",IF(INDEX($AC$2:$AS$1001,MATCH(ROWS($V$2:V173),$V$2:$V$1001,0),MATCH(COLUMNS($AC$1006:AM1006),$AC$1006:$AS$1006,0)), HYPERLINK("#",""), HYPERLINK(CONCATENATE("#Metadata!", ADDRESS(INDEX($X$2:$X$1001,MATCH(ROWS($V$2:V173),$V$2:$V$1001,0),0), INDEX($AC$1004:$AS$1004,1,MATCH(COLUMNS($AC$1006:AM1006),$AC$1006:$AS$1006,0)))),"Fix")))</f>
        <v>0</v>
      </c>
      <c r="M173" s="5">
        <f>IF(OR(INDEX($W$2:$W$1001,MATCH(ROWS($V$2:V173),$V$2:$V$1001,0),1)&gt;=100000,INDEX($AC$1005:$AS$1005,1,MATCH(COLUMNS($AC$1006:AN1006),$AC$1006:$AS$1006,0))&gt;=100000), " ",IF(INDEX($AC$2:$AS$1001,MATCH(ROWS($V$2:V173),$V$2:$V$1001,0),MATCH(COLUMNS($AC$1006:AN1006),$AC$1006:$AS$1006,0)), HYPERLINK("#",""), HYPERLINK(CONCATENATE("#Metadata!", ADDRESS(INDEX($X$2:$X$1001,MATCH(ROWS($V$2:V173),$V$2:$V$1001,0),0), INDEX($AC$1004:$AS$1004,1,MATCH(COLUMNS($AC$1006:AN1006),$AC$1006:$AS$1006,0)))),"Fix")))</f>
        <v>0</v>
      </c>
      <c r="N173" s="5">
        <f>IF(OR(INDEX($W$2:$W$1001,MATCH(ROWS($V$2:V173),$V$2:$V$1001,0),1)&gt;=100000,INDEX($AC$1005:$AS$1005,1,MATCH(COLUMNS($AC$1006:AO1006),$AC$1006:$AS$1006,0))&gt;=100000), " ",IF(INDEX($AC$2:$AS$1001,MATCH(ROWS($V$2:V173),$V$2:$V$1001,0),MATCH(COLUMNS($AC$1006:AO1006),$AC$1006:$AS$1006,0)), HYPERLINK("#",""), HYPERLINK(CONCATENATE("#Metadata!", ADDRESS(INDEX($X$2:$X$1001,MATCH(ROWS($V$2:V173),$V$2:$V$1001,0),0), INDEX($AC$1004:$AS$1004,1,MATCH(COLUMNS($AC$1006:AO1006),$AC$1006:$AS$1006,0)))),"Fix")))</f>
        <v>0</v>
      </c>
      <c r="O173" s="5">
        <f>IF(OR(INDEX($W$2:$W$1001,MATCH(ROWS($V$2:V173),$V$2:$V$1001,0),1)&gt;=100000,INDEX($AC$1005:$AS$1005,1,MATCH(COLUMNS($AC$1006:AP1006),$AC$1006:$AS$1006,0))&gt;=100000), " ",IF(INDEX($AC$2:$AS$1001,MATCH(ROWS($V$2:V173),$V$2:$V$1001,0),MATCH(COLUMNS($AC$1006:AP1006),$AC$1006:$AS$1006,0)), HYPERLINK("#",""), HYPERLINK(CONCATENATE("#Metadata!", ADDRESS(INDEX($X$2:$X$1001,MATCH(ROWS($V$2:V173),$V$2:$V$1001,0),0), INDEX($AC$1004:$AS$1004,1,MATCH(COLUMNS($AC$1006:AP1006),$AC$1006:$AS$1006,0)))),"Fix")))</f>
        <v>0</v>
      </c>
      <c r="P173" s="5">
        <f>IF(OR(INDEX($W$2:$W$1001,MATCH(ROWS($V$2:V173),$V$2:$V$1001,0),1)&gt;=100000,INDEX($AC$1005:$AS$1005,1,MATCH(COLUMNS($AC$1006:AQ1006),$AC$1006:$AS$1006,0))&gt;=100000), " ",IF(INDEX($AC$2:$AS$1001,MATCH(ROWS($V$2:V173),$V$2:$V$1001,0),MATCH(COLUMNS($AC$1006:AQ1006),$AC$1006:$AS$1006,0)), HYPERLINK("#",""), HYPERLINK(CONCATENATE("#Metadata!", ADDRESS(INDEX($X$2:$X$1001,MATCH(ROWS($V$2:V173),$V$2:$V$1001,0),0), INDEX($AC$1004:$AS$1004,1,MATCH(COLUMNS($AC$1006:AQ1006),$AC$1006:$AS$1006,0)))),"Fix")))</f>
        <v>0</v>
      </c>
      <c r="Q173" s="5">
        <f>IF(OR(INDEX($W$2:$W$1001,MATCH(ROWS($V$2:V173),$V$2:$V$1001,0),1)&gt;=100000,INDEX($AC$1005:$AS$1005,1,MATCH(COLUMNS($AC$1006:AR1006),$AC$1006:$AS$1006,0))&gt;=100000), " ",IF(INDEX($AC$2:$AS$1001,MATCH(ROWS($V$2:V173),$V$2:$V$1001,0),MATCH(COLUMNS($AC$1006:AR1006),$AC$1006:$AS$1006,0)), HYPERLINK("#",""), HYPERLINK(CONCATENATE("#Metadata!", ADDRESS(INDEX($X$2:$X$1001,MATCH(ROWS($V$2:V173),$V$2:$V$1001,0),0), INDEX($AC$1004:$AS$1004,1,MATCH(COLUMNS($AC$1006:AR1006),$AC$1006:$AS$1006,0)))),"Fix")))</f>
        <v>0</v>
      </c>
      <c r="R173" s="5">
        <f>IF(OR(INDEX($W$2:$W$1001,MATCH(ROWS($V$2:V173),$V$2:$V$1001,0),1)&gt;=100000,INDEX($AC$1005:$AS$1005,1,MATCH(COLUMNS($AC$1006:AS1006),$AC$1006:$AS$1006,0))&gt;=100000), " ",IF(INDEX($AC$2:$AS$1001,MATCH(ROWS($V$2:V173),$V$2:$V$1001,0),MATCH(COLUMNS($AC$1006:AS1006),$AC$1006:$AS$1006,0)), HYPERLINK("#",""), HYPERLINK(CONCATENATE("#Metadata!", ADDRESS(INDEX($X$2:$X$1001,MATCH(ROWS($V$2:V173),$V$2:$V$1001,0),0), INDEX($AC$1004:$AS$1004,1,MATCH(COLUMNS($AC$1006:AS1006),$AC$1006:$AS$1006,0)))),"Fix")))</f>
        <v>0</v>
      </c>
      <c r="V173">
        <v>0</v>
      </c>
      <c r="W173">
        <v>0</v>
      </c>
      <c r="X173">
        <v>0</v>
      </c>
      <c r="Y173">
        <f>IF(Z173,TRUE,AND(AC173:AS173))</f>
        <v>0</v>
      </c>
      <c r="Z173">
        <f>COUNTBLANK(Metadata!B173:R173)=COLUMNS(Metadata!B173:R173)</f>
        <v>0</v>
      </c>
      <c r="AA173">
        <v>0</v>
      </c>
      <c r="AC173">
        <f>AND(IF(Metadata!B173="",FALSE,TRUE),COUNTIF(Metadata!B:B, Metadata!B173) = 1,NOT(ISERROR(SUMPRODUCT(SEARCH(MID(Metadata!B173,ROW(INDIRECT("1:"&amp;LEN(Metadata!B173))), 1),"0123456789abcdefghijklmnopqrstuvwxyzABCDEFGHIJKLMNOPQRSTUVWXYZ.")))))</f>
        <v>0</v>
      </c>
      <c r="AD173">
        <f>AND(IF(Metadata!C173="",FALSE,TRUE),exact(Metadata!C173,"Host-associated"))</f>
        <v>0</v>
      </c>
      <c r="AE173">
        <f>AND(IF(Metadata!D173="",FALSE,TRUE),OR(exact(Metadata!D173,"Animal"),exact(Metadata!D173,"Fungus"),exact(Metadata!D173,"Plant")))</f>
        <v>0</v>
      </c>
      <c r="AF173">
        <f>AND(IF(Metadata!E173="",FALSE,TRUE),OR(exact(Metadata!E173,"Plant secretion"),exact(Metadata!E173,"Plant rhizosphere"),exact(Metadata!E173,"Plant surface"),exact(Metadata!E173,"Plant corpus"),exact(Metadata!E173,"Fungus surface"),exact(Metadata!E173,"Fungus corpus"),exact(Metadata!E173,"Animal surface"),exact(Metadata!E173,"Animal proximal gut"),exact(Metadata!E173,"Animal corpus"),exact(Metadata!E173,"Animal distal gut"),exact(Metadata!E173,"Animal secretion")))</f>
        <v>0</v>
      </c>
      <c r="AG173">
        <f>OR(AND(IF(Metadata!F173="",FALSE,TRUE),OR(exact(Metadata!F173,"not collected"),exact(Metadata!F173,"not provided"),exact(Metadata!F173,"restricted access"))),AND(IF(Metadata!F173="",FALSE,TRUE),OR(exact(Metadata!F173,"organism-associated habitat"),exact(Metadata!F173,"plant-associated habitat"),exact(Metadata!F173,"animal-associated habitat"),exact(Metadata!F173,"insecta-associated habitat"),exact(Metadata!F173,"mammalia-associated habitat"),exact(Metadata!F173,"human-associated habitat"),exact(Metadata!F173,"livestock-associated habitat"))))</f>
        <v>0</v>
      </c>
      <c r="AH173">
        <f>AND(IF(Metadata!G173="",FALSE,TRUE),exact(Metadata!G173,"host-associated"))</f>
        <v>0</v>
      </c>
      <c r="AI173">
        <f>OR(AND(IF(Metadata!H173="",FALSE,TRUE),OR(exact(Metadata!H173,"not collected"),exact(Metadata!H173,"not provided"))),AND(IF(Metadata!H173="",FALSE,ISNUMBER(VALUE(Metadata!H173))),Metadata!H173&gt;0))</f>
        <v>0</v>
      </c>
      <c r="AJ173">
        <f>AND(IF(Metadata!I173="",FALSE,TRUE),exact(Metadata!I173,"years"))</f>
        <v>0</v>
      </c>
      <c r="AK173">
        <f>IF(Metadata!J173="",FALSE,TRUE)</f>
        <v>0</v>
      </c>
      <c r="AL173">
        <f>OR(AND(IF(Metadata!K173="",FALSE,TRUE),OR(exact(Metadata!K173,"not collected"),exact(Metadata!K173,"not provided"))),AND(IF(Metadata!K173="",FALSE,ISNUMBER(VALUE(Metadata!K173))),Metadata!K173&gt;0))</f>
        <v>0</v>
      </c>
      <c r="AM173">
        <f>AND(IF(Metadata!L173="",FALSE,TRUE),exact(Metadata!L173,"cm"))</f>
        <v>0</v>
      </c>
      <c r="AN173">
        <f>IF(Metadata!M173="",FALSE,TRUE)</f>
        <v>0</v>
      </c>
      <c r="AO173">
        <f>OR(AND(IF(Metadata!N173="",FALSE,TRUE),OR(exact(Metadata!N173,"not applicable"),exact(Metadata!N173,"not collected"),exact(Metadata!N173,"not provided"))),AND(IF(Metadata!N173="",FALSE,IF(ISERROR(INT(Metadata!N173)),FALSE,INT(Metadata!N173)=Metadata!N173)),Metadata!N173&gt;0))</f>
        <v>0</v>
      </c>
      <c r="AP173">
        <f>OR(AND(IF(Metadata!O173="",FALSE,TRUE),OR(exact(Metadata!O173,"not collected"),exact(Metadata!O173,"not provided"))),AND(IF(Metadata!O173="",FALSE,ISNUMBER(VALUE(Metadata!O173))),Metadata!O173&gt;0))</f>
        <v>0</v>
      </c>
      <c r="AQ173">
        <f>AND(IF(Metadata!P173="",FALSE,TRUE),exact(Metadata!P173,"kg"))</f>
        <v>0</v>
      </c>
      <c r="AR173">
        <f>OR(AND(IF(Metadata!Q173="",FALSE,TRUE),OR(exact(Metadata!Q173,"not applicable"),exact(Metadata!Q173,"not collected"),exact(Metadata!Q173,"not provided"),exact(Metadata!Q173,"restricted access"))),IF(Metadata!Q173="",FALSE,IF(ISERROR(INT(Metadata!Q173)),FALSE,INT(Metadata!Q173)=Metadata!Q173)))</f>
        <v>0</v>
      </c>
      <c r="AS173">
        <f>AND(IF(Metadata!R173="",FALSE,TRUE),exact(Metadata!R173,"Not applicable"))</f>
        <v>0</v>
      </c>
    </row>
    <row r="174" spans="1:45">
      <c r="A174" s="4">
        <f>IF(B174=" "," ",HYPERLINK(CONCATENATE("#metadata!",ADDRESS(INDEX($X$2:$X$1001,MATCH(ROWS($V$2:V174),$V$2:$V$1001,0),0),2)),INDEX($AA$2:$AA$1001,MATCH(ROWS($V$2:V174),$V$2:$V$1001,0),0)))</f>
        <v>0</v>
      </c>
      <c r="B174" s="5">
        <f>IF(OR(INDEX($W$2:$W$1001,MATCH(ROWS($V$2:V174),$V$2:$V$1001,0),1)&gt;=100000,INDEX($AC$1005:$AS$1005,1,MATCH(COLUMNS($AC$1006:AC1006),$AC$1006:$AS$1006,0))&gt;=100000), " ",IF(INDEX($AC$2:$AS$1001,MATCH(ROWS($V$2:V174),$V$2:$V$1001,0),MATCH(COLUMNS($AC$1006:AC1006),$AC$1006:$AS$1006,0)), HYPERLINK("#",""), HYPERLINK(CONCATENATE("#Metadata!", ADDRESS(INDEX($X$2:$X$1001,MATCH(ROWS($V$2:V174),$V$2:$V$1001,0),0), INDEX($AC$1004:$AS$1004,1,MATCH(COLUMNS($AC$1006:AC1006),$AC$1006:$AS$1006,0)))),"Fix")))</f>
        <v>0</v>
      </c>
      <c r="C174" s="5">
        <f>IF(OR(INDEX($W$2:$W$1001,MATCH(ROWS($V$2:V174),$V$2:$V$1001,0),1)&gt;=100000,INDEX($AC$1005:$AS$1005,1,MATCH(COLUMNS($AC$1006:AD1006),$AC$1006:$AS$1006,0))&gt;=100000), " ",IF(INDEX($AC$2:$AS$1001,MATCH(ROWS($V$2:V174),$V$2:$V$1001,0),MATCH(COLUMNS($AC$1006:AD1006),$AC$1006:$AS$1006,0)), HYPERLINK("#",""), HYPERLINK(CONCATENATE("#Metadata!", ADDRESS(INDEX($X$2:$X$1001,MATCH(ROWS($V$2:V174),$V$2:$V$1001,0),0), INDEX($AC$1004:$AS$1004,1,MATCH(COLUMNS($AC$1006:AD1006),$AC$1006:$AS$1006,0)))),"Fix")))</f>
        <v>0</v>
      </c>
      <c r="D174" s="5">
        <f>IF(OR(INDEX($W$2:$W$1001,MATCH(ROWS($V$2:V174),$V$2:$V$1001,0),1)&gt;=100000,INDEX($AC$1005:$AS$1005,1,MATCH(COLUMNS($AC$1006:AE1006),$AC$1006:$AS$1006,0))&gt;=100000), " ",IF(INDEX($AC$2:$AS$1001,MATCH(ROWS($V$2:V174),$V$2:$V$1001,0),MATCH(COLUMNS($AC$1006:AE1006),$AC$1006:$AS$1006,0)), HYPERLINK("#",""), HYPERLINK(CONCATENATE("#Metadata!", ADDRESS(INDEX($X$2:$X$1001,MATCH(ROWS($V$2:V174),$V$2:$V$1001,0),0), INDEX($AC$1004:$AS$1004,1,MATCH(COLUMNS($AC$1006:AE1006),$AC$1006:$AS$1006,0)))),"Fix")))</f>
        <v>0</v>
      </c>
      <c r="E174" s="5">
        <f>IF(OR(INDEX($W$2:$W$1001,MATCH(ROWS($V$2:V174),$V$2:$V$1001,0),1)&gt;=100000,INDEX($AC$1005:$AS$1005,1,MATCH(COLUMNS($AC$1006:AF1006),$AC$1006:$AS$1006,0))&gt;=100000), " ",IF(INDEX($AC$2:$AS$1001,MATCH(ROWS($V$2:V174),$V$2:$V$1001,0),MATCH(COLUMNS($AC$1006:AF1006),$AC$1006:$AS$1006,0)), HYPERLINK("#",""), HYPERLINK(CONCATENATE("#Metadata!", ADDRESS(INDEX($X$2:$X$1001,MATCH(ROWS($V$2:V174),$V$2:$V$1001,0),0), INDEX($AC$1004:$AS$1004,1,MATCH(COLUMNS($AC$1006:AF1006),$AC$1006:$AS$1006,0)))),"Fix")))</f>
        <v>0</v>
      </c>
      <c r="F174" s="5">
        <f>IF(OR(INDEX($W$2:$W$1001,MATCH(ROWS($V$2:V174),$V$2:$V$1001,0),1)&gt;=100000,INDEX($AC$1005:$AS$1005,1,MATCH(COLUMNS($AC$1006:AG1006),$AC$1006:$AS$1006,0))&gt;=100000), " ",IF(INDEX($AC$2:$AS$1001,MATCH(ROWS($V$2:V174),$V$2:$V$1001,0),MATCH(COLUMNS($AC$1006:AG1006),$AC$1006:$AS$1006,0)), HYPERLINK("#",""), HYPERLINK(CONCATENATE("#Metadata!", ADDRESS(INDEX($X$2:$X$1001,MATCH(ROWS($V$2:V174),$V$2:$V$1001,0),0), INDEX($AC$1004:$AS$1004,1,MATCH(COLUMNS($AC$1006:AG1006),$AC$1006:$AS$1006,0)))),"Fix")))</f>
        <v>0</v>
      </c>
      <c r="G174" s="5">
        <f>IF(OR(INDEX($W$2:$W$1001,MATCH(ROWS($V$2:V174),$V$2:$V$1001,0),1)&gt;=100000,INDEX($AC$1005:$AS$1005,1,MATCH(COLUMNS($AC$1006:AH1006),$AC$1006:$AS$1006,0))&gt;=100000), " ",IF(INDEX($AC$2:$AS$1001,MATCH(ROWS($V$2:V174),$V$2:$V$1001,0),MATCH(COLUMNS($AC$1006:AH1006),$AC$1006:$AS$1006,0)), HYPERLINK("#",""), HYPERLINK(CONCATENATE("#Metadata!", ADDRESS(INDEX($X$2:$X$1001,MATCH(ROWS($V$2:V174),$V$2:$V$1001,0),0), INDEX($AC$1004:$AS$1004,1,MATCH(COLUMNS($AC$1006:AH1006),$AC$1006:$AS$1006,0)))),"Fix")))</f>
        <v>0</v>
      </c>
      <c r="H174" s="5">
        <f>IF(OR(INDEX($W$2:$W$1001,MATCH(ROWS($V$2:V174),$V$2:$V$1001,0),1)&gt;=100000,INDEX($AC$1005:$AS$1005,1,MATCH(COLUMNS($AC$1006:AI1006),$AC$1006:$AS$1006,0))&gt;=100000), " ",IF(INDEX($AC$2:$AS$1001,MATCH(ROWS($V$2:V174),$V$2:$V$1001,0),MATCH(COLUMNS($AC$1006:AI1006),$AC$1006:$AS$1006,0)), HYPERLINK("#",""), HYPERLINK(CONCATENATE("#Metadata!", ADDRESS(INDEX($X$2:$X$1001,MATCH(ROWS($V$2:V174),$V$2:$V$1001,0),0), INDEX($AC$1004:$AS$1004,1,MATCH(COLUMNS($AC$1006:AI1006),$AC$1006:$AS$1006,0)))),"Fix")))</f>
        <v>0</v>
      </c>
      <c r="I174" s="5">
        <f>IF(OR(INDEX($W$2:$W$1001,MATCH(ROWS($V$2:V174),$V$2:$V$1001,0),1)&gt;=100000,INDEX($AC$1005:$AS$1005,1,MATCH(COLUMNS($AC$1006:AJ1006),$AC$1006:$AS$1006,0))&gt;=100000), " ",IF(INDEX($AC$2:$AS$1001,MATCH(ROWS($V$2:V174),$V$2:$V$1001,0),MATCH(COLUMNS($AC$1006:AJ1006),$AC$1006:$AS$1006,0)), HYPERLINK("#",""), HYPERLINK(CONCATENATE("#Metadata!", ADDRESS(INDEX($X$2:$X$1001,MATCH(ROWS($V$2:V174),$V$2:$V$1001,0),0), INDEX($AC$1004:$AS$1004,1,MATCH(COLUMNS($AC$1006:AJ1006),$AC$1006:$AS$1006,0)))),"Fix")))</f>
        <v>0</v>
      </c>
      <c r="J174" s="5">
        <f>IF(OR(INDEX($W$2:$W$1001,MATCH(ROWS($V$2:V174),$V$2:$V$1001,0),1)&gt;=100000,INDEX($AC$1005:$AS$1005,1,MATCH(COLUMNS($AC$1006:AK1006),$AC$1006:$AS$1006,0))&gt;=100000), " ",IF(INDEX($AC$2:$AS$1001,MATCH(ROWS($V$2:V174),$V$2:$V$1001,0),MATCH(COLUMNS($AC$1006:AK1006),$AC$1006:$AS$1006,0)), HYPERLINK("#",""), HYPERLINK(CONCATENATE("#Metadata!", ADDRESS(INDEX($X$2:$X$1001,MATCH(ROWS($V$2:V174),$V$2:$V$1001,0),0), INDEX($AC$1004:$AS$1004,1,MATCH(COLUMNS($AC$1006:AK1006),$AC$1006:$AS$1006,0)))),"Fix")))</f>
        <v>0</v>
      </c>
      <c r="K174" s="5">
        <f>IF(OR(INDEX($W$2:$W$1001,MATCH(ROWS($V$2:V174),$V$2:$V$1001,0),1)&gt;=100000,INDEX($AC$1005:$AS$1005,1,MATCH(COLUMNS($AC$1006:AL1006),$AC$1006:$AS$1006,0))&gt;=100000), " ",IF(INDEX($AC$2:$AS$1001,MATCH(ROWS($V$2:V174),$V$2:$V$1001,0),MATCH(COLUMNS($AC$1006:AL1006),$AC$1006:$AS$1006,0)), HYPERLINK("#",""), HYPERLINK(CONCATENATE("#Metadata!", ADDRESS(INDEX($X$2:$X$1001,MATCH(ROWS($V$2:V174),$V$2:$V$1001,0),0), INDEX($AC$1004:$AS$1004,1,MATCH(COLUMNS($AC$1006:AL1006),$AC$1006:$AS$1006,0)))),"Fix")))</f>
        <v>0</v>
      </c>
      <c r="L174" s="5">
        <f>IF(OR(INDEX($W$2:$W$1001,MATCH(ROWS($V$2:V174),$V$2:$V$1001,0),1)&gt;=100000,INDEX($AC$1005:$AS$1005,1,MATCH(COLUMNS($AC$1006:AM1006),$AC$1006:$AS$1006,0))&gt;=100000), " ",IF(INDEX($AC$2:$AS$1001,MATCH(ROWS($V$2:V174),$V$2:$V$1001,0),MATCH(COLUMNS($AC$1006:AM1006),$AC$1006:$AS$1006,0)), HYPERLINK("#",""), HYPERLINK(CONCATENATE("#Metadata!", ADDRESS(INDEX($X$2:$X$1001,MATCH(ROWS($V$2:V174),$V$2:$V$1001,0),0), INDEX($AC$1004:$AS$1004,1,MATCH(COLUMNS($AC$1006:AM1006),$AC$1006:$AS$1006,0)))),"Fix")))</f>
        <v>0</v>
      </c>
      <c r="M174" s="5">
        <f>IF(OR(INDEX($W$2:$W$1001,MATCH(ROWS($V$2:V174),$V$2:$V$1001,0),1)&gt;=100000,INDEX($AC$1005:$AS$1005,1,MATCH(COLUMNS($AC$1006:AN1006),$AC$1006:$AS$1006,0))&gt;=100000), " ",IF(INDEX($AC$2:$AS$1001,MATCH(ROWS($V$2:V174),$V$2:$V$1001,0),MATCH(COLUMNS($AC$1006:AN1006),$AC$1006:$AS$1006,0)), HYPERLINK("#",""), HYPERLINK(CONCATENATE("#Metadata!", ADDRESS(INDEX($X$2:$X$1001,MATCH(ROWS($V$2:V174),$V$2:$V$1001,0),0), INDEX($AC$1004:$AS$1004,1,MATCH(COLUMNS($AC$1006:AN1006),$AC$1006:$AS$1006,0)))),"Fix")))</f>
        <v>0</v>
      </c>
      <c r="N174" s="5">
        <f>IF(OR(INDEX($W$2:$W$1001,MATCH(ROWS($V$2:V174),$V$2:$V$1001,0),1)&gt;=100000,INDEX($AC$1005:$AS$1005,1,MATCH(COLUMNS($AC$1006:AO1006),$AC$1006:$AS$1006,0))&gt;=100000), " ",IF(INDEX($AC$2:$AS$1001,MATCH(ROWS($V$2:V174),$V$2:$V$1001,0),MATCH(COLUMNS($AC$1006:AO1006),$AC$1006:$AS$1006,0)), HYPERLINK("#",""), HYPERLINK(CONCATENATE("#Metadata!", ADDRESS(INDEX($X$2:$X$1001,MATCH(ROWS($V$2:V174),$V$2:$V$1001,0),0), INDEX($AC$1004:$AS$1004,1,MATCH(COLUMNS($AC$1006:AO1006),$AC$1006:$AS$1006,0)))),"Fix")))</f>
        <v>0</v>
      </c>
      <c r="O174" s="5">
        <f>IF(OR(INDEX($W$2:$W$1001,MATCH(ROWS($V$2:V174),$V$2:$V$1001,0),1)&gt;=100000,INDEX($AC$1005:$AS$1005,1,MATCH(COLUMNS($AC$1006:AP1006),$AC$1006:$AS$1006,0))&gt;=100000), " ",IF(INDEX($AC$2:$AS$1001,MATCH(ROWS($V$2:V174),$V$2:$V$1001,0),MATCH(COLUMNS($AC$1006:AP1006),$AC$1006:$AS$1006,0)), HYPERLINK("#",""), HYPERLINK(CONCATENATE("#Metadata!", ADDRESS(INDEX($X$2:$X$1001,MATCH(ROWS($V$2:V174),$V$2:$V$1001,0),0), INDEX($AC$1004:$AS$1004,1,MATCH(COLUMNS($AC$1006:AP1006),$AC$1006:$AS$1006,0)))),"Fix")))</f>
        <v>0</v>
      </c>
      <c r="P174" s="5">
        <f>IF(OR(INDEX($W$2:$W$1001,MATCH(ROWS($V$2:V174),$V$2:$V$1001,0),1)&gt;=100000,INDEX($AC$1005:$AS$1005,1,MATCH(COLUMNS($AC$1006:AQ1006),$AC$1006:$AS$1006,0))&gt;=100000), " ",IF(INDEX($AC$2:$AS$1001,MATCH(ROWS($V$2:V174),$V$2:$V$1001,0),MATCH(COLUMNS($AC$1006:AQ1006),$AC$1006:$AS$1006,0)), HYPERLINK("#",""), HYPERLINK(CONCATENATE("#Metadata!", ADDRESS(INDEX($X$2:$X$1001,MATCH(ROWS($V$2:V174),$V$2:$V$1001,0),0), INDEX($AC$1004:$AS$1004,1,MATCH(COLUMNS($AC$1006:AQ1006),$AC$1006:$AS$1006,0)))),"Fix")))</f>
        <v>0</v>
      </c>
      <c r="Q174" s="5">
        <f>IF(OR(INDEX($W$2:$W$1001,MATCH(ROWS($V$2:V174),$V$2:$V$1001,0),1)&gt;=100000,INDEX($AC$1005:$AS$1005,1,MATCH(COLUMNS($AC$1006:AR1006),$AC$1006:$AS$1006,0))&gt;=100000), " ",IF(INDEX($AC$2:$AS$1001,MATCH(ROWS($V$2:V174),$V$2:$V$1001,0),MATCH(COLUMNS($AC$1006:AR1006),$AC$1006:$AS$1006,0)), HYPERLINK("#",""), HYPERLINK(CONCATENATE("#Metadata!", ADDRESS(INDEX($X$2:$X$1001,MATCH(ROWS($V$2:V174),$V$2:$V$1001,0),0), INDEX($AC$1004:$AS$1004,1,MATCH(COLUMNS($AC$1006:AR1006),$AC$1006:$AS$1006,0)))),"Fix")))</f>
        <v>0</v>
      </c>
      <c r="R174" s="5">
        <f>IF(OR(INDEX($W$2:$W$1001,MATCH(ROWS($V$2:V174),$V$2:$V$1001,0),1)&gt;=100000,INDEX($AC$1005:$AS$1005,1,MATCH(COLUMNS($AC$1006:AS1006),$AC$1006:$AS$1006,0))&gt;=100000), " ",IF(INDEX($AC$2:$AS$1001,MATCH(ROWS($V$2:V174),$V$2:$V$1001,0),MATCH(COLUMNS($AC$1006:AS1006),$AC$1006:$AS$1006,0)), HYPERLINK("#",""), HYPERLINK(CONCATENATE("#Metadata!", ADDRESS(INDEX($X$2:$X$1001,MATCH(ROWS($V$2:V174),$V$2:$V$1001,0),0), INDEX($AC$1004:$AS$1004,1,MATCH(COLUMNS($AC$1006:AS1006),$AC$1006:$AS$1006,0)))),"Fix")))</f>
        <v>0</v>
      </c>
      <c r="V174">
        <v>0</v>
      </c>
      <c r="W174">
        <v>0</v>
      </c>
      <c r="X174">
        <v>0</v>
      </c>
      <c r="Y174">
        <f>IF(Z174,TRUE,AND(AC174:AS174))</f>
        <v>0</v>
      </c>
      <c r="Z174">
        <f>COUNTBLANK(Metadata!B174:R174)=COLUMNS(Metadata!B174:R174)</f>
        <v>0</v>
      </c>
      <c r="AA174">
        <v>0</v>
      </c>
      <c r="AC174">
        <f>AND(IF(Metadata!B174="",FALSE,TRUE),COUNTIF(Metadata!B:B, Metadata!B174) = 1,NOT(ISERROR(SUMPRODUCT(SEARCH(MID(Metadata!B174,ROW(INDIRECT("1:"&amp;LEN(Metadata!B174))), 1),"0123456789abcdefghijklmnopqrstuvwxyzABCDEFGHIJKLMNOPQRSTUVWXYZ.")))))</f>
        <v>0</v>
      </c>
      <c r="AD174">
        <f>AND(IF(Metadata!C174="",FALSE,TRUE),exact(Metadata!C174,"Host-associated"))</f>
        <v>0</v>
      </c>
      <c r="AE174">
        <f>AND(IF(Metadata!D174="",FALSE,TRUE),OR(exact(Metadata!D174,"Animal"),exact(Metadata!D174,"Fungus"),exact(Metadata!D174,"Plant")))</f>
        <v>0</v>
      </c>
      <c r="AF174">
        <f>AND(IF(Metadata!E174="",FALSE,TRUE),OR(exact(Metadata!E174,"Plant secretion"),exact(Metadata!E174,"Plant rhizosphere"),exact(Metadata!E174,"Plant surface"),exact(Metadata!E174,"Plant corpus"),exact(Metadata!E174,"Fungus surface"),exact(Metadata!E174,"Fungus corpus"),exact(Metadata!E174,"Animal surface"),exact(Metadata!E174,"Animal proximal gut"),exact(Metadata!E174,"Animal corpus"),exact(Metadata!E174,"Animal distal gut"),exact(Metadata!E174,"Animal secretion")))</f>
        <v>0</v>
      </c>
      <c r="AG174">
        <f>OR(AND(IF(Metadata!F174="",FALSE,TRUE),OR(exact(Metadata!F174,"not collected"),exact(Metadata!F174,"not provided"),exact(Metadata!F174,"restricted access"))),AND(IF(Metadata!F174="",FALSE,TRUE),OR(exact(Metadata!F174,"organism-associated habitat"),exact(Metadata!F174,"plant-associated habitat"),exact(Metadata!F174,"animal-associated habitat"),exact(Metadata!F174,"insecta-associated habitat"),exact(Metadata!F174,"mammalia-associated habitat"),exact(Metadata!F174,"human-associated habitat"),exact(Metadata!F174,"livestock-associated habitat"))))</f>
        <v>0</v>
      </c>
      <c r="AH174">
        <f>AND(IF(Metadata!G174="",FALSE,TRUE),exact(Metadata!G174,"host-associated"))</f>
        <v>0</v>
      </c>
      <c r="AI174">
        <f>OR(AND(IF(Metadata!H174="",FALSE,TRUE),OR(exact(Metadata!H174,"not collected"),exact(Metadata!H174,"not provided"))),AND(IF(Metadata!H174="",FALSE,ISNUMBER(VALUE(Metadata!H174))),Metadata!H174&gt;0))</f>
        <v>0</v>
      </c>
      <c r="AJ174">
        <f>AND(IF(Metadata!I174="",FALSE,TRUE),exact(Metadata!I174,"years"))</f>
        <v>0</v>
      </c>
      <c r="AK174">
        <f>IF(Metadata!J174="",FALSE,TRUE)</f>
        <v>0</v>
      </c>
      <c r="AL174">
        <f>OR(AND(IF(Metadata!K174="",FALSE,TRUE),OR(exact(Metadata!K174,"not collected"),exact(Metadata!K174,"not provided"))),AND(IF(Metadata!K174="",FALSE,ISNUMBER(VALUE(Metadata!K174))),Metadata!K174&gt;0))</f>
        <v>0</v>
      </c>
      <c r="AM174">
        <f>AND(IF(Metadata!L174="",FALSE,TRUE),exact(Metadata!L174,"cm"))</f>
        <v>0</v>
      </c>
      <c r="AN174">
        <f>IF(Metadata!M174="",FALSE,TRUE)</f>
        <v>0</v>
      </c>
      <c r="AO174">
        <f>OR(AND(IF(Metadata!N174="",FALSE,TRUE),OR(exact(Metadata!N174,"not applicable"),exact(Metadata!N174,"not collected"),exact(Metadata!N174,"not provided"))),AND(IF(Metadata!N174="",FALSE,IF(ISERROR(INT(Metadata!N174)),FALSE,INT(Metadata!N174)=Metadata!N174)),Metadata!N174&gt;0))</f>
        <v>0</v>
      </c>
      <c r="AP174">
        <f>OR(AND(IF(Metadata!O174="",FALSE,TRUE),OR(exact(Metadata!O174,"not collected"),exact(Metadata!O174,"not provided"))),AND(IF(Metadata!O174="",FALSE,ISNUMBER(VALUE(Metadata!O174))),Metadata!O174&gt;0))</f>
        <v>0</v>
      </c>
      <c r="AQ174">
        <f>AND(IF(Metadata!P174="",FALSE,TRUE),exact(Metadata!P174,"kg"))</f>
        <v>0</v>
      </c>
      <c r="AR174">
        <f>OR(AND(IF(Metadata!Q174="",FALSE,TRUE),OR(exact(Metadata!Q174,"not applicable"),exact(Metadata!Q174,"not collected"),exact(Metadata!Q174,"not provided"),exact(Metadata!Q174,"restricted access"))),IF(Metadata!Q174="",FALSE,IF(ISERROR(INT(Metadata!Q174)),FALSE,INT(Metadata!Q174)=Metadata!Q174)))</f>
        <v>0</v>
      </c>
      <c r="AS174">
        <f>AND(IF(Metadata!R174="",FALSE,TRUE),exact(Metadata!R174,"Not applicable"))</f>
        <v>0</v>
      </c>
    </row>
    <row r="175" spans="1:45">
      <c r="A175" s="4">
        <f>IF(B175=" "," ",HYPERLINK(CONCATENATE("#metadata!",ADDRESS(INDEX($X$2:$X$1001,MATCH(ROWS($V$2:V175),$V$2:$V$1001,0),0),2)),INDEX($AA$2:$AA$1001,MATCH(ROWS($V$2:V175),$V$2:$V$1001,0),0)))</f>
        <v>0</v>
      </c>
      <c r="B175" s="5">
        <f>IF(OR(INDEX($W$2:$W$1001,MATCH(ROWS($V$2:V175),$V$2:$V$1001,0),1)&gt;=100000,INDEX($AC$1005:$AS$1005,1,MATCH(COLUMNS($AC$1006:AC1006),$AC$1006:$AS$1006,0))&gt;=100000), " ",IF(INDEX($AC$2:$AS$1001,MATCH(ROWS($V$2:V175),$V$2:$V$1001,0),MATCH(COLUMNS($AC$1006:AC1006),$AC$1006:$AS$1006,0)), HYPERLINK("#",""), HYPERLINK(CONCATENATE("#Metadata!", ADDRESS(INDEX($X$2:$X$1001,MATCH(ROWS($V$2:V175),$V$2:$V$1001,0),0), INDEX($AC$1004:$AS$1004,1,MATCH(COLUMNS($AC$1006:AC1006),$AC$1006:$AS$1006,0)))),"Fix")))</f>
        <v>0</v>
      </c>
      <c r="C175" s="5">
        <f>IF(OR(INDEX($W$2:$W$1001,MATCH(ROWS($V$2:V175),$V$2:$V$1001,0),1)&gt;=100000,INDEX($AC$1005:$AS$1005,1,MATCH(COLUMNS($AC$1006:AD1006),$AC$1006:$AS$1006,0))&gt;=100000), " ",IF(INDEX($AC$2:$AS$1001,MATCH(ROWS($V$2:V175),$V$2:$V$1001,0),MATCH(COLUMNS($AC$1006:AD1006),$AC$1006:$AS$1006,0)), HYPERLINK("#",""), HYPERLINK(CONCATENATE("#Metadata!", ADDRESS(INDEX($X$2:$X$1001,MATCH(ROWS($V$2:V175),$V$2:$V$1001,0),0), INDEX($AC$1004:$AS$1004,1,MATCH(COLUMNS($AC$1006:AD1006),$AC$1006:$AS$1006,0)))),"Fix")))</f>
        <v>0</v>
      </c>
      <c r="D175" s="5">
        <f>IF(OR(INDEX($W$2:$W$1001,MATCH(ROWS($V$2:V175),$V$2:$V$1001,0),1)&gt;=100000,INDEX($AC$1005:$AS$1005,1,MATCH(COLUMNS($AC$1006:AE1006),$AC$1006:$AS$1006,0))&gt;=100000), " ",IF(INDEX($AC$2:$AS$1001,MATCH(ROWS($V$2:V175),$V$2:$V$1001,0),MATCH(COLUMNS($AC$1006:AE1006),$AC$1006:$AS$1006,0)), HYPERLINK("#",""), HYPERLINK(CONCATENATE("#Metadata!", ADDRESS(INDEX($X$2:$X$1001,MATCH(ROWS($V$2:V175),$V$2:$V$1001,0),0), INDEX($AC$1004:$AS$1004,1,MATCH(COLUMNS($AC$1006:AE1006),$AC$1006:$AS$1006,0)))),"Fix")))</f>
        <v>0</v>
      </c>
      <c r="E175" s="5">
        <f>IF(OR(INDEX($W$2:$W$1001,MATCH(ROWS($V$2:V175),$V$2:$V$1001,0),1)&gt;=100000,INDEX($AC$1005:$AS$1005,1,MATCH(COLUMNS($AC$1006:AF1006),$AC$1006:$AS$1006,0))&gt;=100000), " ",IF(INDEX($AC$2:$AS$1001,MATCH(ROWS($V$2:V175),$V$2:$V$1001,0),MATCH(COLUMNS($AC$1006:AF1006),$AC$1006:$AS$1006,0)), HYPERLINK("#",""), HYPERLINK(CONCATENATE("#Metadata!", ADDRESS(INDEX($X$2:$X$1001,MATCH(ROWS($V$2:V175),$V$2:$V$1001,0),0), INDEX($AC$1004:$AS$1004,1,MATCH(COLUMNS($AC$1006:AF1006),$AC$1006:$AS$1006,0)))),"Fix")))</f>
        <v>0</v>
      </c>
      <c r="F175" s="5">
        <f>IF(OR(INDEX($W$2:$W$1001,MATCH(ROWS($V$2:V175),$V$2:$V$1001,0),1)&gt;=100000,INDEX($AC$1005:$AS$1005,1,MATCH(COLUMNS($AC$1006:AG1006),$AC$1006:$AS$1006,0))&gt;=100000), " ",IF(INDEX($AC$2:$AS$1001,MATCH(ROWS($V$2:V175),$V$2:$V$1001,0),MATCH(COLUMNS($AC$1006:AG1006),$AC$1006:$AS$1006,0)), HYPERLINK("#",""), HYPERLINK(CONCATENATE("#Metadata!", ADDRESS(INDEX($X$2:$X$1001,MATCH(ROWS($V$2:V175),$V$2:$V$1001,0),0), INDEX($AC$1004:$AS$1004,1,MATCH(COLUMNS($AC$1006:AG1006),$AC$1006:$AS$1006,0)))),"Fix")))</f>
        <v>0</v>
      </c>
      <c r="G175" s="5">
        <f>IF(OR(INDEX($W$2:$W$1001,MATCH(ROWS($V$2:V175),$V$2:$V$1001,0),1)&gt;=100000,INDEX($AC$1005:$AS$1005,1,MATCH(COLUMNS($AC$1006:AH1006),$AC$1006:$AS$1006,0))&gt;=100000), " ",IF(INDEX($AC$2:$AS$1001,MATCH(ROWS($V$2:V175),$V$2:$V$1001,0),MATCH(COLUMNS($AC$1006:AH1006),$AC$1006:$AS$1006,0)), HYPERLINK("#",""), HYPERLINK(CONCATENATE("#Metadata!", ADDRESS(INDEX($X$2:$X$1001,MATCH(ROWS($V$2:V175),$V$2:$V$1001,0),0), INDEX($AC$1004:$AS$1004,1,MATCH(COLUMNS($AC$1006:AH1006),$AC$1006:$AS$1006,0)))),"Fix")))</f>
        <v>0</v>
      </c>
      <c r="H175" s="5">
        <f>IF(OR(INDEX($W$2:$W$1001,MATCH(ROWS($V$2:V175),$V$2:$V$1001,0),1)&gt;=100000,INDEX($AC$1005:$AS$1005,1,MATCH(COLUMNS($AC$1006:AI1006),$AC$1006:$AS$1006,0))&gt;=100000), " ",IF(INDEX($AC$2:$AS$1001,MATCH(ROWS($V$2:V175),$V$2:$V$1001,0),MATCH(COLUMNS($AC$1006:AI1006),$AC$1006:$AS$1006,0)), HYPERLINK("#",""), HYPERLINK(CONCATENATE("#Metadata!", ADDRESS(INDEX($X$2:$X$1001,MATCH(ROWS($V$2:V175),$V$2:$V$1001,0),0), INDEX($AC$1004:$AS$1004,1,MATCH(COLUMNS($AC$1006:AI1006),$AC$1006:$AS$1006,0)))),"Fix")))</f>
        <v>0</v>
      </c>
      <c r="I175" s="5">
        <f>IF(OR(INDEX($W$2:$W$1001,MATCH(ROWS($V$2:V175),$V$2:$V$1001,0),1)&gt;=100000,INDEX($AC$1005:$AS$1005,1,MATCH(COLUMNS($AC$1006:AJ1006),$AC$1006:$AS$1006,0))&gt;=100000), " ",IF(INDEX($AC$2:$AS$1001,MATCH(ROWS($V$2:V175),$V$2:$V$1001,0),MATCH(COLUMNS($AC$1006:AJ1006),$AC$1006:$AS$1006,0)), HYPERLINK("#",""), HYPERLINK(CONCATENATE("#Metadata!", ADDRESS(INDEX($X$2:$X$1001,MATCH(ROWS($V$2:V175),$V$2:$V$1001,0),0), INDEX($AC$1004:$AS$1004,1,MATCH(COLUMNS($AC$1006:AJ1006),$AC$1006:$AS$1006,0)))),"Fix")))</f>
        <v>0</v>
      </c>
      <c r="J175" s="5">
        <f>IF(OR(INDEX($W$2:$W$1001,MATCH(ROWS($V$2:V175),$V$2:$V$1001,0),1)&gt;=100000,INDEX($AC$1005:$AS$1005,1,MATCH(COLUMNS($AC$1006:AK1006),$AC$1006:$AS$1006,0))&gt;=100000), " ",IF(INDEX($AC$2:$AS$1001,MATCH(ROWS($V$2:V175),$V$2:$V$1001,0),MATCH(COLUMNS($AC$1006:AK1006),$AC$1006:$AS$1006,0)), HYPERLINK("#",""), HYPERLINK(CONCATENATE("#Metadata!", ADDRESS(INDEX($X$2:$X$1001,MATCH(ROWS($V$2:V175),$V$2:$V$1001,0),0), INDEX($AC$1004:$AS$1004,1,MATCH(COLUMNS($AC$1006:AK1006),$AC$1006:$AS$1006,0)))),"Fix")))</f>
        <v>0</v>
      </c>
      <c r="K175" s="5">
        <f>IF(OR(INDEX($W$2:$W$1001,MATCH(ROWS($V$2:V175),$V$2:$V$1001,0),1)&gt;=100000,INDEX($AC$1005:$AS$1005,1,MATCH(COLUMNS($AC$1006:AL1006),$AC$1006:$AS$1006,0))&gt;=100000), " ",IF(INDEX($AC$2:$AS$1001,MATCH(ROWS($V$2:V175),$V$2:$V$1001,0),MATCH(COLUMNS($AC$1006:AL1006),$AC$1006:$AS$1006,0)), HYPERLINK("#",""), HYPERLINK(CONCATENATE("#Metadata!", ADDRESS(INDEX($X$2:$X$1001,MATCH(ROWS($V$2:V175),$V$2:$V$1001,0),0), INDEX($AC$1004:$AS$1004,1,MATCH(COLUMNS($AC$1006:AL1006),$AC$1006:$AS$1006,0)))),"Fix")))</f>
        <v>0</v>
      </c>
      <c r="L175" s="5">
        <f>IF(OR(INDEX($W$2:$W$1001,MATCH(ROWS($V$2:V175),$V$2:$V$1001,0),1)&gt;=100000,INDEX($AC$1005:$AS$1005,1,MATCH(COLUMNS($AC$1006:AM1006),$AC$1006:$AS$1006,0))&gt;=100000), " ",IF(INDEX($AC$2:$AS$1001,MATCH(ROWS($V$2:V175),$V$2:$V$1001,0),MATCH(COLUMNS($AC$1006:AM1006),$AC$1006:$AS$1006,0)), HYPERLINK("#",""), HYPERLINK(CONCATENATE("#Metadata!", ADDRESS(INDEX($X$2:$X$1001,MATCH(ROWS($V$2:V175),$V$2:$V$1001,0),0), INDEX($AC$1004:$AS$1004,1,MATCH(COLUMNS($AC$1006:AM1006),$AC$1006:$AS$1006,0)))),"Fix")))</f>
        <v>0</v>
      </c>
      <c r="M175" s="5">
        <f>IF(OR(INDEX($W$2:$W$1001,MATCH(ROWS($V$2:V175),$V$2:$V$1001,0),1)&gt;=100000,INDEX($AC$1005:$AS$1005,1,MATCH(COLUMNS($AC$1006:AN1006),$AC$1006:$AS$1006,0))&gt;=100000), " ",IF(INDEX($AC$2:$AS$1001,MATCH(ROWS($V$2:V175),$V$2:$V$1001,0),MATCH(COLUMNS($AC$1006:AN1006),$AC$1006:$AS$1006,0)), HYPERLINK("#",""), HYPERLINK(CONCATENATE("#Metadata!", ADDRESS(INDEX($X$2:$X$1001,MATCH(ROWS($V$2:V175),$V$2:$V$1001,0),0), INDEX($AC$1004:$AS$1004,1,MATCH(COLUMNS($AC$1006:AN1006),$AC$1006:$AS$1006,0)))),"Fix")))</f>
        <v>0</v>
      </c>
      <c r="N175" s="5">
        <f>IF(OR(INDEX($W$2:$W$1001,MATCH(ROWS($V$2:V175),$V$2:$V$1001,0),1)&gt;=100000,INDEX($AC$1005:$AS$1005,1,MATCH(COLUMNS($AC$1006:AO1006),$AC$1006:$AS$1006,0))&gt;=100000), " ",IF(INDEX($AC$2:$AS$1001,MATCH(ROWS($V$2:V175),$V$2:$V$1001,0),MATCH(COLUMNS($AC$1006:AO1006),$AC$1006:$AS$1006,0)), HYPERLINK("#",""), HYPERLINK(CONCATENATE("#Metadata!", ADDRESS(INDEX($X$2:$X$1001,MATCH(ROWS($V$2:V175),$V$2:$V$1001,0),0), INDEX($AC$1004:$AS$1004,1,MATCH(COLUMNS($AC$1006:AO1006),$AC$1006:$AS$1006,0)))),"Fix")))</f>
        <v>0</v>
      </c>
      <c r="O175" s="5">
        <f>IF(OR(INDEX($W$2:$W$1001,MATCH(ROWS($V$2:V175),$V$2:$V$1001,0),1)&gt;=100000,INDEX($AC$1005:$AS$1005,1,MATCH(COLUMNS($AC$1006:AP1006),$AC$1006:$AS$1006,0))&gt;=100000), " ",IF(INDEX($AC$2:$AS$1001,MATCH(ROWS($V$2:V175),$V$2:$V$1001,0),MATCH(COLUMNS($AC$1006:AP1006),$AC$1006:$AS$1006,0)), HYPERLINK("#",""), HYPERLINK(CONCATENATE("#Metadata!", ADDRESS(INDEX($X$2:$X$1001,MATCH(ROWS($V$2:V175),$V$2:$V$1001,0),0), INDEX($AC$1004:$AS$1004,1,MATCH(COLUMNS($AC$1006:AP1006),$AC$1006:$AS$1006,0)))),"Fix")))</f>
        <v>0</v>
      </c>
      <c r="P175" s="5">
        <f>IF(OR(INDEX($W$2:$W$1001,MATCH(ROWS($V$2:V175),$V$2:$V$1001,0),1)&gt;=100000,INDEX($AC$1005:$AS$1005,1,MATCH(COLUMNS($AC$1006:AQ1006),$AC$1006:$AS$1006,0))&gt;=100000), " ",IF(INDEX($AC$2:$AS$1001,MATCH(ROWS($V$2:V175),$V$2:$V$1001,0),MATCH(COLUMNS($AC$1006:AQ1006),$AC$1006:$AS$1006,0)), HYPERLINK("#",""), HYPERLINK(CONCATENATE("#Metadata!", ADDRESS(INDEX($X$2:$X$1001,MATCH(ROWS($V$2:V175),$V$2:$V$1001,0),0), INDEX($AC$1004:$AS$1004,1,MATCH(COLUMNS($AC$1006:AQ1006),$AC$1006:$AS$1006,0)))),"Fix")))</f>
        <v>0</v>
      </c>
      <c r="Q175" s="5">
        <f>IF(OR(INDEX($W$2:$W$1001,MATCH(ROWS($V$2:V175),$V$2:$V$1001,0),1)&gt;=100000,INDEX($AC$1005:$AS$1005,1,MATCH(COLUMNS($AC$1006:AR1006),$AC$1006:$AS$1006,0))&gt;=100000), " ",IF(INDEX($AC$2:$AS$1001,MATCH(ROWS($V$2:V175),$V$2:$V$1001,0),MATCH(COLUMNS($AC$1006:AR1006),$AC$1006:$AS$1006,0)), HYPERLINK("#",""), HYPERLINK(CONCATENATE("#Metadata!", ADDRESS(INDEX($X$2:$X$1001,MATCH(ROWS($V$2:V175),$V$2:$V$1001,0),0), INDEX($AC$1004:$AS$1004,1,MATCH(COLUMNS($AC$1006:AR1006),$AC$1006:$AS$1006,0)))),"Fix")))</f>
        <v>0</v>
      </c>
      <c r="R175" s="5">
        <f>IF(OR(INDEX($W$2:$W$1001,MATCH(ROWS($V$2:V175),$V$2:$V$1001,0),1)&gt;=100000,INDEX($AC$1005:$AS$1005,1,MATCH(COLUMNS($AC$1006:AS1006),$AC$1006:$AS$1006,0))&gt;=100000), " ",IF(INDEX($AC$2:$AS$1001,MATCH(ROWS($V$2:V175),$V$2:$V$1001,0),MATCH(COLUMNS($AC$1006:AS1006),$AC$1006:$AS$1006,0)), HYPERLINK("#",""), HYPERLINK(CONCATENATE("#Metadata!", ADDRESS(INDEX($X$2:$X$1001,MATCH(ROWS($V$2:V175),$V$2:$V$1001,0),0), INDEX($AC$1004:$AS$1004,1,MATCH(COLUMNS($AC$1006:AS1006),$AC$1006:$AS$1006,0)))),"Fix")))</f>
        <v>0</v>
      </c>
      <c r="V175">
        <v>0</v>
      </c>
      <c r="W175">
        <v>0</v>
      </c>
      <c r="X175">
        <v>0</v>
      </c>
      <c r="Y175">
        <f>IF(Z175,TRUE,AND(AC175:AS175))</f>
        <v>0</v>
      </c>
      <c r="Z175">
        <f>COUNTBLANK(Metadata!B175:R175)=COLUMNS(Metadata!B175:R175)</f>
        <v>0</v>
      </c>
      <c r="AA175">
        <v>0</v>
      </c>
      <c r="AC175">
        <f>AND(IF(Metadata!B175="",FALSE,TRUE),COUNTIF(Metadata!B:B, Metadata!B175) = 1,NOT(ISERROR(SUMPRODUCT(SEARCH(MID(Metadata!B175,ROW(INDIRECT("1:"&amp;LEN(Metadata!B175))), 1),"0123456789abcdefghijklmnopqrstuvwxyzABCDEFGHIJKLMNOPQRSTUVWXYZ.")))))</f>
        <v>0</v>
      </c>
      <c r="AD175">
        <f>AND(IF(Metadata!C175="",FALSE,TRUE),exact(Metadata!C175,"Host-associated"))</f>
        <v>0</v>
      </c>
      <c r="AE175">
        <f>AND(IF(Metadata!D175="",FALSE,TRUE),OR(exact(Metadata!D175,"Animal"),exact(Metadata!D175,"Fungus"),exact(Metadata!D175,"Plant")))</f>
        <v>0</v>
      </c>
      <c r="AF175">
        <f>AND(IF(Metadata!E175="",FALSE,TRUE),OR(exact(Metadata!E175,"Plant secretion"),exact(Metadata!E175,"Plant rhizosphere"),exact(Metadata!E175,"Plant surface"),exact(Metadata!E175,"Plant corpus"),exact(Metadata!E175,"Fungus surface"),exact(Metadata!E175,"Fungus corpus"),exact(Metadata!E175,"Animal surface"),exact(Metadata!E175,"Animal proximal gut"),exact(Metadata!E175,"Animal corpus"),exact(Metadata!E175,"Animal distal gut"),exact(Metadata!E175,"Animal secretion")))</f>
        <v>0</v>
      </c>
      <c r="AG175">
        <f>OR(AND(IF(Metadata!F175="",FALSE,TRUE),OR(exact(Metadata!F175,"not collected"),exact(Metadata!F175,"not provided"),exact(Metadata!F175,"restricted access"))),AND(IF(Metadata!F175="",FALSE,TRUE),OR(exact(Metadata!F175,"organism-associated habitat"),exact(Metadata!F175,"plant-associated habitat"),exact(Metadata!F175,"animal-associated habitat"),exact(Metadata!F175,"insecta-associated habitat"),exact(Metadata!F175,"mammalia-associated habitat"),exact(Metadata!F175,"human-associated habitat"),exact(Metadata!F175,"livestock-associated habitat"))))</f>
        <v>0</v>
      </c>
      <c r="AH175">
        <f>AND(IF(Metadata!G175="",FALSE,TRUE),exact(Metadata!G175,"host-associated"))</f>
        <v>0</v>
      </c>
      <c r="AI175">
        <f>OR(AND(IF(Metadata!H175="",FALSE,TRUE),OR(exact(Metadata!H175,"not collected"),exact(Metadata!H175,"not provided"))),AND(IF(Metadata!H175="",FALSE,ISNUMBER(VALUE(Metadata!H175))),Metadata!H175&gt;0))</f>
        <v>0</v>
      </c>
      <c r="AJ175">
        <f>AND(IF(Metadata!I175="",FALSE,TRUE),exact(Metadata!I175,"years"))</f>
        <v>0</v>
      </c>
      <c r="AK175">
        <f>IF(Metadata!J175="",FALSE,TRUE)</f>
        <v>0</v>
      </c>
      <c r="AL175">
        <f>OR(AND(IF(Metadata!K175="",FALSE,TRUE),OR(exact(Metadata!K175,"not collected"),exact(Metadata!K175,"not provided"))),AND(IF(Metadata!K175="",FALSE,ISNUMBER(VALUE(Metadata!K175))),Metadata!K175&gt;0))</f>
        <v>0</v>
      </c>
      <c r="AM175">
        <f>AND(IF(Metadata!L175="",FALSE,TRUE),exact(Metadata!L175,"cm"))</f>
        <v>0</v>
      </c>
      <c r="AN175">
        <f>IF(Metadata!M175="",FALSE,TRUE)</f>
        <v>0</v>
      </c>
      <c r="AO175">
        <f>OR(AND(IF(Metadata!N175="",FALSE,TRUE),OR(exact(Metadata!N175,"not applicable"),exact(Metadata!N175,"not collected"),exact(Metadata!N175,"not provided"))),AND(IF(Metadata!N175="",FALSE,IF(ISERROR(INT(Metadata!N175)),FALSE,INT(Metadata!N175)=Metadata!N175)),Metadata!N175&gt;0))</f>
        <v>0</v>
      </c>
      <c r="AP175">
        <f>OR(AND(IF(Metadata!O175="",FALSE,TRUE),OR(exact(Metadata!O175,"not collected"),exact(Metadata!O175,"not provided"))),AND(IF(Metadata!O175="",FALSE,ISNUMBER(VALUE(Metadata!O175))),Metadata!O175&gt;0))</f>
        <v>0</v>
      </c>
      <c r="AQ175">
        <f>AND(IF(Metadata!P175="",FALSE,TRUE),exact(Metadata!P175,"kg"))</f>
        <v>0</v>
      </c>
      <c r="AR175">
        <f>OR(AND(IF(Metadata!Q175="",FALSE,TRUE),OR(exact(Metadata!Q175,"not applicable"),exact(Metadata!Q175,"not collected"),exact(Metadata!Q175,"not provided"),exact(Metadata!Q175,"restricted access"))),IF(Metadata!Q175="",FALSE,IF(ISERROR(INT(Metadata!Q175)),FALSE,INT(Metadata!Q175)=Metadata!Q175)))</f>
        <v>0</v>
      </c>
      <c r="AS175">
        <f>AND(IF(Metadata!R175="",FALSE,TRUE),exact(Metadata!R175,"Not applicable"))</f>
        <v>0</v>
      </c>
    </row>
    <row r="176" spans="1:45">
      <c r="A176" s="4">
        <f>IF(B176=" "," ",HYPERLINK(CONCATENATE("#metadata!",ADDRESS(INDEX($X$2:$X$1001,MATCH(ROWS($V$2:V176),$V$2:$V$1001,0),0),2)),INDEX($AA$2:$AA$1001,MATCH(ROWS($V$2:V176),$V$2:$V$1001,0),0)))</f>
        <v>0</v>
      </c>
      <c r="B176" s="5">
        <f>IF(OR(INDEX($W$2:$W$1001,MATCH(ROWS($V$2:V176),$V$2:$V$1001,0),1)&gt;=100000,INDEX($AC$1005:$AS$1005,1,MATCH(COLUMNS($AC$1006:AC1006),$AC$1006:$AS$1006,0))&gt;=100000), " ",IF(INDEX($AC$2:$AS$1001,MATCH(ROWS($V$2:V176),$V$2:$V$1001,0),MATCH(COLUMNS($AC$1006:AC1006),$AC$1006:$AS$1006,0)), HYPERLINK("#",""), HYPERLINK(CONCATENATE("#Metadata!", ADDRESS(INDEX($X$2:$X$1001,MATCH(ROWS($V$2:V176),$V$2:$V$1001,0),0), INDEX($AC$1004:$AS$1004,1,MATCH(COLUMNS($AC$1006:AC1006),$AC$1006:$AS$1006,0)))),"Fix")))</f>
        <v>0</v>
      </c>
      <c r="C176" s="5">
        <f>IF(OR(INDEX($W$2:$W$1001,MATCH(ROWS($V$2:V176),$V$2:$V$1001,0),1)&gt;=100000,INDEX($AC$1005:$AS$1005,1,MATCH(COLUMNS($AC$1006:AD1006),$AC$1006:$AS$1006,0))&gt;=100000), " ",IF(INDEX($AC$2:$AS$1001,MATCH(ROWS($V$2:V176),$V$2:$V$1001,0),MATCH(COLUMNS($AC$1006:AD1006),$AC$1006:$AS$1006,0)), HYPERLINK("#",""), HYPERLINK(CONCATENATE("#Metadata!", ADDRESS(INDEX($X$2:$X$1001,MATCH(ROWS($V$2:V176),$V$2:$V$1001,0),0), INDEX($AC$1004:$AS$1004,1,MATCH(COLUMNS($AC$1006:AD1006),$AC$1006:$AS$1006,0)))),"Fix")))</f>
        <v>0</v>
      </c>
      <c r="D176" s="5">
        <f>IF(OR(INDEX($W$2:$W$1001,MATCH(ROWS($V$2:V176),$V$2:$V$1001,0),1)&gt;=100000,INDEX($AC$1005:$AS$1005,1,MATCH(COLUMNS($AC$1006:AE1006),$AC$1006:$AS$1006,0))&gt;=100000), " ",IF(INDEX($AC$2:$AS$1001,MATCH(ROWS($V$2:V176),$V$2:$V$1001,0),MATCH(COLUMNS($AC$1006:AE1006),$AC$1006:$AS$1006,0)), HYPERLINK("#",""), HYPERLINK(CONCATENATE("#Metadata!", ADDRESS(INDEX($X$2:$X$1001,MATCH(ROWS($V$2:V176),$V$2:$V$1001,0),0), INDEX($AC$1004:$AS$1004,1,MATCH(COLUMNS($AC$1006:AE1006),$AC$1006:$AS$1006,0)))),"Fix")))</f>
        <v>0</v>
      </c>
      <c r="E176" s="5">
        <f>IF(OR(INDEX($W$2:$W$1001,MATCH(ROWS($V$2:V176),$V$2:$V$1001,0),1)&gt;=100000,INDEX($AC$1005:$AS$1005,1,MATCH(COLUMNS($AC$1006:AF1006),$AC$1006:$AS$1006,0))&gt;=100000), " ",IF(INDEX($AC$2:$AS$1001,MATCH(ROWS($V$2:V176),$V$2:$V$1001,0),MATCH(COLUMNS($AC$1006:AF1006),$AC$1006:$AS$1006,0)), HYPERLINK("#",""), HYPERLINK(CONCATENATE("#Metadata!", ADDRESS(INDEX($X$2:$X$1001,MATCH(ROWS($V$2:V176),$V$2:$V$1001,0),0), INDEX($AC$1004:$AS$1004,1,MATCH(COLUMNS($AC$1006:AF1006),$AC$1006:$AS$1006,0)))),"Fix")))</f>
        <v>0</v>
      </c>
      <c r="F176" s="5">
        <f>IF(OR(INDEX($W$2:$W$1001,MATCH(ROWS($V$2:V176),$V$2:$V$1001,0),1)&gt;=100000,INDEX($AC$1005:$AS$1005,1,MATCH(COLUMNS($AC$1006:AG1006),$AC$1006:$AS$1006,0))&gt;=100000), " ",IF(INDEX($AC$2:$AS$1001,MATCH(ROWS($V$2:V176),$V$2:$V$1001,0),MATCH(COLUMNS($AC$1006:AG1006),$AC$1006:$AS$1006,0)), HYPERLINK("#",""), HYPERLINK(CONCATENATE("#Metadata!", ADDRESS(INDEX($X$2:$X$1001,MATCH(ROWS($V$2:V176),$V$2:$V$1001,0),0), INDEX($AC$1004:$AS$1004,1,MATCH(COLUMNS($AC$1006:AG1006),$AC$1006:$AS$1006,0)))),"Fix")))</f>
        <v>0</v>
      </c>
      <c r="G176" s="5">
        <f>IF(OR(INDEX($W$2:$W$1001,MATCH(ROWS($V$2:V176),$V$2:$V$1001,0),1)&gt;=100000,INDEX($AC$1005:$AS$1005,1,MATCH(COLUMNS($AC$1006:AH1006),$AC$1006:$AS$1006,0))&gt;=100000), " ",IF(INDEX($AC$2:$AS$1001,MATCH(ROWS($V$2:V176),$V$2:$V$1001,0),MATCH(COLUMNS($AC$1006:AH1006),$AC$1006:$AS$1006,0)), HYPERLINK("#",""), HYPERLINK(CONCATENATE("#Metadata!", ADDRESS(INDEX($X$2:$X$1001,MATCH(ROWS($V$2:V176),$V$2:$V$1001,0),0), INDEX($AC$1004:$AS$1004,1,MATCH(COLUMNS($AC$1006:AH1006),$AC$1006:$AS$1006,0)))),"Fix")))</f>
        <v>0</v>
      </c>
      <c r="H176" s="5">
        <f>IF(OR(INDEX($W$2:$W$1001,MATCH(ROWS($V$2:V176),$V$2:$V$1001,0),1)&gt;=100000,INDEX($AC$1005:$AS$1005,1,MATCH(COLUMNS($AC$1006:AI1006),$AC$1006:$AS$1006,0))&gt;=100000), " ",IF(INDEX($AC$2:$AS$1001,MATCH(ROWS($V$2:V176),$V$2:$V$1001,0),MATCH(COLUMNS($AC$1006:AI1006),$AC$1006:$AS$1006,0)), HYPERLINK("#",""), HYPERLINK(CONCATENATE("#Metadata!", ADDRESS(INDEX($X$2:$X$1001,MATCH(ROWS($V$2:V176),$V$2:$V$1001,0),0), INDEX($AC$1004:$AS$1004,1,MATCH(COLUMNS($AC$1006:AI1006),$AC$1006:$AS$1006,0)))),"Fix")))</f>
        <v>0</v>
      </c>
      <c r="I176" s="5">
        <f>IF(OR(INDEX($W$2:$W$1001,MATCH(ROWS($V$2:V176),$V$2:$V$1001,0),1)&gt;=100000,INDEX($AC$1005:$AS$1005,1,MATCH(COLUMNS($AC$1006:AJ1006),$AC$1006:$AS$1006,0))&gt;=100000), " ",IF(INDEX($AC$2:$AS$1001,MATCH(ROWS($V$2:V176),$V$2:$V$1001,0),MATCH(COLUMNS($AC$1006:AJ1006),$AC$1006:$AS$1006,0)), HYPERLINK("#",""), HYPERLINK(CONCATENATE("#Metadata!", ADDRESS(INDEX($X$2:$X$1001,MATCH(ROWS($V$2:V176),$V$2:$V$1001,0),0), INDEX($AC$1004:$AS$1004,1,MATCH(COLUMNS($AC$1006:AJ1006),$AC$1006:$AS$1006,0)))),"Fix")))</f>
        <v>0</v>
      </c>
      <c r="J176" s="5">
        <f>IF(OR(INDEX($W$2:$W$1001,MATCH(ROWS($V$2:V176),$V$2:$V$1001,0),1)&gt;=100000,INDEX($AC$1005:$AS$1005,1,MATCH(COLUMNS($AC$1006:AK1006),$AC$1006:$AS$1006,0))&gt;=100000), " ",IF(INDEX($AC$2:$AS$1001,MATCH(ROWS($V$2:V176),$V$2:$V$1001,0),MATCH(COLUMNS($AC$1006:AK1006),$AC$1006:$AS$1006,0)), HYPERLINK("#",""), HYPERLINK(CONCATENATE("#Metadata!", ADDRESS(INDEX($X$2:$X$1001,MATCH(ROWS($V$2:V176),$V$2:$V$1001,0),0), INDEX($AC$1004:$AS$1004,1,MATCH(COLUMNS($AC$1006:AK1006),$AC$1006:$AS$1006,0)))),"Fix")))</f>
        <v>0</v>
      </c>
      <c r="K176" s="5">
        <f>IF(OR(INDEX($W$2:$W$1001,MATCH(ROWS($V$2:V176),$V$2:$V$1001,0),1)&gt;=100000,INDEX($AC$1005:$AS$1005,1,MATCH(COLUMNS($AC$1006:AL1006),$AC$1006:$AS$1006,0))&gt;=100000), " ",IF(INDEX($AC$2:$AS$1001,MATCH(ROWS($V$2:V176),$V$2:$V$1001,0),MATCH(COLUMNS($AC$1006:AL1006),$AC$1006:$AS$1006,0)), HYPERLINK("#",""), HYPERLINK(CONCATENATE("#Metadata!", ADDRESS(INDEX($X$2:$X$1001,MATCH(ROWS($V$2:V176),$V$2:$V$1001,0),0), INDEX($AC$1004:$AS$1004,1,MATCH(COLUMNS($AC$1006:AL1006),$AC$1006:$AS$1006,0)))),"Fix")))</f>
        <v>0</v>
      </c>
      <c r="L176" s="5">
        <f>IF(OR(INDEX($W$2:$W$1001,MATCH(ROWS($V$2:V176),$V$2:$V$1001,0),1)&gt;=100000,INDEX($AC$1005:$AS$1005,1,MATCH(COLUMNS($AC$1006:AM1006),$AC$1006:$AS$1006,0))&gt;=100000), " ",IF(INDEX($AC$2:$AS$1001,MATCH(ROWS($V$2:V176),$V$2:$V$1001,0),MATCH(COLUMNS($AC$1006:AM1006),$AC$1006:$AS$1006,0)), HYPERLINK("#",""), HYPERLINK(CONCATENATE("#Metadata!", ADDRESS(INDEX($X$2:$X$1001,MATCH(ROWS($V$2:V176),$V$2:$V$1001,0),0), INDEX($AC$1004:$AS$1004,1,MATCH(COLUMNS($AC$1006:AM1006),$AC$1006:$AS$1006,0)))),"Fix")))</f>
        <v>0</v>
      </c>
      <c r="M176" s="5">
        <f>IF(OR(INDEX($W$2:$W$1001,MATCH(ROWS($V$2:V176),$V$2:$V$1001,0),1)&gt;=100000,INDEX($AC$1005:$AS$1005,1,MATCH(COLUMNS($AC$1006:AN1006),$AC$1006:$AS$1006,0))&gt;=100000), " ",IF(INDEX($AC$2:$AS$1001,MATCH(ROWS($V$2:V176),$V$2:$V$1001,0),MATCH(COLUMNS($AC$1006:AN1006),$AC$1006:$AS$1006,0)), HYPERLINK("#",""), HYPERLINK(CONCATENATE("#Metadata!", ADDRESS(INDEX($X$2:$X$1001,MATCH(ROWS($V$2:V176),$V$2:$V$1001,0),0), INDEX($AC$1004:$AS$1004,1,MATCH(COLUMNS($AC$1006:AN1006),$AC$1006:$AS$1006,0)))),"Fix")))</f>
        <v>0</v>
      </c>
      <c r="N176" s="5">
        <f>IF(OR(INDEX($W$2:$W$1001,MATCH(ROWS($V$2:V176),$V$2:$V$1001,0),1)&gt;=100000,INDEX($AC$1005:$AS$1005,1,MATCH(COLUMNS($AC$1006:AO1006),$AC$1006:$AS$1006,0))&gt;=100000), " ",IF(INDEX($AC$2:$AS$1001,MATCH(ROWS($V$2:V176),$V$2:$V$1001,0),MATCH(COLUMNS($AC$1006:AO1006),$AC$1006:$AS$1006,0)), HYPERLINK("#",""), HYPERLINK(CONCATENATE("#Metadata!", ADDRESS(INDEX($X$2:$X$1001,MATCH(ROWS($V$2:V176),$V$2:$V$1001,0),0), INDEX($AC$1004:$AS$1004,1,MATCH(COLUMNS($AC$1006:AO1006),$AC$1006:$AS$1006,0)))),"Fix")))</f>
        <v>0</v>
      </c>
      <c r="O176" s="5">
        <f>IF(OR(INDEX($W$2:$W$1001,MATCH(ROWS($V$2:V176),$V$2:$V$1001,0),1)&gt;=100000,INDEX($AC$1005:$AS$1005,1,MATCH(COLUMNS($AC$1006:AP1006),$AC$1006:$AS$1006,0))&gt;=100000), " ",IF(INDEX($AC$2:$AS$1001,MATCH(ROWS($V$2:V176),$V$2:$V$1001,0),MATCH(COLUMNS($AC$1006:AP1006),$AC$1006:$AS$1006,0)), HYPERLINK("#",""), HYPERLINK(CONCATENATE("#Metadata!", ADDRESS(INDEX($X$2:$X$1001,MATCH(ROWS($V$2:V176),$V$2:$V$1001,0),0), INDEX($AC$1004:$AS$1004,1,MATCH(COLUMNS($AC$1006:AP1006),$AC$1006:$AS$1006,0)))),"Fix")))</f>
        <v>0</v>
      </c>
      <c r="P176" s="5">
        <f>IF(OR(INDEX($W$2:$W$1001,MATCH(ROWS($V$2:V176),$V$2:$V$1001,0),1)&gt;=100000,INDEX($AC$1005:$AS$1005,1,MATCH(COLUMNS($AC$1006:AQ1006),$AC$1006:$AS$1006,0))&gt;=100000), " ",IF(INDEX($AC$2:$AS$1001,MATCH(ROWS($V$2:V176),$V$2:$V$1001,0),MATCH(COLUMNS($AC$1006:AQ1006),$AC$1006:$AS$1006,0)), HYPERLINK("#",""), HYPERLINK(CONCATENATE("#Metadata!", ADDRESS(INDEX($X$2:$X$1001,MATCH(ROWS($V$2:V176),$V$2:$V$1001,0),0), INDEX($AC$1004:$AS$1004,1,MATCH(COLUMNS($AC$1006:AQ1006),$AC$1006:$AS$1006,0)))),"Fix")))</f>
        <v>0</v>
      </c>
      <c r="Q176" s="5">
        <f>IF(OR(INDEX($W$2:$W$1001,MATCH(ROWS($V$2:V176),$V$2:$V$1001,0),1)&gt;=100000,INDEX($AC$1005:$AS$1005,1,MATCH(COLUMNS($AC$1006:AR1006),$AC$1006:$AS$1006,0))&gt;=100000), " ",IF(INDEX($AC$2:$AS$1001,MATCH(ROWS($V$2:V176),$V$2:$V$1001,0),MATCH(COLUMNS($AC$1006:AR1006),$AC$1006:$AS$1006,0)), HYPERLINK("#",""), HYPERLINK(CONCATENATE("#Metadata!", ADDRESS(INDEX($X$2:$X$1001,MATCH(ROWS($V$2:V176),$V$2:$V$1001,0),0), INDEX($AC$1004:$AS$1004,1,MATCH(COLUMNS($AC$1006:AR1006),$AC$1006:$AS$1006,0)))),"Fix")))</f>
        <v>0</v>
      </c>
      <c r="R176" s="5">
        <f>IF(OR(INDEX($W$2:$W$1001,MATCH(ROWS($V$2:V176),$V$2:$V$1001,0),1)&gt;=100000,INDEX($AC$1005:$AS$1005,1,MATCH(COLUMNS($AC$1006:AS1006),$AC$1006:$AS$1006,0))&gt;=100000), " ",IF(INDEX($AC$2:$AS$1001,MATCH(ROWS($V$2:V176),$V$2:$V$1001,0),MATCH(COLUMNS($AC$1006:AS1006),$AC$1006:$AS$1006,0)), HYPERLINK("#",""), HYPERLINK(CONCATENATE("#Metadata!", ADDRESS(INDEX($X$2:$X$1001,MATCH(ROWS($V$2:V176),$V$2:$V$1001,0),0), INDEX($AC$1004:$AS$1004,1,MATCH(COLUMNS($AC$1006:AS1006),$AC$1006:$AS$1006,0)))),"Fix")))</f>
        <v>0</v>
      </c>
      <c r="V176">
        <v>0</v>
      </c>
      <c r="W176">
        <v>0</v>
      </c>
      <c r="X176">
        <v>0</v>
      </c>
      <c r="Y176">
        <f>IF(Z176,TRUE,AND(AC176:AS176))</f>
        <v>0</v>
      </c>
      <c r="Z176">
        <f>COUNTBLANK(Metadata!B176:R176)=COLUMNS(Metadata!B176:R176)</f>
        <v>0</v>
      </c>
      <c r="AA176">
        <v>0</v>
      </c>
      <c r="AC176">
        <f>AND(IF(Metadata!B176="",FALSE,TRUE),COUNTIF(Metadata!B:B, Metadata!B176) = 1,NOT(ISERROR(SUMPRODUCT(SEARCH(MID(Metadata!B176,ROW(INDIRECT("1:"&amp;LEN(Metadata!B176))), 1),"0123456789abcdefghijklmnopqrstuvwxyzABCDEFGHIJKLMNOPQRSTUVWXYZ.")))))</f>
        <v>0</v>
      </c>
      <c r="AD176">
        <f>AND(IF(Metadata!C176="",FALSE,TRUE),exact(Metadata!C176,"Host-associated"))</f>
        <v>0</v>
      </c>
      <c r="AE176">
        <f>AND(IF(Metadata!D176="",FALSE,TRUE),OR(exact(Metadata!D176,"Animal"),exact(Metadata!D176,"Fungus"),exact(Metadata!D176,"Plant")))</f>
        <v>0</v>
      </c>
      <c r="AF176">
        <f>AND(IF(Metadata!E176="",FALSE,TRUE),OR(exact(Metadata!E176,"Plant secretion"),exact(Metadata!E176,"Plant rhizosphere"),exact(Metadata!E176,"Plant surface"),exact(Metadata!E176,"Plant corpus"),exact(Metadata!E176,"Fungus surface"),exact(Metadata!E176,"Fungus corpus"),exact(Metadata!E176,"Animal surface"),exact(Metadata!E176,"Animal proximal gut"),exact(Metadata!E176,"Animal corpus"),exact(Metadata!E176,"Animal distal gut"),exact(Metadata!E176,"Animal secretion")))</f>
        <v>0</v>
      </c>
      <c r="AG176">
        <f>OR(AND(IF(Metadata!F176="",FALSE,TRUE),OR(exact(Metadata!F176,"not collected"),exact(Metadata!F176,"not provided"),exact(Metadata!F176,"restricted access"))),AND(IF(Metadata!F176="",FALSE,TRUE),OR(exact(Metadata!F176,"organism-associated habitat"),exact(Metadata!F176,"plant-associated habitat"),exact(Metadata!F176,"animal-associated habitat"),exact(Metadata!F176,"insecta-associated habitat"),exact(Metadata!F176,"mammalia-associated habitat"),exact(Metadata!F176,"human-associated habitat"),exact(Metadata!F176,"livestock-associated habitat"))))</f>
        <v>0</v>
      </c>
      <c r="AH176">
        <f>AND(IF(Metadata!G176="",FALSE,TRUE),exact(Metadata!G176,"host-associated"))</f>
        <v>0</v>
      </c>
      <c r="AI176">
        <f>OR(AND(IF(Metadata!H176="",FALSE,TRUE),OR(exact(Metadata!H176,"not collected"),exact(Metadata!H176,"not provided"))),AND(IF(Metadata!H176="",FALSE,ISNUMBER(VALUE(Metadata!H176))),Metadata!H176&gt;0))</f>
        <v>0</v>
      </c>
      <c r="AJ176">
        <f>AND(IF(Metadata!I176="",FALSE,TRUE),exact(Metadata!I176,"years"))</f>
        <v>0</v>
      </c>
      <c r="AK176">
        <f>IF(Metadata!J176="",FALSE,TRUE)</f>
        <v>0</v>
      </c>
      <c r="AL176">
        <f>OR(AND(IF(Metadata!K176="",FALSE,TRUE),OR(exact(Metadata!K176,"not collected"),exact(Metadata!K176,"not provided"))),AND(IF(Metadata!K176="",FALSE,ISNUMBER(VALUE(Metadata!K176))),Metadata!K176&gt;0))</f>
        <v>0</v>
      </c>
      <c r="AM176">
        <f>AND(IF(Metadata!L176="",FALSE,TRUE),exact(Metadata!L176,"cm"))</f>
        <v>0</v>
      </c>
      <c r="AN176">
        <f>IF(Metadata!M176="",FALSE,TRUE)</f>
        <v>0</v>
      </c>
      <c r="AO176">
        <f>OR(AND(IF(Metadata!N176="",FALSE,TRUE),OR(exact(Metadata!N176,"not applicable"),exact(Metadata!N176,"not collected"),exact(Metadata!N176,"not provided"))),AND(IF(Metadata!N176="",FALSE,IF(ISERROR(INT(Metadata!N176)),FALSE,INT(Metadata!N176)=Metadata!N176)),Metadata!N176&gt;0))</f>
        <v>0</v>
      </c>
      <c r="AP176">
        <f>OR(AND(IF(Metadata!O176="",FALSE,TRUE),OR(exact(Metadata!O176,"not collected"),exact(Metadata!O176,"not provided"))),AND(IF(Metadata!O176="",FALSE,ISNUMBER(VALUE(Metadata!O176))),Metadata!O176&gt;0))</f>
        <v>0</v>
      </c>
      <c r="AQ176">
        <f>AND(IF(Metadata!P176="",FALSE,TRUE),exact(Metadata!P176,"kg"))</f>
        <v>0</v>
      </c>
      <c r="AR176">
        <f>OR(AND(IF(Metadata!Q176="",FALSE,TRUE),OR(exact(Metadata!Q176,"not applicable"),exact(Metadata!Q176,"not collected"),exact(Metadata!Q176,"not provided"),exact(Metadata!Q176,"restricted access"))),IF(Metadata!Q176="",FALSE,IF(ISERROR(INT(Metadata!Q176)),FALSE,INT(Metadata!Q176)=Metadata!Q176)))</f>
        <v>0</v>
      </c>
      <c r="AS176">
        <f>AND(IF(Metadata!R176="",FALSE,TRUE),exact(Metadata!R176,"Not applicable"))</f>
        <v>0</v>
      </c>
    </row>
    <row r="177" spans="1:45">
      <c r="A177" s="4">
        <f>IF(B177=" "," ",HYPERLINK(CONCATENATE("#metadata!",ADDRESS(INDEX($X$2:$X$1001,MATCH(ROWS($V$2:V177),$V$2:$V$1001,0),0),2)),INDEX($AA$2:$AA$1001,MATCH(ROWS($V$2:V177),$V$2:$V$1001,0),0)))</f>
        <v>0</v>
      </c>
      <c r="B177" s="5">
        <f>IF(OR(INDEX($W$2:$W$1001,MATCH(ROWS($V$2:V177),$V$2:$V$1001,0),1)&gt;=100000,INDEX($AC$1005:$AS$1005,1,MATCH(COLUMNS($AC$1006:AC1006),$AC$1006:$AS$1006,0))&gt;=100000), " ",IF(INDEX($AC$2:$AS$1001,MATCH(ROWS($V$2:V177),$V$2:$V$1001,0),MATCH(COLUMNS($AC$1006:AC1006),$AC$1006:$AS$1006,0)), HYPERLINK("#",""), HYPERLINK(CONCATENATE("#Metadata!", ADDRESS(INDEX($X$2:$X$1001,MATCH(ROWS($V$2:V177),$V$2:$V$1001,0),0), INDEX($AC$1004:$AS$1004,1,MATCH(COLUMNS($AC$1006:AC1006),$AC$1006:$AS$1006,0)))),"Fix")))</f>
        <v>0</v>
      </c>
      <c r="C177" s="5">
        <f>IF(OR(INDEX($W$2:$W$1001,MATCH(ROWS($V$2:V177),$V$2:$V$1001,0),1)&gt;=100000,INDEX($AC$1005:$AS$1005,1,MATCH(COLUMNS($AC$1006:AD1006),$AC$1006:$AS$1006,0))&gt;=100000), " ",IF(INDEX($AC$2:$AS$1001,MATCH(ROWS($V$2:V177),$V$2:$V$1001,0),MATCH(COLUMNS($AC$1006:AD1006),$AC$1006:$AS$1006,0)), HYPERLINK("#",""), HYPERLINK(CONCATENATE("#Metadata!", ADDRESS(INDEX($X$2:$X$1001,MATCH(ROWS($V$2:V177),$V$2:$V$1001,0),0), INDEX($AC$1004:$AS$1004,1,MATCH(COLUMNS($AC$1006:AD1006),$AC$1006:$AS$1006,0)))),"Fix")))</f>
        <v>0</v>
      </c>
      <c r="D177" s="5">
        <f>IF(OR(INDEX($W$2:$W$1001,MATCH(ROWS($V$2:V177),$V$2:$V$1001,0),1)&gt;=100000,INDEX($AC$1005:$AS$1005,1,MATCH(COLUMNS($AC$1006:AE1006),$AC$1006:$AS$1006,0))&gt;=100000), " ",IF(INDEX($AC$2:$AS$1001,MATCH(ROWS($V$2:V177),$V$2:$V$1001,0),MATCH(COLUMNS($AC$1006:AE1006),$AC$1006:$AS$1006,0)), HYPERLINK("#",""), HYPERLINK(CONCATENATE("#Metadata!", ADDRESS(INDEX($X$2:$X$1001,MATCH(ROWS($V$2:V177),$V$2:$V$1001,0),0), INDEX($AC$1004:$AS$1004,1,MATCH(COLUMNS($AC$1006:AE1006),$AC$1006:$AS$1006,0)))),"Fix")))</f>
        <v>0</v>
      </c>
      <c r="E177" s="5">
        <f>IF(OR(INDEX($W$2:$W$1001,MATCH(ROWS($V$2:V177),$V$2:$V$1001,0),1)&gt;=100000,INDEX($AC$1005:$AS$1005,1,MATCH(COLUMNS($AC$1006:AF1006),$AC$1006:$AS$1006,0))&gt;=100000), " ",IF(INDEX($AC$2:$AS$1001,MATCH(ROWS($V$2:V177),$V$2:$V$1001,0),MATCH(COLUMNS($AC$1006:AF1006),$AC$1006:$AS$1006,0)), HYPERLINK("#",""), HYPERLINK(CONCATENATE("#Metadata!", ADDRESS(INDEX($X$2:$X$1001,MATCH(ROWS($V$2:V177),$V$2:$V$1001,0),0), INDEX($AC$1004:$AS$1004,1,MATCH(COLUMNS($AC$1006:AF1006),$AC$1006:$AS$1006,0)))),"Fix")))</f>
        <v>0</v>
      </c>
      <c r="F177" s="5">
        <f>IF(OR(INDEX($W$2:$W$1001,MATCH(ROWS($V$2:V177),$V$2:$V$1001,0),1)&gt;=100000,INDEX($AC$1005:$AS$1005,1,MATCH(COLUMNS($AC$1006:AG1006),$AC$1006:$AS$1006,0))&gt;=100000), " ",IF(INDEX($AC$2:$AS$1001,MATCH(ROWS($V$2:V177),$V$2:$V$1001,0),MATCH(COLUMNS($AC$1006:AG1006),$AC$1006:$AS$1006,0)), HYPERLINK("#",""), HYPERLINK(CONCATENATE("#Metadata!", ADDRESS(INDEX($X$2:$X$1001,MATCH(ROWS($V$2:V177),$V$2:$V$1001,0),0), INDEX($AC$1004:$AS$1004,1,MATCH(COLUMNS($AC$1006:AG1006),$AC$1006:$AS$1006,0)))),"Fix")))</f>
        <v>0</v>
      </c>
      <c r="G177" s="5">
        <f>IF(OR(INDEX($W$2:$W$1001,MATCH(ROWS($V$2:V177),$V$2:$V$1001,0),1)&gt;=100000,INDEX($AC$1005:$AS$1005,1,MATCH(COLUMNS($AC$1006:AH1006),$AC$1006:$AS$1006,0))&gt;=100000), " ",IF(INDEX($AC$2:$AS$1001,MATCH(ROWS($V$2:V177),$V$2:$V$1001,0),MATCH(COLUMNS($AC$1006:AH1006),$AC$1006:$AS$1006,0)), HYPERLINK("#",""), HYPERLINK(CONCATENATE("#Metadata!", ADDRESS(INDEX($X$2:$X$1001,MATCH(ROWS($V$2:V177),$V$2:$V$1001,0),0), INDEX($AC$1004:$AS$1004,1,MATCH(COLUMNS($AC$1006:AH1006),$AC$1006:$AS$1006,0)))),"Fix")))</f>
        <v>0</v>
      </c>
      <c r="H177" s="5">
        <f>IF(OR(INDEX($W$2:$W$1001,MATCH(ROWS($V$2:V177),$V$2:$V$1001,0),1)&gt;=100000,INDEX($AC$1005:$AS$1005,1,MATCH(COLUMNS($AC$1006:AI1006),$AC$1006:$AS$1006,0))&gt;=100000), " ",IF(INDEX($AC$2:$AS$1001,MATCH(ROWS($V$2:V177),$V$2:$V$1001,0),MATCH(COLUMNS($AC$1006:AI1006),$AC$1006:$AS$1006,0)), HYPERLINK("#",""), HYPERLINK(CONCATENATE("#Metadata!", ADDRESS(INDEX($X$2:$X$1001,MATCH(ROWS($V$2:V177),$V$2:$V$1001,0),0), INDEX($AC$1004:$AS$1004,1,MATCH(COLUMNS($AC$1006:AI1006),$AC$1006:$AS$1006,0)))),"Fix")))</f>
        <v>0</v>
      </c>
      <c r="I177" s="5">
        <f>IF(OR(INDEX($W$2:$W$1001,MATCH(ROWS($V$2:V177),$V$2:$V$1001,0),1)&gt;=100000,INDEX($AC$1005:$AS$1005,1,MATCH(COLUMNS($AC$1006:AJ1006),$AC$1006:$AS$1006,0))&gt;=100000), " ",IF(INDEX($AC$2:$AS$1001,MATCH(ROWS($V$2:V177),$V$2:$V$1001,0),MATCH(COLUMNS($AC$1006:AJ1006),$AC$1006:$AS$1006,0)), HYPERLINK("#",""), HYPERLINK(CONCATENATE("#Metadata!", ADDRESS(INDEX($X$2:$X$1001,MATCH(ROWS($V$2:V177),$V$2:$V$1001,0),0), INDEX($AC$1004:$AS$1004,1,MATCH(COLUMNS($AC$1006:AJ1006),$AC$1006:$AS$1006,0)))),"Fix")))</f>
        <v>0</v>
      </c>
      <c r="J177" s="5">
        <f>IF(OR(INDEX($W$2:$W$1001,MATCH(ROWS($V$2:V177),$V$2:$V$1001,0),1)&gt;=100000,INDEX($AC$1005:$AS$1005,1,MATCH(COLUMNS($AC$1006:AK1006),$AC$1006:$AS$1006,0))&gt;=100000), " ",IF(INDEX($AC$2:$AS$1001,MATCH(ROWS($V$2:V177),$V$2:$V$1001,0),MATCH(COLUMNS($AC$1006:AK1006),$AC$1006:$AS$1006,0)), HYPERLINK("#",""), HYPERLINK(CONCATENATE("#Metadata!", ADDRESS(INDEX($X$2:$X$1001,MATCH(ROWS($V$2:V177),$V$2:$V$1001,0),0), INDEX($AC$1004:$AS$1004,1,MATCH(COLUMNS($AC$1006:AK1006),$AC$1006:$AS$1006,0)))),"Fix")))</f>
        <v>0</v>
      </c>
      <c r="K177" s="5">
        <f>IF(OR(INDEX($W$2:$W$1001,MATCH(ROWS($V$2:V177),$V$2:$V$1001,0),1)&gt;=100000,INDEX($AC$1005:$AS$1005,1,MATCH(COLUMNS($AC$1006:AL1006),$AC$1006:$AS$1006,0))&gt;=100000), " ",IF(INDEX($AC$2:$AS$1001,MATCH(ROWS($V$2:V177),$V$2:$V$1001,0),MATCH(COLUMNS($AC$1006:AL1006),$AC$1006:$AS$1006,0)), HYPERLINK("#",""), HYPERLINK(CONCATENATE("#Metadata!", ADDRESS(INDEX($X$2:$X$1001,MATCH(ROWS($V$2:V177),$V$2:$V$1001,0),0), INDEX($AC$1004:$AS$1004,1,MATCH(COLUMNS($AC$1006:AL1006),$AC$1006:$AS$1006,0)))),"Fix")))</f>
        <v>0</v>
      </c>
      <c r="L177" s="5">
        <f>IF(OR(INDEX($W$2:$W$1001,MATCH(ROWS($V$2:V177),$V$2:$V$1001,0),1)&gt;=100000,INDEX($AC$1005:$AS$1005,1,MATCH(COLUMNS($AC$1006:AM1006),$AC$1006:$AS$1006,0))&gt;=100000), " ",IF(INDEX($AC$2:$AS$1001,MATCH(ROWS($V$2:V177),$V$2:$V$1001,0),MATCH(COLUMNS($AC$1006:AM1006),$AC$1006:$AS$1006,0)), HYPERLINK("#",""), HYPERLINK(CONCATENATE("#Metadata!", ADDRESS(INDEX($X$2:$X$1001,MATCH(ROWS($V$2:V177),$V$2:$V$1001,0),0), INDEX($AC$1004:$AS$1004,1,MATCH(COLUMNS($AC$1006:AM1006),$AC$1006:$AS$1006,0)))),"Fix")))</f>
        <v>0</v>
      </c>
      <c r="M177" s="5">
        <f>IF(OR(INDEX($W$2:$W$1001,MATCH(ROWS($V$2:V177),$V$2:$V$1001,0),1)&gt;=100000,INDEX($AC$1005:$AS$1005,1,MATCH(COLUMNS($AC$1006:AN1006),$AC$1006:$AS$1006,0))&gt;=100000), " ",IF(INDEX($AC$2:$AS$1001,MATCH(ROWS($V$2:V177),$V$2:$V$1001,0),MATCH(COLUMNS($AC$1006:AN1006),$AC$1006:$AS$1006,0)), HYPERLINK("#",""), HYPERLINK(CONCATENATE("#Metadata!", ADDRESS(INDEX($X$2:$X$1001,MATCH(ROWS($V$2:V177),$V$2:$V$1001,0),0), INDEX($AC$1004:$AS$1004,1,MATCH(COLUMNS($AC$1006:AN1006),$AC$1006:$AS$1006,0)))),"Fix")))</f>
        <v>0</v>
      </c>
      <c r="N177" s="5">
        <f>IF(OR(INDEX($W$2:$W$1001,MATCH(ROWS($V$2:V177),$V$2:$V$1001,0),1)&gt;=100000,INDEX($AC$1005:$AS$1005,1,MATCH(COLUMNS($AC$1006:AO1006),$AC$1006:$AS$1006,0))&gt;=100000), " ",IF(INDEX($AC$2:$AS$1001,MATCH(ROWS($V$2:V177),$V$2:$V$1001,0),MATCH(COLUMNS($AC$1006:AO1006),$AC$1006:$AS$1006,0)), HYPERLINK("#",""), HYPERLINK(CONCATENATE("#Metadata!", ADDRESS(INDEX($X$2:$X$1001,MATCH(ROWS($V$2:V177),$V$2:$V$1001,0),0), INDEX($AC$1004:$AS$1004,1,MATCH(COLUMNS($AC$1006:AO1006),$AC$1006:$AS$1006,0)))),"Fix")))</f>
        <v>0</v>
      </c>
      <c r="O177" s="5">
        <f>IF(OR(INDEX($W$2:$W$1001,MATCH(ROWS($V$2:V177),$V$2:$V$1001,0),1)&gt;=100000,INDEX($AC$1005:$AS$1005,1,MATCH(COLUMNS($AC$1006:AP1006),$AC$1006:$AS$1006,0))&gt;=100000), " ",IF(INDEX($AC$2:$AS$1001,MATCH(ROWS($V$2:V177),$V$2:$V$1001,0),MATCH(COLUMNS($AC$1006:AP1006),$AC$1006:$AS$1006,0)), HYPERLINK("#",""), HYPERLINK(CONCATENATE("#Metadata!", ADDRESS(INDEX($X$2:$X$1001,MATCH(ROWS($V$2:V177),$V$2:$V$1001,0),0), INDEX($AC$1004:$AS$1004,1,MATCH(COLUMNS($AC$1006:AP1006),$AC$1006:$AS$1006,0)))),"Fix")))</f>
        <v>0</v>
      </c>
      <c r="P177" s="5">
        <f>IF(OR(INDEX($W$2:$W$1001,MATCH(ROWS($V$2:V177),$V$2:$V$1001,0),1)&gt;=100000,INDEX($AC$1005:$AS$1005,1,MATCH(COLUMNS($AC$1006:AQ1006),$AC$1006:$AS$1006,0))&gt;=100000), " ",IF(INDEX($AC$2:$AS$1001,MATCH(ROWS($V$2:V177),$V$2:$V$1001,0),MATCH(COLUMNS($AC$1006:AQ1006),$AC$1006:$AS$1006,0)), HYPERLINK("#",""), HYPERLINK(CONCATENATE("#Metadata!", ADDRESS(INDEX($X$2:$X$1001,MATCH(ROWS($V$2:V177),$V$2:$V$1001,0),0), INDEX($AC$1004:$AS$1004,1,MATCH(COLUMNS($AC$1006:AQ1006),$AC$1006:$AS$1006,0)))),"Fix")))</f>
        <v>0</v>
      </c>
      <c r="Q177" s="5">
        <f>IF(OR(INDEX($W$2:$W$1001,MATCH(ROWS($V$2:V177),$V$2:$V$1001,0),1)&gt;=100000,INDEX($AC$1005:$AS$1005,1,MATCH(COLUMNS($AC$1006:AR1006),$AC$1006:$AS$1006,0))&gt;=100000), " ",IF(INDEX($AC$2:$AS$1001,MATCH(ROWS($V$2:V177),$V$2:$V$1001,0),MATCH(COLUMNS($AC$1006:AR1006),$AC$1006:$AS$1006,0)), HYPERLINK("#",""), HYPERLINK(CONCATENATE("#Metadata!", ADDRESS(INDEX($X$2:$X$1001,MATCH(ROWS($V$2:V177),$V$2:$V$1001,0),0), INDEX($AC$1004:$AS$1004,1,MATCH(COLUMNS($AC$1006:AR1006),$AC$1006:$AS$1006,0)))),"Fix")))</f>
        <v>0</v>
      </c>
      <c r="R177" s="5">
        <f>IF(OR(INDEX($W$2:$W$1001,MATCH(ROWS($V$2:V177),$V$2:$V$1001,0),1)&gt;=100000,INDEX($AC$1005:$AS$1005,1,MATCH(COLUMNS($AC$1006:AS1006),$AC$1006:$AS$1006,0))&gt;=100000), " ",IF(INDEX($AC$2:$AS$1001,MATCH(ROWS($V$2:V177),$V$2:$V$1001,0),MATCH(COLUMNS($AC$1006:AS1006),$AC$1006:$AS$1006,0)), HYPERLINK("#",""), HYPERLINK(CONCATENATE("#Metadata!", ADDRESS(INDEX($X$2:$X$1001,MATCH(ROWS($V$2:V177),$V$2:$V$1001,0),0), INDEX($AC$1004:$AS$1004,1,MATCH(COLUMNS($AC$1006:AS1006),$AC$1006:$AS$1006,0)))),"Fix")))</f>
        <v>0</v>
      </c>
      <c r="V177">
        <v>0</v>
      </c>
      <c r="W177">
        <v>0</v>
      </c>
      <c r="X177">
        <v>0</v>
      </c>
      <c r="Y177">
        <f>IF(Z177,TRUE,AND(AC177:AS177))</f>
        <v>0</v>
      </c>
      <c r="Z177">
        <f>COUNTBLANK(Metadata!B177:R177)=COLUMNS(Metadata!B177:R177)</f>
        <v>0</v>
      </c>
      <c r="AA177">
        <v>0</v>
      </c>
      <c r="AC177">
        <f>AND(IF(Metadata!B177="",FALSE,TRUE),COUNTIF(Metadata!B:B, Metadata!B177) = 1,NOT(ISERROR(SUMPRODUCT(SEARCH(MID(Metadata!B177,ROW(INDIRECT("1:"&amp;LEN(Metadata!B177))), 1),"0123456789abcdefghijklmnopqrstuvwxyzABCDEFGHIJKLMNOPQRSTUVWXYZ.")))))</f>
        <v>0</v>
      </c>
      <c r="AD177">
        <f>AND(IF(Metadata!C177="",FALSE,TRUE),exact(Metadata!C177,"Host-associated"))</f>
        <v>0</v>
      </c>
      <c r="AE177">
        <f>AND(IF(Metadata!D177="",FALSE,TRUE),OR(exact(Metadata!D177,"Animal"),exact(Metadata!D177,"Fungus"),exact(Metadata!D177,"Plant")))</f>
        <v>0</v>
      </c>
      <c r="AF177">
        <f>AND(IF(Metadata!E177="",FALSE,TRUE),OR(exact(Metadata!E177,"Plant secretion"),exact(Metadata!E177,"Plant rhizosphere"),exact(Metadata!E177,"Plant surface"),exact(Metadata!E177,"Plant corpus"),exact(Metadata!E177,"Fungus surface"),exact(Metadata!E177,"Fungus corpus"),exact(Metadata!E177,"Animal surface"),exact(Metadata!E177,"Animal proximal gut"),exact(Metadata!E177,"Animal corpus"),exact(Metadata!E177,"Animal distal gut"),exact(Metadata!E177,"Animal secretion")))</f>
        <v>0</v>
      </c>
      <c r="AG177">
        <f>OR(AND(IF(Metadata!F177="",FALSE,TRUE),OR(exact(Metadata!F177,"not collected"),exact(Metadata!F177,"not provided"),exact(Metadata!F177,"restricted access"))),AND(IF(Metadata!F177="",FALSE,TRUE),OR(exact(Metadata!F177,"organism-associated habitat"),exact(Metadata!F177,"plant-associated habitat"),exact(Metadata!F177,"animal-associated habitat"),exact(Metadata!F177,"insecta-associated habitat"),exact(Metadata!F177,"mammalia-associated habitat"),exact(Metadata!F177,"human-associated habitat"),exact(Metadata!F177,"livestock-associated habitat"))))</f>
        <v>0</v>
      </c>
      <c r="AH177">
        <f>AND(IF(Metadata!G177="",FALSE,TRUE),exact(Metadata!G177,"host-associated"))</f>
        <v>0</v>
      </c>
      <c r="AI177">
        <f>OR(AND(IF(Metadata!H177="",FALSE,TRUE),OR(exact(Metadata!H177,"not collected"),exact(Metadata!H177,"not provided"))),AND(IF(Metadata!H177="",FALSE,ISNUMBER(VALUE(Metadata!H177))),Metadata!H177&gt;0))</f>
        <v>0</v>
      </c>
      <c r="AJ177">
        <f>AND(IF(Metadata!I177="",FALSE,TRUE),exact(Metadata!I177,"years"))</f>
        <v>0</v>
      </c>
      <c r="AK177">
        <f>IF(Metadata!J177="",FALSE,TRUE)</f>
        <v>0</v>
      </c>
      <c r="AL177">
        <f>OR(AND(IF(Metadata!K177="",FALSE,TRUE),OR(exact(Metadata!K177,"not collected"),exact(Metadata!K177,"not provided"))),AND(IF(Metadata!K177="",FALSE,ISNUMBER(VALUE(Metadata!K177))),Metadata!K177&gt;0))</f>
        <v>0</v>
      </c>
      <c r="AM177">
        <f>AND(IF(Metadata!L177="",FALSE,TRUE),exact(Metadata!L177,"cm"))</f>
        <v>0</v>
      </c>
      <c r="AN177">
        <f>IF(Metadata!M177="",FALSE,TRUE)</f>
        <v>0</v>
      </c>
      <c r="AO177">
        <f>OR(AND(IF(Metadata!N177="",FALSE,TRUE),OR(exact(Metadata!N177,"not applicable"),exact(Metadata!N177,"not collected"),exact(Metadata!N177,"not provided"))),AND(IF(Metadata!N177="",FALSE,IF(ISERROR(INT(Metadata!N177)),FALSE,INT(Metadata!N177)=Metadata!N177)),Metadata!N177&gt;0))</f>
        <v>0</v>
      </c>
      <c r="AP177">
        <f>OR(AND(IF(Metadata!O177="",FALSE,TRUE),OR(exact(Metadata!O177,"not collected"),exact(Metadata!O177,"not provided"))),AND(IF(Metadata!O177="",FALSE,ISNUMBER(VALUE(Metadata!O177))),Metadata!O177&gt;0))</f>
        <v>0</v>
      </c>
      <c r="AQ177">
        <f>AND(IF(Metadata!P177="",FALSE,TRUE),exact(Metadata!P177,"kg"))</f>
        <v>0</v>
      </c>
      <c r="AR177">
        <f>OR(AND(IF(Metadata!Q177="",FALSE,TRUE),OR(exact(Metadata!Q177,"not applicable"),exact(Metadata!Q177,"not collected"),exact(Metadata!Q177,"not provided"),exact(Metadata!Q177,"restricted access"))),IF(Metadata!Q177="",FALSE,IF(ISERROR(INT(Metadata!Q177)),FALSE,INT(Metadata!Q177)=Metadata!Q177)))</f>
        <v>0</v>
      </c>
      <c r="AS177">
        <f>AND(IF(Metadata!R177="",FALSE,TRUE),exact(Metadata!R177,"Not applicable"))</f>
        <v>0</v>
      </c>
    </row>
    <row r="178" spans="1:45">
      <c r="A178" s="4">
        <f>IF(B178=" "," ",HYPERLINK(CONCATENATE("#metadata!",ADDRESS(INDEX($X$2:$X$1001,MATCH(ROWS($V$2:V178),$V$2:$V$1001,0),0),2)),INDEX($AA$2:$AA$1001,MATCH(ROWS($V$2:V178),$V$2:$V$1001,0),0)))</f>
        <v>0</v>
      </c>
      <c r="B178" s="5">
        <f>IF(OR(INDEX($W$2:$W$1001,MATCH(ROWS($V$2:V178),$V$2:$V$1001,0),1)&gt;=100000,INDEX($AC$1005:$AS$1005,1,MATCH(COLUMNS($AC$1006:AC1006),$AC$1006:$AS$1006,0))&gt;=100000), " ",IF(INDEX($AC$2:$AS$1001,MATCH(ROWS($V$2:V178),$V$2:$V$1001,0),MATCH(COLUMNS($AC$1006:AC1006),$AC$1006:$AS$1006,0)), HYPERLINK("#",""), HYPERLINK(CONCATENATE("#Metadata!", ADDRESS(INDEX($X$2:$X$1001,MATCH(ROWS($V$2:V178),$V$2:$V$1001,0),0), INDEX($AC$1004:$AS$1004,1,MATCH(COLUMNS($AC$1006:AC1006),$AC$1006:$AS$1006,0)))),"Fix")))</f>
        <v>0</v>
      </c>
      <c r="C178" s="5">
        <f>IF(OR(INDEX($W$2:$W$1001,MATCH(ROWS($V$2:V178),$V$2:$V$1001,0),1)&gt;=100000,INDEX($AC$1005:$AS$1005,1,MATCH(COLUMNS($AC$1006:AD1006),$AC$1006:$AS$1006,0))&gt;=100000), " ",IF(INDEX($AC$2:$AS$1001,MATCH(ROWS($V$2:V178),$V$2:$V$1001,0),MATCH(COLUMNS($AC$1006:AD1006),$AC$1006:$AS$1006,0)), HYPERLINK("#",""), HYPERLINK(CONCATENATE("#Metadata!", ADDRESS(INDEX($X$2:$X$1001,MATCH(ROWS($V$2:V178),$V$2:$V$1001,0),0), INDEX($AC$1004:$AS$1004,1,MATCH(COLUMNS($AC$1006:AD1006),$AC$1006:$AS$1006,0)))),"Fix")))</f>
        <v>0</v>
      </c>
      <c r="D178" s="5">
        <f>IF(OR(INDEX($W$2:$W$1001,MATCH(ROWS($V$2:V178),$V$2:$V$1001,0),1)&gt;=100000,INDEX($AC$1005:$AS$1005,1,MATCH(COLUMNS($AC$1006:AE1006),$AC$1006:$AS$1006,0))&gt;=100000), " ",IF(INDEX($AC$2:$AS$1001,MATCH(ROWS($V$2:V178),$V$2:$V$1001,0),MATCH(COLUMNS($AC$1006:AE1006),$AC$1006:$AS$1006,0)), HYPERLINK("#",""), HYPERLINK(CONCATENATE("#Metadata!", ADDRESS(INDEX($X$2:$X$1001,MATCH(ROWS($V$2:V178),$V$2:$V$1001,0),0), INDEX($AC$1004:$AS$1004,1,MATCH(COLUMNS($AC$1006:AE1006),$AC$1006:$AS$1006,0)))),"Fix")))</f>
        <v>0</v>
      </c>
      <c r="E178" s="5">
        <f>IF(OR(INDEX($W$2:$W$1001,MATCH(ROWS($V$2:V178),$V$2:$V$1001,0),1)&gt;=100000,INDEX($AC$1005:$AS$1005,1,MATCH(COLUMNS($AC$1006:AF1006),$AC$1006:$AS$1006,0))&gt;=100000), " ",IF(INDEX($AC$2:$AS$1001,MATCH(ROWS($V$2:V178),$V$2:$V$1001,0),MATCH(COLUMNS($AC$1006:AF1006),$AC$1006:$AS$1006,0)), HYPERLINK("#",""), HYPERLINK(CONCATENATE("#Metadata!", ADDRESS(INDEX($X$2:$X$1001,MATCH(ROWS($V$2:V178),$V$2:$V$1001,0),0), INDEX($AC$1004:$AS$1004,1,MATCH(COLUMNS($AC$1006:AF1006),$AC$1006:$AS$1006,0)))),"Fix")))</f>
        <v>0</v>
      </c>
      <c r="F178" s="5">
        <f>IF(OR(INDEX($W$2:$W$1001,MATCH(ROWS($V$2:V178),$V$2:$V$1001,0),1)&gt;=100000,INDEX($AC$1005:$AS$1005,1,MATCH(COLUMNS($AC$1006:AG1006),$AC$1006:$AS$1006,0))&gt;=100000), " ",IF(INDEX($AC$2:$AS$1001,MATCH(ROWS($V$2:V178),$V$2:$V$1001,0),MATCH(COLUMNS($AC$1006:AG1006),$AC$1006:$AS$1006,0)), HYPERLINK("#",""), HYPERLINK(CONCATENATE("#Metadata!", ADDRESS(INDEX($X$2:$X$1001,MATCH(ROWS($V$2:V178),$V$2:$V$1001,0),0), INDEX($AC$1004:$AS$1004,1,MATCH(COLUMNS($AC$1006:AG1006),$AC$1006:$AS$1006,0)))),"Fix")))</f>
        <v>0</v>
      </c>
      <c r="G178" s="5">
        <f>IF(OR(INDEX($W$2:$W$1001,MATCH(ROWS($V$2:V178),$V$2:$V$1001,0),1)&gt;=100000,INDEX($AC$1005:$AS$1005,1,MATCH(COLUMNS($AC$1006:AH1006),$AC$1006:$AS$1006,0))&gt;=100000), " ",IF(INDEX($AC$2:$AS$1001,MATCH(ROWS($V$2:V178),$V$2:$V$1001,0),MATCH(COLUMNS($AC$1006:AH1006),$AC$1006:$AS$1006,0)), HYPERLINK("#",""), HYPERLINK(CONCATENATE("#Metadata!", ADDRESS(INDEX($X$2:$X$1001,MATCH(ROWS($V$2:V178),$V$2:$V$1001,0),0), INDEX($AC$1004:$AS$1004,1,MATCH(COLUMNS($AC$1006:AH1006),$AC$1006:$AS$1006,0)))),"Fix")))</f>
        <v>0</v>
      </c>
      <c r="H178" s="5">
        <f>IF(OR(INDEX($W$2:$W$1001,MATCH(ROWS($V$2:V178),$V$2:$V$1001,0),1)&gt;=100000,INDEX($AC$1005:$AS$1005,1,MATCH(COLUMNS($AC$1006:AI1006),$AC$1006:$AS$1006,0))&gt;=100000), " ",IF(INDEX($AC$2:$AS$1001,MATCH(ROWS($V$2:V178),$V$2:$V$1001,0),MATCH(COLUMNS($AC$1006:AI1006),$AC$1006:$AS$1006,0)), HYPERLINK("#",""), HYPERLINK(CONCATENATE("#Metadata!", ADDRESS(INDEX($X$2:$X$1001,MATCH(ROWS($V$2:V178),$V$2:$V$1001,0),0), INDEX($AC$1004:$AS$1004,1,MATCH(COLUMNS($AC$1006:AI1006),$AC$1006:$AS$1006,0)))),"Fix")))</f>
        <v>0</v>
      </c>
      <c r="I178" s="5">
        <f>IF(OR(INDEX($W$2:$W$1001,MATCH(ROWS($V$2:V178),$V$2:$V$1001,0),1)&gt;=100000,INDEX($AC$1005:$AS$1005,1,MATCH(COLUMNS($AC$1006:AJ1006),$AC$1006:$AS$1006,0))&gt;=100000), " ",IF(INDEX($AC$2:$AS$1001,MATCH(ROWS($V$2:V178),$V$2:$V$1001,0),MATCH(COLUMNS($AC$1006:AJ1006),$AC$1006:$AS$1006,0)), HYPERLINK("#",""), HYPERLINK(CONCATENATE("#Metadata!", ADDRESS(INDEX($X$2:$X$1001,MATCH(ROWS($V$2:V178),$V$2:$V$1001,0),0), INDEX($AC$1004:$AS$1004,1,MATCH(COLUMNS($AC$1006:AJ1006),$AC$1006:$AS$1006,0)))),"Fix")))</f>
        <v>0</v>
      </c>
      <c r="J178" s="5">
        <f>IF(OR(INDEX($W$2:$W$1001,MATCH(ROWS($V$2:V178),$V$2:$V$1001,0),1)&gt;=100000,INDEX($AC$1005:$AS$1005,1,MATCH(COLUMNS($AC$1006:AK1006),$AC$1006:$AS$1006,0))&gt;=100000), " ",IF(INDEX($AC$2:$AS$1001,MATCH(ROWS($V$2:V178),$V$2:$V$1001,0),MATCH(COLUMNS($AC$1006:AK1006),$AC$1006:$AS$1006,0)), HYPERLINK("#",""), HYPERLINK(CONCATENATE("#Metadata!", ADDRESS(INDEX($X$2:$X$1001,MATCH(ROWS($V$2:V178),$V$2:$V$1001,0),0), INDEX($AC$1004:$AS$1004,1,MATCH(COLUMNS($AC$1006:AK1006),$AC$1006:$AS$1006,0)))),"Fix")))</f>
        <v>0</v>
      </c>
      <c r="K178" s="5">
        <f>IF(OR(INDEX($W$2:$W$1001,MATCH(ROWS($V$2:V178),$V$2:$V$1001,0),1)&gt;=100000,INDEX($AC$1005:$AS$1005,1,MATCH(COLUMNS($AC$1006:AL1006),$AC$1006:$AS$1006,0))&gt;=100000), " ",IF(INDEX($AC$2:$AS$1001,MATCH(ROWS($V$2:V178),$V$2:$V$1001,0),MATCH(COLUMNS($AC$1006:AL1006),$AC$1006:$AS$1006,0)), HYPERLINK("#",""), HYPERLINK(CONCATENATE("#Metadata!", ADDRESS(INDEX($X$2:$X$1001,MATCH(ROWS($V$2:V178),$V$2:$V$1001,0),0), INDEX($AC$1004:$AS$1004,1,MATCH(COLUMNS($AC$1006:AL1006),$AC$1006:$AS$1006,0)))),"Fix")))</f>
        <v>0</v>
      </c>
      <c r="L178" s="5">
        <f>IF(OR(INDEX($W$2:$W$1001,MATCH(ROWS($V$2:V178),$V$2:$V$1001,0),1)&gt;=100000,INDEX($AC$1005:$AS$1005,1,MATCH(COLUMNS($AC$1006:AM1006),$AC$1006:$AS$1006,0))&gt;=100000), " ",IF(INDEX($AC$2:$AS$1001,MATCH(ROWS($V$2:V178),$V$2:$V$1001,0),MATCH(COLUMNS($AC$1006:AM1006),$AC$1006:$AS$1006,0)), HYPERLINK("#",""), HYPERLINK(CONCATENATE("#Metadata!", ADDRESS(INDEX($X$2:$X$1001,MATCH(ROWS($V$2:V178),$V$2:$V$1001,0),0), INDEX($AC$1004:$AS$1004,1,MATCH(COLUMNS($AC$1006:AM1006),$AC$1006:$AS$1006,0)))),"Fix")))</f>
        <v>0</v>
      </c>
      <c r="M178" s="5">
        <f>IF(OR(INDEX($W$2:$W$1001,MATCH(ROWS($V$2:V178),$V$2:$V$1001,0),1)&gt;=100000,INDEX($AC$1005:$AS$1005,1,MATCH(COLUMNS($AC$1006:AN1006),$AC$1006:$AS$1006,0))&gt;=100000), " ",IF(INDEX($AC$2:$AS$1001,MATCH(ROWS($V$2:V178),$V$2:$V$1001,0),MATCH(COLUMNS($AC$1006:AN1006),$AC$1006:$AS$1006,0)), HYPERLINK("#",""), HYPERLINK(CONCATENATE("#Metadata!", ADDRESS(INDEX($X$2:$X$1001,MATCH(ROWS($V$2:V178),$V$2:$V$1001,0),0), INDEX($AC$1004:$AS$1004,1,MATCH(COLUMNS($AC$1006:AN1006),$AC$1006:$AS$1006,0)))),"Fix")))</f>
        <v>0</v>
      </c>
      <c r="N178" s="5">
        <f>IF(OR(INDEX($W$2:$W$1001,MATCH(ROWS($V$2:V178),$V$2:$V$1001,0),1)&gt;=100000,INDEX($AC$1005:$AS$1005,1,MATCH(COLUMNS($AC$1006:AO1006),$AC$1006:$AS$1006,0))&gt;=100000), " ",IF(INDEX($AC$2:$AS$1001,MATCH(ROWS($V$2:V178),$V$2:$V$1001,0),MATCH(COLUMNS($AC$1006:AO1006),$AC$1006:$AS$1006,0)), HYPERLINK("#",""), HYPERLINK(CONCATENATE("#Metadata!", ADDRESS(INDEX($X$2:$X$1001,MATCH(ROWS($V$2:V178),$V$2:$V$1001,0),0), INDEX($AC$1004:$AS$1004,1,MATCH(COLUMNS($AC$1006:AO1006),$AC$1006:$AS$1006,0)))),"Fix")))</f>
        <v>0</v>
      </c>
      <c r="O178" s="5">
        <f>IF(OR(INDEX($W$2:$W$1001,MATCH(ROWS($V$2:V178),$V$2:$V$1001,0),1)&gt;=100000,INDEX($AC$1005:$AS$1005,1,MATCH(COLUMNS($AC$1006:AP1006),$AC$1006:$AS$1006,0))&gt;=100000), " ",IF(INDEX($AC$2:$AS$1001,MATCH(ROWS($V$2:V178),$V$2:$V$1001,0),MATCH(COLUMNS($AC$1006:AP1006),$AC$1006:$AS$1006,0)), HYPERLINK("#",""), HYPERLINK(CONCATENATE("#Metadata!", ADDRESS(INDEX($X$2:$X$1001,MATCH(ROWS($V$2:V178),$V$2:$V$1001,0),0), INDEX($AC$1004:$AS$1004,1,MATCH(COLUMNS($AC$1006:AP1006),$AC$1006:$AS$1006,0)))),"Fix")))</f>
        <v>0</v>
      </c>
      <c r="P178" s="5">
        <f>IF(OR(INDEX($W$2:$W$1001,MATCH(ROWS($V$2:V178),$V$2:$V$1001,0),1)&gt;=100000,INDEX($AC$1005:$AS$1005,1,MATCH(COLUMNS($AC$1006:AQ1006),$AC$1006:$AS$1006,0))&gt;=100000), " ",IF(INDEX($AC$2:$AS$1001,MATCH(ROWS($V$2:V178),$V$2:$V$1001,0),MATCH(COLUMNS($AC$1006:AQ1006),$AC$1006:$AS$1006,0)), HYPERLINK("#",""), HYPERLINK(CONCATENATE("#Metadata!", ADDRESS(INDEX($X$2:$X$1001,MATCH(ROWS($V$2:V178),$V$2:$V$1001,0),0), INDEX($AC$1004:$AS$1004,1,MATCH(COLUMNS($AC$1006:AQ1006),$AC$1006:$AS$1006,0)))),"Fix")))</f>
        <v>0</v>
      </c>
      <c r="Q178" s="5">
        <f>IF(OR(INDEX($W$2:$W$1001,MATCH(ROWS($V$2:V178),$V$2:$V$1001,0),1)&gt;=100000,INDEX($AC$1005:$AS$1005,1,MATCH(COLUMNS($AC$1006:AR1006),$AC$1006:$AS$1006,0))&gt;=100000), " ",IF(INDEX($AC$2:$AS$1001,MATCH(ROWS($V$2:V178),$V$2:$V$1001,0),MATCH(COLUMNS($AC$1006:AR1006),$AC$1006:$AS$1006,0)), HYPERLINK("#",""), HYPERLINK(CONCATENATE("#Metadata!", ADDRESS(INDEX($X$2:$X$1001,MATCH(ROWS($V$2:V178),$V$2:$V$1001,0),0), INDEX($AC$1004:$AS$1004,1,MATCH(COLUMNS($AC$1006:AR1006),$AC$1006:$AS$1006,0)))),"Fix")))</f>
        <v>0</v>
      </c>
      <c r="R178" s="5">
        <f>IF(OR(INDEX($W$2:$W$1001,MATCH(ROWS($V$2:V178),$V$2:$V$1001,0),1)&gt;=100000,INDEX($AC$1005:$AS$1005,1,MATCH(COLUMNS($AC$1006:AS1006),$AC$1006:$AS$1006,0))&gt;=100000), " ",IF(INDEX($AC$2:$AS$1001,MATCH(ROWS($V$2:V178),$V$2:$V$1001,0),MATCH(COLUMNS($AC$1006:AS1006),$AC$1006:$AS$1006,0)), HYPERLINK("#",""), HYPERLINK(CONCATENATE("#Metadata!", ADDRESS(INDEX($X$2:$X$1001,MATCH(ROWS($V$2:V178),$V$2:$V$1001,0),0), INDEX($AC$1004:$AS$1004,1,MATCH(COLUMNS($AC$1006:AS1006),$AC$1006:$AS$1006,0)))),"Fix")))</f>
        <v>0</v>
      </c>
      <c r="V178">
        <v>0</v>
      </c>
      <c r="W178">
        <v>0</v>
      </c>
      <c r="X178">
        <v>0</v>
      </c>
      <c r="Y178">
        <f>IF(Z178,TRUE,AND(AC178:AS178))</f>
        <v>0</v>
      </c>
      <c r="Z178">
        <f>COUNTBLANK(Metadata!B178:R178)=COLUMNS(Metadata!B178:R178)</f>
        <v>0</v>
      </c>
      <c r="AA178">
        <v>0</v>
      </c>
      <c r="AC178">
        <f>AND(IF(Metadata!B178="",FALSE,TRUE),COUNTIF(Metadata!B:B, Metadata!B178) = 1,NOT(ISERROR(SUMPRODUCT(SEARCH(MID(Metadata!B178,ROW(INDIRECT("1:"&amp;LEN(Metadata!B178))), 1),"0123456789abcdefghijklmnopqrstuvwxyzABCDEFGHIJKLMNOPQRSTUVWXYZ.")))))</f>
        <v>0</v>
      </c>
      <c r="AD178">
        <f>AND(IF(Metadata!C178="",FALSE,TRUE),exact(Metadata!C178,"Host-associated"))</f>
        <v>0</v>
      </c>
      <c r="AE178">
        <f>AND(IF(Metadata!D178="",FALSE,TRUE),OR(exact(Metadata!D178,"Animal"),exact(Metadata!D178,"Fungus"),exact(Metadata!D178,"Plant")))</f>
        <v>0</v>
      </c>
      <c r="AF178">
        <f>AND(IF(Metadata!E178="",FALSE,TRUE),OR(exact(Metadata!E178,"Plant secretion"),exact(Metadata!E178,"Plant rhizosphere"),exact(Metadata!E178,"Plant surface"),exact(Metadata!E178,"Plant corpus"),exact(Metadata!E178,"Fungus surface"),exact(Metadata!E178,"Fungus corpus"),exact(Metadata!E178,"Animal surface"),exact(Metadata!E178,"Animal proximal gut"),exact(Metadata!E178,"Animal corpus"),exact(Metadata!E178,"Animal distal gut"),exact(Metadata!E178,"Animal secretion")))</f>
        <v>0</v>
      </c>
      <c r="AG178">
        <f>OR(AND(IF(Metadata!F178="",FALSE,TRUE),OR(exact(Metadata!F178,"not collected"),exact(Metadata!F178,"not provided"),exact(Metadata!F178,"restricted access"))),AND(IF(Metadata!F178="",FALSE,TRUE),OR(exact(Metadata!F178,"organism-associated habitat"),exact(Metadata!F178,"plant-associated habitat"),exact(Metadata!F178,"animal-associated habitat"),exact(Metadata!F178,"insecta-associated habitat"),exact(Metadata!F178,"mammalia-associated habitat"),exact(Metadata!F178,"human-associated habitat"),exact(Metadata!F178,"livestock-associated habitat"))))</f>
        <v>0</v>
      </c>
      <c r="AH178">
        <f>AND(IF(Metadata!G178="",FALSE,TRUE),exact(Metadata!G178,"host-associated"))</f>
        <v>0</v>
      </c>
      <c r="AI178">
        <f>OR(AND(IF(Metadata!H178="",FALSE,TRUE),OR(exact(Metadata!H178,"not collected"),exact(Metadata!H178,"not provided"))),AND(IF(Metadata!H178="",FALSE,ISNUMBER(VALUE(Metadata!H178))),Metadata!H178&gt;0))</f>
        <v>0</v>
      </c>
      <c r="AJ178">
        <f>AND(IF(Metadata!I178="",FALSE,TRUE),exact(Metadata!I178,"years"))</f>
        <v>0</v>
      </c>
      <c r="AK178">
        <f>IF(Metadata!J178="",FALSE,TRUE)</f>
        <v>0</v>
      </c>
      <c r="AL178">
        <f>OR(AND(IF(Metadata!K178="",FALSE,TRUE),OR(exact(Metadata!K178,"not collected"),exact(Metadata!K178,"not provided"))),AND(IF(Metadata!K178="",FALSE,ISNUMBER(VALUE(Metadata!K178))),Metadata!K178&gt;0))</f>
        <v>0</v>
      </c>
      <c r="AM178">
        <f>AND(IF(Metadata!L178="",FALSE,TRUE),exact(Metadata!L178,"cm"))</f>
        <v>0</v>
      </c>
      <c r="AN178">
        <f>IF(Metadata!M178="",FALSE,TRUE)</f>
        <v>0</v>
      </c>
      <c r="AO178">
        <f>OR(AND(IF(Metadata!N178="",FALSE,TRUE),OR(exact(Metadata!N178,"not applicable"),exact(Metadata!N178,"not collected"),exact(Metadata!N178,"not provided"))),AND(IF(Metadata!N178="",FALSE,IF(ISERROR(INT(Metadata!N178)),FALSE,INT(Metadata!N178)=Metadata!N178)),Metadata!N178&gt;0))</f>
        <v>0</v>
      </c>
      <c r="AP178">
        <f>OR(AND(IF(Metadata!O178="",FALSE,TRUE),OR(exact(Metadata!O178,"not collected"),exact(Metadata!O178,"not provided"))),AND(IF(Metadata!O178="",FALSE,ISNUMBER(VALUE(Metadata!O178))),Metadata!O178&gt;0))</f>
        <v>0</v>
      </c>
      <c r="AQ178">
        <f>AND(IF(Metadata!P178="",FALSE,TRUE),exact(Metadata!P178,"kg"))</f>
        <v>0</v>
      </c>
      <c r="AR178">
        <f>OR(AND(IF(Metadata!Q178="",FALSE,TRUE),OR(exact(Metadata!Q178,"not applicable"),exact(Metadata!Q178,"not collected"),exact(Metadata!Q178,"not provided"),exact(Metadata!Q178,"restricted access"))),IF(Metadata!Q178="",FALSE,IF(ISERROR(INT(Metadata!Q178)),FALSE,INT(Metadata!Q178)=Metadata!Q178)))</f>
        <v>0</v>
      </c>
      <c r="AS178">
        <f>AND(IF(Metadata!R178="",FALSE,TRUE),exact(Metadata!R178,"Not applicable"))</f>
        <v>0</v>
      </c>
    </row>
    <row r="179" spans="1:45">
      <c r="A179" s="4">
        <f>IF(B179=" "," ",HYPERLINK(CONCATENATE("#metadata!",ADDRESS(INDEX($X$2:$X$1001,MATCH(ROWS($V$2:V179),$V$2:$V$1001,0),0),2)),INDEX($AA$2:$AA$1001,MATCH(ROWS($V$2:V179),$V$2:$V$1001,0),0)))</f>
        <v>0</v>
      </c>
      <c r="B179" s="5">
        <f>IF(OR(INDEX($W$2:$W$1001,MATCH(ROWS($V$2:V179),$V$2:$V$1001,0),1)&gt;=100000,INDEX($AC$1005:$AS$1005,1,MATCH(COLUMNS($AC$1006:AC1006),$AC$1006:$AS$1006,0))&gt;=100000), " ",IF(INDEX($AC$2:$AS$1001,MATCH(ROWS($V$2:V179),$V$2:$V$1001,0),MATCH(COLUMNS($AC$1006:AC1006),$AC$1006:$AS$1006,0)), HYPERLINK("#",""), HYPERLINK(CONCATENATE("#Metadata!", ADDRESS(INDEX($X$2:$X$1001,MATCH(ROWS($V$2:V179),$V$2:$V$1001,0),0), INDEX($AC$1004:$AS$1004,1,MATCH(COLUMNS($AC$1006:AC1006),$AC$1006:$AS$1006,0)))),"Fix")))</f>
        <v>0</v>
      </c>
      <c r="C179" s="5">
        <f>IF(OR(INDEX($W$2:$W$1001,MATCH(ROWS($V$2:V179),$V$2:$V$1001,0),1)&gt;=100000,INDEX($AC$1005:$AS$1005,1,MATCH(COLUMNS($AC$1006:AD1006),$AC$1006:$AS$1006,0))&gt;=100000), " ",IF(INDEX($AC$2:$AS$1001,MATCH(ROWS($V$2:V179),$V$2:$V$1001,0),MATCH(COLUMNS($AC$1006:AD1006),$AC$1006:$AS$1006,0)), HYPERLINK("#",""), HYPERLINK(CONCATENATE("#Metadata!", ADDRESS(INDEX($X$2:$X$1001,MATCH(ROWS($V$2:V179),$V$2:$V$1001,0),0), INDEX($AC$1004:$AS$1004,1,MATCH(COLUMNS($AC$1006:AD1006),$AC$1006:$AS$1006,0)))),"Fix")))</f>
        <v>0</v>
      </c>
      <c r="D179" s="5">
        <f>IF(OR(INDEX($W$2:$W$1001,MATCH(ROWS($V$2:V179),$V$2:$V$1001,0),1)&gt;=100000,INDEX($AC$1005:$AS$1005,1,MATCH(COLUMNS($AC$1006:AE1006),$AC$1006:$AS$1006,0))&gt;=100000), " ",IF(INDEX($AC$2:$AS$1001,MATCH(ROWS($V$2:V179),$V$2:$V$1001,0),MATCH(COLUMNS($AC$1006:AE1006),$AC$1006:$AS$1006,0)), HYPERLINK("#",""), HYPERLINK(CONCATENATE("#Metadata!", ADDRESS(INDEX($X$2:$X$1001,MATCH(ROWS($V$2:V179),$V$2:$V$1001,0),0), INDEX($AC$1004:$AS$1004,1,MATCH(COLUMNS($AC$1006:AE1006),$AC$1006:$AS$1006,0)))),"Fix")))</f>
        <v>0</v>
      </c>
      <c r="E179" s="5">
        <f>IF(OR(INDEX($W$2:$W$1001,MATCH(ROWS($V$2:V179),$V$2:$V$1001,0),1)&gt;=100000,INDEX($AC$1005:$AS$1005,1,MATCH(COLUMNS($AC$1006:AF1006),$AC$1006:$AS$1006,0))&gt;=100000), " ",IF(INDEX($AC$2:$AS$1001,MATCH(ROWS($V$2:V179),$V$2:$V$1001,0),MATCH(COLUMNS($AC$1006:AF1006),$AC$1006:$AS$1006,0)), HYPERLINK("#",""), HYPERLINK(CONCATENATE("#Metadata!", ADDRESS(INDEX($X$2:$X$1001,MATCH(ROWS($V$2:V179),$V$2:$V$1001,0),0), INDEX($AC$1004:$AS$1004,1,MATCH(COLUMNS($AC$1006:AF1006),$AC$1006:$AS$1006,0)))),"Fix")))</f>
        <v>0</v>
      </c>
      <c r="F179" s="5">
        <f>IF(OR(INDEX($W$2:$W$1001,MATCH(ROWS($V$2:V179),$V$2:$V$1001,0),1)&gt;=100000,INDEX($AC$1005:$AS$1005,1,MATCH(COLUMNS($AC$1006:AG1006),$AC$1006:$AS$1006,0))&gt;=100000), " ",IF(INDEX($AC$2:$AS$1001,MATCH(ROWS($V$2:V179),$V$2:$V$1001,0),MATCH(COLUMNS($AC$1006:AG1006),$AC$1006:$AS$1006,0)), HYPERLINK("#",""), HYPERLINK(CONCATENATE("#Metadata!", ADDRESS(INDEX($X$2:$X$1001,MATCH(ROWS($V$2:V179),$V$2:$V$1001,0),0), INDEX($AC$1004:$AS$1004,1,MATCH(COLUMNS($AC$1006:AG1006),$AC$1006:$AS$1006,0)))),"Fix")))</f>
        <v>0</v>
      </c>
      <c r="G179" s="5">
        <f>IF(OR(INDEX($W$2:$W$1001,MATCH(ROWS($V$2:V179),$V$2:$V$1001,0),1)&gt;=100000,INDEX($AC$1005:$AS$1005,1,MATCH(COLUMNS($AC$1006:AH1006),$AC$1006:$AS$1006,0))&gt;=100000), " ",IF(INDEX($AC$2:$AS$1001,MATCH(ROWS($V$2:V179),$V$2:$V$1001,0),MATCH(COLUMNS($AC$1006:AH1006),$AC$1006:$AS$1006,0)), HYPERLINK("#",""), HYPERLINK(CONCATENATE("#Metadata!", ADDRESS(INDEX($X$2:$X$1001,MATCH(ROWS($V$2:V179),$V$2:$V$1001,0),0), INDEX($AC$1004:$AS$1004,1,MATCH(COLUMNS($AC$1006:AH1006),$AC$1006:$AS$1006,0)))),"Fix")))</f>
        <v>0</v>
      </c>
      <c r="H179" s="5">
        <f>IF(OR(INDEX($W$2:$W$1001,MATCH(ROWS($V$2:V179),$V$2:$V$1001,0),1)&gt;=100000,INDEX($AC$1005:$AS$1005,1,MATCH(COLUMNS($AC$1006:AI1006),$AC$1006:$AS$1006,0))&gt;=100000), " ",IF(INDEX($AC$2:$AS$1001,MATCH(ROWS($V$2:V179),$V$2:$V$1001,0),MATCH(COLUMNS($AC$1006:AI1006),$AC$1006:$AS$1006,0)), HYPERLINK("#",""), HYPERLINK(CONCATENATE("#Metadata!", ADDRESS(INDEX($X$2:$X$1001,MATCH(ROWS($V$2:V179),$V$2:$V$1001,0),0), INDEX($AC$1004:$AS$1004,1,MATCH(COLUMNS($AC$1006:AI1006),$AC$1006:$AS$1006,0)))),"Fix")))</f>
        <v>0</v>
      </c>
      <c r="I179" s="5">
        <f>IF(OR(INDEX($W$2:$W$1001,MATCH(ROWS($V$2:V179),$V$2:$V$1001,0),1)&gt;=100000,INDEX($AC$1005:$AS$1005,1,MATCH(COLUMNS($AC$1006:AJ1006),$AC$1006:$AS$1006,0))&gt;=100000), " ",IF(INDEX($AC$2:$AS$1001,MATCH(ROWS($V$2:V179),$V$2:$V$1001,0),MATCH(COLUMNS($AC$1006:AJ1006),$AC$1006:$AS$1006,0)), HYPERLINK("#",""), HYPERLINK(CONCATENATE("#Metadata!", ADDRESS(INDEX($X$2:$X$1001,MATCH(ROWS($V$2:V179),$V$2:$V$1001,0),0), INDEX($AC$1004:$AS$1004,1,MATCH(COLUMNS($AC$1006:AJ1006),$AC$1006:$AS$1006,0)))),"Fix")))</f>
        <v>0</v>
      </c>
      <c r="J179" s="5">
        <f>IF(OR(INDEX($W$2:$W$1001,MATCH(ROWS($V$2:V179),$V$2:$V$1001,0),1)&gt;=100000,INDEX($AC$1005:$AS$1005,1,MATCH(COLUMNS($AC$1006:AK1006),$AC$1006:$AS$1006,0))&gt;=100000), " ",IF(INDEX($AC$2:$AS$1001,MATCH(ROWS($V$2:V179),$V$2:$V$1001,0),MATCH(COLUMNS($AC$1006:AK1006),$AC$1006:$AS$1006,0)), HYPERLINK("#",""), HYPERLINK(CONCATENATE("#Metadata!", ADDRESS(INDEX($X$2:$X$1001,MATCH(ROWS($V$2:V179),$V$2:$V$1001,0),0), INDEX($AC$1004:$AS$1004,1,MATCH(COLUMNS($AC$1006:AK1006),$AC$1006:$AS$1006,0)))),"Fix")))</f>
        <v>0</v>
      </c>
      <c r="K179" s="5">
        <f>IF(OR(INDEX($W$2:$W$1001,MATCH(ROWS($V$2:V179),$V$2:$V$1001,0),1)&gt;=100000,INDEX($AC$1005:$AS$1005,1,MATCH(COLUMNS($AC$1006:AL1006),$AC$1006:$AS$1006,0))&gt;=100000), " ",IF(INDEX($AC$2:$AS$1001,MATCH(ROWS($V$2:V179),$V$2:$V$1001,0),MATCH(COLUMNS($AC$1006:AL1006),$AC$1006:$AS$1006,0)), HYPERLINK("#",""), HYPERLINK(CONCATENATE("#Metadata!", ADDRESS(INDEX($X$2:$X$1001,MATCH(ROWS($V$2:V179),$V$2:$V$1001,0),0), INDEX($AC$1004:$AS$1004,1,MATCH(COLUMNS($AC$1006:AL1006),$AC$1006:$AS$1006,0)))),"Fix")))</f>
        <v>0</v>
      </c>
      <c r="L179" s="5">
        <f>IF(OR(INDEX($W$2:$W$1001,MATCH(ROWS($V$2:V179),$V$2:$V$1001,0),1)&gt;=100000,INDEX($AC$1005:$AS$1005,1,MATCH(COLUMNS($AC$1006:AM1006),$AC$1006:$AS$1006,0))&gt;=100000), " ",IF(INDEX($AC$2:$AS$1001,MATCH(ROWS($V$2:V179),$V$2:$V$1001,0),MATCH(COLUMNS($AC$1006:AM1006),$AC$1006:$AS$1006,0)), HYPERLINK("#",""), HYPERLINK(CONCATENATE("#Metadata!", ADDRESS(INDEX($X$2:$X$1001,MATCH(ROWS($V$2:V179),$V$2:$V$1001,0),0), INDEX($AC$1004:$AS$1004,1,MATCH(COLUMNS($AC$1006:AM1006),$AC$1006:$AS$1006,0)))),"Fix")))</f>
        <v>0</v>
      </c>
      <c r="M179" s="5">
        <f>IF(OR(INDEX($W$2:$W$1001,MATCH(ROWS($V$2:V179),$V$2:$V$1001,0),1)&gt;=100000,INDEX($AC$1005:$AS$1005,1,MATCH(COLUMNS($AC$1006:AN1006),$AC$1006:$AS$1006,0))&gt;=100000), " ",IF(INDEX($AC$2:$AS$1001,MATCH(ROWS($V$2:V179),$V$2:$V$1001,0),MATCH(COLUMNS($AC$1006:AN1006),$AC$1006:$AS$1006,0)), HYPERLINK("#",""), HYPERLINK(CONCATENATE("#Metadata!", ADDRESS(INDEX($X$2:$X$1001,MATCH(ROWS($V$2:V179),$V$2:$V$1001,0),0), INDEX($AC$1004:$AS$1004,1,MATCH(COLUMNS($AC$1006:AN1006),$AC$1006:$AS$1006,0)))),"Fix")))</f>
        <v>0</v>
      </c>
      <c r="N179" s="5">
        <f>IF(OR(INDEX($W$2:$W$1001,MATCH(ROWS($V$2:V179),$V$2:$V$1001,0),1)&gt;=100000,INDEX($AC$1005:$AS$1005,1,MATCH(COLUMNS($AC$1006:AO1006),$AC$1006:$AS$1006,0))&gt;=100000), " ",IF(INDEX($AC$2:$AS$1001,MATCH(ROWS($V$2:V179),$V$2:$V$1001,0),MATCH(COLUMNS($AC$1006:AO1006),$AC$1006:$AS$1006,0)), HYPERLINK("#",""), HYPERLINK(CONCATENATE("#Metadata!", ADDRESS(INDEX($X$2:$X$1001,MATCH(ROWS($V$2:V179),$V$2:$V$1001,0),0), INDEX($AC$1004:$AS$1004,1,MATCH(COLUMNS($AC$1006:AO1006),$AC$1006:$AS$1006,0)))),"Fix")))</f>
        <v>0</v>
      </c>
      <c r="O179" s="5">
        <f>IF(OR(INDEX($W$2:$W$1001,MATCH(ROWS($V$2:V179),$V$2:$V$1001,0),1)&gt;=100000,INDEX($AC$1005:$AS$1005,1,MATCH(COLUMNS($AC$1006:AP1006),$AC$1006:$AS$1006,0))&gt;=100000), " ",IF(INDEX($AC$2:$AS$1001,MATCH(ROWS($V$2:V179),$V$2:$V$1001,0),MATCH(COLUMNS($AC$1006:AP1006),$AC$1006:$AS$1006,0)), HYPERLINK("#",""), HYPERLINK(CONCATENATE("#Metadata!", ADDRESS(INDEX($X$2:$X$1001,MATCH(ROWS($V$2:V179),$V$2:$V$1001,0),0), INDEX($AC$1004:$AS$1004,1,MATCH(COLUMNS($AC$1006:AP1006),$AC$1006:$AS$1006,0)))),"Fix")))</f>
        <v>0</v>
      </c>
      <c r="P179" s="5">
        <f>IF(OR(INDEX($W$2:$W$1001,MATCH(ROWS($V$2:V179),$V$2:$V$1001,0),1)&gt;=100000,INDEX($AC$1005:$AS$1005,1,MATCH(COLUMNS($AC$1006:AQ1006),$AC$1006:$AS$1006,0))&gt;=100000), " ",IF(INDEX($AC$2:$AS$1001,MATCH(ROWS($V$2:V179),$V$2:$V$1001,0),MATCH(COLUMNS($AC$1006:AQ1006),$AC$1006:$AS$1006,0)), HYPERLINK("#",""), HYPERLINK(CONCATENATE("#Metadata!", ADDRESS(INDEX($X$2:$X$1001,MATCH(ROWS($V$2:V179),$V$2:$V$1001,0),0), INDEX($AC$1004:$AS$1004,1,MATCH(COLUMNS($AC$1006:AQ1006),$AC$1006:$AS$1006,0)))),"Fix")))</f>
        <v>0</v>
      </c>
      <c r="Q179" s="5">
        <f>IF(OR(INDEX($W$2:$W$1001,MATCH(ROWS($V$2:V179),$V$2:$V$1001,0),1)&gt;=100000,INDEX($AC$1005:$AS$1005,1,MATCH(COLUMNS($AC$1006:AR1006),$AC$1006:$AS$1006,0))&gt;=100000), " ",IF(INDEX($AC$2:$AS$1001,MATCH(ROWS($V$2:V179),$V$2:$V$1001,0),MATCH(COLUMNS($AC$1006:AR1006),$AC$1006:$AS$1006,0)), HYPERLINK("#",""), HYPERLINK(CONCATENATE("#Metadata!", ADDRESS(INDEX($X$2:$X$1001,MATCH(ROWS($V$2:V179),$V$2:$V$1001,0),0), INDEX($AC$1004:$AS$1004,1,MATCH(COLUMNS($AC$1006:AR1006),$AC$1006:$AS$1006,0)))),"Fix")))</f>
        <v>0</v>
      </c>
      <c r="R179" s="5">
        <f>IF(OR(INDEX($W$2:$W$1001,MATCH(ROWS($V$2:V179),$V$2:$V$1001,0),1)&gt;=100000,INDEX($AC$1005:$AS$1005,1,MATCH(COLUMNS($AC$1006:AS1006),$AC$1006:$AS$1006,0))&gt;=100000), " ",IF(INDEX($AC$2:$AS$1001,MATCH(ROWS($V$2:V179),$V$2:$V$1001,0),MATCH(COLUMNS($AC$1006:AS1006),$AC$1006:$AS$1006,0)), HYPERLINK("#",""), HYPERLINK(CONCATENATE("#Metadata!", ADDRESS(INDEX($X$2:$X$1001,MATCH(ROWS($V$2:V179),$V$2:$V$1001,0),0), INDEX($AC$1004:$AS$1004,1,MATCH(COLUMNS($AC$1006:AS1006),$AC$1006:$AS$1006,0)))),"Fix")))</f>
        <v>0</v>
      </c>
      <c r="V179">
        <v>0</v>
      </c>
      <c r="W179">
        <v>0</v>
      </c>
      <c r="X179">
        <v>0</v>
      </c>
      <c r="Y179">
        <f>IF(Z179,TRUE,AND(AC179:AS179))</f>
        <v>0</v>
      </c>
      <c r="Z179">
        <f>COUNTBLANK(Metadata!B179:R179)=COLUMNS(Metadata!B179:R179)</f>
        <v>0</v>
      </c>
      <c r="AA179">
        <v>0</v>
      </c>
      <c r="AC179">
        <f>AND(IF(Metadata!B179="",FALSE,TRUE),COUNTIF(Metadata!B:B, Metadata!B179) = 1,NOT(ISERROR(SUMPRODUCT(SEARCH(MID(Metadata!B179,ROW(INDIRECT("1:"&amp;LEN(Metadata!B179))), 1),"0123456789abcdefghijklmnopqrstuvwxyzABCDEFGHIJKLMNOPQRSTUVWXYZ.")))))</f>
        <v>0</v>
      </c>
      <c r="AD179">
        <f>AND(IF(Metadata!C179="",FALSE,TRUE),exact(Metadata!C179,"Host-associated"))</f>
        <v>0</v>
      </c>
      <c r="AE179">
        <f>AND(IF(Metadata!D179="",FALSE,TRUE),OR(exact(Metadata!D179,"Animal"),exact(Metadata!D179,"Fungus"),exact(Metadata!D179,"Plant")))</f>
        <v>0</v>
      </c>
      <c r="AF179">
        <f>AND(IF(Metadata!E179="",FALSE,TRUE),OR(exact(Metadata!E179,"Plant secretion"),exact(Metadata!E179,"Plant rhizosphere"),exact(Metadata!E179,"Plant surface"),exact(Metadata!E179,"Plant corpus"),exact(Metadata!E179,"Fungus surface"),exact(Metadata!E179,"Fungus corpus"),exact(Metadata!E179,"Animal surface"),exact(Metadata!E179,"Animal proximal gut"),exact(Metadata!E179,"Animal corpus"),exact(Metadata!E179,"Animal distal gut"),exact(Metadata!E179,"Animal secretion")))</f>
        <v>0</v>
      </c>
      <c r="AG179">
        <f>OR(AND(IF(Metadata!F179="",FALSE,TRUE),OR(exact(Metadata!F179,"not collected"),exact(Metadata!F179,"not provided"),exact(Metadata!F179,"restricted access"))),AND(IF(Metadata!F179="",FALSE,TRUE),OR(exact(Metadata!F179,"organism-associated habitat"),exact(Metadata!F179,"plant-associated habitat"),exact(Metadata!F179,"animal-associated habitat"),exact(Metadata!F179,"insecta-associated habitat"),exact(Metadata!F179,"mammalia-associated habitat"),exact(Metadata!F179,"human-associated habitat"),exact(Metadata!F179,"livestock-associated habitat"))))</f>
        <v>0</v>
      </c>
      <c r="AH179">
        <f>AND(IF(Metadata!G179="",FALSE,TRUE),exact(Metadata!G179,"host-associated"))</f>
        <v>0</v>
      </c>
      <c r="AI179">
        <f>OR(AND(IF(Metadata!H179="",FALSE,TRUE),OR(exact(Metadata!H179,"not collected"),exact(Metadata!H179,"not provided"))),AND(IF(Metadata!H179="",FALSE,ISNUMBER(VALUE(Metadata!H179))),Metadata!H179&gt;0))</f>
        <v>0</v>
      </c>
      <c r="AJ179">
        <f>AND(IF(Metadata!I179="",FALSE,TRUE),exact(Metadata!I179,"years"))</f>
        <v>0</v>
      </c>
      <c r="AK179">
        <f>IF(Metadata!J179="",FALSE,TRUE)</f>
        <v>0</v>
      </c>
      <c r="AL179">
        <f>OR(AND(IF(Metadata!K179="",FALSE,TRUE),OR(exact(Metadata!K179,"not collected"),exact(Metadata!K179,"not provided"))),AND(IF(Metadata!K179="",FALSE,ISNUMBER(VALUE(Metadata!K179))),Metadata!K179&gt;0))</f>
        <v>0</v>
      </c>
      <c r="AM179">
        <f>AND(IF(Metadata!L179="",FALSE,TRUE),exact(Metadata!L179,"cm"))</f>
        <v>0</v>
      </c>
      <c r="AN179">
        <f>IF(Metadata!M179="",FALSE,TRUE)</f>
        <v>0</v>
      </c>
      <c r="AO179">
        <f>OR(AND(IF(Metadata!N179="",FALSE,TRUE),OR(exact(Metadata!N179,"not applicable"),exact(Metadata!N179,"not collected"),exact(Metadata!N179,"not provided"))),AND(IF(Metadata!N179="",FALSE,IF(ISERROR(INT(Metadata!N179)),FALSE,INT(Metadata!N179)=Metadata!N179)),Metadata!N179&gt;0))</f>
        <v>0</v>
      </c>
      <c r="AP179">
        <f>OR(AND(IF(Metadata!O179="",FALSE,TRUE),OR(exact(Metadata!O179,"not collected"),exact(Metadata!O179,"not provided"))),AND(IF(Metadata!O179="",FALSE,ISNUMBER(VALUE(Metadata!O179))),Metadata!O179&gt;0))</f>
        <v>0</v>
      </c>
      <c r="AQ179">
        <f>AND(IF(Metadata!P179="",FALSE,TRUE),exact(Metadata!P179,"kg"))</f>
        <v>0</v>
      </c>
      <c r="AR179">
        <f>OR(AND(IF(Metadata!Q179="",FALSE,TRUE),OR(exact(Metadata!Q179,"not applicable"),exact(Metadata!Q179,"not collected"),exact(Metadata!Q179,"not provided"),exact(Metadata!Q179,"restricted access"))),IF(Metadata!Q179="",FALSE,IF(ISERROR(INT(Metadata!Q179)),FALSE,INT(Metadata!Q179)=Metadata!Q179)))</f>
        <v>0</v>
      </c>
      <c r="AS179">
        <f>AND(IF(Metadata!R179="",FALSE,TRUE),exact(Metadata!R179,"Not applicable"))</f>
        <v>0</v>
      </c>
    </row>
    <row r="180" spans="1:45">
      <c r="A180" s="4">
        <f>IF(B180=" "," ",HYPERLINK(CONCATENATE("#metadata!",ADDRESS(INDEX($X$2:$X$1001,MATCH(ROWS($V$2:V180),$V$2:$V$1001,0),0),2)),INDEX($AA$2:$AA$1001,MATCH(ROWS($V$2:V180),$V$2:$V$1001,0),0)))</f>
        <v>0</v>
      </c>
      <c r="B180" s="5">
        <f>IF(OR(INDEX($W$2:$W$1001,MATCH(ROWS($V$2:V180),$V$2:$V$1001,0),1)&gt;=100000,INDEX($AC$1005:$AS$1005,1,MATCH(COLUMNS($AC$1006:AC1006),$AC$1006:$AS$1006,0))&gt;=100000), " ",IF(INDEX($AC$2:$AS$1001,MATCH(ROWS($V$2:V180),$V$2:$V$1001,0),MATCH(COLUMNS($AC$1006:AC1006),$AC$1006:$AS$1006,0)), HYPERLINK("#",""), HYPERLINK(CONCATENATE("#Metadata!", ADDRESS(INDEX($X$2:$X$1001,MATCH(ROWS($V$2:V180),$V$2:$V$1001,0),0), INDEX($AC$1004:$AS$1004,1,MATCH(COLUMNS($AC$1006:AC1006),$AC$1006:$AS$1006,0)))),"Fix")))</f>
        <v>0</v>
      </c>
      <c r="C180" s="5">
        <f>IF(OR(INDEX($W$2:$W$1001,MATCH(ROWS($V$2:V180),$V$2:$V$1001,0),1)&gt;=100000,INDEX($AC$1005:$AS$1005,1,MATCH(COLUMNS($AC$1006:AD1006),$AC$1006:$AS$1006,0))&gt;=100000), " ",IF(INDEX($AC$2:$AS$1001,MATCH(ROWS($V$2:V180),$V$2:$V$1001,0),MATCH(COLUMNS($AC$1006:AD1006),$AC$1006:$AS$1006,0)), HYPERLINK("#",""), HYPERLINK(CONCATENATE("#Metadata!", ADDRESS(INDEX($X$2:$X$1001,MATCH(ROWS($V$2:V180),$V$2:$V$1001,0),0), INDEX($AC$1004:$AS$1004,1,MATCH(COLUMNS($AC$1006:AD1006),$AC$1006:$AS$1006,0)))),"Fix")))</f>
        <v>0</v>
      </c>
      <c r="D180" s="5">
        <f>IF(OR(INDEX($W$2:$W$1001,MATCH(ROWS($V$2:V180),$V$2:$V$1001,0),1)&gt;=100000,INDEX($AC$1005:$AS$1005,1,MATCH(COLUMNS($AC$1006:AE1006),$AC$1006:$AS$1006,0))&gt;=100000), " ",IF(INDEX($AC$2:$AS$1001,MATCH(ROWS($V$2:V180),$V$2:$V$1001,0),MATCH(COLUMNS($AC$1006:AE1006),$AC$1006:$AS$1006,0)), HYPERLINK("#",""), HYPERLINK(CONCATENATE("#Metadata!", ADDRESS(INDEX($X$2:$X$1001,MATCH(ROWS($V$2:V180),$V$2:$V$1001,0),0), INDEX($AC$1004:$AS$1004,1,MATCH(COLUMNS($AC$1006:AE1006),$AC$1006:$AS$1006,0)))),"Fix")))</f>
        <v>0</v>
      </c>
      <c r="E180" s="5">
        <f>IF(OR(INDEX($W$2:$W$1001,MATCH(ROWS($V$2:V180),$V$2:$V$1001,0),1)&gt;=100000,INDEX($AC$1005:$AS$1005,1,MATCH(COLUMNS($AC$1006:AF1006),$AC$1006:$AS$1006,0))&gt;=100000), " ",IF(INDEX($AC$2:$AS$1001,MATCH(ROWS($V$2:V180),$V$2:$V$1001,0),MATCH(COLUMNS($AC$1006:AF1006),$AC$1006:$AS$1006,0)), HYPERLINK("#",""), HYPERLINK(CONCATENATE("#Metadata!", ADDRESS(INDEX($X$2:$X$1001,MATCH(ROWS($V$2:V180),$V$2:$V$1001,0),0), INDEX($AC$1004:$AS$1004,1,MATCH(COLUMNS($AC$1006:AF1006),$AC$1006:$AS$1006,0)))),"Fix")))</f>
        <v>0</v>
      </c>
      <c r="F180" s="5">
        <f>IF(OR(INDEX($W$2:$W$1001,MATCH(ROWS($V$2:V180),$V$2:$V$1001,0),1)&gt;=100000,INDEX($AC$1005:$AS$1005,1,MATCH(COLUMNS($AC$1006:AG1006),$AC$1006:$AS$1006,0))&gt;=100000), " ",IF(INDEX($AC$2:$AS$1001,MATCH(ROWS($V$2:V180),$V$2:$V$1001,0),MATCH(COLUMNS($AC$1006:AG1006),$AC$1006:$AS$1006,0)), HYPERLINK("#",""), HYPERLINK(CONCATENATE("#Metadata!", ADDRESS(INDEX($X$2:$X$1001,MATCH(ROWS($V$2:V180),$V$2:$V$1001,0),0), INDEX($AC$1004:$AS$1004,1,MATCH(COLUMNS($AC$1006:AG1006),$AC$1006:$AS$1006,0)))),"Fix")))</f>
        <v>0</v>
      </c>
      <c r="G180" s="5">
        <f>IF(OR(INDEX($W$2:$W$1001,MATCH(ROWS($V$2:V180),$V$2:$V$1001,0),1)&gt;=100000,INDEX($AC$1005:$AS$1005,1,MATCH(COLUMNS($AC$1006:AH1006),$AC$1006:$AS$1006,0))&gt;=100000), " ",IF(INDEX($AC$2:$AS$1001,MATCH(ROWS($V$2:V180),$V$2:$V$1001,0),MATCH(COLUMNS($AC$1006:AH1006),$AC$1006:$AS$1006,0)), HYPERLINK("#",""), HYPERLINK(CONCATENATE("#Metadata!", ADDRESS(INDEX($X$2:$X$1001,MATCH(ROWS($V$2:V180),$V$2:$V$1001,0),0), INDEX($AC$1004:$AS$1004,1,MATCH(COLUMNS($AC$1006:AH1006),$AC$1006:$AS$1006,0)))),"Fix")))</f>
        <v>0</v>
      </c>
      <c r="H180" s="5">
        <f>IF(OR(INDEX($W$2:$W$1001,MATCH(ROWS($V$2:V180),$V$2:$V$1001,0),1)&gt;=100000,INDEX($AC$1005:$AS$1005,1,MATCH(COLUMNS($AC$1006:AI1006),$AC$1006:$AS$1006,0))&gt;=100000), " ",IF(INDEX($AC$2:$AS$1001,MATCH(ROWS($V$2:V180),$V$2:$V$1001,0),MATCH(COLUMNS($AC$1006:AI1006),$AC$1006:$AS$1006,0)), HYPERLINK("#",""), HYPERLINK(CONCATENATE("#Metadata!", ADDRESS(INDEX($X$2:$X$1001,MATCH(ROWS($V$2:V180),$V$2:$V$1001,0),0), INDEX($AC$1004:$AS$1004,1,MATCH(COLUMNS($AC$1006:AI1006),$AC$1006:$AS$1006,0)))),"Fix")))</f>
        <v>0</v>
      </c>
      <c r="I180" s="5">
        <f>IF(OR(INDEX($W$2:$W$1001,MATCH(ROWS($V$2:V180),$V$2:$V$1001,0),1)&gt;=100000,INDEX($AC$1005:$AS$1005,1,MATCH(COLUMNS($AC$1006:AJ1006),$AC$1006:$AS$1006,0))&gt;=100000), " ",IF(INDEX($AC$2:$AS$1001,MATCH(ROWS($V$2:V180),$V$2:$V$1001,0),MATCH(COLUMNS($AC$1006:AJ1006),$AC$1006:$AS$1006,0)), HYPERLINK("#",""), HYPERLINK(CONCATENATE("#Metadata!", ADDRESS(INDEX($X$2:$X$1001,MATCH(ROWS($V$2:V180),$V$2:$V$1001,0),0), INDEX($AC$1004:$AS$1004,1,MATCH(COLUMNS($AC$1006:AJ1006),$AC$1006:$AS$1006,0)))),"Fix")))</f>
        <v>0</v>
      </c>
      <c r="J180" s="5">
        <f>IF(OR(INDEX($W$2:$W$1001,MATCH(ROWS($V$2:V180),$V$2:$V$1001,0),1)&gt;=100000,INDEX($AC$1005:$AS$1005,1,MATCH(COLUMNS($AC$1006:AK1006),$AC$1006:$AS$1006,0))&gt;=100000), " ",IF(INDEX($AC$2:$AS$1001,MATCH(ROWS($V$2:V180),$V$2:$V$1001,0),MATCH(COLUMNS($AC$1006:AK1006),$AC$1006:$AS$1006,0)), HYPERLINK("#",""), HYPERLINK(CONCATENATE("#Metadata!", ADDRESS(INDEX($X$2:$X$1001,MATCH(ROWS($V$2:V180),$V$2:$V$1001,0),0), INDEX($AC$1004:$AS$1004,1,MATCH(COLUMNS($AC$1006:AK1006),$AC$1006:$AS$1006,0)))),"Fix")))</f>
        <v>0</v>
      </c>
      <c r="K180" s="5">
        <f>IF(OR(INDEX($W$2:$W$1001,MATCH(ROWS($V$2:V180),$V$2:$V$1001,0),1)&gt;=100000,INDEX($AC$1005:$AS$1005,1,MATCH(COLUMNS($AC$1006:AL1006),$AC$1006:$AS$1006,0))&gt;=100000), " ",IF(INDEX($AC$2:$AS$1001,MATCH(ROWS($V$2:V180),$V$2:$V$1001,0),MATCH(COLUMNS($AC$1006:AL1006),$AC$1006:$AS$1006,0)), HYPERLINK("#",""), HYPERLINK(CONCATENATE("#Metadata!", ADDRESS(INDEX($X$2:$X$1001,MATCH(ROWS($V$2:V180),$V$2:$V$1001,0),0), INDEX($AC$1004:$AS$1004,1,MATCH(COLUMNS($AC$1006:AL1006),$AC$1006:$AS$1006,0)))),"Fix")))</f>
        <v>0</v>
      </c>
      <c r="L180" s="5">
        <f>IF(OR(INDEX($W$2:$W$1001,MATCH(ROWS($V$2:V180),$V$2:$V$1001,0),1)&gt;=100000,INDEX($AC$1005:$AS$1005,1,MATCH(COLUMNS($AC$1006:AM1006),$AC$1006:$AS$1006,0))&gt;=100000), " ",IF(INDEX($AC$2:$AS$1001,MATCH(ROWS($V$2:V180),$V$2:$V$1001,0),MATCH(COLUMNS($AC$1006:AM1006),$AC$1006:$AS$1006,0)), HYPERLINK("#",""), HYPERLINK(CONCATENATE("#Metadata!", ADDRESS(INDEX($X$2:$X$1001,MATCH(ROWS($V$2:V180),$V$2:$V$1001,0),0), INDEX($AC$1004:$AS$1004,1,MATCH(COLUMNS($AC$1006:AM1006),$AC$1006:$AS$1006,0)))),"Fix")))</f>
        <v>0</v>
      </c>
      <c r="M180" s="5">
        <f>IF(OR(INDEX($W$2:$W$1001,MATCH(ROWS($V$2:V180),$V$2:$V$1001,0),1)&gt;=100000,INDEX($AC$1005:$AS$1005,1,MATCH(COLUMNS($AC$1006:AN1006),$AC$1006:$AS$1006,0))&gt;=100000), " ",IF(INDEX($AC$2:$AS$1001,MATCH(ROWS($V$2:V180),$V$2:$V$1001,0),MATCH(COLUMNS($AC$1006:AN1006),$AC$1006:$AS$1006,0)), HYPERLINK("#",""), HYPERLINK(CONCATENATE("#Metadata!", ADDRESS(INDEX($X$2:$X$1001,MATCH(ROWS($V$2:V180),$V$2:$V$1001,0),0), INDEX($AC$1004:$AS$1004,1,MATCH(COLUMNS($AC$1006:AN1006),$AC$1006:$AS$1006,0)))),"Fix")))</f>
        <v>0</v>
      </c>
      <c r="N180" s="5">
        <f>IF(OR(INDEX($W$2:$W$1001,MATCH(ROWS($V$2:V180),$V$2:$V$1001,0),1)&gt;=100000,INDEX($AC$1005:$AS$1005,1,MATCH(COLUMNS($AC$1006:AO1006),$AC$1006:$AS$1006,0))&gt;=100000), " ",IF(INDEX($AC$2:$AS$1001,MATCH(ROWS($V$2:V180),$V$2:$V$1001,0),MATCH(COLUMNS($AC$1006:AO1006),$AC$1006:$AS$1006,0)), HYPERLINK("#",""), HYPERLINK(CONCATENATE("#Metadata!", ADDRESS(INDEX($X$2:$X$1001,MATCH(ROWS($V$2:V180),$V$2:$V$1001,0),0), INDEX($AC$1004:$AS$1004,1,MATCH(COLUMNS($AC$1006:AO1006),$AC$1006:$AS$1006,0)))),"Fix")))</f>
        <v>0</v>
      </c>
      <c r="O180" s="5">
        <f>IF(OR(INDEX($W$2:$W$1001,MATCH(ROWS($V$2:V180),$V$2:$V$1001,0),1)&gt;=100000,INDEX($AC$1005:$AS$1005,1,MATCH(COLUMNS($AC$1006:AP1006),$AC$1006:$AS$1006,0))&gt;=100000), " ",IF(INDEX($AC$2:$AS$1001,MATCH(ROWS($V$2:V180),$V$2:$V$1001,0),MATCH(COLUMNS($AC$1006:AP1006),$AC$1006:$AS$1006,0)), HYPERLINK("#",""), HYPERLINK(CONCATENATE("#Metadata!", ADDRESS(INDEX($X$2:$X$1001,MATCH(ROWS($V$2:V180),$V$2:$V$1001,0),0), INDEX($AC$1004:$AS$1004,1,MATCH(COLUMNS($AC$1006:AP1006),$AC$1006:$AS$1006,0)))),"Fix")))</f>
        <v>0</v>
      </c>
      <c r="P180" s="5">
        <f>IF(OR(INDEX($W$2:$W$1001,MATCH(ROWS($V$2:V180),$V$2:$V$1001,0),1)&gt;=100000,INDEX($AC$1005:$AS$1005,1,MATCH(COLUMNS($AC$1006:AQ1006),$AC$1006:$AS$1006,0))&gt;=100000), " ",IF(INDEX($AC$2:$AS$1001,MATCH(ROWS($V$2:V180),$V$2:$V$1001,0),MATCH(COLUMNS($AC$1006:AQ1006),$AC$1006:$AS$1006,0)), HYPERLINK("#",""), HYPERLINK(CONCATENATE("#Metadata!", ADDRESS(INDEX($X$2:$X$1001,MATCH(ROWS($V$2:V180),$V$2:$V$1001,0),0), INDEX($AC$1004:$AS$1004,1,MATCH(COLUMNS($AC$1006:AQ1006),$AC$1006:$AS$1006,0)))),"Fix")))</f>
        <v>0</v>
      </c>
      <c r="Q180" s="5">
        <f>IF(OR(INDEX($W$2:$W$1001,MATCH(ROWS($V$2:V180),$V$2:$V$1001,0),1)&gt;=100000,INDEX($AC$1005:$AS$1005,1,MATCH(COLUMNS($AC$1006:AR1006),$AC$1006:$AS$1006,0))&gt;=100000), " ",IF(INDEX($AC$2:$AS$1001,MATCH(ROWS($V$2:V180),$V$2:$V$1001,0),MATCH(COLUMNS($AC$1006:AR1006),$AC$1006:$AS$1006,0)), HYPERLINK("#",""), HYPERLINK(CONCATENATE("#Metadata!", ADDRESS(INDEX($X$2:$X$1001,MATCH(ROWS($V$2:V180),$V$2:$V$1001,0),0), INDEX($AC$1004:$AS$1004,1,MATCH(COLUMNS($AC$1006:AR1006),$AC$1006:$AS$1006,0)))),"Fix")))</f>
        <v>0</v>
      </c>
      <c r="R180" s="5">
        <f>IF(OR(INDEX($W$2:$W$1001,MATCH(ROWS($V$2:V180),$V$2:$V$1001,0),1)&gt;=100000,INDEX($AC$1005:$AS$1005,1,MATCH(COLUMNS($AC$1006:AS1006),$AC$1006:$AS$1006,0))&gt;=100000), " ",IF(INDEX($AC$2:$AS$1001,MATCH(ROWS($V$2:V180),$V$2:$V$1001,0),MATCH(COLUMNS($AC$1006:AS1006),$AC$1006:$AS$1006,0)), HYPERLINK("#",""), HYPERLINK(CONCATENATE("#Metadata!", ADDRESS(INDEX($X$2:$X$1001,MATCH(ROWS($V$2:V180),$V$2:$V$1001,0),0), INDEX($AC$1004:$AS$1004,1,MATCH(COLUMNS($AC$1006:AS1006),$AC$1006:$AS$1006,0)))),"Fix")))</f>
        <v>0</v>
      </c>
      <c r="V180">
        <v>0</v>
      </c>
      <c r="W180">
        <v>0</v>
      </c>
      <c r="X180">
        <v>0</v>
      </c>
      <c r="Y180">
        <f>IF(Z180,TRUE,AND(AC180:AS180))</f>
        <v>0</v>
      </c>
      <c r="Z180">
        <f>COUNTBLANK(Metadata!B180:R180)=COLUMNS(Metadata!B180:R180)</f>
        <v>0</v>
      </c>
      <c r="AA180">
        <v>0</v>
      </c>
      <c r="AC180">
        <f>AND(IF(Metadata!B180="",FALSE,TRUE),COUNTIF(Metadata!B:B, Metadata!B180) = 1,NOT(ISERROR(SUMPRODUCT(SEARCH(MID(Metadata!B180,ROW(INDIRECT("1:"&amp;LEN(Metadata!B180))), 1),"0123456789abcdefghijklmnopqrstuvwxyzABCDEFGHIJKLMNOPQRSTUVWXYZ.")))))</f>
        <v>0</v>
      </c>
      <c r="AD180">
        <f>AND(IF(Metadata!C180="",FALSE,TRUE),exact(Metadata!C180,"Host-associated"))</f>
        <v>0</v>
      </c>
      <c r="AE180">
        <f>AND(IF(Metadata!D180="",FALSE,TRUE),OR(exact(Metadata!D180,"Animal"),exact(Metadata!D180,"Fungus"),exact(Metadata!D180,"Plant")))</f>
        <v>0</v>
      </c>
      <c r="AF180">
        <f>AND(IF(Metadata!E180="",FALSE,TRUE),OR(exact(Metadata!E180,"Plant secretion"),exact(Metadata!E180,"Plant rhizosphere"),exact(Metadata!E180,"Plant surface"),exact(Metadata!E180,"Plant corpus"),exact(Metadata!E180,"Fungus surface"),exact(Metadata!E180,"Fungus corpus"),exact(Metadata!E180,"Animal surface"),exact(Metadata!E180,"Animal proximal gut"),exact(Metadata!E180,"Animal corpus"),exact(Metadata!E180,"Animal distal gut"),exact(Metadata!E180,"Animal secretion")))</f>
        <v>0</v>
      </c>
      <c r="AG180">
        <f>OR(AND(IF(Metadata!F180="",FALSE,TRUE),OR(exact(Metadata!F180,"not collected"),exact(Metadata!F180,"not provided"),exact(Metadata!F180,"restricted access"))),AND(IF(Metadata!F180="",FALSE,TRUE),OR(exact(Metadata!F180,"organism-associated habitat"),exact(Metadata!F180,"plant-associated habitat"),exact(Metadata!F180,"animal-associated habitat"),exact(Metadata!F180,"insecta-associated habitat"),exact(Metadata!F180,"mammalia-associated habitat"),exact(Metadata!F180,"human-associated habitat"),exact(Metadata!F180,"livestock-associated habitat"))))</f>
        <v>0</v>
      </c>
      <c r="AH180">
        <f>AND(IF(Metadata!G180="",FALSE,TRUE),exact(Metadata!G180,"host-associated"))</f>
        <v>0</v>
      </c>
      <c r="AI180">
        <f>OR(AND(IF(Metadata!H180="",FALSE,TRUE),OR(exact(Metadata!H180,"not collected"),exact(Metadata!H180,"not provided"))),AND(IF(Metadata!H180="",FALSE,ISNUMBER(VALUE(Metadata!H180))),Metadata!H180&gt;0))</f>
        <v>0</v>
      </c>
      <c r="AJ180">
        <f>AND(IF(Metadata!I180="",FALSE,TRUE),exact(Metadata!I180,"years"))</f>
        <v>0</v>
      </c>
      <c r="AK180">
        <f>IF(Metadata!J180="",FALSE,TRUE)</f>
        <v>0</v>
      </c>
      <c r="AL180">
        <f>OR(AND(IF(Metadata!K180="",FALSE,TRUE),OR(exact(Metadata!K180,"not collected"),exact(Metadata!K180,"not provided"))),AND(IF(Metadata!K180="",FALSE,ISNUMBER(VALUE(Metadata!K180))),Metadata!K180&gt;0))</f>
        <v>0</v>
      </c>
      <c r="AM180">
        <f>AND(IF(Metadata!L180="",FALSE,TRUE),exact(Metadata!L180,"cm"))</f>
        <v>0</v>
      </c>
      <c r="AN180">
        <f>IF(Metadata!M180="",FALSE,TRUE)</f>
        <v>0</v>
      </c>
      <c r="AO180">
        <f>OR(AND(IF(Metadata!N180="",FALSE,TRUE),OR(exact(Metadata!N180,"not applicable"),exact(Metadata!N180,"not collected"),exact(Metadata!N180,"not provided"))),AND(IF(Metadata!N180="",FALSE,IF(ISERROR(INT(Metadata!N180)),FALSE,INT(Metadata!N180)=Metadata!N180)),Metadata!N180&gt;0))</f>
        <v>0</v>
      </c>
      <c r="AP180">
        <f>OR(AND(IF(Metadata!O180="",FALSE,TRUE),OR(exact(Metadata!O180,"not collected"),exact(Metadata!O180,"not provided"))),AND(IF(Metadata!O180="",FALSE,ISNUMBER(VALUE(Metadata!O180))),Metadata!O180&gt;0))</f>
        <v>0</v>
      </c>
      <c r="AQ180">
        <f>AND(IF(Metadata!P180="",FALSE,TRUE),exact(Metadata!P180,"kg"))</f>
        <v>0</v>
      </c>
      <c r="AR180">
        <f>OR(AND(IF(Metadata!Q180="",FALSE,TRUE),OR(exact(Metadata!Q180,"not applicable"),exact(Metadata!Q180,"not collected"),exact(Metadata!Q180,"not provided"),exact(Metadata!Q180,"restricted access"))),IF(Metadata!Q180="",FALSE,IF(ISERROR(INT(Metadata!Q180)),FALSE,INT(Metadata!Q180)=Metadata!Q180)))</f>
        <v>0</v>
      </c>
      <c r="AS180">
        <f>AND(IF(Metadata!R180="",FALSE,TRUE),exact(Metadata!R180,"Not applicable"))</f>
        <v>0</v>
      </c>
    </row>
    <row r="181" spans="1:45">
      <c r="A181" s="4">
        <f>IF(B181=" "," ",HYPERLINK(CONCATENATE("#metadata!",ADDRESS(INDEX($X$2:$X$1001,MATCH(ROWS($V$2:V181),$V$2:$V$1001,0),0),2)),INDEX($AA$2:$AA$1001,MATCH(ROWS($V$2:V181),$V$2:$V$1001,0),0)))</f>
        <v>0</v>
      </c>
      <c r="B181" s="5">
        <f>IF(OR(INDEX($W$2:$W$1001,MATCH(ROWS($V$2:V181),$V$2:$V$1001,0),1)&gt;=100000,INDEX($AC$1005:$AS$1005,1,MATCH(COLUMNS($AC$1006:AC1006),$AC$1006:$AS$1006,0))&gt;=100000), " ",IF(INDEX($AC$2:$AS$1001,MATCH(ROWS($V$2:V181),$V$2:$V$1001,0),MATCH(COLUMNS($AC$1006:AC1006),$AC$1006:$AS$1006,0)), HYPERLINK("#",""), HYPERLINK(CONCATENATE("#Metadata!", ADDRESS(INDEX($X$2:$X$1001,MATCH(ROWS($V$2:V181),$V$2:$V$1001,0),0), INDEX($AC$1004:$AS$1004,1,MATCH(COLUMNS($AC$1006:AC1006),$AC$1006:$AS$1006,0)))),"Fix")))</f>
        <v>0</v>
      </c>
      <c r="C181" s="5">
        <f>IF(OR(INDEX($W$2:$W$1001,MATCH(ROWS($V$2:V181),$V$2:$V$1001,0),1)&gt;=100000,INDEX($AC$1005:$AS$1005,1,MATCH(COLUMNS($AC$1006:AD1006),$AC$1006:$AS$1006,0))&gt;=100000), " ",IF(INDEX($AC$2:$AS$1001,MATCH(ROWS($V$2:V181),$V$2:$V$1001,0),MATCH(COLUMNS($AC$1006:AD1006),$AC$1006:$AS$1006,0)), HYPERLINK("#",""), HYPERLINK(CONCATENATE("#Metadata!", ADDRESS(INDEX($X$2:$X$1001,MATCH(ROWS($V$2:V181),$V$2:$V$1001,0),0), INDEX($AC$1004:$AS$1004,1,MATCH(COLUMNS($AC$1006:AD1006),$AC$1006:$AS$1006,0)))),"Fix")))</f>
        <v>0</v>
      </c>
      <c r="D181" s="5">
        <f>IF(OR(INDEX($W$2:$W$1001,MATCH(ROWS($V$2:V181),$V$2:$V$1001,0),1)&gt;=100000,INDEX($AC$1005:$AS$1005,1,MATCH(COLUMNS($AC$1006:AE1006),$AC$1006:$AS$1006,0))&gt;=100000), " ",IF(INDEX($AC$2:$AS$1001,MATCH(ROWS($V$2:V181),$V$2:$V$1001,0),MATCH(COLUMNS($AC$1006:AE1006),$AC$1006:$AS$1006,0)), HYPERLINK("#",""), HYPERLINK(CONCATENATE("#Metadata!", ADDRESS(INDEX($X$2:$X$1001,MATCH(ROWS($V$2:V181),$V$2:$V$1001,0),0), INDEX($AC$1004:$AS$1004,1,MATCH(COLUMNS($AC$1006:AE1006),$AC$1006:$AS$1006,0)))),"Fix")))</f>
        <v>0</v>
      </c>
      <c r="E181" s="5">
        <f>IF(OR(INDEX($W$2:$W$1001,MATCH(ROWS($V$2:V181),$V$2:$V$1001,0),1)&gt;=100000,INDEX($AC$1005:$AS$1005,1,MATCH(COLUMNS($AC$1006:AF1006),$AC$1006:$AS$1006,0))&gt;=100000), " ",IF(INDEX($AC$2:$AS$1001,MATCH(ROWS($V$2:V181),$V$2:$V$1001,0),MATCH(COLUMNS($AC$1006:AF1006),$AC$1006:$AS$1006,0)), HYPERLINK("#",""), HYPERLINK(CONCATENATE("#Metadata!", ADDRESS(INDEX($X$2:$X$1001,MATCH(ROWS($V$2:V181),$V$2:$V$1001,0),0), INDEX($AC$1004:$AS$1004,1,MATCH(COLUMNS($AC$1006:AF1006),$AC$1006:$AS$1006,0)))),"Fix")))</f>
        <v>0</v>
      </c>
      <c r="F181" s="5">
        <f>IF(OR(INDEX($W$2:$W$1001,MATCH(ROWS($V$2:V181),$V$2:$V$1001,0),1)&gt;=100000,INDEX($AC$1005:$AS$1005,1,MATCH(COLUMNS($AC$1006:AG1006),$AC$1006:$AS$1006,0))&gt;=100000), " ",IF(INDEX($AC$2:$AS$1001,MATCH(ROWS($V$2:V181),$V$2:$V$1001,0),MATCH(COLUMNS($AC$1006:AG1006),$AC$1006:$AS$1006,0)), HYPERLINK("#",""), HYPERLINK(CONCATENATE("#Metadata!", ADDRESS(INDEX($X$2:$X$1001,MATCH(ROWS($V$2:V181),$V$2:$V$1001,0),0), INDEX($AC$1004:$AS$1004,1,MATCH(COLUMNS($AC$1006:AG1006),$AC$1006:$AS$1006,0)))),"Fix")))</f>
        <v>0</v>
      </c>
      <c r="G181" s="5">
        <f>IF(OR(INDEX($W$2:$W$1001,MATCH(ROWS($V$2:V181),$V$2:$V$1001,0),1)&gt;=100000,INDEX($AC$1005:$AS$1005,1,MATCH(COLUMNS($AC$1006:AH1006),$AC$1006:$AS$1006,0))&gt;=100000), " ",IF(INDEX($AC$2:$AS$1001,MATCH(ROWS($V$2:V181),$V$2:$V$1001,0),MATCH(COLUMNS($AC$1006:AH1006),$AC$1006:$AS$1006,0)), HYPERLINK("#",""), HYPERLINK(CONCATENATE("#Metadata!", ADDRESS(INDEX($X$2:$X$1001,MATCH(ROWS($V$2:V181),$V$2:$V$1001,0),0), INDEX($AC$1004:$AS$1004,1,MATCH(COLUMNS($AC$1006:AH1006),$AC$1006:$AS$1006,0)))),"Fix")))</f>
        <v>0</v>
      </c>
      <c r="H181" s="5">
        <f>IF(OR(INDEX($W$2:$W$1001,MATCH(ROWS($V$2:V181),$V$2:$V$1001,0),1)&gt;=100000,INDEX($AC$1005:$AS$1005,1,MATCH(COLUMNS($AC$1006:AI1006),$AC$1006:$AS$1006,0))&gt;=100000), " ",IF(INDEX($AC$2:$AS$1001,MATCH(ROWS($V$2:V181),$V$2:$V$1001,0),MATCH(COLUMNS($AC$1006:AI1006),$AC$1006:$AS$1006,0)), HYPERLINK("#",""), HYPERLINK(CONCATENATE("#Metadata!", ADDRESS(INDEX($X$2:$X$1001,MATCH(ROWS($V$2:V181),$V$2:$V$1001,0),0), INDEX($AC$1004:$AS$1004,1,MATCH(COLUMNS($AC$1006:AI1006),$AC$1006:$AS$1006,0)))),"Fix")))</f>
        <v>0</v>
      </c>
      <c r="I181" s="5">
        <f>IF(OR(INDEX($W$2:$W$1001,MATCH(ROWS($V$2:V181),$V$2:$V$1001,0),1)&gt;=100000,INDEX($AC$1005:$AS$1005,1,MATCH(COLUMNS($AC$1006:AJ1006),$AC$1006:$AS$1006,0))&gt;=100000), " ",IF(INDEX($AC$2:$AS$1001,MATCH(ROWS($V$2:V181),$V$2:$V$1001,0),MATCH(COLUMNS($AC$1006:AJ1006),$AC$1006:$AS$1006,0)), HYPERLINK("#",""), HYPERLINK(CONCATENATE("#Metadata!", ADDRESS(INDEX($X$2:$X$1001,MATCH(ROWS($V$2:V181),$V$2:$V$1001,0),0), INDEX($AC$1004:$AS$1004,1,MATCH(COLUMNS($AC$1006:AJ1006),$AC$1006:$AS$1006,0)))),"Fix")))</f>
        <v>0</v>
      </c>
      <c r="J181" s="5">
        <f>IF(OR(INDEX($W$2:$W$1001,MATCH(ROWS($V$2:V181),$V$2:$V$1001,0),1)&gt;=100000,INDEX($AC$1005:$AS$1005,1,MATCH(COLUMNS($AC$1006:AK1006),$AC$1006:$AS$1006,0))&gt;=100000), " ",IF(INDEX($AC$2:$AS$1001,MATCH(ROWS($V$2:V181),$V$2:$V$1001,0),MATCH(COLUMNS($AC$1006:AK1006),$AC$1006:$AS$1006,0)), HYPERLINK("#",""), HYPERLINK(CONCATENATE("#Metadata!", ADDRESS(INDEX($X$2:$X$1001,MATCH(ROWS($V$2:V181),$V$2:$V$1001,0),0), INDEX($AC$1004:$AS$1004,1,MATCH(COLUMNS($AC$1006:AK1006),$AC$1006:$AS$1006,0)))),"Fix")))</f>
        <v>0</v>
      </c>
      <c r="K181" s="5">
        <f>IF(OR(INDEX($W$2:$W$1001,MATCH(ROWS($V$2:V181),$V$2:$V$1001,0),1)&gt;=100000,INDEX($AC$1005:$AS$1005,1,MATCH(COLUMNS($AC$1006:AL1006),$AC$1006:$AS$1006,0))&gt;=100000), " ",IF(INDEX($AC$2:$AS$1001,MATCH(ROWS($V$2:V181),$V$2:$V$1001,0),MATCH(COLUMNS($AC$1006:AL1006),$AC$1006:$AS$1006,0)), HYPERLINK("#",""), HYPERLINK(CONCATENATE("#Metadata!", ADDRESS(INDEX($X$2:$X$1001,MATCH(ROWS($V$2:V181),$V$2:$V$1001,0),0), INDEX($AC$1004:$AS$1004,1,MATCH(COLUMNS($AC$1006:AL1006),$AC$1006:$AS$1006,0)))),"Fix")))</f>
        <v>0</v>
      </c>
      <c r="L181" s="5">
        <f>IF(OR(INDEX($W$2:$W$1001,MATCH(ROWS($V$2:V181),$V$2:$V$1001,0),1)&gt;=100000,INDEX($AC$1005:$AS$1005,1,MATCH(COLUMNS($AC$1006:AM1006),$AC$1006:$AS$1006,0))&gt;=100000), " ",IF(INDEX($AC$2:$AS$1001,MATCH(ROWS($V$2:V181),$V$2:$V$1001,0),MATCH(COLUMNS($AC$1006:AM1006),$AC$1006:$AS$1006,0)), HYPERLINK("#",""), HYPERLINK(CONCATENATE("#Metadata!", ADDRESS(INDEX($X$2:$X$1001,MATCH(ROWS($V$2:V181),$V$2:$V$1001,0),0), INDEX($AC$1004:$AS$1004,1,MATCH(COLUMNS($AC$1006:AM1006),$AC$1006:$AS$1006,0)))),"Fix")))</f>
        <v>0</v>
      </c>
      <c r="M181" s="5">
        <f>IF(OR(INDEX($W$2:$W$1001,MATCH(ROWS($V$2:V181),$V$2:$V$1001,0),1)&gt;=100000,INDEX($AC$1005:$AS$1005,1,MATCH(COLUMNS($AC$1006:AN1006),$AC$1006:$AS$1006,0))&gt;=100000), " ",IF(INDEX($AC$2:$AS$1001,MATCH(ROWS($V$2:V181),$V$2:$V$1001,0),MATCH(COLUMNS($AC$1006:AN1006),$AC$1006:$AS$1006,0)), HYPERLINK("#",""), HYPERLINK(CONCATENATE("#Metadata!", ADDRESS(INDEX($X$2:$X$1001,MATCH(ROWS($V$2:V181),$V$2:$V$1001,0),0), INDEX($AC$1004:$AS$1004,1,MATCH(COLUMNS($AC$1006:AN1006),$AC$1006:$AS$1006,0)))),"Fix")))</f>
        <v>0</v>
      </c>
      <c r="N181" s="5">
        <f>IF(OR(INDEX($W$2:$W$1001,MATCH(ROWS($V$2:V181),$V$2:$V$1001,0),1)&gt;=100000,INDEX($AC$1005:$AS$1005,1,MATCH(COLUMNS($AC$1006:AO1006),$AC$1006:$AS$1006,0))&gt;=100000), " ",IF(INDEX($AC$2:$AS$1001,MATCH(ROWS($V$2:V181),$V$2:$V$1001,0),MATCH(COLUMNS($AC$1006:AO1006),$AC$1006:$AS$1006,0)), HYPERLINK("#",""), HYPERLINK(CONCATENATE("#Metadata!", ADDRESS(INDEX($X$2:$X$1001,MATCH(ROWS($V$2:V181),$V$2:$V$1001,0),0), INDEX($AC$1004:$AS$1004,1,MATCH(COLUMNS($AC$1006:AO1006),$AC$1006:$AS$1006,0)))),"Fix")))</f>
        <v>0</v>
      </c>
      <c r="O181" s="5">
        <f>IF(OR(INDEX($W$2:$W$1001,MATCH(ROWS($V$2:V181),$V$2:$V$1001,0),1)&gt;=100000,INDEX($AC$1005:$AS$1005,1,MATCH(COLUMNS($AC$1006:AP1006),$AC$1006:$AS$1006,0))&gt;=100000), " ",IF(INDEX($AC$2:$AS$1001,MATCH(ROWS($V$2:V181),$V$2:$V$1001,0),MATCH(COLUMNS($AC$1006:AP1006),$AC$1006:$AS$1006,0)), HYPERLINK("#",""), HYPERLINK(CONCATENATE("#Metadata!", ADDRESS(INDEX($X$2:$X$1001,MATCH(ROWS($V$2:V181),$V$2:$V$1001,0),0), INDEX($AC$1004:$AS$1004,1,MATCH(COLUMNS($AC$1006:AP1006),$AC$1006:$AS$1006,0)))),"Fix")))</f>
        <v>0</v>
      </c>
      <c r="P181" s="5">
        <f>IF(OR(INDEX($W$2:$W$1001,MATCH(ROWS($V$2:V181),$V$2:$V$1001,0),1)&gt;=100000,INDEX($AC$1005:$AS$1005,1,MATCH(COLUMNS($AC$1006:AQ1006),$AC$1006:$AS$1006,0))&gt;=100000), " ",IF(INDEX($AC$2:$AS$1001,MATCH(ROWS($V$2:V181),$V$2:$V$1001,0),MATCH(COLUMNS($AC$1006:AQ1006),$AC$1006:$AS$1006,0)), HYPERLINK("#",""), HYPERLINK(CONCATENATE("#Metadata!", ADDRESS(INDEX($X$2:$X$1001,MATCH(ROWS($V$2:V181),$V$2:$V$1001,0),0), INDEX($AC$1004:$AS$1004,1,MATCH(COLUMNS($AC$1006:AQ1006),$AC$1006:$AS$1006,0)))),"Fix")))</f>
        <v>0</v>
      </c>
      <c r="Q181" s="5">
        <f>IF(OR(INDEX($W$2:$W$1001,MATCH(ROWS($V$2:V181),$V$2:$V$1001,0),1)&gt;=100000,INDEX($AC$1005:$AS$1005,1,MATCH(COLUMNS($AC$1006:AR1006),$AC$1006:$AS$1006,0))&gt;=100000), " ",IF(INDEX($AC$2:$AS$1001,MATCH(ROWS($V$2:V181),$V$2:$V$1001,0),MATCH(COLUMNS($AC$1006:AR1006),$AC$1006:$AS$1006,0)), HYPERLINK("#",""), HYPERLINK(CONCATENATE("#Metadata!", ADDRESS(INDEX($X$2:$X$1001,MATCH(ROWS($V$2:V181),$V$2:$V$1001,0),0), INDEX($AC$1004:$AS$1004,1,MATCH(COLUMNS($AC$1006:AR1006),$AC$1006:$AS$1006,0)))),"Fix")))</f>
        <v>0</v>
      </c>
      <c r="R181" s="5">
        <f>IF(OR(INDEX($W$2:$W$1001,MATCH(ROWS($V$2:V181),$V$2:$V$1001,0),1)&gt;=100000,INDEX($AC$1005:$AS$1005,1,MATCH(COLUMNS($AC$1006:AS1006),$AC$1006:$AS$1006,0))&gt;=100000), " ",IF(INDEX($AC$2:$AS$1001,MATCH(ROWS($V$2:V181),$V$2:$V$1001,0),MATCH(COLUMNS($AC$1006:AS1006),$AC$1006:$AS$1006,0)), HYPERLINK("#",""), HYPERLINK(CONCATENATE("#Metadata!", ADDRESS(INDEX($X$2:$X$1001,MATCH(ROWS($V$2:V181),$V$2:$V$1001,0),0), INDEX($AC$1004:$AS$1004,1,MATCH(COLUMNS($AC$1006:AS1006),$AC$1006:$AS$1006,0)))),"Fix")))</f>
        <v>0</v>
      </c>
      <c r="V181">
        <v>0</v>
      </c>
      <c r="W181">
        <v>0</v>
      </c>
      <c r="X181">
        <v>0</v>
      </c>
      <c r="Y181">
        <f>IF(Z181,TRUE,AND(AC181:AS181))</f>
        <v>0</v>
      </c>
      <c r="Z181">
        <f>COUNTBLANK(Metadata!B181:R181)=COLUMNS(Metadata!B181:R181)</f>
        <v>0</v>
      </c>
      <c r="AA181">
        <v>0</v>
      </c>
      <c r="AC181">
        <f>AND(IF(Metadata!B181="",FALSE,TRUE),COUNTIF(Metadata!B:B, Metadata!B181) = 1,NOT(ISERROR(SUMPRODUCT(SEARCH(MID(Metadata!B181,ROW(INDIRECT("1:"&amp;LEN(Metadata!B181))), 1),"0123456789abcdefghijklmnopqrstuvwxyzABCDEFGHIJKLMNOPQRSTUVWXYZ.")))))</f>
        <v>0</v>
      </c>
      <c r="AD181">
        <f>AND(IF(Metadata!C181="",FALSE,TRUE),exact(Metadata!C181,"Host-associated"))</f>
        <v>0</v>
      </c>
      <c r="AE181">
        <f>AND(IF(Metadata!D181="",FALSE,TRUE),OR(exact(Metadata!D181,"Animal"),exact(Metadata!D181,"Fungus"),exact(Metadata!D181,"Plant")))</f>
        <v>0</v>
      </c>
      <c r="AF181">
        <f>AND(IF(Metadata!E181="",FALSE,TRUE),OR(exact(Metadata!E181,"Plant secretion"),exact(Metadata!E181,"Plant rhizosphere"),exact(Metadata!E181,"Plant surface"),exact(Metadata!E181,"Plant corpus"),exact(Metadata!E181,"Fungus surface"),exact(Metadata!E181,"Fungus corpus"),exact(Metadata!E181,"Animal surface"),exact(Metadata!E181,"Animal proximal gut"),exact(Metadata!E181,"Animal corpus"),exact(Metadata!E181,"Animal distal gut"),exact(Metadata!E181,"Animal secretion")))</f>
        <v>0</v>
      </c>
      <c r="AG181">
        <f>OR(AND(IF(Metadata!F181="",FALSE,TRUE),OR(exact(Metadata!F181,"not collected"),exact(Metadata!F181,"not provided"),exact(Metadata!F181,"restricted access"))),AND(IF(Metadata!F181="",FALSE,TRUE),OR(exact(Metadata!F181,"organism-associated habitat"),exact(Metadata!F181,"plant-associated habitat"),exact(Metadata!F181,"animal-associated habitat"),exact(Metadata!F181,"insecta-associated habitat"),exact(Metadata!F181,"mammalia-associated habitat"),exact(Metadata!F181,"human-associated habitat"),exact(Metadata!F181,"livestock-associated habitat"))))</f>
        <v>0</v>
      </c>
      <c r="AH181">
        <f>AND(IF(Metadata!G181="",FALSE,TRUE),exact(Metadata!G181,"host-associated"))</f>
        <v>0</v>
      </c>
      <c r="AI181">
        <f>OR(AND(IF(Metadata!H181="",FALSE,TRUE),OR(exact(Metadata!H181,"not collected"),exact(Metadata!H181,"not provided"))),AND(IF(Metadata!H181="",FALSE,ISNUMBER(VALUE(Metadata!H181))),Metadata!H181&gt;0))</f>
        <v>0</v>
      </c>
      <c r="AJ181">
        <f>AND(IF(Metadata!I181="",FALSE,TRUE),exact(Metadata!I181,"years"))</f>
        <v>0</v>
      </c>
      <c r="AK181">
        <f>IF(Metadata!J181="",FALSE,TRUE)</f>
        <v>0</v>
      </c>
      <c r="AL181">
        <f>OR(AND(IF(Metadata!K181="",FALSE,TRUE),OR(exact(Metadata!K181,"not collected"),exact(Metadata!K181,"not provided"))),AND(IF(Metadata!K181="",FALSE,ISNUMBER(VALUE(Metadata!K181))),Metadata!K181&gt;0))</f>
        <v>0</v>
      </c>
      <c r="AM181">
        <f>AND(IF(Metadata!L181="",FALSE,TRUE),exact(Metadata!L181,"cm"))</f>
        <v>0</v>
      </c>
      <c r="AN181">
        <f>IF(Metadata!M181="",FALSE,TRUE)</f>
        <v>0</v>
      </c>
      <c r="AO181">
        <f>OR(AND(IF(Metadata!N181="",FALSE,TRUE),OR(exact(Metadata!N181,"not applicable"),exact(Metadata!N181,"not collected"),exact(Metadata!N181,"not provided"))),AND(IF(Metadata!N181="",FALSE,IF(ISERROR(INT(Metadata!N181)),FALSE,INT(Metadata!N181)=Metadata!N181)),Metadata!N181&gt;0))</f>
        <v>0</v>
      </c>
      <c r="AP181">
        <f>OR(AND(IF(Metadata!O181="",FALSE,TRUE),OR(exact(Metadata!O181,"not collected"),exact(Metadata!O181,"not provided"))),AND(IF(Metadata!O181="",FALSE,ISNUMBER(VALUE(Metadata!O181))),Metadata!O181&gt;0))</f>
        <v>0</v>
      </c>
      <c r="AQ181">
        <f>AND(IF(Metadata!P181="",FALSE,TRUE),exact(Metadata!P181,"kg"))</f>
        <v>0</v>
      </c>
      <c r="AR181">
        <f>OR(AND(IF(Metadata!Q181="",FALSE,TRUE),OR(exact(Metadata!Q181,"not applicable"),exact(Metadata!Q181,"not collected"),exact(Metadata!Q181,"not provided"),exact(Metadata!Q181,"restricted access"))),IF(Metadata!Q181="",FALSE,IF(ISERROR(INT(Metadata!Q181)),FALSE,INT(Metadata!Q181)=Metadata!Q181)))</f>
        <v>0</v>
      </c>
      <c r="AS181">
        <f>AND(IF(Metadata!R181="",FALSE,TRUE),exact(Metadata!R181,"Not applicable"))</f>
        <v>0</v>
      </c>
    </row>
    <row r="182" spans="1:45">
      <c r="A182" s="4">
        <f>IF(B182=" "," ",HYPERLINK(CONCATENATE("#metadata!",ADDRESS(INDEX($X$2:$X$1001,MATCH(ROWS($V$2:V182),$V$2:$V$1001,0),0),2)),INDEX($AA$2:$AA$1001,MATCH(ROWS($V$2:V182),$V$2:$V$1001,0),0)))</f>
        <v>0</v>
      </c>
      <c r="B182" s="5">
        <f>IF(OR(INDEX($W$2:$W$1001,MATCH(ROWS($V$2:V182),$V$2:$V$1001,0),1)&gt;=100000,INDEX($AC$1005:$AS$1005,1,MATCH(COLUMNS($AC$1006:AC1006),$AC$1006:$AS$1006,0))&gt;=100000), " ",IF(INDEX($AC$2:$AS$1001,MATCH(ROWS($V$2:V182),$V$2:$V$1001,0),MATCH(COLUMNS($AC$1006:AC1006),$AC$1006:$AS$1006,0)), HYPERLINK("#",""), HYPERLINK(CONCATENATE("#Metadata!", ADDRESS(INDEX($X$2:$X$1001,MATCH(ROWS($V$2:V182),$V$2:$V$1001,0),0), INDEX($AC$1004:$AS$1004,1,MATCH(COLUMNS($AC$1006:AC1006),$AC$1006:$AS$1006,0)))),"Fix")))</f>
        <v>0</v>
      </c>
      <c r="C182" s="5">
        <f>IF(OR(INDEX($W$2:$W$1001,MATCH(ROWS($V$2:V182),$V$2:$V$1001,0),1)&gt;=100000,INDEX($AC$1005:$AS$1005,1,MATCH(COLUMNS($AC$1006:AD1006),$AC$1006:$AS$1006,0))&gt;=100000), " ",IF(INDEX($AC$2:$AS$1001,MATCH(ROWS($V$2:V182),$V$2:$V$1001,0),MATCH(COLUMNS($AC$1006:AD1006),$AC$1006:$AS$1006,0)), HYPERLINK("#",""), HYPERLINK(CONCATENATE("#Metadata!", ADDRESS(INDEX($X$2:$X$1001,MATCH(ROWS($V$2:V182),$V$2:$V$1001,0),0), INDEX($AC$1004:$AS$1004,1,MATCH(COLUMNS($AC$1006:AD1006),$AC$1006:$AS$1006,0)))),"Fix")))</f>
        <v>0</v>
      </c>
      <c r="D182" s="5">
        <f>IF(OR(INDEX($W$2:$W$1001,MATCH(ROWS($V$2:V182),$V$2:$V$1001,0),1)&gt;=100000,INDEX($AC$1005:$AS$1005,1,MATCH(COLUMNS($AC$1006:AE1006),$AC$1006:$AS$1006,0))&gt;=100000), " ",IF(INDEX($AC$2:$AS$1001,MATCH(ROWS($V$2:V182),$V$2:$V$1001,0),MATCH(COLUMNS($AC$1006:AE1006),$AC$1006:$AS$1006,0)), HYPERLINK("#",""), HYPERLINK(CONCATENATE("#Metadata!", ADDRESS(INDEX($X$2:$X$1001,MATCH(ROWS($V$2:V182),$V$2:$V$1001,0),0), INDEX($AC$1004:$AS$1004,1,MATCH(COLUMNS($AC$1006:AE1006),$AC$1006:$AS$1006,0)))),"Fix")))</f>
        <v>0</v>
      </c>
      <c r="E182" s="5">
        <f>IF(OR(INDEX($W$2:$W$1001,MATCH(ROWS($V$2:V182),$V$2:$V$1001,0),1)&gt;=100000,INDEX($AC$1005:$AS$1005,1,MATCH(COLUMNS($AC$1006:AF1006),$AC$1006:$AS$1006,0))&gt;=100000), " ",IF(INDEX($AC$2:$AS$1001,MATCH(ROWS($V$2:V182),$V$2:$V$1001,0),MATCH(COLUMNS($AC$1006:AF1006),$AC$1006:$AS$1006,0)), HYPERLINK("#",""), HYPERLINK(CONCATENATE("#Metadata!", ADDRESS(INDEX($X$2:$X$1001,MATCH(ROWS($V$2:V182),$V$2:$V$1001,0),0), INDEX($AC$1004:$AS$1004,1,MATCH(COLUMNS($AC$1006:AF1006),$AC$1006:$AS$1006,0)))),"Fix")))</f>
        <v>0</v>
      </c>
      <c r="F182" s="5">
        <f>IF(OR(INDEX($W$2:$W$1001,MATCH(ROWS($V$2:V182),$V$2:$V$1001,0),1)&gt;=100000,INDEX($AC$1005:$AS$1005,1,MATCH(COLUMNS($AC$1006:AG1006),$AC$1006:$AS$1006,0))&gt;=100000), " ",IF(INDEX($AC$2:$AS$1001,MATCH(ROWS($V$2:V182),$V$2:$V$1001,0),MATCH(COLUMNS($AC$1006:AG1006),$AC$1006:$AS$1006,0)), HYPERLINK("#",""), HYPERLINK(CONCATENATE("#Metadata!", ADDRESS(INDEX($X$2:$X$1001,MATCH(ROWS($V$2:V182),$V$2:$V$1001,0),0), INDEX($AC$1004:$AS$1004,1,MATCH(COLUMNS($AC$1006:AG1006),$AC$1006:$AS$1006,0)))),"Fix")))</f>
        <v>0</v>
      </c>
      <c r="G182" s="5">
        <f>IF(OR(INDEX($W$2:$W$1001,MATCH(ROWS($V$2:V182),$V$2:$V$1001,0),1)&gt;=100000,INDEX($AC$1005:$AS$1005,1,MATCH(COLUMNS($AC$1006:AH1006),$AC$1006:$AS$1006,0))&gt;=100000), " ",IF(INDEX($AC$2:$AS$1001,MATCH(ROWS($V$2:V182),$V$2:$V$1001,0),MATCH(COLUMNS($AC$1006:AH1006),$AC$1006:$AS$1006,0)), HYPERLINK("#",""), HYPERLINK(CONCATENATE("#Metadata!", ADDRESS(INDEX($X$2:$X$1001,MATCH(ROWS($V$2:V182),$V$2:$V$1001,0),0), INDEX($AC$1004:$AS$1004,1,MATCH(COLUMNS($AC$1006:AH1006),$AC$1006:$AS$1006,0)))),"Fix")))</f>
        <v>0</v>
      </c>
      <c r="H182" s="5">
        <f>IF(OR(INDEX($W$2:$W$1001,MATCH(ROWS($V$2:V182),$V$2:$V$1001,0),1)&gt;=100000,INDEX($AC$1005:$AS$1005,1,MATCH(COLUMNS($AC$1006:AI1006),$AC$1006:$AS$1006,0))&gt;=100000), " ",IF(INDEX($AC$2:$AS$1001,MATCH(ROWS($V$2:V182),$V$2:$V$1001,0),MATCH(COLUMNS($AC$1006:AI1006),$AC$1006:$AS$1006,0)), HYPERLINK("#",""), HYPERLINK(CONCATENATE("#Metadata!", ADDRESS(INDEX($X$2:$X$1001,MATCH(ROWS($V$2:V182),$V$2:$V$1001,0),0), INDEX($AC$1004:$AS$1004,1,MATCH(COLUMNS($AC$1006:AI1006),$AC$1006:$AS$1006,0)))),"Fix")))</f>
        <v>0</v>
      </c>
      <c r="I182" s="5">
        <f>IF(OR(INDEX($W$2:$W$1001,MATCH(ROWS($V$2:V182),$V$2:$V$1001,0),1)&gt;=100000,INDEX($AC$1005:$AS$1005,1,MATCH(COLUMNS($AC$1006:AJ1006),$AC$1006:$AS$1006,0))&gt;=100000), " ",IF(INDEX($AC$2:$AS$1001,MATCH(ROWS($V$2:V182),$V$2:$V$1001,0),MATCH(COLUMNS($AC$1006:AJ1006),$AC$1006:$AS$1006,0)), HYPERLINK("#",""), HYPERLINK(CONCATENATE("#Metadata!", ADDRESS(INDEX($X$2:$X$1001,MATCH(ROWS($V$2:V182),$V$2:$V$1001,0),0), INDEX($AC$1004:$AS$1004,1,MATCH(COLUMNS($AC$1006:AJ1006),$AC$1006:$AS$1006,0)))),"Fix")))</f>
        <v>0</v>
      </c>
      <c r="J182" s="5">
        <f>IF(OR(INDEX($W$2:$W$1001,MATCH(ROWS($V$2:V182),$V$2:$V$1001,0),1)&gt;=100000,INDEX($AC$1005:$AS$1005,1,MATCH(COLUMNS($AC$1006:AK1006),$AC$1006:$AS$1006,0))&gt;=100000), " ",IF(INDEX($AC$2:$AS$1001,MATCH(ROWS($V$2:V182),$V$2:$V$1001,0),MATCH(COLUMNS($AC$1006:AK1006),$AC$1006:$AS$1006,0)), HYPERLINK("#",""), HYPERLINK(CONCATENATE("#Metadata!", ADDRESS(INDEX($X$2:$X$1001,MATCH(ROWS($V$2:V182),$V$2:$V$1001,0),0), INDEX($AC$1004:$AS$1004,1,MATCH(COLUMNS($AC$1006:AK1006),$AC$1006:$AS$1006,0)))),"Fix")))</f>
        <v>0</v>
      </c>
      <c r="K182" s="5">
        <f>IF(OR(INDEX($W$2:$W$1001,MATCH(ROWS($V$2:V182),$V$2:$V$1001,0),1)&gt;=100000,INDEX($AC$1005:$AS$1005,1,MATCH(COLUMNS($AC$1006:AL1006),$AC$1006:$AS$1006,0))&gt;=100000), " ",IF(INDEX($AC$2:$AS$1001,MATCH(ROWS($V$2:V182),$V$2:$V$1001,0),MATCH(COLUMNS($AC$1006:AL1006),$AC$1006:$AS$1006,0)), HYPERLINK("#",""), HYPERLINK(CONCATENATE("#Metadata!", ADDRESS(INDEX($X$2:$X$1001,MATCH(ROWS($V$2:V182),$V$2:$V$1001,0),0), INDEX($AC$1004:$AS$1004,1,MATCH(COLUMNS($AC$1006:AL1006),$AC$1006:$AS$1006,0)))),"Fix")))</f>
        <v>0</v>
      </c>
      <c r="L182" s="5">
        <f>IF(OR(INDEX($W$2:$W$1001,MATCH(ROWS($V$2:V182),$V$2:$V$1001,0),1)&gt;=100000,INDEX($AC$1005:$AS$1005,1,MATCH(COLUMNS($AC$1006:AM1006),$AC$1006:$AS$1006,0))&gt;=100000), " ",IF(INDEX($AC$2:$AS$1001,MATCH(ROWS($V$2:V182),$V$2:$V$1001,0),MATCH(COLUMNS($AC$1006:AM1006),$AC$1006:$AS$1006,0)), HYPERLINK("#",""), HYPERLINK(CONCATENATE("#Metadata!", ADDRESS(INDEX($X$2:$X$1001,MATCH(ROWS($V$2:V182),$V$2:$V$1001,0),0), INDEX($AC$1004:$AS$1004,1,MATCH(COLUMNS($AC$1006:AM1006),$AC$1006:$AS$1006,0)))),"Fix")))</f>
        <v>0</v>
      </c>
      <c r="M182" s="5">
        <f>IF(OR(INDEX($W$2:$W$1001,MATCH(ROWS($V$2:V182),$V$2:$V$1001,0),1)&gt;=100000,INDEX($AC$1005:$AS$1005,1,MATCH(COLUMNS($AC$1006:AN1006),$AC$1006:$AS$1006,0))&gt;=100000), " ",IF(INDEX($AC$2:$AS$1001,MATCH(ROWS($V$2:V182),$V$2:$V$1001,0),MATCH(COLUMNS($AC$1006:AN1006),$AC$1006:$AS$1006,0)), HYPERLINK("#",""), HYPERLINK(CONCATENATE("#Metadata!", ADDRESS(INDEX($X$2:$X$1001,MATCH(ROWS($V$2:V182),$V$2:$V$1001,0),0), INDEX($AC$1004:$AS$1004,1,MATCH(COLUMNS($AC$1006:AN1006),$AC$1006:$AS$1006,0)))),"Fix")))</f>
        <v>0</v>
      </c>
      <c r="N182" s="5">
        <f>IF(OR(INDEX($W$2:$W$1001,MATCH(ROWS($V$2:V182),$V$2:$V$1001,0),1)&gt;=100000,INDEX($AC$1005:$AS$1005,1,MATCH(COLUMNS($AC$1006:AO1006),$AC$1006:$AS$1006,0))&gt;=100000), " ",IF(INDEX($AC$2:$AS$1001,MATCH(ROWS($V$2:V182),$V$2:$V$1001,0),MATCH(COLUMNS($AC$1006:AO1006),$AC$1006:$AS$1006,0)), HYPERLINK("#",""), HYPERLINK(CONCATENATE("#Metadata!", ADDRESS(INDEX($X$2:$X$1001,MATCH(ROWS($V$2:V182),$V$2:$V$1001,0),0), INDEX($AC$1004:$AS$1004,1,MATCH(COLUMNS($AC$1006:AO1006),$AC$1006:$AS$1006,0)))),"Fix")))</f>
        <v>0</v>
      </c>
      <c r="O182" s="5">
        <f>IF(OR(INDEX($W$2:$W$1001,MATCH(ROWS($V$2:V182),$V$2:$V$1001,0),1)&gt;=100000,INDEX($AC$1005:$AS$1005,1,MATCH(COLUMNS($AC$1006:AP1006),$AC$1006:$AS$1006,0))&gt;=100000), " ",IF(INDEX($AC$2:$AS$1001,MATCH(ROWS($V$2:V182),$V$2:$V$1001,0),MATCH(COLUMNS($AC$1006:AP1006),$AC$1006:$AS$1006,0)), HYPERLINK("#",""), HYPERLINK(CONCATENATE("#Metadata!", ADDRESS(INDEX($X$2:$X$1001,MATCH(ROWS($V$2:V182),$V$2:$V$1001,0),0), INDEX($AC$1004:$AS$1004,1,MATCH(COLUMNS($AC$1006:AP1006),$AC$1006:$AS$1006,0)))),"Fix")))</f>
        <v>0</v>
      </c>
      <c r="P182" s="5">
        <f>IF(OR(INDEX($W$2:$W$1001,MATCH(ROWS($V$2:V182),$V$2:$V$1001,0),1)&gt;=100000,INDEX($AC$1005:$AS$1005,1,MATCH(COLUMNS($AC$1006:AQ1006),$AC$1006:$AS$1006,0))&gt;=100000), " ",IF(INDEX($AC$2:$AS$1001,MATCH(ROWS($V$2:V182),$V$2:$V$1001,0),MATCH(COLUMNS($AC$1006:AQ1006),$AC$1006:$AS$1006,0)), HYPERLINK("#",""), HYPERLINK(CONCATENATE("#Metadata!", ADDRESS(INDEX($X$2:$X$1001,MATCH(ROWS($V$2:V182),$V$2:$V$1001,0),0), INDEX($AC$1004:$AS$1004,1,MATCH(COLUMNS($AC$1006:AQ1006),$AC$1006:$AS$1006,0)))),"Fix")))</f>
        <v>0</v>
      </c>
      <c r="Q182" s="5">
        <f>IF(OR(INDEX($W$2:$W$1001,MATCH(ROWS($V$2:V182),$V$2:$V$1001,0),1)&gt;=100000,INDEX($AC$1005:$AS$1005,1,MATCH(COLUMNS($AC$1006:AR1006),$AC$1006:$AS$1006,0))&gt;=100000), " ",IF(INDEX($AC$2:$AS$1001,MATCH(ROWS($V$2:V182),$V$2:$V$1001,0),MATCH(COLUMNS($AC$1006:AR1006),$AC$1006:$AS$1006,0)), HYPERLINK("#",""), HYPERLINK(CONCATENATE("#Metadata!", ADDRESS(INDEX($X$2:$X$1001,MATCH(ROWS($V$2:V182),$V$2:$V$1001,0),0), INDEX($AC$1004:$AS$1004,1,MATCH(COLUMNS($AC$1006:AR1006),$AC$1006:$AS$1006,0)))),"Fix")))</f>
        <v>0</v>
      </c>
      <c r="R182" s="5">
        <f>IF(OR(INDEX($W$2:$W$1001,MATCH(ROWS($V$2:V182),$V$2:$V$1001,0),1)&gt;=100000,INDEX($AC$1005:$AS$1005,1,MATCH(COLUMNS($AC$1006:AS1006),$AC$1006:$AS$1006,0))&gt;=100000), " ",IF(INDEX($AC$2:$AS$1001,MATCH(ROWS($V$2:V182),$V$2:$V$1001,0),MATCH(COLUMNS($AC$1006:AS1006),$AC$1006:$AS$1006,0)), HYPERLINK("#",""), HYPERLINK(CONCATENATE("#Metadata!", ADDRESS(INDEX($X$2:$X$1001,MATCH(ROWS($V$2:V182),$V$2:$V$1001,0),0), INDEX($AC$1004:$AS$1004,1,MATCH(COLUMNS($AC$1006:AS1006),$AC$1006:$AS$1006,0)))),"Fix")))</f>
        <v>0</v>
      </c>
      <c r="V182">
        <v>0</v>
      </c>
      <c r="W182">
        <v>0</v>
      </c>
      <c r="X182">
        <v>0</v>
      </c>
      <c r="Y182">
        <f>IF(Z182,TRUE,AND(AC182:AS182))</f>
        <v>0</v>
      </c>
      <c r="Z182">
        <f>COUNTBLANK(Metadata!B182:R182)=COLUMNS(Metadata!B182:R182)</f>
        <v>0</v>
      </c>
      <c r="AA182">
        <v>0</v>
      </c>
      <c r="AC182">
        <f>AND(IF(Metadata!B182="",FALSE,TRUE),COUNTIF(Metadata!B:B, Metadata!B182) = 1,NOT(ISERROR(SUMPRODUCT(SEARCH(MID(Metadata!B182,ROW(INDIRECT("1:"&amp;LEN(Metadata!B182))), 1),"0123456789abcdefghijklmnopqrstuvwxyzABCDEFGHIJKLMNOPQRSTUVWXYZ.")))))</f>
        <v>0</v>
      </c>
      <c r="AD182">
        <f>AND(IF(Metadata!C182="",FALSE,TRUE),exact(Metadata!C182,"Host-associated"))</f>
        <v>0</v>
      </c>
      <c r="AE182">
        <f>AND(IF(Metadata!D182="",FALSE,TRUE),OR(exact(Metadata!D182,"Animal"),exact(Metadata!D182,"Fungus"),exact(Metadata!D182,"Plant")))</f>
        <v>0</v>
      </c>
      <c r="AF182">
        <f>AND(IF(Metadata!E182="",FALSE,TRUE),OR(exact(Metadata!E182,"Plant secretion"),exact(Metadata!E182,"Plant rhizosphere"),exact(Metadata!E182,"Plant surface"),exact(Metadata!E182,"Plant corpus"),exact(Metadata!E182,"Fungus surface"),exact(Metadata!E182,"Fungus corpus"),exact(Metadata!E182,"Animal surface"),exact(Metadata!E182,"Animal proximal gut"),exact(Metadata!E182,"Animal corpus"),exact(Metadata!E182,"Animal distal gut"),exact(Metadata!E182,"Animal secretion")))</f>
        <v>0</v>
      </c>
      <c r="AG182">
        <f>OR(AND(IF(Metadata!F182="",FALSE,TRUE),OR(exact(Metadata!F182,"not collected"),exact(Metadata!F182,"not provided"),exact(Metadata!F182,"restricted access"))),AND(IF(Metadata!F182="",FALSE,TRUE),OR(exact(Metadata!F182,"organism-associated habitat"),exact(Metadata!F182,"plant-associated habitat"),exact(Metadata!F182,"animal-associated habitat"),exact(Metadata!F182,"insecta-associated habitat"),exact(Metadata!F182,"mammalia-associated habitat"),exact(Metadata!F182,"human-associated habitat"),exact(Metadata!F182,"livestock-associated habitat"))))</f>
        <v>0</v>
      </c>
      <c r="AH182">
        <f>AND(IF(Metadata!G182="",FALSE,TRUE),exact(Metadata!G182,"host-associated"))</f>
        <v>0</v>
      </c>
      <c r="AI182">
        <f>OR(AND(IF(Metadata!H182="",FALSE,TRUE),OR(exact(Metadata!H182,"not collected"),exact(Metadata!H182,"not provided"))),AND(IF(Metadata!H182="",FALSE,ISNUMBER(VALUE(Metadata!H182))),Metadata!H182&gt;0))</f>
        <v>0</v>
      </c>
      <c r="AJ182">
        <f>AND(IF(Metadata!I182="",FALSE,TRUE),exact(Metadata!I182,"years"))</f>
        <v>0</v>
      </c>
      <c r="AK182">
        <f>IF(Metadata!J182="",FALSE,TRUE)</f>
        <v>0</v>
      </c>
      <c r="AL182">
        <f>OR(AND(IF(Metadata!K182="",FALSE,TRUE),OR(exact(Metadata!K182,"not collected"),exact(Metadata!K182,"not provided"))),AND(IF(Metadata!K182="",FALSE,ISNUMBER(VALUE(Metadata!K182))),Metadata!K182&gt;0))</f>
        <v>0</v>
      </c>
      <c r="AM182">
        <f>AND(IF(Metadata!L182="",FALSE,TRUE),exact(Metadata!L182,"cm"))</f>
        <v>0</v>
      </c>
      <c r="AN182">
        <f>IF(Metadata!M182="",FALSE,TRUE)</f>
        <v>0</v>
      </c>
      <c r="AO182">
        <f>OR(AND(IF(Metadata!N182="",FALSE,TRUE),OR(exact(Metadata!N182,"not applicable"),exact(Metadata!N182,"not collected"),exact(Metadata!N182,"not provided"))),AND(IF(Metadata!N182="",FALSE,IF(ISERROR(INT(Metadata!N182)),FALSE,INT(Metadata!N182)=Metadata!N182)),Metadata!N182&gt;0))</f>
        <v>0</v>
      </c>
      <c r="AP182">
        <f>OR(AND(IF(Metadata!O182="",FALSE,TRUE),OR(exact(Metadata!O182,"not collected"),exact(Metadata!O182,"not provided"))),AND(IF(Metadata!O182="",FALSE,ISNUMBER(VALUE(Metadata!O182))),Metadata!O182&gt;0))</f>
        <v>0</v>
      </c>
      <c r="AQ182">
        <f>AND(IF(Metadata!P182="",FALSE,TRUE),exact(Metadata!P182,"kg"))</f>
        <v>0</v>
      </c>
      <c r="AR182">
        <f>OR(AND(IF(Metadata!Q182="",FALSE,TRUE),OR(exact(Metadata!Q182,"not applicable"),exact(Metadata!Q182,"not collected"),exact(Metadata!Q182,"not provided"),exact(Metadata!Q182,"restricted access"))),IF(Metadata!Q182="",FALSE,IF(ISERROR(INT(Metadata!Q182)),FALSE,INT(Metadata!Q182)=Metadata!Q182)))</f>
        <v>0</v>
      </c>
      <c r="AS182">
        <f>AND(IF(Metadata!R182="",FALSE,TRUE),exact(Metadata!R182,"Not applicable"))</f>
        <v>0</v>
      </c>
    </row>
    <row r="183" spans="1:45">
      <c r="A183" s="4">
        <f>IF(B183=" "," ",HYPERLINK(CONCATENATE("#metadata!",ADDRESS(INDEX($X$2:$X$1001,MATCH(ROWS($V$2:V183),$V$2:$V$1001,0),0),2)),INDEX($AA$2:$AA$1001,MATCH(ROWS($V$2:V183),$V$2:$V$1001,0),0)))</f>
        <v>0</v>
      </c>
      <c r="B183" s="5">
        <f>IF(OR(INDEX($W$2:$W$1001,MATCH(ROWS($V$2:V183),$V$2:$V$1001,0),1)&gt;=100000,INDEX($AC$1005:$AS$1005,1,MATCH(COLUMNS($AC$1006:AC1006),$AC$1006:$AS$1006,0))&gt;=100000), " ",IF(INDEX($AC$2:$AS$1001,MATCH(ROWS($V$2:V183),$V$2:$V$1001,0),MATCH(COLUMNS($AC$1006:AC1006),$AC$1006:$AS$1006,0)), HYPERLINK("#",""), HYPERLINK(CONCATENATE("#Metadata!", ADDRESS(INDEX($X$2:$X$1001,MATCH(ROWS($V$2:V183),$V$2:$V$1001,0),0), INDEX($AC$1004:$AS$1004,1,MATCH(COLUMNS($AC$1006:AC1006),$AC$1006:$AS$1006,0)))),"Fix")))</f>
        <v>0</v>
      </c>
      <c r="C183" s="5">
        <f>IF(OR(INDEX($W$2:$W$1001,MATCH(ROWS($V$2:V183),$V$2:$V$1001,0),1)&gt;=100000,INDEX($AC$1005:$AS$1005,1,MATCH(COLUMNS($AC$1006:AD1006),$AC$1006:$AS$1006,0))&gt;=100000), " ",IF(INDEX($AC$2:$AS$1001,MATCH(ROWS($V$2:V183),$V$2:$V$1001,0),MATCH(COLUMNS($AC$1006:AD1006),$AC$1006:$AS$1006,0)), HYPERLINK("#",""), HYPERLINK(CONCATENATE("#Metadata!", ADDRESS(INDEX($X$2:$X$1001,MATCH(ROWS($V$2:V183),$V$2:$V$1001,0),0), INDEX($AC$1004:$AS$1004,1,MATCH(COLUMNS($AC$1006:AD1006),$AC$1006:$AS$1006,0)))),"Fix")))</f>
        <v>0</v>
      </c>
      <c r="D183" s="5">
        <f>IF(OR(INDEX($W$2:$W$1001,MATCH(ROWS($V$2:V183),$V$2:$V$1001,0),1)&gt;=100000,INDEX($AC$1005:$AS$1005,1,MATCH(COLUMNS($AC$1006:AE1006),$AC$1006:$AS$1006,0))&gt;=100000), " ",IF(INDEX($AC$2:$AS$1001,MATCH(ROWS($V$2:V183),$V$2:$V$1001,0),MATCH(COLUMNS($AC$1006:AE1006),$AC$1006:$AS$1006,0)), HYPERLINK("#",""), HYPERLINK(CONCATENATE("#Metadata!", ADDRESS(INDEX($X$2:$X$1001,MATCH(ROWS($V$2:V183),$V$2:$V$1001,0),0), INDEX($AC$1004:$AS$1004,1,MATCH(COLUMNS($AC$1006:AE1006),$AC$1006:$AS$1006,0)))),"Fix")))</f>
        <v>0</v>
      </c>
      <c r="E183" s="5">
        <f>IF(OR(INDEX($W$2:$W$1001,MATCH(ROWS($V$2:V183),$V$2:$V$1001,0),1)&gt;=100000,INDEX($AC$1005:$AS$1005,1,MATCH(COLUMNS($AC$1006:AF1006),$AC$1006:$AS$1006,0))&gt;=100000), " ",IF(INDEX($AC$2:$AS$1001,MATCH(ROWS($V$2:V183),$V$2:$V$1001,0),MATCH(COLUMNS($AC$1006:AF1006),$AC$1006:$AS$1006,0)), HYPERLINK("#",""), HYPERLINK(CONCATENATE("#Metadata!", ADDRESS(INDEX($X$2:$X$1001,MATCH(ROWS($V$2:V183),$V$2:$V$1001,0),0), INDEX($AC$1004:$AS$1004,1,MATCH(COLUMNS($AC$1006:AF1006),$AC$1006:$AS$1006,0)))),"Fix")))</f>
        <v>0</v>
      </c>
      <c r="F183" s="5">
        <f>IF(OR(INDEX($W$2:$W$1001,MATCH(ROWS($V$2:V183),$V$2:$V$1001,0),1)&gt;=100000,INDEX($AC$1005:$AS$1005,1,MATCH(COLUMNS($AC$1006:AG1006),$AC$1006:$AS$1006,0))&gt;=100000), " ",IF(INDEX($AC$2:$AS$1001,MATCH(ROWS($V$2:V183),$V$2:$V$1001,0),MATCH(COLUMNS($AC$1006:AG1006),$AC$1006:$AS$1006,0)), HYPERLINK("#",""), HYPERLINK(CONCATENATE("#Metadata!", ADDRESS(INDEX($X$2:$X$1001,MATCH(ROWS($V$2:V183),$V$2:$V$1001,0),0), INDEX($AC$1004:$AS$1004,1,MATCH(COLUMNS($AC$1006:AG1006),$AC$1006:$AS$1006,0)))),"Fix")))</f>
        <v>0</v>
      </c>
      <c r="G183" s="5">
        <f>IF(OR(INDEX($W$2:$W$1001,MATCH(ROWS($V$2:V183),$V$2:$V$1001,0),1)&gt;=100000,INDEX($AC$1005:$AS$1005,1,MATCH(COLUMNS($AC$1006:AH1006),$AC$1006:$AS$1006,0))&gt;=100000), " ",IF(INDEX($AC$2:$AS$1001,MATCH(ROWS($V$2:V183),$V$2:$V$1001,0),MATCH(COLUMNS($AC$1006:AH1006),$AC$1006:$AS$1006,0)), HYPERLINK("#",""), HYPERLINK(CONCATENATE("#Metadata!", ADDRESS(INDEX($X$2:$X$1001,MATCH(ROWS($V$2:V183),$V$2:$V$1001,0),0), INDEX($AC$1004:$AS$1004,1,MATCH(COLUMNS($AC$1006:AH1006),$AC$1006:$AS$1006,0)))),"Fix")))</f>
        <v>0</v>
      </c>
      <c r="H183" s="5">
        <f>IF(OR(INDEX($W$2:$W$1001,MATCH(ROWS($V$2:V183),$V$2:$V$1001,0),1)&gt;=100000,INDEX($AC$1005:$AS$1005,1,MATCH(COLUMNS($AC$1006:AI1006),$AC$1006:$AS$1006,0))&gt;=100000), " ",IF(INDEX($AC$2:$AS$1001,MATCH(ROWS($V$2:V183),$V$2:$V$1001,0),MATCH(COLUMNS($AC$1006:AI1006),$AC$1006:$AS$1006,0)), HYPERLINK("#",""), HYPERLINK(CONCATENATE("#Metadata!", ADDRESS(INDEX($X$2:$X$1001,MATCH(ROWS($V$2:V183),$V$2:$V$1001,0),0), INDEX($AC$1004:$AS$1004,1,MATCH(COLUMNS($AC$1006:AI1006),$AC$1006:$AS$1006,0)))),"Fix")))</f>
        <v>0</v>
      </c>
      <c r="I183" s="5">
        <f>IF(OR(INDEX($W$2:$W$1001,MATCH(ROWS($V$2:V183),$V$2:$V$1001,0),1)&gt;=100000,INDEX($AC$1005:$AS$1005,1,MATCH(COLUMNS($AC$1006:AJ1006),$AC$1006:$AS$1006,0))&gt;=100000), " ",IF(INDEX($AC$2:$AS$1001,MATCH(ROWS($V$2:V183),$V$2:$V$1001,0),MATCH(COLUMNS($AC$1006:AJ1006),$AC$1006:$AS$1006,0)), HYPERLINK("#",""), HYPERLINK(CONCATENATE("#Metadata!", ADDRESS(INDEX($X$2:$X$1001,MATCH(ROWS($V$2:V183),$V$2:$V$1001,0),0), INDEX($AC$1004:$AS$1004,1,MATCH(COLUMNS($AC$1006:AJ1006),$AC$1006:$AS$1006,0)))),"Fix")))</f>
        <v>0</v>
      </c>
      <c r="J183" s="5">
        <f>IF(OR(INDEX($W$2:$W$1001,MATCH(ROWS($V$2:V183),$V$2:$V$1001,0),1)&gt;=100000,INDEX($AC$1005:$AS$1005,1,MATCH(COLUMNS($AC$1006:AK1006),$AC$1006:$AS$1006,0))&gt;=100000), " ",IF(INDEX($AC$2:$AS$1001,MATCH(ROWS($V$2:V183),$V$2:$V$1001,0),MATCH(COLUMNS($AC$1006:AK1006),$AC$1006:$AS$1006,0)), HYPERLINK("#",""), HYPERLINK(CONCATENATE("#Metadata!", ADDRESS(INDEX($X$2:$X$1001,MATCH(ROWS($V$2:V183),$V$2:$V$1001,0),0), INDEX($AC$1004:$AS$1004,1,MATCH(COLUMNS($AC$1006:AK1006),$AC$1006:$AS$1006,0)))),"Fix")))</f>
        <v>0</v>
      </c>
      <c r="K183" s="5">
        <f>IF(OR(INDEX($W$2:$W$1001,MATCH(ROWS($V$2:V183),$V$2:$V$1001,0),1)&gt;=100000,INDEX($AC$1005:$AS$1005,1,MATCH(COLUMNS($AC$1006:AL1006),$AC$1006:$AS$1006,0))&gt;=100000), " ",IF(INDEX($AC$2:$AS$1001,MATCH(ROWS($V$2:V183),$V$2:$V$1001,0),MATCH(COLUMNS($AC$1006:AL1006),$AC$1006:$AS$1006,0)), HYPERLINK("#",""), HYPERLINK(CONCATENATE("#Metadata!", ADDRESS(INDEX($X$2:$X$1001,MATCH(ROWS($V$2:V183),$V$2:$V$1001,0),0), INDEX($AC$1004:$AS$1004,1,MATCH(COLUMNS($AC$1006:AL1006),$AC$1006:$AS$1006,0)))),"Fix")))</f>
        <v>0</v>
      </c>
      <c r="L183" s="5">
        <f>IF(OR(INDEX($W$2:$W$1001,MATCH(ROWS($V$2:V183),$V$2:$V$1001,0),1)&gt;=100000,INDEX($AC$1005:$AS$1005,1,MATCH(COLUMNS($AC$1006:AM1006),$AC$1006:$AS$1006,0))&gt;=100000), " ",IF(INDEX($AC$2:$AS$1001,MATCH(ROWS($V$2:V183),$V$2:$V$1001,0),MATCH(COLUMNS($AC$1006:AM1006),$AC$1006:$AS$1006,0)), HYPERLINK("#",""), HYPERLINK(CONCATENATE("#Metadata!", ADDRESS(INDEX($X$2:$X$1001,MATCH(ROWS($V$2:V183),$V$2:$V$1001,0),0), INDEX($AC$1004:$AS$1004,1,MATCH(COLUMNS($AC$1006:AM1006),$AC$1006:$AS$1006,0)))),"Fix")))</f>
        <v>0</v>
      </c>
      <c r="M183" s="5">
        <f>IF(OR(INDEX($W$2:$W$1001,MATCH(ROWS($V$2:V183),$V$2:$V$1001,0),1)&gt;=100000,INDEX($AC$1005:$AS$1005,1,MATCH(COLUMNS($AC$1006:AN1006),$AC$1006:$AS$1006,0))&gt;=100000), " ",IF(INDEX($AC$2:$AS$1001,MATCH(ROWS($V$2:V183),$V$2:$V$1001,0),MATCH(COLUMNS($AC$1006:AN1006),$AC$1006:$AS$1006,0)), HYPERLINK("#",""), HYPERLINK(CONCATENATE("#Metadata!", ADDRESS(INDEX($X$2:$X$1001,MATCH(ROWS($V$2:V183),$V$2:$V$1001,0),0), INDEX($AC$1004:$AS$1004,1,MATCH(COLUMNS($AC$1006:AN1006),$AC$1006:$AS$1006,0)))),"Fix")))</f>
        <v>0</v>
      </c>
      <c r="N183" s="5">
        <f>IF(OR(INDEX($W$2:$W$1001,MATCH(ROWS($V$2:V183),$V$2:$V$1001,0),1)&gt;=100000,INDEX($AC$1005:$AS$1005,1,MATCH(COLUMNS($AC$1006:AO1006),$AC$1006:$AS$1006,0))&gt;=100000), " ",IF(INDEX($AC$2:$AS$1001,MATCH(ROWS($V$2:V183),$V$2:$V$1001,0),MATCH(COLUMNS($AC$1006:AO1006),$AC$1006:$AS$1006,0)), HYPERLINK("#",""), HYPERLINK(CONCATENATE("#Metadata!", ADDRESS(INDEX($X$2:$X$1001,MATCH(ROWS($V$2:V183),$V$2:$V$1001,0),0), INDEX($AC$1004:$AS$1004,1,MATCH(COLUMNS($AC$1006:AO1006),$AC$1006:$AS$1006,0)))),"Fix")))</f>
        <v>0</v>
      </c>
      <c r="O183" s="5">
        <f>IF(OR(INDEX($W$2:$W$1001,MATCH(ROWS($V$2:V183),$V$2:$V$1001,0),1)&gt;=100000,INDEX($AC$1005:$AS$1005,1,MATCH(COLUMNS($AC$1006:AP1006),$AC$1006:$AS$1006,0))&gt;=100000), " ",IF(INDEX($AC$2:$AS$1001,MATCH(ROWS($V$2:V183),$V$2:$V$1001,0),MATCH(COLUMNS($AC$1006:AP1006),$AC$1006:$AS$1006,0)), HYPERLINK("#",""), HYPERLINK(CONCATENATE("#Metadata!", ADDRESS(INDEX($X$2:$X$1001,MATCH(ROWS($V$2:V183),$V$2:$V$1001,0),0), INDEX($AC$1004:$AS$1004,1,MATCH(COLUMNS($AC$1006:AP1006),$AC$1006:$AS$1006,0)))),"Fix")))</f>
        <v>0</v>
      </c>
      <c r="P183" s="5">
        <f>IF(OR(INDEX($W$2:$W$1001,MATCH(ROWS($V$2:V183),$V$2:$V$1001,0),1)&gt;=100000,INDEX($AC$1005:$AS$1005,1,MATCH(COLUMNS($AC$1006:AQ1006),$AC$1006:$AS$1006,0))&gt;=100000), " ",IF(INDEX($AC$2:$AS$1001,MATCH(ROWS($V$2:V183),$V$2:$V$1001,0),MATCH(COLUMNS($AC$1006:AQ1006),$AC$1006:$AS$1006,0)), HYPERLINK("#",""), HYPERLINK(CONCATENATE("#Metadata!", ADDRESS(INDEX($X$2:$X$1001,MATCH(ROWS($V$2:V183),$V$2:$V$1001,0),0), INDEX($AC$1004:$AS$1004,1,MATCH(COLUMNS($AC$1006:AQ1006),$AC$1006:$AS$1006,0)))),"Fix")))</f>
        <v>0</v>
      </c>
      <c r="Q183" s="5">
        <f>IF(OR(INDEX($W$2:$W$1001,MATCH(ROWS($V$2:V183),$V$2:$V$1001,0),1)&gt;=100000,INDEX($AC$1005:$AS$1005,1,MATCH(COLUMNS($AC$1006:AR1006),$AC$1006:$AS$1006,0))&gt;=100000), " ",IF(INDEX($AC$2:$AS$1001,MATCH(ROWS($V$2:V183),$V$2:$V$1001,0),MATCH(COLUMNS($AC$1006:AR1006),$AC$1006:$AS$1006,0)), HYPERLINK("#",""), HYPERLINK(CONCATENATE("#Metadata!", ADDRESS(INDEX($X$2:$X$1001,MATCH(ROWS($V$2:V183),$V$2:$V$1001,0),0), INDEX($AC$1004:$AS$1004,1,MATCH(COLUMNS($AC$1006:AR1006),$AC$1006:$AS$1006,0)))),"Fix")))</f>
        <v>0</v>
      </c>
      <c r="R183" s="5">
        <f>IF(OR(INDEX($W$2:$W$1001,MATCH(ROWS($V$2:V183),$V$2:$V$1001,0),1)&gt;=100000,INDEX($AC$1005:$AS$1005,1,MATCH(COLUMNS($AC$1006:AS1006),$AC$1006:$AS$1006,0))&gt;=100000), " ",IF(INDEX($AC$2:$AS$1001,MATCH(ROWS($V$2:V183),$V$2:$V$1001,0),MATCH(COLUMNS($AC$1006:AS1006),$AC$1006:$AS$1006,0)), HYPERLINK("#",""), HYPERLINK(CONCATENATE("#Metadata!", ADDRESS(INDEX($X$2:$X$1001,MATCH(ROWS($V$2:V183),$V$2:$V$1001,0),0), INDEX($AC$1004:$AS$1004,1,MATCH(COLUMNS($AC$1006:AS1006),$AC$1006:$AS$1006,0)))),"Fix")))</f>
        <v>0</v>
      </c>
      <c r="V183">
        <v>0</v>
      </c>
      <c r="W183">
        <v>0</v>
      </c>
      <c r="X183">
        <v>0</v>
      </c>
      <c r="Y183">
        <f>IF(Z183,TRUE,AND(AC183:AS183))</f>
        <v>0</v>
      </c>
      <c r="Z183">
        <f>COUNTBLANK(Metadata!B183:R183)=COLUMNS(Metadata!B183:R183)</f>
        <v>0</v>
      </c>
      <c r="AA183">
        <v>0</v>
      </c>
      <c r="AC183">
        <f>AND(IF(Metadata!B183="",FALSE,TRUE),COUNTIF(Metadata!B:B, Metadata!B183) = 1,NOT(ISERROR(SUMPRODUCT(SEARCH(MID(Metadata!B183,ROW(INDIRECT("1:"&amp;LEN(Metadata!B183))), 1),"0123456789abcdefghijklmnopqrstuvwxyzABCDEFGHIJKLMNOPQRSTUVWXYZ.")))))</f>
        <v>0</v>
      </c>
      <c r="AD183">
        <f>AND(IF(Metadata!C183="",FALSE,TRUE),exact(Metadata!C183,"Host-associated"))</f>
        <v>0</v>
      </c>
      <c r="AE183">
        <f>AND(IF(Metadata!D183="",FALSE,TRUE),OR(exact(Metadata!D183,"Animal"),exact(Metadata!D183,"Fungus"),exact(Metadata!D183,"Plant")))</f>
        <v>0</v>
      </c>
      <c r="AF183">
        <f>AND(IF(Metadata!E183="",FALSE,TRUE),OR(exact(Metadata!E183,"Plant secretion"),exact(Metadata!E183,"Plant rhizosphere"),exact(Metadata!E183,"Plant surface"),exact(Metadata!E183,"Plant corpus"),exact(Metadata!E183,"Fungus surface"),exact(Metadata!E183,"Fungus corpus"),exact(Metadata!E183,"Animal surface"),exact(Metadata!E183,"Animal proximal gut"),exact(Metadata!E183,"Animal corpus"),exact(Metadata!E183,"Animal distal gut"),exact(Metadata!E183,"Animal secretion")))</f>
        <v>0</v>
      </c>
      <c r="AG183">
        <f>OR(AND(IF(Metadata!F183="",FALSE,TRUE),OR(exact(Metadata!F183,"not collected"),exact(Metadata!F183,"not provided"),exact(Metadata!F183,"restricted access"))),AND(IF(Metadata!F183="",FALSE,TRUE),OR(exact(Metadata!F183,"organism-associated habitat"),exact(Metadata!F183,"plant-associated habitat"),exact(Metadata!F183,"animal-associated habitat"),exact(Metadata!F183,"insecta-associated habitat"),exact(Metadata!F183,"mammalia-associated habitat"),exact(Metadata!F183,"human-associated habitat"),exact(Metadata!F183,"livestock-associated habitat"))))</f>
        <v>0</v>
      </c>
      <c r="AH183">
        <f>AND(IF(Metadata!G183="",FALSE,TRUE),exact(Metadata!G183,"host-associated"))</f>
        <v>0</v>
      </c>
      <c r="AI183">
        <f>OR(AND(IF(Metadata!H183="",FALSE,TRUE),OR(exact(Metadata!H183,"not collected"),exact(Metadata!H183,"not provided"))),AND(IF(Metadata!H183="",FALSE,ISNUMBER(VALUE(Metadata!H183))),Metadata!H183&gt;0))</f>
        <v>0</v>
      </c>
      <c r="AJ183">
        <f>AND(IF(Metadata!I183="",FALSE,TRUE),exact(Metadata!I183,"years"))</f>
        <v>0</v>
      </c>
      <c r="AK183">
        <f>IF(Metadata!J183="",FALSE,TRUE)</f>
        <v>0</v>
      </c>
      <c r="AL183">
        <f>OR(AND(IF(Metadata!K183="",FALSE,TRUE),OR(exact(Metadata!K183,"not collected"),exact(Metadata!K183,"not provided"))),AND(IF(Metadata!K183="",FALSE,ISNUMBER(VALUE(Metadata!K183))),Metadata!K183&gt;0))</f>
        <v>0</v>
      </c>
      <c r="AM183">
        <f>AND(IF(Metadata!L183="",FALSE,TRUE),exact(Metadata!L183,"cm"))</f>
        <v>0</v>
      </c>
      <c r="AN183">
        <f>IF(Metadata!M183="",FALSE,TRUE)</f>
        <v>0</v>
      </c>
      <c r="AO183">
        <f>OR(AND(IF(Metadata!N183="",FALSE,TRUE),OR(exact(Metadata!N183,"not applicable"),exact(Metadata!N183,"not collected"),exact(Metadata!N183,"not provided"))),AND(IF(Metadata!N183="",FALSE,IF(ISERROR(INT(Metadata!N183)),FALSE,INT(Metadata!N183)=Metadata!N183)),Metadata!N183&gt;0))</f>
        <v>0</v>
      </c>
      <c r="AP183">
        <f>OR(AND(IF(Metadata!O183="",FALSE,TRUE),OR(exact(Metadata!O183,"not collected"),exact(Metadata!O183,"not provided"))),AND(IF(Metadata!O183="",FALSE,ISNUMBER(VALUE(Metadata!O183))),Metadata!O183&gt;0))</f>
        <v>0</v>
      </c>
      <c r="AQ183">
        <f>AND(IF(Metadata!P183="",FALSE,TRUE),exact(Metadata!P183,"kg"))</f>
        <v>0</v>
      </c>
      <c r="AR183">
        <f>OR(AND(IF(Metadata!Q183="",FALSE,TRUE),OR(exact(Metadata!Q183,"not applicable"),exact(Metadata!Q183,"not collected"),exact(Metadata!Q183,"not provided"),exact(Metadata!Q183,"restricted access"))),IF(Metadata!Q183="",FALSE,IF(ISERROR(INT(Metadata!Q183)),FALSE,INT(Metadata!Q183)=Metadata!Q183)))</f>
        <v>0</v>
      </c>
      <c r="AS183">
        <f>AND(IF(Metadata!R183="",FALSE,TRUE),exact(Metadata!R183,"Not applicable"))</f>
        <v>0</v>
      </c>
    </row>
    <row r="184" spans="1:45">
      <c r="A184" s="4">
        <f>IF(B184=" "," ",HYPERLINK(CONCATENATE("#metadata!",ADDRESS(INDEX($X$2:$X$1001,MATCH(ROWS($V$2:V184),$V$2:$V$1001,0),0),2)),INDEX($AA$2:$AA$1001,MATCH(ROWS($V$2:V184),$V$2:$V$1001,0),0)))</f>
        <v>0</v>
      </c>
      <c r="B184" s="5">
        <f>IF(OR(INDEX($W$2:$W$1001,MATCH(ROWS($V$2:V184),$V$2:$V$1001,0),1)&gt;=100000,INDEX($AC$1005:$AS$1005,1,MATCH(COLUMNS($AC$1006:AC1006),$AC$1006:$AS$1006,0))&gt;=100000), " ",IF(INDEX($AC$2:$AS$1001,MATCH(ROWS($V$2:V184),$V$2:$V$1001,0),MATCH(COLUMNS($AC$1006:AC1006),$AC$1006:$AS$1006,0)), HYPERLINK("#",""), HYPERLINK(CONCATENATE("#Metadata!", ADDRESS(INDEX($X$2:$X$1001,MATCH(ROWS($V$2:V184),$V$2:$V$1001,0),0), INDEX($AC$1004:$AS$1004,1,MATCH(COLUMNS($AC$1006:AC1006),$AC$1006:$AS$1006,0)))),"Fix")))</f>
        <v>0</v>
      </c>
      <c r="C184" s="5">
        <f>IF(OR(INDEX($W$2:$W$1001,MATCH(ROWS($V$2:V184),$V$2:$V$1001,0),1)&gt;=100000,INDEX($AC$1005:$AS$1005,1,MATCH(COLUMNS($AC$1006:AD1006),$AC$1006:$AS$1006,0))&gt;=100000), " ",IF(INDEX($AC$2:$AS$1001,MATCH(ROWS($V$2:V184),$V$2:$V$1001,0),MATCH(COLUMNS($AC$1006:AD1006),$AC$1006:$AS$1006,0)), HYPERLINK("#",""), HYPERLINK(CONCATENATE("#Metadata!", ADDRESS(INDEX($X$2:$X$1001,MATCH(ROWS($V$2:V184),$V$2:$V$1001,0),0), INDEX($AC$1004:$AS$1004,1,MATCH(COLUMNS($AC$1006:AD1006),$AC$1006:$AS$1006,0)))),"Fix")))</f>
        <v>0</v>
      </c>
      <c r="D184" s="5">
        <f>IF(OR(INDEX($W$2:$W$1001,MATCH(ROWS($V$2:V184),$V$2:$V$1001,0),1)&gt;=100000,INDEX($AC$1005:$AS$1005,1,MATCH(COLUMNS($AC$1006:AE1006),$AC$1006:$AS$1006,0))&gt;=100000), " ",IF(INDEX($AC$2:$AS$1001,MATCH(ROWS($V$2:V184),$V$2:$V$1001,0),MATCH(COLUMNS($AC$1006:AE1006),$AC$1006:$AS$1006,0)), HYPERLINK("#",""), HYPERLINK(CONCATENATE("#Metadata!", ADDRESS(INDEX($X$2:$X$1001,MATCH(ROWS($V$2:V184),$V$2:$V$1001,0),0), INDEX($AC$1004:$AS$1004,1,MATCH(COLUMNS($AC$1006:AE1006),$AC$1006:$AS$1006,0)))),"Fix")))</f>
        <v>0</v>
      </c>
      <c r="E184" s="5">
        <f>IF(OR(INDEX($W$2:$W$1001,MATCH(ROWS($V$2:V184),$V$2:$V$1001,0),1)&gt;=100000,INDEX($AC$1005:$AS$1005,1,MATCH(COLUMNS($AC$1006:AF1006),$AC$1006:$AS$1006,0))&gt;=100000), " ",IF(INDEX($AC$2:$AS$1001,MATCH(ROWS($V$2:V184),$V$2:$V$1001,0),MATCH(COLUMNS($AC$1006:AF1006),$AC$1006:$AS$1006,0)), HYPERLINK("#",""), HYPERLINK(CONCATENATE("#Metadata!", ADDRESS(INDEX($X$2:$X$1001,MATCH(ROWS($V$2:V184),$V$2:$V$1001,0),0), INDEX($AC$1004:$AS$1004,1,MATCH(COLUMNS($AC$1006:AF1006),$AC$1006:$AS$1006,0)))),"Fix")))</f>
        <v>0</v>
      </c>
      <c r="F184" s="5">
        <f>IF(OR(INDEX($W$2:$W$1001,MATCH(ROWS($V$2:V184),$V$2:$V$1001,0),1)&gt;=100000,INDEX($AC$1005:$AS$1005,1,MATCH(COLUMNS($AC$1006:AG1006),$AC$1006:$AS$1006,0))&gt;=100000), " ",IF(INDEX($AC$2:$AS$1001,MATCH(ROWS($V$2:V184),$V$2:$V$1001,0),MATCH(COLUMNS($AC$1006:AG1006),$AC$1006:$AS$1006,0)), HYPERLINK("#",""), HYPERLINK(CONCATENATE("#Metadata!", ADDRESS(INDEX($X$2:$X$1001,MATCH(ROWS($V$2:V184),$V$2:$V$1001,0),0), INDEX($AC$1004:$AS$1004,1,MATCH(COLUMNS($AC$1006:AG1006),$AC$1006:$AS$1006,0)))),"Fix")))</f>
        <v>0</v>
      </c>
      <c r="G184" s="5">
        <f>IF(OR(INDEX($W$2:$W$1001,MATCH(ROWS($V$2:V184),$V$2:$V$1001,0),1)&gt;=100000,INDEX($AC$1005:$AS$1005,1,MATCH(COLUMNS($AC$1006:AH1006),$AC$1006:$AS$1006,0))&gt;=100000), " ",IF(INDEX($AC$2:$AS$1001,MATCH(ROWS($V$2:V184),$V$2:$V$1001,0),MATCH(COLUMNS($AC$1006:AH1006),$AC$1006:$AS$1006,0)), HYPERLINK("#",""), HYPERLINK(CONCATENATE("#Metadata!", ADDRESS(INDEX($X$2:$X$1001,MATCH(ROWS($V$2:V184),$V$2:$V$1001,0),0), INDEX($AC$1004:$AS$1004,1,MATCH(COLUMNS($AC$1006:AH1006),$AC$1006:$AS$1006,0)))),"Fix")))</f>
        <v>0</v>
      </c>
      <c r="H184" s="5">
        <f>IF(OR(INDEX($W$2:$W$1001,MATCH(ROWS($V$2:V184),$V$2:$V$1001,0),1)&gt;=100000,INDEX($AC$1005:$AS$1005,1,MATCH(COLUMNS($AC$1006:AI1006),$AC$1006:$AS$1006,0))&gt;=100000), " ",IF(INDEX($AC$2:$AS$1001,MATCH(ROWS($V$2:V184),$V$2:$V$1001,0),MATCH(COLUMNS($AC$1006:AI1006),$AC$1006:$AS$1006,0)), HYPERLINK("#",""), HYPERLINK(CONCATENATE("#Metadata!", ADDRESS(INDEX($X$2:$X$1001,MATCH(ROWS($V$2:V184),$V$2:$V$1001,0),0), INDEX($AC$1004:$AS$1004,1,MATCH(COLUMNS($AC$1006:AI1006),$AC$1006:$AS$1006,0)))),"Fix")))</f>
        <v>0</v>
      </c>
      <c r="I184" s="5">
        <f>IF(OR(INDEX($W$2:$W$1001,MATCH(ROWS($V$2:V184),$V$2:$V$1001,0),1)&gt;=100000,INDEX($AC$1005:$AS$1005,1,MATCH(COLUMNS($AC$1006:AJ1006),$AC$1006:$AS$1006,0))&gt;=100000), " ",IF(INDEX($AC$2:$AS$1001,MATCH(ROWS($V$2:V184),$V$2:$V$1001,0),MATCH(COLUMNS($AC$1006:AJ1006),$AC$1006:$AS$1006,0)), HYPERLINK("#",""), HYPERLINK(CONCATENATE("#Metadata!", ADDRESS(INDEX($X$2:$X$1001,MATCH(ROWS($V$2:V184),$V$2:$V$1001,0),0), INDEX($AC$1004:$AS$1004,1,MATCH(COLUMNS($AC$1006:AJ1006),$AC$1006:$AS$1006,0)))),"Fix")))</f>
        <v>0</v>
      </c>
      <c r="J184" s="5">
        <f>IF(OR(INDEX($W$2:$W$1001,MATCH(ROWS($V$2:V184),$V$2:$V$1001,0),1)&gt;=100000,INDEX($AC$1005:$AS$1005,1,MATCH(COLUMNS($AC$1006:AK1006),$AC$1006:$AS$1006,0))&gt;=100000), " ",IF(INDEX($AC$2:$AS$1001,MATCH(ROWS($V$2:V184),$V$2:$V$1001,0),MATCH(COLUMNS($AC$1006:AK1006),$AC$1006:$AS$1006,0)), HYPERLINK("#",""), HYPERLINK(CONCATENATE("#Metadata!", ADDRESS(INDEX($X$2:$X$1001,MATCH(ROWS($V$2:V184),$V$2:$V$1001,0),0), INDEX($AC$1004:$AS$1004,1,MATCH(COLUMNS($AC$1006:AK1006),$AC$1006:$AS$1006,0)))),"Fix")))</f>
        <v>0</v>
      </c>
      <c r="K184" s="5">
        <f>IF(OR(INDEX($W$2:$W$1001,MATCH(ROWS($V$2:V184),$V$2:$V$1001,0),1)&gt;=100000,INDEX($AC$1005:$AS$1005,1,MATCH(COLUMNS($AC$1006:AL1006),$AC$1006:$AS$1006,0))&gt;=100000), " ",IF(INDEX($AC$2:$AS$1001,MATCH(ROWS($V$2:V184),$V$2:$V$1001,0),MATCH(COLUMNS($AC$1006:AL1006),$AC$1006:$AS$1006,0)), HYPERLINK("#",""), HYPERLINK(CONCATENATE("#Metadata!", ADDRESS(INDEX($X$2:$X$1001,MATCH(ROWS($V$2:V184),$V$2:$V$1001,0),0), INDEX($AC$1004:$AS$1004,1,MATCH(COLUMNS($AC$1006:AL1006),$AC$1006:$AS$1006,0)))),"Fix")))</f>
        <v>0</v>
      </c>
      <c r="L184" s="5">
        <f>IF(OR(INDEX($W$2:$W$1001,MATCH(ROWS($V$2:V184),$V$2:$V$1001,0),1)&gt;=100000,INDEX($AC$1005:$AS$1005,1,MATCH(COLUMNS($AC$1006:AM1006),$AC$1006:$AS$1006,0))&gt;=100000), " ",IF(INDEX($AC$2:$AS$1001,MATCH(ROWS($V$2:V184),$V$2:$V$1001,0),MATCH(COLUMNS($AC$1006:AM1006),$AC$1006:$AS$1006,0)), HYPERLINK("#",""), HYPERLINK(CONCATENATE("#Metadata!", ADDRESS(INDEX($X$2:$X$1001,MATCH(ROWS($V$2:V184),$V$2:$V$1001,0),0), INDEX($AC$1004:$AS$1004,1,MATCH(COLUMNS($AC$1006:AM1006),$AC$1006:$AS$1006,0)))),"Fix")))</f>
        <v>0</v>
      </c>
      <c r="M184" s="5">
        <f>IF(OR(INDEX($W$2:$W$1001,MATCH(ROWS($V$2:V184),$V$2:$V$1001,0),1)&gt;=100000,INDEX($AC$1005:$AS$1005,1,MATCH(COLUMNS($AC$1006:AN1006),$AC$1006:$AS$1006,0))&gt;=100000), " ",IF(INDEX($AC$2:$AS$1001,MATCH(ROWS($V$2:V184),$V$2:$V$1001,0),MATCH(COLUMNS($AC$1006:AN1006),$AC$1006:$AS$1006,0)), HYPERLINK("#",""), HYPERLINK(CONCATENATE("#Metadata!", ADDRESS(INDEX($X$2:$X$1001,MATCH(ROWS($V$2:V184),$V$2:$V$1001,0),0), INDEX($AC$1004:$AS$1004,1,MATCH(COLUMNS($AC$1006:AN1006),$AC$1006:$AS$1006,0)))),"Fix")))</f>
        <v>0</v>
      </c>
      <c r="N184" s="5">
        <f>IF(OR(INDEX($W$2:$W$1001,MATCH(ROWS($V$2:V184),$V$2:$V$1001,0),1)&gt;=100000,INDEX($AC$1005:$AS$1005,1,MATCH(COLUMNS($AC$1006:AO1006),$AC$1006:$AS$1006,0))&gt;=100000), " ",IF(INDEX($AC$2:$AS$1001,MATCH(ROWS($V$2:V184),$V$2:$V$1001,0),MATCH(COLUMNS($AC$1006:AO1006),$AC$1006:$AS$1006,0)), HYPERLINK("#",""), HYPERLINK(CONCATENATE("#Metadata!", ADDRESS(INDEX($X$2:$X$1001,MATCH(ROWS($V$2:V184),$V$2:$V$1001,0),0), INDEX($AC$1004:$AS$1004,1,MATCH(COLUMNS($AC$1006:AO1006),$AC$1006:$AS$1006,0)))),"Fix")))</f>
        <v>0</v>
      </c>
      <c r="O184" s="5">
        <f>IF(OR(INDEX($W$2:$W$1001,MATCH(ROWS($V$2:V184),$V$2:$V$1001,0),1)&gt;=100000,INDEX($AC$1005:$AS$1005,1,MATCH(COLUMNS($AC$1006:AP1006),$AC$1006:$AS$1006,0))&gt;=100000), " ",IF(INDEX($AC$2:$AS$1001,MATCH(ROWS($V$2:V184),$V$2:$V$1001,0),MATCH(COLUMNS($AC$1006:AP1006),$AC$1006:$AS$1006,0)), HYPERLINK("#",""), HYPERLINK(CONCATENATE("#Metadata!", ADDRESS(INDEX($X$2:$X$1001,MATCH(ROWS($V$2:V184),$V$2:$V$1001,0),0), INDEX($AC$1004:$AS$1004,1,MATCH(COLUMNS($AC$1006:AP1006),$AC$1006:$AS$1006,0)))),"Fix")))</f>
        <v>0</v>
      </c>
      <c r="P184" s="5">
        <f>IF(OR(INDEX($W$2:$W$1001,MATCH(ROWS($V$2:V184),$V$2:$V$1001,0),1)&gt;=100000,INDEX($AC$1005:$AS$1005,1,MATCH(COLUMNS($AC$1006:AQ1006),$AC$1006:$AS$1006,0))&gt;=100000), " ",IF(INDEX($AC$2:$AS$1001,MATCH(ROWS($V$2:V184),$V$2:$V$1001,0),MATCH(COLUMNS($AC$1006:AQ1006),$AC$1006:$AS$1006,0)), HYPERLINK("#",""), HYPERLINK(CONCATENATE("#Metadata!", ADDRESS(INDEX($X$2:$X$1001,MATCH(ROWS($V$2:V184),$V$2:$V$1001,0),0), INDEX($AC$1004:$AS$1004,1,MATCH(COLUMNS($AC$1006:AQ1006),$AC$1006:$AS$1006,0)))),"Fix")))</f>
        <v>0</v>
      </c>
      <c r="Q184" s="5">
        <f>IF(OR(INDEX($W$2:$W$1001,MATCH(ROWS($V$2:V184),$V$2:$V$1001,0),1)&gt;=100000,INDEX($AC$1005:$AS$1005,1,MATCH(COLUMNS($AC$1006:AR1006),$AC$1006:$AS$1006,0))&gt;=100000), " ",IF(INDEX($AC$2:$AS$1001,MATCH(ROWS($V$2:V184),$V$2:$V$1001,0),MATCH(COLUMNS($AC$1006:AR1006),$AC$1006:$AS$1006,0)), HYPERLINK("#",""), HYPERLINK(CONCATENATE("#Metadata!", ADDRESS(INDEX($X$2:$X$1001,MATCH(ROWS($V$2:V184),$V$2:$V$1001,0),0), INDEX($AC$1004:$AS$1004,1,MATCH(COLUMNS($AC$1006:AR1006),$AC$1006:$AS$1006,0)))),"Fix")))</f>
        <v>0</v>
      </c>
      <c r="R184" s="5">
        <f>IF(OR(INDEX($W$2:$W$1001,MATCH(ROWS($V$2:V184),$V$2:$V$1001,0),1)&gt;=100000,INDEX($AC$1005:$AS$1005,1,MATCH(COLUMNS($AC$1006:AS1006),$AC$1006:$AS$1006,0))&gt;=100000), " ",IF(INDEX($AC$2:$AS$1001,MATCH(ROWS($V$2:V184),$V$2:$V$1001,0),MATCH(COLUMNS($AC$1006:AS1006),$AC$1006:$AS$1006,0)), HYPERLINK("#",""), HYPERLINK(CONCATENATE("#Metadata!", ADDRESS(INDEX($X$2:$X$1001,MATCH(ROWS($V$2:V184),$V$2:$V$1001,0),0), INDEX($AC$1004:$AS$1004,1,MATCH(COLUMNS($AC$1006:AS1006),$AC$1006:$AS$1006,0)))),"Fix")))</f>
        <v>0</v>
      </c>
      <c r="V184">
        <v>0</v>
      </c>
      <c r="W184">
        <v>0</v>
      </c>
      <c r="X184">
        <v>0</v>
      </c>
      <c r="Y184">
        <f>IF(Z184,TRUE,AND(AC184:AS184))</f>
        <v>0</v>
      </c>
      <c r="Z184">
        <f>COUNTBLANK(Metadata!B184:R184)=COLUMNS(Metadata!B184:R184)</f>
        <v>0</v>
      </c>
      <c r="AA184">
        <v>0</v>
      </c>
      <c r="AC184">
        <f>AND(IF(Metadata!B184="",FALSE,TRUE),COUNTIF(Metadata!B:B, Metadata!B184) = 1,NOT(ISERROR(SUMPRODUCT(SEARCH(MID(Metadata!B184,ROW(INDIRECT("1:"&amp;LEN(Metadata!B184))), 1),"0123456789abcdefghijklmnopqrstuvwxyzABCDEFGHIJKLMNOPQRSTUVWXYZ.")))))</f>
        <v>0</v>
      </c>
      <c r="AD184">
        <f>AND(IF(Metadata!C184="",FALSE,TRUE),exact(Metadata!C184,"Host-associated"))</f>
        <v>0</v>
      </c>
      <c r="AE184">
        <f>AND(IF(Metadata!D184="",FALSE,TRUE),OR(exact(Metadata!D184,"Animal"),exact(Metadata!D184,"Fungus"),exact(Metadata!D184,"Plant")))</f>
        <v>0</v>
      </c>
      <c r="AF184">
        <f>AND(IF(Metadata!E184="",FALSE,TRUE),OR(exact(Metadata!E184,"Plant secretion"),exact(Metadata!E184,"Plant rhizosphere"),exact(Metadata!E184,"Plant surface"),exact(Metadata!E184,"Plant corpus"),exact(Metadata!E184,"Fungus surface"),exact(Metadata!E184,"Fungus corpus"),exact(Metadata!E184,"Animal surface"),exact(Metadata!E184,"Animal proximal gut"),exact(Metadata!E184,"Animal corpus"),exact(Metadata!E184,"Animal distal gut"),exact(Metadata!E184,"Animal secretion")))</f>
        <v>0</v>
      </c>
      <c r="AG184">
        <f>OR(AND(IF(Metadata!F184="",FALSE,TRUE),OR(exact(Metadata!F184,"not collected"),exact(Metadata!F184,"not provided"),exact(Metadata!F184,"restricted access"))),AND(IF(Metadata!F184="",FALSE,TRUE),OR(exact(Metadata!F184,"organism-associated habitat"),exact(Metadata!F184,"plant-associated habitat"),exact(Metadata!F184,"animal-associated habitat"),exact(Metadata!F184,"insecta-associated habitat"),exact(Metadata!F184,"mammalia-associated habitat"),exact(Metadata!F184,"human-associated habitat"),exact(Metadata!F184,"livestock-associated habitat"))))</f>
        <v>0</v>
      </c>
      <c r="AH184">
        <f>AND(IF(Metadata!G184="",FALSE,TRUE),exact(Metadata!G184,"host-associated"))</f>
        <v>0</v>
      </c>
      <c r="AI184">
        <f>OR(AND(IF(Metadata!H184="",FALSE,TRUE),OR(exact(Metadata!H184,"not collected"),exact(Metadata!H184,"not provided"))),AND(IF(Metadata!H184="",FALSE,ISNUMBER(VALUE(Metadata!H184))),Metadata!H184&gt;0))</f>
        <v>0</v>
      </c>
      <c r="AJ184">
        <f>AND(IF(Metadata!I184="",FALSE,TRUE),exact(Metadata!I184,"years"))</f>
        <v>0</v>
      </c>
      <c r="AK184">
        <f>IF(Metadata!J184="",FALSE,TRUE)</f>
        <v>0</v>
      </c>
      <c r="AL184">
        <f>OR(AND(IF(Metadata!K184="",FALSE,TRUE),OR(exact(Metadata!K184,"not collected"),exact(Metadata!K184,"not provided"))),AND(IF(Metadata!K184="",FALSE,ISNUMBER(VALUE(Metadata!K184))),Metadata!K184&gt;0))</f>
        <v>0</v>
      </c>
      <c r="AM184">
        <f>AND(IF(Metadata!L184="",FALSE,TRUE),exact(Metadata!L184,"cm"))</f>
        <v>0</v>
      </c>
      <c r="AN184">
        <f>IF(Metadata!M184="",FALSE,TRUE)</f>
        <v>0</v>
      </c>
      <c r="AO184">
        <f>OR(AND(IF(Metadata!N184="",FALSE,TRUE),OR(exact(Metadata!N184,"not applicable"),exact(Metadata!N184,"not collected"),exact(Metadata!N184,"not provided"))),AND(IF(Metadata!N184="",FALSE,IF(ISERROR(INT(Metadata!N184)),FALSE,INT(Metadata!N184)=Metadata!N184)),Metadata!N184&gt;0))</f>
        <v>0</v>
      </c>
      <c r="AP184">
        <f>OR(AND(IF(Metadata!O184="",FALSE,TRUE),OR(exact(Metadata!O184,"not collected"),exact(Metadata!O184,"not provided"))),AND(IF(Metadata!O184="",FALSE,ISNUMBER(VALUE(Metadata!O184))),Metadata!O184&gt;0))</f>
        <v>0</v>
      </c>
      <c r="AQ184">
        <f>AND(IF(Metadata!P184="",FALSE,TRUE),exact(Metadata!P184,"kg"))</f>
        <v>0</v>
      </c>
      <c r="AR184">
        <f>OR(AND(IF(Metadata!Q184="",FALSE,TRUE),OR(exact(Metadata!Q184,"not applicable"),exact(Metadata!Q184,"not collected"),exact(Metadata!Q184,"not provided"),exact(Metadata!Q184,"restricted access"))),IF(Metadata!Q184="",FALSE,IF(ISERROR(INT(Metadata!Q184)),FALSE,INT(Metadata!Q184)=Metadata!Q184)))</f>
        <v>0</v>
      </c>
      <c r="AS184">
        <f>AND(IF(Metadata!R184="",FALSE,TRUE),exact(Metadata!R184,"Not applicable"))</f>
        <v>0</v>
      </c>
    </row>
    <row r="185" spans="1:45">
      <c r="A185" s="4">
        <f>IF(B185=" "," ",HYPERLINK(CONCATENATE("#metadata!",ADDRESS(INDEX($X$2:$X$1001,MATCH(ROWS($V$2:V185),$V$2:$V$1001,0),0),2)),INDEX($AA$2:$AA$1001,MATCH(ROWS($V$2:V185),$V$2:$V$1001,0),0)))</f>
        <v>0</v>
      </c>
      <c r="B185" s="5">
        <f>IF(OR(INDEX($W$2:$W$1001,MATCH(ROWS($V$2:V185),$V$2:$V$1001,0),1)&gt;=100000,INDEX($AC$1005:$AS$1005,1,MATCH(COLUMNS($AC$1006:AC1006),$AC$1006:$AS$1006,0))&gt;=100000), " ",IF(INDEX($AC$2:$AS$1001,MATCH(ROWS($V$2:V185),$V$2:$V$1001,0),MATCH(COLUMNS($AC$1006:AC1006),$AC$1006:$AS$1006,0)), HYPERLINK("#",""), HYPERLINK(CONCATENATE("#Metadata!", ADDRESS(INDEX($X$2:$X$1001,MATCH(ROWS($V$2:V185),$V$2:$V$1001,0),0), INDEX($AC$1004:$AS$1004,1,MATCH(COLUMNS($AC$1006:AC1006),$AC$1006:$AS$1006,0)))),"Fix")))</f>
        <v>0</v>
      </c>
      <c r="C185" s="5">
        <f>IF(OR(INDEX($W$2:$W$1001,MATCH(ROWS($V$2:V185),$V$2:$V$1001,0),1)&gt;=100000,INDEX($AC$1005:$AS$1005,1,MATCH(COLUMNS($AC$1006:AD1006),$AC$1006:$AS$1006,0))&gt;=100000), " ",IF(INDEX($AC$2:$AS$1001,MATCH(ROWS($V$2:V185),$V$2:$V$1001,0),MATCH(COLUMNS($AC$1006:AD1006),$AC$1006:$AS$1006,0)), HYPERLINK("#",""), HYPERLINK(CONCATENATE("#Metadata!", ADDRESS(INDEX($X$2:$X$1001,MATCH(ROWS($V$2:V185),$V$2:$V$1001,0),0), INDEX($AC$1004:$AS$1004,1,MATCH(COLUMNS($AC$1006:AD1006),$AC$1006:$AS$1006,0)))),"Fix")))</f>
        <v>0</v>
      </c>
      <c r="D185" s="5">
        <f>IF(OR(INDEX($W$2:$W$1001,MATCH(ROWS($V$2:V185),$V$2:$V$1001,0),1)&gt;=100000,INDEX($AC$1005:$AS$1005,1,MATCH(COLUMNS($AC$1006:AE1006),$AC$1006:$AS$1006,0))&gt;=100000), " ",IF(INDEX($AC$2:$AS$1001,MATCH(ROWS($V$2:V185),$V$2:$V$1001,0),MATCH(COLUMNS($AC$1006:AE1006),$AC$1006:$AS$1006,0)), HYPERLINK("#",""), HYPERLINK(CONCATENATE("#Metadata!", ADDRESS(INDEX($X$2:$X$1001,MATCH(ROWS($V$2:V185),$V$2:$V$1001,0),0), INDEX($AC$1004:$AS$1004,1,MATCH(COLUMNS($AC$1006:AE1006),$AC$1006:$AS$1006,0)))),"Fix")))</f>
        <v>0</v>
      </c>
      <c r="E185" s="5">
        <f>IF(OR(INDEX($W$2:$W$1001,MATCH(ROWS($V$2:V185),$V$2:$V$1001,0),1)&gt;=100000,INDEX($AC$1005:$AS$1005,1,MATCH(COLUMNS($AC$1006:AF1006),$AC$1006:$AS$1006,0))&gt;=100000), " ",IF(INDEX($AC$2:$AS$1001,MATCH(ROWS($V$2:V185),$V$2:$V$1001,0),MATCH(COLUMNS($AC$1006:AF1006),$AC$1006:$AS$1006,0)), HYPERLINK("#",""), HYPERLINK(CONCATENATE("#Metadata!", ADDRESS(INDEX($X$2:$X$1001,MATCH(ROWS($V$2:V185),$V$2:$V$1001,0),0), INDEX($AC$1004:$AS$1004,1,MATCH(COLUMNS($AC$1006:AF1006),$AC$1006:$AS$1006,0)))),"Fix")))</f>
        <v>0</v>
      </c>
      <c r="F185" s="5">
        <f>IF(OR(INDEX($W$2:$W$1001,MATCH(ROWS($V$2:V185),$V$2:$V$1001,0),1)&gt;=100000,INDEX($AC$1005:$AS$1005,1,MATCH(COLUMNS($AC$1006:AG1006),$AC$1006:$AS$1006,0))&gt;=100000), " ",IF(INDEX($AC$2:$AS$1001,MATCH(ROWS($V$2:V185),$V$2:$V$1001,0),MATCH(COLUMNS($AC$1006:AG1006),$AC$1006:$AS$1006,0)), HYPERLINK("#",""), HYPERLINK(CONCATENATE("#Metadata!", ADDRESS(INDEX($X$2:$X$1001,MATCH(ROWS($V$2:V185),$V$2:$V$1001,0),0), INDEX($AC$1004:$AS$1004,1,MATCH(COLUMNS($AC$1006:AG1006),$AC$1006:$AS$1006,0)))),"Fix")))</f>
        <v>0</v>
      </c>
      <c r="G185" s="5">
        <f>IF(OR(INDEX($W$2:$W$1001,MATCH(ROWS($V$2:V185),$V$2:$V$1001,0),1)&gt;=100000,INDEX($AC$1005:$AS$1005,1,MATCH(COLUMNS($AC$1006:AH1006),$AC$1006:$AS$1006,0))&gt;=100000), " ",IF(INDEX($AC$2:$AS$1001,MATCH(ROWS($V$2:V185),$V$2:$V$1001,0),MATCH(COLUMNS($AC$1006:AH1006),$AC$1006:$AS$1006,0)), HYPERLINK("#",""), HYPERLINK(CONCATENATE("#Metadata!", ADDRESS(INDEX($X$2:$X$1001,MATCH(ROWS($V$2:V185),$V$2:$V$1001,0),0), INDEX($AC$1004:$AS$1004,1,MATCH(COLUMNS($AC$1006:AH1006),$AC$1006:$AS$1006,0)))),"Fix")))</f>
        <v>0</v>
      </c>
      <c r="H185" s="5">
        <f>IF(OR(INDEX($W$2:$W$1001,MATCH(ROWS($V$2:V185),$V$2:$V$1001,0),1)&gt;=100000,INDEX($AC$1005:$AS$1005,1,MATCH(COLUMNS($AC$1006:AI1006),$AC$1006:$AS$1006,0))&gt;=100000), " ",IF(INDEX($AC$2:$AS$1001,MATCH(ROWS($V$2:V185),$V$2:$V$1001,0),MATCH(COLUMNS($AC$1006:AI1006),$AC$1006:$AS$1006,0)), HYPERLINK("#",""), HYPERLINK(CONCATENATE("#Metadata!", ADDRESS(INDEX($X$2:$X$1001,MATCH(ROWS($V$2:V185),$V$2:$V$1001,0),0), INDEX($AC$1004:$AS$1004,1,MATCH(COLUMNS($AC$1006:AI1006),$AC$1006:$AS$1006,0)))),"Fix")))</f>
        <v>0</v>
      </c>
      <c r="I185" s="5">
        <f>IF(OR(INDEX($W$2:$W$1001,MATCH(ROWS($V$2:V185),$V$2:$V$1001,0),1)&gt;=100000,INDEX($AC$1005:$AS$1005,1,MATCH(COLUMNS($AC$1006:AJ1006),$AC$1006:$AS$1006,0))&gt;=100000), " ",IF(INDEX($AC$2:$AS$1001,MATCH(ROWS($V$2:V185),$V$2:$V$1001,0),MATCH(COLUMNS($AC$1006:AJ1006),$AC$1006:$AS$1006,0)), HYPERLINK("#",""), HYPERLINK(CONCATENATE("#Metadata!", ADDRESS(INDEX($X$2:$X$1001,MATCH(ROWS($V$2:V185),$V$2:$V$1001,0),0), INDEX($AC$1004:$AS$1004,1,MATCH(COLUMNS($AC$1006:AJ1006),$AC$1006:$AS$1006,0)))),"Fix")))</f>
        <v>0</v>
      </c>
      <c r="J185" s="5">
        <f>IF(OR(INDEX($W$2:$W$1001,MATCH(ROWS($V$2:V185),$V$2:$V$1001,0),1)&gt;=100000,INDEX($AC$1005:$AS$1005,1,MATCH(COLUMNS($AC$1006:AK1006),$AC$1006:$AS$1006,0))&gt;=100000), " ",IF(INDEX($AC$2:$AS$1001,MATCH(ROWS($V$2:V185),$V$2:$V$1001,0),MATCH(COLUMNS($AC$1006:AK1006),$AC$1006:$AS$1006,0)), HYPERLINK("#",""), HYPERLINK(CONCATENATE("#Metadata!", ADDRESS(INDEX($X$2:$X$1001,MATCH(ROWS($V$2:V185),$V$2:$V$1001,0),0), INDEX($AC$1004:$AS$1004,1,MATCH(COLUMNS($AC$1006:AK1006),$AC$1006:$AS$1006,0)))),"Fix")))</f>
        <v>0</v>
      </c>
      <c r="K185" s="5">
        <f>IF(OR(INDEX($W$2:$W$1001,MATCH(ROWS($V$2:V185),$V$2:$V$1001,0),1)&gt;=100000,INDEX($AC$1005:$AS$1005,1,MATCH(COLUMNS($AC$1006:AL1006),$AC$1006:$AS$1006,0))&gt;=100000), " ",IF(INDEX($AC$2:$AS$1001,MATCH(ROWS($V$2:V185),$V$2:$V$1001,0),MATCH(COLUMNS($AC$1006:AL1006),$AC$1006:$AS$1006,0)), HYPERLINK("#",""), HYPERLINK(CONCATENATE("#Metadata!", ADDRESS(INDEX($X$2:$X$1001,MATCH(ROWS($V$2:V185),$V$2:$V$1001,0),0), INDEX($AC$1004:$AS$1004,1,MATCH(COLUMNS($AC$1006:AL1006),$AC$1006:$AS$1006,0)))),"Fix")))</f>
        <v>0</v>
      </c>
      <c r="L185" s="5">
        <f>IF(OR(INDEX($W$2:$W$1001,MATCH(ROWS($V$2:V185),$V$2:$V$1001,0),1)&gt;=100000,INDEX($AC$1005:$AS$1005,1,MATCH(COLUMNS($AC$1006:AM1006),$AC$1006:$AS$1006,0))&gt;=100000), " ",IF(INDEX($AC$2:$AS$1001,MATCH(ROWS($V$2:V185),$V$2:$V$1001,0),MATCH(COLUMNS($AC$1006:AM1006),$AC$1006:$AS$1006,0)), HYPERLINK("#",""), HYPERLINK(CONCATENATE("#Metadata!", ADDRESS(INDEX($X$2:$X$1001,MATCH(ROWS($V$2:V185),$V$2:$V$1001,0),0), INDEX($AC$1004:$AS$1004,1,MATCH(COLUMNS($AC$1006:AM1006),$AC$1006:$AS$1006,0)))),"Fix")))</f>
        <v>0</v>
      </c>
      <c r="M185" s="5">
        <f>IF(OR(INDEX($W$2:$W$1001,MATCH(ROWS($V$2:V185),$V$2:$V$1001,0),1)&gt;=100000,INDEX($AC$1005:$AS$1005,1,MATCH(COLUMNS($AC$1006:AN1006),$AC$1006:$AS$1006,0))&gt;=100000), " ",IF(INDEX($AC$2:$AS$1001,MATCH(ROWS($V$2:V185),$V$2:$V$1001,0),MATCH(COLUMNS($AC$1006:AN1006),$AC$1006:$AS$1006,0)), HYPERLINK("#",""), HYPERLINK(CONCATENATE("#Metadata!", ADDRESS(INDEX($X$2:$X$1001,MATCH(ROWS($V$2:V185),$V$2:$V$1001,0),0), INDEX($AC$1004:$AS$1004,1,MATCH(COLUMNS($AC$1006:AN1006),$AC$1006:$AS$1006,0)))),"Fix")))</f>
        <v>0</v>
      </c>
      <c r="N185" s="5">
        <f>IF(OR(INDEX($W$2:$W$1001,MATCH(ROWS($V$2:V185),$V$2:$V$1001,0),1)&gt;=100000,INDEX($AC$1005:$AS$1005,1,MATCH(COLUMNS($AC$1006:AO1006),$AC$1006:$AS$1006,0))&gt;=100000), " ",IF(INDEX($AC$2:$AS$1001,MATCH(ROWS($V$2:V185),$V$2:$V$1001,0),MATCH(COLUMNS($AC$1006:AO1006),$AC$1006:$AS$1006,0)), HYPERLINK("#",""), HYPERLINK(CONCATENATE("#Metadata!", ADDRESS(INDEX($X$2:$X$1001,MATCH(ROWS($V$2:V185),$V$2:$V$1001,0),0), INDEX($AC$1004:$AS$1004,1,MATCH(COLUMNS($AC$1006:AO1006),$AC$1006:$AS$1006,0)))),"Fix")))</f>
        <v>0</v>
      </c>
      <c r="O185" s="5">
        <f>IF(OR(INDEX($W$2:$W$1001,MATCH(ROWS($V$2:V185),$V$2:$V$1001,0),1)&gt;=100000,INDEX($AC$1005:$AS$1005,1,MATCH(COLUMNS($AC$1006:AP1006),$AC$1006:$AS$1006,0))&gt;=100000), " ",IF(INDEX($AC$2:$AS$1001,MATCH(ROWS($V$2:V185),$V$2:$V$1001,0),MATCH(COLUMNS($AC$1006:AP1006),$AC$1006:$AS$1006,0)), HYPERLINK("#",""), HYPERLINK(CONCATENATE("#Metadata!", ADDRESS(INDEX($X$2:$X$1001,MATCH(ROWS($V$2:V185),$V$2:$V$1001,0),0), INDEX($AC$1004:$AS$1004,1,MATCH(COLUMNS($AC$1006:AP1006),$AC$1006:$AS$1006,0)))),"Fix")))</f>
        <v>0</v>
      </c>
      <c r="P185" s="5">
        <f>IF(OR(INDEX($W$2:$W$1001,MATCH(ROWS($V$2:V185),$V$2:$V$1001,0),1)&gt;=100000,INDEX($AC$1005:$AS$1005,1,MATCH(COLUMNS($AC$1006:AQ1006),$AC$1006:$AS$1006,0))&gt;=100000), " ",IF(INDEX($AC$2:$AS$1001,MATCH(ROWS($V$2:V185),$V$2:$V$1001,0),MATCH(COLUMNS($AC$1006:AQ1006),$AC$1006:$AS$1006,0)), HYPERLINK("#",""), HYPERLINK(CONCATENATE("#Metadata!", ADDRESS(INDEX($X$2:$X$1001,MATCH(ROWS($V$2:V185),$V$2:$V$1001,0),0), INDEX($AC$1004:$AS$1004,1,MATCH(COLUMNS($AC$1006:AQ1006),$AC$1006:$AS$1006,0)))),"Fix")))</f>
        <v>0</v>
      </c>
      <c r="Q185" s="5">
        <f>IF(OR(INDEX($W$2:$W$1001,MATCH(ROWS($V$2:V185),$V$2:$V$1001,0),1)&gt;=100000,INDEX($AC$1005:$AS$1005,1,MATCH(COLUMNS($AC$1006:AR1006),$AC$1006:$AS$1006,0))&gt;=100000), " ",IF(INDEX($AC$2:$AS$1001,MATCH(ROWS($V$2:V185),$V$2:$V$1001,0),MATCH(COLUMNS($AC$1006:AR1006),$AC$1006:$AS$1006,0)), HYPERLINK("#",""), HYPERLINK(CONCATENATE("#Metadata!", ADDRESS(INDEX($X$2:$X$1001,MATCH(ROWS($V$2:V185),$V$2:$V$1001,0),0), INDEX($AC$1004:$AS$1004,1,MATCH(COLUMNS($AC$1006:AR1006),$AC$1006:$AS$1006,0)))),"Fix")))</f>
        <v>0</v>
      </c>
      <c r="R185" s="5">
        <f>IF(OR(INDEX($W$2:$W$1001,MATCH(ROWS($V$2:V185),$V$2:$V$1001,0),1)&gt;=100000,INDEX($AC$1005:$AS$1005,1,MATCH(COLUMNS($AC$1006:AS1006),$AC$1006:$AS$1006,0))&gt;=100000), " ",IF(INDEX($AC$2:$AS$1001,MATCH(ROWS($V$2:V185),$V$2:$V$1001,0),MATCH(COLUMNS($AC$1006:AS1006),$AC$1006:$AS$1006,0)), HYPERLINK("#",""), HYPERLINK(CONCATENATE("#Metadata!", ADDRESS(INDEX($X$2:$X$1001,MATCH(ROWS($V$2:V185),$V$2:$V$1001,0),0), INDEX($AC$1004:$AS$1004,1,MATCH(COLUMNS($AC$1006:AS1006),$AC$1006:$AS$1006,0)))),"Fix")))</f>
        <v>0</v>
      </c>
      <c r="V185">
        <v>0</v>
      </c>
      <c r="W185">
        <v>0</v>
      </c>
      <c r="X185">
        <v>0</v>
      </c>
      <c r="Y185">
        <f>IF(Z185,TRUE,AND(AC185:AS185))</f>
        <v>0</v>
      </c>
      <c r="Z185">
        <f>COUNTBLANK(Metadata!B185:R185)=COLUMNS(Metadata!B185:R185)</f>
        <v>0</v>
      </c>
      <c r="AA185">
        <v>0</v>
      </c>
      <c r="AC185">
        <f>AND(IF(Metadata!B185="",FALSE,TRUE),COUNTIF(Metadata!B:B, Metadata!B185) = 1,NOT(ISERROR(SUMPRODUCT(SEARCH(MID(Metadata!B185,ROW(INDIRECT("1:"&amp;LEN(Metadata!B185))), 1),"0123456789abcdefghijklmnopqrstuvwxyzABCDEFGHIJKLMNOPQRSTUVWXYZ.")))))</f>
        <v>0</v>
      </c>
      <c r="AD185">
        <f>AND(IF(Metadata!C185="",FALSE,TRUE),exact(Metadata!C185,"Host-associated"))</f>
        <v>0</v>
      </c>
      <c r="AE185">
        <f>AND(IF(Metadata!D185="",FALSE,TRUE),OR(exact(Metadata!D185,"Animal"),exact(Metadata!D185,"Fungus"),exact(Metadata!D185,"Plant")))</f>
        <v>0</v>
      </c>
      <c r="AF185">
        <f>AND(IF(Metadata!E185="",FALSE,TRUE),OR(exact(Metadata!E185,"Plant secretion"),exact(Metadata!E185,"Plant rhizosphere"),exact(Metadata!E185,"Plant surface"),exact(Metadata!E185,"Plant corpus"),exact(Metadata!E185,"Fungus surface"),exact(Metadata!E185,"Fungus corpus"),exact(Metadata!E185,"Animal surface"),exact(Metadata!E185,"Animal proximal gut"),exact(Metadata!E185,"Animal corpus"),exact(Metadata!E185,"Animal distal gut"),exact(Metadata!E185,"Animal secretion")))</f>
        <v>0</v>
      </c>
      <c r="AG185">
        <f>OR(AND(IF(Metadata!F185="",FALSE,TRUE),OR(exact(Metadata!F185,"not collected"),exact(Metadata!F185,"not provided"),exact(Metadata!F185,"restricted access"))),AND(IF(Metadata!F185="",FALSE,TRUE),OR(exact(Metadata!F185,"organism-associated habitat"),exact(Metadata!F185,"plant-associated habitat"),exact(Metadata!F185,"animal-associated habitat"),exact(Metadata!F185,"insecta-associated habitat"),exact(Metadata!F185,"mammalia-associated habitat"),exact(Metadata!F185,"human-associated habitat"),exact(Metadata!F185,"livestock-associated habitat"))))</f>
        <v>0</v>
      </c>
      <c r="AH185">
        <f>AND(IF(Metadata!G185="",FALSE,TRUE),exact(Metadata!G185,"host-associated"))</f>
        <v>0</v>
      </c>
      <c r="AI185">
        <f>OR(AND(IF(Metadata!H185="",FALSE,TRUE),OR(exact(Metadata!H185,"not collected"),exact(Metadata!H185,"not provided"))),AND(IF(Metadata!H185="",FALSE,ISNUMBER(VALUE(Metadata!H185))),Metadata!H185&gt;0))</f>
        <v>0</v>
      </c>
      <c r="AJ185">
        <f>AND(IF(Metadata!I185="",FALSE,TRUE),exact(Metadata!I185,"years"))</f>
        <v>0</v>
      </c>
      <c r="AK185">
        <f>IF(Metadata!J185="",FALSE,TRUE)</f>
        <v>0</v>
      </c>
      <c r="AL185">
        <f>OR(AND(IF(Metadata!K185="",FALSE,TRUE),OR(exact(Metadata!K185,"not collected"),exact(Metadata!K185,"not provided"))),AND(IF(Metadata!K185="",FALSE,ISNUMBER(VALUE(Metadata!K185))),Metadata!K185&gt;0))</f>
        <v>0</v>
      </c>
      <c r="AM185">
        <f>AND(IF(Metadata!L185="",FALSE,TRUE),exact(Metadata!L185,"cm"))</f>
        <v>0</v>
      </c>
      <c r="AN185">
        <f>IF(Metadata!M185="",FALSE,TRUE)</f>
        <v>0</v>
      </c>
      <c r="AO185">
        <f>OR(AND(IF(Metadata!N185="",FALSE,TRUE),OR(exact(Metadata!N185,"not applicable"),exact(Metadata!N185,"not collected"),exact(Metadata!N185,"not provided"))),AND(IF(Metadata!N185="",FALSE,IF(ISERROR(INT(Metadata!N185)),FALSE,INT(Metadata!N185)=Metadata!N185)),Metadata!N185&gt;0))</f>
        <v>0</v>
      </c>
      <c r="AP185">
        <f>OR(AND(IF(Metadata!O185="",FALSE,TRUE),OR(exact(Metadata!O185,"not collected"),exact(Metadata!O185,"not provided"))),AND(IF(Metadata!O185="",FALSE,ISNUMBER(VALUE(Metadata!O185))),Metadata!O185&gt;0))</f>
        <v>0</v>
      </c>
      <c r="AQ185">
        <f>AND(IF(Metadata!P185="",FALSE,TRUE),exact(Metadata!P185,"kg"))</f>
        <v>0</v>
      </c>
      <c r="AR185">
        <f>OR(AND(IF(Metadata!Q185="",FALSE,TRUE),OR(exact(Metadata!Q185,"not applicable"),exact(Metadata!Q185,"not collected"),exact(Metadata!Q185,"not provided"),exact(Metadata!Q185,"restricted access"))),IF(Metadata!Q185="",FALSE,IF(ISERROR(INT(Metadata!Q185)),FALSE,INT(Metadata!Q185)=Metadata!Q185)))</f>
        <v>0</v>
      </c>
      <c r="AS185">
        <f>AND(IF(Metadata!R185="",FALSE,TRUE),exact(Metadata!R185,"Not applicable"))</f>
        <v>0</v>
      </c>
    </row>
    <row r="186" spans="1:45">
      <c r="A186" s="4">
        <f>IF(B186=" "," ",HYPERLINK(CONCATENATE("#metadata!",ADDRESS(INDEX($X$2:$X$1001,MATCH(ROWS($V$2:V186),$V$2:$V$1001,0),0),2)),INDEX($AA$2:$AA$1001,MATCH(ROWS($V$2:V186),$V$2:$V$1001,0),0)))</f>
        <v>0</v>
      </c>
      <c r="B186" s="5">
        <f>IF(OR(INDEX($W$2:$W$1001,MATCH(ROWS($V$2:V186),$V$2:$V$1001,0),1)&gt;=100000,INDEX($AC$1005:$AS$1005,1,MATCH(COLUMNS($AC$1006:AC1006),$AC$1006:$AS$1006,0))&gt;=100000), " ",IF(INDEX($AC$2:$AS$1001,MATCH(ROWS($V$2:V186),$V$2:$V$1001,0),MATCH(COLUMNS($AC$1006:AC1006),$AC$1006:$AS$1006,0)), HYPERLINK("#",""), HYPERLINK(CONCATENATE("#Metadata!", ADDRESS(INDEX($X$2:$X$1001,MATCH(ROWS($V$2:V186),$V$2:$V$1001,0),0), INDEX($AC$1004:$AS$1004,1,MATCH(COLUMNS($AC$1006:AC1006),$AC$1006:$AS$1006,0)))),"Fix")))</f>
        <v>0</v>
      </c>
      <c r="C186" s="5">
        <f>IF(OR(INDEX($W$2:$W$1001,MATCH(ROWS($V$2:V186),$V$2:$V$1001,0),1)&gt;=100000,INDEX($AC$1005:$AS$1005,1,MATCH(COLUMNS($AC$1006:AD1006),$AC$1006:$AS$1006,0))&gt;=100000), " ",IF(INDEX($AC$2:$AS$1001,MATCH(ROWS($V$2:V186),$V$2:$V$1001,0),MATCH(COLUMNS($AC$1006:AD1006),$AC$1006:$AS$1006,0)), HYPERLINK("#",""), HYPERLINK(CONCATENATE("#Metadata!", ADDRESS(INDEX($X$2:$X$1001,MATCH(ROWS($V$2:V186),$V$2:$V$1001,0),0), INDEX($AC$1004:$AS$1004,1,MATCH(COLUMNS($AC$1006:AD1006),$AC$1006:$AS$1006,0)))),"Fix")))</f>
        <v>0</v>
      </c>
      <c r="D186" s="5">
        <f>IF(OR(INDEX($W$2:$W$1001,MATCH(ROWS($V$2:V186),$V$2:$V$1001,0),1)&gt;=100000,INDEX($AC$1005:$AS$1005,1,MATCH(COLUMNS($AC$1006:AE1006),$AC$1006:$AS$1006,0))&gt;=100000), " ",IF(INDEX($AC$2:$AS$1001,MATCH(ROWS($V$2:V186),$V$2:$V$1001,0),MATCH(COLUMNS($AC$1006:AE1006),$AC$1006:$AS$1006,0)), HYPERLINK("#",""), HYPERLINK(CONCATENATE("#Metadata!", ADDRESS(INDEX($X$2:$X$1001,MATCH(ROWS($V$2:V186),$V$2:$V$1001,0),0), INDEX($AC$1004:$AS$1004,1,MATCH(COLUMNS($AC$1006:AE1006),$AC$1006:$AS$1006,0)))),"Fix")))</f>
        <v>0</v>
      </c>
      <c r="E186" s="5">
        <f>IF(OR(INDEX($W$2:$W$1001,MATCH(ROWS($V$2:V186),$V$2:$V$1001,0),1)&gt;=100000,INDEX($AC$1005:$AS$1005,1,MATCH(COLUMNS($AC$1006:AF1006),$AC$1006:$AS$1006,0))&gt;=100000), " ",IF(INDEX($AC$2:$AS$1001,MATCH(ROWS($V$2:V186),$V$2:$V$1001,0),MATCH(COLUMNS($AC$1006:AF1006),$AC$1006:$AS$1006,0)), HYPERLINK("#",""), HYPERLINK(CONCATENATE("#Metadata!", ADDRESS(INDEX($X$2:$X$1001,MATCH(ROWS($V$2:V186),$V$2:$V$1001,0),0), INDEX($AC$1004:$AS$1004,1,MATCH(COLUMNS($AC$1006:AF1006),$AC$1006:$AS$1006,0)))),"Fix")))</f>
        <v>0</v>
      </c>
      <c r="F186" s="5">
        <f>IF(OR(INDEX($W$2:$W$1001,MATCH(ROWS($V$2:V186),$V$2:$V$1001,0),1)&gt;=100000,INDEX($AC$1005:$AS$1005,1,MATCH(COLUMNS($AC$1006:AG1006),$AC$1006:$AS$1006,0))&gt;=100000), " ",IF(INDEX($AC$2:$AS$1001,MATCH(ROWS($V$2:V186),$V$2:$V$1001,0),MATCH(COLUMNS($AC$1006:AG1006),$AC$1006:$AS$1006,0)), HYPERLINK("#",""), HYPERLINK(CONCATENATE("#Metadata!", ADDRESS(INDEX($X$2:$X$1001,MATCH(ROWS($V$2:V186),$V$2:$V$1001,0),0), INDEX($AC$1004:$AS$1004,1,MATCH(COLUMNS($AC$1006:AG1006),$AC$1006:$AS$1006,0)))),"Fix")))</f>
        <v>0</v>
      </c>
      <c r="G186" s="5">
        <f>IF(OR(INDEX($W$2:$W$1001,MATCH(ROWS($V$2:V186),$V$2:$V$1001,0),1)&gt;=100000,INDEX($AC$1005:$AS$1005,1,MATCH(COLUMNS($AC$1006:AH1006),$AC$1006:$AS$1006,0))&gt;=100000), " ",IF(INDEX($AC$2:$AS$1001,MATCH(ROWS($V$2:V186),$V$2:$V$1001,0),MATCH(COLUMNS($AC$1006:AH1006),$AC$1006:$AS$1006,0)), HYPERLINK("#",""), HYPERLINK(CONCATENATE("#Metadata!", ADDRESS(INDEX($X$2:$X$1001,MATCH(ROWS($V$2:V186),$V$2:$V$1001,0),0), INDEX($AC$1004:$AS$1004,1,MATCH(COLUMNS($AC$1006:AH1006),$AC$1006:$AS$1006,0)))),"Fix")))</f>
        <v>0</v>
      </c>
      <c r="H186" s="5">
        <f>IF(OR(INDEX($W$2:$W$1001,MATCH(ROWS($V$2:V186),$V$2:$V$1001,0),1)&gt;=100000,INDEX($AC$1005:$AS$1005,1,MATCH(COLUMNS($AC$1006:AI1006),$AC$1006:$AS$1006,0))&gt;=100000), " ",IF(INDEX($AC$2:$AS$1001,MATCH(ROWS($V$2:V186),$V$2:$V$1001,0),MATCH(COLUMNS($AC$1006:AI1006),$AC$1006:$AS$1006,0)), HYPERLINK("#",""), HYPERLINK(CONCATENATE("#Metadata!", ADDRESS(INDEX($X$2:$X$1001,MATCH(ROWS($V$2:V186),$V$2:$V$1001,0),0), INDEX($AC$1004:$AS$1004,1,MATCH(COLUMNS($AC$1006:AI1006),$AC$1006:$AS$1006,0)))),"Fix")))</f>
        <v>0</v>
      </c>
      <c r="I186" s="5">
        <f>IF(OR(INDEX($W$2:$W$1001,MATCH(ROWS($V$2:V186),$V$2:$V$1001,0),1)&gt;=100000,INDEX($AC$1005:$AS$1005,1,MATCH(COLUMNS($AC$1006:AJ1006),$AC$1006:$AS$1006,0))&gt;=100000), " ",IF(INDEX($AC$2:$AS$1001,MATCH(ROWS($V$2:V186),$V$2:$V$1001,0),MATCH(COLUMNS($AC$1006:AJ1006),$AC$1006:$AS$1006,0)), HYPERLINK("#",""), HYPERLINK(CONCATENATE("#Metadata!", ADDRESS(INDEX($X$2:$X$1001,MATCH(ROWS($V$2:V186),$V$2:$V$1001,0),0), INDEX($AC$1004:$AS$1004,1,MATCH(COLUMNS($AC$1006:AJ1006),$AC$1006:$AS$1006,0)))),"Fix")))</f>
        <v>0</v>
      </c>
      <c r="J186" s="5">
        <f>IF(OR(INDEX($W$2:$W$1001,MATCH(ROWS($V$2:V186),$V$2:$V$1001,0),1)&gt;=100000,INDEX($AC$1005:$AS$1005,1,MATCH(COLUMNS($AC$1006:AK1006),$AC$1006:$AS$1006,0))&gt;=100000), " ",IF(INDEX($AC$2:$AS$1001,MATCH(ROWS($V$2:V186),$V$2:$V$1001,0),MATCH(COLUMNS($AC$1006:AK1006),$AC$1006:$AS$1006,0)), HYPERLINK("#",""), HYPERLINK(CONCATENATE("#Metadata!", ADDRESS(INDEX($X$2:$X$1001,MATCH(ROWS($V$2:V186),$V$2:$V$1001,0),0), INDEX($AC$1004:$AS$1004,1,MATCH(COLUMNS($AC$1006:AK1006),$AC$1006:$AS$1006,0)))),"Fix")))</f>
        <v>0</v>
      </c>
      <c r="K186" s="5">
        <f>IF(OR(INDEX($W$2:$W$1001,MATCH(ROWS($V$2:V186),$V$2:$V$1001,0),1)&gt;=100000,INDEX($AC$1005:$AS$1005,1,MATCH(COLUMNS($AC$1006:AL1006),$AC$1006:$AS$1006,0))&gt;=100000), " ",IF(INDEX($AC$2:$AS$1001,MATCH(ROWS($V$2:V186),$V$2:$V$1001,0),MATCH(COLUMNS($AC$1006:AL1006),$AC$1006:$AS$1006,0)), HYPERLINK("#",""), HYPERLINK(CONCATENATE("#Metadata!", ADDRESS(INDEX($X$2:$X$1001,MATCH(ROWS($V$2:V186),$V$2:$V$1001,0),0), INDEX($AC$1004:$AS$1004,1,MATCH(COLUMNS($AC$1006:AL1006),$AC$1006:$AS$1006,0)))),"Fix")))</f>
        <v>0</v>
      </c>
      <c r="L186" s="5">
        <f>IF(OR(INDEX($W$2:$W$1001,MATCH(ROWS($V$2:V186),$V$2:$V$1001,0),1)&gt;=100000,INDEX($AC$1005:$AS$1005,1,MATCH(COLUMNS($AC$1006:AM1006),$AC$1006:$AS$1006,0))&gt;=100000), " ",IF(INDEX($AC$2:$AS$1001,MATCH(ROWS($V$2:V186),$V$2:$V$1001,0),MATCH(COLUMNS($AC$1006:AM1006),$AC$1006:$AS$1006,0)), HYPERLINK("#",""), HYPERLINK(CONCATENATE("#Metadata!", ADDRESS(INDEX($X$2:$X$1001,MATCH(ROWS($V$2:V186),$V$2:$V$1001,0),0), INDEX($AC$1004:$AS$1004,1,MATCH(COLUMNS($AC$1006:AM1006),$AC$1006:$AS$1006,0)))),"Fix")))</f>
        <v>0</v>
      </c>
      <c r="M186" s="5">
        <f>IF(OR(INDEX($W$2:$W$1001,MATCH(ROWS($V$2:V186),$V$2:$V$1001,0),1)&gt;=100000,INDEX($AC$1005:$AS$1005,1,MATCH(COLUMNS($AC$1006:AN1006),$AC$1006:$AS$1006,0))&gt;=100000), " ",IF(INDEX($AC$2:$AS$1001,MATCH(ROWS($V$2:V186),$V$2:$V$1001,0),MATCH(COLUMNS($AC$1006:AN1006),$AC$1006:$AS$1006,0)), HYPERLINK("#",""), HYPERLINK(CONCATENATE("#Metadata!", ADDRESS(INDEX($X$2:$X$1001,MATCH(ROWS($V$2:V186),$V$2:$V$1001,0),0), INDEX($AC$1004:$AS$1004,1,MATCH(COLUMNS($AC$1006:AN1006),$AC$1006:$AS$1006,0)))),"Fix")))</f>
        <v>0</v>
      </c>
      <c r="N186" s="5">
        <f>IF(OR(INDEX($W$2:$W$1001,MATCH(ROWS($V$2:V186),$V$2:$V$1001,0),1)&gt;=100000,INDEX($AC$1005:$AS$1005,1,MATCH(COLUMNS($AC$1006:AO1006),$AC$1006:$AS$1006,0))&gt;=100000), " ",IF(INDEX($AC$2:$AS$1001,MATCH(ROWS($V$2:V186),$V$2:$V$1001,0),MATCH(COLUMNS($AC$1006:AO1006),$AC$1006:$AS$1006,0)), HYPERLINK("#",""), HYPERLINK(CONCATENATE("#Metadata!", ADDRESS(INDEX($X$2:$X$1001,MATCH(ROWS($V$2:V186),$V$2:$V$1001,0),0), INDEX($AC$1004:$AS$1004,1,MATCH(COLUMNS($AC$1006:AO1006),$AC$1006:$AS$1006,0)))),"Fix")))</f>
        <v>0</v>
      </c>
      <c r="O186" s="5">
        <f>IF(OR(INDEX($W$2:$W$1001,MATCH(ROWS($V$2:V186),$V$2:$V$1001,0),1)&gt;=100000,INDEX($AC$1005:$AS$1005,1,MATCH(COLUMNS($AC$1006:AP1006),$AC$1006:$AS$1006,0))&gt;=100000), " ",IF(INDEX($AC$2:$AS$1001,MATCH(ROWS($V$2:V186),$V$2:$V$1001,0),MATCH(COLUMNS($AC$1006:AP1006),$AC$1006:$AS$1006,0)), HYPERLINK("#",""), HYPERLINK(CONCATENATE("#Metadata!", ADDRESS(INDEX($X$2:$X$1001,MATCH(ROWS($V$2:V186),$V$2:$V$1001,0),0), INDEX($AC$1004:$AS$1004,1,MATCH(COLUMNS($AC$1006:AP1006),$AC$1006:$AS$1006,0)))),"Fix")))</f>
        <v>0</v>
      </c>
      <c r="P186" s="5">
        <f>IF(OR(INDEX($W$2:$W$1001,MATCH(ROWS($V$2:V186),$V$2:$V$1001,0),1)&gt;=100000,INDEX($AC$1005:$AS$1005,1,MATCH(COLUMNS($AC$1006:AQ1006),$AC$1006:$AS$1006,0))&gt;=100000), " ",IF(INDEX($AC$2:$AS$1001,MATCH(ROWS($V$2:V186),$V$2:$V$1001,0),MATCH(COLUMNS($AC$1006:AQ1006),$AC$1006:$AS$1006,0)), HYPERLINK("#",""), HYPERLINK(CONCATENATE("#Metadata!", ADDRESS(INDEX($X$2:$X$1001,MATCH(ROWS($V$2:V186),$V$2:$V$1001,0),0), INDEX($AC$1004:$AS$1004,1,MATCH(COLUMNS($AC$1006:AQ1006),$AC$1006:$AS$1006,0)))),"Fix")))</f>
        <v>0</v>
      </c>
      <c r="Q186" s="5">
        <f>IF(OR(INDEX($W$2:$W$1001,MATCH(ROWS($V$2:V186),$V$2:$V$1001,0),1)&gt;=100000,INDEX($AC$1005:$AS$1005,1,MATCH(COLUMNS($AC$1006:AR1006),$AC$1006:$AS$1006,0))&gt;=100000), " ",IF(INDEX($AC$2:$AS$1001,MATCH(ROWS($V$2:V186),$V$2:$V$1001,0),MATCH(COLUMNS($AC$1006:AR1006),$AC$1006:$AS$1006,0)), HYPERLINK("#",""), HYPERLINK(CONCATENATE("#Metadata!", ADDRESS(INDEX($X$2:$X$1001,MATCH(ROWS($V$2:V186),$V$2:$V$1001,0),0), INDEX($AC$1004:$AS$1004,1,MATCH(COLUMNS($AC$1006:AR1006),$AC$1006:$AS$1006,0)))),"Fix")))</f>
        <v>0</v>
      </c>
      <c r="R186" s="5">
        <f>IF(OR(INDEX($W$2:$W$1001,MATCH(ROWS($V$2:V186),$V$2:$V$1001,0),1)&gt;=100000,INDEX($AC$1005:$AS$1005,1,MATCH(COLUMNS($AC$1006:AS1006),$AC$1006:$AS$1006,0))&gt;=100000), " ",IF(INDEX($AC$2:$AS$1001,MATCH(ROWS($V$2:V186),$V$2:$V$1001,0),MATCH(COLUMNS($AC$1006:AS1006),$AC$1006:$AS$1006,0)), HYPERLINK("#",""), HYPERLINK(CONCATENATE("#Metadata!", ADDRESS(INDEX($X$2:$X$1001,MATCH(ROWS($V$2:V186),$V$2:$V$1001,0),0), INDEX($AC$1004:$AS$1004,1,MATCH(COLUMNS($AC$1006:AS1006),$AC$1006:$AS$1006,0)))),"Fix")))</f>
        <v>0</v>
      </c>
      <c r="V186">
        <v>0</v>
      </c>
      <c r="W186">
        <v>0</v>
      </c>
      <c r="X186">
        <v>0</v>
      </c>
      <c r="Y186">
        <f>IF(Z186,TRUE,AND(AC186:AS186))</f>
        <v>0</v>
      </c>
      <c r="Z186">
        <f>COUNTBLANK(Metadata!B186:R186)=COLUMNS(Metadata!B186:R186)</f>
        <v>0</v>
      </c>
      <c r="AA186">
        <v>0</v>
      </c>
      <c r="AC186">
        <f>AND(IF(Metadata!B186="",FALSE,TRUE),COUNTIF(Metadata!B:B, Metadata!B186) = 1,NOT(ISERROR(SUMPRODUCT(SEARCH(MID(Metadata!B186,ROW(INDIRECT("1:"&amp;LEN(Metadata!B186))), 1),"0123456789abcdefghijklmnopqrstuvwxyzABCDEFGHIJKLMNOPQRSTUVWXYZ.")))))</f>
        <v>0</v>
      </c>
      <c r="AD186">
        <f>AND(IF(Metadata!C186="",FALSE,TRUE),exact(Metadata!C186,"Host-associated"))</f>
        <v>0</v>
      </c>
      <c r="AE186">
        <f>AND(IF(Metadata!D186="",FALSE,TRUE),OR(exact(Metadata!D186,"Animal"),exact(Metadata!D186,"Fungus"),exact(Metadata!D186,"Plant")))</f>
        <v>0</v>
      </c>
      <c r="AF186">
        <f>AND(IF(Metadata!E186="",FALSE,TRUE),OR(exact(Metadata!E186,"Plant secretion"),exact(Metadata!E186,"Plant rhizosphere"),exact(Metadata!E186,"Plant surface"),exact(Metadata!E186,"Plant corpus"),exact(Metadata!E186,"Fungus surface"),exact(Metadata!E186,"Fungus corpus"),exact(Metadata!E186,"Animal surface"),exact(Metadata!E186,"Animal proximal gut"),exact(Metadata!E186,"Animal corpus"),exact(Metadata!E186,"Animal distal gut"),exact(Metadata!E186,"Animal secretion")))</f>
        <v>0</v>
      </c>
      <c r="AG186">
        <f>OR(AND(IF(Metadata!F186="",FALSE,TRUE),OR(exact(Metadata!F186,"not collected"),exact(Metadata!F186,"not provided"),exact(Metadata!F186,"restricted access"))),AND(IF(Metadata!F186="",FALSE,TRUE),OR(exact(Metadata!F186,"organism-associated habitat"),exact(Metadata!F186,"plant-associated habitat"),exact(Metadata!F186,"animal-associated habitat"),exact(Metadata!F186,"insecta-associated habitat"),exact(Metadata!F186,"mammalia-associated habitat"),exact(Metadata!F186,"human-associated habitat"),exact(Metadata!F186,"livestock-associated habitat"))))</f>
        <v>0</v>
      </c>
      <c r="AH186">
        <f>AND(IF(Metadata!G186="",FALSE,TRUE),exact(Metadata!G186,"host-associated"))</f>
        <v>0</v>
      </c>
      <c r="AI186">
        <f>OR(AND(IF(Metadata!H186="",FALSE,TRUE),OR(exact(Metadata!H186,"not collected"),exact(Metadata!H186,"not provided"))),AND(IF(Metadata!H186="",FALSE,ISNUMBER(VALUE(Metadata!H186))),Metadata!H186&gt;0))</f>
        <v>0</v>
      </c>
      <c r="AJ186">
        <f>AND(IF(Metadata!I186="",FALSE,TRUE),exact(Metadata!I186,"years"))</f>
        <v>0</v>
      </c>
      <c r="AK186">
        <f>IF(Metadata!J186="",FALSE,TRUE)</f>
        <v>0</v>
      </c>
      <c r="AL186">
        <f>OR(AND(IF(Metadata!K186="",FALSE,TRUE),OR(exact(Metadata!K186,"not collected"),exact(Metadata!K186,"not provided"))),AND(IF(Metadata!K186="",FALSE,ISNUMBER(VALUE(Metadata!K186))),Metadata!K186&gt;0))</f>
        <v>0</v>
      </c>
      <c r="AM186">
        <f>AND(IF(Metadata!L186="",FALSE,TRUE),exact(Metadata!L186,"cm"))</f>
        <v>0</v>
      </c>
      <c r="AN186">
        <f>IF(Metadata!M186="",FALSE,TRUE)</f>
        <v>0</v>
      </c>
      <c r="AO186">
        <f>OR(AND(IF(Metadata!N186="",FALSE,TRUE),OR(exact(Metadata!N186,"not applicable"),exact(Metadata!N186,"not collected"),exact(Metadata!N186,"not provided"))),AND(IF(Metadata!N186="",FALSE,IF(ISERROR(INT(Metadata!N186)),FALSE,INT(Metadata!N186)=Metadata!N186)),Metadata!N186&gt;0))</f>
        <v>0</v>
      </c>
      <c r="AP186">
        <f>OR(AND(IF(Metadata!O186="",FALSE,TRUE),OR(exact(Metadata!O186,"not collected"),exact(Metadata!O186,"not provided"))),AND(IF(Metadata!O186="",FALSE,ISNUMBER(VALUE(Metadata!O186))),Metadata!O186&gt;0))</f>
        <v>0</v>
      </c>
      <c r="AQ186">
        <f>AND(IF(Metadata!P186="",FALSE,TRUE),exact(Metadata!P186,"kg"))</f>
        <v>0</v>
      </c>
      <c r="AR186">
        <f>OR(AND(IF(Metadata!Q186="",FALSE,TRUE),OR(exact(Metadata!Q186,"not applicable"),exact(Metadata!Q186,"not collected"),exact(Metadata!Q186,"not provided"),exact(Metadata!Q186,"restricted access"))),IF(Metadata!Q186="",FALSE,IF(ISERROR(INT(Metadata!Q186)),FALSE,INT(Metadata!Q186)=Metadata!Q186)))</f>
        <v>0</v>
      </c>
      <c r="AS186">
        <f>AND(IF(Metadata!R186="",FALSE,TRUE),exact(Metadata!R186,"Not applicable"))</f>
        <v>0</v>
      </c>
    </row>
    <row r="187" spans="1:45">
      <c r="A187" s="4">
        <f>IF(B187=" "," ",HYPERLINK(CONCATENATE("#metadata!",ADDRESS(INDEX($X$2:$X$1001,MATCH(ROWS($V$2:V187),$V$2:$V$1001,0),0),2)),INDEX($AA$2:$AA$1001,MATCH(ROWS($V$2:V187),$V$2:$V$1001,0),0)))</f>
        <v>0</v>
      </c>
      <c r="B187" s="5">
        <f>IF(OR(INDEX($W$2:$W$1001,MATCH(ROWS($V$2:V187),$V$2:$V$1001,0),1)&gt;=100000,INDEX($AC$1005:$AS$1005,1,MATCH(COLUMNS($AC$1006:AC1006),$AC$1006:$AS$1006,0))&gt;=100000), " ",IF(INDEX($AC$2:$AS$1001,MATCH(ROWS($V$2:V187),$V$2:$V$1001,0),MATCH(COLUMNS($AC$1006:AC1006),$AC$1006:$AS$1006,0)), HYPERLINK("#",""), HYPERLINK(CONCATENATE("#Metadata!", ADDRESS(INDEX($X$2:$X$1001,MATCH(ROWS($V$2:V187),$V$2:$V$1001,0),0), INDEX($AC$1004:$AS$1004,1,MATCH(COLUMNS($AC$1006:AC1006),$AC$1006:$AS$1006,0)))),"Fix")))</f>
        <v>0</v>
      </c>
      <c r="C187" s="5">
        <f>IF(OR(INDEX($W$2:$W$1001,MATCH(ROWS($V$2:V187),$V$2:$V$1001,0),1)&gt;=100000,INDEX($AC$1005:$AS$1005,1,MATCH(COLUMNS($AC$1006:AD1006),$AC$1006:$AS$1006,0))&gt;=100000), " ",IF(INDEX($AC$2:$AS$1001,MATCH(ROWS($V$2:V187),$V$2:$V$1001,0),MATCH(COLUMNS($AC$1006:AD1006),$AC$1006:$AS$1006,0)), HYPERLINK("#",""), HYPERLINK(CONCATENATE("#Metadata!", ADDRESS(INDEX($X$2:$X$1001,MATCH(ROWS($V$2:V187),$V$2:$V$1001,0),0), INDEX($AC$1004:$AS$1004,1,MATCH(COLUMNS($AC$1006:AD1006),$AC$1006:$AS$1006,0)))),"Fix")))</f>
        <v>0</v>
      </c>
      <c r="D187" s="5">
        <f>IF(OR(INDEX($W$2:$W$1001,MATCH(ROWS($V$2:V187),$V$2:$V$1001,0),1)&gt;=100000,INDEX($AC$1005:$AS$1005,1,MATCH(COLUMNS($AC$1006:AE1006),$AC$1006:$AS$1006,0))&gt;=100000), " ",IF(INDEX($AC$2:$AS$1001,MATCH(ROWS($V$2:V187),$V$2:$V$1001,0),MATCH(COLUMNS($AC$1006:AE1006),$AC$1006:$AS$1006,0)), HYPERLINK("#",""), HYPERLINK(CONCATENATE("#Metadata!", ADDRESS(INDEX($X$2:$X$1001,MATCH(ROWS($V$2:V187),$V$2:$V$1001,0),0), INDEX($AC$1004:$AS$1004,1,MATCH(COLUMNS($AC$1006:AE1006),$AC$1006:$AS$1006,0)))),"Fix")))</f>
        <v>0</v>
      </c>
      <c r="E187" s="5">
        <f>IF(OR(INDEX($W$2:$W$1001,MATCH(ROWS($V$2:V187),$V$2:$V$1001,0),1)&gt;=100000,INDEX($AC$1005:$AS$1005,1,MATCH(COLUMNS($AC$1006:AF1006),$AC$1006:$AS$1006,0))&gt;=100000), " ",IF(INDEX($AC$2:$AS$1001,MATCH(ROWS($V$2:V187),$V$2:$V$1001,0),MATCH(COLUMNS($AC$1006:AF1006),$AC$1006:$AS$1006,0)), HYPERLINK("#",""), HYPERLINK(CONCATENATE("#Metadata!", ADDRESS(INDEX($X$2:$X$1001,MATCH(ROWS($V$2:V187),$V$2:$V$1001,0),0), INDEX($AC$1004:$AS$1004,1,MATCH(COLUMNS($AC$1006:AF1006),$AC$1006:$AS$1006,0)))),"Fix")))</f>
        <v>0</v>
      </c>
      <c r="F187" s="5">
        <f>IF(OR(INDEX($W$2:$W$1001,MATCH(ROWS($V$2:V187),$V$2:$V$1001,0),1)&gt;=100000,INDEX($AC$1005:$AS$1005,1,MATCH(COLUMNS($AC$1006:AG1006),$AC$1006:$AS$1006,0))&gt;=100000), " ",IF(INDEX($AC$2:$AS$1001,MATCH(ROWS($V$2:V187),$V$2:$V$1001,0),MATCH(COLUMNS($AC$1006:AG1006),$AC$1006:$AS$1006,0)), HYPERLINK("#",""), HYPERLINK(CONCATENATE("#Metadata!", ADDRESS(INDEX($X$2:$X$1001,MATCH(ROWS($V$2:V187),$V$2:$V$1001,0),0), INDEX($AC$1004:$AS$1004,1,MATCH(COLUMNS($AC$1006:AG1006),$AC$1006:$AS$1006,0)))),"Fix")))</f>
        <v>0</v>
      </c>
      <c r="G187" s="5">
        <f>IF(OR(INDEX($W$2:$W$1001,MATCH(ROWS($V$2:V187),$V$2:$V$1001,0),1)&gt;=100000,INDEX($AC$1005:$AS$1005,1,MATCH(COLUMNS($AC$1006:AH1006),$AC$1006:$AS$1006,0))&gt;=100000), " ",IF(INDEX($AC$2:$AS$1001,MATCH(ROWS($V$2:V187),$V$2:$V$1001,0),MATCH(COLUMNS($AC$1006:AH1006),$AC$1006:$AS$1006,0)), HYPERLINK("#",""), HYPERLINK(CONCATENATE("#Metadata!", ADDRESS(INDEX($X$2:$X$1001,MATCH(ROWS($V$2:V187),$V$2:$V$1001,0),0), INDEX($AC$1004:$AS$1004,1,MATCH(COLUMNS($AC$1006:AH1006),$AC$1006:$AS$1006,0)))),"Fix")))</f>
        <v>0</v>
      </c>
      <c r="H187" s="5">
        <f>IF(OR(INDEX($W$2:$W$1001,MATCH(ROWS($V$2:V187),$V$2:$V$1001,0),1)&gt;=100000,INDEX($AC$1005:$AS$1005,1,MATCH(COLUMNS($AC$1006:AI1006),$AC$1006:$AS$1006,0))&gt;=100000), " ",IF(INDEX($AC$2:$AS$1001,MATCH(ROWS($V$2:V187),$V$2:$V$1001,0),MATCH(COLUMNS($AC$1006:AI1006),$AC$1006:$AS$1006,0)), HYPERLINK("#",""), HYPERLINK(CONCATENATE("#Metadata!", ADDRESS(INDEX($X$2:$X$1001,MATCH(ROWS($V$2:V187),$V$2:$V$1001,0),0), INDEX($AC$1004:$AS$1004,1,MATCH(COLUMNS($AC$1006:AI1006),$AC$1006:$AS$1006,0)))),"Fix")))</f>
        <v>0</v>
      </c>
      <c r="I187" s="5">
        <f>IF(OR(INDEX($W$2:$W$1001,MATCH(ROWS($V$2:V187),$V$2:$V$1001,0),1)&gt;=100000,INDEX($AC$1005:$AS$1005,1,MATCH(COLUMNS($AC$1006:AJ1006),$AC$1006:$AS$1006,0))&gt;=100000), " ",IF(INDEX($AC$2:$AS$1001,MATCH(ROWS($V$2:V187),$V$2:$V$1001,0),MATCH(COLUMNS($AC$1006:AJ1006),$AC$1006:$AS$1006,0)), HYPERLINK("#",""), HYPERLINK(CONCATENATE("#Metadata!", ADDRESS(INDEX($X$2:$X$1001,MATCH(ROWS($V$2:V187),$V$2:$V$1001,0),0), INDEX($AC$1004:$AS$1004,1,MATCH(COLUMNS($AC$1006:AJ1006),$AC$1006:$AS$1006,0)))),"Fix")))</f>
        <v>0</v>
      </c>
      <c r="J187" s="5">
        <f>IF(OR(INDEX($W$2:$W$1001,MATCH(ROWS($V$2:V187),$V$2:$V$1001,0),1)&gt;=100000,INDEX($AC$1005:$AS$1005,1,MATCH(COLUMNS($AC$1006:AK1006),$AC$1006:$AS$1006,0))&gt;=100000), " ",IF(INDEX($AC$2:$AS$1001,MATCH(ROWS($V$2:V187),$V$2:$V$1001,0),MATCH(COLUMNS($AC$1006:AK1006),$AC$1006:$AS$1006,0)), HYPERLINK("#",""), HYPERLINK(CONCATENATE("#Metadata!", ADDRESS(INDEX($X$2:$X$1001,MATCH(ROWS($V$2:V187),$V$2:$V$1001,0),0), INDEX($AC$1004:$AS$1004,1,MATCH(COLUMNS($AC$1006:AK1006),$AC$1006:$AS$1006,0)))),"Fix")))</f>
        <v>0</v>
      </c>
      <c r="K187" s="5">
        <f>IF(OR(INDEX($W$2:$W$1001,MATCH(ROWS($V$2:V187),$V$2:$V$1001,0),1)&gt;=100000,INDEX($AC$1005:$AS$1005,1,MATCH(COLUMNS($AC$1006:AL1006),$AC$1006:$AS$1006,0))&gt;=100000), " ",IF(INDEX($AC$2:$AS$1001,MATCH(ROWS($V$2:V187),$V$2:$V$1001,0),MATCH(COLUMNS($AC$1006:AL1006),$AC$1006:$AS$1006,0)), HYPERLINK("#",""), HYPERLINK(CONCATENATE("#Metadata!", ADDRESS(INDEX($X$2:$X$1001,MATCH(ROWS($V$2:V187),$V$2:$V$1001,0),0), INDEX($AC$1004:$AS$1004,1,MATCH(COLUMNS($AC$1006:AL1006),$AC$1006:$AS$1006,0)))),"Fix")))</f>
        <v>0</v>
      </c>
      <c r="L187" s="5">
        <f>IF(OR(INDEX($W$2:$W$1001,MATCH(ROWS($V$2:V187),$V$2:$V$1001,0),1)&gt;=100000,INDEX($AC$1005:$AS$1005,1,MATCH(COLUMNS($AC$1006:AM1006),$AC$1006:$AS$1006,0))&gt;=100000), " ",IF(INDEX($AC$2:$AS$1001,MATCH(ROWS($V$2:V187),$V$2:$V$1001,0),MATCH(COLUMNS($AC$1006:AM1006),$AC$1006:$AS$1006,0)), HYPERLINK("#",""), HYPERLINK(CONCATENATE("#Metadata!", ADDRESS(INDEX($X$2:$X$1001,MATCH(ROWS($V$2:V187),$V$2:$V$1001,0),0), INDEX($AC$1004:$AS$1004,1,MATCH(COLUMNS($AC$1006:AM1006),$AC$1006:$AS$1006,0)))),"Fix")))</f>
        <v>0</v>
      </c>
      <c r="M187" s="5">
        <f>IF(OR(INDEX($W$2:$W$1001,MATCH(ROWS($V$2:V187),$V$2:$V$1001,0),1)&gt;=100000,INDEX($AC$1005:$AS$1005,1,MATCH(COLUMNS($AC$1006:AN1006),$AC$1006:$AS$1006,0))&gt;=100000), " ",IF(INDEX($AC$2:$AS$1001,MATCH(ROWS($V$2:V187),$V$2:$V$1001,0),MATCH(COLUMNS($AC$1006:AN1006),$AC$1006:$AS$1006,0)), HYPERLINK("#",""), HYPERLINK(CONCATENATE("#Metadata!", ADDRESS(INDEX($X$2:$X$1001,MATCH(ROWS($V$2:V187),$V$2:$V$1001,0),0), INDEX($AC$1004:$AS$1004,1,MATCH(COLUMNS($AC$1006:AN1006),$AC$1006:$AS$1006,0)))),"Fix")))</f>
        <v>0</v>
      </c>
      <c r="N187" s="5">
        <f>IF(OR(INDEX($W$2:$W$1001,MATCH(ROWS($V$2:V187),$V$2:$V$1001,0),1)&gt;=100000,INDEX($AC$1005:$AS$1005,1,MATCH(COLUMNS($AC$1006:AO1006),$AC$1006:$AS$1006,0))&gt;=100000), " ",IF(INDEX($AC$2:$AS$1001,MATCH(ROWS($V$2:V187),$V$2:$V$1001,0),MATCH(COLUMNS($AC$1006:AO1006),$AC$1006:$AS$1006,0)), HYPERLINK("#",""), HYPERLINK(CONCATENATE("#Metadata!", ADDRESS(INDEX($X$2:$X$1001,MATCH(ROWS($V$2:V187),$V$2:$V$1001,0),0), INDEX($AC$1004:$AS$1004,1,MATCH(COLUMNS($AC$1006:AO1006),$AC$1006:$AS$1006,0)))),"Fix")))</f>
        <v>0</v>
      </c>
      <c r="O187" s="5">
        <f>IF(OR(INDEX($W$2:$W$1001,MATCH(ROWS($V$2:V187),$V$2:$V$1001,0),1)&gt;=100000,INDEX($AC$1005:$AS$1005,1,MATCH(COLUMNS($AC$1006:AP1006),$AC$1006:$AS$1006,0))&gt;=100000), " ",IF(INDEX($AC$2:$AS$1001,MATCH(ROWS($V$2:V187),$V$2:$V$1001,0),MATCH(COLUMNS($AC$1006:AP1006),$AC$1006:$AS$1006,0)), HYPERLINK("#",""), HYPERLINK(CONCATENATE("#Metadata!", ADDRESS(INDEX($X$2:$X$1001,MATCH(ROWS($V$2:V187),$V$2:$V$1001,0),0), INDEX($AC$1004:$AS$1004,1,MATCH(COLUMNS($AC$1006:AP1006),$AC$1006:$AS$1006,0)))),"Fix")))</f>
        <v>0</v>
      </c>
      <c r="P187" s="5">
        <f>IF(OR(INDEX($W$2:$W$1001,MATCH(ROWS($V$2:V187),$V$2:$V$1001,0),1)&gt;=100000,INDEX($AC$1005:$AS$1005,1,MATCH(COLUMNS($AC$1006:AQ1006),$AC$1006:$AS$1006,0))&gt;=100000), " ",IF(INDEX($AC$2:$AS$1001,MATCH(ROWS($V$2:V187),$V$2:$V$1001,0),MATCH(COLUMNS($AC$1006:AQ1006),$AC$1006:$AS$1006,0)), HYPERLINK("#",""), HYPERLINK(CONCATENATE("#Metadata!", ADDRESS(INDEX($X$2:$X$1001,MATCH(ROWS($V$2:V187),$V$2:$V$1001,0),0), INDEX($AC$1004:$AS$1004,1,MATCH(COLUMNS($AC$1006:AQ1006),$AC$1006:$AS$1006,0)))),"Fix")))</f>
        <v>0</v>
      </c>
      <c r="Q187" s="5">
        <f>IF(OR(INDEX($W$2:$W$1001,MATCH(ROWS($V$2:V187),$V$2:$V$1001,0),1)&gt;=100000,INDEX($AC$1005:$AS$1005,1,MATCH(COLUMNS($AC$1006:AR1006),$AC$1006:$AS$1006,0))&gt;=100000), " ",IF(INDEX($AC$2:$AS$1001,MATCH(ROWS($V$2:V187),$V$2:$V$1001,0),MATCH(COLUMNS($AC$1006:AR1006),$AC$1006:$AS$1006,0)), HYPERLINK("#",""), HYPERLINK(CONCATENATE("#Metadata!", ADDRESS(INDEX($X$2:$X$1001,MATCH(ROWS($V$2:V187),$V$2:$V$1001,0),0), INDEX($AC$1004:$AS$1004,1,MATCH(COLUMNS($AC$1006:AR1006),$AC$1006:$AS$1006,0)))),"Fix")))</f>
        <v>0</v>
      </c>
      <c r="R187" s="5">
        <f>IF(OR(INDEX($W$2:$W$1001,MATCH(ROWS($V$2:V187),$V$2:$V$1001,0),1)&gt;=100000,INDEX($AC$1005:$AS$1005,1,MATCH(COLUMNS($AC$1006:AS1006),$AC$1006:$AS$1006,0))&gt;=100000), " ",IF(INDEX($AC$2:$AS$1001,MATCH(ROWS($V$2:V187),$V$2:$V$1001,0),MATCH(COLUMNS($AC$1006:AS1006),$AC$1006:$AS$1006,0)), HYPERLINK("#",""), HYPERLINK(CONCATENATE("#Metadata!", ADDRESS(INDEX($X$2:$X$1001,MATCH(ROWS($V$2:V187),$V$2:$V$1001,0),0), INDEX($AC$1004:$AS$1004,1,MATCH(COLUMNS($AC$1006:AS1006),$AC$1006:$AS$1006,0)))),"Fix")))</f>
        <v>0</v>
      </c>
      <c r="V187">
        <v>0</v>
      </c>
      <c r="W187">
        <v>0</v>
      </c>
      <c r="X187">
        <v>0</v>
      </c>
      <c r="Y187">
        <f>IF(Z187,TRUE,AND(AC187:AS187))</f>
        <v>0</v>
      </c>
      <c r="Z187">
        <f>COUNTBLANK(Metadata!B187:R187)=COLUMNS(Metadata!B187:R187)</f>
        <v>0</v>
      </c>
      <c r="AA187">
        <v>0</v>
      </c>
      <c r="AC187">
        <f>AND(IF(Metadata!B187="",FALSE,TRUE),COUNTIF(Metadata!B:B, Metadata!B187) = 1,NOT(ISERROR(SUMPRODUCT(SEARCH(MID(Metadata!B187,ROW(INDIRECT("1:"&amp;LEN(Metadata!B187))), 1),"0123456789abcdefghijklmnopqrstuvwxyzABCDEFGHIJKLMNOPQRSTUVWXYZ.")))))</f>
        <v>0</v>
      </c>
      <c r="AD187">
        <f>AND(IF(Metadata!C187="",FALSE,TRUE),exact(Metadata!C187,"Host-associated"))</f>
        <v>0</v>
      </c>
      <c r="AE187">
        <f>AND(IF(Metadata!D187="",FALSE,TRUE),OR(exact(Metadata!D187,"Animal"),exact(Metadata!D187,"Fungus"),exact(Metadata!D187,"Plant")))</f>
        <v>0</v>
      </c>
      <c r="AF187">
        <f>AND(IF(Metadata!E187="",FALSE,TRUE),OR(exact(Metadata!E187,"Plant secretion"),exact(Metadata!E187,"Plant rhizosphere"),exact(Metadata!E187,"Plant surface"),exact(Metadata!E187,"Plant corpus"),exact(Metadata!E187,"Fungus surface"),exact(Metadata!E187,"Fungus corpus"),exact(Metadata!E187,"Animal surface"),exact(Metadata!E187,"Animal proximal gut"),exact(Metadata!E187,"Animal corpus"),exact(Metadata!E187,"Animal distal gut"),exact(Metadata!E187,"Animal secretion")))</f>
        <v>0</v>
      </c>
      <c r="AG187">
        <f>OR(AND(IF(Metadata!F187="",FALSE,TRUE),OR(exact(Metadata!F187,"not collected"),exact(Metadata!F187,"not provided"),exact(Metadata!F187,"restricted access"))),AND(IF(Metadata!F187="",FALSE,TRUE),OR(exact(Metadata!F187,"organism-associated habitat"),exact(Metadata!F187,"plant-associated habitat"),exact(Metadata!F187,"animal-associated habitat"),exact(Metadata!F187,"insecta-associated habitat"),exact(Metadata!F187,"mammalia-associated habitat"),exact(Metadata!F187,"human-associated habitat"),exact(Metadata!F187,"livestock-associated habitat"))))</f>
        <v>0</v>
      </c>
      <c r="AH187">
        <f>AND(IF(Metadata!G187="",FALSE,TRUE),exact(Metadata!G187,"host-associated"))</f>
        <v>0</v>
      </c>
      <c r="AI187">
        <f>OR(AND(IF(Metadata!H187="",FALSE,TRUE),OR(exact(Metadata!H187,"not collected"),exact(Metadata!H187,"not provided"))),AND(IF(Metadata!H187="",FALSE,ISNUMBER(VALUE(Metadata!H187))),Metadata!H187&gt;0))</f>
        <v>0</v>
      </c>
      <c r="AJ187">
        <f>AND(IF(Metadata!I187="",FALSE,TRUE),exact(Metadata!I187,"years"))</f>
        <v>0</v>
      </c>
      <c r="AK187">
        <f>IF(Metadata!J187="",FALSE,TRUE)</f>
        <v>0</v>
      </c>
      <c r="AL187">
        <f>OR(AND(IF(Metadata!K187="",FALSE,TRUE),OR(exact(Metadata!K187,"not collected"),exact(Metadata!K187,"not provided"))),AND(IF(Metadata!K187="",FALSE,ISNUMBER(VALUE(Metadata!K187))),Metadata!K187&gt;0))</f>
        <v>0</v>
      </c>
      <c r="AM187">
        <f>AND(IF(Metadata!L187="",FALSE,TRUE),exact(Metadata!L187,"cm"))</f>
        <v>0</v>
      </c>
      <c r="AN187">
        <f>IF(Metadata!M187="",FALSE,TRUE)</f>
        <v>0</v>
      </c>
      <c r="AO187">
        <f>OR(AND(IF(Metadata!N187="",FALSE,TRUE),OR(exact(Metadata!N187,"not applicable"),exact(Metadata!N187,"not collected"),exact(Metadata!N187,"not provided"))),AND(IF(Metadata!N187="",FALSE,IF(ISERROR(INT(Metadata!N187)),FALSE,INT(Metadata!N187)=Metadata!N187)),Metadata!N187&gt;0))</f>
        <v>0</v>
      </c>
      <c r="AP187">
        <f>OR(AND(IF(Metadata!O187="",FALSE,TRUE),OR(exact(Metadata!O187,"not collected"),exact(Metadata!O187,"not provided"))),AND(IF(Metadata!O187="",FALSE,ISNUMBER(VALUE(Metadata!O187))),Metadata!O187&gt;0))</f>
        <v>0</v>
      </c>
      <c r="AQ187">
        <f>AND(IF(Metadata!P187="",FALSE,TRUE),exact(Metadata!P187,"kg"))</f>
        <v>0</v>
      </c>
      <c r="AR187">
        <f>OR(AND(IF(Metadata!Q187="",FALSE,TRUE),OR(exact(Metadata!Q187,"not applicable"),exact(Metadata!Q187,"not collected"),exact(Metadata!Q187,"not provided"),exact(Metadata!Q187,"restricted access"))),IF(Metadata!Q187="",FALSE,IF(ISERROR(INT(Metadata!Q187)),FALSE,INT(Metadata!Q187)=Metadata!Q187)))</f>
        <v>0</v>
      </c>
      <c r="AS187">
        <f>AND(IF(Metadata!R187="",FALSE,TRUE),exact(Metadata!R187,"Not applicable"))</f>
        <v>0</v>
      </c>
    </row>
    <row r="188" spans="1:45">
      <c r="A188" s="4">
        <f>IF(B188=" "," ",HYPERLINK(CONCATENATE("#metadata!",ADDRESS(INDEX($X$2:$X$1001,MATCH(ROWS($V$2:V188),$V$2:$V$1001,0),0),2)),INDEX($AA$2:$AA$1001,MATCH(ROWS($V$2:V188),$V$2:$V$1001,0),0)))</f>
        <v>0</v>
      </c>
      <c r="B188" s="5">
        <f>IF(OR(INDEX($W$2:$W$1001,MATCH(ROWS($V$2:V188),$V$2:$V$1001,0),1)&gt;=100000,INDEX($AC$1005:$AS$1005,1,MATCH(COLUMNS($AC$1006:AC1006),$AC$1006:$AS$1006,0))&gt;=100000), " ",IF(INDEX($AC$2:$AS$1001,MATCH(ROWS($V$2:V188),$V$2:$V$1001,0),MATCH(COLUMNS($AC$1006:AC1006),$AC$1006:$AS$1006,0)), HYPERLINK("#",""), HYPERLINK(CONCATENATE("#Metadata!", ADDRESS(INDEX($X$2:$X$1001,MATCH(ROWS($V$2:V188),$V$2:$V$1001,0),0), INDEX($AC$1004:$AS$1004,1,MATCH(COLUMNS($AC$1006:AC1006),$AC$1006:$AS$1006,0)))),"Fix")))</f>
        <v>0</v>
      </c>
      <c r="C188" s="5">
        <f>IF(OR(INDEX($W$2:$W$1001,MATCH(ROWS($V$2:V188),$V$2:$V$1001,0),1)&gt;=100000,INDEX($AC$1005:$AS$1005,1,MATCH(COLUMNS($AC$1006:AD1006),$AC$1006:$AS$1006,0))&gt;=100000), " ",IF(INDEX($AC$2:$AS$1001,MATCH(ROWS($V$2:V188),$V$2:$V$1001,0),MATCH(COLUMNS($AC$1006:AD1006),$AC$1006:$AS$1006,0)), HYPERLINK("#",""), HYPERLINK(CONCATENATE("#Metadata!", ADDRESS(INDEX($X$2:$X$1001,MATCH(ROWS($V$2:V188),$V$2:$V$1001,0),0), INDEX($AC$1004:$AS$1004,1,MATCH(COLUMNS($AC$1006:AD1006),$AC$1006:$AS$1006,0)))),"Fix")))</f>
        <v>0</v>
      </c>
      <c r="D188" s="5">
        <f>IF(OR(INDEX($W$2:$W$1001,MATCH(ROWS($V$2:V188),$V$2:$V$1001,0),1)&gt;=100000,INDEX($AC$1005:$AS$1005,1,MATCH(COLUMNS($AC$1006:AE1006),$AC$1006:$AS$1006,0))&gt;=100000), " ",IF(INDEX($AC$2:$AS$1001,MATCH(ROWS($V$2:V188),$V$2:$V$1001,0),MATCH(COLUMNS($AC$1006:AE1006),$AC$1006:$AS$1006,0)), HYPERLINK("#",""), HYPERLINK(CONCATENATE("#Metadata!", ADDRESS(INDEX($X$2:$X$1001,MATCH(ROWS($V$2:V188),$V$2:$V$1001,0),0), INDEX($AC$1004:$AS$1004,1,MATCH(COLUMNS($AC$1006:AE1006),$AC$1006:$AS$1006,0)))),"Fix")))</f>
        <v>0</v>
      </c>
      <c r="E188" s="5">
        <f>IF(OR(INDEX($W$2:$W$1001,MATCH(ROWS($V$2:V188),$V$2:$V$1001,0),1)&gt;=100000,INDEX($AC$1005:$AS$1005,1,MATCH(COLUMNS($AC$1006:AF1006),$AC$1006:$AS$1006,0))&gt;=100000), " ",IF(INDEX($AC$2:$AS$1001,MATCH(ROWS($V$2:V188),$V$2:$V$1001,0),MATCH(COLUMNS($AC$1006:AF1006),$AC$1006:$AS$1006,0)), HYPERLINK("#",""), HYPERLINK(CONCATENATE("#Metadata!", ADDRESS(INDEX($X$2:$X$1001,MATCH(ROWS($V$2:V188),$V$2:$V$1001,0),0), INDEX($AC$1004:$AS$1004,1,MATCH(COLUMNS($AC$1006:AF1006),$AC$1006:$AS$1006,0)))),"Fix")))</f>
        <v>0</v>
      </c>
      <c r="F188" s="5">
        <f>IF(OR(INDEX($W$2:$W$1001,MATCH(ROWS($V$2:V188),$V$2:$V$1001,0),1)&gt;=100000,INDEX($AC$1005:$AS$1005,1,MATCH(COLUMNS($AC$1006:AG1006),$AC$1006:$AS$1006,0))&gt;=100000), " ",IF(INDEX($AC$2:$AS$1001,MATCH(ROWS($V$2:V188),$V$2:$V$1001,0),MATCH(COLUMNS($AC$1006:AG1006),$AC$1006:$AS$1006,0)), HYPERLINK("#",""), HYPERLINK(CONCATENATE("#Metadata!", ADDRESS(INDEX($X$2:$X$1001,MATCH(ROWS($V$2:V188),$V$2:$V$1001,0),0), INDEX($AC$1004:$AS$1004,1,MATCH(COLUMNS($AC$1006:AG1006),$AC$1006:$AS$1006,0)))),"Fix")))</f>
        <v>0</v>
      </c>
      <c r="G188" s="5">
        <f>IF(OR(INDEX($W$2:$W$1001,MATCH(ROWS($V$2:V188),$V$2:$V$1001,0),1)&gt;=100000,INDEX($AC$1005:$AS$1005,1,MATCH(COLUMNS($AC$1006:AH1006),$AC$1006:$AS$1006,0))&gt;=100000), " ",IF(INDEX($AC$2:$AS$1001,MATCH(ROWS($V$2:V188),$V$2:$V$1001,0),MATCH(COLUMNS($AC$1006:AH1006),$AC$1006:$AS$1006,0)), HYPERLINK("#",""), HYPERLINK(CONCATENATE("#Metadata!", ADDRESS(INDEX($X$2:$X$1001,MATCH(ROWS($V$2:V188),$V$2:$V$1001,0),0), INDEX($AC$1004:$AS$1004,1,MATCH(COLUMNS($AC$1006:AH1006),$AC$1006:$AS$1006,0)))),"Fix")))</f>
        <v>0</v>
      </c>
      <c r="H188" s="5">
        <f>IF(OR(INDEX($W$2:$W$1001,MATCH(ROWS($V$2:V188),$V$2:$V$1001,0),1)&gt;=100000,INDEX($AC$1005:$AS$1005,1,MATCH(COLUMNS($AC$1006:AI1006),$AC$1006:$AS$1006,0))&gt;=100000), " ",IF(INDEX($AC$2:$AS$1001,MATCH(ROWS($V$2:V188),$V$2:$V$1001,0),MATCH(COLUMNS($AC$1006:AI1006),$AC$1006:$AS$1006,0)), HYPERLINK("#",""), HYPERLINK(CONCATENATE("#Metadata!", ADDRESS(INDEX($X$2:$X$1001,MATCH(ROWS($V$2:V188),$V$2:$V$1001,0),0), INDEX($AC$1004:$AS$1004,1,MATCH(COLUMNS($AC$1006:AI1006),$AC$1006:$AS$1006,0)))),"Fix")))</f>
        <v>0</v>
      </c>
      <c r="I188" s="5">
        <f>IF(OR(INDEX($W$2:$W$1001,MATCH(ROWS($V$2:V188),$V$2:$V$1001,0),1)&gt;=100000,INDEX($AC$1005:$AS$1005,1,MATCH(COLUMNS($AC$1006:AJ1006),$AC$1006:$AS$1006,0))&gt;=100000), " ",IF(INDEX($AC$2:$AS$1001,MATCH(ROWS($V$2:V188),$V$2:$V$1001,0),MATCH(COLUMNS($AC$1006:AJ1006),$AC$1006:$AS$1006,0)), HYPERLINK("#",""), HYPERLINK(CONCATENATE("#Metadata!", ADDRESS(INDEX($X$2:$X$1001,MATCH(ROWS($V$2:V188),$V$2:$V$1001,0),0), INDEX($AC$1004:$AS$1004,1,MATCH(COLUMNS($AC$1006:AJ1006),$AC$1006:$AS$1006,0)))),"Fix")))</f>
        <v>0</v>
      </c>
      <c r="J188" s="5">
        <f>IF(OR(INDEX($W$2:$W$1001,MATCH(ROWS($V$2:V188),$V$2:$V$1001,0),1)&gt;=100000,INDEX($AC$1005:$AS$1005,1,MATCH(COLUMNS($AC$1006:AK1006),$AC$1006:$AS$1006,0))&gt;=100000), " ",IF(INDEX($AC$2:$AS$1001,MATCH(ROWS($V$2:V188),$V$2:$V$1001,0),MATCH(COLUMNS($AC$1006:AK1006),$AC$1006:$AS$1006,0)), HYPERLINK("#",""), HYPERLINK(CONCATENATE("#Metadata!", ADDRESS(INDEX($X$2:$X$1001,MATCH(ROWS($V$2:V188),$V$2:$V$1001,0),0), INDEX($AC$1004:$AS$1004,1,MATCH(COLUMNS($AC$1006:AK1006),$AC$1006:$AS$1006,0)))),"Fix")))</f>
        <v>0</v>
      </c>
      <c r="K188" s="5">
        <f>IF(OR(INDEX($W$2:$W$1001,MATCH(ROWS($V$2:V188),$V$2:$V$1001,0),1)&gt;=100000,INDEX($AC$1005:$AS$1005,1,MATCH(COLUMNS($AC$1006:AL1006),$AC$1006:$AS$1006,0))&gt;=100000), " ",IF(INDEX($AC$2:$AS$1001,MATCH(ROWS($V$2:V188),$V$2:$V$1001,0),MATCH(COLUMNS($AC$1006:AL1006),$AC$1006:$AS$1006,0)), HYPERLINK("#",""), HYPERLINK(CONCATENATE("#Metadata!", ADDRESS(INDEX($X$2:$X$1001,MATCH(ROWS($V$2:V188),$V$2:$V$1001,0),0), INDEX($AC$1004:$AS$1004,1,MATCH(COLUMNS($AC$1006:AL1006),$AC$1006:$AS$1006,0)))),"Fix")))</f>
        <v>0</v>
      </c>
      <c r="L188" s="5">
        <f>IF(OR(INDEX($W$2:$W$1001,MATCH(ROWS($V$2:V188),$V$2:$V$1001,0),1)&gt;=100000,INDEX($AC$1005:$AS$1005,1,MATCH(COLUMNS($AC$1006:AM1006),$AC$1006:$AS$1006,0))&gt;=100000), " ",IF(INDEX($AC$2:$AS$1001,MATCH(ROWS($V$2:V188),$V$2:$V$1001,0),MATCH(COLUMNS($AC$1006:AM1006),$AC$1006:$AS$1006,0)), HYPERLINK("#",""), HYPERLINK(CONCATENATE("#Metadata!", ADDRESS(INDEX($X$2:$X$1001,MATCH(ROWS($V$2:V188),$V$2:$V$1001,0),0), INDEX($AC$1004:$AS$1004,1,MATCH(COLUMNS($AC$1006:AM1006),$AC$1006:$AS$1006,0)))),"Fix")))</f>
        <v>0</v>
      </c>
      <c r="M188" s="5">
        <f>IF(OR(INDEX($W$2:$W$1001,MATCH(ROWS($V$2:V188),$V$2:$V$1001,0),1)&gt;=100000,INDEX($AC$1005:$AS$1005,1,MATCH(COLUMNS($AC$1006:AN1006),$AC$1006:$AS$1006,0))&gt;=100000), " ",IF(INDEX($AC$2:$AS$1001,MATCH(ROWS($V$2:V188),$V$2:$V$1001,0),MATCH(COLUMNS($AC$1006:AN1006),$AC$1006:$AS$1006,0)), HYPERLINK("#",""), HYPERLINK(CONCATENATE("#Metadata!", ADDRESS(INDEX($X$2:$X$1001,MATCH(ROWS($V$2:V188),$V$2:$V$1001,0),0), INDEX($AC$1004:$AS$1004,1,MATCH(COLUMNS($AC$1006:AN1006),$AC$1006:$AS$1006,0)))),"Fix")))</f>
        <v>0</v>
      </c>
      <c r="N188" s="5">
        <f>IF(OR(INDEX($W$2:$W$1001,MATCH(ROWS($V$2:V188),$V$2:$V$1001,0),1)&gt;=100000,INDEX($AC$1005:$AS$1005,1,MATCH(COLUMNS($AC$1006:AO1006),$AC$1006:$AS$1006,0))&gt;=100000), " ",IF(INDEX($AC$2:$AS$1001,MATCH(ROWS($V$2:V188),$V$2:$V$1001,0),MATCH(COLUMNS($AC$1006:AO1006),$AC$1006:$AS$1006,0)), HYPERLINK("#",""), HYPERLINK(CONCATENATE("#Metadata!", ADDRESS(INDEX($X$2:$X$1001,MATCH(ROWS($V$2:V188),$V$2:$V$1001,0),0), INDEX($AC$1004:$AS$1004,1,MATCH(COLUMNS($AC$1006:AO1006),$AC$1006:$AS$1006,0)))),"Fix")))</f>
        <v>0</v>
      </c>
      <c r="O188" s="5">
        <f>IF(OR(INDEX($W$2:$W$1001,MATCH(ROWS($V$2:V188),$V$2:$V$1001,0),1)&gt;=100000,INDEX($AC$1005:$AS$1005,1,MATCH(COLUMNS($AC$1006:AP1006),$AC$1006:$AS$1006,0))&gt;=100000), " ",IF(INDEX($AC$2:$AS$1001,MATCH(ROWS($V$2:V188),$V$2:$V$1001,0),MATCH(COLUMNS($AC$1006:AP1006),$AC$1006:$AS$1006,0)), HYPERLINK("#",""), HYPERLINK(CONCATENATE("#Metadata!", ADDRESS(INDEX($X$2:$X$1001,MATCH(ROWS($V$2:V188),$V$2:$V$1001,0),0), INDEX($AC$1004:$AS$1004,1,MATCH(COLUMNS($AC$1006:AP1006),$AC$1006:$AS$1006,0)))),"Fix")))</f>
        <v>0</v>
      </c>
      <c r="P188" s="5">
        <f>IF(OR(INDEX($W$2:$W$1001,MATCH(ROWS($V$2:V188),$V$2:$V$1001,0),1)&gt;=100000,INDEX($AC$1005:$AS$1005,1,MATCH(COLUMNS($AC$1006:AQ1006),$AC$1006:$AS$1006,0))&gt;=100000), " ",IF(INDEX($AC$2:$AS$1001,MATCH(ROWS($V$2:V188),$V$2:$V$1001,0),MATCH(COLUMNS($AC$1006:AQ1006),$AC$1006:$AS$1006,0)), HYPERLINK("#",""), HYPERLINK(CONCATENATE("#Metadata!", ADDRESS(INDEX($X$2:$X$1001,MATCH(ROWS($V$2:V188),$V$2:$V$1001,0),0), INDEX($AC$1004:$AS$1004,1,MATCH(COLUMNS($AC$1006:AQ1006),$AC$1006:$AS$1006,0)))),"Fix")))</f>
        <v>0</v>
      </c>
      <c r="Q188" s="5">
        <f>IF(OR(INDEX($W$2:$W$1001,MATCH(ROWS($V$2:V188),$V$2:$V$1001,0),1)&gt;=100000,INDEX($AC$1005:$AS$1005,1,MATCH(COLUMNS($AC$1006:AR1006),$AC$1006:$AS$1006,0))&gt;=100000), " ",IF(INDEX($AC$2:$AS$1001,MATCH(ROWS($V$2:V188),$V$2:$V$1001,0),MATCH(COLUMNS($AC$1006:AR1006),$AC$1006:$AS$1006,0)), HYPERLINK("#",""), HYPERLINK(CONCATENATE("#Metadata!", ADDRESS(INDEX($X$2:$X$1001,MATCH(ROWS($V$2:V188),$V$2:$V$1001,0),0), INDEX($AC$1004:$AS$1004,1,MATCH(COLUMNS($AC$1006:AR1006),$AC$1006:$AS$1006,0)))),"Fix")))</f>
        <v>0</v>
      </c>
      <c r="R188" s="5">
        <f>IF(OR(INDEX($W$2:$W$1001,MATCH(ROWS($V$2:V188),$V$2:$V$1001,0),1)&gt;=100000,INDEX($AC$1005:$AS$1005,1,MATCH(COLUMNS($AC$1006:AS1006),$AC$1006:$AS$1006,0))&gt;=100000), " ",IF(INDEX($AC$2:$AS$1001,MATCH(ROWS($V$2:V188),$V$2:$V$1001,0),MATCH(COLUMNS($AC$1006:AS1006),$AC$1006:$AS$1006,0)), HYPERLINK("#",""), HYPERLINK(CONCATENATE("#Metadata!", ADDRESS(INDEX($X$2:$X$1001,MATCH(ROWS($V$2:V188),$V$2:$V$1001,0),0), INDEX($AC$1004:$AS$1004,1,MATCH(COLUMNS($AC$1006:AS1006),$AC$1006:$AS$1006,0)))),"Fix")))</f>
        <v>0</v>
      </c>
      <c r="V188">
        <v>0</v>
      </c>
      <c r="W188">
        <v>0</v>
      </c>
      <c r="X188">
        <v>0</v>
      </c>
      <c r="Y188">
        <f>IF(Z188,TRUE,AND(AC188:AS188))</f>
        <v>0</v>
      </c>
      <c r="Z188">
        <f>COUNTBLANK(Metadata!B188:R188)=COLUMNS(Metadata!B188:R188)</f>
        <v>0</v>
      </c>
      <c r="AA188">
        <v>0</v>
      </c>
      <c r="AC188">
        <f>AND(IF(Metadata!B188="",FALSE,TRUE),COUNTIF(Metadata!B:B, Metadata!B188) = 1,NOT(ISERROR(SUMPRODUCT(SEARCH(MID(Metadata!B188,ROW(INDIRECT("1:"&amp;LEN(Metadata!B188))), 1),"0123456789abcdefghijklmnopqrstuvwxyzABCDEFGHIJKLMNOPQRSTUVWXYZ.")))))</f>
        <v>0</v>
      </c>
      <c r="AD188">
        <f>AND(IF(Metadata!C188="",FALSE,TRUE),exact(Metadata!C188,"Host-associated"))</f>
        <v>0</v>
      </c>
      <c r="AE188">
        <f>AND(IF(Metadata!D188="",FALSE,TRUE),OR(exact(Metadata!D188,"Animal"),exact(Metadata!D188,"Fungus"),exact(Metadata!D188,"Plant")))</f>
        <v>0</v>
      </c>
      <c r="AF188">
        <f>AND(IF(Metadata!E188="",FALSE,TRUE),OR(exact(Metadata!E188,"Plant secretion"),exact(Metadata!E188,"Plant rhizosphere"),exact(Metadata!E188,"Plant surface"),exact(Metadata!E188,"Plant corpus"),exact(Metadata!E188,"Fungus surface"),exact(Metadata!E188,"Fungus corpus"),exact(Metadata!E188,"Animal surface"),exact(Metadata!E188,"Animal proximal gut"),exact(Metadata!E188,"Animal corpus"),exact(Metadata!E188,"Animal distal gut"),exact(Metadata!E188,"Animal secretion")))</f>
        <v>0</v>
      </c>
      <c r="AG188">
        <f>OR(AND(IF(Metadata!F188="",FALSE,TRUE),OR(exact(Metadata!F188,"not collected"),exact(Metadata!F188,"not provided"),exact(Metadata!F188,"restricted access"))),AND(IF(Metadata!F188="",FALSE,TRUE),OR(exact(Metadata!F188,"organism-associated habitat"),exact(Metadata!F188,"plant-associated habitat"),exact(Metadata!F188,"animal-associated habitat"),exact(Metadata!F188,"insecta-associated habitat"),exact(Metadata!F188,"mammalia-associated habitat"),exact(Metadata!F188,"human-associated habitat"),exact(Metadata!F188,"livestock-associated habitat"))))</f>
        <v>0</v>
      </c>
      <c r="AH188">
        <f>AND(IF(Metadata!G188="",FALSE,TRUE),exact(Metadata!G188,"host-associated"))</f>
        <v>0</v>
      </c>
      <c r="AI188">
        <f>OR(AND(IF(Metadata!H188="",FALSE,TRUE),OR(exact(Metadata!H188,"not collected"),exact(Metadata!H188,"not provided"))),AND(IF(Metadata!H188="",FALSE,ISNUMBER(VALUE(Metadata!H188))),Metadata!H188&gt;0))</f>
        <v>0</v>
      </c>
      <c r="AJ188">
        <f>AND(IF(Metadata!I188="",FALSE,TRUE),exact(Metadata!I188,"years"))</f>
        <v>0</v>
      </c>
      <c r="AK188">
        <f>IF(Metadata!J188="",FALSE,TRUE)</f>
        <v>0</v>
      </c>
      <c r="AL188">
        <f>OR(AND(IF(Metadata!K188="",FALSE,TRUE),OR(exact(Metadata!K188,"not collected"),exact(Metadata!K188,"not provided"))),AND(IF(Metadata!K188="",FALSE,ISNUMBER(VALUE(Metadata!K188))),Metadata!K188&gt;0))</f>
        <v>0</v>
      </c>
      <c r="AM188">
        <f>AND(IF(Metadata!L188="",FALSE,TRUE),exact(Metadata!L188,"cm"))</f>
        <v>0</v>
      </c>
      <c r="AN188">
        <f>IF(Metadata!M188="",FALSE,TRUE)</f>
        <v>0</v>
      </c>
      <c r="AO188">
        <f>OR(AND(IF(Metadata!N188="",FALSE,TRUE),OR(exact(Metadata!N188,"not applicable"),exact(Metadata!N188,"not collected"),exact(Metadata!N188,"not provided"))),AND(IF(Metadata!N188="",FALSE,IF(ISERROR(INT(Metadata!N188)),FALSE,INT(Metadata!N188)=Metadata!N188)),Metadata!N188&gt;0))</f>
        <v>0</v>
      </c>
      <c r="AP188">
        <f>OR(AND(IF(Metadata!O188="",FALSE,TRUE),OR(exact(Metadata!O188,"not collected"),exact(Metadata!O188,"not provided"))),AND(IF(Metadata!O188="",FALSE,ISNUMBER(VALUE(Metadata!O188))),Metadata!O188&gt;0))</f>
        <v>0</v>
      </c>
      <c r="AQ188">
        <f>AND(IF(Metadata!P188="",FALSE,TRUE),exact(Metadata!P188,"kg"))</f>
        <v>0</v>
      </c>
      <c r="AR188">
        <f>OR(AND(IF(Metadata!Q188="",FALSE,TRUE),OR(exact(Metadata!Q188,"not applicable"),exact(Metadata!Q188,"not collected"),exact(Metadata!Q188,"not provided"),exact(Metadata!Q188,"restricted access"))),IF(Metadata!Q188="",FALSE,IF(ISERROR(INT(Metadata!Q188)),FALSE,INT(Metadata!Q188)=Metadata!Q188)))</f>
        <v>0</v>
      </c>
      <c r="AS188">
        <f>AND(IF(Metadata!R188="",FALSE,TRUE),exact(Metadata!R188,"Not applicable"))</f>
        <v>0</v>
      </c>
    </row>
    <row r="189" spans="1:45">
      <c r="A189" s="4">
        <f>IF(B189=" "," ",HYPERLINK(CONCATENATE("#metadata!",ADDRESS(INDEX($X$2:$X$1001,MATCH(ROWS($V$2:V189),$V$2:$V$1001,0),0),2)),INDEX($AA$2:$AA$1001,MATCH(ROWS($V$2:V189),$V$2:$V$1001,0),0)))</f>
        <v>0</v>
      </c>
      <c r="B189" s="5">
        <f>IF(OR(INDEX($W$2:$W$1001,MATCH(ROWS($V$2:V189),$V$2:$V$1001,0),1)&gt;=100000,INDEX($AC$1005:$AS$1005,1,MATCH(COLUMNS($AC$1006:AC1006),$AC$1006:$AS$1006,0))&gt;=100000), " ",IF(INDEX($AC$2:$AS$1001,MATCH(ROWS($V$2:V189),$V$2:$V$1001,0),MATCH(COLUMNS($AC$1006:AC1006),$AC$1006:$AS$1006,0)), HYPERLINK("#",""), HYPERLINK(CONCATENATE("#Metadata!", ADDRESS(INDEX($X$2:$X$1001,MATCH(ROWS($V$2:V189),$V$2:$V$1001,0),0), INDEX($AC$1004:$AS$1004,1,MATCH(COLUMNS($AC$1006:AC1006),$AC$1006:$AS$1006,0)))),"Fix")))</f>
        <v>0</v>
      </c>
      <c r="C189" s="5">
        <f>IF(OR(INDEX($W$2:$W$1001,MATCH(ROWS($V$2:V189),$V$2:$V$1001,0),1)&gt;=100000,INDEX($AC$1005:$AS$1005,1,MATCH(COLUMNS($AC$1006:AD1006),$AC$1006:$AS$1006,0))&gt;=100000), " ",IF(INDEX($AC$2:$AS$1001,MATCH(ROWS($V$2:V189),$V$2:$V$1001,0),MATCH(COLUMNS($AC$1006:AD1006),$AC$1006:$AS$1006,0)), HYPERLINK("#",""), HYPERLINK(CONCATENATE("#Metadata!", ADDRESS(INDEX($X$2:$X$1001,MATCH(ROWS($V$2:V189),$V$2:$V$1001,0),0), INDEX($AC$1004:$AS$1004,1,MATCH(COLUMNS($AC$1006:AD1006),$AC$1006:$AS$1006,0)))),"Fix")))</f>
        <v>0</v>
      </c>
      <c r="D189" s="5">
        <f>IF(OR(INDEX($W$2:$W$1001,MATCH(ROWS($V$2:V189),$V$2:$V$1001,0),1)&gt;=100000,INDEX($AC$1005:$AS$1005,1,MATCH(COLUMNS($AC$1006:AE1006),$AC$1006:$AS$1006,0))&gt;=100000), " ",IF(INDEX($AC$2:$AS$1001,MATCH(ROWS($V$2:V189),$V$2:$V$1001,0),MATCH(COLUMNS($AC$1006:AE1006),$AC$1006:$AS$1006,0)), HYPERLINK("#",""), HYPERLINK(CONCATENATE("#Metadata!", ADDRESS(INDEX($X$2:$X$1001,MATCH(ROWS($V$2:V189),$V$2:$V$1001,0),0), INDEX($AC$1004:$AS$1004,1,MATCH(COLUMNS($AC$1006:AE1006),$AC$1006:$AS$1006,0)))),"Fix")))</f>
        <v>0</v>
      </c>
      <c r="E189" s="5">
        <f>IF(OR(INDEX($W$2:$W$1001,MATCH(ROWS($V$2:V189),$V$2:$V$1001,0),1)&gt;=100000,INDEX($AC$1005:$AS$1005,1,MATCH(COLUMNS($AC$1006:AF1006),$AC$1006:$AS$1006,0))&gt;=100000), " ",IF(INDEX($AC$2:$AS$1001,MATCH(ROWS($V$2:V189),$V$2:$V$1001,0),MATCH(COLUMNS($AC$1006:AF1006),$AC$1006:$AS$1006,0)), HYPERLINK("#",""), HYPERLINK(CONCATENATE("#Metadata!", ADDRESS(INDEX($X$2:$X$1001,MATCH(ROWS($V$2:V189),$V$2:$V$1001,0),0), INDEX($AC$1004:$AS$1004,1,MATCH(COLUMNS($AC$1006:AF1006),$AC$1006:$AS$1006,0)))),"Fix")))</f>
        <v>0</v>
      </c>
      <c r="F189" s="5">
        <f>IF(OR(INDEX($W$2:$W$1001,MATCH(ROWS($V$2:V189),$V$2:$V$1001,0),1)&gt;=100000,INDEX($AC$1005:$AS$1005,1,MATCH(COLUMNS($AC$1006:AG1006),$AC$1006:$AS$1006,0))&gt;=100000), " ",IF(INDEX($AC$2:$AS$1001,MATCH(ROWS($V$2:V189),$V$2:$V$1001,0),MATCH(COLUMNS($AC$1006:AG1006),$AC$1006:$AS$1006,0)), HYPERLINK("#",""), HYPERLINK(CONCATENATE("#Metadata!", ADDRESS(INDEX($X$2:$X$1001,MATCH(ROWS($V$2:V189),$V$2:$V$1001,0),0), INDEX($AC$1004:$AS$1004,1,MATCH(COLUMNS($AC$1006:AG1006),$AC$1006:$AS$1006,0)))),"Fix")))</f>
        <v>0</v>
      </c>
      <c r="G189" s="5">
        <f>IF(OR(INDEX($W$2:$W$1001,MATCH(ROWS($V$2:V189),$V$2:$V$1001,0),1)&gt;=100000,INDEX($AC$1005:$AS$1005,1,MATCH(COLUMNS($AC$1006:AH1006),$AC$1006:$AS$1006,0))&gt;=100000), " ",IF(INDEX($AC$2:$AS$1001,MATCH(ROWS($V$2:V189),$V$2:$V$1001,0),MATCH(COLUMNS($AC$1006:AH1006),$AC$1006:$AS$1006,0)), HYPERLINK("#",""), HYPERLINK(CONCATENATE("#Metadata!", ADDRESS(INDEX($X$2:$X$1001,MATCH(ROWS($V$2:V189),$V$2:$V$1001,0),0), INDEX($AC$1004:$AS$1004,1,MATCH(COLUMNS($AC$1006:AH1006),$AC$1006:$AS$1006,0)))),"Fix")))</f>
        <v>0</v>
      </c>
      <c r="H189" s="5">
        <f>IF(OR(INDEX($W$2:$W$1001,MATCH(ROWS($V$2:V189),$V$2:$V$1001,0),1)&gt;=100000,INDEX($AC$1005:$AS$1005,1,MATCH(COLUMNS($AC$1006:AI1006),$AC$1006:$AS$1006,0))&gt;=100000), " ",IF(INDEX($AC$2:$AS$1001,MATCH(ROWS($V$2:V189),$V$2:$V$1001,0),MATCH(COLUMNS($AC$1006:AI1006),$AC$1006:$AS$1006,0)), HYPERLINK("#",""), HYPERLINK(CONCATENATE("#Metadata!", ADDRESS(INDEX($X$2:$X$1001,MATCH(ROWS($V$2:V189),$V$2:$V$1001,0),0), INDEX($AC$1004:$AS$1004,1,MATCH(COLUMNS($AC$1006:AI1006),$AC$1006:$AS$1006,0)))),"Fix")))</f>
        <v>0</v>
      </c>
      <c r="I189" s="5">
        <f>IF(OR(INDEX($W$2:$W$1001,MATCH(ROWS($V$2:V189),$V$2:$V$1001,0),1)&gt;=100000,INDEX($AC$1005:$AS$1005,1,MATCH(COLUMNS($AC$1006:AJ1006),$AC$1006:$AS$1006,0))&gt;=100000), " ",IF(INDEX($AC$2:$AS$1001,MATCH(ROWS($V$2:V189),$V$2:$V$1001,0),MATCH(COLUMNS($AC$1006:AJ1006),$AC$1006:$AS$1006,0)), HYPERLINK("#",""), HYPERLINK(CONCATENATE("#Metadata!", ADDRESS(INDEX($X$2:$X$1001,MATCH(ROWS($V$2:V189),$V$2:$V$1001,0),0), INDEX($AC$1004:$AS$1004,1,MATCH(COLUMNS($AC$1006:AJ1006),$AC$1006:$AS$1006,0)))),"Fix")))</f>
        <v>0</v>
      </c>
      <c r="J189" s="5">
        <f>IF(OR(INDEX($W$2:$W$1001,MATCH(ROWS($V$2:V189),$V$2:$V$1001,0),1)&gt;=100000,INDEX($AC$1005:$AS$1005,1,MATCH(COLUMNS($AC$1006:AK1006),$AC$1006:$AS$1006,0))&gt;=100000), " ",IF(INDEX($AC$2:$AS$1001,MATCH(ROWS($V$2:V189),$V$2:$V$1001,0),MATCH(COLUMNS($AC$1006:AK1006),$AC$1006:$AS$1006,0)), HYPERLINK("#",""), HYPERLINK(CONCATENATE("#Metadata!", ADDRESS(INDEX($X$2:$X$1001,MATCH(ROWS($V$2:V189),$V$2:$V$1001,0),0), INDEX($AC$1004:$AS$1004,1,MATCH(COLUMNS($AC$1006:AK1006),$AC$1006:$AS$1006,0)))),"Fix")))</f>
        <v>0</v>
      </c>
      <c r="K189" s="5">
        <f>IF(OR(INDEX($W$2:$W$1001,MATCH(ROWS($V$2:V189),$V$2:$V$1001,0),1)&gt;=100000,INDEX($AC$1005:$AS$1005,1,MATCH(COLUMNS($AC$1006:AL1006),$AC$1006:$AS$1006,0))&gt;=100000), " ",IF(INDEX($AC$2:$AS$1001,MATCH(ROWS($V$2:V189),$V$2:$V$1001,0),MATCH(COLUMNS($AC$1006:AL1006),$AC$1006:$AS$1006,0)), HYPERLINK("#",""), HYPERLINK(CONCATENATE("#Metadata!", ADDRESS(INDEX($X$2:$X$1001,MATCH(ROWS($V$2:V189),$V$2:$V$1001,0),0), INDEX($AC$1004:$AS$1004,1,MATCH(COLUMNS($AC$1006:AL1006),$AC$1006:$AS$1006,0)))),"Fix")))</f>
        <v>0</v>
      </c>
      <c r="L189" s="5">
        <f>IF(OR(INDEX($W$2:$W$1001,MATCH(ROWS($V$2:V189),$V$2:$V$1001,0),1)&gt;=100000,INDEX($AC$1005:$AS$1005,1,MATCH(COLUMNS($AC$1006:AM1006),$AC$1006:$AS$1006,0))&gt;=100000), " ",IF(INDEX($AC$2:$AS$1001,MATCH(ROWS($V$2:V189),$V$2:$V$1001,0),MATCH(COLUMNS($AC$1006:AM1006),$AC$1006:$AS$1006,0)), HYPERLINK("#",""), HYPERLINK(CONCATENATE("#Metadata!", ADDRESS(INDEX($X$2:$X$1001,MATCH(ROWS($V$2:V189),$V$2:$V$1001,0),0), INDEX($AC$1004:$AS$1004,1,MATCH(COLUMNS($AC$1006:AM1006),$AC$1006:$AS$1006,0)))),"Fix")))</f>
        <v>0</v>
      </c>
      <c r="M189" s="5">
        <f>IF(OR(INDEX($W$2:$W$1001,MATCH(ROWS($V$2:V189),$V$2:$V$1001,0),1)&gt;=100000,INDEX($AC$1005:$AS$1005,1,MATCH(COLUMNS($AC$1006:AN1006),$AC$1006:$AS$1006,0))&gt;=100000), " ",IF(INDEX($AC$2:$AS$1001,MATCH(ROWS($V$2:V189),$V$2:$V$1001,0),MATCH(COLUMNS($AC$1006:AN1006),$AC$1006:$AS$1006,0)), HYPERLINK("#",""), HYPERLINK(CONCATENATE("#Metadata!", ADDRESS(INDEX($X$2:$X$1001,MATCH(ROWS($V$2:V189),$V$2:$V$1001,0),0), INDEX($AC$1004:$AS$1004,1,MATCH(COLUMNS($AC$1006:AN1006),$AC$1006:$AS$1006,0)))),"Fix")))</f>
        <v>0</v>
      </c>
      <c r="N189" s="5">
        <f>IF(OR(INDEX($W$2:$W$1001,MATCH(ROWS($V$2:V189),$V$2:$V$1001,0),1)&gt;=100000,INDEX($AC$1005:$AS$1005,1,MATCH(COLUMNS($AC$1006:AO1006),$AC$1006:$AS$1006,0))&gt;=100000), " ",IF(INDEX($AC$2:$AS$1001,MATCH(ROWS($V$2:V189),$V$2:$V$1001,0),MATCH(COLUMNS($AC$1006:AO1006),$AC$1006:$AS$1006,0)), HYPERLINK("#",""), HYPERLINK(CONCATENATE("#Metadata!", ADDRESS(INDEX($X$2:$X$1001,MATCH(ROWS($V$2:V189),$V$2:$V$1001,0),0), INDEX($AC$1004:$AS$1004,1,MATCH(COLUMNS($AC$1006:AO1006),$AC$1006:$AS$1006,0)))),"Fix")))</f>
        <v>0</v>
      </c>
      <c r="O189" s="5">
        <f>IF(OR(INDEX($W$2:$W$1001,MATCH(ROWS($V$2:V189),$V$2:$V$1001,0),1)&gt;=100000,INDEX($AC$1005:$AS$1005,1,MATCH(COLUMNS($AC$1006:AP1006),$AC$1006:$AS$1006,0))&gt;=100000), " ",IF(INDEX($AC$2:$AS$1001,MATCH(ROWS($V$2:V189),$V$2:$V$1001,0),MATCH(COLUMNS($AC$1006:AP1006),$AC$1006:$AS$1006,0)), HYPERLINK("#",""), HYPERLINK(CONCATENATE("#Metadata!", ADDRESS(INDEX($X$2:$X$1001,MATCH(ROWS($V$2:V189),$V$2:$V$1001,0),0), INDEX($AC$1004:$AS$1004,1,MATCH(COLUMNS($AC$1006:AP1006),$AC$1006:$AS$1006,0)))),"Fix")))</f>
        <v>0</v>
      </c>
      <c r="P189" s="5">
        <f>IF(OR(INDEX($W$2:$W$1001,MATCH(ROWS($V$2:V189),$V$2:$V$1001,0),1)&gt;=100000,INDEX($AC$1005:$AS$1005,1,MATCH(COLUMNS($AC$1006:AQ1006),$AC$1006:$AS$1006,0))&gt;=100000), " ",IF(INDEX($AC$2:$AS$1001,MATCH(ROWS($V$2:V189),$V$2:$V$1001,0),MATCH(COLUMNS($AC$1006:AQ1006),$AC$1006:$AS$1006,0)), HYPERLINK("#",""), HYPERLINK(CONCATENATE("#Metadata!", ADDRESS(INDEX($X$2:$X$1001,MATCH(ROWS($V$2:V189),$V$2:$V$1001,0),0), INDEX($AC$1004:$AS$1004,1,MATCH(COLUMNS($AC$1006:AQ1006),$AC$1006:$AS$1006,0)))),"Fix")))</f>
        <v>0</v>
      </c>
      <c r="Q189" s="5">
        <f>IF(OR(INDEX($W$2:$W$1001,MATCH(ROWS($V$2:V189),$V$2:$V$1001,0),1)&gt;=100000,INDEX($AC$1005:$AS$1005,1,MATCH(COLUMNS($AC$1006:AR1006),$AC$1006:$AS$1006,0))&gt;=100000), " ",IF(INDEX($AC$2:$AS$1001,MATCH(ROWS($V$2:V189),$V$2:$V$1001,0),MATCH(COLUMNS($AC$1006:AR1006),$AC$1006:$AS$1006,0)), HYPERLINK("#",""), HYPERLINK(CONCATENATE("#Metadata!", ADDRESS(INDEX($X$2:$X$1001,MATCH(ROWS($V$2:V189),$V$2:$V$1001,0),0), INDEX($AC$1004:$AS$1004,1,MATCH(COLUMNS($AC$1006:AR1006),$AC$1006:$AS$1006,0)))),"Fix")))</f>
        <v>0</v>
      </c>
      <c r="R189" s="5">
        <f>IF(OR(INDEX($W$2:$W$1001,MATCH(ROWS($V$2:V189),$V$2:$V$1001,0),1)&gt;=100000,INDEX($AC$1005:$AS$1005,1,MATCH(COLUMNS($AC$1006:AS1006),$AC$1006:$AS$1006,0))&gt;=100000), " ",IF(INDEX($AC$2:$AS$1001,MATCH(ROWS($V$2:V189),$V$2:$V$1001,0),MATCH(COLUMNS($AC$1006:AS1006),$AC$1006:$AS$1006,0)), HYPERLINK("#",""), HYPERLINK(CONCATENATE("#Metadata!", ADDRESS(INDEX($X$2:$X$1001,MATCH(ROWS($V$2:V189),$V$2:$V$1001,0),0), INDEX($AC$1004:$AS$1004,1,MATCH(COLUMNS($AC$1006:AS1006),$AC$1006:$AS$1006,0)))),"Fix")))</f>
        <v>0</v>
      </c>
      <c r="V189">
        <v>0</v>
      </c>
      <c r="W189">
        <v>0</v>
      </c>
      <c r="X189">
        <v>0</v>
      </c>
      <c r="Y189">
        <f>IF(Z189,TRUE,AND(AC189:AS189))</f>
        <v>0</v>
      </c>
      <c r="Z189">
        <f>COUNTBLANK(Metadata!B189:R189)=COLUMNS(Metadata!B189:R189)</f>
        <v>0</v>
      </c>
      <c r="AA189">
        <v>0</v>
      </c>
      <c r="AC189">
        <f>AND(IF(Metadata!B189="",FALSE,TRUE),COUNTIF(Metadata!B:B, Metadata!B189) = 1,NOT(ISERROR(SUMPRODUCT(SEARCH(MID(Metadata!B189,ROW(INDIRECT("1:"&amp;LEN(Metadata!B189))), 1),"0123456789abcdefghijklmnopqrstuvwxyzABCDEFGHIJKLMNOPQRSTUVWXYZ.")))))</f>
        <v>0</v>
      </c>
      <c r="AD189">
        <f>AND(IF(Metadata!C189="",FALSE,TRUE),exact(Metadata!C189,"Host-associated"))</f>
        <v>0</v>
      </c>
      <c r="AE189">
        <f>AND(IF(Metadata!D189="",FALSE,TRUE),OR(exact(Metadata!D189,"Animal"),exact(Metadata!D189,"Fungus"),exact(Metadata!D189,"Plant")))</f>
        <v>0</v>
      </c>
      <c r="AF189">
        <f>AND(IF(Metadata!E189="",FALSE,TRUE),OR(exact(Metadata!E189,"Plant secretion"),exact(Metadata!E189,"Plant rhizosphere"),exact(Metadata!E189,"Plant surface"),exact(Metadata!E189,"Plant corpus"),exact(Metadata!E189,"Fungus surface"),exact(Metadata!E189,"Fungus corpus"),exact(Metadata!E189,"Animal surface"),exact(Metadata!E189,"Animal proximal gut"),exact(Metadata!E189,"Animal corpus"),exact(Metadata!E189,"Animal distal gut"),exact(Metadata!E189,"Animal secretion")))</f>
        <v>0</v>
      </c>
      <c r="AG189">
        <f>OR(AND(IF(Metadata!F189="",FALSE,TRUE),OR(exact(Metadata!F189,"not collected"),exact(Metadata!F189,"not provided"),exact(Metadata!F189,"restricted access"))),AND(IF(Metadata!F189="",FALSE,TRUE),OR(exact(Metadata!F189,"organism-associated habitat"),exact(Metadata!F189,"plant-associated habitat"),exact(Metadata!F189,"animal-associated habitat"),exact(Metadata!F189,"insecta-associated habitat"),exact(Metadata!F189,"mammalia-associated habitat"),exact(Metadata!F189,"human-associated habitat"),exact(Metadata!F189,"livestock-associated habitat"))))</f>
        <v>0</v>
      </c>
      <c r="AH189">
        <f>AND(IF(Metadata!G189="",FALSE,TRUE),exact(Metadata!G189,"host-associated"))</f>
        <v>0</v>
      </c>
      <c r="AI189">
        <f>OR(AND(IF(Metadata!H189="",FALSE,TRUE),OR(exact(Metadata!H189,"not collected"),exact(Metadata!H189,"not provided"))),AND(IF(Metadata!H189="",FALSE,ISNUMBER(VALUE(Metadata!H189))),Metadata!H189&gt;0))</f>
        <v>0</v>
      </c>
      <c r="AJ189">
        <f>AND(IF(Metadata!I189="",FALSE,TRUE),exact(Metadata!I189,"years"))</f>
        <v>0</v>
      </c>
      <c r="AK189">
        <f>IF(Metadata!J189="",FALSE,TRUE)</f>
        <v>0</v>
      </c>
      <c r="AL189">
        <f>OR(AND(IF(Metadata!K189="",FALSE,TRUE),OR(exact(Metadata!K189,"not collected"),exact(Metadata!K189,"not provided"))),AND(IF(Metadata!K189="",FALSE,ISNUMBER(VALUE(Metadata!K189))),Metadata!K189&gt;0))</f>
        <v>0</v>
      </c>
      <c r="AM189">
        <f>AND(IF(Metadata!L189="",FALSE,TRUE),exact(Metadata!L189,"cm"))</f>
        <v>0</v>
      </c>
      <c r="AN189">
        <f>IF(Metadata!M189="",FALSE,TRUE)</f>
        <v>0</v>
      </c>
      <c r="AO189">
        <f>OR(AND(IF(Metadata!N189="",FALSE,TRUE),OR(exact(Metadata!N189,"not applicable"),exact(Metadata!N189,"not collected"),exact(Metadata!N189,"not provided"))),AND(IF(Metadata!N189="",FALSE,IF(ISERROR(INT(Metadata!N189)),FALSE,INT(Metadata!N189)=Metadata!N189)),Metadata!N189&gt;0))</f>
        <v>0</v>
      </c>
      <c r="AP189">
        <f>OR(AND(IF(Metadata!O189="",FALSE,TRUE),OR(exact(Metadata!O189,"not collected"),exact(Metadata!O189,"not provided"))),AND(IF(Metadata!O189="",FALSE,ISNUMBER(VALUE(Metadata!O189))),Metadata!O189&gt;0))</f>
        <v>0</v>
      </c>
      <c r="AQ189">
        <f>AND(IF(Metadata!P189="",FALSE,TRUE),exact(Metadata!P189,"kg"))</f>
        <v>0</v>
      </c>
      <c r="AR189">
        <f>OR(AND(IF(Metadata!Q189="",FALSE,TRUE),OR(exact(Metadata!Q189,"not applicable"),exact(Metadata!Q189,"not collected"),exact(Metadata!Q189,"not provided"),exact(Metadata!Q189,"restricted access"))),IF(Metadata!Q189="",FALSE,IF(ISERROR(INT(Metadata!Q189)),FALSE,INT(Metadata!Q189)=Metadata!Q189)))</f>
        <v>0</v>
      </c>
      <c r="AS189">
        <f>AND(IF(Metadata!R189="",FALSE,TRUE),exact(Metadata!R189,"Not applicable"))</f>
        <v>0</v>
      </c>
    </row>
    <row r="190" spans="1:45">
      <c r="A190" s="4">
        <f>IF(B190=" "," ",HYPERLINK(CONCATENATE("#metadata!",ADDRESS(INDEX($X$2:$X$1001,MATCH(ROWS($V$2:V190),$V$2:$V$1001,0),0),2)),INDEX($AA$2:$AA$1001,MATCH(ROWS($V$2:V190),$V$2:$V$1001,0),0)))</f>
        <v>0</v>
      </c>
      <c r="B190" s="5">
        <f>IF(OR(INDEX($W$2:$W$1001,MATCH(ROWS($V$2:V190),$V$2:$V$1001,0),1)&gt;=100000,INDEX($AC$1005:$AS$1005,1,MATCH(COLUMNS($AC$1006:AC1006),$AC$1006:$AS$1006,0))&gt;=100000), " ",IF(INDEX($AC$2:$AS$1001,MATCH(ROWS($V$2:V190),$V$2:$V$1001,0),MATCH(COLUMNS($AC$1006:AC1006),$AC$1006:$AS$1006,0)), HYPERLINK("#",""), HYPERLINK(CONCATENATE("#Metadata!", ADDRESS(INDEX($X$2:$X$1001,MATCH(ROWS($V$2:V190),$V$2:$V$1001,0),0), INDEX($AC$1004:$AS$1004,1,MATCH(COLUMNS($AC$1006:AC1006),$AC$1006:$AS$1006,0)))),"Fix")))</f>
        <v>0</v>
      </c>
      <c r="C190" s="5">
        <f>IF(OR(INDEX($W$2:$W$1001,MATCH(ROWS($V$2:V190),$V$2:$V$1001,0),1)&gt;=100000,INDEX($AC$1005:$AS$1005,1,MATCH(COLUMNS($AC$1006:AD1006),$AC$1006:$AS$1006,0))&gt;=100000), " ",IF(INDEX($AC$2:$AS$1001,MATCH(ROWS($V$2:V190),$V$2:$V$1001,0),MATCH(COLUMNS($AC$1006:AD1006),$AC$1006:$AS$1006,0)), HYPERLINK("#",""), HYPERLINK(CONCATENATE("#Metadata!", ADDRESS(INDEX($X$2:$X$1001,MATCH(ROWS($V$2:V190),$V$2:$V$1001,0),0), INDEX($AC$1004:$AS$1004,1,MATCH(COLUMNS($AC$1006:AD1006),$AC$1006:$AS$1006,0)))),"Fix")))</f>
        <v>0</v>
      </c>
      <c r="D190" s="5">
        <f>IF(OR(INDEX($W$2:$W$1001,MATCH(ROWS($V$2:V190),$V$2:$V$1001,0),1)&gt;=100000,INDEX($AC$1005:$AS$1005,1,MATCH(COLUMNS($AC$1006:AE1006),$AC$1006:$AS$1006,0))&gt;=100000), " ",IF(INDEX($AC$2:$AS$1001,MATCH(ROWS($V$2:V190),$V$2:$V$1001,0),MATCH(COLUMNS($AC$1006:AE1006),$AC$1006:$AS$1006,0)), HYPERLINK("#",""), HYPERLINK(CONCATENATE("#Metadata!", ADDRESS(INDEX($X$2:$X$1001,MATCH(ROWS($V$2:V190),$V$2:$V$1001,0),0), INDEX($AC$1004:$AS$1004,1,MATCH(COLUMNS($AC$1006:AE1006),$AC$1006:$AS$1006,0)))),"Fix")))</f>
        <v>0</v>
      </c>
      <c r="E190" s="5">
        <f>IF(OR(INDEX($W$2:$W$1001,MATCH(ROWS($V$2:V190),$V$2:$V$1001,0),1)&gt;=100000,INDEX($AC$1005:$AS$1005,1,MATCH(COLUMNS($AC$1006:AF1006),$AC$1006:$AS$1006,0))&gt;=100000), " ",IF(INDEX($AC$2:$AS$1001,MATCH(ROWS($V$2:V190),$V$2:$V$1001,0),MATCH(COLUMNS($AC$1006:AF1006),$AC$1006:$AS$1006,0)), HYPERLINK("#",""), HYPERLINK(CONCATENATE("#Metadata!", ADDRESS(INDEX($X$2:$X$1001,MATCH(ROWS($V$2:V190),$V$2:$V$1001,0),0), INDEX($AC$1004:$AS$1004,1,MATCH(COLUMNS($AC$1006:AF1006),$AC$1006:$AS$1006,0)))),"Fix")))</f>
        <v>0</v>
      </c>
      <c r="F190" s="5">
        <f>IF(OR(INDEX($W$2:$W$1001,MATCH(ROWS($V$2:V190),$V$2:$V$1001,0),1)&gt;=100000,INDEX($AC$1005:$AS$1005,1,MATCH(COLUMNS($AC$1006:AG1006),$AC$1006:$AS$1006,0))&gt;=100000), " ",IF(INDEX($AC$2:$AS$1001,MATCH(ROWS($V$2:V190),$V$2:$V$1001,0),MATCH(COLUMNS($AC$1006:AG1006),$AC$1006:$AS$1006,0)), HYPERLINK("#",""), HYPERLINK(CONCATENATE("#Metadata!", ADDRESS(INDEX($X$2:$X$1001,MATCH(ROWS($V$2:V190),$V$2:$V$1001,0),0), INDEX($AC$1004:$AS$1004,1,MATCH(COLUMNS($AC$1006:AG1006),$AC$1006:$AS$1006,0)))),"Fix")))</f>
        <v>0</v>
      </c>
      <c r="G190" s="5">
        <f>IF(OR(INDEX($W$2:$W$1001,MATCH(ROWS($V$2:V190),$V$2:$V$1001,0),1)&gt;=100000,INDEX($AC$1005:$AS$1005,1,MATCH(COLUMNS($AC$1006:AH1006),$AC$1006:$AS$1006,0))&gt;=100000), " ",IF(INDEX($AC$2:$AS$1001,MATCH(ROWS($V$2:V190),$V$2:$V$1001,0),MATCH(COLUMNS($AC$1006:AH1006),$AC$1006:$AS$1006,0)), HYPERLINK("#",""), HYPERLINK(CONCATENATE("#Metadata!", ADDRESS(INDEX($X$2:$X$1001,MATCH(ROWS($V$2:V190),$V$2:$V$1001,0),0), INDEX($AC$1004:$AS$1004,1,MATCH(COLUMNS($AC$1006:AH1006),$AC$1006:$AS$1006,0)))),"Fix")))</f>
        <v>0</v>
      </c>
      <c r="H190" s="5">
        <f>IF(OR(INDEX($W$2:$W$1001,MATCH(ROWS($V$2:V190),$V$2:$V$1001,0),1)&gt;=100000,INDEX($AC$1005:$AS$1005,1,MATCH(COLUMNS($AC$1006:AI1006),$AC$1006:$AS$1006,0))&gt;=100000), " ",IF(INDEX($AC$2:$AS$1001,MATCH(ROWS($V$2:V190),$V$2:$V$1001,0),MATCH(COLUMNS($AC$1006:AI1006),$AC$1006:$AS$1006,0)), HYPERLINK("#",""), HYPERLINK(CONCATENATE("#Metadata!", ADDRESS(INDEX($X$2:$X$1001,MATCH(ROWS($V$2:V190),$V$2:$V$1001,0),0), INDEX($AC$1004:$AS$1004,1,MATCH(COLUMNS($AC$1006:AI1006),$AC$1006:$AS$1006,0)))),"Fix")))</f>
        <v>0</v>
      </c>
      <c r="I190" s="5">
        <f>IF(OR(INDEX($W$2:$W$1001,MATCH(ROWS($V$2:V190),$V$2:$V$1001,0),1)&gt;=100000,INDEX($AC$1005:$AS$1005,1,MATCH(COLUMNS($AC$1006:AJ1006),$AC$1006:$AS$1006,0))&gt;=100000), " ",IF(INDEX($AC$2:$AS$1001,MATCH(ROWS($V$2:V190),$V$2:$V$1001,0),MATCH(COLUMNS($AC$1006:AJ1006),$AC$1006:$AS$1006,0)), HYPERLINK("#",""), HYPERLINK(CONCATENATE("#Metadata!", ADDRESS(INDEX($X$2:$X$1001,MATCH(ROWS($V$2:V190),$V$2:$V$1001,0),0), INDEX($AC$1004:$AS$1004,1,MATCH(COLUMNS($AC$1006:AJ1006),$AC$1006:$AS$1006,0)))),"Fix")))</f>
        <v>0</v>
      </c>
      <c r="J190" s="5">
        <f>IF(OR(INDEX($W$2:$W$1001,MATCH(ROWS($V$2:V190),$V$2:$V$1001,0),1)&gt;=100000,INDEX($AC$1005:$AS$1005,1,MATCH(COLUMNS($AC$1006:AK1006),$AC$1006:$AS$1006,0))&gt;=100000), " ",IF(INDEX($AC$2:$AS$1001,MATCH(ROWS($V$2:V190),$V$2:$V$1001,0),MATCH(COLUMNS($AC$1006:AK1006),$AC$1006:$AS$1006,0)), HYPERLINK("#",""), HYPERLINK(CONCATENATE("#Metadata!", ADDRESS(INDEX($X$2:$X$1001,MATCH(ROWS($V$2:V190),$V$2:$V$1001,0),0), INDEX($AC$1004:$AS$1004,1,MATCH(COLUMNS($AC$1006:AK1006),$AC$1006:$AS$1006,0)))),"Fix")))</f>
        <v>0</v>
      </c>
      <c r="K190" s="5">
        <f>IF(OR(INDEX($W$2:$W$1001,MATCH(ROWS($V$2:V190),$V$2:$V$1001,0),1)&gt;=100000,INDEX($AC$1005:$AS$1005,1,MATCH(COLUMNS($AC$1006:AL1006),$AC$1006:$AS$1006,0))&gt;=100000), " ",IF(INDEX($AC$2:$AS$1001,MATCH(ROWS($V$2:V190),$V$2:$V$1001,0),MATCH(COLUMNS($AC$1006:AL1006),$AC$1006:$AS$1006,0)), HYPERLINK("#",""), HYPERLINK(CONCATENATE("#Metadata!", ADDRESS(INDEX($X$2:$X$1001,MATCH(ROWS($V$2:V190),$V$2:$V$1001,0),0), INDEX($AC$1004:$AS$1004,1,MATCH(COLUMNS($AC$1006:AL1006),$AC$1006:$AS$1006,0)))),"Fix")))</f>
        <v>0</v>
      </c>
      <c r="L190" s="5">
        <f>IF(OR(INDEX($W$2:$W$1001,MATCH(ROWS($V$2:V190),$V$2:$V$1001,0),1)&gt;=100000,INDEX($AC$1005:$AS$1005,1,MATCH(COLUMNS($AC$1006:AM1006),$AC$1006:$AS$1006,0))&gt;=100000), " ",IF(INDEX($AC$2:$AS$1001,MATCH(ROWS($V$2:V190),$V$2:$V$1001,0),MATCH(COLUMNS($AC$1006:AM1006),$AC$1006:$AS$1006,0)), HYPERLINK("#",""), HYPERLINK(CONCATENATE("#Metadata!", ADDRESS(INDEX($X$2:$X$1001,MATCH(ROWS($V$2:V190),$V$2:$V$1001,0),0), INDEX($AC$1004:$AS$1004,1,MATCH(COLUMNS($AC$1006:AM1006),$AC$1006:$AS$1006,0)))),"Fix")))</f>
        <v>0</v>
      </c>
      <c r="M190" s="5">
        <f>IF(OR(INDEX($W$2:$W$1001,MATCH(ROWS($V$2:V190),$V$2:$V$1001,0),1)&gt;=100000,INDEX($AC$1005:$AS$1005,1,MATCH(COLUMNS($AC$1006:AN1006),$AC$1006:$AS$1006,0))&gt;=100000), " ",IF(INDEX($AC$2:$AS$1001,MATCH(ROWS($V$2:V190),$V$2:$V$1001,0),MATCH(COLUMNS($AC$1006:AN1006),$AC$1006:$AS$1006,0)), HYPERLINK("#",""), HYPERLINK(CONCATENATE("#Metadata!", ADDRESS(INDEX($X$2:$X$1001,MATCH(ROWS($V$2:V190),$V$2:$V$1001,0),0), INDEX($AC$1004:$AS$1004,1,MATCH(COLUMNS($AC$1006:AN1006),$AC$1006:$AS$1006,0)))),"Fix")))</f>
        <v>0</v>
      </c>
      <c r="N190" s="5">
        <f>IF(OR(INDEX($W$2:$W$1001,MATCH(ROWS($V$2:V190),$V$2:$V$1001,0),1)&gt;=100000,INDEX($AC$1005:$AS$1005,1,MATCH(COLUMNS($AC$1006:AO1006),$AC$1006:$AS$1006,0))&gt;=100000), " ",IF(INDEX($AC$2:$AS$1001,MATCH(ROWS($V$2:V190),$V$2:$V$1001,0),MATCH(COLUMNS($AC$1006:AO1006),$AC$1006:$AS$1006,0)), HYPERLINK("#",""), HYPERLINK(CONCATENATE("#Metadata!", ADDRESS(INDEX($X$2:$X$1001,MATCH(ROWS($V$2:V190),$V$2:$V$1001,0),0), INDEX($AC$1004:$AS$1004,1,MATCH(COLUMNS($AC$1006:AO1006),$AC$1006:$AS$1006,0)))),"Fix")))</f>
        <v>0</v>
      </c>
      <c r="O190" s="5">
        <f>IF(OR(INDEX($W$2:$W$1001,MATCH(ROWS($V$2:V190),$V$2:$V$1001,0),1)&gt;=100000,INDEX($AC$1005:$AS$1005,1,MATCH(COLUMNS($AC$1006:AP1006),$AC$1006:$AS$1006,0))&gt;=100000), " ",IF(INDEX($AC$2:$AS$1001,MATCH(ROWS($V$2:V190),$V$2:$V$1001,0),MATCH(COLUMNS($AC$1006:AP1006),$AC$1006:$AS$1006,0)), HYPERLINK("#",""), HYPERLINK(CONCATENATE("#Metadata!", ADDRESS(INDEX($X$2:$X$1001,MATCH(ROWS($V$2:V190),$V$2:$V$1001,0),0), INDEX($AC$1004:$AS$1004,1,MATCH(COLUMNS($AC$1006:AP1006),$AC$1006:$AS$1006,0)))),"Fix")))</f>
        <v>0</v>
      </c>
      <c r="P190" s="5">
        <f>IF(OR(INDEX($W$2:$W$1001,MATCH(ROWS($V$2:V190),$V$2:$V$1001,0),1)&gt;=100000,INDEX($AC$1005:$AS$1005,1,MATCH(COLUMNS($AC$1006:AQ1006),$AC$1006:$AS$1006,0))&gt;=100000), " ",IF(INDEX($AC$2:$AS$1001,MATCH(ROWS($V$2:V190),$V$2:$V$1001,0),MATCH(COLUMNS($AC$1006:AQ1006),$AC$1006:$AS$1006,0)), HYPERLINK("#",""), HYPERLINK(CONCATENATE("#Metadata!", ADDRESS(INDEX($X$2:$X$1001,MATCH(ROWS($V$2:V190),$V$2:$V$1001,0),0), INDEX($AC$1004:$AS$1004,1,MATCH(COLUMNS($AC$1006:AQ1006),$AC$1006:$AS$1006,0)))),"Fix")))</f>
        <v>0</v>
      </c>
      <c r="Q190" s="5">
        <f>IF(OR(INDEX($W$2:$W$1001,MATCH(ROWS($V$2:V190),$V$2:$V$1001,0),1)&gt;=100000,INDEX($AC$1005:$AS$1005,1,MATCH(COLUMNS($AC$1006:AR1006),$AC$1006:$AS$1006,0))&gt;=100000), " ",IF(INDEX($AC$2:$AS$1001,MATCH(ROWS($V$2:V190),$V$2:$V$1001,0),MATCH(COLUMNS($AC$1006:AR1006),$AC$1006:$AS$1006,0)), HYPERLINK("#",""), HYPERLINK(CONCATENATE("#Metadata!", ADDRESS(INDEX($X$2:$X$1001,MATCH(ROWS($V$2:V190),$V$2:$V$1001,0),0), INDEX($AC$1004:$AS$1004,1,MATCH(COLUMNS($AC$1006:AR1006),$AC$1006:$AS$1006,0)))),"Fix")))</f>
        <v>0</v>
      </c>
      <c r="R190" s="5">
        <f>IF(OR(INDEX($W$2:$W$1001,MATCH(ROWS($V$2:V190),$V$2:$V$1001,0),1)&gt;=100000,INDEX($AC$1005:$AS$1005,1,MATCH(COLUMNS($AC$1006:AS1006),$AC$1006:$AS$1006,0))&gt;=100000), " ",IF(INDEX($AC$2:$AS$1001,MATCH(ROWS($V$2:V190),$V$2:$V$1001,0),MATCH(COLUMNS($AC$1006:AS1006),$AC$1006:$AS$1006,0)), HYPERLINK("#",""), HYPERLINK(CONCATENATE("#Metadata!", ADDRESS(INDEX($X$2:$X$1001,MATCH(ROWS($V$2:V190),$V$2:$V$1001,0),0), INDEX($AC$1004:$AS$1004,1,MATCH(COLUMNS($AC$1006:AS1006),$AC$1006:$AS$1006,0)))),"Fix")))</f>
        <v>0</v>
      </c>
      <c r="V190">
        <v>0</v>
      </c>
      <c r="W190">
        <v>0</v>
      </c>
      <c r="X190">
        <v>0</v>
      </c>
      <c r="Y190">
        <f>IF(Z190,TRUE,AND(AC190:AS190))</f>
        <v>0</v>
      </c>
      <c r="Z190">
        <f>COUNTBLANK(Metadata!B190:R190)=COLUMNS(Metadata!B190:R190)</f>
        <v>0</v>
      </c>
      <c r="AA190">
        <v>0</v>
      </c>
      <c r="AC190">
        <f>AND(IF(Metadata!B190="",FALSE,TRUE),COUNTIF(Metadata!B:B, Metadata!B190) = 1,NOT(ISERROR(SUMPRODUCT(SEARCH(MID(Metadata!B190,ROW(INDIRECT("1:"&amp;LEN(Metadata!B190))), 1),"0123456789abcdefghijklmnopqrstuvwxyzABCDEFGHIJKLMNOPQRSTUVWXYZ.")))))</f>
        <v>0</v>
      </c>
      <c r="AD190">
        <f>AND(IF(Metadata!C190="",FALSE,TRUE),exact(Metadata!C190,"Host-associated"))</f>
        <v>0</v>
      </c>
      <c r="AE190">
        <f>AND(IF(Metadata!D190="",FALSE,TRUE),OR(exact(Metadata!D190,"Animal"),exact(Metadata!D190,"Fungus"),exact(Metadata!D190,"Plant")))</f>
        <v>0</v>
      </c>
      <c r="AF190">
        <f>AND(IF(Metadata!E190="",FALSE,TRUE),OR(exact(Metadata!E190,"Plant secretion"),exact(Metadata!E190,"Plant rhizosphere"),exact(Metadata!E190,"Plant surface"),exact(Metadata!E190,"Plant corpus"),exact(Metadata!E190,"Fungus surface"),exact(Metadata!E190,"Fungus corpus"),exact(Metadata!E190,"Animal surface"),exact(Metadata!E190,"Animal proximal gut"),exact(Metadata!E190,"Animal corpus"),exact(Metadata!E190,"Animal distal gut"),exact(Metadata!E190,"Animal secretion")))</f>
        <v>0</v>
      </c>
      <c r="AG190">
        <f>OR(AND(IF(Metadata!F190="",FALSE,TRUE),OR(exact(Metadata!F190,"not collected"),exact(Metadata!F190,"not provided"),exact(Metadata!F190,"restricted access"))),AND(IF(Metadata!F190="",FALSE,TRUE),OR(exact(Metadata!F190,"organism-associated habitat"),exact(Metadata!F190,"plant-associated habitat"),exact(Metadata!F190,"animal-associated habitat"),exact(Metadata!F190,"insecta-associated habitat"),exact(Metadata!F190,"mammalia-associated habitat"),exact(Metadata!F190,"human-associated habitat"),exact(Metadata!F190,"livestock-associated habitat"))))</f>
        <v>0</v>
      </c>
      <c r="AH190">
        <f>AND(IF(Metadata!G190="",FALSE,TRUE),exact(Metadata!G190,"host-associated"))</f>
        <v>0</v>
      </c>
      <c r="AI190">
        <f>OR(AND(IF(Metadata!H190="",FALSE,TRUE),OR(exact(Metadata!H190,"not collected"),exact(Metadata!H190,"not provided"))),AND(IF(Metadata!H190="",FALSE,ISNUMBER(VALUE(Metadata!H190))),Metadata!H190&gt;0))</f>
        <v>0</v>
      </c>
      <c r="AJ190">
        <f>AND(IF(Metadata!I190="",FALSE,TRUE),exact(Metadata!I190,"years"))</f>
        <v>0</v>
      </c>
      <c r="AK190">
        <f>IF(Metadata!J190="",FALSE,TRUE)</f>
        <v>0</v>
      </c>
      <c r="AL190">
        <f>OR(AND(IF(Metadata!K190="",FALSE,TRUE),OR(exact(Metadata!K190,"not collected"),exact(Metadata!K190,"not provided"))),AND(IF(Metadata!K190="",FALSE,ISNUMBER(VALUE(Metadata!K190))),Metadata!K190&gt;0))</f>
        <v>0</v>
      </c>
      <c r="AM190">
        <f>AND(IF(Metadata!L190="",FALSE,TRUE),exact(Metadata!L190,"cm"))</f>
        <v>0</v>
      </c>
      <c r="AN190">
        <f>IF(Metadata!M190="",FALSE,TRUE)</f>
        <v>0</v>
      </c>
      <c r="AO190">
        <f>OR(AND(IF(Metadata!N190="",FALSE,TRUE),OR(exact(Metadata!N190,"not applicable"),exact(Metadata!N190,"not collected"),exact(Metadata!N190,"not provided"))),AND(IF(Metadata!N190="",FALSE,IF(ISERROR(INT(Metadata!N190)),FALSE,INT(Metadata!N190)=Metadata!N190)),Metadata!N190&gt;0))</f>
        <v>0</v>
      </c>
      <c r="AP190">
        <f>OR(AND(IF(Metadata!O190="",FALSE,TRUE),OR(exact(Metadata!O190,"not collected"),exact(Metadata!O190,"not provided"))),AND(IF(Metadata!O190="",FALSE,ISNUMBER(VALUE(Metadata!O190))),Metadata!O190&gt;0))</f>
        <v>0</v>
      </c>
      <c r="AQ190">
        <f>AND(IF(Metadata!P190="",FALSE,TRUE),exact(Metadata!P190,"kg"))</f>
        <v>0</v>
      </c>
      <c r="AR190">
        <f>OR(AND(IF(Metadata!Q190="",FALSE,TRUE),OR(exact(Metadata!Q190,"not applicable"),exact(Metadata!Q190,"not collected"),exact(Metadata!Q190,"not provided"),exact(Metadata!Q190,"restricted access"))),IF(Metadata!Q190="",FALSE,IF(ISERROR(INT(Metadata!Q190)),FALSE,INT(Metadata!Q190)=Metadata!Q190)))</f>
        <v>0</v>
      </c>
      <c r="AS190">
        <f>AND(IF(Metadata!R190="",FALSE,TRUE),exact(Metadata!R190,"Not applicable"))</f>
        <v>0</v>
      </c>
    </row>
    <row r="191" spans="1:45">
      <c r="A191" s="4">
        <f>IF(B191=" "," ",HYPERLINK(CONCATENATE("#metadata!",ADDRESS(INDEX($X$2:$X$1001,MATCH(ROWS($V$2:V191),$V$2:$V$1001,0),0),2)),INDEX($AA$2:$AA$1001,MATCH(ROWS($V$2:V191),$V$2:$V$1001,0),0)))</f>
        <v>0</v>
      </c>
      <c r="B191" s="5">
        <f>IF(OR(INDEX($W$2:$W$1001,MATCH(ROWS($V$2:V191),$V$2:$V$1001,0),1)&gt;=100000,INDEX($AC$1005:$AS$1005,1,MATCH(COLUMNS($AC$1006:AC1006),$AC$1006:$AS$1006,0))&gt;=100000), " ",IF(INDEX($AC$2:$AS$1001,MATCH(ROWS($V$2:V191),$V$2:$V$1001,0),MATCH(COLUMNS($AC$1006:AC1006),$AC$1006:$AS$1006,0)), HYPERLINK("#",""), HYPERLINK(CONCATENATE("#Metadata!", ADDRESS(INDEX($X$2:$X$1001,MATCH(ROWS($V$2:V191),$V$2:$V$1001,0),0), INDEX($AC$1004:$AS$1004,1,MATCH(COLUMNS($AC$1006:AC1006),$AC$1006:$AS$1006,0)))),"Fix")))</f>
        <v>0</v>
      </c>
      <c r="C191" s="5">
        <f>IF(OR(INDEX($W$2:$W$1001,MATCH(ROWS($V$2:V191),$V$2:$V$1001,0),1)&gt;=100000,INDEX($AC$1005:$AS$1005,1,MATCH(COLUMNS($AC$1006:AD1006),$AC$1006:$AS$1006,0))&gt;=100000), " ",IF(INDEX($AC$2:$AS$1001,MATCH(ROWS($V$2:V191),$V$2:$V$1001,0),MATCH(COLUMNS($AC$1006:AD1006),$AC$1006:$AS$1006,0)), HYPERLINK("#",""), HYPERLINK(CONCATENATE("#Metadata!", ADDRESS(INDEX($X$2:$X$1001,MATCH(ROWS($V$2:V191),$V$2:$V$1001,0),0), INDEX($AC$1004:$AS$1004,1,MATCH(COLUMNS($AC$1006:AD1006),$AC$1006:$AS$1006,0)))),"Fix")))</f>
        <v>0</v>
      </c>
      <c r="D191" s="5">
        <f>IF(OR(INDEX($W$2:$W$1001,MATCH(ROWS($V$2:V191),$V$2:$V$1001,0),1)&gt;=100000,INDEX($AC$1005:$AS$1005,1,MATCH(COLUMNS($AC$1006:AE1006),$AC$1006:$AS$1006,0))&gt;=100000), " ",IF(INDEX($AC$2:$AS$1001,MATCH(ROWS($V$2:V191),$V$2:$V$1001,0),MATCH(COLUMNS($AC$1006:AE1006),$AC$1006:$AS$1006,0)), HYPERLINK("#",""), HYPERLINK(CONCATENATE("#Metadata!", ADDRESS(INDEX($X$2:$X$1001,MATCH(ROWS($V$2:V191),$V$2:$V$1001,0),0), INDEX($AC$1004:$AS$1004,1,MATCH(COLUMNS($AC$1006:AE1006),$AC$1006:$AS$1006,0)))),"Fix")))</f>
        <v>0</v>
      </c>
      <c r="E191" s="5">
        <f>IF(OR(INDEX($W$2:$W$1001,MATCH(ROWS($V$2:V191),$V$2:$V$1001,0),1)&gt;=100000,INDEX($AC$1005:$AS$1005,1,MATCH(COLUMNS($AC$1006:AF1006),$AC$1006:$AS$1006,0))&gt;=100000), " ",IF(INDEX($AC$2:$AS$1001,MATCH(ROWS($V$2:V191),$V$2:$V$1001,0),MATCH(COLUMNS($AC$1006:AF1006),$AC$1006:$AS$1006,0)), HYPERLINK("#",""), HYPERLINK(CONCATENATE("#Metadata!", ADDRESS(INDEX($X$2:$X$1001,MATCH(ROWS($V$2:V191),$V$2:$V$1001,0),0), INDEX($AC$1004:$AS$1004,1,MATCH(COLUMNS($AC$1006:AF1006),$AC$1006:$AS$1006,0)))),"Fix")))</f>
        <v>0</v>
      </c>
      <c r="F191" s="5">
        <f>IF(OR(INDEX($W$2:$W$1001,MATCH(ROWS($V$2:V191),$V$2:$V$1001,0),1)&gt;=100000,INDEX($AC$1005:$AS$1005,1,MATCH(COLUMNS($AC$1006:AG1006),$AC$1006:$AS$1006,0))&gt;=100000), " ",IF(INDEX($AC$2:$AS$1001,MATCH(ROWS($V$2:V191),$V$2:$V$1001,0),MATCH(COLUMNS($AC$1006:AG1006),$AC$1006:$AS$1006,0)), HYPERLINK("#",""), HYPERLINK(CONCATENATE("#Metadata!", ADDRESS(INDEX($X$2:$X$1001,MATCH(ROWS($V$2:V191),$V$2:$V$1001,0),0), INDEX($AC$1004:$AS$1004,1,MATCH(COLUMNS($AC$1006:AG1006),$AC$1006:$AS$1006,0)))),"Fix")))</f>
        <v>0</v>
      </c>
      <c r="G191" s="5">
        <f>IF(OR(INDEX($W$2:$W$1001,MATCH(ROWS($V$2:V191),$V$2:$V$1001,0),1)&gt;=100000,INDEX($AC$1005:$AS$1005,1,MATCH(COLUMNS($AC$1006:AH1006),$AC$1006:$AS$1006,0))&gt;=100000), " ",IF(INDEX($AC$2:$AS$1001,MATCH(ROWS($V$2:V191),$V$2:$V$1001,0),MATCH(COLUMNS($AC$1006:AH1006),$AC$1006:$AS$1006,0)), HYPERLINK("#",""), HYPERLINK(CONCATENATE("#Metadata!", ADDRESS(INDEX($X$2:$X$1001,MATCH(ROWS($V$2:V191),$V$2:$V$1001,0),0), INDEX($AC$1004:$AS$1004,1,MATCH(COLUMNS($AC$1006:AH1006),$AC$1006:$AS$1006,0)))),"Fix")))</f>
        <v>0</v>
      </c>
      <c r="H191" s="5">
        <f>IF(OR(INDEX($W$2:$W$1001,MATCH(ROWS($V$2:V191),$V$2:$V$1001,0),1)&gt;=100000,INDEX($AC$1005:$AS$1005,1,MATCH(COLUMNS($AC$1006:AI1006),$AC$1006:$AS$1006,0))&gt;=100000), " ",IF(INDEX($AC$2:$AS$1001,MATCH(ROWS($V$2:V191),$V$2:$V$1001,0),MATCH(COLUMNS($AC$1006:AI1006),$AC$1006:$AS$1006,0)), HYPERLINK("#",""), HYPERLINK(CONCATENATE("#Metadata!", ADDRESS(INDEX($X$2:$X$1001,MATCH(ROWS($V$2:V191),$V$2:$V$1001,0),0), INDEX($AC$1004:$AS$1004,1,MATCH(COLUMNS($AC$1006:AI1006),$AC$1006:$AS$1006,0)))),"Fix")))</f>
        <v>0</v>
      </c>
      <c r="I191" s="5">
        <f>IF(OR(INDEX($W$2:$W$1001,MATCH(ROWS($V$2:V191),$V$2:$V$1001,0),1)&gt;=100000,INDEX($AC$1005:$AS$1005,1,MATCH(COLUMNS($AC$1006:AJ1006),$AC$1006:$AS$1006,0))&gt;=100000), " ",IF(INDEX($AC$2:$AS$1001,MATCH(ROWS($V$2:V191),$V$2:$V$1001,0),MATCH(COLUMNS($AC$1006:AJ1006),$AC$1006:$AS$1006,0)), HYPERLINK("#",""), HYPERLINK(CONCATENATE("#Metadata!", ADDRESS(INDEX($X$2:$X$1001,MATCH(ROWS($V$2:V191),$V$2:$V$1001,0),0), INDEX($AC$1004:$AS$1004,1,MATCH(COLUMNS($AC$1006:AJ1006),$AC$1006:$AS$1006,0)))),"Fix")))</f>
        <v>0</v>
      </c>
      <c r="J191" s="5">
        <f>IF(OR(INDEX($W$2:$W$1001,MATCH(ROWS($V$2:V191),$V$2:$V$1001,0),1)&gt;=100000,INDEX($AC$1005:$AS$1005,1,MATCH(COLUMNS($AC$1006:AK1006),$AC$1006:$AS$1006,0))&gt;=100000), " ",IF(INDEX($AC$2:$AS$1001,MATCH(ROWS($V$2:V191),$V$2:$V$1001,0),MATCH(COLUMNS($AC$1006:AK1006),$AC$1006:$AS$1006,0)), HYPERLINK("#",""), HYPERLINK(CONCATENATE("#Metadata!", ADDRESS(INDEX($X$2:$X$1001,MATCH(ROWS($V$2:V191),$V$2:$V$1001,0),0), INDEX($AC$1004:$AS$1004,1,MATCH(COLUMNS($AC$1006:AK1006),$AC$1006:$AS$1006,0)))),"Fix")))</f>
        <v>0</v>
      </c>
      <c r="K191" s="5">
        <f>IF(OR(INDEX($W$2:$W$1001,MATCH(ROWS($V$2:V191),$V$2:$V$1001,0),1)&gt;=100000,INDEX($AC$1005:$AS$1005,1,MATCH(COLUMNS($AC$1006:AL1006),$AC$1006:$AS$1006,0))&gt;=100000), " ",IF(INDEX($AC$2:$AS$1001,MATCH(ROWS($V$2:V191),$V$2:$V$1001,0),MATCH(COLUMNS($AC$1006:AL1006),$AC$1006:$AS$1006,0)), HYPERLINK("#",""), HYPERLINK(CONCATENATE("#Metadata!", ADDRESS(INDEX($X$2:$X$1001,MATCH(ROWS($V$2:V191),$V$2:$V$1001,0),0), INDEX($AC$1004:$AS$1004,1,MATCH(COLUMNS($AC$1006:AL1006),$AC$1006:$AS$1006,0)))),"Fix")))</f>
        <v>0</v>
      </c>
      <c r="L191" s="5">
        <f>IF(OR(INDEX($W$2:$W$1001,MATCH(ROWS($V$2:V191),$V$2:$V$1001,0),1)&gt;=100000,INDEX($AC$1005:$AS$1005,1,MATCH(COLUMNS($AC$1006:AM1006),$AC$1006:$AS$1006,0))&gt;=100000), " ",IF(INDEX($AC$2:$AS$1001,MATCH(ROWS($V$2:V191),$V$2:$V$1001,0),MATCH(COLUMNS($AC$1006:AM1006),$AC$1006:$AS$1006,0)), HYPERLINK("#",""), HYPERLINK(CONCATENATE("#Metadata!", ADDRESS(INDEX($X$2:$X$1001,MATCH(ROWS($V$2:V191),$V$2:$V$1001,0),0), INDEX($AC$1004:$AS$1004,1,MATCH(COLUMNS($AC$1006:AM1006),$AC$1006:$AS$1006,0)))),"Fix")))</f>
        <v>0</v>
      </c>
      <c r="M191" s="5">
        <f>IF(OR(INDEX($W$2:$W$1001,MATCH(ROWS($V$2:V191),$V$2:$V$1001,0),1)&gt;=100000,INDEX($AC$1005:$AS$1005,1,MATCH(COLUMNS($AC$1006:AN1006),$AC$1006:$AS$1006,0))&gt;=100000), " ",IF(INDEX($AC$2:$AS$1001,MATCH(ROWS($V$2:V191),$V$2:$V$1001,0),MATCH(COLUMNS($AC$1006:AN1006),$AC$1006:$AS$1006,0)), HYPERLINK("#",""), HYPERLINK(CONCATENATE("#Metadata!", ADDRESS(INDEX($X$2:$X$1001,MATCH(ROWS($V$2:V191),$V$2:$V$1001,0),0), INDEX($AC$1004:$AS$1004,1,MATCH(COLUMNS($AC$1006:AN1006),$AC$1006:$AS$1006,0)))),"Fix")))</f>
        <v>0</v>
      </c>
      <c r="N191" s="5">
        <f>IF(OR(INDEX($W$2:$W$1001,MATCH(ROWS($V$2:V191),$V$2:$V$1001,0),1)&gt;=100000,INDEX($AC$1005:$AS$1005,1,MATCH(COLUMNS($AC$1006:AO1006),$AC$1006:$AS$1006,0))&gt;=100000), " ",IF(INDEX($AC$2:$AS$1001,MATCH(ROWS($V$2:V191),$V$2:$V$1001,0),MATCH(COLUMNS($AC$1006:AO1006),$AC$1006:$AS$1006,0)), HYPERLINK("#",""), HYPERLINK(CONCATENATE("#Metadata!", ADDRESS(INDEX($X$2:$X$1001,MATCH(ROWS($V$2:V191),$V$2:$V$1001,0),0), INDEX($AC$1004:$AS$1004,1,MATCH(COLUMNS($AC$1006:AO1006),$AC$1006:$AS$1006,0)))),"Fix")))</f>
        <v>0</v>
      </c>
      <c r="O191" s="5">
        <f>IF(OR(INDEX($W$2:$W$1001,MATCH(ROWS($V$2:V191),$V$2:$V$1001,0),1)&gt;=100000,INDEX($AC$1005:$AS$1005,1,MATCH(COLUMNS($AC$1006:AP1006),$AC$1006:$AS$1006,0))&gt;=100000), " ",IF(INDEX($AC$2:$AS$1001,MATCH(ROWS($V$2:V191),$V$2:$V$1001,0),MATCH(COLUMNS($AC$1006:AP1006),$AC$1006:$AS$1006,0)), HYPERLINK("#",""), HYPERLINK(CONCATENATE("#Metadata!", ADDRESS(INDEX($X$2:$X$1001,MATCH(ROWS($V$2:V191),$V$2:$V$1001,0),0), INDEX($AC$1004:$AS$1004,1,MATCH(COLUMNS($AC$1006:AP1006),$AC$1006:$AS$1006,0)))),"Fix")))</f>
        <v>0</v>
      </c>
      <c r="P191" s="5">
        <f>IF(OR(INDEX($W$2:$W$1001,MATCH(ROWS($V$2:V191),$V$2:$V$1001,0),1)&gt;=100000,INDEX($AC$1005:$AS$1005,1,MATCH(COLUMNS($AC$1006:AQ1006),$AC$1006:$AS$1006,0))&gt;=100000), " ",IF(INDEX($AC$2:$AS$1001,MATCH(ROWS($V$2:V191),$V$2:$V$1001,0),MATCH(COLUMNS($AC$1006:AQ1006),$AC$1006:$AS$1006,0)), HYPERLINK("#",""), HYPERLINK(CONCATENATE("#Metadata!", ADDRESS(INDEX($X$2:$X$1001,MATCH(ROWS($V$2:V191),$V$2:$V$1001,0),0), INDEX($AC$1004:$AS$1004,1,MATCH(COLUMNS($AC$1006:AQ1006),$AC$1006:$AS$1006,0)))),"Fix")))</f>
        <v>0</v>
      </c>
      <c r="Q191" s="5">
        <f>IF(OR(INDEX($W$2:$W$1001,MATCH(ROWS($V$2:V191),$V$2:$V$1001,0),1)&gt;=100000,INDEX($AC$1005:$AS$1005,1,MATCH(COLUMNS($AC$1006:AR1006),$AC$1006:$AS$1006,0))&gt;=100000), " ",IF(INDEX($AC$2:$AS$1001,MATCH(ROWS($V$2:V191),$V$2:$V$1001,0),MATCH(COLUMNS($AC$1006:AR1006),$AC$1006:$AS$1006,0)), HYPERLINK("#",""), HYPERLINK(CONCATENATE("#Metadata!", ADDRESS(INDEX($X$2:$X$1001,MATCH(ROWS($V$2:V191),$V$2:$V$1001,0),0), INDEX($AC$1004:$AS$1004,1,MATCH(COLUMNS($AC$1006:AR1006),$AC$1006:$AS$1006,0)))),"Fix")))</f>
        <v>0</v>
      </c>
      <c r="R191" s="5">
        <f>IF(OR(INDEX($W$2:$W$1001,MATCH(ROWS($V$2:V191),$V$2:$V$1001,0),1)&gt;=100000,INDEX($AC$1005:$AS$1005,1,MATCH(COLUMNS($AC$1006:AS1006),$AC$1006:$AS$1006,0))&gt;=100000), " ",IF(INDEX($AC$2:$AS$1001,MATCH(ROWS($V$2:V191),$V$2:$V$1001,0),MATCH(COLUMNS($AC$1006:AS1006),$AC$1006:$AS$1006,0)), HYPERLINK("#",""), HYPERLINK(CONCATENATE("#Metadata!", ADDRESS(INDEX($X$2:$X$1001,MATCH(ROWS($V$2:V191),$V$2:$V$1001,0),0), INDEX($AC$1004:$AS$1004,1,MATCH(COLUMNS($AC$1006:AS1006),$AC$1006:$AS$1006,0)))),"Fix")))</f>
        <v>0</v>
      </c>
      <c r="V191">
        <v>0</v>
      </c>
      <c r="W191">
        <v>0</v>
      </c>
      <c r="X191">
        <v>0</v>
      </c>
      <c r="Y191">
        <f>IF(Z191,TRUE,AND(AC191:AS191))</f>
        <v>0</v>
      </c>
      <c r="Z191">
        <f>COUNTBLANK(Metadata!B191:R191)=COLUMNS(Metadata!B191:R191)</f>
        <v>0</v>
      </c>
      <c r="AA191">
        <v>0</v>
      </c>
      <c r="AC191">
        <f>AND(IF(Metadata!B191="",FALSE,TRUE),COUNTIF(Metadata!B:B, Metadata!B191) = 1,NOT(ISERROR(SUMPRODUCT(SEARCH(MID(Metadata!B191,ROW(INDIRECT("1:"&amp;LEN(Metadata!B191))), 1),"0123456789abcdefghijklmnopqrstuvwxyzABCDEFGHIJKLMNOPQRSTUVWXYZ.")))))</f>
        <v>0</v>
      </c>
      <c r="AD191">
        <f>AND(IF(Metadata!C191="",FALSE,TRUE),exact(Metadata!C191,"Host-associated"))</f>
        <v>0</v>
      </c>
      <c r="AE191">
        <f>AND(IF(Metadata!D191="",FALSE,TRUE),OR(exact(Metadata!D191,"Animal"),exact(Metadata!D191,"Fungus"),exact(Metadata!D191,"Plant")))</f>
        <v>0</v>
      </c>
      <c r="AF191">
        <f>AND(IF(Metadata!E191="",FALSE,TRUE),OR(exact(Metadata!E191,"Plant secretion"),exact(Metadata!E191,"Plant rhizosphere"),exact(Metadata!E191,"Plant surface"),exact(Metadata!E191,"Plant corpus"),exact(Metadata!E191,"Fungus surface"),exact(Metadata!E191,"Fungus corpus"),exact(Metadata!E191,"Animal surface"),exact(Metadata!E191,"Animal proximal gut"),exact(Metadata!E191,"Animal corpus"),exact(Metadata!E191,"Animal distal gut"),exact(Metadata!E191,"Animal secretion")))</f>
        <v>0</v>
      </c>
      <c r="AG191">
        <f>OR(AND(IF(Metadata!F191="",FALSE,TRUE),OR(exact(Metadata!F191,"not collected"),exact(Metadata!F191,"not provided"),exact(Metadata!F191,"restricted access"))),AND(IF(Metadata!F191="",FALSE,TRUE),OR(exact(Metadata!F191,"organism-associated habitat"),exact(Metadata!F191,"plant-associated habitat"),exact(Metadata!F191,"animal-associated habitat"),exact(Metadata!F191,"insecta-associated habitat"),exact(Metadata!F191,"mammalia-associated habitat"),exact(Metadata!F191,"human-associated habitat"),exact(Metadata!F191,"livestock-associated habitat"))))</f>
        <v>0</v>
      </c>
      <c r="AH191">
        <f>AND(IF(Metadata!G191="",FALSE,TRUE),exact(Metadata!G191,"host-associated"))</f>
        <v>0</v>
      </c>
      <c r="AI191">
        <f>OR(AND(IF(Metadata!H191="",FALSE,TRUE),OR(exact(Metadata!H191,"not collected"),exact(Metadata!H191,"not provided"))),AND(IF(Metadata!H191="",FALSE,ISNUMBER(VALUE(Metadata!H191))),Metadata!H191&gt;0))</f>
        <v>0</v>
      </c>
      <c r="AJ191">
        <f>AND(IF(Metadata!I191="",FALSE,TRUE),exact(Metadata!I191,"years"))</f>
        <v>0</v>
      </c>
      <c r="AK191">
        <f>IF(Metadata!J191="",FALSE,TRUE)</f>
        <v>0</v>
      </c>
      <c r="AL191">
        <f>OR(AND(IF(Metadata!K191="",FALSE,TRUE),OR(exact(Metadata!K191,"not collected"),exact(Metadata!K191,"not provided"))),AND(IF(Metadata!K191="",FALSE,ISNUMBER(VALUE(Metadata!K191))),Metadata!K191&gt;0))</f>
        <v>0</v>
      </c>
      <c r="AM191">
        <f>AND(IF(Metadata!L191="",FALSE,TRUE),exact(Metadata!L191,"cm"))</f>
        <v>0</v>
      </c>
      <c r="AN191">
        <f>IF(Metadata!M191="",FALSE,TRUE)</f>
        <v>0</v>
      </c>
      <c r="AO191">
        <f>OR(AND(IF(Metadata!N191="",FALSE,TRUE),OR(exact(Metadata!N191,"not applicable"),exact(Metadata!N191,"not collected"),exact(Metadata!N191,"not provided"))),AND(IF(Metadata!N191="",FALSE,IF(ISERROR(INT(Metadata!N191)),FALSE,INT(Metadata!N191)=Metadata!N191)),Metadata!N191&gt;0))</f>
        <v>0</v>
      </c>
      <c r="AP191">
        <f>OR(AND(IF(Metadata!O191="",FALSE,TRUE),OR(exact(Metadata!O191,"not collected"),exact(Metadata!O191,"not provided"))),AND(IF(Metadata!O191="",FALSE,ISNUMBER(VALUE(Metadata!O191))),Metadata!O191&gt;0))</f>
        <v>0</v>
      </c>
      <c r="AQ191">
        <f>AND(IF(Metadata!P191="",FALSE,TRUE),exact(Metadata!P191,"kg"))</f>
        <v>0</v>
      </c>
      <c r="AR191">
        <f>OR(AND(IF(Metadata!Q191="",FALSE,TRUE),OR(exact(Metadata!Q191,"not applicable"),exact(Metadata!Q191,"not collected"),exact(Metadata!Q191,"not provided"),exact(Metadata!Q191,"restricted access"))),IF(Metadata!Q191="",FALSE,IF(ISERROR(INT(Metadata!Q191)),FALSE,INT(Metadata!Q191)=Metadata!Q191)))</f>
        <v>0</v>
      </c>
      <c r="AS191">
        <f>AND(IF(Metadata!R191="",FALSE,TRUE),exact(Metadata!R191,"Not applicable"))</f>
        <v>0</v>
      </c>
    </row>
    <row r="192" spans="1:45">
      <c r="A192" s="4">
        <f>IF(B192=" "," ",HYPERLINK(CONCATENATE("#metadata!",ADDRESS(INDEX($X$2:$X$1001,MATCH(ROWS($V$2:V192),$V$2:$V$1001,0),0),2)),INDEX($AA$2:$AA$1001,MATCH(ROWS($V$2:V192),$V$2:$V$1001,0),0)))</f>
        <v>0</v>
      </c>
      <c r="B192" s="5">
        <f>IF(OR(INDEX($W$2:$W$1001,MATCH(ROWS($V$2:V192),$V$2:$V$1001,0),1)&gt;=100000,INDEX($AC$1005:$AS$1005,1,MATCH(COLUMNS($AC$1006:AC1006),$AC$1006:$AS$1006,0))&gt;=100000), " ",IF(INDEX($AC$2:$AS$1001,MATCH(ROWS($V$2:V192),$V$2:$V$1001,0),MATCH(COLUMNS($AC$1006:AC1006),$AC$1006:$AS$1006,0)), HYPERLINK("#",""), HYPERLINK(CONCATENATE("#Metadata!", ADDRESS(INDEX($X$2:$X$1001,MATCH(ROWS($V$2:V192),$V$2:$V$1001,0),0), INDEX($AC$1004:$AS$1004,1,MATCH(COLUMNS($AC$1006:AC1006),$AC$1006:$AS$1006,0)))),"Fix")))</f>
        <v>0</v>
      </c>
      <c r="C192" s="5">
        <f>IF(OR(INDEX($W$2:$W$1001,MATCH(ROWS($V$2:V192),$V$2:$V$1001,0),1)&gt;=100000,INDEX($AC$1005:$AS$1005,1,MATCH(COLUMNS($AC$1006:AD1006),$AC$1006:$AS$1006,0))&gt;=100000), " ",IF(INDEX($AC$2:$AS$1001,MATCH(ROWS($V$2:V192),$V$2:$V$1001,0),MATCH(COLUMNS($AC$1006:AD1006),$AC$1006:$AS$1006,0)), HYPERLINK("#",""), HYPERLINK(CONCATENATE("#Metadata!", ADDRESS(INDEX($X$2:$X$1001,MATCH(ROWS($V$2:V192),$V$2:$V$1001,0),0), INDEX($AC$1004:$AS$1004,1,MATCH(COLUMNS($AC$1006:AD1006),$AC$1006:$AS$1006,0)))),"Fix")))</f>
        <v>0</v>
      </c>
      <c r="D192" s="5">
        <f>IF(OR(INDEX($W$2:$W$1001,MATCH(ROWS($V$2:V192),$V$2:$V$1001,0),1)&gt;=100000,INDEX($AC$1005:$AS$1005,1,MATCH(COLUMNS($AC$1006:AE1006),$AC$1006:$AS$1006,0))&gt;=100000), " ",IF(INDEX($AC$2:$AS$1001,MATCH(ROWS($V$2:V192),$V$2:$V$1001,0),MATCH(COLUMNS($AC$1006:AE1006),$AC$1006:$AS$1006,0)), HYPERLINK("#",""), HYPERLINK(CONCATENATE("#Metadata!", ADDRESS(INDEX($X$2:$X$1001,MATCH(ROWS($V$2:V192),$V$2:$V$1001,0),0), INDEX($AC$1004:$AS$1004,1,MATCH(COLUMNS($AC$1006:AE1006),$AC$1006:$AS$1006,0)))),"Fix")))</f>
        <v>0</v>
      </c>
      <c r="E192" s="5">
        <f>IF(OR(INDEX($W$2:$W$1001,MATCH(ROWS($V$2:V192),$V$2:$V$1001,0),1)&gt;=100000,INDEX($AC$1005:$AS$1005,1,MATCH(COLUMNS($AC$1006:AF1006),$AC$1006:$AS$1006,0))&gt;=100000), " ",IF(INDEX($AC$2:$AS$1001,MATCH(ROWS($V$2:V192),$V$2:$V$1001,0),MATCH(COLUMNS($AC$1006:AF1006),$AC$1006:$AS$1006,0)), HYPERLINK("#",""), HYPERLINK(CONCATENATE("#Metadata!", ADDRESS(INDEX($X$2:$X$1001,MATCH(ROWS($V$2:V192),$V$2:$V$1001,0),0), INDEX($AC$1004:$AS$1004,1,MATCH(COLUMNS($AC$1006:AF1006),$AC$1006:$AS$1006,0)))),"Fix")))</f>
        <v>0</v>
      </c>
      <c r="F192" s="5">
        <f>IF(OR(INDEX($W$2:$W$1001,MATCH(ROWS($V$2:V192),$V$2:$V$1001,0),1)&gt;=100000,INDEX($AC$1005:$AS$1005,1,MATCH(COLUMNS($AC$1006:AG1006),$AC$1006:$AS$1006,0))&gt;=100000), " ",IF(INDEX($AC$2:$AS$1001,MATCH(ROWS($V$2:V192),$V$2:$V$1001,0),MATCH(COLUMNS($AC$1006:AG1006),$AC$1006:$AS$1006,0)), HYPERLINK("#",""), HYPERLINK(CONCATENATE("#Metadata!", ADDRESS(INDEX($X$2:$X$1001,MATCH(ROWS($V$2:V192),$V$2:$V$1001,0),0), INDEX($AC$1004:$AS$1004,1,MATCH(COLUMNS($AC$1006:AG1006),$AC$1006:$AS$1006,0)))),"Fix")))</f>
        <v>0</v>
      </c>
      <c r="G192" s="5">
        <f>IF(OR(INDEX($W$2:$W$1001,MATCH(ROWS($V$2:V192),$V$2:$V$1001,0),1)&gt;=100000,INDEX($AC$1005:$AS$1005,1,MATCH(COLUMNS($AC$1006:AH1006),$AC$1006:$AS$1006,0))&gt;=100000), " ",IF(INDEX($AC$2:$AS$1001,MATCH(ROWS($V$2:V192),$V$2:$V$1001,0),MATCH(COLUMNS($AC$1006:AH1006),$AC$1006:$AS$1006,0)), HYPERLINK("#",""), HYPERLINK(CONCATENATE("#Metadata!", ADDRESS(INDEX($X$2:$X$1001,MATCH(ROWS($V$2:V192),$V$2:$V$1001,0),0), INDEX($AC$1004:$AS$1004,1,MATCH(COLUMNS($AC$1006:AH1006),$AC$1006:$AS$1006,0)))),"Fix")))</f>
        <v>0</v>
      </c>
      <c r="H192" s="5">
        <f>IF(OR(INDEX($W$2:$W$1001,MATCH(ROWS($V$2:V192),$V$2:$V$1001,0),1)&gt;=100000,INDEX($AC$1005:$AS$1005,1,MATCH(COLUMNS($AC$1006:AI1006),$AC$1006:$AS$1006,0))&gt;=100000), " ",IF(INDEX($AC$2:$AS$1001,MATCH(ROWS($V$2:V192),$V$2:$V$1001,0),MATCH(COLUMNS($AC$1006:AI1006),$AC$1006:$AS$1006,0)), HYPERLINK("#",""), HYPERLINK(CONCATENATE("#Metadata!", ADDRESS(INDEX($X$2:$X$1001,MATCH(ROWS($V$2:V192),$V$2:$V$1001,0),0), INDEX($AC$1004:$AS$1004,1,MATCH(COLUMNS($AC$1006:AI1006),$AC$1006:$AS$1006,0)))),"Fix")))</f>
        <v>0</v>
      </c>
      <c r="I192" s="5">
        <f>IF(OR(INDEX($W$2:$W$1001,MATCH(ROWS($V$2:V192),$V$2:$V$1001,0),1)&gt;=100000,INDEX($AC$1005:$AS$1005,1,MATCH(COLUMNS($AC$1006:AJ1006),$AC$1006:$AS$1006,0))&gt;=100000), " ",IF(INDEX($AC$2:$AS$1001,MATCH(ROWS($V$2:V192),$V$2:$V$1001,0),MATCH(COLUMNS($AC$1006:AJ1006),$AC$1006:$AS$1006,0)), HYPERLINK("#",""), HYPERLINK(CONCATENATE("#Metadata!", ADDRESS(INDEX($X$2:$X$1001,MATCH(ROWS($V$2:V192),$V$2:$V$1001,0),0), INDEX($AC$1004:$AS$1004,1,MATCH(COLUMNS($AC$1006:AJ1006),$AC$1006:$AS$1006,0)))),"Fix")))</f>
        <v>0</v>
      </c>
      <c r="J192" s="5">
        <f>IF(OR(INDEX($W$2:$W$1001,MATCH(ROWS($V$2:V192),$V$2:$V$1001,0),1)&gt;=100000,INDEX($AC$1005:$AS$1005,1,MATCH(COLUMNS($AC$1006:AK1006),$AC$1006:$AS$1006,0))&gt;=100000), " ",IF(INDEX($AC$2:$AS$1001,MATCH(ROWS($V$2:V192),$V$2:$V$1001,0),MATCH(COLUMNS($AC$1006:AK1006),$AC$1006:$AS$1006,0)), HYPERLINK("#",""), HYPERLINK(CONCATENATE("#Metadata!", ADDRESS(INDEX($X$2:$X$1001,MATCH(ROWS($V$2:V192),$V$2:$V$1001,0),0), INDEX($AC$1004:$AS$1004,1,MATCH(COLUMNS($AC$1006:AK1006),$AC$1006:$AS$1006,0)))),"Fix")))</f>
        <v>0</v>
      </c>
      <c r="K192" s="5">
        <f>IF(OR(INDEX($W$2:$W$1001,MATCH(ROWS($V$2:V192),$V$2:$V$1001,0),1)&gt;=100000,INDEX($AC$1005:$AS$1005,1,MATCH(COLUMNS($AC$1006:AL1006),$AC$1006:$AS$1006,0))&gt;=100000), " ",IF(INDEX($AC$2:$AS$1001,MATCH(ROWS($V$2:V192),$V$2:$V$1001,0),MATCH(COLUMNS($AC$1006:AL1006),$AC$1006:$AS$1006,0)), HYPERLINK("#",""), HYPERLINK(CONCATENATE("#Metadata!", ADDRESS(INDEX($X$2:$X$1001,MATCH(ROWS($V$2:V192),$V$2:$V$1001,0),0), INDEX($AC$1004:$AS$1004,1,MATCH(COLUMNS($AC$1006:AL1006),$AC$1006:$AS$1006,0)))),"Fix")))</f>
        <v>0</v>
      </c>
      <c r="L192" s="5">
        <f>IF(OR(INDEX($W$2:$W$1001,MATCH(ROWS($V$2:V192),$V$2:$V$1001,0),1)&gt;=100000,INDEX($AC$1005:$AS$1005,1,MATCH(COLUMNS($AC$1006:AM1006),$AC$1006:$AS$1006,0))&gt;=100000), " ",IF(INDEX($AC$2:$AS$1001,MATCH(ROWS($V$2:V192),$V$2:$V$1001,0),MATCH(COLUMNS($AC$1006:AM1006),$AC$1006:$AS$1006,0)), HYPERLINK("#",""), HYPERLINK(CONCATENATE("#Metadata!", ADDRESS(INDEX($X$2:$X$1001,MATCH(ROWS($V$2:V192),$V$2:$V$1001,0),0), INDEX($AC$1004:$AS$1004,1,MATCH(COLUMNS($AC$1006:AM1006),$AC$1006:$AS$1006,0)))),"Fix")))</f>
        <v>0</v>
      </c>
      <c r="M192" s="5">
        <f>IF(OR(INDEX($W$2:$W$1001,MATCH(ROWS($V$2:V192),$V$2:$V$1001,0),1)&gt;=100000,INDEX($AC$1005:$AS$1005,1,MATCH(COLUMNS($AC$1006:AN1006),$AC$1006:$AS$1006,0))&gt;=100000), " ",IF(INDEX($AC$2:$AS$1001,MATCH(ROWS($V$2:V192),$V$2:$V$1001,0),MATCH(COLUMNS($AC$1006:AN1006),$AC$1006:$AS$1006,0)), HYPERLINK("#",""), HYPERLINK(CONCATENATE("#Metadata!", ADDRESS(INDEX($X$2:$X$1001,MATCH(ROWS($V$2:V192),$V$2:$V$1001,0),0), INDEX($AC$1004:$AS$1004,1,MATCH(COLUMNS($AC$1006:AN1006),$AC$1006:$AS$1006,0)))),"Fix")))</f>
        <v>0</v>
      </c>
      <c r="N192" s="5">
        <f>IF(OR(INDEX($W$2:$W$1001,MATCH(ROWS($V$2:V192),$V$2:$V$1001,0),1)&gt;=100000,INDEX($AC$1005:$AS$1005,1,MATCH(COLUMNS($AC$1006:AO1006),$AC$1006:$AS$1006,0))&gt;=100000), " ",IF(INDEX($AC$2:$AS$1001,MATCH(ROWS($V$2:V192),$V$2:$V$1001,0),MATCH(COLUMNS($AC$1006:AO1006),$AC$1006:$AS$1006,0)), HYPERLINK("#",""), HYPERLINK(CONCATENATE("#Metadata!", ADDRESS(INDEX($X$2:$X$1001,MATCH(ROWS($V$2:V192),$V$2:$V$1001,0),0), INDEX($AC$1004:$AS$1004,1,MATCH(COLUMNS($AC$1006:AO1006),$AC$1006:$AS$1006,0)))),"Fix")))</f>
        <v>0</v>
      </c>
      <c r="O192" s="5">
        <f>IF(OR(INDEX($W$2:$W$1001,MATCH(ROWS($V$2:V192),$V$2:$V$1001,0),1)&gt;=100000,INDEX($AC$1005:$AS$1005,1,MATCH(COLUMNS($AC$1006:AP1006),$AC$1006:$AS$1006,0))&gt;=100000), " ",IF(INDEX($AC$2:$AS$1001,MATCH(ROWS($V$2:V192),$V$2:$V$1001,0),MATCH(COLUMNS($AC$1006:AP1006),$AC$1006:$AS$1006,0)), HYPERLINK("#",""), HYPERLINK(CONCATENATE("#Metadata!", ADDRESS(INDEX($X$2:$X$1001,MATCH(ROWS($V$2:V192),$V$2:$V$1001,0),0), INDEX($AC$1004:$AS$1004,1,MATCH(COLUMNS($AC$1006:AP1006),$AC$1006:$AS$1006,0)))),"Fix")))</f>
        <v>0</v>
      </c>
      <c r="P192" s="5">
        <f>IF(OR(INDEX($W$2:$W$1001,MATCH(ROWS($V$2:V192),$V$2:$V$1001,0),1)&gt;=100000,INDEX($AC$1005:$AS$1005,1,MATCH(COLUMNS($AC$1006:AQ1006),$AC$1006:$AS$1006,0))&gt;=100000), " ",IF(INDEX($AC$2:$AS$1001,MATCH(ROWS($V$2:V192),$V$2:$V$1001,0),MATCH(COLUMNS($AC$1006:AQ1006),$AC$1006:$AS$1006,0)), HYPERLINK("#",""), HYPERLINK(CONCATENATE("#Metadata!", ADDRESS(INDEX($X$2:$X$1001,MATCH(ROWS($V$2:V192),$V$2:$V$1001,0),0), INDEX($AC$1004:$AS$1004,1,MATCH(COLUMNS($AC$1006:AQ1006),$AC$1006:$AS$1006,0)))),"Fix")))</f>
        <v>0</v>
      </c>
      <c r="Q192" s="5">
        <f>IF(OR(INDEX($W$2:$W$1001,MATCH(ROWS($V$2:V192),$V$2:$V$1001,0),1)&gt;=100000,INDEX($AC$1005:$AS$1005,1,MATCH(COLUMNS($AC$1006:AR1006),$AC$1006:$AS$1006,0))&gt;=100000), " ",IF(INDEX($AC$2:$AS$1001,MATCH(ROWS($V$2:V192),$V$2:$V$1001,0),MATCH(COLUMNS($AC$1006:AR1006),$AC$1006:$AS$1006,0)), HYPERLINK("#",""), HYPERLINK(CONCATENATE("#Metadata!", ADDRESS(INDEX($X$2:$X$1001,MATCH(ROWS($V$2:V192),$V$2:$V$1001,0),0), INDEX($AC$1004:$AS$1004,1,MATCH(COLUMNS($AC$1006:AR1006),$AC$1006:$AS$1006,0)))),"Fix")))</f>
        <v>0</v>
      </c>
      <c r="R192" s="5">
        <f>IF(OR(INDEX($W$2:$W$1001,MATCH(ROWS($V$2:V192),$V$2:$V$1001,0),1)&gt;=100000,INDEX($AC$1005:$AS$1005,1,MATCH(COLUMNS($AC$1006:AS1006),$AC$1006:$AS$1006,0))&gt;=100000), " ",IF(INDEX($AC$2:$AS$1001,MATCH(ROWS($V$2:V192),$V$2:$V$1001,0),MATCH(COLUMNS($AC$1006:AS1006),$AC$1006:$AS$1006,0)), HYPERLINK("#",""), HYPERLINK(CONCATENATE("#Metadata!", ADDRESS(INDEX($X$2:$X$1001,MATCH(ROWS($V$2:V192),$V$2:$V$1001,0),0), INDEX($AC$1004:$AS$1004,1,MATCH(COLUMNS($AC$1006:AS1006),$AC$1006:$AS$1006,0)))),"Fix")))</f>
        <v>0</v>
      </c>
      <c r="V192">
        <v>0</v>
      </c>
      <c r="W192">
        <v>0</v>
      </c>
      <c r="X192">
        <v>0</v>
      </c>
      <c r="Y192">
        <f>IF(Z192,TRUE,AND(AC192:AS192))</f>
        <v>0</v>
      </c>
      <c r="Z192">
        <f>COUNTBLANK(Metadata!B192:R192)=COLUMNS(Metadata!B192:R192)</f>
        <v>0</v>
      </c>
      <c r="AA192">
        <v>0</v>
      </c>
      <c r="AC192">
        <f>AND(IF(Metadata!B192="",FALSE,TRUE),COUNTIF(Metadata!B:B, Metadata!B192) = 1,NOT(ISERROR(SUMPRODUCT(SEARCH(MID(Metadata!B192,ROW(INDIRECT("1:"&amp;LEN(Metadata!B192))), 1),"0123456789abcdefghijklmnopqrstuvwxyzABCDEFGHIJKLMNOPQRSTUVWXYZ.")))))</f>
        <v>0</v>
      </c>
      <c r="AD192">
        <f>AND(IF(Metadata!C192="",FALSE,TRUE),exact(Metadata!C192,"Host-associated"))</f>
        <v>0</v>
      </c>
      <c r="AE192">
        <f>AND(IF(Metadata!D192="",FALSE,TRUE),OR(exact(Metadata!D192,"Animal"),exact(Metadata!D192,"Fungus"),exact(Metadata!D192,"Plant")))</f>
        <v>0</v>
      </c>
      <c r="AF192">
        <f>AND(IF(Metadata!E192="",FALSE,TRUE),OR(exact(Metadata!E192,"Plant secretion"),exact(Metadata!E192,"Plant rhizosphere"),exact(Metadata!E192,"Plant surface"),exact(Metadata!E192,"Plant corpus"),exact(Metadata!E192,"Fungus surface"),exact(Metadata!E192,"Fungus corpus"),exact(Metadata!E192,"Animal surface"),exact(Metadata!E192,"Animal proximal gut"),exact(Metadata!E192,"Animal corpus"),exact(Metadata!E192,"Animal distal gut"),exact(Metadata!E192,"Animal secretion")))</f>
        <v>0</v>
      </c>
      <c r="AG192">
        <f>OR(AND(IF(Metadata!F192="",FALSE,TRUE),OR(exact(Metadata!F192,"not collected"),exact(Metadata!F192,"not provided"),exact(Metadata!F192,"restricted access"))),AND(IF(Metadata!F192="",FALSE,TRUE),OR(exact(Metadata!F192,"organism-associated habitat"),exact(Metadata!F192,"plant-associated habitat"),exact(Metadata!F192,"animal-associated habitat"),exact(Metadata!F192,"insecta-associated habitat"),exact(Metadata!F192,"mammalia-associated habitat"),exact(Metadata!F192,"human-associated habitat"),exact(Metadata!F192,"livestock-associated habitat"))))</f>
        <v>0</v>
      </c>
      <c r="AH192">
        <f>AND(IF(Metadata!G192="",FALSE,TRUE),exact(Metadata!G192,"host-associated"))</f>
        <v>0</v>
      </c>
      <c r="AI192">
        <f>OR(AND(IF(Metadata!H192="",FALSE,TRUE),OR(exact(Metadata!H192,"not collected"),exact(Metadata!H192,"not provided"))),AND(IF(Metadata!H192="",FALSE,ISNUMBER(VALUE(Metadata!H192))),Metadata!H192&gt;0))</f>
        <v>0</v>
      </c>
      <c r="AJ192">
        <f>AND(IF(Metadata!I192="",FALSE,TRUE),exact(Metadata!I192,"years"))</f>
        <v>0</v>
      </c>
      <c r="AK192">
        <f>IF(Metadata!J192="",FALSE,TRUE)</f>
        <v>0</v>
      </c>
      <c r="AL192">
        <f>OR(AND(IF(Metadata!K192="",FALSE,TRUE),OR(exact(Metadata!K192,"not collected"),exact(Metadata!K192,"not provided"))),AND(IF(Metadata!K192="",FALSE,ISNUMBER(VALUE(Metadata!K192))),Metadata!K192&gt;0))</f>
        <v>0</v>
      </c>
      <c r="AM192">
        <f>AND(IF(Metadata!L192="",FALSE,TRUE),exact(Metadata!L192,"cm"))</f>
        <v>0</v>
      </c>
      <c r="AN192">
        <f>IF(Metadata!M192="",FALSE,TRUE)</f>
        <v>0</v>
      </c>
      <c r="AO192">
        <f>OR(AND(IF(Metadata!N192="",FALSE,TRUE),OR(exact(Metadata!N192,"not applicable"),exact(Metadata!N192,"not collected"),exact(Metadata!N192,"not provided"))),AND(IF(Metadata!N192="",FALSE,IF(ISERROR(INT(Metadata!N192)),FALSE,INT(Metadata!N192)=Metadata!N192)),Metadata!N192&gt;0))</f>
        <v>0</v>
      </c>
      <c r="AP192">
        <f>OR(AND(IF(Metadata!O192="",FALSE,TRUE),OR(exact(Metadata!O192,"not collected"),exact(Metadata!O192,"not provided"))),AND(IF(Metadata!O192="",FALSE,ISNUMBER(VALUE(Metadata!O192))),Metadata!O192&gt;0))</f>
        <v>0</v>
      </c>
      <c r="AQ192">
        <f>AND(IF(Metadata!P192="",FALSE,TRUE),exact(Metadata!P192,"kg"))</f>
        <v>0</v>
      </c>
      <c r="AR192">
        <f>OR(AND(IF(Metadata!Q192="",FALSE,TRUE),OR(exact(Metadata!Q192,"not applicable"),exact(Metadata!Q192,"not collected"),exact(Metadata!Q192,"not provided"),exact(Metadata!Q192,"restricted access"))),IF(Metadata!Q192="",FALSE,IF(ISERROR(INT(Metadata!Q192)),FALSE,INT(Metadata!Q192)=Metadata!Q192)))</f>
        <v>0</v>
      </c>
      <c r="AS192">
        <f>AND(IF(Metadata!R192="",FALSE,TRUE),exact(Metadata!R192,"Not applicable"))</f>
        <v>0</v>
      </c>
    </row>
    <row r="193" spans="1:45">
      <c r="A193" s="4">
        <f>IF(B193=" "," ",HYPERLINK(CONCATENATE("#metadata!",ADDRESS(INDEX($X$2:$X$1001,MATCH(ROWS($V$2:V193),$V$2:$V$1001,0),0),2)),INDEX($AA$2:$AA$1001,MATCH(ROWS($V$2:V193),$V$2:$V$1001,0),0)))</f>
        <v>0</v>
      </c>
      <c r="B193" s="5">
        <f>IF(OR(INDEX($W$2:$W$1001,MATCH(ROWS($V$2:V193),$V$2:$V$1001,0),1)&gt;=100000,INDEX($AC$1005:$AS$1005,1,MATCH(COLUMNS($AC$1006:AC1006),$AC$1006:$AS$1006,0))&gt;=100000), " ",IF(INDEX($AC$2:$AS$1001,MATCH(ROWS($V$2:V193),$V$2:$V$1001,0),MATCH(COLUMNS($AC$1006:AC1006),$AC$1006:$AS$1006,0)), HYPERLINK("#",""), HYPERLINK(CONCATENATE("#Metadata!", ADDRESS(INDEX($X$2:$X$1001,MATCH(ROWS($V$2:V193),$V$2:$V$1001,0),0), INDEX($AC$1004:$AS$1004,1,MATCH(COLUMNS($AC$1006:AC1006),$AC$1006:$AS$1006,0)))),"Fix")))</f>
        <v>0</v>
      </c>
      <c r="C193" s="5">
        <f>IF(OR(INDEX($W$2:$W$1001,MATCH(ROWS($V$2:V193),$V$2:$V$1001,0),1)&gt;=100000,INDEX($AC$1005:$AS$1005,1,MATCH(COLUMNS($AC$1006:AD1006),$AC$1006:$AS$1006,0))&gt;=100000), " ",IF(INDEX($AC$2:$AS$1001,MATCH(ROWS($V$2:V193),$V$2:$V$1001,0),MATCH(COLUMNS($AC$1006:AD1006),$AC$1006:$AS$1006,0)), HYPERLINK("#",""), HYPERLINK(CONCATENATE("#Metadata!", ADDRESS(INDEX($X$2:$X$1001,MATCH(ROWS($V$2:V193),$V$2:$V$1001,0),0), INDEX($AC$1004:$AS$1004,1,MATCH(COLUMNS($AC$1006:AD1006),$AC$1006:$AS$1006,0)))),"Fix")))</f>
        <v>0</v>
      </c>
      <c r="D193" s="5">
        <f>IF(OR(INDEX($W$2:$W$1001,MATCH(ROWS($V$2:V193),$V$2:$V$1001,0),1)&gt;=100000,INDEX($AC$1005:$AS$1005,1,MATCH(COLUMNS($AC$1006:AE1006),$AC$1006:$AS$1006,0))&gt;=100000), " ",IF(INDEX($AC$2:$AS$1001,MATCH(ROWS($V$2:V193),$V$2:$V$1001,0),MATCH(COLUMNS($AC$1006:AE1006),$AC$1006:$AS$1006,0)), HYPERLINK("#",""), HYPERLINK(CONCATENATE("#Metadata!", ADDRESS(INDEX($X$2:$X$1001,MATCH(ROWS($V$2:V193),$V$2:$V$1001,0),0), INDEX($AC$1004:$AS$1004,1,MATCH(COLUMNS($AC$1006:AE1006),$AC$1006:$AS$1006,0)))),"Fix")))</f>
        <v>0</v>
      </c>
      <c r="E193" s="5">
        <f>IF(OR(INDEX($W$2:$W$1001,MATCH(ROWS($V$2:V193),$V$2:$V$1001,0),1)&gt;=100000,INDEX($AC$1005:$AS$1005,1,MATCH(COLUMNS($AC$1006:AF1006),$AC$1006:$AS$1006,0))&gt;=100000), " ",IF(INDEX($AC$2:$AS$1001,MATCH(ROWS($V$2:V193),$V$2:$V$1001,0),MATCH(COLUMNS($AC$1006:AF1006),$AC$1006:$AS$1006,0)), HYPERLINK("#",""), HYPERLINK(CONCATENATE("#Metadata!", ADDRESS(INDEX($X$2:$X$1001,MATCH(ROWS($V$2:V193),$V$2:$V$1001,0),0), INDEX($AC$1004:$AS$1004,1,MATCH(COLUMNS($AC$1006:AF1006),$AC$1006:$AS$1006,0)))),"Fix")))</f>
        <v>0</v>
      </c>
      <c r="F193" s="5">
        <f>IF(OR(INDEX($W$2:$W$1001,MATCH(ROWS($V$2:V193),$V$2:$V$1001,0),1)&gt;=100000,INDEX($AC$1005:$AS$1005,1,MATCH(COLUMNS($AC$1006:AG1006),$AC$1006:$AS$1006,0))&gt;=100000), " ",IF(INDEX($AC$2:$AS$1001,MATCH(ROWS($V$2:V193),$V$2:$V$1001,0),MATCH(COLUMNS($AC$1006:AG1006),$AC$1006:$AS$1006,0)), HYPERLINK("#",""), HYPERLINK(CONCATENATE("#Metadata!", ADDRESS(INDEX($X$2:$X$1001,MATCH(ROWS($V$2:V193),$V$2:$V$1001,0),0), INDEX($AC$1004:$AS$1004,1,MATCH(COLUMNS($AC$1006:AG1006),$AC$1006:$AS$1006,0)))),"Fix")))</f>
        <v>0</v>
      </c>
      <c r="G193" s="5">
        <f>IF(OR(INDEX($W$2:$W$1001,MATCH(ROWS($V$2:V193),$V$2:$V$1001,0),1)&gt;=100000,INDEX($AC$1005:$AS$1005,1,MATCH(COLUMNS($AC$1006:AH1006),$AC$1006:$AS$1006,0))&gt;=100000), " ",IF(INDEX($AC$2:$AS$1001,MATCH(ROWS($V$2:V193),$V$2:$V$1001,0),MATCH(COLUMNS($AC$1006:AH1006),$AC$1006:$AS$1006,0)), HYPERLINK("#",""), HYPERLINK(CONCATENATE("#Metadata!", ADDRESS(INDEX($X$2:$X$1001,MATCH(ROWS($V$2:V193),$V$2:$V$1001,0),0), INDEX($AC$1004:$AS$1004,1,MATCH(COLUMNS($AC$1006:AH1006),$AC$1006:$AS$1006,0)))),"Fix")))</f>
        <v>0</v>
      </c>
      <c r="H193" s="5">
        <f>IF(OR(INDEX($W$2:$W$1001,MATCH(ROWS($V$2:V193),$V$2:$V$1001,0),1)&gt;=100000,INDEX($AC$1005:$AS$1005,1,MATCH(COLUMNS($AC$1006:AI1006),$AC$1006:$AS$1006,0))&gt;=100000), " ",IF(INDEX($AC$2:$AS$1001,MATCH(ROWS($V$2:V193),$V$2:$V$1001,0),MATCH(COLUMNS($AC$1006:AI1006),$AC$1006:$AS$1006,0)), HYPERLINK("#",""), HYPERLINK(CONCATENATE("#Metadata!", ADDRESS(INDEX($X$2:$X$1001,MATCH(ROWS($V$2:V193),$V$2:$V$1001,0),0), INDEX($AC$1004:$AS$1004,1,MATCH(COLUMNS($AC$1006:AI1006),$AC$1006:$AS$1006,0)))),"Fix")))</f>
        <v>0</v>
      </c>
      <c r="I193" s="5">
        <f>IF(OR(INDEX($W$2:$W$1001,MATCH(ROWS($V$2:V193),$V$2:$V$1001,0),1)&gt;=100000,INDEX($AC$1005:$AS$1005,1,MATCH(COLUMNS($AC$1006:AJ1006),$AC$1006:$AS$1006,0))&gt;=100000), " ",IF(INDEX($AC$2:$AS$1001,MATCH(ROWS($V$2:V193),$V$2:$V$1001,0),MATCH(COLUMNS($AC$1006:AJ1006),$AC$1006:$AS$1006,0)), HYPERLINK("#",""), HYPERLINK(CONCATENATE("#Metadata!", ADDRESS(INDEX($X$2:$X$1001,MATCH(ROWS($V$2:V193),$V$2:$V$1001,0),0), INDEX($AC$1004:$AS$1004,1,MATCH(COLUMNS($AC$1006:AJ1006),$AC$1006:$AS$1006,0)))),"Fix")))</f>
        <v>0</v>
      </c>
      <c r="J193" s="5">
        <f>IF(OR(INDEX($W$2:$W$1001,MATCH(ROWS($V$2:V193),$V$2:$V$1001,0),1)&gt;=100000,INDEX($AC$1005:$AS$1005,1,MATCH(COLUMNS($AC$1006:AK1006),$AC$1006:$AS$1006,0))&gt;=100000), " ",IF(INDEX($AC$2:$AS$1001,MATCH(ROWS($V$2:V193),$V$2:$V$1001,0),MATCH(COLUMNS($AC$1006:AK1006),$AC$1006:$AS$1006,0)), HYPERLINK("#",""), HYPERLINK(CONCATENATE("#Metadata!", ADDRESS(INDEX($X$2:$X$1001,MATCH(ROWS($V$2:V193),$V$2:$V$1001,0),0), INDEX($AC$1004:$AS$1004,1,MATCH(COLUMNS($AC$1006:AK1006),$AC$1006:$AS$1006,0)))),"Fix")))</f>
        <v>0</v>
      </c>
      <c r="K193" s="5">
        <f>IF(OR(INDEX($W$2:$W$1001,MATCH(ROWS($V$2:V193),$V$2:$V$1001,0),1)&gt;=100000,INDEX($AC$1005:$AS$1005,1,MATCH(COLUMNS($AC$1006:AL1006),$AC$1006:$AS$1006,0))&gt;=100000), " ",IF(INDEX($AC$2:$AS$1001,MATCH(ROWS($V$2:V193),$V$2:$V$1001,0),MATCH(COLUMNS($AC$1006:AL1006),$AC$1006:$AS$1006,0)), HYPERLINK("#",""), HYPERLINK(CONCATENATE("#Metadata!", ADDRESS(INDEX($X$2:$X$1001,MATCH(ROWS($V$2:V193),$V$2:$V$1001,0),0), INDEX($AC$1004:$AS$1004,1,MATCH(COLUMNS($AC$1006:AL1006),$AC$1006:$AS$1006,0)))),"Fix")))</f>
        <v>0</v>
      </c>
      <c r="L193" s="5">
        <f>IF(OR(INDEX($W$2:$W$1001,MATCH(ROWS($V$2:V193),$V$2:$V$1001,0),1)&gt;=100000,INDEX($AC$1005:$AS$1005,1,MATCH(COLUMNS($AC$1006:AM1006),$AC$1006:$AS$1006,0))&gt;=100000), " ",IF(INDEX($AC$2:$AS$1001,MATCH(ROWS($V$2:V193),$V$2:$V$1001,0),MATCH(COLUMNS($AC$1006:AM1006),$AC$1006:$AS$1006,0)), HYPERLINK("#",""), HYPERLINK(CONCATENATE("#Metadata!", ADDRESS(INDEX($X$2:$X$1001,MATCH(ROWS($V$2:V193),$V$2:$V$1001,0),0), INDEX($AC$1004:$AS$1004,1,MATCH(COLUMNS($AC$1006:AM1006),$AC$1006:$AS$1006,0)))),"Fix")))</f>
        <v>0</v>
      </c>
      <c r="M193" s="5">
        <f>IF(OR(INDEX($W$2:$W$1001,MATCH(ROWS($V$2:V193),$V$2:$V$1001,0),1)&gt;=100000,INDEX($AC$1005:$AS$1005,1,MATCH(COLUMNS($AC$1006:AN1006),$AC$1006:$AS$1006,0))&gt;=100000), " ",IF(INDEX($AC$2:$AS$1001,MATCH(ROWS($V$2:V193),$V$2:$V$1001,0),MATCH(COLUMNS($AC$1006:AN1006),$AC$1006:$AS$1006,0)), HYPERLINK("#",""), HYPERLINK(CONCATENATE("#Metadata!", ADDRESS(INDEX($X$2:$X$1001,MATCH(ROWS($V$2:V193),$V$2:$V$1001,0),0), INDEX($AC$1004:$AS$1004,1,MATCH(COLUMNS($AC$1006:AN1006),$AC$1006:$AS$1006,0)))),"Fix")))</f>
        <v>0</v>
      </c>
      <c r="N193" s="5">
        <f>IF(OR(INDEX($W$2:$W$1001,MATCH(ROWS($V$2:V193),$V$2:$V$1001,0),1)&gt;=100000,INDEX($AC$1005:$AS$1005,1,MATCH(COLUMNS($AC$1006:AO1006),$AC$1006:$AS$1006,0))&gt;=100000), " ",IF(INDEX($AC$2:$AS$1001,MATCH(ROWS($V$2:V193),$V$2:$V$1001,0),MATCH(COLUMNS($AC$1006:AO1006),$AC$1006:$AS$1006,0)), HYPERLINK("#",""), HYPERLINK(CONCATENATE("#Metadata!", ADDRESS(INDEX($X$2:$X$1001,MATCH(ROWS($V$2:V193),$V$2:$V$1001,0),0), INDEX($AC$1004:$AS$1004,1,MATCH(COLUMNS($AC$1006:AO1006),$AC$1006:$AS$1006,0)))),"Fix")))</f>
        <v>0</v>
      </c>
      <c r="O193" s="5">
        <f>IF(OR(INDEX($W$2:$W$1001,MATCH(ROWS($V$2:V193),$V$2:$V$1001,0),1)&gt;=100000,INDEX($AC$1005:$AS$1005,1,MATCH(COLUMNS($AC$1006:AP1006),$AC$1006:$AS$1006,0))&gt;=100000), " ",IF(INDEX($AC$2:$AS$1001,MATCH(ROWS($V$2:V193),$V$2:$V$1001,0),MATCH(COLUMNS($AC$1006:AP1006),$AC$1006:$AS$1006,0)), HYPERLINK("#",""), HYPERLINK(CONCATENATE("#Metadata!", ADDRESS(INDEX($X$2:$X$1001,MATCH(ROWS($V$2:V193),$V$2:$V$1001,0),0), INDEX($AC$1004:$AS$1004,1,MATCH(COLUMNS($AC$1006:AP1006),$AC$1006:$AS$1006,0)))),"Fix")))</f>
        <v>0</v>
      </c>
      <c r="P193" s="5">
        <f>IF(OR(INDEX($W$2:$W$1001,MATCH(ROWS($V$2:V193),$V$2:$V$1001,0),1)&gt;=100000,INDEX($AC$1005:$AS$1005,1,MATCH(COLUMNS($AC$1006:AQ1006),$AC$1006:$AS$1006,0))&gt;=100000), " ",IF(INDEX($AC$2:$AS$1001,MATCH(ROWS($V$2:V193),$V$2:$V$1001,0),MATCH(COLUMNS($AC$1006:AQ1006),$AC$1006:$AS$1006,0)), HYPERLINK("#",""), HYPERLINK(CONCATENATE("#Metadata!", ADDRESS(INDEX($X$2:$X$1001,MATCH(ROWS($V$2:V193),$V$2:$V$1001,0),0), INDEX($AC$1004:$AS$1004,1,MATCH(COLUMNS($AC$1006:AQ1006),$AC$1006:$AS$1006,0)))),"Fix")))</f>
        <v>0</v>
      </c>
      <c r="Q193" s="5">
        <f>IF(OR(INDEX($W$2:$W$1001,MATCH(ROWS($V$2:V193),$V$2:$V$1001,0),1)&gt;=100000,INDEX($AC$1005:$AS$1005,1,MATCH(COLUMNS($AC$1006:AR1006),$AC$1006:$AS$1006,0))&gt;=100000), " ",IF(INDEX($AC$2:$AS$1001,MATCH(ROWS($V$2:V193),$V$2:$V$1001,0),MATCH(COLUMNS($AC$1006:AR1006),$AC$1006:$AS$1006,0)), HYPERLINK("#",""), HYPERLINK(CONCATENATE("#Metadata!", ADDRESS(INDEX($X$2:$X$1001,MATCH(ROWS($V$2:V193),$V$2:$V$1001,0),0), INDEX($AC$1004:$AS$1004,1,MATCH(COLUMNS($AC$1006:AR1006),$AC$1006:$AS$1006,0)))),"Fix")))</f>
        <v>0</v>
      </c>
      <c r="R193" s="5">
        <f>IF(OR(INDEX($W$2:$W$1001,MATCH(ROWS($V$2:V193),$V$2:$V$1001,0),1)&gt;=100000,INDEX($AC$1005:$AS$1005,1,MATCH(COLUMNS($AC$1006:AS1006),$AC$1006:$AS$1006,0))&gt;=100000), " ",IF(INDEX($AC$2:$AS$1001,MATCH(ROWS($V$2:V193),$V$2:$V$1001,0),MATCH(COLUMNS($AC$1006:AS1006),$AC$1006:$AS$1006,0)), HYPERLINK("#",""), HYPERLINK(CONCATENATE("#Metadata!", ADDRESS(INDEX($X$2:$X$1001,MATCH(ROWS($V$2:V193),$V$2:$V$1001,0),0), INDEX($AC$1004:$AS$1004,1,MATCH(COLUMNS($AC$1006:AS1006),$AC$1006:$AS$1006,0)))),"Fix")))</f>
        <v>0</v>
      </c>
      <c r="V193">
        <v>0</v>
      </c>
      <c r="W193">
        <v>0</v>
      </c>
      <c r="X193">
        <v>0</v>
      </c>
      <c r="Y193">
        <f>IF(Z193,TRUE,AND(AC193:AS193))</f>
        <v>0</v>
      </c>
      <c r="Z193">
        <f>COUNTBLANK(Metadata!B193:R193)=COLUMNS(Metadata!B193:R193)</f>
        <v>0</v>
      </c>
      <c r="AA193">
        <v>0</v>
      </c>
      <c r="AC193">
        <f>AND(IF(Metadata!B193="",FALSE,TRUE),COUNTIF(Metadata!B:B, Metadata!B193) = 1,NOT(ISERROR(SUMPRODUCT(SEARCH(MID(Metadata!B193,ROW(INDIRECT("1:"&amp;LEN(Metadata!B193))), 1),"0123456789abcdefghijklmnopqrstuvwxyzABCDEFGHIJKLMNOPQRSTUVWXYZ.")))))</f>
        <v>0</v>
      </c>
      <c r="AD193">
        <f>AND(IF(Metadata!C193="",FALSE,TRUE),exact(Metadata!C193,"Host-associated"))</f>
        <v>0</v>
      </c>
      <c r="AE193">
        <f>AND(IF(Metadata!D193="",FALSE,TRUE),OR(exact(Metadata!D193,"Animal"),exact(Metadata!D193,"Fungus"),exact(Metadata!D193,"Plant")))</f>
        <v>0</v>
      </c>
      <c r="AF193">
        <f>AND(IF(Metadata!E193="",FALSE,TRUE),OR(exact(Metadata!E193,"Plant secretion"),exact(Metadata!E193,"Plant rhizosphere"),exact(Metadata!E193,"Plant surface"),exact(Metadata!E193,"Plant corpus"),exact(Metadata!E193,"Fungus surface"),exact(Metadata!E193,"Fungus corpus"),exact(Metadata!E193,"Animal surface"),exact(Metadata!E193,"Animal proximal gut"),exact(Metadata!E193,"Animal corpus"),exact(Metadata!E193,"Animal distal gut"),exact(Metadata!E193,"Animal secretion")))</f>
        <v>0</v>
      </c>
      <c r="AG193">
        <f>OR(AND(IF(Metadata!F193="",FALSE,TRUE),OR(exact(Metadata!F193,"not collected"),exact(Metadata!F193,"not provided"),exact(Metadata!F193,"restricted access"))),AND(IF(Metadata!F193="",FALSE,TRUE),OR(exact(Metadata!F193,"organism-associated habitat"),exact(Metadata!F193,"plant-associated habitat"),exact(Metadata!F193,"animal-associated habitat"),exact(Metadata!F193,"insecta-associated habitat"),exact(Metadata!F193,"mammalia-associated habitat"),exact(Metadata!F193,"human-associated habitat"),exact(Metadata!F193,"livestock-associated habitat"))))</f>
        <v>0</v>
      </c>
      <c r="AH193">
        <f>AND(IF(Metadata!G193="",FALSE,TRUE),exact(Metadata!G193,"host-associated"))</f>
        <v>0</v>
      </c>
      <c r="AI193">
        <f>OR(AND(IF(Metadata!H193="",FALSE,TRUE),OR(exact(Metadata!H193,"not collected"),exact(Metadata!H193,"not provided"))),AND(IF(Metadata!H193="",FALSE,ISNUMBER(VALUE(Metadata!H193))),Metadata!H193&gt;0))</f>
        <v>0</v>
      </c>
      <c r="AJ193">
        <f>AND(IF(Metadata!I193="",FALSE,TRUE),exact(Metadata!I193,"years"))</f>
        <v>0</v>
      </c>
      <c r="AK193">
        <f>IF(Metadata!J193="",FALSE,TRUE)</f>
        <v>0</v>
      </c>
      <c r="AL193">
        <f>OR(AND(IF(Metadata!K193="",FALSE,TRUE),OR(exact(Metadata!K193,"not collected"),exact(Metadata!K193,"not provided"))),AND(IF(Metadata!K193="",FALSE,ISNUMBER(VALUE(Metadata!K193))),Metadata!K193&gt;0))</f>
        <v>0</v>
      </c>
      <c r="AM193">
        <f>AND(IF(Metadata!L193="",FALSE,TRUE),exact(Metadata!L193,"cm"))</f>
        <v>0</v>
      </c>
      <c r="AN193">
        <f>IF(Metadata!M193="",FALSE,TRUE)</f>
        <v>0</v>
      </c>
      <c r="AO193">
        <f>OR(AND(IF(Metadata!N193="",FALSE,TRUE),OR(exact(Metadata!N193,"not applicable"),exact(Metadata!N193,"not collected"),exact(Metadata!N193,"not provided"))),AND(IF(Metadata!N193="",FALSE,IF(ISERROR(INT(Metadata!N193)),FALSE,INT(Metadata!N193)=Metadata!N193)),Metadata!N193&gt;0))</f>
        <v>0</v>
      </c>
      <c r="AP193">
        <f>OR(AND(IF(Metadata!O193="",FALSE,TRUE),OR(exact(Metadata!O193,"not collected"),exact(Metadata!O193,"not provided"))),AND(IF(Metadata!O193="",FALSE,ISNUMBER(VALUE(Metadata!O193))),Metadata!O193&gt;0))</f>
        <v>0</v>
      </c>
      <c r="AQ193">
        <f>AND(IF(Metadata!P193="",FALSE,TRUE),exact(Metadata!P193,"kg"))</f>
        <v>0</v>
      </c>
      <c r="AR193">
        <f>OR(AND(IF(Metadata!Q193="",FALSE,TRUE),OR(exact(Metadata!Q193,"not applicable"),exact(Metadata!Q193,"not collected"),exact(Metadata!Q193,"not provided"),exact(Metadata!Q193,"restricted access"))),IF(Metadata!Q193="",FALSE,IF(ISERROR(INT(Metadata!Q193)),FALSE,INT(Metadata!Q193)=Metadata!Q193)))</f>
        <v>0</v>
      </c>
      <c r="AS193">
        <f>AND(IF(Metadata!R193="",FALSE,TRUE),exact(Metadata!R193,"Not applicable"))</f>
        <v>0</v>
      </c>
    </row>
    <row r="194" spans="1:45">
      <c r="A194" s="4">
        <f>IF(B194=" "," ",HYPERLINK(CONCATENATE("#metadata!",ADDRESS(INDEX($X$2:$X$1001,MATCH(ROWS($V$2:V194),$V$2:$V$1001,0),0),2)),INDEX($AA$2:$AA$1001,MATCH(ROWS($V$2:V194),$V$2:$V$1001,0),0)))</f>
        <v>0</v>
      </c>
      <c r="B194" s="5">
        <f>IF(OR(INDEX($W$2:$W$1001,MATCH(ROWS($V$2:V194),$V$2:$V$1001,0),1)&gt;=100000,INDEX($AC$1005:$AS$1005,1,MATCH(COLUMNS($AC$1006:AC1006),$AC$1006:$AS$1006,0))&gt;=100000), " ",IF(INDEX($AC$2:$AS$1001,MATCH(ROWS($V$2:V194),$V$2:$V$1001,0),MATCH(COLUMNS($AC$1006:AC1006),$AC$1006:$AS$1006,0)), HYPERLINK("#",""), HYPERLINK(CONCATENATE("#Metadata!", ADDRESS(INDEX($X$2:$X$1001,MATCH(ROWS($V$2:V194),$V$2:$V$1001,0),0), INDEX($AC$1004:$AS$1004,1,MATCH(COLUMNS($AC$1006:AC1006),$AC$1006:$AS$1006,0)))),"Fix")))</f>
        <v>0</v>
      </c>
      <c r="C194" s="5">
        <f>IF(OR(INDEX($W$2:$W$1001,MATCH(ROWS($V$2:V194),$V$2:$V$1001,0),1)&gt;=100000,INDEX($AC$1005:$AS$1005,1,MATCH(COLUMNS($AC$1006:AD1006),$AC$1006:$AS$1006,0))&gt;=100000), " ",IF(INDEX($AC$2:$AS$1001,MATCH(ROWS($V$2:V194),$V$2:$V$1001,0),MATCH(COLUMNS($AC$1006:AD1006),$AC$1006:$AS$1006,0)), HYPERLINK("#",""), HYPERLINK(CONCATENATE("#Metadata!", ADDRESS(INDEX($X$2:$X$1001,MATCH(ROWS($V$2:V194),$V$2:$V$1001,0),0), INDEX($AC$1004:$AS$1004,1,MATCH(COLUMNS($AC$1006:AD1006),$AC$1006:$AS$1006,0)))),"Fix")))</f>
        <v>0</v>
      </c>
      <c r="D194" s="5">
        <f>IF(OR(INDEX($W$2:$W$1001,MATCH(ROWS($V$2:V194),$V$2:$V$1001,0),1)&gt;=100000,INDEX($AC$1005:$AS$1005,1,MATCH(COLUMNS($AC$1006:AE1006),$AC$1006:$AS$1006,0))&gt;=100000), " ",IF(INDEX($AC$2:$AS$1001,MATCH(ROWS($V$2:V194),$V$2:$V$1001,0),MATCH(COLUMNS($AC$1006:AE1006),$AC$1006:$AS$1006,0)), HYPERLINK("#",""), HYPERLINK(CONCATENATE("#Metadata!", ADDRESS(INDEX($X$2:$X$1001,MATCH(ROWS($V$2:V194),$V$2:$V$1001,0),0), INDEX($AC$1004:$AS$1004,1,MATCH(COLUMNS($AC$1006:AE1006),$AC$1006:$AS$1006,0)))),"Fix")))</f>
        <v>0</v>
      </c>
      <c r="E194" s="5">
        <f>IF(OR(INDEX($W$2:$W$1001,MATCH(ROWS($V$2:V194),$V$2:$V$1001,0),1)&gt;=100000,INDEX($AC$1005:$AS$1005,1,MATCH(COLUMNS($AC$1006:AF1006),$AC$1006:$AS$1006,0))&gt;=100000), " ",IF(INDEX($AC$2:$AS$1001,MATCH(ROWS($V$2:V194),$V$2:$V$1001,0),MATCH(COLUMNS($AC$1006:AF1006),$AC$1006:$AS$1006,0)), HYPERLINK("#",""), HYPERLINK(CONCATENATE("#Metadata!", ADDRESS(INDEX($X$2:$X$1001,MATCH(ROWS($V$2:V194),$V$2:$V$1001,0),0), INDEX($AC$1004:$AS$1004,1,MATCH(COLUMNS($AC$1006:AF1006),$AC$1006:$AS$1006,0)))),"Fix")))</f>
        <v>0</v>
      </c>
      <c r="F194" s="5">
        <f>IF(OR(INDEX($W$2:$W$1001,MATCH(ROWS($V$2:V194),$V$2:$V$1001,0),1)&gt;=100000,INDEX($AC$1005:$AS$1005,1,MATCH(COLUMNS($AC$1006:AG1006),$AC$1006:$AS$1006,0))&gt;=100000), " ",IF(INDEX($AC$2:$AS$1001,MATCH(ROWS($V$2:V194),$V$2:$V$1001,0),MATCH(COLUMNS($AC$1006:AG1006),$AC$1006:$AS$1006,0)), HYPERLINK("#",""), HYPERLINK(CONCATENATE("#Metadata!", ADDRESS(INDEX($X$2:$X$1001,MATCH(ROWS($V$2:V194),$V$2:$V$1001,0),0), INDEX($AC$1004:$AS$1004,1,MATCH(COLUMNS($AC$1006:AG1006),$AC$1006:$AS$1006,0)))),"Fix")))</f>
        <v>0</v>
      </c>
      <c r="G194" s="5">
        <f>IF(OR(INDEX($W$2:$W$1001,MATCH(ROWS($V$2:V194),$V$2:$V$1001,0),1)&gt;=100000,INDEX($AC$1005:$AS$1005,1,MATCH(COLUMNS($AC$1006:AH1006),$AC$1006:$AS$1006,0))&gt;=100000), " ",IF(INDEX($AC$2:$AS$1001,MATCH(ROWS($V$2:V194),$V$2:$V$1001,0),MATCH(COLUMNS($AC$1006:AH1006),$AC$1006:$AS$1006,0)), HYPERLINK("#",""), HYPERLINK(CONCATENATE("#Metadata!", ADDRESS(INDEX($X$2:$X$1001,MATCH(ROWS($V$2:V194),$V$2:$V$1001,0),0), INDEX($AC$1004:$AS$1004,1,MATCH(COLUMNS($AC$1006:AH1006),$AC$1006:$AS$1006,0)))),"Fix")))</f>
        <v>0</v>
      </c>
      <c r="H194" s="5">
        <f>IF(OR(INDEX($W$2:$W$1001,MATCH(ROWS($V$2:V194),$V$2:$V$1001,0),1)&gt;=100000,INDEX($AC$1005:$AS$1005,1,MATCH(COLUMNS($AC$1006:AI1006),$AC$1006:$AS$1006,0))&gt;=100000), " ",IF(INDEX($AC$2:$AS$1001,MATCH(ROWS($V$2:V194),$V$2:$V$1001,0),MATCH(COLUMNS($AC$1006:AI1006),$AC$1006:$AS$1006,0)), HYPERLINK("#",""), HYPERLINK(CONCATENATE("#Metadata!", ADDRESS(INDEX($X$2:$X$1001,MATCH(ROWS($V$2:V194),$V$2:$V$1001,0),0), INDEX($AC$1004:$AS$1004,1,MATCH(COLUMNS($AC$1006:AI1006),$AC$1006:$AS$1006,0)))),"Fix")))</f>
        <v>0</v>
      </c>
      <c r="I194" s="5">
        <f>IF(OR(INDEX($W$2:$W$1001,MATCH(ROWS($V$2:V194),$V$2:$V$1001,0),1)&gt;=100000,INDEX($AC$1005:$AS$1005,1,MATCH(COLUMNS($AC$1006:AJ1006),$AC$1006:$AS$1006,0))&gt;=100000), " ",IF(INDEX($AC$2:$AS$1001,MATCH(ROWS($V$2:V194),$V$2:$V$1001,0),MATCH(COLUMNS($AC$1006:AJ1006),$AC$1006:$AS$1006,0)), HYPERLINK("#",""), HYPERLINK(CONCATENATE("#Metadata!", ADDRESS(INDEX($X$2:$X$1001,MATCH(ROWS($V$2:V194),$V$2:$V$1001,0),0), INDEX($AC$1004:$AS$1004,1,MATCH(COLUMNS($AC$1006:AJ1006),$AC$1006:$AS$1006,0)))),"Fix")))</f>
        <v>0</v>
      </c>
      <c r="J194" s="5">
        <f>IF(OR(INDEX($W$2:$W$1001,MATCH(ROWS($V$2:V194),$V$2:$V$1001,0),1)&gt;=100000,INDEX($AC$1005:$AS$1005,1,MATCH(COLUMNS($AC$1006:AK1006),$AC$1006:$AS$1006,0))&gt;=100000), " ",IF(INDEX($AC$2:$AS$1001,MATCH(ROWS($V$2:V194),$V$2:$V$1001,0),MATCH(COLUMNS($AC$1006:AK1006),$AC$1006:$AS$1006,0)), HYPERLINK("#",""), HYPERLINK(CONCATENATE("#Metadata!", ADDRESS(INDEX($X$2:$X$1001,MATCH(ROWS($V$2:V194),$V$2:$V$1001,0),0), INDEX($AC$1004:$AS$1004,1,MATCH(COLUMNS($AC$1006:AK1006),$AC$1006:$AS$1006,0)))),"Fix")))</f>
        <v>0</v>
      </c>
      <c r="K194" s="5">
        <f>IF(OR(INDEX($W$2:$W$1001,MATCH(ROWS($V$2:V194),$V$2:$V$1001,0),1)&gt;=100000,INDEX($AC$1005:$AS$1005,1,MATCH(COLUMNS($AC$1006:AL1006),$AC$1006:$AS$1006,0))&gt;=100000), " ",IF(INDEX($AC$2:$AS$1001,MATCH(ROWS($V$2:V194),$V$2:$V$1001,0),MATCH(COLUMNS($AC$1006:AL1006),$AC$1006:$AS$1006,0)), HYPERLINK("#",""), HYPERLINK(CONCATENATE("#Metadata!", ADDRESS(INDEX($X$2:$X$1001,MATCH(ROWS($V$2:V194),$V$2:$V$1001,0),0), INDEX($AC$1004:$AS$1004,1,MATCH(COLUMNS($AC$1006:AL1006),$AC$1006:$AS$1006,0)))),"Fix")))</f>
        <v>0</v>
      </c>
      <c r="L194" s="5">
        <f>IF(OR(INDEX($W$2:$W$1001,MATCH(ROWS($V$2:V194),$V$2:$V$1001,0),1)&gt;=100000,INDEX($AC$1005:$AS$1005,1,MATCH(COLUMNS($AC$1006:AM1006),$AC$1006:$AS$1006,0))&gt;=100000), " ",IF(INDEX($AC$2:$AS$1001,MATCH(ROWS($V$2:V194),$V$2:$V$1001,0),MATCH(COLUMNS($AC$1006:AM1006),$AC$1006:$AS$1006,0)), HYPERLINK("#",""), HYPERLINK(CONCATENATE("#Metadata!", ADDRESS(INDEX($X$2:$X$1001,MATCH(ROWS($V$2:V194),$V$2:$V$1001,0),0), INDEX($AC$1004:$AS$1004,1,MATCH(COLUMNS($AC$1006:AM1006),$AC$1006:$AS$1006,0)))),"Fix")))</f>
        <v>0</v>
      </c>
      <c r="M194" s="5">
        <f>IF(OR(INDEX($W$2:$W$1001,MATCH(ROWS($V$2:V194),$V$2:$V$1001,0),1)&gt;=100000,INDEX($AC$1005:$AS$1005,1,MATCH(COLUMNS($AC$1006:AN1006),$AC$1006:$AS$1006,0))&gt;=100000), " ",IF(INDEX($AC$2:$AS$1001,MATCH(ROWS($V$2:V194),$V$2:$V$1001,0),MATCH(COLUMNS($AC$1006:AN1006),$AC$1006:$AS$1006,0)), HYPERLINK("#",""), HYPERLINK(CONCATENATE("#Metadata!", ADDRESS(INDEX($X$2:$X$1001,MATCH(ROWS($V$2:V194),$V$2:$V$1001,0),0), INDEX($AC$1004:$AS$1004,1,MATCH(COLUMNS($AC$1006:AN1006),$AC$1006:$AS$1006,0)))),"Fix")))</f>
        <v>0</v>
      </c>
      <c r="N194" s="5">
        <f>IF(OR(INDEX($W$2:$W$1001,MATCH(ROWS($V$2:V194),$V$2:$V$1001,0),1)&gt;=100000,INDEX($AC$1005:$AS$1005,1,MATCH(COLUMNS($AC$1006:AO1006),$AC$1006:$AS$1006,0))&gt;=100000), " ",IF(INDEX($AC$2:$AS$1001,MATCH(ROWS($V$2:V194),$V$2:$V$1001,0),MATCH(COLUMNS($AC$1006:AO1006),$AC$1006:$AS$1006,0)), HYPERLINK("#",""), HYPERLINK(CONCATENATE("#Metadata!", ADDRESS(INDEX($X$2:$X$1001,MATCH(ROWS($V$2:V194),$V$2:$V$1001,0),0), INDEX($AC$1004:$AS$1004,1,MATCH(COLUMNS($AC$1006:AO1006),$AC$1006:$AS$1006,0)))),"Fix")))</f>
        <v>0</v>
      </c>
      <c r="O194" s="5">
        <f>IF(OR(INDEX($W$2:$W$1001,MATCH(ROWS($V$2:V194),$V$2:$V$1001,0),1)&gt;=100000,INDEX($AC$1005:$AS$1005,1,MATCH(COLUMNS($AC$1006:AP1006),$AC$1006:$AS$1006,0))&gt;=100000), " ",IF(INDEX($AC$2:$AS$1001,MATCH(ROWS($V$2:V194),$V$2:$V$1001,0),MATCH(COLUMNS($AC$1006:AP1006),$AC$1006:$AS$1006,0)), HYPERLINK("#",""), HYPERLINK(CONCATENATE("#Metadata!", ADDRESS(INDEX($X$2:$X$1001,MATCH(ROWS($V$2:V194),$V$2:$V$1001,0),0), INDEX($AC$1004:$AS$1004,1,MATCH(COLUMNS($AC$1006:AP1006),$AC$1006:$AS$1006,0)))),"Fix")))</f>
        <v>0</v>
      </c>
      <c r="P194" s="5">
        <f>IF(OR(INDEX($W$2:$W$1001,MATCH(ROWS($V$2:V194),$V$2:$V$1001,0),1)&gt;=100000,INDEX($AC$1005:$AS$1005,1,MATCH(COLUMNS($AC$1006:AQ1006),$AC$1006:$AS$1006,0))&gt;=100000), " ",IF(INDEX($AC$2:$AS$1001,MATCH(ROWS($V$2:V194),$V$2:$V$1001,0),MATCH(COLUMNS($AC$1006:AQ1006),$AC$1006:$AS$1006,0)), HYPERLINK("#",""), HYPERLINK(CONCATENATE("#Metadata!", ADDRESS(INDEX($X$2:$X$1001,MATCH(ROWS($V$2:V194),$V$2:$V$1001,0),0), INDEX($AC$1004:$AS$1004,1,MATCH(COLUMNS($AC$1006:AQ1006),$AC$1006:$AS$1006,0)))),"Fix")))</f>
        <v>0</v>
      </c>
      <c r="Q194" s="5">
        <f>IF(OR(INDEX($W$2:$W$1001,MATCH(ROWS($V$2:V194),$V$2:$V$1001,0),1)&gt;=100000,INDEX($AC$1005:$AS$1005,1,MATCH(COLUMNS($AC$1006:AR1006),$AC$1006:$AS$1006,0))&gt;=100000), " ",IF(INDEX($AC$2:$AS$1001,MATCH(ROWS($V$2:V194),$V$2:$V$1001,0),MATCH(COLUMNS($AC$1006:AR1006),$AC$1006:$AS$1006,0)), HYPERLINK("#",""), HYPERLINK(CONCATENATE("#Metadata!", ADDRESS(INDEX($X$2:$X$1001,MATCH(ROWS($V$2:V194),$V$2:$V$1001,0),0), INDEX($AC$1004:$AS$1004,1,MATCH(COLUMNS($AC$1006:AR1006),$AC$1006:$AS$1006,0)))),"Fix")))</f>
        <v>0</v>
      </c>
      <c r="R194" s="5">
        <f>IF(OR(INDEX($W$2:$W$1001,MATCH(ROWS($V$2:V194),$V$2:$V$1001,0),1)&gt;=100000,INDEX($AC$1005:$AS$1005,1,MATCH(COLUMNS($AC$1006:AS1006),$AC$1006:$AS$1006,0))&gt;=100000), " ",IF(INDEX($AC$2:$AS$1001,MATCH(ROWS($V$2:V194),$V$2:$V$1001,0),MATCH(COLUMNS($AC$1006:AS1006),$AC$1006:$AS$1006,0)), HYPERLINK("#",""), HYPERLINK(CONCATENATE("#Metadata!", ADDRESS(INDEX($X$2:$X$1001,MATCH(ROWS($V$2:V194),$V$2:$V$1001,0),0), INDEX($AC$1004:$AS$1004,1,MATCH(COLUMNS($AC$1006:AS1006),$AC$1006:$AS$1006,0)))),"Fix")))</f>
        <v>0</v>
      </c>
      <c r="V194">
        <v>0</v>
      </c>
      <c r="W194">
        <v>0</v>
      </c>
      <c r="X194">
        <v>0</v>
      </c>
      <c r="Y194">
        <f>IF(Z194,TRUE,AND(AC194:AS194))</f>
        <v>0</v>
      </c>
      <c r="Z194">
        <f>COUNTBLANK(Metadata!B194:R194)=COLUMNS(Metadata!B194:R194)</f>
        <v>0</v>
      </c>
      <c r="AA194">
        <v>0</v>
      </c>
      <c r="AC194">
        <f>AND(IF(Metadata!B194="",FALSE,TRUE),COUNTIF(Metadata!B:B, Metadata!B194) = 1,NOT(ISERROR(SUMPRODUCT(SEARCH(MID(Metadata!B194,ROW(INDIRECT("1:"&amp;LEN(Metadata!B194))), 1),"0123456789abcdefghijklmnopqrstuvwxyzABCDEFGHIJKLMNOPQRSTUVWXYZ.")))))</f>
        <v>0</v>
      </c>
      <c r="AD194">
        <f>AND(IF(Metadata!C194="",FALSE,TRUE),exact(Metadata!C194,"Host-associated"))</f>
        <v>0</v>
      </c>
      <c r="AE194">
        <f>AND(IF(Metadata!D194="",FALSE,TRUE),OR(exact(Metadata!D194,"Animal"),exact(Metadata!D194,"Fungus"),exact(Metadata!D194,"Plant")))</f>
        <v>0</v>
      </c>
      <c r="AF194">
        <f>AND(IF(Metadata!E194="",FALSE,TRUE),OR(exact(Metadata!E194,"Plant secretion"),exact(Metadata!E194,"Plant rhizosphere"),exact(Metadata!E194,"Plant surface"),exact(Metadata!E194,"Plant corpus"),exact(Metadata!E194,"Fungus surface"),exact(Metadata!E194,"Fungus corpus"),exact(Metadata!E194,"Animal surface"),exact(Metadata!E194,"Animal proximal gut"),exact(Metadata!E194,"Animal corpus"),exact(Metadata!E194,"Animal distal gut"),exact(Metadata!E194,"Animal secretion")))</f>
        <v>0</v>
      </c>
      <c r="AG194">
        <f>OR(AND(IF(Metadata!F194="",FALSE,TRUE),OR(exact(Metadata!F194,"not collected"),exact(Metadata!F194,"not provided"),exact(Metadata!F194,"restricted access"))),AND(IF(Metadata!F194="",FALSE,TRUE),OR(exact(Metadata!F194,"organism-associated habitat"),exact(Metadata!F194,"plant-associated habitat"),exact(Metadata!F194,"animal-associated habitat"),exact(Metadata!F194,"insecta-associated habitat"),exact(Metadata!F194,"mammalia-associated habitat"),exact(Metadata!F194,"human-associated habitat"),exact(Metadata!F194,"livestock-associated habitat"))))</f>
        <v>0</v>
      </c>
      <c r="AH194">
        <f>AND(IF(Metadata!G194="",FALSE,TRUE),exact(Metadata!G194,"host-associated"))</f>
        <v>0</v>
      </c>
      <c r="AI194">
        <f>OR(AND(IF(Metadata!H194="",FALSE,TRUE),OR(exact(Metadata!H194,"not collected"),exact(Metadata!H194,"not provided"))),AND(IF(Metadata!H194="",FALSE,ISNUMBER(VALUE(Metadata!H194))),Metadata!H194&gt;0))</f>
        <v>0</v>
      </c>
      <c r="AJ194">
        <f>AND(IF(Metadata!I194="",FALSE,TRUE),exact(Metadata!I194,"years"))</f>
        <v>0</v>
      </c>
      <c r="AK194">
        <f>IF(Metadata!J194="",FALSE,TRUE)</f>
        <v>0</v>
      </c>
      <c r="AL194">
        <f>OR(AND(IF(Metadata!K194="",FALSE,TRUE),OR(exact(Metadata!K194,"not collected"),exact(Metadata!K194,"not provided"))),AND(IF(Metadata!K194="",FALSE,ISNUMBER(VALUE(Metadata!K194))),Metadata!K194&gt;0))</f>
        <v>0</v>
      </c>
      <c r="AM194">
        <f>AND(IF(Metadata!L194="",FALSE,TRUE),exact(Metadata!L194,"cm"))</f>
        <v>0</v>
      </c>
      <c r="AN194">
        <f>IF(Metadata!M194="",FALSE,TRUE)</f>
        <v>0</v>
      </c>
      <c r="AO194">
        <f>OR(AND(IF(Metadata!N194="",FALSE,TRUE),OR(exact(Metadata!N194,"not applicable"),exact(Metadata!N194,"not collected"),exact(Metadata!N194,"not provided"))),AND(IF(Metadata!N194="",FALSE,IF(ISERROR(INT(Metadata!N194)),FALSE,INT(Metadata!N194)=Metadata!N194)),Metadata!N194&gt;0))</f>
        <v>0</v>
      </c>
      <c r="AP194">
        <f>OR(AND(IF(Metadata!O194="",FALSE,TRUE),OR(exact(Metadata!O194,"not collected"),exact(Metadata!O194,"not provided"))),AND(IF(Metadata!O194="",FALSE,ISNUMBER(VALUE(Metadata!O194))),Metadata!O194&gt;0))</f>
        <v>0</v>
      </c>
      <c r="AQ194">
        <f>AND(IF(Metadata!P194="",FALSE,TRUE),exact(Metadata!P194,"kg"))</f>
        <v>0</v>
      </c>
      <c r="AR194">
        <f>OR(AND(IF(Metadata!Q194="",FALSE,TRUE),OR(exact(Metadata!Q194,"not applicable"),exact(Metadata!Q194,"not collected"),exact(Metadata!Q194,"not provided"),exact(Metadata!Q194,"restricted access"))),IF(Metadata!Q194="",FALSE,IF(ISERROR(INT(Metadata!Q194)),FALSE,INT(Metadata!Q194)=Metadata!Q194)))</f>
        <v>0</v>
      </c>
      <c r="AS194">
        <f>AND(IF(Metadata!R194="",FALSE,TRUE),exact(Metadata!R194,"Not applicable"))</f>
        <v>0</v>
      </c>
    </row>
    <row r="195" spans="1:45">
      <c r="A195" s="4">
        <f>IF(B195=" "," ",HYPERLINK(CONCATENATE("#metadata!",ADDRESS(INDEX($X$2:$X$1001,MATCH(ROWS($V$2:V195),$V$2:$V$1001,0),0),2)),INDEX($AA$2:$AA$1001,MATCH(ROWS($V$2:V195),$V$2:$V$1001,0),0)))</f>
        <v>0</v>
      </c>
      <c r="B195" s="5">
        <f>IF(OR(INDEX($W$2:$W$1001,MATCH(ROWS($V$2:V195),$V$2:$V$1001,0),1)&gt;=100000,INDEX($AC$1005:$AS$1005,1,MATCH(COLUMNS($AC$1006:AC1006),$AC$1006:$AS$1006,0))&gt;=100000), " ",IF(INDEX($AC$2:$AS$1001,MATCH(ROWS($V$2:V195),$V$2:$V$1001,0),MATCH(COLUMNS($AC$1006:AC1006),$AC$1006:$AS$1006,0)), HYPERLINK("#",""), HYPERLINK(CONCATENATE("#Metadata!", ADDRESS(INDEX($X$2:$X$1001,MATCH(ROWS($V$2:V195),$V$2:$V$1001,0),0), INDEX($AC$1004:$AS$1004,1,MATCH(COLUMNS($AC$1006:AC1006),$AC$1006:$AS$1006,0)))),"Fix")))</f>
        <v>0</v>
      </c>
      <c r="C195" s="5">
        <f>IF(OR(INDEX($W$2:$W$1001,MATCH(ROWS($V$2:V195),$V$2:$V$1001,0),1)&gt;=100000,INDEX($AC$1005:$AS$1005,1,MATCH(COLUMNS($AC$1006:AD1006),$AC$1006:$AS$1006,0))&gt;=100000), " ",IF(INDEX($AC$2:$AS$1001,MATCH(ROWS($V$2:V195),$V$2:$V$1001,0),MATCH(COLUMNS($AC$1006:AD1006),$AC$1006:$AS$1006,0)), HYPERLINK("#",""), HYPERLINK(CONCATENATE("#Metadata!", ADDRESS(INDEX($X$2:$X$1001,MATCH(ROWS($V$2:V195),$V$2:$V$1001,0),0), INDEX($AC$1004:$AS$1004,1,MATCH(COLUMNS($AC$1006:AD1006),$AC$1006:$AS$1006,0)))),"Fix")))</f>
        <v>0</v>
      </c>
      <c r="D195" s="5">
        <f>IF(OR(INDEX($W$2:$W$1001,MATCH(ROWS($V$2:V195),$V$2:$V$1001,0),1)&gt;=100000,INDEX($AC$1005:$AS$1005,1,MATCH(COLUMNS($AC$1006:AE1006),$AC$1006:$AS$1006,0))&gt;=100000), " ",IF(INDEX($AC$2:$AS$1001,MATCH(ROWS($V$2:V195),$V$2:$V$1001,0),MATCH(COLUMNS($AC$1006:AE1006),$AC$1006:$AS$1006,0)), HYPERLINK("#",""), HYPERLINK(CONCATENATE("#Metadata!", ADDRESS(INDEX($X$2:$X$1001,MATCH(ROWS($V$2:V195),$V$2:$V$1001,0),0), INDEX($AC$1004:$AS$1004,1,MATCH(COLUMNS($AC$1006:AE1006),$AC$1006:$AS$1006,0)))),"Fix")))</f>
        <v>0</v>
      </c>
      <c r="E195" s="5">
        <f>IF(OR(INDEX($W$2:$W$1001,MATCH(ROWS($V$2:V195),$V$2:$V$1001,0),1)&gt;=100000,INDEX($AC$1005:$AS$1005,1,MATCH(COLUMNS($AC$1006:AF1006),$AC$1006:$AS$1006,0))&gt;=100000), " ",IF(INDEX($AC$2:$AS$1001,MATCH(ROWS($V$2:V195),$V$2:$V$1001,0),MATCH(COLUMNS($AC$1006:AF1006),$AC$1006:$AS$1006,0)), HYPERLINK("#",""), HYPERLINK(CONCATENATE("#Metadata!", ADDRESS(INDEX($X$2:$X$1001,MATCH(ROWS($V$2:V195),$V$2:$V$1001,0),0), INDEX($AC$1004:$AS$1004,1,MATCH(COLUMNS($AC$1006:AF1006),$AC$1006:$AS$1006,0)))),"Fix")))</f>
        <v>0</v>
      </c>
      <c r="F195" s="5">
        <f>IF(OR(INDEX($W$2:$W$1001,MATCH(ROWS($V$2:V195),$V$2:$V$1001,0),1)&gt;=100000,INDEX($AC$1005:$AS$1005,1,MATCH(COLUMNS($AC$1006:AG1006),$AC$1006:$AS$1006,0))&gt;=100000), " ",IF(INDEX($AC$2:$AS$1001,MATCH(ROWS($V$2:V195),$V$2:$V$1001,0),MATCH(COLUMNS($AC$1006:AG1006),$AC$1006:$AS$1006,0)), HYPERLINK("#",""), HYPERLINK(CONCATENATE("#Metadata!", ADDRESS(INDEX($X$2:$X$1001,MATCH(ROWS($V$2:V195),$V$2:$V$1001,0),0), INDEX($AC$1004:$AS$1004,1,MATCH(COLUMNS($AC$1006:AG1006),$AC$1006:$AS$1006,0)))),"Fix")))</f>
        <v>0</v>
      </c>
      <c r="G195" s="5">
        <f>IF(OR(INDEX($W$2:$W$1001,MATCH(ROWS($V$2:V195),$V$2:$V$1001,0),1)&gt;=100000,INDEX($AC$1005:$AS$1005,1,MATCH(COLUMNS($AC$1006:AH1006),$AC$1006:$AS$1006,0))&gt;=100000), " ",IF(INDEX($AC$2:$AS$1001,MATCH(ROWS($V$2:V195),$V$2:$V$1001,0),MATCH(COLUMNS($AC$1006:AH1006),$AC$1006:$AS$1006,0)), HYPERLINK("#",""), HYPERLINK(CONCATENATE("#Metadata!", ADDRESS(INDEX($X$2:$X$1001,MATCH(ROWS($V$2:V195),$V$2:$V$1001,0),0), INDEX($AC$1004:$AS$1004,1,MATCH(COLUMNS($AC$1006:AH1006),$AC$1006:$AS$1006,0)))),"Fix")))</f>
        <v>0</v>
      </c>
      <c r="H195" s="5">
        <f>IF(OR(INDEX($W$2:$W$1001,MATCH(ROWS($V$2:V195),$V$2:$V$1001,0),1)&gt;=100000,INDEX($AC$1005:$AS$1005,1,MATCH(COLUMNS($AC$1006:AI1006),$AC$1006:$AS$1006,0))&gt;=100000), " ",IF(INDEX($AC$2:$AS$1001,MATCH(ROWS($V$2:V195),$V$2:$V$1001,0),MATCH(COLUMNS($AC$1006:AI1006),$AC$1006:$AS$1006,0)), HYPERLINK("#",""), HYPERLINK(CONCATENATE("#Metadata!", ADDRESS(INDEX($X$2:$X$1001,MATCH(ROWS($V$2:V195),$V$2:$V$1001,0),0), INDEX($AC$1004:$AS$1004,1,MATCH(COLUMNS($AC$1006:AI1006),$AC$1006:$AS$1006,0)))),"Fix")))</f>
        <v>0</v>
      </c>
      <c r="I195" s="5">
        <f>IF(OR(INDEX($W$2:$W$1001,MATCH(ROWS($V$2:V195),$V$2:$V$1001,0),1)&gt;=100000,INDEX($AC$1005:$AS$1005,1,MATCH(COLUMNS($AC$1006:AJ1006),$AC$1006:$AS$1006,0))&gt;=100000), " ",IF(INDEX($AC$2:$AS$1001,MATCH(ROWS($V$2:V195),$V$2:$V$1001,0),MATCH(COLUMNS($AC$1006:AJ1006),$AC$1006:$AS$1006,0)), HYPERLINK("#",""), HYPERLINK(CONCATENATE("#Metadata!", ADDRESS(INDEX($X$2:$X$1001,MATCH(ROWS($V$2:V195),$V$2:$V$1001,0),0), INDEX($AC$1004:$AS$1004,1,MATCH(COLUMNS($AC$1006:AJ1006),$AC$1006:$AS$1006,0)))),"Fix")))</f>
        <v>0</v>
      </c>
      <c r="J195" s="5">
        <f>IF(OR(INDEX($W$2:$W$1001,MATCH(ROWS($V$2:V195),$V$2:$V$1001,0),1)&gt;=100000,INDEX($AC$1005:$AS$1005,1,MATCH(COLUMNS($AC$1006:AK1006),$AC$1006:$AS$1006,0))&gt;=100000), " ",IF(INDEX($AC$2:$AS$1001,MATCH(ROWS($V$2:V195),$V$2:$V$1001,0),MATCH(COLUMNS($AC$1006:AK1006),$AC$1006:$AS$1006,0)), HYPERLINK("#",""), HYPERLINK(CONCATENATE("#Metadata!", ADDRESS(INDEX($X$2:$X$1001,MATCH(ROWS($V$2:V195),$V$2:$V$1001,0),0), INDEX($AC$1004:$AS$1004,1,MATCH(COLUMNS($AC$1006:AK1006),$AC$1006:$AS$1006,0)))),"Fix")))</f>
        <v>0</v>
      </c>
      <c r="K195" s="5">
        <f>IF(OR(INDEX($W$2:$W$1001,MATCH(ROWS($V$2:V195),$V$2:$V$1001,0),1)&gt;=100000,INDEX($AC$1005:$AS$1005,1,MATCH(COLUMNS($AC$1006:AL1006),$AC$1006:$AS$1006,0))&gt;=100000), " ",IF(INDEX($AC$2:$AS$1001,MATCH(ROWS($V$2:V195),$V$2:$V$1001,0),MATCH(COLUMNS($AC$1006:AL1006),$AC$1006:$AS$1006,0)), HYPERLINK("#",""), HYPERLINK(CONCATENATE("#Metadata!", ADDRESS(INDEX($X$2:$X$1001,MATCH(ROWS($V$2:V195),$V$2:$V$1001,0),0), INDEX($AC$1004:$AS$1004,1,MATCH(COLUMNS($AC$1006:AL1006),$AC$1006:$AS$1006,0)))),"Fix")))</f>
        <v>0</v>
      </c>
      <c r="L195" s="5">
        <f>IF(OR(INDEX($W$2:$W$1001,MATCH(ROWS($V$2:V195),$V$2:$V$1001,0),1)&gt;=100000,INDEX($AC$1005:$AS$1005,1,MATCH(COLUMNS($AC$1006:AM1006),$AC$1006:$AS$1006,0))&gt;=100000), " ",IF(INDEX($AC$2:$AS$1001,MATCH(ROWS($V$2:V195),$V$2:$V$1001,0),MATCH(COLUMNS($AC$1006:AM1006),$AC$1006:$AS$1006,0)), HYPERLINK("#",""), HYPERLINK(CONCATENATE("#Metadata!", ADDRESS(INDEX($X$2:$X$1001,MATCH(ROWS($V$2:V195),$V$2:$V$1001,0),0), INDEX($AC$1004:$AS$1004,1,MATCH(COLUMNS($AC$1006:AM1006),$AC$1006:$AS$1006,0)))),"Fix")))</f>
        <v>0</v>
      </c>
      <c r="M195" s="5">
        <f>IF(OR(INDEX($W$2:$W$1001,MATCH(ROWS($V$2:V195),$V$2:$V$1001,0),1)&gt;=100000,INDEX($AC$1005:$AS$1005,1,MATCH(COLUMNS($AC$1006:AN1006),$AC$1006:$AS$1006,0))&gt;=100000), " ",IF(INDEX($AC$2:$AS$1001,MATCH(ROWS($V$2:V195),$V$2:$V$1001,0),MATCH(COLUMNS($AC$1006:AN1006),$AC$1006:$AS$1006,0)), HYPERLINK("#",""), HYPERLINK(CONCATENATE("#Metadata!", ADDRESS(INDEX($X$2:$X$1001,MATCH(ROWS($V$2:V195),$V$2:$V$1001,0),0), INDEX($AC$1004:$AS$1004,1,MATCH(COLUMNS($AC$1006:AN1006),$AC$1006:$AS$1006,0)))),"Fix")))</f>
        <v>0</v>
      </c>
      <c r="N195" s="5">
        <f>IF(OR(INDEX($W$2:$W$1001,MATCH(ROWS($V$2:V195),$V$2:$V$1001,0),1)&gt;=100000,INDEX($AC$1005:$AS$1005,1,MATCH(COLUMNS($AC$1006:AO1006),$AC$1006:$AS$1006,0))&gt;=100000), " ",IF(INDEX($AC$2:$AS$1001,MATCH(ROWS($V$2:V195),$V$2:$V$1001,0),MATCH(COLUMNS($AC$1006:AO1006),$AC$1006:$AS$1006,0)), HYPERLINK("#",""), HYPERLINK(CONCATENATE("#Metadata!", ADDRESS(INDEX($X$2:$X$1001,MATCH(ROWS($V$2:V195),$V$2:$V$1001,0),0), INDEX($AC$1004:$AS$1004,1,MATCH(COLUMNS($AC$1006:AO1006),$AC$1006:$AS$1006,0)))),"Fix")))</f>
        <v>0</v>
      </c>
      <c r="O195" s="5">
        <f>IF(OR(INDEX($W$2:$W$1001,MATCH(ROWS($V$2:V195),$V$2:$V$1001,0),1)&gt;=100000,INDEX($AC$1005:$AS$1005,1,MATCH(COLUMNS($AC$1006:AP1006),$AC$1006:$AS$1006,0))&gt;=100000), " ",IF(INDEX($AC$2:$AS$1001,MATCH(ROWS($V$2:V195),$V$2:$V$1001,0),MATCH(COLUMNS($AC$1006:AP1006),$AC$1006:$AS$1006,0)), HYPERLINK("#",""), HYPERLINK(CONCATENATE("#Metadata!", ADDRESS(INDEX($X$2:$X$1001,MATCH(ROWS($V$2:V195),$V$2:$V$1001,0),0), INDEX($AC$1004:$AS$1004,1,MATCH(COLUMNS($AC$1006:AP1006),$AC$1006:$AS$1006,0)))),"Fix")))</f>
        <v>0</v>
      </c>
      <c r="P195" s="5">
        <f>IF(OR(INDEX($W$2:$W$1001,MATCH(ROWS($V$2:V195),$V$2:$V$1001,0),1)&gt;=100000,INDEX($AC$1005:$AS$1005,1,MATCH(COLUMNS($AC$1006:AQ1006),$AC$1006:$AS$1006,0))&gt;=100000), " ",IF(INDEX($AC$2:$AS$1001,MATCH(ROWS($V$2:V195),$V$2:$V$1001,0),MATCH(COLUMNS($AC$1006:AQ1006),$AC$1006:$AS$1006,0)), HYPERLINK("#",""), HYPERLINK(CONCATENATE("#Metadata!", ADDRESS(INDEX($X$2:$X$1001,MATCH(ROWS($V$2:V195),$V$2:$V$1001,0),0), INDEX($AC$1004:$AS$1004,1,MATCH(COLUMNS($AC$1006:AQ1006),$AC$1006:$AS$1006,0)))),"Fix")))</f>
        <v>0</v>
      </c>
      <c r="Q195" s="5">
        <f>IF(OR(INDEX($W$2:$W$1001,MATCH(ROWS($V$2:V195),$V$2:$V$1001,0),1)&gt;=100000,INDEX($AC$1005:$AS$1005,1,MATCH(COLUMNS($AC$1006:AR1006),$AC$1006:$AS$1006,0))&gt;=100000), " ",IF(INDEX($AC$2:$AS$1001,MATCH(ROWS($V$2:V195),$V$2:$V$1001,0),MATCH(COLUMNS($AC$1006:AR1006),$AC$1006:$AS$1006,0)), HYPERLINK("#",""), HYPERLINK(CONCATENATE("#Metadata!", ADDRESS(INDEX($X$2:$X$1001,MATCH(ROWS($V$2:V195),$V$2:$V$1001,0),0), INDEX($AC$1004:$AS$1004,1,MATCH(COLUMNS($AC$1006:AR1006),$AC$1006:$AS$1006,0)))),"Fix")))</f>
        <v>0</v>
      </c>
      <c r="R195" s="5">
        <f>IF(OR(INDEX($W$2:$W$1001,MATCH(ROWS($V$2:V195),$V$2:$V$1001,0),1)&gt;=100000,INDEX($AC$1005:$AS$1005,1,MATCH(COLUMNS($AC$1006:AS1006),$AC$1006:$AS$1006,0))&gt;=100000), " ",IF(INDEX($AC$2:$AS$1001,MATCH(ROWS($V$2:V195),$V$2:$V$1001,0),MATCH(COLUMNS($AC$1006:AS1006),$AC$1006:$AS$1006,0)), HYPERLINK("#",""), HYPERLINK(CONCATENATE("#Metadata!", ADDRESS(INDEX($X$2:$X$1001,MATCH(ROWS($V$2:V195),$V$2:$V$1001,0),0), INDEX($AC$1004:$AS$1004,1,MATCH(COLUMNS($AC$1006:AS1006),$AC$1006:$AS$1006,0)))),"Fix")))</f>
        <v>0</v>
      </c>
      <c r="V195">
        <v>0</v>
      </c>
      <c r="W195">
        <v>0</v>
      </c>
      <c r="X195">
        <v>0</v>
      </c>
      <c r="Y195">
        <f>IF(Z195,TRUE,AND(AC195:AS195))</f>
        <v>0</v>
      </c>
      <c r="Z195">
        <f>COUNTBLANK(Metadata!B195:R195)=COLUMNS(Metadata!B195:R195)</f>
        <v>0</v>
      </c>
      <c r="AA195">
        <v>0</v>
      </c>
      <c r="AC195">
        <f>AND(IF(Metadata!B195="",FALSE,TRUE),COUNTIF(Metadata!B:B, Metadata!B195) = 1,NOT(ISERROR(SUMPRODUCT(SEARCH(MID(Metadata!B195,ROW(INDIRECT("1:"&amp;LEN(Metadata!B195))), 1),"0123456789abcdefghijklmnopqrstuvwxyzABCDEFGHIJKLMNOPQRSTUVWXYZ.")))))</f>
        <v>0</v>
      </c>
      <c r="AD195">
        <f>AND(IF(Metadata!C195="",FALSE,TRUE),exact(Metadata!C195,"Host-associated"))</f>
        <v>0</v>
      </c>
      <c r="AE195">
        <f>AND(IF(Metadata!D195="",FALSE,TRUE),OR(exact(Metadata!D195,"Animal"),exact(Metadata!D195,"Fungus"),exact(Metadata!D195,"Plant")))</f>
        <v>0</v>
      </c>
      <c r="AF195">
        <f>AND(IF(Metadata!E195="",FALSE,TRUE),OR(exact(Metadata!E195,"Plant secretion"),exact(Metadata!E195,"Plant rhizosphere"),exact(Metadata!E195,"Plant surface"),exact(Metadata!E195,"Plant corpus"),exact(Metadata!E195,"Fungus surface"),exact(Metadata!E195,"Fungus corpus"),exact(Metadata!E195,"Animal surface"),exact(Metadata!E195,"Animal proximal gut"),exact(Metadata!E195,"Animal corpus"),exact(Metadata!E195,"Animal distal gut"),exact(Metadata!E195,"Animal secretion")))</f>
        <v>0</v>
      </c>
      <c r="AG195">
        <f>OR(AND(IF(Metadata!F195="",FALSE,TRUE),OR(exact(Metadata!F195,"not collected"),exact(Metadata!F195,"not provided"),exact(Metadata!F195,"restricted access"))),AND(IF(Metadata!F195="",FALSE,TRUE),OR(exact(Metadata!F195,"organism-associated habitat"),exact(Metadata!F195,"plant-associated habitat"),exact(Metadata!F195,"animal-associated habitat"),exact(Metadata!F195,"insecta-associated habitat"),exact(Metadata!F195,"mammalia-associated habitat"),exact(Metadata!F195,"human-associated habitat"),exact(Metadata!F195,"livestock-associated habitat"))))</f>
        <v>0</v>
      </c>
      <c r="AH195">
        <f>AND(IF(Metadata!G195="",FALSE,TRUE),exact(Metadata!G195,"host-associated"))</f>
        <v>0</v>
      </c>
      <c r="AI195">
        <f>OR(AND(IF(Metadata!H195="",FALSE,TRUE),OR(exact(Metadata!H195,"not collected"),exact(Metadata!H195,"not provided"))),AND(IF(Metadata!H195="",FALSE,ISNUMBER(VALUE(Metadata!H195))),Metadata!H195&gt;0))</f>
        <v>0</v>
      </c>
      <c r="AJ195">
        <f>AND(IF(Metadata!I195="",FALSE,TRUE),exact(Metadata!I195,"years"))</f>
        <v>0</v>
      </c>
      <c r="AK195">
        <f>IF(Metadata!J195="",FALSE,TRUE)</f>
        <v>0</v>
      </c>
      <c r="AL195">
        <f>OR(AND(IF(Metadata!K195="",FALSE,TRUE),OR(exact(Metadata!K195,"not collected"),exact(Metadata!K195,"not provided"))),AND(IF(Metadata!K195="",FALSE,ISNUMBER(VALUE(Metadata!K195))),Metadata!K195&gt;0))</f>
        <v>0</v>
      </c>
      <c r="AM195">
        <f>AND(IF(Metadata!L195="",FALSE,TRUE),exact(Metadata!L195,"cm"))</f>
        <v>0</v>
      </c>
      <c r="AN195">
        <f>IF(Metadata!M195="",FALSE,TRUE)</f>
        <v>0</v>
      </c>
      <c r="AO195">
        <f>OR(AND(IF(Metadata!N195="",FALSE,TRUE),OR(exact(Metadata!N195,"not applicable"),exact(Metadata!N195,"not collected"),exact(Metadata!N195,"not provided"))),AND(IF(Metadata!N195="",FALSE,IF(ISERROR(INT(Metadata!N195)),FALSE,INT(Metadata!N195)=Metadata!N195)),Metadata!N195&gt;0))</f>
        <v>0</v>
      </c>
      <c r="AP195">
        <f>OR(AND(IF(Metadata!O195="",FALSE,TRUE),OR(exact(Metadata!O195,"not collected"),exact(Metadata!O195,"not provided"))),AND(IF(Metadata!O195="",FALSE,ISNUMBER(VALUE(Metadata!O195))),Metadata!O195&gt;0))</f>
        <v>0</v>
      </c>
      <c r="AQ195">
        <f>AND(IF(Metadata!P195="",FALSE,TRUE),exact(Metadata!P195,"kg"))</f>
        <v>0</v>
      </c>
      <c r="AR195">
        <f>OR(AND(IF(Metadata!Q195="",FALSE,TRUE),OR(exact(Metadata!Q195,"not applicable"),exact(Metadata!Q195,"not collected"),exact(Metadata!Q195,"not provided"),exact(Metadata!Q195,"restricted access"))),IF(Metadata!Q195="",FALSE,IF(ISERROR(INT(Metadata!Q195)),FALSE,INT(Metadata!Q195)=Metadata!Q195)))</f>
        <v>0</v>
      </c>
      <c r="AS195">
        <f>AND(IF(Metadata!R195="",FALSE,TRUE),exact(Metadata!R195,"Not applicable"))</f>
        <v>0</v>
      </c>
    </row>
    <row r="196" spans="1:45">
      <c r="A196" s="4">
        <f>IF(B196=" "," ",HYPERLINK(CONCATENATE("#metadata!",ADDRESS(INDEX($X$2:$X$1001,MATCH(ROWS($V$2:V196),$V$2:$V$1001,0),0),2)),INDEX($AA$2:$AA$1001,MATCH(ROWS($V$2:V196),$V$2:$V$1001,0),0)))</f>
        <v>0</v>
      </c>
      <c r="B196" s="5">
        <f>IF(OR(INDEX($W$2:$W$1001,MATCH(ROWS($V$2:V196),$V$2:$V$1001,0),1)&gt;=100000,INDEX($AC$1005:$AS$1005,1,MATCH(COLUMNS($AC$1006:AC1006),$AC$1006:$AS$1006,0))&gt;=100000), " ",IF(INDEX($AC$2:$AS$1001,MATCH(ROWS($V$2:V196),$V$2:$V$1001,0),MATCH(COLUMNS($AC$1006:AC1006),$AC$1006:$AS$1006,0)), HYPERLINK("#",""), HYPERLINK(CONCATENATE("#Metadata!", ADDRESS(INDEX($X$2:$X$1001,MATCH(ROWS($V$2:V196),$V$2:$V$1001,0),0), INDEX($AC$1004:$AS$1004,1,MATCH(COLUMNS($AC$1006:AC1006),$AC$1006:$AS$1006,0)))),"Fix")))</f>
        <v>0</v>
      </c>
      <c r="C196" s="5">
        <f>IF(OR(INDEX($W$2:$W$1001,MATCH(ROWS($V$2:V196),$V$2:$V$1001,0),1)&gt;=100000,INDEX($AC$1005:$AS$1005,1,MATCH(COLUMNS($AC$1006:AD1006),$AC$1006:$AS$1006,0))&gt;=100000), " ",IF(INDEX($AC$2:$AS$1001,MATCH(ROWS($V$2:V196),$V$2:$V$1001,0),MATCH(COLUMNS($AC$1006:AD1006),$AC$1006:$AS$1006,0)), HYPERLINK("#",""), HYPERLINK(CONCATENATE("#Metadata!", ADDRESS(INDEX($X$2:$X$1001,MATCH(ROWS($V$2:V196),$V$2:$V$1001,0),0), INDEX($AC$1004:$AS$1004,1,MATCH(COLUMNS($AC$1006:AD1006),$AC$1006:$AS$1006,0)))),"Fix")))</f>
        <v>0</v>
      </c>
      <c r="D196" s="5">
        <f>IF(OR(INDEX($W$2:$W$1001,MATCH(ROWS($V$2:V196),$V$2:$V$1001,0),1)&gt;=100000,INDEX($AC$1005:$AS$1005,1,MATCH(COLUMNS($AC$1006:AE1006),$AC$1006:$AS$1006,0))&gt;=100000), " ",IF(INDEX($AC$2:$AS$1001,MATCH(ROWS($V$2:V196),$V$2:$V$1001,0),MATCH(COLUMNS($AC$1006:AE1006),$AC$1006:$AS$1006,0)), HYPERLINK("#",""), HYPERLINK(CONCATENATE("#Metadata!", ADDRESS(INDEX($X$2:$X$1001,MATCH(ROWS($V$2:V196),$V$2:$V$1001,0),0), INDEX($AC$1004:$AS$1004,1,MATCH(COLUMNS($AC$1006:AE1006),$AC$1006:$AS$1006,0)))),"Fix")))</f>
        <v>0</v>
      </c>
      <c r="E196" s="5">
        <f>IF(OR(INDEX($W$2:$W$1001,MATCH(ROWS($V$2:V196),$V$2:$V$1001,0),1)&gt;=100000,INDEX($AC$1005:$AS$1005,1,MATCH(COLUMNS($AC$1006:AF1006),$AC$1006:$AS$1006,0))&gt;=100000), " ",IF(INDEX($AC$2:$AS$1001,MATCH(ROWS($V$2:V196),$V$2:$V$1001,0),MATCH(COLUMNS($AC$1006:AF1006),$AC$1006:$AS$1006,0)), HYPERLINK("#",""), HYPERLINK(CONCATENATE("#Metadata!", ADDRESS(INDEX($X$2:$X$1001,MATCH(ROWS($V$2:V196),$V$2:$V$1001,0),0), INDEX($AC$1004:$AS$1004,1,MATCH(COLUMNS($AC$1006:AF1006),$AC$1006:$AS$1006,0)))),"Fix")))</f>
        <v>0</v>
      </c>
      <c r="F196" s="5">
        <f>IF(OR(INDEX($W$2:$W$1001,MATCH(ROWS($V$2:V196),$V$2:$V$1001,0),1)&gt;=100000,INDEX($AC$1005:$AS$1005,1,MATCH(COLUMNS($AC$1006:AG1006),$AC$1006:$AS$1006,0))&gt;=100000), " ",IF(INDEX($AC$2:$AS$1001,MATCH(ROWS($V$2:V196),$V$2:$V$1001,0),MATCH(COLUMNS($AC$1006:AG1006),$AC$1006:$AS$1006,0)), HYPERLINK("#",""), HYPERLINK(CONCATENATE("#Metadata!", ADDRESS(INDEX($X$2:$X$1001,MATCH(ROWS($V$2:V196),$V$2:$V$1001,0),0), INDEX($AC$1004:$AS$1004,1,MATCH(COLUMNS($AC$1006:AG1006),$AC$1006:$AS$1006,0)))),"Fix")))</f>
        <v>0</v>
      </c>
      <c r="G196" s="5">
        <f>IF(OR(INDEX($W$2:$W$1001,MATCH(ROWS($V$2:V196),$V$2:$V$1001,0),1)&gt;=100000,INDEX($AC$1005:$AS$1005,1,MATCH(COLUMNS($AC$1006:AH1006),$AC$1006:$AS$1006,0))&gt;=100000), " ",IF(INDEX($AC$2:$AS$1001,MATCH(ROWS($V$2:V196),$V$2:$V$1001,0),MATCH(COLUMNS($AC$1006:AH1006),$AC$1006:$AS$1006,0)), HYPERLINK("#",""), HYPERLINK(CONCATENATE("#Metadata!", ADDRESS(INDEX($X$2:$X$1001,MATCH(ROWS($V$2:V196),$V$2:$V$1001,0),0), INDEX($AC$1004:$AS$1004,1,MATCH(COLUMNS($AC$1006:AH1006),$AC$1006:$AS$1006,0)))),"Fix")))</f>
        <v>0</v>
      </c>
      <c r="H196" s="5">
        <f>IF(OR(INDEX($W$2:$W$1001,MATCH(ROWS($V$2:V196),$V$2:$V$1001,0),1)&gt;=100000,INDEX($AC$1005:$AS$1005,1,MATCH(COLUMNS($AC$1006:AI1006),$AC$1006:$AS$1006,0))&gt;=100000), " ",IF(INDEX($AC$2:$AS$1001,MATCH(ROWS($V$2:V196),$V$2:$V$1001,0),MATCH(COLUMNS($AC$1006:AI1006),$AC$1006:$AS$1006,0)), HYPERLINK("#",""), HYPERLINK(CONCATENATE("#Metadata!", ADDRESS(INDEX($X$2:$X$1001,MATCH(ROWS($V$2:V196),$V$2:$V$1001,0),0), INDEX($AC$1004:$AS$1004,1,MATCH(COLUMNS($AC$1006:AI1006),$AC$1006:$AS$1006,0)))),"Fix")))</f>
        <v>0</v>
      </c>
      <c r="I196" s="5">
        <f>IF(OR(INDEX($W$2:$W$1001,MATCH(ROWS($V$2:V196),$V$2:$V$1001,0),1)&gt;=100000,INDEX($AC$1005:$AS$1005,1,MATCH(COLUMNS($AC$1006:AJ1006),$AC$1006:$AS$1006,0))&gt;=100000), " ",IF(INDEX($AC$2:$AS$1001,MATCH(ROWS($V$2:V196),$V$2:$V$1001,0),MATCH(COLUMNS($AC$1006:AJ1006),$AC$1006:$AS$1006,0)), HYPERLINK("#",""), HYPERLINK(CONCATENATE("#Metadata!", ADDRESS(INDEX($X$2:$X$1001,MATCH(ROWS($V$2:V196),$V$2:$V$1001,0),0), INDEX($AC$1004:$AS$1004,1,MATCH(COLUMNS($AC$1006:AJ1006),$AC$1006:$AS$1006,0)))),"Fix")))</f>
        <v>0</v>
      </c>
      <c r="J196" s="5">
        <f>IF(OR(INDEX($W$2:$W$1001,MATCH(ROWS($V$2:V196),$V$2:$V$1001,0),1)&gt;=100000,INDEX($AC$1005:$AS$1005,1,MATCH(COLUMNS($AC$1006:AK1006),$AC$1006:$AS$1006,0))&gt;=100000), " ",IF(INDEX($AC$2:$AS$1001,MATCH(ROWS($V$2:V196),$V$2:$V$1001,0),MATCH(COLUMNS($AC$1006:AK1006),$AC$1006:$AS$1006,0)), HYPERLINK("#",""), HYPERLINK(CONCATENATE("#Metadata!", ADDRESS(INDEX($X$2:$X$1001,MATCH(ROWS($V$2:V196),$V$2:$V$1001,0),0), INDEX($AC$1004:$AS$1004,1,MATCH(COLUMNS($AC$1006:AK1006),$AC$1006:$AS$1006,0)))),"Fix")))</f>
        <v>0</v>
      </c>
      <c r="K196" s="5">
        <f>IF(OR(INDEX($W$2:$W$1001,MATCH(ROWS($V$2:V196),$V$2:$V$1001,0),1)&gt;=100000,INDEX($AC$1005:$AS$1005,1,MATCH(COLUMNS($AC$1006:AL1006),$AC$1006:$AS$1006,0))&gt;=100000), " ",IF(INDEX($AC$2:$AS$1001,MATCH(ROWS($V$2:V196),$V$2:$V$1001,0),MATCH(COLUMNS($AC$1006:AL1006),$AC$1006:$AS$1006,0)), HYPERLINK("#",""), HYPERLINK(CONCATENATE("#Metadata!", ADDRESS(INDEX($X$2:$X$1001,MATCH(ROWS($V$2:V196),$V$2:$V$1001,0),0), INDEX($AC$1004:$AS$1004,1,MATCH(COLUMNS($AC$1006:AL1006),$AC$1006:$AS$1006,0)))),"Fix")))</f>
        <v>0</v>
      </c>
      <c r="L196" s="5">
        <f>IF(OR(INDEX($W$2:$W$1001,MATCH(ROWS($V$2:V196),$V$2:$V$1001,0),1)&gt;=100000,INDEX($AC$1005:$AS$1005,1,MATCH(COLUMNS($AC$1006:AM1006),$AC$1006:$AS$1006,0))&gt;=100000), " ",IF(INDEX($AC$2:$AS$1001,MATCH(ROWS($V$2:V196),$V$2:$V$1001,0),MATCH(COLUMNS($AC$1006:AM1006),$AC$1006:$AS$1006,0)), HYPERLINK("#",""), HYPERLINK(CONCATENATE("#Metadata!", ADDRESS(INDEX($X$2:$X$1001,MATCH(ROWS($V$2:V196),$V$2:$V$1001,0),0), INDEX($AC$1004:$AS$1004,1,MATCH(COLUMNS($AC$1006:AM1006),$AC$1006:$AS$1006,0)))),"Fix")))</f>
        <v>0</v>
      </c>
      <c r="M196" s="5">
        <f>IF(OR(INDEX($W$2:$W$1001,MATCH(ROWS($V$2:V196),$V$2:$V$1001,0),1)&gt;=100000,INDEX($AC$1005:$AS$1005,1,MATCH(COLUMNS($AC$1006:AN1006),$AC$1006:$AS$1006,0))&gt;=100000), " ",IF(INDEX($AC$2:$AS$1001,MATCH(ROWS($V$2:V196),$V$2:$V$1001,0),MATCH(COLUMNS($AC$1006:AN1006),$AC$1006:$AS$1006,0)), HYPERLINK("#",""), HYPERLINK(CONCATENATE("#Metadata!", ADDRESS(INDEX($X$2:$X$1001,MATCH(ROWS($V$2:V196),$V$2:$V$1001,0),0), INDEX($AC$1004:$AS$1004,1,MATCH(COLUMNS($AC$1006:AN1006),$AC$1006:$AS$1006,0)))),"Fix")))</f>
        <v>0</v>
      </c>
      <c r="N196" s="5">
        <f>IF(OR(INDEX($W$2:$W$1001,MATCH(ROWS($V$2:V196),$V$2:$V$1001,0),1)&gt;=100000,INDEX($AC$1005:$AS$1005,1,MATCH(COLUMNS($AC$1006:AO1006),$AC$1006:$AS$1006,0))&gt;=100000), " ",IF(INDEX($AC$2:$AS$1001,MATCH(ROWS($V$2:V196),$V$2:$V$1001,0),MATCH(COLUMNS($AC$1006:AO1006),$AC$1006:$AS$1006,0)), HYPERLINK("#",""), HYPERLINK(CONCATENATE("#Metadata!", ADDRESS(INDEX($X$2:$X$1001,MATCH(ROWS($V$2:V196),$V$2:$V$1001,0),0), INDEX($AC$1004:$AS$1004,1,MATCH(COLUMNS($AC$1006:AO1006),$AC$1006:$AS$1006,0)))),"Fix")))</f>
        <v>0</v>
      </c>
      <c r="O196" s="5">
        <f>IF(OR(INDEX($W$2:$W$1001,MATCH(ROWS($V$2:V196),$V$2:$V$1001,0),1)&gt;=100000,INDEX($AC$1005:$AS$1005,1,MATCH(COLUMNS($AC$1006:AP1006),$AC$1006:$AS$1006,0))&gt;=100000), " ",IF(INDEX($AC$2:$AS$1001,MATCH(ROWS($V$2:V196),$V$2:$V$1001,0),MATCH(COLUMNS($AC$1006:AP1006),$AC$1006:$AS$1006,0)), HYPERLINK("#",""), HYPERLINK(CONCATENATE("#Metadata!", ADDRESS(INDEX($X$2:$X$1001,MATCH(ROWS($V$2:V196),$V$2:$V$1001,0),0), INDEX($AC$1004:$AS$1004,1,MATCH(COLUMNS($AC$1006:AP1006),$AC$1006:$AS$1006,0)))),"Fix")))</f>
        <v>0</v>
      </c>
      <c r="P196" s="5">
        <f>IF(OR(INDEX($W$2:$W$1001,MATCH(ROWS($V$2:V196),$V$2:$V$1001,0),1)&gt;=100000,INDEX($AC$1005:$AS$1005,1,MATCH(COLUMNS($AC$1006:AQ1006),$AC$1006:$AS$1006,0))&gt;=100000), " ",IF(INDEX($AC$2:$AS$1001,MATCH(ROWS($V$2:V196),$V$2:$V$1001,0),MATCH(COLUMNS($AC$1006:AQ1006),$AC$1006:$AS$1006,0)), HYPERLINK("#",""), HYPERLINK(CONCATENATE("#Metadata!", ADDRESS(INDEX($X$2:$X$1001,MATCH(ROWS($V$2:V196),$V$2:$V$1001,0),0), INDEX($AC$1004:$AS$1004,1,MATCH(COLUMNS($AC$1006:AQ1006),$AC$1006:$AS$1006,0)))),"Fix")))</f>
        <v>0</v>
      </c>
      <c r="Q196" s="5">
        <f>IF(OR(INDEX($W$2:$W$1001,MATCH(ROWS($V$2:V196),$V$2:$V$1001,0),1)&gt;=100000,INDEX($AC$1005:$AS$1005,1,MATCH(COLUMNS($AC$1006:AR1006),$AC$1006:$AS$1006,0))&gt;=100000), " ",IF(INDEX($AC$2:$AS$1001,MATCH(ROWS($V$2:V196),$V$2:$V$1001,0),MATCH(COLUMNS($AC$1006:AR1006),$AC$1006:$AS$1006,0)), HYPERLINK("#",""), HYPERLINK(CONCATENATE("#Metadata!", ADDRESS(INDEX($X$2:$X$1001,MATCH(ROWS($V$2:V196),$V$2:$V$1001,0),0), INDEX($AC$1004:$AS$1004,1,MATCH(COLUMNS($AC$1006:AR1006),$AC$1006:$AS$1006,0)))),"Fix")))</f>
        <v>0</v>
      </c>
      <c r="R196" s="5">
        <f>IF(OR(INDEX($W$2:$W$1001,MATCH(ROWS($V$2:V196),$V$2:$V$1001,0),1)&gt;=100000,INDEX($AC$1005:$AS$1005,1,MATCH(COLUMNS($AC$1006:AS1006),$AC$1006:$AS$1006,0))&gt;=100000), " ",IF(INDEX($AC$2:$AS$1001,MATCH(ROWS($V$2:V196),$V$2:$V$1001,0),MATCH(COLUMNS($AC$1006:AS1006),$AC$1006:$AS$1006,0)), HYPERLINK("#",""), HYPERLINK(CONCATENATE("#Metadata!", ADDRESS(INDEX($X$2:$X$1001,MATCH(ROWS($V$2:V196),$V$2:$V$1001,0),0), INDEX($AC$1004:$AS$1004,1,MATCH(COLUMNS($AC$1006:AS1006),$AC$1006:$AS$1006,0)))),"Fix")))</f>
        <v>0</v>
      </c>
      <c r="V196">
        <v>0</v>
      </c>
      <c r="W196">
        <v>0</v>
      </c>
      <c r="X196">
        <v>0</v>
      </c>
      <c r="Y196">
        <f>IF(Z196,TRUE,AND(AC196:AS196))</f>
        <v>0</v>
      </c>
      <c r="Z196">
        <f>COUNTBLANK(Metadata!B196:R196)=COLUMNS(Metadata!B196:R196)</f>
        <v>0</v>
      </c>
      <c r="AA196">
        <v>0</v>
      </c>
      <c r="AC196">
        <f>AND(IF(Metadata!B196="",FALSE,TRUE),COUNTIF(Metadata!B:B, Metadata!B196) = 1,NOT(ISERROR(SUMPRODUCT(SEARCH(MID(Metadata!B196,ROW(INDIRECT("1:"&amp;LEN(Metadata!B196))), 1),"0123456789abcdefghijklmnopqrstuvwxyzABCDEFGHIJKLMNOPQRSTUVWXYZ.")))))</f>
        <v>0</v>
      </c>
      <c r="AD196">
        <f>AND(IF(Metadata!C196="",FALSE,TRUE),exact(Metadata!C196,"Host-associated"))</f>
        <v>0</v>
      </c>
      <c r="AE196">
        <f>AND(IF(Metadata!D196="",FALSE,TRUE),OR(exact(Metadata!D196,"Animal"),exact(Metadata!D196,"Fungus"),exact(Metadata!D196,"Plant")))</f>
        <v>0</v>
      </c>
      <c r="AF196">
        <f>AND(IF(Metadata!E196="",FALSE,TRUE),OR(exact(Metadata!E196,"Plant secretion"),exact(Metadata!E196,"Plant rhizosphere"),exact(Metadata!E196,"Plant surface"),exact(Metadata!E196,"Plant corpus"),exact(Metadata!E196,"Fungus surface"),exact(Metadata!E196,"Fungus corpus"),exact(Metadata!E196,"Animal surface"),exact(Metadata!E196,"Animal proximal gut"),exact(Metadata!E196,"Animal corpus"),exact(Metadata!E196,"Animal distal gut"),exact(Metadata!E196,"Animal secretion")))</f>
        <v>0</v>
      </c>
      <c r="AG196">
        <f>OR(AND(IF(Metadata!F196="",FALSE,TRUE),OR(exact(Metadata!F196,"not collected"),exact(Metadata!F196,"not provided"),exact(Metadata!F196,"restricted access"))),AND(IF(Metadata!F196="",FALSE,TRUE),OR(exact(Metadata!F196,"organism-associated habitat"),exact(Metadata!F196,"plant-associated habitat"),exact(Metadata!F196,"animal-associated habitat"),exact(Metadata!F196,"insecta-associated habitat"),exact(Metadata!F196,"mammalia-associated habitat"),exact(Metadata!F196,"human-associated habitat"),exact(Metadata!F196,"livestock-associated habitat"))))</f>
        <v>0</v>
      </c>
      <c r="AH196">
        <f>AND(IF(Metadata!G196="",FALSE,TRUE),exact(Metadata!G196,"host-associated"))</f>
        <v>0</v>
      </c>
      <c r="AI196">
        <f>OR(AND(IF(Metadata!H196="",FALSE,TRUE),OR(exact(Metadata!H196,"not collected"),exact(Metadata!H196,"not provided"))),AND(IF(Metadata!H196="",FALSE,ISNUMBER(VALUE(Metadata!H196))),Metadata!H196&gt;0))</f>
        <v>0</v>
      </c>
      <c r="AJ196">
        <f>AND(IF(Metadata!I196="",FALSE,TRUE),exact(Metadata!I196,"years"))</f>
        <v>0</v>
      </c>
      <c r="AK196">
        <f>IF(Metadata!J196="",FALSE,TRUE)</f>
        <v>0</v>
      </c>
      <c r="AL196">
        <f>OR(AND(IF(Metadata!K196="",FALSE,TRUE),OR(exact(Metadata!K196,"not collected"),exact(Metadata!K196,"not provided"))),AND(IF(Metadata!K196="",FALSE,ISNUMBER(VALUE(Metadata!K196))),Metadata!K196&gt;0))</f>
        <v>0</v>
      </c>
      <c r="AM196">
        <f>AND(IF(Metadata!L196="",FALSE,TRUE),exact(Metadata!L196,"cm"))</f>
        <v>0</v>
      </c>
      <c r="AN196">
        <f>IF(Metadata!M196="",FALSE,TRUE)</f>
        <v>0</v>
      </c>
      <c r="AO196">
        <f>OR(AND(IF(Metadata!N196="",FALSE,TRUE),OR(exact(Metadata!N196,"not applicable"),exact(Metadata!N196,"not collected"),exact(Metadata!N196,"not provided"))),AND(IF(Metadata!N196="",FALSE,IF(ISERROR(INT(Metadata!N196)),FALSE,INT(Metadata!N196)=Metadata!N196)),Metadata!N196&gt;0))</f>
        <v>0</v>
      </c>
      <c r="AP196">
        <f>OR(AND(IF(Metadata!O196="",FALSE,TRUE),OR(exact(Metadata!O196,"not collected"),exact(Metadata!O196,"not provided"))),AND(IF(Metadata!O196="",FALSE,ISNUMBER(VALUE(Metadata!O196))),Metadata!O196&gt;0))</f>
        <v>0</v>
      </c>
      <c r="AQ196">
        <f>AND(IF(Metadata!P196="",FALSE,TRUE),exact(Metadata!P196,"kg"))</f>
        <v>0</v>
      </c>
      <c r="AR196">
        <f>OR(AND(IF(Metadata!Q196="",FALSE,TRUE),OR(exact(Metadata!Q196,"not applicable"),exact(Metadata!Q196,"not collected"),exact(Metadata!Q196,"not provided"),exact(Metadata!Q196,"restricted access"))),IF(Metadata!Q196="",FALSE,IF(ISERROR(INT(Metadata!Q196)),FALSE,INT(Metadata!Q196)=Metadata!Q196)))</f>
        <v>0</v>
      </c>
      <c r="AS196">
        <f>AND(IF(Metadata!R196="",FALSE,TRUE),exact(Metadata!R196,"Not applicable"))</f>
        <v>0</v>
      </c>
    </row>
    <row r="197" spans="1:45">
      <c r="A197" s="4">
        <f>IF(B197=" "," ",HYPERLINK(CONCATENATE("#metadata!",ADDRESS(INDEX($X$2:$X$1001,MATCH(ROWS($V$2:V197),$V$2:$V$1001,0),0),2)),INDEX($AA$2:$AA$1001,MATCH(ROWS($V$2:V197),$V$2:$V$1001,0),0)))</f>
        <v>0</v>
      </c>
      <c r="B197" s="5">
        <f>IF(OR(INDEX($W$2:$W$1001,MATCH(ROWS($V$2:V197),$V$2:$V$1001,0),1)&gt;=100000,INDEX($AC$1005:$AS$1005,1,MATCH(COLUMNS($AC$1006:AC1006),$AC$1006:$AS$1006,0))&gt;=100000), " ",IF(INDEX($AC$2:$AS$1001,MATCH(ROWS($V$2:V197),$V$2:$V$1001,0),MATCH(COLUMNS($AC$1006:AC1006),$AC$1006:$AS$1006,0)), HYPERLINK("#",""), HYPERLINK(CONCATENATE("#Metadata!", ADDRESS(INDEX($X$2:$X$1001,MATCH(ROWS($V$2:V197),$V$2:$V$1001,0),0), INDEX($AC$1004:$AS$1004,1,MATCH(COLUMNS($AC$1006:AC1006),$AC$1006:$AS$1006,0)))),"Fix")))</f>
        <v>0</v>
      </c>
      <c r="C197" s="5">
        <f>IF(OR(INDEX($W$2:$W$1001,MATCH(ROWS($V$2:V197),$V$2:$V$1001,0),1)&gt;=100000,INDEX($AC$1005:$AS$1005,1,MATCH(COLUMNS($AC$1006:AD1006),$AC$1006:$AS$1006,0))&gt;=100000), " ",IF(INDEX($AC$2:$AS$1001,MATCH(ROWS($V$2:V197),$V$2:$V$1001,0),MATCH(COLUMNS($AC$1006:AD1006),$AC$1006:$AS$1006,0)), HYPERLINK("#",""), HYPERLINK(CONCATENATE("#Metadata!", ADDRESS(INDEX($X$2:$X$1001,MATCH(ROWS($V$2:V197),$V$2:$V$1001,0),0), INDEX($AC$1004:$AS$1004,1,MATCH(COLUMNS($AC$1006:AD1006),$AC$1006:$AS$1006,0)))),"Fix")))</f>
        <v>0</v>
      </c>
      <c r="D197" s="5">
        <f>IF(OR(INDEX($W$2:$W$1001,MATCH(ROWS($V$2:V197),$V$2:$V$1001,0),1)&gt;=100000,INDEX($AC$1005:$AS$1005,1,MATCH(COLUMNS($AC$1006:AE1006),$AC$1006:$AS$1006,0))&gt;=100000), " ",IF(INDEX($AC$2:$AS$1001,MATCH(ROWS($V$2:V197),$V$2:$V$1001,0),MATCH(COLUMNS($AC$1006:AE1006),$AC$1006:$AS$1006,0)), HYPERLINK("#",""), HYPERLINK(CONCATENATE("#Metadata!", ADDRESS(INDEX($X$2:$X$1001,MATCH(ROWS($V$2:V197),$V$2:$V$1001,0),0), INDEX($AC$1004:$AS$1004,1,MATCH(COLUMNS($AC$1006:AE1006),$AC$1006:$AS$1006,0)))),"Fix")))</f>
        <v>0</v>
      </c>
      <c r="E197" s="5">
        <f>IF(OR(INDEX($W$2:$W$1001,MATCH(ROWS($V$2:V197),$V$2:$V$1001,0),1)&gt;=100000,INDEX($AC$1005:$AS$1005,1,MATCH(COLUMNS($AC$1006:AF1006),$AC$1006:$AS$1006,0))&gt;=100000), " ",IF(INDEX($AC$2:$AS$1001,MATCH(ROWS($V$2:V197),$V$2:$V$1001,0),MATCH(COLUMNS($AC$1006:AF1006),$AC$1006:$AS$1006,0)), HYPERLINK("#",""), HYPERLINK(CONCATENATE("#Metadata!", ADDRESS(INDEX($X$2:$X$1001,MATCH(ROWS($V$2:V197),$V$2:$V$1001,0),0), INDEX($AC$1004:$AS$1004,1,MATCH(COLUMNS($AC$1006:AF1006),$AC$1006:$AS$1006,0)))),"Fix")))</f>
        <v>0</v>
      </c>
      <c r="F197" s="5">
        <f>IF(OR(INDEX($W$2:$W$1001,MATCH(ROWS($V$2:V197),$V$2:$V$1001,0),1)&gt;=100000,INDEX($AC$1005:$AS$1005,1,MATCH(COLUMNS($AC$1006:AG1006),$AC$1006:$AS$1006,0))&gt;=100000), " ",IF(INDEX($AC$2:$AS$1001,MATCH(ROWS($V$2:V197),$V$2:$V$1001,0),MATCH(COLUMNS($AC$1006:AG1006),$AC$1006:$AS$1006,0)), HYPERLINK("#",""), HYPERLINK(CONCATENATE("#Metadata!", ADDRESS(INDEX($X$2:$X$1001,MATCH(ROWS($V$2:V197),$V$2:$V$1001,0),0), INDEX($AC$1004:$AS$1004,1,MATCH(COLUMNS($AC$1006:AG1006),$AC$1006:$AS$1006,0)))),"Fix")))</f>
        <v>0</v>
      </c>
      <c r="G197" s="5">
        <f>IF(OR(INDEX($W$2:$W$1001,MATCH(ROWS($V$2:V197),$V$2:$V$1001,0),1)&gt;=100000,INDEX($AC$1005:$AS$1005,1,MATCH(COLUMNS($AC$1006:AH1006),$AC$1006:$AS$1006,0))&gt;=100000), " ",IF(INDEX($AC$2:$AS$1001,MATCH(ROWS($V$2:V197),$V$2:$V$1001,0),MATCH(COLUMNS($AC$1006:AH1006),$AC$1006:$AS$1006,0)), HYPERLINK("#",""), HYPERLINK(CONCATENATE("#Metadata!", ADDRESS(INDEX($X$2:$X$1001,MATCH(ROWS($V$2:V197),$V$2:$V$1001,0),0), INDEX($AC$1004:$AS$1004,1,MATCH(COLUMNS($AC$1006:AH1006),$AC$1006:$AS$1006,0)))),"Fix")))</f>
        <v>0</v>
      </c>
      <c r="H197" s="5">
        <f>IF(OR(INDEX($W$2:$W$1001,MATCH(ROWS($V$2:V197),$V$2:$V$1001,0),1)&gt;=100000,INDEX($AC$1005:$AS$1005,1,MATCH(COLUMNS($AC$1006:AI1006),$AC$1006:$AS$1006,0))&gt;=100000), " ",IF(INDEX($AC$2:$AS$1001,MATCH(ROWS($V$2:V197),$V$2:$V$1001,0),MATCH(COLUMNS($AC$1006:AI1006),$AC$1006:$AS$1006,0)), HYPERLINK("#",""), HYPERLINK(CONCATENATE("#Metadata!", ADDRESS(INDEX($X$2:$X$1001,MATCH(ROWS($V$2:V197),$V$2:$V$1001,0),0), INDEX($AC$1004:$AS$1004,1,MATCH(COLUMNS($AC$1006:AI1006),$AC$1006:$AS$1006,0)))),"Fix")))</f>
        <v>0</v>
      </c>
      <c r="I197" s="5">
        <f>IF(OR(INDEX($W$2:$W$1001,MATCH(ROWS($V$2:V197),$V$2:$V$1001,0),1)&gt;=100000,INDEX($AC$1005:$AS$1005,1,MATCH(COLUMNS($AC$1006:AJ1006),$AC$1006:$AS$1006,0))&gt;=100000), " ",IF(INDEX($AC$2:$AS$1001,MATCH(ROWS($V$2:V197),$V$2:$V$1001,0),MATCH(COLUMNS($AC$1006:AJ1006),$AC$1006:$AS$1006,0)), HYPERLINK("#",""), HYPERLINK(CONCATENATE("#Metadata!", ADDRESS(INDEX($X$2:$X$1001,MATCH(ROWS($V$2:V197),$V$2:$V$1001,0),0), INDEX($AC$1004:$AS$1004,1,MATCH(COLUMNS($AC$1006:AJ1006),$AC$1006:$AS$1006,0)))),"Fix")))</f>
        <v>0</v>
      </c>
      <c r="J197" s="5">
        <f>IF(OR(INDEX($W$2:$W$1001,MATCH(ROWS($V$2:V197),$V$2:$V$1001,0),1)&gt;=100000,INDEX($AC$1005:$AS$1005,1,MATCH(COLUMNS($AC$1006:AK1006),$AC$1006:$AS$1006,0))&gt;=100000), " ",IF(INDEX($AC$2:$AS$1001,MATCH(ROWS($V$2:V197),$V$2:$V$1001,0),MATCH(COLUMNS($AC$1006:AK1006),$AC$1006:$AS$1006,0)), HYPERLINK("#",""), HYPERLINK(CONCATENATE("#Metadata!", ADDRESS(INDEX($X$2:$X$1001,MATCH(ROWS($V$2:V197),$V$2:$V$1001,0),0), INDEX($AC$1004:$AS$1004,1,MATCH(COLUMNS($AC$1006:AK1006),$AC$1006:$AS$1006,0)))),"Fix")))</f>
        <v>0</v>
      </c>
      <c r="K197" s="5">
        <f>IF(OR(INDEX($W$2:$W$1001,MATCH(ROWS($V$2:V197),$V$2:$V$1001,0),1)&gt;=100000,INDEX($AC$1005:$AS$1005,1,MATCH(COLUMNS($AC$1006:AL1006),$AC$1006:$AS$1006,0))&gt;=100000), " ",IF(INDEX($AC$2:$AS$1001,MATCH(ROWS($V$2:V197),$V$2:$V$1001,0),MATCH(COLUMNS($AC$1006:AL1006),$AC$1006:$AS$1006,0)), HYPERLINK("#",""), HYPERLINK(CONCATENATE("#Metadata!", ADDRESS(INDEX($X$2:$X$1001,MATCH(ROWS($V$2:V197),$V$2:$V$1001,0),0), INDEX($AC$1004:$AS$1004,1,MATCH(COLUMNS($AC$1006:AL1006),$AC$1006:$AS$1006,0)))),"Fix")))</f>
        <v>0</v>
      </c>
      <c r="L197" s="5">
        <f>IF(OR(INDEX($W$2:$W$1001,MATCH(ROWS($V$2:V197),$V$2:$V$1001,0),1)&gt;=100000,INDEX($AC$1005:$AS$1005,1,MATCH(COLUMNS($AC$1006:AM1006),$AC$1006:$AS$1006,0))&gt;=100000), " ",IF(INDEX($AC$2:$AS$1001,MATCH(ROWS($V$2:V197),$V$2:$V$1001,0),MATCH(COLUMNS($AC$1006:AM1006),$AC$1006:$AS$1006,0)), HYPERLINK("#",""), HYPERLINK(CONCATENATE("#Metadata!", ADDRESS(INDEX($X$2:$X$1001,MATCH(ROWS($V$2:V197),$V$2:$V$1001,0),0), INDEX($AC$1004:$AS$1004,1,MATCH(COLUMNS($AC$1006:AM1006),$AC$1006:$AS$1006,0)))),"Fix")))</f>
        <v>0</v>
      </c>
      <c r="M197" s="5">
        <f>IF(OR(INDEX($W$2:$W$1001,MATCH(ROWS($V$2:V197),$V$2:$V$1001,0),1)&gt;=100000,INDEX($AC$1005:$AS$1005,1,MATCH(COLUMNS($AC$1006:AN1006),$AC$1006:$AS$1006,0))&gt;=100000), " ",IF(INDEX($AC$2:$AS$1001,MATCH(ROWS($V$2:V197),$V$2:$V$1001,0),MATCH(COLUMNS($AC$1006:AN1006),$AC$1006:$AS$1006,0)), HYPERLINK("#",""), HYPERLINK(CONCATENATE("#Metadata!", ADDRESS(INDEX($X$2:$X$1001,MATCH(ROWS($V$2:V197),$V$2:$V$1001,0),0), INDEX($AC$1004:$AS$1004,1,MATCH(COLUMNS($AC$1006:AN1006),$AC$1006:$AS$1006,0)))),"Fix")))</f>
        <v>0</v>
      </c>
      <c r="N197" s="5">
        <f>IF(OR(INDEX($W$2:$W$1001,MATCH(ROWS($V$2:V197),$V$2:$V$1001,0),1)&gt;=100000,INDEX($AC$1005:$AS$1005,1,MATCH(COLUMNS($AC$1006:AO1006),$AC$1006:$AS$1006,0))&gt;=100000), " ",IF(INDEX($AC$2:$AS$1001,MATCH(ROWS($V$2:V197),$V$2:$V$1001,0),MATCH(COLUMNS($AC$1006:AO1006),$AC$1006:$AS$1006,0)), HYPERLINK("#",""), HYPERLINK(CONCATENATE("#Metadata!", ADDRESS(INDEX($X$2:$X$1001,MATCH(ROWS($V$2:V197),$V$2:$V$1001,0),0), INDEX($AC$1004:$AS$1004,1,MATCH(COLUMNS($AC$1006:AO1006),$AC$1006:$AS$1006,0)))),"Fix")))</f>
        <v>0</v>
      </c>
      <c r="O197" s="5">
        <f>IF(OR(INDEX($W$2:$W$1001,MATCH(ROWS($V$2:V197),$V$2:$V$1001,0),1)&gt;=100000,INDEX($AC$1005:$AS$1005,1,MATCH(COLUMNS($AC$1006:AP1006),$AC$1006:$AS$1006,0))&gt;=100000), " ",IF(INDEX($AC$2:$AS$1001,MATCH(ROWS($V$2:V197),$V$2:$V$1001,0),MATCH(COLUMNS($AC$1006:AP1006),$AC$1006:$AS$1006,0)), HYPERLINK("#",""), HYPERLINK(CONCATENATE("#Metadata!", ADDRESS(INDEX($X$2:$X$1001,MATCH(ROWS($V$2:V197),$V$2:$V$1001,0),0), INDEX($AC$1004:$AS$1004,1,MATCH(COLUMNS($AC$1006:AP1006),$AC$1006:$AS$1006,0)))),"Fix")))</f>
        <v>0</v>
      </c>
      <c r="P197" s="5">
        <f>IF(OR(INDEX($W$2:$W$1001,MATCH(ROWS($V$2:V197),$V$2:$V$1001,0),1)&gt;=100000,INDEX($AC$1005:$AS$1005,1,MATCH(COLUMNS($AC$1006:AQ1006),$AC$1006:$AS$1006,0))&gt;=100000), " ",IF(INDEX($AC$2:$AS$1001,MATCH(ROWS($V$2:V197),$V$2:$V$1001,0),MATCH(COLUMNS($AC$1006:AQ1006),$AC$1006:$AS$1006,0)), HYPERLINK("#",""), HYPERLINK(CONCATENATE("#Metadata!", ADDRESS(INDEX($X$2:$X$1001,MATCH(ROWS($V$2:V197),$V$2:$V$1001,0),0), INDEX($AC$1004:$AS$1004,1,MATCH(COLUMNS($AC$1006:AQ1006),$AC$1006:$AS$1006,0)))),"Fix")))</f>
        <v>0</v>
      </c>
      <c r="Q197" s="5">
        <f>IF(OR(INDEX($W$2:$W$1001,MATCH(ROWS($V$2:V197),$V$2:$V$1001,0),1)&gt;=100000,INDEX($AC$1005:$AS$1005,1,MATCH(COLUMNS($AC$1006:AR1006),$AC$1006:$AS$1006,0))&gt;=100000), " ",IF(INDEX($AC$2:$AS$1001,MATCH(ROWS($V$2:V197),$V$2:$V$1001,0),MATCH(COLUMNS($AC$1006:AR1006),$AC$1006:$AS$1006,0)), HYPERLINK("#",""), HYPERLINK(CONCATENATE("#Metadata!", ADDRESS(INDEX($X$2:$X$1001,MATCH(ROWS($V$2:V197),$V$2:$V$1001,0),0), INDEX($AC$1004:$AS$1004,1,MATCH(COLUMNS($AC$1006:AR1006),$AC$1006:$AS$1006,0)))),"Fix")))</f>
        <v>0</v>
      </c>
      <c r="R197" s="5">
        <f>IF(OR(INDEX($W$2:$W$1001,MATCH(ROWS($V$2:V197),$V$2:$V$1001,0),1)&gt;=100000,INDEX($AC$1005:$AS$1005,1,MATCH(COLUMNS($AC$1006:AS1006),$AC$1006:$AS$1006,0))&gt;=100000), " ",IF(INDEX($AC$2:$AS$1001,MATCH(ROWS($V$2:V197),$V$2:$V$1001,0),MATCH(COLUMNS($AC$1006:AS1006),$AC$1006:$AS$1006,0)), HYPERLINK("#",""), HYPERLINK(CONCATENATE("#Metadata!", ADDRESS(INDEX($X$2:$X$1001,MATCH(ROWS($V$2:V197),$V$2:$V$1001,0),0), INDEX($AC$1004:$AS$1004,1,MATCH(COLUMNS($AC$1006:AS1006),$AC$1006:$AS$1006,0)))),"Fix")))</f>
        <v>0</v>
      </c>
      <c r="V197">
        <v>0</v>
      </c>
      <c r="W197">
        <v>0</v>
      </c>
      <c r="X197">
        <v>0</v>
      </c>
      <c r="Y197">
        <f>IF(Z197,TRUE,AND(AC197:AS197))</f>
        <v>0</v>
      </c>
      <c r="Z197">
        <f>COUNTBLANK(Metadata!B197:R197)=COLUMNS(Metadata!B197:R197)</f>
        <v>0</v>
      </c>
      <c r="AA197">
        <v>0</v>
      </c>
      <c r="AC197">
        <f>AND(IF(Metadata!B197="",FALSE,TRUE),COUNTIF(Metadata!B:B, Metadata!B197) = 1,NOT(ISERROR(SUMPRODUCT(SEARCH(MID(Metadata!B197,ROW(INDIRECT("1:"&amp;LEN(Metadata!B197))), 1),"0123456789abcdefghijklmnopqrstuvwxyzABCDEFGHIJKLMNOPQRSTUVWXYZ.")))))</f>
        <v>0</v>
      </c>
      <c r="AD197">
        <f>AND(IF(Metadata!C197="",FALSE,TRUE),exact(Metadata!C197,"Host-associated"))</f>
        <v>0</v>
      </c>
      <c r="AE197">
        <f>AND(IF(Metadata!D197="",FALSE,TRUE),OR(exact(Metadata!D197,"Animal"),exact(Metadata!D197,"Fungus"),exact(Metadata!D197,"Plant")))</f>
        <v>0</v>
      </c>
      <c r="AF197">
        <f>AND(IF(Metadata!E197="",FALSE,TRUE),OR(exact(Metadata!E197,"Plant secretion"),exact(Metadata!E197,"Plant rhizosphere"),exact(Metadata!E197,"Plant surface"),exact(Metadata!E197,"Plant corpus"),exact(Metadata!E197,"Fungus surface"),exact(Metadata!E197,"Fungus corpus"),exact(Metadata!E197,"Animal surface"),exact(Metadata!E197,"Animal proximal gut"),exact(Metadata!E197,"Animal corpus"),exact(Metadata!E197,"Animal distal gut"),exact(Metadata!E197,"Animal secretion")))</f>
        <v>0</v>
      </c>
      <c r="AG197">
        <f>OR(AND(IF(Metadata!F197="",FALSE,TRUE),OR(exact(Metadata!F197,"not collected"),exact(Metadata!F197,"not provided"),exact(Metadata!F197,"restricted access"))),AND(IF(Metadata!F197="",FALSE,TRUE),OR(exact(Metadata!F197,"organism-associated habitat"),exact(Metadata!F197,"plant-associated habitat"),exact(Metadata!F197,"animal-associated habitat"),exact(Metadata!F197,"insecta-associated habitat"),exact(Metadata!F197,"mammalia-associated habitat"),exact(Metadata!F197,"human-associated habitat"),exact(Metadata!F197,"livestock-associated habitat"))))</f>
        <v>0</v>
      </c>
      <c r="AH197">
        <f>AND(IF(Metadata!G197="",FALSE,TRUE),exact(Metadata!G197,"host-associated"))</f>
        <v>0</v>
      </c>
      <c r="AI197">
        <f>OR(AND(IF(Metadata!H197="",FALSE,TRUE),OR(exact(Metadata!H197,"not collected"),exact(Metadata!H197,"not provided"))),AND(IF(Metadata!H197="",FALSE,ISNUMBER(VALUE(Metadata!H197))),Metadata!H197&gt;0))</f>
        <v>0</v>
      </c>
      <c r="AJ197">
        <f>AND(IF(Metadata!I197="",FALSE,TRUE),exact(Metadata!I197,"years"))</f>
        <v>0</v>
      </c>
      <c r="AK197">
        <f>IF(Metadata!J197="",FALSE,TRUE)</f>
        <v>0</v>
      </c>
      <c r="AL197">
        <f>OR(AND(IF(Metadata!K197="",FALSE,TRUE),OR(exact(Metadata!K197,"not collected"),exact(Metadata!K197,"not provided"))),AND(IF(Metadata!K197="",FALSE,ISNUMBER(VALUE(Metadata!K197))),Metadata!K197&gt;0))</f>
        <v>0</v>
      </c>
      <c r="AM197">
        <f>AND(IF(Metadata!L197="",FALSE,TRUE),exact(Metadata!L197,"cm"))</f>
        <v>0</v>
      </c>
      <c r="AN197">
        <f>IF(Metadata!M197="",FALSE,TRUE)</f>
        <v>0</v>
      </c>
      <c r="AO197">
        <f>OR(AND(IF(Metadata!N197="",FALSE,TRUE),OR(exact(Metadata!N197,"not applicable"),exact(Metadata!N197,"not collected"),exact(Metadata!N197,"not provided"))),AND(IF(Metadata!N197="",FALSE,IF(ISERROR(INT(Metadata!N197)),FALSE,INT(Metadata!N197)=Metadata!N197)),Metadata!N197&gt;0))</f>
        <v>0</v>
      </c>
      <c r="AP197">
        <f>OR(AND(IF(Metadata!O197="",FALSE,TRUE),OR(exact(Metadata!O197,"not collected"),exact(Metadata!O197,"not provided"))),AND(IF(Metadata!O197="",FALSE,ISNUMBER(VALUE(Metadata!O197))),Metadata!O197&gt;0))</f>
        <v>0</v>
      </c>
      <c r="AQ197">
        <f>AND(IF(Metadata!P197="",FALSE,TRUE),exact(Metadata!P197,"kg"))</f>
        <v>0</v>
      </c>
      <c r="AR197">
        <f>OR(AND(IF(Metadata!Q197="",FALSE,TRUE),OR(exact(Metadata!Q197,"not applicable"),exact(Metadata!Q197,"not collected"),exact(Metadata!Q197,"not provided"),exact(Metadata!Q197,"restricted access"))),IF(Metadata!Q197="",FALSE,IF(ISERROR(INT(Metadata!Q197)),FALSE,INT(Metadata!Q197)=Metadata!Q197)))</f>
        <v>0</v>
      </c>
      <c r="AS197">
        <f>AND(IF(Metadata!R197="",FALSE,TRUE),exact(Metadata!R197,"Not applicable"))</f>
        <v>0</v>
      </c>
    </row>
    <row r="198" spans="1:45">
      <c r="A198" s="4">
        <f>IF(B198=" "," ",HYPERLINK(CONCATENATE("#metadata!",ADDRESS(INDEX($X$2:$X$1001,MATCH(ROWS($V$2:V198),$V$2:$V$1001,0),0),2)),INDEX($AA$2:$AA$1001,MATCH(ROWS($V$2:V198),$V$2:$V$1001,0),0)))</f>
        <v>0</v>
      </c>
      <c r="B198" s="5">
        <f>IF(OR(INDEX($W$2:$W$1001,MATCH(ROWS($V$2:V198),$V$2:$V$1001,0),1)&gt;=100000,INDEX($AC$1005:$AS$1005,1,MATCH(COLUMNS($AC$1006:AC1006),$AC$1006:$AS$1006,0))&gt;=100000), " ",IF(INDEX($AC$2:$AS$1001,MATCH(ROWS($V$2:V198),$V$2:$V$1001,0),MATCH(COLUMNS($AC$1006:AC1006),$AC$1006:$AS$1006,0)), HYPERLINK("#",""), HYPERLINK(CONCATENATE("#Metadata!", ADDRESS(INDEX($X$2:$X$1001,MATCH(ROWS($V$2:V198),$V$2:$V$1001,0),0), INDEX($AC$1004:$AS$1004,1,MATCH(COLUMNS($AC$1006:AC1006),$AC$1006:$AS$1006,0)))),"Fix")))</f>
        <v>0</v>
      </c>
      <c r="C198" s="5">
        <f>IF(OR(INDEX($W$2:$W$1001,MATCH(ROWS($V$2:V198),$V$2:$V$1001,0),1)&gt;=100000,INDEX($AC$1005:$AS$1005,1,MATCH(COLUMNS($AC$1006:AD1006),$AC$1006:$AS$1006,0))&gt;=100000), " ",IF(INDEX($AC$2:$AS$1001,MATCH(ROWS($V$2:V198),$V$2:$V$1001,0),MATCH(COLUMNS($AC$1006:AD1006),$AC$1006:$AS$1006,0)), HYPERLINK("#",""), HYPERLINK(CONCATENATE("#Metadata!", ADDRESS(INDEX($X$2:$X$1001,MATCH(ROWS($V$2:V198),$V$2:$V$1001,0),0), INDEX($AC$1004:$AS$1004,1,MATCH(COLUMNS($AC$1006:AD1006),$AC$1006:$AS$1006,0)))),"Fix")))</f>
        <v>0</v>
      </c>
      <c r="D198" s="5">
        <f>IF(OR(INDEX($W$2:$W$1001,MATCH(ROWS($V$2:V198),$V$2:$V$1001,0),1)&gt;=100000,INDEX($AC$1005:$AS$1005,1,MATCH(COLUMNS($AC$1006:AE1006),$AC$1006:$AS$1006,0))&gt;=100000), " ",IF(INDEX($AC$2:$AS$1001,MATCH(ROWS($V$2:V198),$V$2:$V$1001,0),MATCH(COLUMNS($AC$1006:AE1006),$AC$1006:$AS$1006,0)), HYPERLINK("#",""), HYPERLINK(CONCATENATE("#Metadata!", ADDRESS(INDEX($X$2:$X$1001,MATCH(ROWS($V$2:V198),$V$2:$V$1001,0),0), INDEX($AC$1004:$AS$1004,1,MATCH(COLUMNS($AC$1006:AE1006),$AC$1006:$AS$1006,0)))),"Fix")))</f>
        <v>0</v>
      </c>
      <c r="E198" s="5">
        <f>IF(OR(INDEX($W$2:$W$1001,MATCH(ROWS($V$2:V198),$V$2:$V$1001,0),1)&gt;=100000,INDEX($AC$1005:$AS$1005,1,MATCH(COLUMNS($AC$1006:AF1006),$AC$1006:$AS$1006,0))&gt;=100000), " ",IF(INDEX($AC$2:$AS$1001,MATCH(ROWS($V$2:V198),$V$2:$V$1001,0),MATCH(COLUMNS($AC$1006:AF1006),$AC$1006:$AS$1006,0)), HYPERLINK("#",""), HYPERLINK(CONCATENATE("#Metadata!", ADDRESS(INDEX($X$2:$X$1001,MATCH(ROWS($V$2:V198),$V$2:$V$1001,0),0), INDEX($AC$1004:$AS$1004,1,MATCH(COLUMNS($AC$1006:AF1006),$AC$1006:$AS$1006,0)))),"Fix")))</f>
        <v>0</v>
      </c>
      <c r="F198" s="5">
        <f>IF(OR(INDEX($W$2:$W$1001,MATCH(ROWS($V$2:V198),$V$2:$V$1001,0),1)&gt;=100000,INDEX($AC$1005:$AS$1005,1,MATCH(COLUMNS($AC$1006:AG1006),$AC$1006:$AS$1006,0))&gt;=100000), " ",IF(INDEX($AC$2:$AS$1001,MATCH(ROWS($V$2:V198),$V$2:$V$1001,0),MATCH(COLUMNS($AC$1006:AG1006),$AC$1006:$AS$1006,0)), HYPERLINK("#",""), HYPERLINK(CONCATENATE("#Metadata!", ADDRESS(INDEX($X$2:$X$1001,MATCH(ROWS($V$2:V198),$V$2:$V$1001,0),0), INDEX($AC$1004:$AS$1004,1,MATCH(COLUMNS($AC$1006:AG1006),$AC$1006:$AS$1006,0)))),"Fix")))</f>
        <v>0</v>
      </c>
      <c r="G198" s="5">
        <f>IF(OR(INDEX($W$2:$W$1001,MATCH(ROWS($V$2:V198),$V$2:$V$1001,0),1)&gt;=100000,INDEX($AC$1005:$AS$1005,1,MATCH(COLUMNS($AC$1006:AH1006),$AC$1006:$AS$1006,0))&gt;=100000), " ",IF(INDEX($AC$2:$AS$1001,MATCH(ROWS($V$2:V198),$V$2:$V$1001,0),MATCH(COLUMNS($AC$1006:AH1006),$AC$1006:$AS$1006,0)), HYPERLINK("#",""), HYPERLINK(CONCATENATE("#Metadata!", ADDRESS(INDEX($X$2:$X$1001,MATCH(ROWS($V$2:V198),$V$2:$V$1001,0),0), INDEX($AC$1004:$AS$1004,1,MATCH(COLUMNS($AC$1006:AH1006),$AC$1006:$AS$1006,0)))),"Fix")))</f>
        <v>0</v>
      </c>
      <c r="H198" s="5">
        <f>IF(OR(INDEX($W$2:$W$1001,MATCH(ROWS($V$2:V198),$V$2:$V$1001,0),1)&gt;=100000,INDEX($AC$1005:$AS$1005,1,MATCH(COLUMNS($AC$1006:AI1006),$AC$1006:$AS$1006,0))&gt;=100000), " ",IF(INDEX($AC$2:$AS$1001,MATCH(ROWS($V$2:V198),$V$2:$V$1001,0),MATCH(COLUMNS($AC$1006:AI1006),$AC$1006:$AS$1006,0)), HYPERLINK("#",""), HYPERLINK(CONCATENATE("#Metadata!", ADDRESS(INDEX($X$2:$X$1001,MATCH(ROWS($V$2:V198),$V$2:$V$1001,0),0), INDEX($AC$1004:$AS$1004,1,MATCH(COLUMNS($AC$1006:AI1006),$AC$1006:$AS$1006,0)))),"Fix")))</f>
        <v>0</v>
      </c>
      <c r="I198" s="5">
        <f>IF(OR(INDEX($W$2:$W$1001,MATCH(ROWS($V$2:V198),$V$2:$V$1001,0),1)&gt;=100000,INDEX($AC$1005:$AS$1005,1,MATCH(COLUMNS($AC$1006:AJ1006),$AC$1006:$AS$1006,0))&gt;=100000), " ",IF(INDEX($AC$2:$AS$1001,MATCH(ROWS($V$2:V198),$V$2:$V$1001,0),MATCH(COLUMNS($AC$1006:AJ1006),$AC$1006:$AS$1006,0)), HYPERLINK("#",""), HYPERLINK(CONCATENATE("#Metadata!", ADDRESS(INDEX($X$2:$X$1001,MATCH(ROWS($V$2:V198),$V$2:$V$1001,0),0), INDEX($AC$1004:$AS$1004,1,MATCH(COLUMNS($AC$1006:AJ1006),$AC$1006:$AS$1006,0)))),"Fix")))</f>
        <v>0</v>
      </c>
      <c r="J198" s="5">
        <f>IF(OR(INDEX($W$2:$W$1001,MATCH(ROWS($V$2:V198),$V$2:$V$1001,0),1)&gt;=100000,INDEX($AC$1005:$AS$1005,1,MATCH(COLUMNS($AC$1006:AK1006),$AC$1006:$AS$1006,0))&gt;=100000), " ",IF(INDEX($AC$2:$AS$1001,MATCH(ROWS($V$2:V198),$V$2:$V$1001,0),MATCH(COLUMNS($AC$1006:AK1006),$AC$1006:$AS$1006,0)), HYPERLINK("#",""), HYPERLINK(CONCATENATE("#Metadata!", ADDRESS(INDEX($X$2:$X$1001,MATCH(ROWS($V$2:V198),$V$2:$V$1001,0),0), INDEX($AC$1004:$AS$1004,1,MATCH(COLUMNS($AC$1006:AK1006),$AC$1006:$AS$1006,0)))),"Fix")))</f>
        <v>0</v>
      </c>
      <c r="K198" s="5">
        <f>IF(OR(INDEX($W$2:$W$1001,MATCH(ROWS($V$2:V198),$V$2:$V$1001,0),1)&gt;=100000,INDEX($AC$1005:$AS$1005,1,MATCH(COLUMNS($AC$1006:AL1006),$AC$1006:$AS$1006,0))&gt;=100000), " ",IF(INDEX($AC$2:$AS$1001,MATCH(ROWS($V$2:V198),$V$2:$V$1001,0),MATCH(COLUMNS($AC$1006:AL1006),$AC$1006:$AS$1006,0)), HYPERLINK("#",""), HYPERLINK(CONCATENATE("#Metadata!", ADDRESS(INDEX($X$2:$X$1001,MATCH(ROWS($V$2:V198),$V$2:$V$1001,0),0), INDEX($AC$1004:$AS$1004,1,MATCH(COLUMNS($AC$1006:AL1006),$AC$1006:$AS$1006,0)))),"Fix")))</f>
        <v>0</v>
      </c>
      <c r="L198" s="5">
        <f>IF(OR(INDEX($W$2:$W$1001,MATCH(ROWS($V$2:V198),$V$2:$V$1001,0),1)&gt;=100000,INDEX($AC$1005:$AS$1005,1,MATCH(COLUMNS($AC$1006:AM1006),$AC$1006:$AS$1006,0))&gt;=100000), " ",IF(INDEX($AC$2:$AS$1001,MATCH(ROWS($V$2:V198),$V$2:$V$1001,0),MATCH(COLUMNS($AC$1006:AM1006),$AC$1006:$AS$1006,0)), HYPERLINK("#",""), HYPERLINK(CONCATENATE("#Metadata!", ADDRESS(INDEX($X$2:$X$1001,MATCH(ROWS($V$2:V198),$V$2:$V$1001,0),0), INDEX($AC$1004:$AS$1004,1,MATCH(COLUMNS($AC$1006:AM1006),$AC$1006:$AS$1006,0)))),"Fix")))</f>
        <v>0</v>
      </c>
      <c r="M198" s="5">
        <f>IF(OR(INDEX($W$2:$W$1001,MATCH(ROWS($V$2:V198),$V$2:$V$1001,0),1)&gt;=100000,INDEX($AC$1005:$AS$1005,1,MATCH(COLUMNS($AC$1006:AN1006),$AC$1006:$AS$1006,0))&gt;=100000), " ",IF(INDEX($AC$2:$AS$1001,MATCH(ROWS($V$2:V198),$V$2:$V$1001,0),MATCH(COLUMNS($AC$1006:AN1006),$AC$1006:$AS$1006,0)), HYPERLINK("#",""), HYPERLINK(CONCATENATE("#Metadata!", ADDRESS(INDEX($X$2:$X$1001,MATCH(ROWS($V$2:V198),$V$2:$V$1001,0),0), INDEX($AC$1004:$AS$1004,1,MATCH(COLUMNS($AC$1006:AN1006),$AC$1006:$AS$1006,0)))),"Fix")))</f>
        <v>0</v>
      </c>
      <c r="N198" s="5">
        <f>IF(OR(INDEX($W$2:$W$1001,MATCH(ROWS($V$2:V198),$V$2:$V$1001,0),1)&gt;=100000,INDEX($AC$1005:$AS$1005,1,MATCH(COLUMNS($AC$1006:AO1006),$AC$1006:$AS$1006,0))&gt;=100000), " ",IF(INDEX($AC$2:$AS$1001,MATCH(ROWS($V$2:V198),$V$2:$V$1001,0),MATCH(COLUMNS($AC$1006:AO1006),$AC$1006:$AS$1006,0)), HYPERLINK("#",""), HYPERLINK(CONCATENATE("#Metadata!", ADDRESS(INDEX($X$2:$X$1001,MATCH(ROWS($V$2:V198),$V$2:$V$1001,0),0), INDEX($AC$1004:$AS$1004,1,MATCH(COLUMNS($AC$1006:AO1006),$AC$1006:$AS$1006,0)))),"Fix")))</f>
        <v>0</v>
      </c>
      <c r="O198" s="5">
        <f>IF(OR(INDEX($W$2:$W$1001,MATCH(ROWS($V$2:V198),$V$2:$V$1001,0),1)&gt;=100000,INDEX($AC$1005:$AS$1005,1,MATCH(COLUMNS($AC$1006:AP1006),$AC$1006:$AS$1006,0))&gt;=100000), " ",IF(INDEX($AC$2:$AS$1001,MATCH(ROWS($V$2:V198),$V$2:$V$1001,0),MATCH(COLUMNS($AC$1006:AP1006),$AC$1006:$AS$1006,0)), HYPERLINK("#",""), HYPERLINK(CONCATENATE("#Metadata!", ADDRESS(INDEX($X$2:$X$1001,MATCH(ROWS($V$2:V198),$V$2:$V$1001,0),0), INDEX($AC$1004:$AS$1004,1,MATCH(COLUMNS($AC$1006:AP1006),$AC$1006:$AS$1006,0)))),"Fix")))</f>
        <v>0</v>
      </c>
      <c r="P198" s="5">
        <f>IF(OR(INDEX($W$2:$W$1001,MATCH(ROWS($V$2:V198),$V$2:$V$1001,0),1)&gt;=100000,INDEX($AC$1005:$AS$1005,1,MATCH(COLUMNS($AC$1006:AQ1006),$AC$1006:$AS$1006,0))&gt;=100000), " ",IF(INDEX($AC$2:$AS$1001,MATCH(ROWS($V$2:V198),$V$2:$V$1001,0),MATCH(COLUMNS($AC$1006:AQ1006),$AC$1006:$AS$1006,0)), HYPERLINK("#",""), HYPERLINK(CONCATENATE("#Metadata!", ADDRESS(INDEX($X$2:$X$1001,MATCH(ROWS($V$2:V198),$V$2:$V$1001,0),0), INDEX($AC$1004:$AS$1004,1,MATCH(COLUMNS($AC$1006:AQ1006),$AC$1006:$AS$1006,0)))),"Fix")))</f>
        <v>0</v>
      </c>
      <c r="Q198" s="5">
        <f>IF(OR(INDEX($W$2:$W$1001,MATCH(ROWS($V$2:V198),$V$2:$V$1001,0),1)&gt;=100000,INDEX($AC$1005:$AS$1005,1,MATCH(COLUMNS($AC$1006:AR1006),$AC$1006:$AS$1006,0))&gt;=100000), " ",IF(INDEX($AC$2:$AS$1001,MATCH(ROWS($V$2:V198),$V$2:$V$1001,0),MATCH(COLUMNS($AC$1006:AR1006),$AC$1006:$AS$1006,0)), HYPERLINK("#",""), HYPERLINK(CONCATENATE("#Metadata!", ADDRESS(INDEX($X$2:$X$1001,MATCH(ROWS($V$2:V198),$V$2:$V$1001,0),0), INDEX($AC$1004:$AS$1004,1,MATCH(COLUMNS($AC$1006:AR1006),$AC$1006:$AS$1006,0)))),"Fix")))</f>
        <v>0</v>
      </c>
      <c r="R198" s="5">
        <f>IF(OR(INDEX($W$2:$W$1001,MATCH(ROWS($V$2:V198),$V$2:$V$1001,0),1)&gt;=100000,INDEX($AC$1005:$AS$1005,1,MATCH(COLUMNS($AC$1006:AS1006),$AC$1006:$AS$1006,0))&gt;=100000), " ",IF(INDEX($AC$2:$AS$1001,MATCH(ROWS($V$2:V198),$V$2:$V$1001,0),MATCH(COLUMNS($AC$1006:AS1006),$AC$1006:$AS$1006,0)), HYPERLINK("#",""), HYPERLINK(CONCATENATE("#Metadata!", ADDRESS(INDEX($X$2:$X$1001,MATCH(ROWS($V$2:V198),$V$2:$V$1001,0),0), INDEX($AC$1004:$AS$1004,1,MATCH(COLUMNS($AC$1006:AS1006),$AC$1006:$AS$1006,0)))),"Fix")))</f>
        <v>0</v>
      </c>
      <c r="V198">
        <v>0</v>
      </c>
      <c r="W198">
        <v>0</v>
      </c>
      <c r="X198">
        <v>0</v>
      </c>
      <c r="Y198">
        <f>IF(Z198,TRUE,AND(AC198:AS198))</f>
        <v>0</v>
      </c>
      <c r="Z198">
        <f>COUNTBLANK(Metadata!B198:R198)=COLUMNS(Metadata!B198:R198)</f>
        <v>0</v>
      </c>
      <c r="AA198">
        <v>0</v>
      </c>
      <c r="AC198">
        <f>AND(IF(Metadata!B198="",FALSE,TRUE),COUNTIF(Metadata!B:B, Metadata!B198) = 1,NOT(ISERROR(SUMPRODUCT(SEARCH(MID(Metadata!B198,ROW(INDIRECT("1:"&amp;LEN(Metadata!B198))), 1),"0123456789abcdefghijklmnopqrstuvwxyzABCDEFGHIJKLMNOPQRSTUVWXYZ.")))))</f>
        <v>0</v>
      </c>
      <c r="AD198">
        <f>AND(IF(Metadata!C198="",FALSE,TRUE),exact(Metadata!C198,"Host-associated"))</f>
        <v>0</v>
      </c>
      <c r="AE198">
        <f>AND(IF(Metadata!D198="",FALSE,TRUE),OR(exact(Metadata!D198,"Animal"),exact(Metadata!D198,"Fungus"),exact(Metadata!D198,"Plant")))</f>
        <v>0</v>
      </c>
      <c r="AF198">
        <f>AND(IF(Metadata!E198="",FALSE,TRUE),OR(exact(Metadata!E198,"Plant secretion"),exact(Metadata!E198,"Plant rhizosphere"),exact(Metadata!E198,"Plant surface"),exact(Metadata!E198,"Plant corpus"),exact(Metadata!E198,"Fungus surface"),exact(Metadata!E198,"Fungus corpus"),exact(Metadata!E198,"Animal surface"),exact(Metadata!E198,"Animal proximal gut"),exact(Metadata!E198,"Animal corpus"),exact(Metadata!E198,"Animal distal gut"),exact(Metadata!E198,"Animal secretion")))</f>
        <v>0</v>
      </c>
      <c r="AG198">
        <f>OR(AND(IF(Metadata!F198="",FALSE,TRUE),OR(exact(Metadata!F198,"not collected"),exact(Metadata!F198,"not provided"),exact(Metadata!F198,"restricted access"))),AND(IF(Metadata!F198="",FALSE,TRUE),OR(exact(Metadata!F198,"organism-associated habitat"),exact(Metadata!F198,"plant-associated habitat"),exact(Metadata!F198,"animal-associated habitat"),exact(Metadata!F198,"insecta-associated habitat"),exact(Metadata!F198,"mammalia-associated habitat"),exact(Metadata!F198,"human-associated habitat"),exact(Metadata!F198,"livestock-associated habitat"))))</f>
        <v>0</v>
      </c>
      <c r="AH198">
        <f>AND(IF(Metadata!G198="",FALSE,TRUE),exact(Metadata!G198,"host-associated"))</f>
        <v>0</v>
      </c>
      <c r="AI198">
        <f>OR(AND(IF(Metadata!H198="",FALSE,TRUE),OR(exact(Metadata!H198,"not collected"),exact(Metadata!H198,"not provided"))),AND(IF(Metadata!H198="",FALSE,ISNUMBER(VALUE(Metadata!H198))),Metadata!H198&gt;0))</f>
        <v>0</v>
      </c>
      <c r="AJ198">
        <f>AND(IF(Metadata!I198="",FALSE,TRUE),exact(Metadata!I198,"years"))</f>
        <v>0</v>
      </c>
      <c r="AK198">
        <f>IF(Metadata!J198="",FALSE,TRUE)</f>
        <v>0</v>
      </c>
      <c r="AL198">
        <f>OR(AND(IF(Metadata!K198="",FALSE,TRUE),OR(exact(Metadata!K198,"not collected"),exact(Metadata!K198,"not provided"))),AND(IF(Metadata!K198="",FALSE,ISNUMBER(VALUE(Metadata!K198))),Metadata!K198&gt;0))</f>
        <v>0</v>
      </c>
      <c r="AM198">
        <f>AND(IF(Metadata!L198="",FALSE,TRUE),exact(Metadata!L198,"cm"))</f>
        <v>0</v>
      </c>
      <c r="AN198">
        <f>IF(Metadata!M198="",FALSE,TRUE)</f>
        <v>0</v>
      </c>
      <c r="AO198">
        <f>OR(AND(IF(Metadata!N198="",FALSE,TRUE),OR(exact(Metadata!N198,"not applicable"),exact(Metadata!N198,"not collected"),exact(Metadata!N198,"not provided"))),AND(IF(Metadata!N198="",FALSE,IF(ISERROR(INT(Metadata!N198)),FALSE,INT(Metadata!N198)=Metadata!N198)),Metadata!N198&gt;0))</f>
        <v>0</v>
      </c>
      <c r="AP198">
        <f>OR(AND(IF(Metadata!O198="",FALSE,TRUE),OR(exact(Metadata!O198,"not collected"),exact(Metadata!O198,"not provided"))),AND(IF(Metadata!O198="",FALSE,ISNUMBER(VALUE(Metadata!O198))),Metadata!O198&gt;0))</f>
        <v>0</v>
      </c>
      <c r="AQ198">
        <f>AND(IF(Metadata!P198="",FALSE,TRUE),exact(Metadata!P198,"kg"))</f>
        <v>0</v>
      </c>
      <c r="AR198">
        <f>OR(AND(IF(Metadata!Q198="",FALSE,TRUE),OR(exact(Metadata!Q198,"not applicable"),exact(Metadata!Q198,"not collected"),exact(Metadata!Q198,"not provided"),exact(Metadata!Q198,"restricted access"))),IF(Metadata!Q198="",FALSE,IF(ISERROR(INT(Metadata!Q198)),FALSE,INT(Metadata!Q198)=Metadata!Q198)))</f>
        <v>0</v>
      </c>
      <c r="AS198">
        <f>AND(IF(Metadata!R198="",FALSE,TRUE),exact(Metadata!R198,"Not applicable"))</f>
        <v>0</v>
      </c>
    </row>
    <row r="199" spans="1:45">
      <c r="A199" s="4">
        <f>IF(B199=" "," ",HYPERLINK(CONCATENATE("#metadata!",ADDRESS(INDEX($X$2:$X$1001,MATCH(ROWS($V$2:V199),$V$2:$V$1001,0),0),2)),INDEX($AA$2:$AA$1001,MATCH(ROWS($V$2:V199),$V$2:$V$1001,0),0)))</f>
        <v>0</v>
      </c>
      <c r="B199" s="5">
        <f>IF(OR(INDEX($W$2:$W$1001,MATCH(ROWS($V$2:V199),$V$2:$V$1001,0),1)&gt;=100000,INDEX($AC$1005:$AS$1005,1,MATCH(COLUMNS($AC$1006:AC1006),$AC$1006:$AS$1006,0))&gt;=100000), " ",IF(INDEX($AC$2:$AS$1001,MATCH(ROWS($V$2:V199),$V$2:$V$1001,0),MATCH(COLUMNS($AC$1006:AC1006),$AC$1006:$AS$1006,0)), HYPERLINK("#",""), HYPERLINK(CONCATENATE("#Metadata!", ADDRESS(INDEX($X$2:$X$1001,MATCH(ROWS($V$2:V199),$V$2:$V$1001,0),0), INDEX($AC$1004:$AS$1004,1,MATCH(COLUMNS($AC$1006:AC1006),$AC$1006:$AS$1006,0)))),"Fix")))</f>
        <v>0</v>
      </c>
      <c r="C199" s="5">
        <f>IF(OR(INDEX($W$2:$W$1001,MATCH(ROWS($V$2:V199),$V$2:$V$1001,0),1)&gt;=100000,INDEX($AC$1005:$AS$1005,1,MATCH(COLUMNS($AC$1006:AD1006),$AC$1006:$AS$1006,0))&gt;=100000), " ",IF(INDEX($AC$2:$AS$1001,MATCH(ROWS($V$2:V199),$V$2:$V$1001,0),MATCH(COLUMNS($AC$1006:AD1006),$AC$1006:$AS$1006,0)), HYPERLINK("#",""), HYPERLINK(CONCATENATE("#Metadata!", ADDRESS(INDEX($X$2:$X$1001,MATCH(ROWS($V$2:V199),$V$2:$V$1001,0),0), INDEX($AC$1004:$AS$1004,1,MATCH(COLUMNS($AC$1006:AD1006),$AC$1006:$AS$1006,0)))),"Fix")))</f>
        <v>0</v>
      </c>
      <c r="D199" s="5">
        <f>IF(OR(INDEX($W$2:$W$1001,MATCH(ROWS($V$2:V199),$V$2:$V$1001,0),1)&gt;=100000,INDEX($AC$1005:$AS$1005,1,MATCH(COLUMNS($AC$1006:AE1006),$AC$1006:$AS$1006,0))&gt;=100000), " ",IF(INDEX($AC$2:$AS$1001,MATCH(ROWS($V$2:V199),$V$2:$V$1001,0),MATCH(COLUMNS($AC$1006:AE1006),$AC$1006:$AS$1006,0)), HYPERLINK("#",""), HYPERLINK(CONCATENATE("#Metadata!", ADDRESS(INDEX($X$2:$X$1001,MATCH(ROWS($V$2:V199),$V$2:$V$1001,0),0), INDEX($AC$1004:$AS$1004,1,MATCH(COLUMNS($AC$1006:AE1006),$AC$1006:$AS$1006,0)))),"Fix")))</f>
        <v>0</v>
      </c>
      <c r="E199" s="5">
        <f>IF(OR(INDEX($W$2:$W$1001,MATCH(ROWS($V$2:V199),$V$2:$V$1001,0),1)&gt;=100000,INDEX($AC$1005:$AS$1005,1,MATCH(COLUMNS($AC$1006:AF1006),$AC$1006:$AS$1006,0))&gt;=100000), " ",IF(INDEX($AC$2:$AS$1001,MATCH(ROWS($V$2:V199),$V$2:$V$1001,0),MATCH(COLUMNS($AC$1006:AF1006),$AC$1006:$AS$1006,0)), HYPERLINK("#",""), HYPERLINK(CONCATENATE("#Metadata!", ADDRESS(INDEX($X$2:$X$1001,MATCH(ROWS($V$2:V199),$V$2:$V$1001,0),0), INDEX($AC$1004:$AS$1004,1,MATCH(COLUMNS($AC$1006:AF1006),$AC$1006:$AS$1006,0)))),"Fix")))</f>
        <v>0</v>
      </c>
      <c r="F199" s="5">
        <f>IF(OR(INDEX($W$2:$W$1001,MATCH(ROWS($V$2:V199),$V$2:$V$1001,0),1)&gt;=100000,INDEX($AC$1005:$AS$1005,1,MATCH(COLUMNS($AC$1006:AG1006),$AC$1006:$AS$1006,0))&gt;=100000), " ",IF(INDEX($AC$2:$AS$1001,MATCH(ROWS($V$2:V199),$V$2:$V$1001,0),MATCH(COLUMNS($AC$1006:AG1006),$AC$1006:$AS$1006,0)), HYPERLINK("#",""), HYPERLINK(CONCATENATE("#Metadata!", ADDRESS(INDEX($X$2:$X$1001,MATCH(ROWS($V$2:V199),$V$2:$V$1001,0),0), INDEX($AC$1004:$AS$1004,1,MATCH(COLUMNS($AC$1006:AG1006),$AC$1006:$AS$1006,0)))),"Fix")))</f>
        <v>0</v>
      </c>
      <c r="G199" s="5">
        <f>IF(OR(INDEX($W$2:$W$1001,MATCH(ROWS($V$2:V199),$V$2:$V$1001,0),1)&gt;=100000,INDEX($AC$1005:$AS$1005,1,MATCH(COLUMNS($AC$1006:AH1006),$AC$1006:$AS$1006,0))&gt;=100000), " ",IF(INDEX($AC$2:$AS$1001,MATCH(ROWS($V$2:V199),$V$2:$V$1001,0),MATCH(COLUMNS($AC$1006:AH1006),$AC$1006:$AS$1006,0)), HYPERLINK("#",""), HYPERLINK(CONCATENATE("#Metadata!", ADDRESS(INDEX($X$2:$X$1001,MATCH(ROWS($V$2:V199),$V$2:$V$1001,0),0), INDEX($AC$1004:$AS$1004,1,MATCH(COLUMNS($AC$1006:AH1006),$AC$1006:$AS$1006,0)))),"Fix")))</f>
        <v>0</v>
      </c>
      <c r="H199" s="5">
        <f>IF(OR(INDEX($W$2:$W$1001,MATCH(ROWS($V$2:V199),$V$2:$V$1001,0),1)&gt;=100000,INDEX($AC$1005:$AS$1005,1,MATCH(COLUMNS($AC$1006:AI1006),$AC$1006:$AS$1006,0))&gt;=100000), " ",IF(INDEX($AC$2:$AS$1001,MATCH(ROWS($V$2:V199),$V$2:$V$1001,0),MATCH(COLUMNS($AC$1006:AI1006),$AC$1006:$AS$1006,0)), HYPERLINK("#",""), HYPERLINK(CONCATENATE("#Metadata!", ADDRESS(INDEX($X$2:$X$1001,MATCH(ROWS($V$2:V199),$V$2:$V$1001,0),0), INDEX($AC$1004:$AS$1004,1,MATCH(COLUMNS($AC$1006:AI1006),$AC$1006:$AS$1006,0)))),"Fix")))</f>
        <v>0</v>
      </c>
      <c r="I199" s="5">
        <f>IF(OR(INDEX($W$2:$W$1001,MATCH(ROWS($V$2:V199),$V$2:$V$1001,0),1)&gt;=100000,INDEX($AC$1005:$AS$1005,1,MATCH(COLUMNS($AC$1006:AJ1006),$AC$1006:$AS$1006,0))&gt;=100000), " ",IF(INDEX($AC$2:$AS$1001,MATCH(ROWS($V$2:V199),$V$2:$V$1001,0),MATCH(COLUMNS($AC$1006:AJ1006),$AC$1006:$AS$1006,0)), HYPERLINK("#",""), HYPERLINK(CONCATENATE("#Metadata!", ADDRESS(INDEX($X$2:$X$1001,MATCH(ROWS($V$2:V199),$V$2:$V$1001,0),0), INDEX($AC$1004:$AS$1004,1,MATCH(COLUMNS($AC$1006:AJ1006),$AC$1006:$AS$1006,0)))),"Fix")))</f>
        <v>0</v>
      </c>
      <c r="J199" s="5">
        <f>IF(OR(INDEX($W$2:$W$1001,MATCH(ROWS($V$2:V199),$V$2:$V$1001,0),1)&gt;=100000,INDEX($AC$1005:$AS$1005,1,MATCH(COLUMNS($AC$1006:AK1006),$AC$1006:$AS$1006,0))&gt;=100000), " ",IF(INDEX($AC$2:$AS$1001,MATCH(ROWS($V$2:V199),$V$2:$V$1001,0),MATCH(COLUMNS($AC$1006:AK1006),$AC$1006:$AS$1006,0)), HYPERLINK("#",""), HYPERLINK(CONCATENATE("#Metadata!", ADDRESS(INDEX($X$2:$X$1001,MATCH(ROWS($V$2:V199),$V$2:$V$1001,0),0), INDEX($AC$1004:$AS$1004,1,MATCH(COLUMNS($AC$1006:AK1006),$AC$1006:$AS$1006,0)))),"Fix")))</f>
        <v>0</v>
      </c>
      <c r="K199" s="5">
        <f>IF(OR(INDEX($W$2:$W$1001,MATCH(ROWS($V$2:V199),$V$2:$V$1001,0),1)&gt;=100000,INDEX($AC$1005:$AS$1005,1,MATCH(COLUMNS($AC$1006:AL1006),$AC$1006:$AS$1006,0))&gt;=100000), " ",IF(INDEX($AC$2:$AS$1001,MATCH(ROWS($V$2:V199),$V$2:$V$1001,0),MATCH(COLUMNS($AC$1006:AL1006),$AC$1006:$AS$1006,0)), HYPERLINK("#",""), HYPERLINK(CONCATENATE("#Metadata!", ADDRESS(INDEX($X$2:$X$1001,MATCH(ROWS($V$2:V199),$V$2:$V$1001,0),0), INDEX($AC$1004:$AS$1004,1,MATCH(COLUMNS($AC$1006:AL1006),$AC$1006:$AS$1006,0)))),"Fix")))</f>
        <v>0</v>
      </c>
      <c r="L199" s="5">
        <f>IF(OR(INDEX($W$2:$W$1001,MATCH(ROWS($V$2:V199),$V$2:$V$1001,0),1)&gt;=100000,INDEX($AC$1005:$AS$1005,1,MATCH(COLUMNS($AC$1006:AM1006),$AC$1006:$AS$1006,0))&gt;=100000), " ",IF(INDEX($AC$2:$AS$1001,MATCH(ROWS($V$2:V199),$V$2:$V$1001,0),MATCH(COLUMNS($AC$1006:AM1006),$AC$1006:$AS$1006,0)), HYPERLINK("#",""), HYPERLINK(CONCATENATE("#Metadata!", ADDRESS(INDEX($X$2:$X$1001,MATCH(ROWS($V$2:V199),$V$2:$V$1001,0),0), INDEX($AC$1004:$AS$1004,1,MATCH(COLUMNS($AC$1006:AM1006),$AC$1006:$AS$1006,0)))),"Fix")))</f>
        <v>0</v>
      </c>
      <c r="M199" s="5">
        <f>IF(OR(INDEX($W$2:$W$1001,MATCH(ROWS($V$2:V199),$V$2:$V$1001,0),1)&gt;=100000,INDEX($AC$1005:$AS$1005,1,MATCH(COLUMNS($AC$1006:AN1006),$AC$1006:$AS$1006,0))&gt;=100000), " ",IF(INDEX($AC$2:$AS$1001,MATCH(ROWS($V$2:V199),$V$2:$V$1001,0),MATCH(COLUMNS($AC$1006:AN1006),$AC$1006:$AS$1006,0)), HYPERLINK("#",""), HYPERLINK(CONCATENATE("#Metadata!", ADDRESS(INDEX($X$2:$X$1001,MATCH(ROWS($V$2:V199),$V$2:$V$1001,0),0), INDEX($AC$1004:$AS$1004,1,MATCH(COLUMNS($AC$1006:AN1006),$AC$1006:$AS$1006,0)))),"Fix")))</f>
        <v>0</v>
      </c>
      <c r="N199" s="5">
        <f>IF(OR(INDEX($W$2:$W$1001,MATCH(ROWS($V$2:V199),$V$2:$V$1001,0),1)&gt;=100000,INDEX($AC$1005:$AS$1005,1,MATCH(COLUMNS($AC$1006:AO1006),$AC$1006:$AS$1006,0))&gt;=100000), " ",IF(INDEX($AC$2:$AS$1001,MATCH(ROWS($V$2:V199),$V$2:$V$1001,0),MATCH(COLUMNS($AC$1006:AO1006),$AC$1006:$AS$1006,0)), HYPERLINK("#",""), HYPERLINK(CONCATENATE("#Metadata!", ADDRESS(INDEX($X$2:$X$1001,MATCH(ROWS($V$2:V199),$V$2:$V$1001,0),0), INDEX($AC$1004:$AS$1004,1,MATCH(COLUMNS($AC$1006:AO1006),$AC$1006:$AS$1006,0)))),"Fix")))</f>
        <v>0</v>
      </c>
      <c r="O199" s="5">
        <f>IF(OR(INDEX($W$2:$W$1001,MATCH(ROWS($V$2:V199),$V$2:$V$1001,0),1)&gt;=100000,INDEX($AC$1005:$AS$1005,1,MATCH(COLUMNS($AC$1006:AP1006),$AC$1006:$AS$1006,0))&gt;=100000), " ",IF(INDEX($AC$2:$AS$1001,MATCH(ROWS($V$2:V199),$V$2:$V$1001,0),MATCH(COLUMNS($AC$1006:AP1006),$AC$1006:$AS$1006,0)), HYPERLINK("#",""), HYPERLINK(CONCATENATE("#Metadata!", ADDRESS(INDEX($X$2:$X$1001,MATCH(ROWS($V$2:V199),$V$2:$V$1001,0),0), INDEX($AC$1004:$AS$1004,1,MATCH(COLUMNS($AC$1006:AP1006),$AC$1006:$AS$1006,0)))),"Fix")))</f>
        <v>0</v>
      </c>
      <c r="P199" s="5">
        <f>IF(OR(INDEX($W$2:$W$1001,MATCH(ROWS($V$2:V199),$V$2:$V$1001,0),1)&gt;=100000,INDEX($AC$1005:$AS$1005,1,MATCH(COLUMNS($AC$1006:AQ1006),$AC$1006:$AS$1006,0))&gt;=100000), " ",IF(INDEX($AC$2:$AS$1001,MATCH(ROWS($V$2:V199),$V$2:$V$1001,0),MATCH(COLUMNS($AC$1006:AQ1006),$AC$1006:$AS$1006,0)), HYPERLINK("#",""), HYPERLINK(CONCATENATE("#Metadata!", ADDRESS(INDEX($X$2:$X$1001,MATCH(ROWS($V$2:V199),$V$2:$V$1001,0),0), INDEX($AC$1004:$AS$1004,1,MATCH(COLUMNS($AC$1006:AQ1006),$AC$1006:$AS$1006,0)))),"Fix")))</f>
        <v>0</v>
      </c>
      <c r="Q199" s="5">
        <f>IF(OR(INDEX($W$2:$W$1001,MATCH(ROWS($V$2:V199),$V$2:$V$1001,0),1)&gt;=100000,INDEX($AC$1005:$AS$1005,1,MATCH(COLUMNS($AC$1006:AR1006),$AC$1006:$AS$1006,0))&gt;=100000), " ",IF(INDEX($AC$2:$AS$1001,MATCH(ROWS($V$2:V199),$V$2:$V$1001,0),MATCH(COLUMNS($AC$1006:AR1006),$AC$1006:$AS$1006,0)), HYPERLINK("#",""), HYPERLINK(CONCATENATE("#Metadata!", ADDRESS(INDEX($X$2:$X$1001,MATCH(ROWS($V$2:V199),$V$2:$V$1001,0),0), INDEX($AC$1004:$AS$1004,1,MATCH(COLUMNS($AC$1006:AR1006),$AC$1006:$AS$1006,0)))),"Fix")))</f>
        <v>0</v>
      </c>
      <c r="R199" s="5">
        <f>IF(OR(INDEX($W$2:$W$1001,MATCH(ROWS($V$2:V199),$V$2:$V$1001,0),1)&gt;=100000,INDEX($AC$1005:$AS$1005,1,MATCH(COLUMNS($AC$1006:AS1006),$AC$1006:$AS$1006,0))&gt;=100000), " ",IF(INDEX($AC$2:$AS$1001,MATCH(ROWS($V$2:V199),$V$2:$V$1001,0),MATCH(COLUMNS($AC$1006:AS1006),$AC$1006:$AS$1006,0)), HYPERLINK("#",""), HYPERLINK(CONCATENATE("#Metadata!", ADDRESS(INDEX($X$2:$X$1001,MATCH(ROWS($V$2:V199),$V$2:$V$1001,0),0), INDEX($AC$1004:$AS$1004,1,MATCH(COLUMNS($AC$1006:AS1006),$AC$1006:$AS$1006,0)))),"Fix")))</f>
        <v>0</v>
      </c>
      <c r="V199">
        <v>0</v>
      </c>
      <c r="W199">
        <v>0</v>
      </c>
      <c r="X199">
        <v>0</v>
      </c>
      <c r="Y199">
        <f>IF(Z199,TRUE,AND(AC199:AS199))</f>
        <v>0</v>
      </c>
      <c r="Z199">
        <f>COUNTBLANK(Metadata!B199:R199)=COLUMNS(Metadata!B199:R199)</f>
        <v>0</v>
      </c>
      <c r="AA199">
        <v>0</v>
      </c>
      <c r="AC199">
        <f>AND(IF(Metadata!B199="",FALSE,TRUE),COUNTIF(Metadata!B:B, Metadata!B199) = 1,NOT(ISERROR(SUMPRODUCT(SEARCH(MID(Metadata!B199,ROW(INDIRECT("1:"&amp;LEN(Metadata!B199))), 1),"0123456789abcdefghijklmnopqrstuvwxyzABCDEFGHIJKLMNOPQRSTUVWXYZ.")))))</f>
        <v>0</v>
      </c>
      <c r="AD199">
        <f>AND(IF(Metadata!C199="",FALSE,TRUE),exact(Metadata!C199,"Host-associated"))</f>
        <v>0</v>
      </c>
      <c r="AE199">
        <f>AND(IF(Metadata!D199="",FALSE,TRUE),OR(exact(Metadata!D199,"Animal"),exact(Metadata!D199,"Fungus"),exact(Metadata!D199,"Plant")))</f>
        <v>0</v>
      </c>
      <c r="AF199">
        <f>AND(IF(Metadata!E199="",FALSE,TRUE),OR(exact(Metadata!E199,"Plant secretion"),exact(Metadata!E199,"Plant rhizosphere"),exact(Metadata!E199,"Plant surface"),exact(Metadata!E199,"Plant corpus"),exact(Metadata!E199,"Fungus surface"),exact(Metadata!E199,"Fungus corpus"),exact(Metadata!E199,"Animal surface"),exact(Metadata!E199,"Animal proximal gut"),exact(Metadata!E199,"Animal corpus"),exact(Metadata!E199,"Animal distal gut"),exact(Metadata!E199,"Animal secretion")))</f>
        <v>0</v>
      </c>
      <c r="AG199">
        <f>OR(AND(IF(Metadata!F199="",FALSE,TRUE),OR(exact(Metadata!F199,"not collected"),exact(Metadata!F199,"not provided"),exact(Metadata!F199,"restricted access"))),AND(IF(Metadata!F199="",FALSE,TRUE),OR(exact(Metadata!F199,"organism-associated habitat"),exact(Metadata!F199,"plant-associated habitat"),exact(Metadata!F199,"animal-associated habitat"),exact(Metadata!F199,"insecta-associated habitat"),exact(Metadata!F199,"mammalia-associated habitat"),exact(Metadata!F199,"human-associated habitat"),exact(Metadata!F199,"livestock-associated habitat"))))</f>
        <v>0</v>
      </c>
      <c r="AH199">
        <f>AND(IF(Metadata!G199="",FALSE,TRUE),exact(Metadata!G199,"host-associated"))</f>
        <v>0</v>
      </c>
      <c r="AI199">
        <f>OR(AND(IF(Metadata!H199="",FALSE,TRUE),OR(exact(Metadata!H199,"not collected"),exact(Metadata!H199,"not provided"))),AND(IF(Metadata!H199="",FALSE,ISNUMBER(VALUE(Metadata!H199))),Metadata!H199&gt;0))</f>
        <v>0</v>
      </c>
      <c r="AJ199">
        <f>AND(IF(Metadata!I199="",FALSE,TRUE),exact(Metadata!I199,"years"))</f>
        <v>0</v>
      </c>
      <c r="AK199">
        <f>IF(Metadata!J199="",FALSE,TRUE)</f>
        <v>0</v>
      </c>
      <c r="AL199">
        <f>OR(AND(IF(Metadata!K199="",FALSE,TRUE),OR(exact(Metadata!K199,"not collected"),exact(Metadata!K199,"not provided"))),AND(IF(Metadata!K199="",FALSE,ISNUMBER(VALUE(Metadata!K199))),Metadata!K199&gt;0))</f>
        <v>0</v>
      </c>
      <c r="AM199">
        <f>AND(IF(Metadata!L199="",FALSE,TRUE),exact(Metadata!L199,"cm"))</f>
        <v>0</v>
      </c>
      <c r="AN199">
        <f>IF(Metadata!M199="",FALSE,TRUE)</f>
        <v>0</v>
      </c>
      <c r="AO199">
        <f>OR(AND(IF(Metadata!N199="",FALSE,TRUE),OR(exact(Metadata!N199,"not applicable"),exact(Metadata!N199,"not collected"),exact(Metadata!N199,"not provided"))),AND(IF(Metadata!N199="",FALSE,IF(ISERROR(INT(Metadata!N199)),FALSE,INT(Metadata!N199)=Metadata!N199)),Metadata!N199&gt;0))</f>
        <v>0</v>
      </c>
      <c r="AP199">
        <f>OR(AND(IF(Metadata!O199="",FALSE,TRUE),OR(exact(Metadata!O199,"not collected"),exact(Metadata!O199,"not provided"))),AND(IF(Metadata!O199="",FALSE,ISNUMBER(VALUE(Metadata!O199))),Metadata!O199&gt;0))</f>
        <v>0</v>
      </c>
      <c r="AQ199">
        <f>AND(IF(Metadata!P199="",FALSE,TRUE),exact(Metadata!P199,"kg"))</f>
        <v>0</v>
      </c>
      <c r="AR199">
        <f>OR(AND(IF(Metadata!Q199="",FALSE,TRUE),OR(exact(Metadata!Q199,"not applicable"),exact(Metadata!Q199,"not collected"),exact(Metadata!Q199,"not provided"),exact(Metadata!Q199,"restricted access"))),IF(Metadata!Q199="",FALSE,IF(ISERROR(INT(Metadata!Q199)),FALSE,INT(Metadata!Q199)=Metadata!Q199)))</f>
        <v>0</v>
      </c>
      <c r="AS199">
        <f>AND(IF(Metadata!R199="",FALSE,TRUE),exact(Metadata!R199,"Not applicable"))</f>
        <v>0</v>
      </c>
    </row>
    <row r="200" spans="1:45">
      <c r="A200" s="4">
        <f>IF(B200=" "," ",HYPERLINK(CONCATENATE("#metadata!",ADDRESS(INDEX($X$2:$X$1001,MATCH(ROWS($V$2:V200),$V$2:$V$1001,0),0),2)),INDEX($AA$2:$AA$1001,MATCH(ROWS($V$2:V200),$V$2:$V$1001,0),0)))</f>
        <v>0</v>
      </c>
      <c r="B200" s="5">
        <f>IF(OR(INDEX($W$2:$W$1001,MATCH(ROWS($V$2:V200),$V$2:$V$1001,0),1)&gt;=100000,INDEX($AC$1005:$AS$1005,1,MATCH(COLUMNS($AC$1006:AC1006),$AC$1006:$AS$1006,0))&gt;=100000), " ",IF(INDEX($AC$2:$AS$1001,MATCH(ROWS($V$2:V200),$V$2:$V$1001,0),MATCH(COLUMNS($AC$1006:AC1006),$AC$1006:$AS$1006,0)), HYPERLINK("#",""), HYPERLINK(CONCATENATE("#Metadata!", ADDRESS(INDEX($X$2:$X$1001,MATCH(ROWS($V$2:V200),$V$2:$V$1001,0),0), INDEX($AC$1004:$AS$1004,1,MATCH(COLUMNS($AC$1006:AC1006),$AC$1006:$AS$1006,0)))),"Fix")))</f>
        <v>0</v>
      </c>
      <c r="C200" s="5">
        <f>IF(OR(INDEX($W$2:$W$1001,MATCH(ROWS($V$2:V200),$V$2:$V$1001,0),1)&gt;=100000,INDEX($AC$1005:$AS$1005,1,MATCH(COLUMNS($AC$1006:AD1006),$AC$1006:$AS$1006,0))&gt;=100000), " ",IF(INDEX($AC$2:$AS$1001,MATCH(ROWS($V$2:V200),$V$2:$V$1001,0),MATCH(COLUMNS($AC$1006:AD1006),$AC$1006:$AS$1006,0)), HYPERLINK("#",""), HYPERLINK(CONCATENATE("#Metadata!", ADDRESS(INDEX($X$2:$X$1001,MATCH(ROWS($V$2:V200),$V$2:$V$1001,0),0), INDEX($AC$1004:$AS$1004,1,MATCH(COLUMNS($AC$1006:AD1006),$AC$1006:$AS$1006,0)))),"Fix")))</f>
        <v>0</v>
      </c>
      <c r="D200" s="5">
        <f>IF(OR(INDEX($W$2:$W$1001,MATCH(ROWS($V$2:V200),$V$2:$V$1001,0),1)&gt;=100000,INDEX($AC$1005:$AS$1005,1,MATCH(COLUMNS($AC$1006:AE1006),$AC$1006:$AS$1006,0))&gt;=100000), " ",IF(INDEX($AC$2:$AS$1001,MATCH(ROWS($V$2:V200),$V$2:$V$1001,0),MATCH(COLUMNS($AC$1006:AE1006),$AC$1006:$AS$1006,0)), HYPERLINK("#",""), HYPERLINK(CONCATENATE("#Metadata!", ADDRESS(INDEX($X$2:$X$1001,MATCH(ROWS($V$2:V200),$V$2:$V$1001,0),0), INDEX($AC$1004:$AS$1004,1,MATCH(COLUMNS($AC$1006:AE1006),$AC$1006:$AS$1006,0)))),"Fix")))</f>
        <v>0</v>
      </c>
      <c r="E200" s="5">
        <f>IF(OR(INDEX($W$2:$W$1001,MATCH(ROWS($V$2:V200),$V$2:$V$1001,0),1)&gt;=100000,INDEX($AC$1005:$AS$1005,1,MATCH(COLUMNS($AC$1006:AF1006),$AC$1006:$AS$1006,0))&gt;=100000), " ",IF(INDEX($AC$2:$AS$1001,MATCH(ROWS($V$2:V200),$V$2:$V$1001,0),MATCH(COLUMNS($AC$1006:AF1006),$AC$1006:$AS$1006,0)), HYPERLINK("#",""), HYPERLINK(CONCATENATE("#Metadata!", ADDRESS(INDEX($X$2:$X$1001,MATCH(ROWS($V$2:V200),$V$2:$V$1001,0),0), INDEX($AC$1004:$AS$1004,1,MATCH(COLUMNS($AC$1006:AF1006),$AC$1006:$AS$1006,0)))),"Fix")))</f>
        <v>0</v>
      </c>
      <c r="F200" s="5">
        <f>IF(OR(INDEX($W$2:$W$1001,MATCH(ROWS($V$2:V200),$V$2:$V$1001,0),1)&gt;=100000,INDEX($AC$1005:$AS$1005,1,MATCH(COLUMNS($AC$1006:AG1006),$AC$1006:$AS$1006,0))&gt;=100000), " ",IF(INDEX($AC$2:$AS$1001,MATCH(ROWS($V$2:V200),$V$2:$V$1001,0),MATCH(COLUMNS($AC$1006:AG1006),$AC$1006:$AS$1006,0)), HYPERLINK("#",""), HYPERLINK(CONCATENATE("#Metadata!", ADDRESS(INDEX($X$2:$X$1001,MATCH(ROWS($V$2:V200),$V$2:$V$1001,0),0), INDEX($AC$1004:$AS$1004,1,MATCH(COLUMNS($AC$1006:AG1006),$AC$1006:$AS$1006,0)))),"Fix")))</f>
        <v>0</v>
      </c>
      <c r="G200" s="5">
        <f>IF(OR(INDEX($W$2:$W$1001,MATCH(ROWS($V$2:V200),$V$2:$V$1001,0),1)&gt;=100000,INDEX($AC$1005:$AS$1005,1,MATCH(COLUMNS($AC$1006:AH1006),$AC$1006:$AS$1006,0))&gt;=100000), " ",IF(INDEX($AC$2:$AS$1001,MATCH(ROWS($V$2:V200),$V$2:$V$1001,0),MATCH(COLUMNS($AC$1006:AH1006),$AC$1006:$AS$1006,0)), HYPERLINK("#",""), HYPERLINK(CONCATENATE("#Metadata!", ADDRESS(INDEX($X$2:$X$1001,MATCH(ROWS($V$2:V200),$V$2:$V$1001,0),0), INDEX($AC$1004:$AS$1004,1,MATCH(COLUMNS($AC$1006:AH1006),$AC$1006:$AS$1006,0)))),"Fix")))</f>
        <v>0</v>
      </c>
      <c r="H200" s="5">
        <f>IF(OR(INDEX($W$2:$W$1001,MATCH(ROWS($V$2:V200),$V$2:$V$1001,0),1)&gt;=100000,INDEX($AC$1005:$AS$1005,1,MATCH(COLUMNS($AC$1006:AI1006),$AC$1006:$AS$1006,0))&gt;=100000), " ",IF(INDEX($AC$2:$AS$1001,MATCH(ROWS($V$2:V200),$V$2:$V$1001,0),MATCH(COLUMNS($AC$1006:AI1006),$AC$1006:$AS$1006,0)), HYPERLINK("#",""), HYPERLINK(CONCATENATE("#Metadata!", ADDRESS(INDEX($X$2:$X$1001,MATCH(ROWS($V$2:V200),$V$2:$V$1001,0),0), INDEX($AC$1004:$AS$1004,1,MATCH(COLUMNS($AC$1006:AI1006),$AC$1006:$AS$1006,0)))),"Fix")))</f>
        <v>0</v>
      </c>
      <c r="I200" s="5">
        <f>IF(OR(INDEX($W$2:$W$1001,MATCH(ROWS($V$2:V200),$V$2:$V$1001,0),1)&gt;=100000,INDEX($AC$1005:$AS$1005,1,MATCH(COLUMNS($AC$1006:AJ1006),$AC$1006:$AS$1006,0))&gt;=100000), " ",IF(INDEX($AC$2:$AS$1001,MATCH(ROWS($V$2:V200),$V$2:$V$1001,0),MATCH(COLUMNS($AC$1006:AJ1006),$AC$1006:$AS$1006,0)), HYPERLINK("#",""), HYPERLINK(CONCATENATE("#Metadata!", ADDRESS(INDEX($X$2:$X$1001,MATCH(ROWS($V$2:V200),$V$2:$V$1001,0),0), INDEX($AC$1004:$AS$1004,1,MATCH(COLUMNS($AC$1006:AJ1006),$AC$1006:$AS$1006,0)))),"Fix")))</f>
        <v>0</v>
      </c>
      <c r="J200" s="5">
        <f>IF(OR(INDEX($W$2:$W$1001,MATCH(ROWS($V$2:V200),$V$2:$V$1001,0),1)&gt;=100000,INDEX($AC$1005:$AS$1005,1,MATCH(COLUMNS($AC$1006:AK1006),$AC$1006:$AS$1006,0))&gt;=100000), " ",IF(INDEX($AC$2:$AS$1001,MATCH(ROWS($V$2:V200),$V$2:$V$1001,0),MATCH(COLUMNS($AC$1006:AK1006),$AC$1006:$AS$1006,0)), HYPERLINK("#",""), HYPERLINK(CONCATENATE("#Metadata!", ADDRESS(INDEX($X$2:$X$1001,MATCH(ROWS($V$2:V200),$V$2:$V$1001,0),0), INDEX($AC$1004:$AS$1004,1,MATCH(COLUMNS($AC$1006:AK1006),$AC$1006:$AS$1006,0)))),"Fix")))</f>
        <v>0</v>
      </c>
      <c r="K200" s="5">
        <f>IF(OR(INDEX($W$2:$W$1001,MATCH(ROWS($V$2:V200),$V$2:$V$1001,0),1)&gt;=100000,INDEX($AC$1005:$AS$1005,1,MATCH(COLUMNS($AC$1006:AL1006),$AC$1006:$AS$1006,0))&gt;=100000), " ",IF(INDEX($AC$2:$AS$1001,MATCH(ROWS($V$2:V200),$V$2:$V$1001,0),MATCH(COLUMNS($AC$1006:AL1006),$AC$1006:$AS$1006,0)), HYPERLINK("#",""), HYPERLINK(CONCATENATE("#Metadata!", ADDRESS(INDEX($X$2:$X$1001,MATCH(ROWS($V$2:V200),$V$2:$V$1001,0),0), INDEX($AC$1004:$AS$1004,1,MATCH(COLUMNS($AC$1006:AL1006),$AC$1006:$AS$1006,0)))),"Fix")))</f>
        <v>0</v>
      </c>
      <c r="L200" s="5">
        <f>IF(OR(INDEX($W$2:$W$1001,MATCH(ROWS($V$2:V200),$V$2:$V$1001,0),1)&gt;=100000,INDEX($AC$1005:$AS$1005,1,MATCH(COLUMNS($AC$1006:AM1006),$AC$1006:$AS$1006,0))&gt;=100000), " ",IF(INDEX($AC$2:$AS$1001,MATCH(ROWS($V$2:V200),$V$2:$V$1001,0),MATCH(COLUMNS($AC$1006:AM1006),$AC$1006:$AS$1006,0)), HYPERLINK("#",""), HYPERLINK(CONCATENATE("#Metadata!", ADDRESS(INDEX($X$2:$X$1001,MATCH(ROWS($V$2:V200),$V$2:$V$1001,0),0), INDEX($AC$1004:$AS$1004,1,MATCH(COLUMNS($AC$1006:AM1006),$AC$1006:$AS$1006,0)))),"Fix")))</f>
        <v>0</v>
      </c>
      <c r="M200" s="5">
        <f>IF(OR(INDEX($W$2:$W$1001,MATCH(ROWS($V$2:V200),$V$2:$V$1001,0),1)&gt;=100000,INDEX($AC$1005:$AS$1005,1,MATCH(COLUMNS($AC$1006:AN1006),$AC$1006:$AS$1006,0))&gt;=100000), " ",IF(INDEX($AC$2:$AS$1001,MATCH(ROWS($V$2:V200),$V$2:$V$1001,0),MATCH(COLUMNS($AC$1006:AN1006),$AC$1006:$AS$1006,0)), HYPERLINK("#",""), HYPERLINK(CONCATENATE("#Metadata!", ADDRESS(INDEX($X$2:$X$1001,MATCH(ROWS($V$2:V200),$V$2:$V$1001,0),0), INDEX($AC$1004:$AS$1004,1,MATCH(COLUMNS($AC$1006:AN1006),$AC$1006:$AS$1006,0)))),"Fix")))</f>
        <v>0</v>
      </c>
      <c r="N200" s="5">
        <f>IF(OR(INDEX($W$2:$W$1001,MATCH(ROWS($V$2:V200),$V$2:$V$1001,0),1)&gt;=100000,INDEX($AC$1005:$AS$1005,1,MATCH(COLUMNS($AC$1006:AO1006),$AC$1006:$AS$1006,0))&gt;=100000), " ",IF(INDEX($AC$2:$AS$1001,MATCH(ROWS($V$2:V200),$V$2:$V$1001,0),MATCH(COLUMNS($AC$1006:AO1006),$AC$1006:$AS$1006,0)), HYPERLINK("#",""), HYPERLINK(CONCATENATE("#Metadata!", ADDRESS(INDEX($X$2:$X$1001,MATCH(ROWS($V$2:V200),$V$2:$V$1001,0),0), INDEX($AC$1004:$AS$1004,1,MATCH(COLUMNS($AC$1006:AO1006),$AC$1006:$AS$1006,0)))),"Fix")))</f>
        <v>0</v>
      </c>
      <c r="O200" s="5">
        <f>IF(OR(INDEX($W$2:$W$1001,MATCH(ROWS($V$2:V200),$V$2:$V$1001,0),1)&gt;=100000,INDEX($AC$1005:$AS$1005,1,MATCH(COLUMNS($AC$1006:AP1006),$AC$1006:$AS$1006,0))&gt;=100000), " ",IF(INDEX($AC$2:$AS$1001,MATCH(ROWS($V$2:V200),$V$2:$V$1001,0),MATCH(COLUMNS($AC$1006:AP1006),$AC$1006:$AS$1006,0)), HYPERLINK("#",""), HYPERLINK(CONCATENATE("#Metadata!", ADDRESS(INDEX($X$2:$X$1001,MATCH(ROWS($V$2:V200),$V$2:$V$1001,0),0), INDEX($AC$1004:$AS$1004,1,MATCH(COLUMNS($AC$1006:AP1006),$AC$1006:$AS$1006,0)))),"Fix")))</f>
        <v>0</v>
      </c>
      <c r="P200" s="5">
        <f>IF(OR(INDEX($W$2:$W$1001,MATCH(ROWS($V$2:V200),$V$2:$V$1001,0),1)&gt;=100000,INDEX($AC$1005:$AS$1005,1,MATCH(COLUMNS($AC$1006:AQ1006),$AC$1006:$AS$1006,0))&gt;=100000), " ",IF(INDEX($AC$2:$AS$1001,MATCH(ROWS($V$2:V200),$V$2:$V$1001,0),MATCH(COLUMNS($AC$1006:AQ1006),$AC$1006:$AS$1006,0)), HYPERLINK("#",""), HYPERLINK(CONCATENATE("#Metadata!", ADDRESS(INDEX($X$2:$X$1001,MATCH(ROWS($V$2:V200),$V$2:$V$1001,0),0), INDEX($AC$1004:$AS$1004,1,MATCH(COLUMNS($AC$1006:AQ1006),$AC$1006:$AS$1006,0)))),"Fix")))</f>
        <v>0</v>
      </c>
      <c r="Q200" s="5">
        <f>IF(OR(INDEX($W$2:$W$1001,MATCH(ROWS($V$2:V200),$V$2:$V$1001,0),1)&gt;=100000,INDEX($AC$1005:$AS$1005,1,MATCH(COLUMNS($AC$1006:AR1006),$AC$1006:$AS$1006,0))&gt;=100000), " ",IF(INDEX($AC$2:$AS$1001,MATCH(ROWS($V$2:V200),$V$2:$V$1001,0),MATCH(COLUMNS($AC$1006:AR1006),$AC$1006:$AS$1006,0)), HYPERLINK("#",""), HYPERLINK(CONCATENATE("#Metadata!", ADDRESS(INDEX($X$2:$X$1001,MATCH(ROWS($V$2:V200),$V$2:$V$1001,0),0), INDEX($AC$1004:$AS$1004,1,MATCH(COLUMNS($AC$1006:AR1006),$AC$1006:$AS$1006,0)))),"Fix")))</f>
        <v>0</v>
      </c>
      <c r="R200" s="5">
        <f>IF(OR(INDEX($W$2:$W$1001,MATCH(ROWS($V$2:V200),$V$2:$V$1001,0),1)&gt;=100000,INDEX($AC$1005:$AS$1005,1,MATCH(COLUMNS($AC$1006:AS1006),$AC$1006:$AS$1006,0))&gt;=100000), " ",IF(INDEX($AC$2:$AS$1001,MATCH(ROWS($V$2:V200),$V$2:$V$1001,0),MATCH(COLUMNS($AC$1006:AS1006),$AC$1006:$AS$1006,0)), HYPERLINK("#",""), HYPERLINK(CONCATENATE("#Metadata!", ADDRESS(INDEX($X$2:$X$1001,MATCH(ROWS($V$2:V200),$V$2:$V$1001,0),0), INDEX($AC$1004:$AS$1004,1,MATCH(COLUMNS($AC$1006:AS1006),$AC$1006:$AS$1006,0)))),"Fix")))</f>
        <v>0</v>
      </c>
      <c r="V200">
        <v>0</v>
      </c>
      <c r="W200">
        <v>0</v>
      </c>
      <c r="X200">
        <v>0</v>
      </c>
      <c r="Y200">
        <f>IF(Z200,TRUE,AND(AC200:AS200))</f>
        <v>0</v>
      </c>
      <c r="Z200">
        <f>COUNTBLANK(Metadata!B200:R200)=COLUMNS(Metadata!B200:R200)</f>
        <v>0</v>
      </c>
      <c r="AA200">
        <v>0</v>
      </c>
      <c r="AC200">
        <f>AND(IF(Metadata!B200="",FALSE,TRUE),COUNTIF(Metadata!B:B, Metadata!B200) = 1,NOT(ISERROR(SUMPRODUCT(SEARCH(MID(Metadata!B200,ROW(INDIRECT("1:"&amp;LEN(Metadata!B200))), 1),"0123456789abcdefghijklmnopqrstuvwxyzABCDEFGHIJKLMNOPQRSTUVWXYZ.")))))</f>
        <v>0</v>
      </c>
      <c r="AD200">
        <f>AND(IF(Metadata!C200="",FALSE,TRUE),exact(Metadata!C200,"Host-associated"))</f>
        <v>0</v>
      </c>
      <c r="AE200">
        <f>AND(IF(Metadata!D200="",FALSE,TRUE),OR(exact(Metadata!D200,"Animal"),exact(Metadata!D200,"Fungus"),exact(Metadata!D200,"Plant")))</f>
        <v>0</v>
      </c>
      <c r="AF200">
        <f>AND(IF(Metadata!E200="",FALSE,TRUE),OR(exact(Metadata!E200,"Plant secretion"),exact(Metadata!E200,"Plant rhizosphere"),exact(Metadata!E200,"Plant surface"),exact(Metadata!E200,"Plant corpus"),exact(Metadata!E200,"Fungus surface"),exact(Metadata!E200,"Fungus corpus"),exact(Metadata!E200,"Animal surface"),exact(Metadata!E200,"Animal proximal gut"),exact(Metadata!E200,"Animal corpus"),exact(Metadata!E200,"Animal distal gut"),exact(Metadata!E200,"Animal secretion")))</f>
        <v>0</v>
      </c>
      <c r="AG200">
        <f>OR(AND(IF(Metadata!F200="",FALSE,TRUE),OR(exact(Metadata!F200,"not collected"),exact(Metadata!F200,"not provided"),exact(Metadata!F200,"restricted access"))),AND(IF(Metadata!F200="",FALSE,TRUE),OR(exact(Metadata!F200,"organism-associated habitat"),exact(Metadata!F200,"plant-associated habitat"),exact(Metadata!F200,"animal-associated habitat"),exact(Metadata!F200,"insecta-associated habitat"),exact(Metadata!F200,"mammalia-associated habitat"),exact(Metadata!F200,"human-associated habitat"),exact(Metadata!F200,"livestock-associated habitat"))))</f>
        <v>0</v>
      </c>
      <c r="AH200">
        <f>AND(IF(Metadata!G200="",FALSE,TRUE),exact(Metadata!G200,"host-associated"))</f>
        <v>0</v>
      </c>
      <c r="AI200">
        <f>OR(AND(IF(Metadata!H200="",FALSE,TRUE),OR(exact(Metadata!H200,"not collected"),exact(Metadata!H200,"not provided"))),AND(IF(Metadata!H200="",FALSE,ISNUMBER(VALUE(Metadata!H200))),Metadata!H200&gt;0))</f>
        <v>0</v>
      </c>
      <c r="AJ200">
        <f>AND(IF(Metadata!I200="",FALSE,TRUE),exact(Metadata!I200,"years"))</f>
        <v>0</v>
      </c>
      <c r="AK200">
        <f>IF(Metadata!J200="",FALSE,TRUE)</f>
        <v>0</v>
      </c>
      <c r="AL200">
        <f>OR(AND(IF(Metadata!K200="",FALSE,TRUE),OR(exact(Metadata!K200,"not collected"),exact(Metadata!K200,"not provided"))),AND(IF(Metadata!K200="",FALSE,ISNUMBER(VALUE(Metadata!K200))),Metadata!K200&gt;0))</f>
        <v>0</v>
      </c>
      <c r="AM200">
        <f>AND(IF(Metadata!L200="",FALSE,TRUE),exact(Metadata!L200,"cm"))</f>
        <v>0</v>
      </c>
      <c r="AN200">
        <f>IF(Metadata!M200="",FALSE,TRUE)</f>
        <v>0</v>
      </c>
      <c r="AO200">
        <f>OR(AND(IF(Metadata!N200="",FALSE,TRUE),OR(exact(Metadata!N200,"not applicable"),exact(Metadata!N200,"not collected"),exact(Metadata!N200,"not provided"))),AND(IF(Metadata!N200="",FALSE,IF(ISERROR(INT(Metadata!N200)),FALSE,INT(Metadata!N200)=Metadata!N200)),Metadata!N200&gt;0))</f>
        <v>0</v>
      </c>
      <c r="AP200">
        <f>OR(AND(IF(Metadata!O200="",FALSE,TRUE),OR(exact(Metadata!O200,"not collected"),exact(Metadata!O200,"not provided"))),AND(IF(Metadata!O200="",FALSE,ISNUMBER(VALUE(Metadata!O200))),Metadata!O200&gt;0))</f>
        <v>0</v>
      </c>
      <c r="AQ200">
        <f>AND(IF(Metadata!P200="",FALSE,TRUE),exact(Metadata!P200,"kg"))</f>
        <v>0</v>
      </c>
      <c r="AR200">
        <f>OR(AND(IF(Metadata!Q200="",FALSE,TRUE),OR(exact(Metadata!Q200,"not applicable"),exact(Metadata!Q200,"not collected"),exact(Metadata!Q200,"not provided"),exact(Metadata!Q200,"restricted access"))),IF(Metadata!Q200="",FALSE,IF(ISERROR(INT(Metadata!Q200)),FALSE,INT(Metadata!Q200)=Metadata!Q200)))</f>
        <v>0</v>
      </c>
      <c r="AS200">
        <f>AND(IF(Metadata!R200="",FALSE,TRUE),exact(Metadata!R200,"Not applicable"))</f>
        <v>0</v>
      </c>
    </row>
    <row r="201" spans="1:45">
      <c r="A201" s="4">
        <f>IF(B201=" "," ",HYPERLINK(CONCATENATE("#metadata!",ADDRESS(INDEX($X$2:$X$1001,MATCH(ROWS($V$2:V201),$V$2:$V$1001,0),0),2)),INDEX($AA$2:$AA$1001,MATCH(ROWS($V$2:V201),$V$2:$V$1001,0),0)))</f>
        <v>0</v>
      </c>
      <c r="B201" s="5">
        <f>IF(OR(INDEX($W$2:$W$1001,MATCH(ROWS($V$2:V201),$V$2:$V$1001,0),1)&gt;=100000,INDEX($AC$1005:$AS$1005,1,MATCH(COLUMNS($AC$1006:AC1006),$AC$1006:$AS$1006,0))&gt;=100000), " ",IF(INDEX($AC$2:$AS$1001,MATCH(ROWS($V$2:V201),$V$2:$V$1001,0),MATCH(COLUMNS($AC$1006:AC1006),$AC$1006:$AS$1006,0)), HYPERLINK("#",""), HYPERLINK(CONCATENATE("#Metadata!", ADDRESS(INDEX($X$2:$X$1001,MATCH(ROWS($V$2:V201),$V$2:$V$1001,0),0), INDEX($AC$1004:$AS$1004,1,MATCH(COLUMNS($AC$1006:AC1006),$AC$1006:$AS$1006,0)))),"Fix")))</f>
        <v>0</v>
      </c>
      <c r="C201" s="5">
        <f>IF(OR(INDEX($W$2:$W$1001,MATCH(ROWS($V$2:V201),$V$2:$V$1001,0),1)&gt;=100000,INDEX($AC$1005:$AS$1005,1,MATCH(COLUMNS($AC$1006:AD1006),$AC$1006:$AS$1006,0))&gt;=100000), " ",IF(INDEX($AC$2:$AS$1001,MATCH(ROWS($V$2:V201),$V$2:$V$1001,0),MATCH(COLUMNS($AC$1006:AD1006),$AC$1006:$AS$1006,0)), HYPERLINK("#",""), HYPERLINK(CONCATENATE("#Metadata!", ADDRESS(INDEX($X$2:$X$1001,MATCH(ROWS($V$2:V201),$V$2:$V$1001,0),0), INDEX($AC$1004:$AS$1004,1,MATCH(COLUMNS($AC$1006:AD1006),$AC$1006:$AS$1006,0)))),"Fix")))</f>
        <v>0</v>
      </c>
      <c r="D201" s="5">
        <f>IF(OR(INDEX($W$2:$W$1001,MATCH(ROWS($V$2:V201),$V$2:$V$1001,0),1)&gt;=100000,INDEX($AC$1005:$AS$1005,1,MATCH(COLUMNS($AC$1006:AE1006),$AC$1006:$AS$1006,0))&gt;=100000), " ",IF(INDEX($AC$2:$AS$1001,MATCH(ROWS($V$2:V201),$V$2:$V$1001,0),MATCH(COLUMNS($AC$1006:AE1006),$AC$1006:$AS$1006,0)), HYPERLINK("#",""), HYPERLINK(CONCATENATE("#Metadata!", ADDRESS(INDEX($X$2:$X$1001,MATCH(ROWS($V$2:V201),$V$2:$V$1001,0),0), INDEX($AC$1004:$AS$1004,1,MATCH(COLUMNS($AC$1006:AE1006),$AC$1006:$AS$1006,0)))),"Fix")))</f>
        <v>0</v>
      </c>
      <c r="E201" s="5">
        <f>IF(OR(INDEX($W$2:$W$1001,MATCH(ROWS($V$2:V201),$V$2:$V$1001,0),1)&gt;=100000,INDEX($AC$1005:$AS$1005,1,MATCH(COLUMNS($AC$1006:AF1006),$AC$1006:$AS$1006,0))&gt;=100000), " ",IF(INDEX($AC$2:$AS$1001,MATCH(ROWS($V$2:V201),$V$2:$V$1001,0),MATCH(COLUMNS($AC$1006:AF1006),$AC$1006:$AS$1006,0)), HYPERLINK("#",""), HYPERLINK(CONCATENATE("#Metadata!", ADDRESS(INDEX($X$2:$X$1001,MATCH(ROWS($V$2:V201),$V$2:$V$1001,0),0), INDEX($AC$1004:$AS$1004,1,MATCH(COLUMNS($AC$1006:AF1006),$AC$1006:$AS$1006,0)))),"Fix")))</f>
        <v>0</v>
      </c>
      <c r="F201" s="5">
        <f>IF(OR(INDEX($W$2:$W$1001,MATCH(ROWS($V$2:V201),$V$2:$V$1001,0),1)&gt;=100000,INDEX($AC$1005:$AS$1005,1,MATCH(COLUMNS($AC$1006:AG1006),$AC$1006:$AS$1006,0))&gt;=100000), " ",IF(INDEX($AC$2:$AS$1001,MATCH(ROWS($V$2:V201),$V$2:$V$1001,0),MATCH(COLUMNS($AC$1006:AG1006),$AC$1006:$AS$1006,0)), HYPERLINK("#",""), HYPERLINK(CONCATENATE("#Metadata!", ADDRESS(INDEX($X$2:$X$1001,MATCH(ROWS($V$2:V201),$V$2:$V$1001,0),0), INDEX($AC$1004:$AS$1004,1,MATCH(COLUMNS($AC$1006:AG1006),$AC$1006:$AS$1006,0)))),"Fix")))</f>
        <v>0</v>
      </c>
      <c r="G201" s="5">
        <f>IF(OR(INDEX($W$2:$W$1001,MATCH(ROWS($V$2:V201),$V$2:$V$1001,0),1)&gt;=100000,INDEX($AC$1005:$AS$1005,1,MATCH(COLUMNS($AC$1006:AH1006),$AC$1006:$AS$1006,0))&gt;=100000), " ",IF(INDEX($AC$2:$AS$1001,MATCH(ROWS($V$2:V201),$V$2:$V$1001,0),MATCH(COLUMNS($AC$1006:AH1006),$AC$1006:$AS$1006,0)), HYPERLINK("#",""), HYPERLINK(CONCATENATE("#Metadata!", ADDRESS(INDEX($X$2:$X$1001,MATCH(ROWS($V$2:V201),$V$2:$V$1001,0),0), INDEX($AC$1004:$AS$1004,1,MATCH(COLUMNS($AC$1006:AH1006),$AC$1006:$AS$1006,0)))),"Fix")))</f>
        <v>0</v>
      </c>
      <c r="H201" s="5">
        <f>IF(OR(INDEX($W$2:$W$1001,MATCH(ROWS($V$2:V201),$V$2:$V$1001,0),1)&gt;=100000,INDEX($AC$1005:$AS$1005,1,MATCH(COLUMNS($AC$1006:AI1006),$AC$1006:$AS$1006,0))&gt;=100000), " ",IF(INDEX($AC$2:$AS$1001,MATCH(ROWS($V$2:V201),$V$2:$V$1001,0),MATCH(COLUMNS($AC$1006:AI1006),$AC$1006:$AS$1006,0)), HYPERLINK("#",""), HYPERLINK(CONCATENATE("#Metadata!", ADDRESS(INDEX($X$2:$X$1001,MATCH(ROWS($V$2:V201),$V$2:$V$1001,0),0), INDEX($AC$1004:$AS$1004,1,MATCH(COLUMNS($AC$1006:AI1006),$AC$1006:$AS$1006,0)))),"Fix")))</f>
        <v>0</v>
      </c>
      <c r="I201" s="5">
        <f>IF(OR(INDEX($W$2:$W$1001,MATCH(ROWS($V$2:V201),$V$2:$V$1001,0),1)&gt;=100000,INDEX($AC$1005:$AS$1005,1,MATCH(COLUMNS($AC$1006:AJ1006),$AC$1006:$AS$1006,0))&gt;=100000), " ",IF(INDEX($AC$2:$AS$1001,MATCH(ROWS($V$2:V201),$V$2:$V$1001,0),MATCH(COLUMNS($AC$1006:AJ1006),$AC$1006:$AS$1006,0)), HYPERLINK("#",""), HYPERLINK(CONCATENATE("#Metadata!", ADDRESS(INDEX($X$2:$X$1001,MATCH(ROWS($V$2:V201),$V$2:$V$1001,0),0), INDEX($AC$1004:$AS$1004,1,MATCH(COLUMNS($AC$1006:AJ1006),$AC$1006:$AS$1006,0)))),"Fix")))</f>
        <v>0</v>
      </c>
      <c r="J201" s="5">
        <f>IF(OR(INDEX($W$2:$W$1001,MATCH(ROWS($V$2:V201),$V$2:$V$1001,0),1)&gt;=100000,INDEX($AC$1005:$AS$1005,1,MATCH(COLUMNS($AC$1006:AK1006),$AC$1006:$AS$1006,0))&gt;=100000), " ",IF(INDEX($AC$2:$AS$1001,MATCH(ROWS($V$2:V201),$V$2:$V$1001,0),MATCH(COLUMNS($AC$1006:AK1006),$AC$1006:$AS$1006,0)), HYPERLINK("#",""), HYPERLINK(CONCATENATE("#Metadata!", ADDRESS(INDEX($X$2:$X$1001,MATCH(ROWS($V$2:V201),$V$2:$V$1001,0),0), INDEX($AC$1004:$AS$1004,1,MATCH(COLUMNS($AC$1006:AK1006),$AC$1006:$AS$1006,0)))),"Fix")))</f>
        <v>0</v>
      </c>
      <c r="K201" s="5">
        <f>IF(OR(INDEX($W$2:$W$1001,MATCH(ROWS($V$2:V201),$V$2:$V$1001,0),1)&gt;=100000,INDEX($AC$1005:$AS$1005,1,MATCH(COLUMNS($AC$1006:AL1006),$AC$1006:$AS$1006,0))&gt;=100000), " ",IF(INDEX($AC$2:$AS$1001,MATCH(ROWS($V$2:V201),$V$2:$V$1001,0),MATCH(COLUMNS($AC$1006:AL1006),$AC$1006:$AS$1006,0)), HYPERLINK("#",""), HYPERLINK(CONCATENATE("#Metadata!", ADDRESS(INDEX($X$2:$X$1001,MATCH(ROWS($V$2:V201),$V$2:$V$1001,0),0), INDEX($AC$1004:$AS$1004,1,MATCH(COLUMNS($AC$1006:AL1006),$AC$1006:$AS$1006,0)))),"Fix")))</f>
        <v>0</v>
      </c>
      <c r="L201" s="5">
        <f>IF(OR(INDEX($W$2:$W$1001,MATCH(ROWS($V$2:V201),$V$2:$V$1001,0),1)&gt;=100000,INDEX($AC$1005:$AS$1005,1,MATCH(COLUMNS($AC$1006:AM1006),$AC$1006:$AS$1006,0))&gt;=100000), " ",IF(INDEX($AC$2:$AS$1001,MATCH(ROWS($V$2:V201),$V$2:$V$1001,0),MATCH(COLUMNS($AC$1006:AM1006),$AC$1006:$AS$1006,0)), HYPERLINK("#",""), HYPERLINK(CONCATENATE("#Metadata!", ADDRESS(INDEX($X$2:$X$1001,MATCH(ROWS($V$2:V201),$V$2:$V$1001,0),0), INDEX($AC$1004:$AS$1004,1,MATCH(COLUMNS($AC$1006:AM1006),$AC$1006:$AS$1006,0)))),"Fix")))</f>
        <v>0</v>
      </c>
      <c r="M201" s="5">
        <f>IF(OR(INDEX($W$2:$W$1001,MATCH(ROWS($V$2:V201),$V$2:$V$1001,0),1)&gt;=100000,INDEX($AC$1005:$AS$1005,1,MATCH(COLUMNS($AC$1006:AN1006),$AC$1006:$AS$1006,0))&gt;=100000), " ",IF(INDEX($AC$2:$AS$1001,MATCH(ROWS($V$2:V201),$V$2:$V$1001,0),MATCH(COLUMNS($AC$1006:AN1006),$AC$1006:$AS$1006,0)), HYPERLINK("#",""), HYPERLINK(CONCATENATE("#Metadata!", ADDRESS(INDEX($X$2:$X$1001,MATCH(ROWS($V$2:V201),$V$2:$V$1001,0),0), INDEX($AC$1004:$AS$1004,1,MATCH(COLUMNS($AC$1006:AN1006),$AC$1006:$AS$1006,0)))),"Fix")))</f>
        <v>0</v>
      </c>
      <c r="N201" s="5">
        <f>IF(OR(INDEX($W$2:$W$1001,MATCH(ROWS($V$2:V201),$V$2:$V$1001,0),1)&gt;=100000,INDEX($AC$1005:$AS$1005,1,MATCH(COLUMNS($AC$1006:AO1006),$AC$1006:$AS$1006,0))&gt;=100000), " ",IF(INDEX($AC$2:$AS$1001,MATCH(ROWS($V$2:V201),$V$2:$V$1001,0),MATCH(COLUMNS($AC$1006:AO1006),$AC$1006:$AS$1006,0)), HYPERLINK("#",""), HYPERLINK(CONCATENATE("#Metadata!", ADDRESS(INDEX($X$2:$X$1001,MATCH(ROWS($V$2:V201),$V$2:$V$1001,0),0), INDEX($AC$1004:$AS$1004,1,MATCH(COLUMNS($AC$1006:AO1006),$AC$1006:$AS$1006,0)))),"Fix")))</f>
        <v>0</v>
      </c>
      <c r="O201" s="5">
        <f>IF(OR(INDEX($W$2:$W$1001,MATCH(ROWS($V$2:V201),$V$2:$V$1001,0),1)&gt;=100000,INDEX($AC$1005:$AS$1005,1,MATCH(COLUMNS($AC$1006:AP1006),$AC$1006:$AS$1006,0))&gt;=100000), " ",IF(INDEX($AC$2:$AS$1001,MATCH(ROWS($V$2:V201),$V$2:$V$1001,0),MATCH(COLUMNS($AC$1006:AP1006),$AC$1006:$AS$1006,0)), HYPERLINK("#",""), HYPERLINK(CONCATENATE("#Metadata!", ADDRESS(INDEX($X$2:$X$1001,MATCH(ROWS($V$2:V201),$V$2:$V$1001,0),0), INDEX($AC$1004:$AS$1004,1,MATCH(COLUMNS($AC$1006:AP1006),$AC$1006:$AS$1006,0)))),"Fix")))</f>
        <v>0</v>
      </c>
      <c r="P201" s="5">
        <f>IF(OR(INDEX($W$2:$W$1001,MATCH(ROWS($V$2:V201),$V$2:$V$1001,0),1)&gt;=100000,INDEX($AC$1005:$AS$1005,1,MATCH(COLUMNS($AC$1006:AQ1006),$AC$1006:$AS$1006,0))&gt;=100000), " ",IF(INDEX($AC$2:$AS$1001,MATCH(ROWS($V$2:V201),$V$2:$V$1001,0),MATCH(COLUMNS($AC$1006:AQ1006),$AC$1006:$AS$1006,0)), HYPERLINK("#",""), HYPERLINK(CONCATENATE("#Metadata!", ADDRESS(INDEX($X$2:$X$1001,MATCH(ROWS($V$2:V201),$V$2:$V$1001,0),0), INDEX($AC$1004:$AS$1004,1,MATCH(COLUMNS($AC$1006:AQ1006),$AC$1006:$AS$1006,0)))),"Fix")))</f>
        <v>0</v>
      </c>
      <c r="Q201" s="5">
        <f>IF(OR(INDEX($W$2:$W$1001,MATCH(ROWS($V$2:V201),$V$2:$V$1001,0),1)&gt;=100000,INDEX($AC$1005:$AS$1005,1,MATCH(COLUMNS($AC$1006:AR1006),$AC$1006:$AS$1006,0))&gt;=100000), " ",IF(INDEX($AC$2:$AS$1001,MATCH(ROWS($V$2:V201),$V$2:$V$1001,0),MATCH(COLUMNS($AC$1006:AR1006),$AC$1006:$AS$1006,0)), HYPERLINK("#",""), HYPERLINK(CONCATENATE("#Metadata!", ADDRESS(INDEX($X$2:$X$1001,MATCH(ROWS($V$2:V201),$V$2:$V$1001,0),0), INDEX($AC$1004:$AS$1004,1,MATCH(COLUMNS($AC$1006:AR1006),$AC$1006:$AS$1006,0)))),"Fix")))</f>
        <v>0</v>
      </c>
      <c r="R201" s="5">
        <f>IF(OR(INDEX($W$2:$W$1001,MATCH(ROWS($V$2:V201),$V$2:$V$1001,0),1)&gt;=100000,INDEX($AC$1005:$AS$1005,1,MATCH(COLUMNS($AC$1006:AS1006),$AC$1006:$AS$1006,0))&gt;=100000), " ",IF(INDEX($AC$2:$AS$1001,MATCH(ROWS($V$2:V201),$V$2:$V$1001,0),MATCH(COLUMNS($AC$1006:AS1006),$AC$1006:$AS$1006,0)), HYPERLINK("#",""), HYPERLINK(CONCATENATE("#Metadata!", ADDRESS(INDEX($X$2:$X$1001,MATCH(ROWS($V$2:V201),$V$2:$V$1001,0),0), INDEX($AC$1004:$AS$1004,1,MATCH(COLUMNS($AC$1006:AS1006),$AC$1006:$AS$1006,0)))),"Fix")))</f>
        <v>0</v>
      </c>
      <c r="V201">
        <v>0</v>
      </c>
      <c r="W201">
        <v>0</v>
      </c>
      <c r="X201">
        <v>0</v>
      </c>
      <c r="Y201">
        <f>IF(Z201,TRUE,AND(AC201:AS201))</f>
        <v>0</v>
      </c>
      <c r="Z201">
        <f>COUNTBLANK(Metadata!B201:R201)=COLUMNS(Metadata!B201:R201)</f>
        <v>0</v>
      </c>
      <c r="AA201">
        <v>0</v>
      </c>
      <c r="AC201">
        <f>AND(IF(Metadata!B201="",FALSE,TRUE),COUNTIF(Metadata!B:B, Metadata!B201) = 1,NOT(ISERROR(SUMPRODUCT(SEARCH(MID(Metadata!B201,ROW(INDIRECT("1:"&amp;LEN(Metadata!B201))), 1),"0123456789abcdefghijklmnopqrstuvwxyzABCDEFGHIJKLMNOPQRSTUVWXYZ.")))))</f>
        <v>0</v>
      </c>
      <c r="AD201">
        <f>AND(IF(Metadata!C201="",FALSE,TRUE),exact(Metadata!C201,"Host-associated"))</f>
        <v>0</v>
      </c>
      <c r="AE201">
        <f>AND(IF(Metadata!D201="",FALSE,TRUE),OR(exact(Metadata!D201,"Animal"),exact(Metadata!D201,"Fungus"),exact(Metadata!D201,"Plant")))</f>
        <v>0</v>
      </c>
      <c r="AF201">
        <f>AND(IF(Metadata!E201="",FALSE,TRUE),OR(exact(Metadata!E201,"Plant secretion"),exact(Metadata!E201,"Plant rhizosphere"),exact(Metadata!E201,"Plant surface"),exact(Metadata!E201,"Plant corpus"),exact(Metadata!E201,"Fungus surface"),exact(Metadata!E201,"Fungus corpus"),exact(Metadata!E201,"Animal surface"),exact(Metadata!E201,"Animal proximal gut"),exact(Metadata!E201,"Animal corpus"),exact(Metadata!E201,"Animal distal gut"),exact(Metadata!E201,"Animal secretion")))</f>
        <v>0</v>
      </c>
      <c r="AG201">
        <f>OR(AND(IF(Metadata!F201="",FALSE,TRUE),OR(exact(Metadata!F201,"not collected"),exact(Metadata!F201,"not provided"),exact(Metadata!F201,"restricted access"))),AND(IF(Metadata!F201="",FALSE,TRUE),OR(exact(Metadata!F201,"organism-associated habitat"),exact(Metadata!F201,"plant-associated habitat"),exact(Metadata!F201,"animal-associated habitat"),exact(Metadata!F201,"insecta-associated habitat"),exact(Metadata!F201,"mammalia-associated habitat"),exact(Metadata!F201,"human-associated habitat"),exact(Metadata!F201,"livestock-associated habitat"))))</f>
        <v>0</v>
      </c>
      <c r="AH201">
        <f>AND(IF(Metadata!G201="",FALSE,TRUE),exact(Metadata!G201,"host-associated"))</f>
        <v>0</v>
      </c>
      <c r="AI201">
        <f>OR(AND(IF(Metadata!H201="",FALSE,TRUE),OR(exact(Metadata!H201,"not collected"),exact(Metadata!H201,"not provided"))),AND(IF(Metadata!H201="",FALSE,ISNUMBER(VALUE(Metadata!H201))),Metadata!H201&gt;0))</f>
        <v>0</v>
      </c>
      <c r="AJ201">
        <f>AND(IF(Metadata!I201="",FALSE,TRUE),exact(Metadata!I201,"years"))</f>
        <v>0</v>
      </c>
      <c r="AK201">
        <f>IF(Metadata!J201="",FALSE,TRUE)</f>
        <v>0</v>
      </c>
      <c r="AL201">
        <f>OR(AND(IF(Metadata!K201="",FALSE,TRUE),OR(exact(Metadata!K201,"not collected"),exact(Metadata!K201,"not provided"))),AND(IF(Metadata!K201="",FALSE,ISNUMBER(VALUE(Metadata!K201))),Metadata!K201&gt;0))</f>
        <v>0</v>
      </c>
      <c r="AM201">
        <f>AND(IF(Metadata!L201="",FALSE,TRUE),exact(Metadata!L201,"cm"))</f>
        <v>0</v>
      </c>
      <c r="AN201">
        <f>IF(Metadata!M201="",FALSE,TRUE)</f>
        <v>0</v>
      </c>
      <c r="AO201">
        <f>OR(AND(IF(Metadata!N201="",FALSE,TRUE),OR(exact(Metadata!N201,"not applicable"),exact(Metadata!N201,"not collected"),exact(Metadata!N201,"not provided"))),AND(IF(Metadata!N201="",FALSE,IF(ISERROR(INT(Metadata!N201)),FALSE,INT(Metadata!N201)=Metadata!N201)),Metadata!N201&gt;0))</f>
        <v>0</v>
      </c>
      <c r="AP201">
        <f>OR(AND(IF(Metadata!O201="",FALSE,TRUE),OR(exact(Metadata!O201,"not collected"),exact(Metadata!O201,"not provided"))),AND(IF(Metadata!O201="",FALSE,ISNUMBER(VALUE(Metadata!O201))),Metadata!O201&gt;0))</f>
        <v>0</v>
      </c>
      <c r="AQ201">
        <f>AND(IF(Metadata!P201="",FALSE,TRUE),exact(Metadata!P201,"kg"))</f>
        <v>0</v>
      </c>
      <c r="AR201">
        <f>OR(AND(IF(Metadata!Q201="",FALSE,TRUE),OR(exact(Metadata!Q201,"not applicable"),exact(Metadata!Q201,"not collected"),exact(Metadata!Q201,"not provided"),exact(Metadata!Q201,"restricted access"))),IF(Metadata!Q201="",FALSE,IF(ISERROR(INT(Metadata!Q201)),FALSE,INT(Metadata!Q201)=Metadata!Q201)))</f>
        <v>0</v>
      </c>
      <c r="AS201">
        <f>AND(IF(Metadata!R201="",FALSE,TRUE),exact(Metadata!R201,"Not applicable"))</f>
        <v>0</v>
      </c>
    </row>
    <row r="202" spans="1:45">
      <c r="A202" s="4">
        <f>IF(B202=" "," ",HYPERLINK(CONCATENATE("#metadata!",ADDRESS(INDEX($X$2:$X$1001,MATCH(ROWS($V$2:V202),$V$2:$V$1001,0),0),2)),INDEX($AA$2:$AA$1001,MATCH(ROWS($V$2:V202),$V$2:$V$1001,0),0)))</f>
        <v>0</v>
      </c>
      <c r="B202" s="5">
        <f>IF(OR(INDEX($W$2:$W$1001,MATCH(ROWS($V$2:V202),$V$2:$V$1001,0),1)&gt;=100000,INDEX($AC$1005:$AS$1005,1,MATCH(COLUMNS($AC$1006:AC1006),$AC$1006:$AS$1006,0))&gt;=100000), " ",IF(INDEX($AC$2:$AS$1001,MATCH(ROWS($V$2:V202),$V$2:$V$1001,0),MATCH(COLUMNS($AC$1006:AC1006),$AC$1006:$AS$1006,0)), HYPERLINK("#",""), HYPERLINK(CONCATENATE("#Metadata!", ADDRESS(INDEX($X$2:$X$1001,MATCH(ROWS($V$2:V202),$V$2:$V$1001,0),0), INDEX($AC$1004:$AS$1004,1,MATCH(COLUMNS($AC$1006:AC1006),$AC$1006:$AS$1006,0)))),"Fix")))</f>
        <v>0</v>
      </c>
      <c r="C202" s="5">
        <f>IF(OR(INDEX($W$2:$W$1001,MATCH(ROWS($V$2:V202),$V$2:$V$1001,0),1)&gt;=100000,INDEX($AC$1005:$AS$1005,1,MATCH(COLUMNS($AC$1006:AD1006),$AC$1006:$AS$1006,0))&gt;=100000), " ",IF(INDEX($AC$2:$AS$1001,MATCH(ROWS($V$2:V202),$V$2:$V$1001,0),MATCH(COLUMNS($AC$1006:AD1006),$AC$1006:$AS$1006,0)), HYPERLINK("#",""), HYPERLINK(CONCATENATE("#Metadata!", ADDRESS(INDEX($X$2:$X$1001,MATCH(ROWS($V$2:V202),$V$2:$V$1001,0),0), INDEX($AC$1004:$AS$1004,1,MATCH(COLUMNS($AC$1006:AD1006),$AC$1006:$AS$1006,0)))),"Fix")))</f>
        <v>0</v>
      </c>
      <c r="D202" s="5">
        <f>IF(OR(INDEX($W$2:$W$1001,MATCH(ROWS($V$2:V202),$V$2:$V$1001,0),1)&gt;=100000,INDEX($AC$1005:$AS$1005,1,MATCH(COLUMNS($AC$1006:AE1006),$AC$1006:$AS$1006,0))&gt;=100000), " ",IF(INDEX($AC$2:$AS$1001,MATCH(ROWS($V$2:V202),$V$2:$V$1001,0),MATCH(COLUMNS($AC$1006:AE1006),$AC$1006:$AS$1006,0)), HYPERLINK("#",""), HYPERLINK(CONCATENATE("#Metadata!", ADDRESS(INDEX($X$2:$X$1001,MATCH(ROWS($V$2:V202),$V$2:$V$1001,0),0), INDEX($AC$1004:$AS$1004,1,MATCH(COLUMNS($AC$1006:AE1006),$AC$1006:$AS$1006,0)))),"Fix")))</f>
        <v>0</v>
      </c>
      <c r="E202" s="5">
        <f>IF(OR(INDEX($W$2:$W$1001,MATCH(ROWS($V$2:V202),$V$2:$V$1001,0),1)&gt;=100000,INDEX($AC$1005:$AS$1005,1,MATCH(COLUMNS($AC$1006:AF1006),$AC$1006:$AS$1006,0))&gt;=100000), " ",IF(INDEX($AC$2:$AS$1001,MATCH(ROWS($V$2:V202),$V$2:$V$1001,0),MATCH(COLUMNS($AC$1006:AF1006),$AC$1006:$AS$1006,0)), HYPERLINK("#",""), HYPERLINK(CONCATENATE("#Metadata!", ADDRESS(INDEX($X$2:$X$1001,MATCH(ROWS($V$2:V202),$V$2:$V$1001,0),0), INDEX($AC$1004:$AS$1004,1,MATCH(COLUMNS($AC$1006:AF1006),$AC$1006:$AS$1006,0)))),"Fix")))</f>
        <v>0</v>
      </c>
      <c r="F202" s="5">
        <f>IF(OR(INDEX($W$2:$W$1001,MATCH(ROWS($V$2:V202),$V$2:$V$1001,0),1)&gt;=100000,INDEX($AC$1005:$AS$1005,1,MATCH(COLUMNS($AC$1006:AG1006),$AC$1006:$AS$1006,0))&gt;=100000), " ",IF(INDEX($AC$2:$AS$1001,MATCH(ROWS($V$2:V202),$V$2:$V$1001,0),MATCH(COLUMNS($AC$1006:AG1006),$AC$1006:$AS$1006,0)), HYPERLINK("#",""), HYPERLINK(CONCATENATE("#Metadata!", ADDRESS(INDEX($X$2:$X$1001,MATCH(ROWS($V$2:V202),$V$2:$V$1001,0),0), INDEX($AC$1004:$AS$1004,1,MATCH(COLUMNS($AC$1006:AG1006),$AC$1006:$AS$1006,0)))),"Fix")))</f>
        <v>0</v>
      </c>
      <c r="G202" s="5">
        <f>IF(OR(INDEX($W$2:$W$1001,MATCH(ROWS($V$2:V202),$V$2:$V$1001,0),1)&gt;=100000,INDEX($AC$1005:$AS$1005,1,MATCH(COLUMNS($AC$1006:AH1006),$AC$1006:$AS$1006,0))&gt;=100000), " ",IF(INDEX($AC$2:$AS$1001,MATCH(ROWS($V$2:V202),$V$2:$V$1001,0),MATCH(COLUMNS($AC$1006:AH1006),$AC$1006:$AS$1006,0)), HYPERLINK("#",""), HYPERLINK(CONCATENATE("#Metadata!", ADDRESS(INDEX($X$2:$X$1001,MATCH(ROWS($V$2:V202),$V$2:$V$1001,0),0), INDEX($AC$1004:$AS$1004,1,MATCH(COLUMNS($AC$1006:AH1006),$AC$1006:$AS$1006,0)))),"Fix")))</f>
        <v>0</v>
      </c>
      <c r="H202" s="5">
        <f>IF(OR(INDEX($W$2:$W$1001,MATCH(ROWS($V$2:V202),$V$2:$V$1001,0),1)&gt;=100000,INDEX($AC$1005:$AS$1005,1,MATCH(COLUMNS($AC$1006:AI1006),$AC$1006:$AS$1006,0))&gt;=100000), " ",IF(INDEX($AC$2:$AS$1001,MATCH(ROWS($V$2:V202),$V$2:$V$1001,0),MATCH(COLUMNS($AC$1006:AI1006),$AC$1006:$AS$1006,0)), HYPERLINK("#",""), HYPERLINK(CONCATENATE("#Metadata!", ADDRESS(INDEX($X$2:$X$1001,MATCH(ROWS($V$2:V202),$V$2:$V$1001,0),0), INDEX($AC$1004:$AS$1004,1,MATCH(COLUMNS($AC$1006:AI1006),$AC$1006:$AS$1006,0)))),"Fix")))</f>
        <v>0</v>
      </c>
      <c r="I202" s="5">
        <f>IF(OR(INDEX($W$2:$W$1001,MATCH(ROWS($V$2:V202),$V$2:$V$1001,0),1)&gt;=100000,INDEX($AC$1005:$AS$1005,1,MATCH(COLUMNS($AC$1006:AJ1006),$AC$1006:$AS$1006,0))&gt;=100000), " ",IF(INDEX($AC$2:$AS$1001,MATCH(ROWS($V$2:V202),$V$2:$V$1001,0),MATCH(COLUMNS($AC$1006:AJ1006),$AC$1006:$AS$1006,0)), HYPERLINK("#",""), HYPERLINK(CONCATENATE("#Metadata!", ADDRESS(INDEX($X$2:$X$1001,MATCH(ROWS($V$2:V202),$V$2:$V$1001,0),0), INDEX($AC$1004:$AS$1004,1,MATCH(COLUMNS($AC$1006:AJ1006),$AC$1006:$AS$1006,0)))),"Fix")))</f>
        <v>0</v>
      </c>
      <c r="J202" s="5">
        <f>IF(OR(INDEX($W$2:$W$1001,MATCH(ROWS($V$2:V202),$V$2:$V$1001,0),1)&gt;=100000,INDEX($AC$1005:$AS$1005,1,MATCH(COLUMNS($AC$1006:AK1006),$AC$1006:$AS$1006,0))&gt;=100000), " ",IF(INDEX($AC$2:$AS$1001,MATCH(ROWS($V$2:V202),$V$2:$V$1001,0),MATCH(COLUMNS($AC$1006:AK1006),$AC$1006:$AS$1006,0)), HYPERLINK("#",""), HYPERLINK(CONCATENATE("#Metadata!", ADDRESS(INDEX($X$2:$X$1001,MATCH(ROWS($V$2:V202),$V$2:$V$1001,0),0), INDEX($AC$1004:$AS$1004,1,MATCH(COLUMNS($AC$1006:AK1006),$AC$1006:$AS$1006,0)))),"Fix")))</f>
        <v>0</v>
      </c>
      <c r="K202" s="5">
        <f>IF(OR(INDEX($W$2:$W$1001,MATCH(ROWS($V$2:V202),$V$2:$V$1001,0),1)&gt;=100000,INDEX($AC$1005:$AS$1005,1,MATCH(COLUMNS($AC$1006:AL1006),$AC$1006:$AS$1006,0))&gt;=100000), " ",IF(INDEX($AC$2:$AS$1001,MATCH(ROWS($V$2:V202),$V$2:$V$1001,0),MATCH(COLUMNS($AC$1006:AL1006),$AC$1006:$AS$1006,0)), HYPERLINK("#",""), HYPERLINK(CONCATENATE("#Metadata!", ADDRESS(INDEX($X$2:$X$1001,MATCH(ROWS($V$2:V202),$V$2:$V$1001,0),0), INDEX($AC$1004:$AS$1004,1,MATCH(COLUMNS($AC$1006:AL1006),$AC$1006:$AS$1006,0)))),"Fix")))</f>
        <v>0</v>
      </c>
      <c r="L202" s="5">
        <f>IF(OR(INDEX($W$2:$W$1001,MATCH(ROWS($V$2:V202),$V$2:$V$1001,0),1)&gt;=100000,INDEX($AC$1005:$AS$1005,1,MATCH(COLUMNS($AC$1006:AM1006),$AC$1006:$AS$1006,0))&gt;=100000), " ",IF(INDEX($AC$2:$AS$1001,MATCH(ROWS($V$2:V202),$V$2:$V$1001,0),MATCH(COLUMNS($AC$1006:AM1006),$AC$1006:$AS$1006,0)), HYPERLINK("#",""), HYPERLINK(CONCATENATE("#Metadata!", ADDRESS(INDEX($X$2:$X$1001,MATCH(ROWS($V$2:V202),$V$2:$V$1001,0),0), INDEX($AC$1004:$AS$1004,1,MATCH(COLUMNS($AC$1006:AM1006),$AC$1006:$AS$1006,0)))),"Fix")))</f>
        <v>0</v>
      </c>
      <c r="M202" s="5">
        <f>IF(OR(INDEX($W$2:$W$1001,MATCH(ROWS($V$2:V202),$V$2:$V$1001,0),1)&gt;=100000,INDEX($AC$1005:$AS$1005,1,MATCH(COLUMNS($AC$1006:AN1006),$AC$1006:$AS$1006,0))&gt;=100000), " ",IF(INDEX($AC$2:$AS$1001,MATCH(ROWS($V$2:V202),$V$2:$V$1001,0),MATCH(COLUMNS($AC$1006:AN1006),$AC$1006:$AS$1006,0)), HYPERLINK("#",""), HYPERLINK(CONCATENATE("#Metadata!", ADDRESS(INDEX($X$2:$X$1001,MATCH(ROWS($V$2:V202),$V$2:$V$1001,0),0), INDEX($AC$1004:$AS$1004,1,MATCH(COLUMNS($AC$1006:AN1006),$AC$1006:$AS$1006,0)))),"Fix")))</f>
        <v>0</v>
      </c>
      <c r="N202" s="5">
        <f>IF(OR(INDEX($W$2:$W$1001,MATCH(ROWS($V$2:V202),$V$2:$V$1001,0),1)&gt;=100000,INDEX($AC$1005:$AS$1005,1,MATCH(COLUMNS($AC$1006:AO1006),$AC$1006:$AS$1006,0))&gt;=100000), " ",IF(INDEX($AC$2:$AS$1001,MATCH(ROWS($V$2:V202),$V$2:$V$1001,0),MATCH(COLUMNS($AC$1006:AO1006),$AC$1006:$AS$1006,0)), HYPERLINK("#",""), HYPERLINK(CONCATENATE("#Metadata!", ADDRESS(INDEX($X$2:$X$1001,MATCH(ROWS($V$2:V202),$V$2:$V$1001,0),0), INDEX($AC$1004:$AS$1004,1,MATCH(COLUMNS($AC$1006:AO1006),$AC$1006:$AS$1006,0)))),"Fix")))</f>
        <v>0</v>
      </c>
      <c r="O202" s="5">
        <f>IF(OR(INDEX($W$2:$W$1001,MATCH(ROWS($V$2:V202),$V$2:$V$1001,0),1)&gt;=100000,INDEX($AC$1005:$AS$1005,1,MATCH(COLUMNS($AC$1006:AP1006),$AC$1006:$AS$1006,0))&gt;=100000), " ",IF(INDEX($AC$2:$AS$1001,MATCH(ROWS($V$2:V202),$V$2:$V$1001,0),MATCH(COLUMNS($AC$1006:AP1006),$AC$1006:$AS$1006,0)), HYPERLINK("#",""), HYPERLINK(CONCATENATE("#Metadata!", ADDRESS(INDEX($X$2:$X$1001,MATCH(ROWS($V$2:V202),$V$2:$V$1001,0),0), INDEX($AC$1004:$AS$1004,1,MATCH(COLUMNS($AC$1006:AP1006),$AC$1006:$AS$1006,0)))),"Fix")))</f>
        <v>0</v>
      </c>
      <c r="P202" s="5">
        <f>IF(OR(INDEX($W$2:$W$1001,MATCH(ROWS($V$2:V202),$V$2:$V$1001,0),1)&gt;=100000,INDEX($AC$1005:$AS$1005,1,MATCH(COLUMNS($AC$1006:AQ1006),$AC$1006:$AS$1006,0))&gt;=100000), " ",IF(INDEX($AC$2:$AS$1001,MATCH(ROWS($V$2:V202),$V$2:$V$1001,0),MATCH(COLUMNS($AC$1006:AQ1006),$AC$1006:$AS$1006,0)), HYPERLINK("#",""), HYPERLINK(CONCATENATE("#Metadata!", ADDRESS(INDEX($X$2:$X$1001,MATCH(ROWS($V$2:V202),$V$2:$V$1001,0),0), INDEX($AC$1004:$AS$1004,1,MATCH(COLUMNS($AC$1006:AQ1006),$AC$1006:$AS$1006,0)))),"Fix")))</f>
        <v>0</v>
      </c>
      <c r="Q202" s="5">
        <f>IF(OR(INDEX($W$2:$W$1001,MATCH(ROWS($V$2:V202),$V$2:$V$1001,0),1)&gt;=100000,INDEX($AC$1005:$AS$1005,1,MATCH(COLUMNS($AC$1006:AR1006),$AC$1006:$AS$1006,0))&gt;=100000), " ",IF(INDEX($AC$2:$AS$1001,MATCH(ROWS($V$2:V202),$V$2:$V$1001,0),MATCH(COLUMNS($AC$1006:AR1006),$AC$1006:$AS$1006,0)), HYPERLINK("#",""), HYPERLINK(CONCATENATE("#Metadata!", ADDRESS(INDEX($X$2:$X$1001,MATCH(ROWS($V$2:V202),$V$2:$V$1001,0),0), INDEX($AC$1004:$AS$1004,1,MATCH(COLUMNS($AC$1006:AR1006),$AC$1006:$AS$1006,0)))),"Fix")))</f>
        <v>0</v>
      </c>
      <c r="R202" s="5">
        <f>IF(OR(INDEX($W$2:$W$1001,MATCH(ROWS($V$2:V202),$V$2:$V$1001,0),1)&gt;=100000,INDEX($AC$1005:$AS$1005,1,MATCH(COLUMNS($AC$1006:AS1006),$AC$1006:$AS$1006,0))&gt;=100000), " ",IF(INDEX($AC$2:$AS$1001,MATCH(ROWS($V$2:V202),$V$2:$V$1001,0),MATCH(COLUMNS($AC$1006:AS1006),$AC$1006:$AS$1006,0)), HYPERLINK("#",""), HYPERLINK(CONCATENATE("#Metadata!", ADDRESS(INDEX($X$2:$X$1001,MATCH(ROWS($V$2:V202),$V$2:$V$1001,0),0), INDEX($AC$1004:$AS$1004,1,MATCH(COLUMNS($AC$1006:AS1006),$AC$1006:$AS$1006,0)))),"Fix")))</f>
        <v>0</v>
      </c>
      <c r="V202">
        <v>0</v>
      </c>
      <c r="W202">
        <v>0</v>
      </c>
      <c r="X202">
        <v>0</v>
      </c>
      <c r="Y202">
        <f>IF(Z202,TRUE,AND(AC202:AS202))</f>
        <v>0</v>
      </c>
      <c r="Z202">
        <f>COUNTBLANK(Metadata!B202:R202)=COLUMNS(Metadata!B202:R202)</f>
        <v>0</v>
      </c>
      <c r="AA202">
        <v>0</v>
      </c>
      <c r="AC202">
        <f>AND(IF(Metadata!B202="",FALSE,TRUE),COUNTIF(Metadata!B:B, Metadata!B202) = 1,NOT(ISERROR(SUMPRODUCT(SEARCH(MID(Metadata!B202,ROW(INDIRECT("1:"&amp;LEN(Metadata!B202))), 1),"0123456789abcdefghijklmnopqrstuvwxyzABCDEFGHIJKLMNOPQRSTUVWXYZ.")))))</f>
        <v>0</v>
      </c>
      <c r="AD202">
        <f>AND(IF(Metadata!C202="",FALSE,TRUE),exact(Metadata!C202,"Host-associated"))</f>
        <v>0</v>
      </c>
      <c r="AE202">
        <f>AND(IF(Metadata!D202="",FALSE,TRUE),OR(exact(Metadata!D202,"Animal"),exact(Metadata!D202,"Fungus"),exact(Metadata!D202,"Plant")))</f>
        <v>0</v>
      </c>
      <c r="AF202">
        <f>AND(IF(Metadata!E202="",FALSE,TRUE),OR(exact(Metadata!E202,"Plant secretion"),exact(Metadata!E202,"Plant rhizosphere"),exact(Metadata!E202,"Plant surface"),exact(Metadata!E202,"Plant corpus"),exact(Metadata!E202,"Fungus surface"),exact(Metadata!E202,"Fungus corpus"),exact(Metadata!E202,"Animal surface"),exact(Metadata!E202,"Animal proximal gut"),exact(Metadata!E202,"Animal corpus"),exact(Metadata!E202,"Animal distal gut"),exact(Metadata!E202,"Animal secretion")))</f>
        <v>0</v>
      </c>
      <c r="AG202">
        <f>OR(AND(IF(Metadata!F202="",FALSE,TRUE),OR(exact(Metadata!F202,"not collected"),exact(Metadata!F202,"not provided"),exact(Metadata!F202,"restricted access"))),AND(IF(Metadata!F202="",FALSE,TRUE),OR(exact(Metadata!F202,"organism-associated habitat"),exact(Metadata!F202,"plant-associated habitat"),exact(Metadata!F202,"animal-associated habitat"),exact(Metadata!F202,"insecta-associated habitat"),exact(Metadata!F202,"mammalia-associated habitat"),exact(Metadata!F202,"human-associated habitat"),exact(Metadata!F202,"livestock-associated habitat"))))</f>
        <v>0</v>
      </c>
      <c r="AH202">
        <f>AND(IF(Metadata!G202="",FALSE,TRUE),exact(Metadata!G202,"host-associated"))</f>
        <v>0</v>
      </c>
      <c r="AI202">
        <f>OR(AND(IF(Metadata!H202="",FALSE,TRUE),OR(exact(Metadata!H202,"not collected"),exact(Metadata!H202,"not provided"))),AND(IF(Metadata!H202="",FALSE,ISNUMBER(VALUE(Metadata!H202))),Metadata!H202&gt;0))</f>
        <v>0</v>
      </c>
      <c r="AJ202">
        <f>AND(IF(Metadata!I202="",FALSE,TRUE),exact(Metadata!I202,"years"))</f>
        <v>0</v>
      </c>
      <c r="AK202">
        <f>IF(Metadata!J202="",FALSE,TRUE)</f>
        <v>0</v>
      </c>
      <c r="AL202">
        <f>OR(AND(IF(Metadata!K202="",FALSE,TRUE),OR(exact(Metadata!K202,"not collected"),exact(Metadata!K202,"not provided"))),AND(IF(Metadata!K202="",FALSE,ISNUMBER(VALUE(Metadata!K202))),Metadata!K202&gt;0))</f>
        <v>0</v>
      </c>
      <c r="AM202">
        <f>AND(IF(Metadata!L202="",FALSE,TRUE),exact(Metadata!L202,"cm"))</f>
        <v>0</v>
      </c>
      <c r="AN202">
        <f>IF(Metadata!M202="",FALSE,TRUE)</f>
        <v>0</v>
      </c>
      <c r="AO202">
        <f>OR(AND(IF(Metadata!N202="",FALSE,TRUE),OR(exact(Metadata!N202,"not applicable"),exact(Metadata!N202,"not collected"),exact(Metadata!N202,"not provided"))),AND(IF(Metadata!N202="",FALSE,IF(ISERROR(INT(Metadata!N202)),FALSE,INT(Metadata!N202)=Metadata!N202)),Metadata!N202&gt;0))</f>
        <v>0</v>
      </c>
      <c r="AP202">
        <f>OR(AND(IF(Metadata!O202="",FALSE,TRUE),OR(exact(Metadata!O202,"not collected"),exact(Metadata!O202,"not provided"))),AND(IF(Metadata!O202="",FALSE,ISNUMBER(VALUE(Metadata!O202))),Metadata!O202&gt;0))</f>
        <v>0</v>
      </c>
      <c r="AQ202">
        <f>AND(IF(Metadata!P202="",FALSE,TRUE),exact(Metadata!P202,"kg"))</f>
        <v>0</v>
      </c>
      <c r="AR202">
        <f>OR(AND(IF(Metadata!Q202="",FALSE,TRUE),OR(exact(Metadata!Q202,"not applicable"),exact(Metadata!Q202,"not collected"),exact(Metadata!Q202,"not provided"),exact(Metadata!Q202,"restricted access"))),IF(Metadata!Q202="",FALSE,IF(ISERROR(INT(Metadata!Q202)),FALSE,INT(Metadata!Q202)=Metadata!Q202)))</f>
        <v>0</v>
      </c>
      <c r="AS202">
        <f>AND(IF(Metadata!R202="",FALSE,TRUE),exact(Metadata!R202,"Not applicable"))</f>
        <v>0</v>
      </c>
    </row>
    <row r="203" spans="1:45">
      <c r="A203" s="4">
        <f>IF(B203=" "," ",HYPERLINK(CONCATENATE("#metadata!",ADDRESS(INDEX($X$2:$X$1001,MATCH(ROWS($V$2:V203),$V$2:$V$1001,0),0),2)),INDEX($AA$2:$AA$1001,MATCH(ROWS($V$2:V203),$V$2:$V$1001,0),0)))</f>
        <v>0</v>
      </c>
      <c r="B203" s="5">
        <f>IF(OR(INDEX($W$2:$W$1001,MATCH(ROWS($V$2:V203),$V$2:$V$1001,0),1)&gt;=100000,INDEX($AC$1005:$AS$1005,1,MATCH(COLUMNS($AC$1006:AC1006),$AC$1006:$AS$1006,0))&gt;=100000), " ",IF(INDEX($AC$2:$AS$1001,MATCH(ROWS($V$2:V203),$V$2:$V$1001,0),MATCH(COLUMNS($AC$1006:AC1006),$AC$1006:$AS$1006,0)), HYPERLINK("#",""), HYPERLINK(CONCATENATE("#Metadata!", ADDRESS(INDEX($X$2:$X$1001,MATCH(ROWS($V$2:V203),$V$2:$V$1001,0),0), INDEX($AC$1004:$AS$1004,1,MATCH(COLUMNS($AC$1006:AC1006),$AC$1006:$AS$1006,0)))),"Fix")))</f>
        <v>0</v>
      </c>
      <c r="C203" s="5">
        <f>IF(OR(INDEX($W$2:$W$1001,MATCH(ROWS($V$2:V203),$V$2:$V$1001,0),1)&gt;=100000,INDEX($AC$1005:$AS$1005,1,MATCH(COLUMNS($AC$1006:AD1006),$AC$1006:$AS$1006,0))&gt;=100000), " ",IF(INDEX($AC$2:$AS$1001,MATCH(ROWS($V$2:V203),$V$2:$V$1001,0),MATCH(COLUMNS($AC$1006:AD1006),$AC$1006:$AS$1006,0)), HYPERLINK("#",""), HYPERLINK(CONCATENATE("#Metadata!", ADDRESS(INDEX($X$2:$X$1001,MATCH(ROWS($V$2:V203),$V$2:$V$1001,0),0), INDEX($AC$1004:$AS$1004,1,MATCH(COLUMNS($AC$1006:AD1006),$AC$1006:$AS$1006,0)))),"Fix")))</f>
        <v>0</v>
      </c>
      <c r="D203" s="5">
        <f>IF(OR(INDEX($W$2:$W$1001,MATCH(ROWS($V$2:V203),$V$2:$V$1001,0),1)&gt;=100000,INDEX($AC$1005:$AS$1005,1,MATCH(COLUMNS($AC$1006:AE1006),$AC$1006:$AS$1006,0))&gt;=100000), " ",IF(INDEX($AC$2:$AS$1001,MATCH(ROWS($V$2:V203),$V$2:$V$1001,0),MATCH(COLUMNS($AC$1006:AE1006),$AC$1006:$AS$1006,0)), HYPERLINK("#",""), HYPERLINK(CONCATENATE("#Metadata!", ADDRESS(INDEX($X$2:$X$1001,MATCH(ROWS($V$2:V203),$V$2:$V$1001,0),0), INDEX($AC$1004:$AS$1004,1,MATCH(COLUMNS($AC$1006:AE1006),$AC$1006:$AS$1006,0)))),"Fix")))</f>
        <v>0</v>
      </c>
      <c r="E203" s="5">
        <f>IF(OR(INDEX($W$2:$W$1001,MATCH(ROWS($V$2:V203),$V$2:$V$1001,0),1)&gt;=100000,INDEX($AC$1005:$AS$1005,1,MATCH(COLUMNS($AC$1006:AF1006),$AC$1006:$AS$1006,0))&gt;=100000), " ",IF(INDEX($AC$2:$AS$1001,MATCH(ROWS($V$2:V203),$V$2:$V$1001,0),MATCH(COLUMNS($AC$1006:AF1006),$AC$1006:$AS$1006,0)), HYPERLINK("#",""), HYPERLINK(CONCATENATE("#Metadata!", ADDRESS(INDEX($X$2:$X$1001,MATCH(ROWS($V$2:V203),$V$2:$V$1001,0),0), INDEX($AC$1004:$AS$1004,1,MATCH(COLUMNS($AC$1006:AF1006),$AC$1006:$AS$1006,0)))),"Fix")))</f>
        <v>0</v>
      </c>
      <c r="F203" s="5">
        <f>IF(OR(INDEX($W$2:$W$1001,MATCH(ROWS($V$2:V203),$V$2:$V$1001,0),1)&gt;=100000,INDEX($AC$1005:$AS$1005,1,MATCH(COLUMNS($AC$1006:AG1006),$AC$1006:$AS$1006,0))&gt;=100000), " ",IF(INDEX($AC$2:$AS$1001,MATCH(ROWS($V$2:V203),$V$2:$V$1001,0),MATCH(COLUMNS($AC$1006:AG1006),$AC$1006:$AS$1006,0)), HYPERLINK("#",""), HYPERLINK(CONCATENATE("#Metadata!", ADDRESS(INDEX($X$2:$X$1001,MATCH(ROWS($V$2:V203),$V$2:$V$1001,0),0), INDEX($AC$1004:$AS$1004,1,MATCH(COLUMNS($AC$1006:AG1006),$AC$1006:$AS$1006,0)))),"Fix")))</f>
        <v>0</v>
      </c>
      <c r="G203" s="5">
        <f>IF(OR(INDEX($W$2:$W$1001,MATCH(ROWS($V$2:V203),$V$2:$V$1001,0),1)&gt;=100000,INDEX($AC$1005:$AS$1005,1,MATCH(COLUMNS($AC$1006:AH1006),$AC$1006:$AS$1006,0))&gt;=100000), " ",IF(INDEX($AC$2:$AS$1001,MATCH(ROWS($V$2:V203),$V$2:$V$1001,0),MATCH(COLUMNS($AC$1006:AH1006),$AC$1006:$AS$1006,0)), HYPERLINK("#",""), HYPERLINK(CONCATENATE("#Metadata!", ADDRESS(INDEX($X$2:$X$1001,MATCH(ROWS($V$2:V203),$V$2:$V$1001,0),0), INDEX($AC$1004:$AS$1004,1,MATCH(COLUMNS($AC$1006:AH1006),$AC$1006:$AS$1006,0)))),"Fix")))</f>
        <v>0</v>
      </c>
      <c r="H203" s="5">
        <f>IF(OR(INDEX($W$2:$W$1001,MATCH(ROWS($V$2:V203),$V$2:$V$1001,0),1)&gt;=100000,INDEX($AC$1005:$AS$1005,1,MATCH(COLUMNS($AC$1006:AI1006),$AC$1006:$AS$1006,0))&gt;=100000), " ",IF(INDEX($AC$2:$AS$1001,MATCH(ROWS($V$2:V203),$V$2:$V$1001,0),MATCH(COLUMNS($AC$1006:AI1006),$AC$1006:$AS$1006,0)), HYPERLINK("#",""), HYPERLINK(CONCATENATE("#Metadata!", ADDRESS(INDEX($X$2:$X$1001,MATCH(ROWS($V$2:V203),$V$2:$V$1001,0),0), INDEX($AC$1004:$AS$1004,1,MATCH(COLUMNS($AC$1006:AI1006),$AC$1006:$AS$1006,0)))),"Fix")))</f>
        <v>0</v>
      </c>
      <c r="I203" s="5">
        <f>IF(OR(INDEX($W$2:$W$1001,MATCH(ROWS($V$2:V203),$V$2:$V$1001,0),1)&gt;=100000,INDEX($AC$1005:$AS$1005,1,MATCH(COLUMNS($AC$1006:AJ1006),$AC$1006:$AS$1006,0))&gt;=100000), " ",IF(INDEX($AC$2:$AS$1001,MATCH(ROWS($V$2:V203),$V$2:$V$1001,0),MATCH(COLUMNS($AC$1006:AJ1006),$AC$1006:$AS$1006,0)), HYPERLINK("#",""), HYPERLINK(CONCATENATE("#Metadata!", ADDRESS(INDEX($X$2:$X$1001,MATCH(ROWS($V$2:V203),$V$2:$V$1001,0),0), INDEX($AC$1004:$AS$1004,1,MATCH(COLUMNS($AC$1006:AJ1006),$AC$1006:$AS$1006,0)))),"Fix")))</f>
        <v>0</v>
      </c>
      <c r="J203" s="5">
        <f>IF(OR(INDEX($W$2:$W$1001,MATCH(ROWS($V$2:V203),$V$2:$V$1001,0),1)&gt;=100000,INDEX($AC$1005:$AS$1005,1,MATCH(COLUMNS($AC$1006:AK1006),$AC$1006:$AS$1006,0))&gt;=100000), " ",IF(INDEX($AC$2:$AS$1001,MATCH(ROWS($V$2:V203),$V$2:$V$1001,0),MATCH(COLUMNS($AC$1006:AK1006),$AC$1006:$AS$1006,0)), HYPERLINK("#",""), HYPERLINK(CONCATENATE("#Metadata!", ADDRESS(INDEX($X$2:$X$1001,MATCH(ROWS($V$2:V203),$V$2:$V$1001,0),0), INDEX($AC$1004:$AS$1004,1,MATCH(COLUMNS($AC$1006:AK1006),$AC$1006:$AS$1006,0)))),"Fix")))</f>
        <v>0</v>
      </c>
      <c r="K203" s="5">
        <f>IF(OR(INDEX($W$2:$W$1001,MATCH(ROWS($V$2:V203),$V$2:$V$1001,0),1)&gt;=100000,INDEX($AC$1005:$AS$1005,1,MATCH(COLUMNS($AC$1006:AL1006),$AC$1006:$AS$1006,0))&gt;=100000), " ",IF(INDEX($AC$2:$AS$1001,MATCH(ROWS($V$2:V203),$V$2:$V$1001,0),MATCH(COLUMNS($AC$1006:AL1006),$AC$1006:$AS$1006,0)), HYPERLINK("#",""), HYPERLINK(CONCATENATE("#Metadata!", ADDRESS(INDEX($X$2:$X$1001,MATCH(ROWS($V$2:V203),$V$2:$V$1001,0),0), INDEX($AC$1004:$AS$1004,1,MATCH(COLUMNS($AC$1006:AL1006),$AC$1006:$AS$1006,0)))),"Fix")))</f>
        <v>0</v>
      </c>
      <c r="L203" s="5">
        <f>IF(OR(INDEX($W$2:$W$1001,MATCH(ROWS($V$2:V203),$V$2:$V$1001,0),1)&gt;=100000,INDEX($AC$1005:$AS$1005,1,MATCH(COLUMNS($AC$1006:AM1006),$AC$1006:$AS$1006,0))&gt;=100000), " ",IF(INDEX($AC$2:$AS$1001,MATCH(ROWS($V$2:V203),$V$2:$V$1001,0),MATCH(COLUMNS($AC$1006:AM1006),$AC$1006:$AS$1006,0)), HYPERLINK("#",""), HYPERLINK(CONCATENATE("#Metadata!", ADDRESS(INDEX($X$2:$X$1001,MATCH(ROWS($V$2:V203),$V$2:$V$1001,0),0), INDEX($AC$1004:$AS$1004,1,MATCH(COLUMNS($AC$1006:AM1006),$AC$1006:$AS$1006,0)))),"Fix")))</f>
        <v>0</v>
      </c>
      <c r="M203" s="5">
        <f>IF(OR(INDEX($W$2:$W$1001,MATCH(ROWS($V$2:V203),$V$2:$V$1001,0),1)&gt;=100000,INDEX($AC$1005:$AS$1005,1,MATCH(COLUMNS($AC$1006:AN1006),$AC$1006:$AS$1006,0))&gt;=100000), " ",IF(INDEX($AC$2:$AS$1001,MATCH(ROWS($V$2:V203),$V$2:$V$1001,0),MATCH(COLUMNS($AC$1006:AN1006),$AC$1006:$AS$1006,0)), HYPERLINK("#",""), HYPERLINK(CONCATENATE("#Metadata!", ADDRESS(INDEX($X$2:$X$1001,MATCH(ROWS($V$2:V203),$V$2:$V$1001,0),0), INDEX($AC$1004:$AS$1004,1,MATCH(COLUMNS($AC$1006:AN1006),$AC$1006:$AS$1006,0)))),"Fix")))</f>
        <v>0</v>
      </c>
      <c r="N203" s="5">
        <f>IF(OR(INDEX($W$2:$W$1001,MATCH(ROWS($V$2:V203),$V$2:$V$1001,0),1)&gt;=100000,INDEX($AC$1005:$AS$1005,1,MATCH(COLUMNS($AC$1006:AO1006),$AC$1006:$AS$1006,0))&gt;=100000), " ",IF(INDEX($AC$2:$AS$1001,MATCH(ROWS($V$2:V203),$V$2:$V$1001,0),MATCH(COLUMNS($AC$1006:AO1006),$AC$1006:$AS$1006,0)), HYPERLINK("#",""), HYPERLINK(CONCATENATE("#Metadata!", ADDRESS(INDEX($X$2:$X$1001,MATCH(ROWS($V$2:V203),$V$2:$V$1001,0),0), INDEX($AC$1004:$AS$1004,1,MATCH(COLUMNS($AC$1006:AO1006),$AC$1006:$AS$1006,0)))),"Fix")))</f>
        <v>0</v>
      </c>
      <c r="O203" s="5">
        <f>IF(OR(INDEX($W$2:$W$1001,MATCH(ROWS($V$2:V203),$V$2:$V$1001,0),1)&gt;=100000,INDEX($AC$1005:$AS$1005,1,MATCH(COLUMNS($AC$1006:AP1006),$AC$1006:$AS$1006,0))&gt;=100000), " ",IF(INDEX($AC$2:$AS$1001,MATCH(ROWS($V$2:V203),$V$2:$V$1001,0),MATCH(COLUMNS($AC$1006:AP1006),$AC$1006:$AS$1006,0)), HYPERLINK("#",""), HYPERLINK(CONCATENATE("#Metadata!", ADDRESS(INDEX($X$2:$X$1001,MATCH(ROWS($V$2:V203),$V$2:$V$1001,0),0), INDEX($AC$1004:$AS$1004,1,MATCH(COLUMNS($AC$1006:AP1006),$AC$1006:$AS$1006,0)))),"Fix")))</f>
        <v>0</v>
      </c>
      <c r="P203" s="5">
        <f>IF(OR(INDEX($W$2:$W$1001,MATCH(ROWS($V$2:V203),$V$2:$V$1001,0),1)&gt;=100000,INDEX($AC$1005:$AS$1005,1,MATCH(COLUMNS($AC$1006:AQ1006),$AC$1006:$AS$1006,0))&gt;=100000), " ",IF(INDEX($AC$2:$AS$1001,MATCH(ROWS($V$2:V203),$V$2:$V$1001,0),MATCH(COLUMNS($AC$1006:AQ1006),$AC$1006:$AS$1006,0)), HYPERLINK("#",""), HYPERLINK(CONCATENATE("#Metadata!", ADDRESS(INDEX($X$2:$X$1001,MATCH(ROWS($V$2:V203),$V$2:$V$1001,0),0), INDEX($AC$1004:$AS$1004,1,MATCH(COLUMNS($AC$1006:AQ1006),$AC$1006:$AS$1006,0)))),"Fix")))</f>
        <v>0</v>
      </c>
      <c r="Q203" s="5">
        <f>IF(OR(INDEX($W$2:$W$1001,MATCH(ROWS($V$2:V203),$V$2:$V$1001,0),1)&gt;=100000,INDEX($AC$1005:$AS$1005,1,MATCH(COLUMNS($AC$1006:AR1006),$AC$1006:$AS$1006,0))&gt;=100000), " ",IF(INDEX($AC$2:$AS$1001,MATCH(ROWS($V$2:V203),$V$2:$V$1001,0),MATCH(COLUMNS($AC$1006:AR1006),$AC$1006:$AS$1006,0)), HYPERLINK("#",""), HYPERLINK(CONCATENATE("#Metadata!", ADDRESS(INDEX($X$2:$X$1001,MATCH(ROWS($V$2:V203),$V$2:$V$1001,0),0), INDEX($AC$1004:$AS$1004,1,MATCH(COLUMNS($AC$1006:AR1006),$AC$1006:$AS$1006,0)))),"Fix")))</f>
        <v>0</v>
      </c>
      <c r="R203" s="5">
        <f>IF(OR(INDEX($W$2:$W$1001,MATCH(ROWS($V$2:V203),$V$2:$V$1001,0),1)&gt;=100000,INDEX($AC$1005:$AS$1005,1,MATCH(COLUMNS($AC$1006:AS1006),$AC$1006:$AS$1006,0))&gt;=100000), " ",IF(INDEX($AC$2:$AS$1001,MATCH(ROWS($V$2:V203),$V$2:$V$1001,0),MATCH(COLUMNS($AC$1006:AS1006),$AC$1006:$AS$1006,0)), HYPERLINK("#",""), HYPERLINK(CONCATENATE("#Metadata!", ADDRESS(INDEX($X$2:$X$1001,MATCH(ROWS($V$2:V203),$V$2:$V$1001,0),0), INDEX($AC$1004:$AS$1004,1,MATCH(COLUMNS($AC$1006:AS1006),$AC$1006:$AS$1006,0)))),"Fix")))</f>
        <v>0</v>
      </c>
      <c r="V203">
        <v>0</v>
      </c>
      <c r="W203">
        <v>0</v>
      </c>
      <c r="X203">
        <v>0</v>
      </c>
      <c r="Y203">
        <f>IF(Z203,TRUE,AND(AC203:AS203))</f>
        <v>0</v>
      </c>
      <c r="Z203">
        <f>COUNTBLANK(Metadata!B203:R203)=COLUMNS(Metadata!B203:R203)</f>
        <v>0</v>
      </c>
      <c r="AA203">
        <v>0</v>
      </c>
      <c r="AC203">
        <f>AND(IF(Metadata!B203="",FALSE,TRUE),COUNTIF(Metadata!B:B, Metadata!B203) = 1,NOT(ISERROR(SUMPRODUCT(SEARCH(MID(Metadata!B203,ROW(INDIRECT("1:"&amp;LEN(Metadata!B203))), 1),"0123456789abcdefghijklmnopqrstuvwxyzABCDEFGHIJKLMNOPQRSTUVWXYZ.")))))</f>
        <v>0</v>
      </c>
      <c r="AD203">
        <f>AND(IF(Metadata!C203="",FALSE,TRUE),exact(Metadata!C203,"Host-associated"))</f>
        <v>0</v>
      </c>
      <c r="AE203">
        <f>AND(IF(Metadata!D203="",FALSE,TRUE),OR(exact(Metadata!D203,"Animal"),exact(Metadata!D203,"Fungus"),exact(Metadata!D203,"Plant")))</f>
        <v>0</v>
      </c>
      <c r="AF203">
        <f>AND(IF(Metadata!E203="",FALSE,TRUE),OR(exact(Metadata!E203,"Plant secretion"),exact(Metadata!E203,"Plant rhizosphere"),exact(Metadata!E203,"Plant surface"),exact(Metadata!E203,"Plant corpus"),exact(Metadata!E203,"Fungus surface"),exact(Metadata!E203,"Fungus corpus"),exact(Metadata!E203,"Animal surface"),exact(Metadata!E203,"Animal proximal gut"),exact(Metadata!E203,"Animal corpus"),exact(Metadata!E203,"Animal distal gut"),exact(Metadata!E203,"Animal secretion")))</f>
        <v>0</v>
      </c>
      <c r="AG203">
        <f>OR(AND(IF(Metadata!F203="",FALSE,TRUE),OR(exact(Metadata!F203,"not collected"),exact(Metadata!F203,"not provided"),exact(Metadata!F203,"restricted access"))),AND(IF(Metadata!F203="",FALSE,TRUE),OR(exact(Metadata!F203,"organism-associated habitat"),exact(Metadata!F203,"plant-associated habitat"),exact(Metadata!F203,"animal-associated habitat"),exact(Metadata!F203,"insecta-associated habitat"),exact(Metadata!F203,"mammalia-associated habitat"),exact(Metadata!F203,"human-associated habitat"),exact(Metadata!F203,"livestock-associated habitat"))))</f>
        <v>0</v>
      </c>
      <c r="AH203">
        <f>AND(IF(Metadata!G203="",FALSE,TRUE),exact(Metadata!G203,"host-associated"))</f>
        <v>0</v>
      </c>
      <c r="AI203">
        <f>OR(AND(IF(Metadata!H203="",FALSE,TRUE),OR(exact(Metadata!H203,"not collected"),exact(Metadata!H203,"not provided"))),AND(IF(Metadata!H203="",FALSE,ISNUMBER(VALUE(Metadata!H203))),Metadata!H203&gt;0))</f>
        <v>0</v>
      </c>
      <c r="AJ203">
        <f>AND(IF(Metadata!I203="",FALSE,TRUE),exact(Metadata!I203,"years"))</f>
        <v>0</v>
      </c>
      <c r="AK203">
        <f>IF(Metadata!J203="",FALSE,TRUE)</f>
        <v>0</v>
      </c>
      <c r="AL203">
        <f>OR(AND(IF(Metadata!K203="",FALSE,TRUE),OR(exact(Metadata!K203,"not collected"),exact(Metadata!K203,"not provided"))),AND(IF(Metadata!K203="",FALSE,ISNUMBER(VALUE(Metadata!K203))),Metadata!K203&gt;0))</f>
        <v>0</v>
      </c>
      <c r="AM203">
        <f>AND(IF(Metadata!L203="",FALSE,TRUE),exact(Metadata!L203,"cm"))</f>
        <v>0</v>
      </c>
      <c r="AN203">
        <f>IF(Metadata!M203="",FALSE,TRUE)</f>
        <v>0</v>
      </c>
      <c r="AO203">
        <f>OR(AND(IF(Metadata!N203="",FALSE,TRUE),OR(exact(Metadata!N203,"not applicable"),exact(Metadata!N203,"not collected"),exact(Metadata!N203,"not provided"))),AND(IF(Metadata!N203="",FALSE,IF(ISERROR(INT(Metadata!N203)),FALSE,INT(Metadata!N203)=Metadata!N203)),Metadata!N203&gt;0))</f>
        <v>0</v>
      </c>
      <c r="AP203">
        <f>OR(AND(IF(Metadata!O203="",FALSE,TRUE),OR(exact(Metadata!O203,"not collected"),exact(Metadata!O203,"not provided"))),AND(IF(Metadata!O203="",FALSE,ISNUMBER(VALUE(Metadata!O203))),Metadata!O203&gt;0))</f>
        <v>0</v>
      </c>
      <c r="AQ203">
        <f>AND(IF(Metadata!P203="",FALSE,TRUE),exact(Metadata!P203,"kg"))</f>
        <v>0</v>
      </c>
      <c r="AR203">
        <f>OR(AND(IF(Metadata!Q203="",FALSE,TRUE),OR(exact(Metadata!Q203,"not applicable"),exact(Metadata!Q203,"not collected"),exact(Metadata!Q203,"not provided"),exact(Metadata!Q203,"restricted access"))),IF(Metadata!Q203="",FALSE,IF(ISERROR(INT(Metadata!Q203)),FALSE,INT(Metadata!Q203)=Metadata!Q203)))</f>
        <v>0</v>
      </c>
      <c r="AS203">
        <f>AND(IF(Metadata!R203="",FALSE,TRUE),exact(Metadata!R203,"Not applicable"))</f>
        <v>0</v>
      </c>
    </row>
    <row r="204" spans="1:45">
      <c r="A204" s="4">
        <f>IF(B204=" "," ",HYPERLINK(CONCATENATE("#metadata!",ADDRESS(INDEX($X$2:$X$1001,MATCH(ROWS($V$2:V204),$V$2:$V$1001,0),0),2)),INDEX($AA$2:$AA$1001,MATCH(ROWS($V$2:V204),$V$2:$V$1001,0),0)))</f>
        <v>0</v>
      </c>
      <c r="B204" s="5">
        <f>IF(OR(INDEX($W$2:$W$1001,MATCH(ROWS($V$2:V204),$V$2:$V$1001,0),1)&gt;=100000,INDEX($AC$1005:$AS$1005,1,MATCH(COLUMNS($AC$1006:AC1006),$AC$1006:$AS$1006,0))&gt;=100000), " ",IF(INDEX($AC$2:$AS$1001,MATCH(ROWS($V$2:V204),$V$2:$V$1001,0),MATCH(COLUMNS($AC$1006:AC1006),$AC$1006:$AS$1006,0)), HYPERLINK("#",""), HYPERLINK(CONCATENATE("#Metadata!", ADDRESS(INDEX($X$2:$X$1001,MATCH(ROWS($V$2:V204),$V$2:$V$1001,0),0), INDEX($AC$1004:$AS$1004,1,MATCH(COLUMNS($AC$1006:AC1006),$AC$1006:$AS$1006,0)))),"Fix")))</f>
        <v>0</v>
      </c>
      <c r="C204" s="5">
        <f>IF(OR(INDEX($W$2:$W$1001,MATCH(ROWS($V$2:V204),$V$2:$V$1001,0),1)&gt;=100000,INDEX($AC$1005:$AS$1005,1,MATCH(COLUMNS($AC$1006:AD1006),$AC$1006:$AS$1006,0))&gt;=100000), " ",IF(INDEX($AC$2:$AS$1001,MATCH(ROWS($V$2:V204),$V$2:$V$1001,0),MATCH(COLUMNS($AC$1006:AD1006),$AC$1006:$AS$1006,0)), HYPERLINK("#",""), HYPERLINK(CONCATENATE("#Metadata!", ADDRESS(INDEX($X$2:$X$1001,MATCH(ROWS($V$2:V204),$V$2:$V$1001,0),0), INDEX($AC$1004:$AS$1004,1,MATCH(COLUMNS($AC$1006:AD1006),$AC$1006:$AS$1006,0)))),"Fix")))</f>
        <v>0</v>
      </c>
      <c r="D204" s="5">
        <f>IF(OR(INDEX($W$2:$W$1001,MATCH(ROWS($V$2:V204),$V$2:$V$1001,0),1)&gt;=100000,INDEX($AC$1005:$AS$1005,1,MATCH(COLUMNS($AC$1006:AE1006),$AC$1006:$AS$1006,0))&gt;=100000), " ",IF(INDEX($AC$2:$AS$1001,MATCH(ROWS($V$2:V204),$V$2:$V$1001,0),MATCH(COLUMNS($AC$1006:AE1006),$AC$1006:$AS$1006,0)), HYPERLINK("#",""), HYPERLINK(CONCATENATE("#Metadata!", ADDRESS(INDEX($X$2:$X$1001,MATCH(ROWS($V$2:V204),$V$2:$V$1001,0),0), INDEX($AC$1004:$AS$1004,1,MATCH(COLUMNS($AC$1006:AE1006),$AC$1006:$AS$1006,0)))),"Fix")))</f>
        <v>0</v>
      </c>
      <c r="E204" s="5">
        <f>IF(OR(INDEX($W$2:$W$1001,MATCH(ROWS($V$2:V204),$V$2:$V$1001,0),1)&gt;=100000,INDEX($AC$1005:$AS$1005,1,MATCH(COLUMNS($AC$1006:AF1006),$AC$1006:$AS$1006,0))&gt;=100000), " ",IF(INDEX($AC$2:$AS$1001,MATCH(ROWS($V$2:V204),$V$2:$V$1001,0),MATCH(COLUMNS($AC$1006:AF1006),$AC$1006:$AS$1006,0)), HYPERLINK("#",""), HYPERLINK(CONCATENATE("#Metadata!", ADDRESS(INDEX($X$2:$X$1001,MATCH(ROWS($V$2:V204),$V$2:$V$1001,0),0), INDEX($AC$1004:$AS$1004,1,MATCH(COLUMNS($AC$1006:AF1006),$AC$1006:$AS$1006,0)))),"Fix")))</f>
        <v>0</v>
      </c>
      <c r="F204" s="5">
        <f>IF(OR(INDEX($W$2:$W$1001,MATCH(ROWS($V$2:V204),$V$2:$V$1001,0),1)&gt;=100000,INDEX($AC$1005:$AS$1005,1,MATCH(COLUMNS($AC$1006:AG1006),$AC$1006:$AS$1006,0))&gt;=100000), " ",IF(INDEX($AC$2:$AS$1001,MATCH(ROWS($V$2:V204),$V$2:$V$1001,0),MATCH(COLUMNS($AC$1006:AG1006),$AC$1006:$AS$1006,0)), HYPERLINK("#",""), HYPERLINK(CONCATENATE("#Metadata!", ADDRESS(INDEX($X$2:$X$1001,MATCH(ROWS($V$2:V204),$V$2:$V$1001,0),0), INDEX($AC$1004:$AS$1004,1,MATCH(COLUMNS($AC$1006:AG1006),$AC$1006:$AS$1006,0)))),"Fix")))</f>
        <v>0</v>
      </c>
      <c r="G204" s="5">
        <f>IF(OR(INDEX($W$2:$W$1001,MATCH(ROWS($V$2:V204),$V$2:$V$1001,0),1)&gt;=100000,INDEX($AC$1005:$AS$1005,1,MATCH(COLUMNS($AC$1006:AH1006),$AC$1006:$AS$1006,0))&gt;=100000), " ",IF(INDEX($AC$2:$AS$1001,MATCH(ROWS($V$2:V204),$V$2:$V$1001,0),MATCH(COLUMNS($AC$1006:AH1006),$AC$1006:$AS$1006,0)), HYPERLINK("#",""), HYPERLINK(CONCATENATE("#Metadata!", ADDRESS(INDEX($X$2:$X$1001,MATCH(ROWS($V$2:V204),$V$2:$V$1001,0),0), INDEX($AC$1004:$AS$1004,1,MATCH(COLUMNS($AC$1006:AH1006),$AC$1006:$AS$1006,0)))),"Fix")))</f>
        <v>0</v>
      </c>
      <c r="H204" s="5">
        <f>IF(OR(INDEX($W$2:$W$1001,MATCH(ROWS($V$2:V204),$V$2:$V$1001,0),1)&gt;=100000,INDEX($AC$1005:$AS$1005,1,MATCH(COLUMNS($AC$1006:AI1006),$AC$1006:$AS$1006,0))&gt;=100000), " ",IF(INDEX($AC$2:$AS$1001,MATCH(ROWS($V$2:V204),$V$2:$V$1001,0),MATCH(COLUMNS($AC$1006:AI1006),$AC$1006:$AS$1006,0)), HYPERLINK("#",""), HYPERLINK(CONCATENATE("#Metadata!", ADDRESS(INDEX($X$2:$X$1001,MATCH(ROWS($V$2:V204),$V$2:$V$1001,0),0), INDEX($AC$1004:$AS$1004,1,MATCH(COLUMNS($AC$1006:AI1006),$AC$1006:$AS$1006,0)))),"Fix")))</f>
        <v>0</v>
      </c>
      <c r="I204" s="5">
        <f>IF(OR(INDEX($W$2:$W$1001,MATCH(ROWS($V$2:V204),$V$2:$V$1001,0),1)&gt;=100000,INDEX($AC$1005:$AS$1005,1,MATCH(COLUMNS($AC$1006:AJ1006),$AC$1006:$AS$1006,0))&gt;=100000), " ",IF(INDEX($AC$2:$AS$1001,MATCH(ROWS($V$2:V204),$V$2:$V$1001,0),MATCH(COLUMNS($AC$1006:AJ1006),$AC$1006:$AS$1006,0)), HYPERLINK("#",""), HYPERLINK(CONCATENATE("#Metadata!", ADDRESS(INDEX($X$2:$X$1001,MATCH(ROWS($V$2:V204),$V$2:$V$1001,0),0), INDEX($AC$1004:$AS$1004,1,MATCH(COLUMNS($AC$1006:AJ1006),$AC$1006:$AS$1006,0)))),"Fix")))</f>
        <v>0</v>
      </c>
      <c r="J204" s="5">
        <f>IF(OR(INDEX($W$2:$W$1001,MATCH(ROWS($V$2:V204),$V$2:$V$1001,0),1)&gt;=100000,INDEX($AC$1005:$AS$1005,1,MATCH(COLUMNS($AC$1006:AK1006),$AC$1006:$AS$1006,0))&gt;=100000), " ",IF(INDEX($AC$2:$AS$1001,MATCH(ROWS($V$2:V204),$V$2:$V$1001,0),MATCH(COLUMNS($AC$1006:AK1006),$AC$1006:$AS$1006,0)), HYPERLINK("#",""), HYPERLINK(CONCATENATE("#Metadata!", ADDRESS(INDEX($X$2:$X$1001,MATCH(ROWS($V$2:V204),$V$2:$V$1001,0),0), INDEX($AC$1004:$AS$1004,1,MATCH(COLUMNS($AC$1006:AK1006),$AC$1006:$AS$1006,0)))),"Fix")))</f>
        <v>0</v>
      </c>
      <c r="K204" s="5">
        <f>IF(OR(INDEX($W$2:$W$1001,MATCH(ROWS($V$2:V204),$V$2:$V$1001,0),1)&gt;=100000,INDEX($AC$1005:$AS$1005,1,MATCH(COLUMNS($AC$1006:AL1006),$AC$1006:$AS$1006,0))&gt;=100000), " ",IF(INDEX($AC$2:$AS$1001,MATCH(ROWS($V$2:V204),$V$2:$V$1001,0),MATCH(COLUMNS($AC$1006:AL1006),$AC$1006:$AS$1006,0)), HYPERLINK("#",""), HYPERLINK(CONCATENATE("#Metadata!", ADDRESS(INDEX($X$2:$X$1001,MATCH(ROWS($V$2:V204),$V$2:$V$1001,0),0), INDEX($AC$1004:$AS$1004,1,MATCH(COLUMNS($AC$1006:AL1006),$AC$1006:$AS$1006,0)))),"Fix")))</f>
        <v>0</v>
      </c>
      <c r="L204" s="5">
        <f>IF(OR(INDEX($W$2:$W$1001,MATCH(ROWS($V$2:V204),$V$2:$V$1001,0),1)&gt;=100000,INDEX($AC$1005:$AS$1005,1,MATCH(COLUMNS($AC$1006:AM1006),$AC$1006:$AS$1006,0))&gt;=100000), " ",IF(INDEX($AC$2:$AS$1001,MATCH(ROWS($V$2:V204),$V$2:$V$1001,0),MATCH(COLUMNS($AC$1006:AM1006),$AC$1006:$AS$1006,0)), HYPERLINK("#",""), HYPERLINK(CONCATENATE("#Metadata!", ADDRESS(INDEX($X$2:$X$1001,MATCH(ROWS($V$2:V204),$V$2:$V$1001,0),0), INDEX($AC$1004:$AS$1004,1,MATCH(COLUMNS($AC$1006:AM1006),$AC$1006:$AS$1006,0)))),"Fix")))</f>
        <v>0</v>
      </c>
      <c r="M204" s="5">
        <f>IF(OR(INDEX($W$2:$W$1001,MATCH(ROWS($V$2:V204),$V$2:$V$1001,0),1)&gt;=100000,INDEX($AC$1005:$AS$1005,1,MATCH(COLUMNS($AC$1006:AN1006),$AC$1006:$AS$1006,0))&gt;=100000), " ",IF(INDEX($AC$2:$AS$1001,MATCH(ROWS($V$2:V204),$V$2:$V$1001,0),MATCH(COLUMNS($AC$1006:AN1006),$AC$1006:$AS$1006,0)), HYPERLINK("#",""), HYPERLINK(CONCATENATE("#Metadata!", ADDRESS(INDEX($X$2:$X$1001,MATCH(ROWS($V$2:V204),$V$2:$V$1001,0),0), INDEX($AC$1004:$AS$1004,1,MATCH(COLUMNS($AC$1006:AN1006),$AC$1006:$AS$1006,0)))),"Fix")))</f>
        <v>0</v>
      </c>
      <c r="N204" s="5">
        <f>IF(OR(INDEX($W$2:$W$1001,MATCH(ROWS($V$2:V204),$V$2:$V$1001,0),1)&gt;=100000,INDEX($AC$1005:$AS$1005,1,MATCH(COLUMNS($AC$1006:AO1006),$AC$1006:$AS$1006,0))&gt;=100000), " ",IF(INDEX($AC$2:$AS$1001,MATCH(ROWS($V$2:V204),$V$2:$V$1001,0),MATCH(COLUMNS($AC$1006:AO1006),$AC$1006:$AS$1006,0)), HYPERLINK("#",""), HYPERLINK(CONCATENATE("#Metadata!", ADDRESS(INDEX($X$2:$X$1001,MATCH(ROWS($V$2:V204),$V$2:$V$1001,0),0), INDEX($AC$1004:$AS$1004,1,MATCH(COLUMNS($AC$1006:AO1006),$AC$1006:$AS$1006,0)))),"Fix")))</f>
        <v>0</v>
      </c>
      <c r="O204" s="5">
        <f>IF(OR(INDEX($W$2:$W$1001,MATCH(ROWS($V$2:V204),$V$2:$V$1001,0),1)&gt;=100000,INDEX($AC$1005:$AS$1005,1,MATCH(COLUMNS($AC$1006:AP1006),$AC$1006:$AS$1006,0))&gt;=100000), " ",IF(INDEX($AC$2:$AS$1001,MATCH(ROWS($V$2:V204),$V$2:$V$1001,0),MATCH(COLUMNS($AC$1006:AP1006),$AC$1006:$AS$1006,0)), HYPERLINK("#",""), HYPERLINK(CONCATENATE("#Metadata!", ADDRESS(INDEX($X$2:$X$1001,MATCH(ROWS($V$2:V204),$V$2:$V$1001,0),0), INDEX($AC$1004:$AS$1004,1,MATCH(COLUMNS($AC$1006:AP1006),$AC$1006:$AS$1006,0)))),"Fix")))</f>
        <v>0</v>
      </c>
      <c r="P204" s="5">
        <f>IF(OR(INDEX($W$2:$W$1001,MATCH(ROWS($V$2:V204),$V$2:$V$1001,0),1)&gt;=100000,INDEX($AC$1005:$AS$1005,1,MATCH(COLUMNS($AC$1006:AQ1006),$AC$1006:$AS$1006,0))&gt;=100000), " ",IF(INDEX($AC$2:$AS$1001,MATCH(ROWS($V$2:V204),$V$2:$V$1001,0),MATCH(COLUMNS($AC$1006:AQ1006),$AC$1006:$AS$1006,0)), HYPERLINK("#",""), HYPERLINK(CONCATENATE("#Metadata!", ADDRESS(INDEX($X$2:$X$1001,MATCH(ROWS($V$2:V204),$V$2:$V$1001,0),0), INDEX($AC$1004:$AS$1004,1,MATCH(COLUMNS($AC$1006:AQ1006),$AC$1006:$AS$1006,0)))),"Fix")))</f>
        <v>0</v>
      </c>
      <c r="Q204" s="5">
        <f>IF(OR(INDEX($W$2:$W$1001,MATCH(ROWS($V$2:V204),$V$2:$V$1001,0),1)&gt;=100000,INDEX($AC$1005:$AS$1005,1,MATCH(COLUMNS($AC$1006:AR1006),$AC$1006:$AS$1006,0))&gt;=100000), " ",IF(INDEX($AC$2:$AS$1001,MATCH(ROWS($V$2:V204),$V$2:$V$1001,0),MATCH(COLUMNS($AC$1006:AR1006),$AC$1006:$AS$1006,0)), HYPERLINK("#",""), HYPERLINK(CONCATENATE("#Metadata!", ADDRESS(INDEX($X$2:$X$1001,MATCH(ROWS($V$2:V204),$V$2:$V$1001,0),0), INDEX($AC$1004:$AS$1004,1,MATCH(COLUMNS($AC$1006:AR1006),$AC$1006:$AS$1006,0)))),"Fix")))</f>
        <v>0</v>
      </c>
      <c r="R204" s="5">
        <f>IF(OR(INDEX($W$2:$W$1001,MATCH(ROWS($V$2:V204),$V$2:$V$1001,0),1)&gt;=100000,INDEX($AC$1005:$AS$1005,1,MATCH(COLUMNS($AC$1006:AS1006),$AC$1006:$AS$1006,0))&gt;=100000), " ",IF(INDEX($AC$2:$AS$1001,MATCH(ROWS($V$2:V204),$V$2:$V$1001,0),MATCH(COLUMNS($AC$1006:AS1006),$AC$1006:$AS$1006,0)), HYPERLINK("#",""), HYPERLINK(CONCATENATE("#Metadata!", ADDRESS(INDEX($X$2:$X$1001,MATCH(ROWS($V$2:V204),$V$2:$V$1001,0),0), INDEX($AC$1004:$AS$1004,1,MATCH(COLUMNS($AC$1006:AS1006),$AC$1006:$AS$1006,0)))),"Fix")))</f>
        <v>0</v>
      </c>
      <c r="V204">
        <v>0</v>
      </c>
      <c r="W204">
        <v>0</v>
      </c>
      <c r="X204">
        <v>0</v>
      </c>
      <c r="Y204">
        <f>IF(Z204,TRUE,AND(AC204:AS204))</f>
        <v>0</v>
      </c>
      <c r="Z204">
        <f>COUNTBLANK(Metadata!B204:R204)=COLUMNS(Metadata!B204:R204)</f>
        <v>0</v>
      </c>
      <c r="AA204">
        <v>0</v>
      </c>
      <c r="AC204">
        <f>AND(IF(Metadata!B204="",FALSE,TRUE),COUNTIF(Metadata!B:B, Metadata!B204) = 1,NOT(ISERROR(SUMPRODUCT(SEARCH(MID(Metadata!B204,ROW(INDIRECT("1:"&amp;LEN(Metadata!B204))), 1),"0123456789abcdefghijklmnopqrstuvwxyzABCDEFGHIJKLMNOPQRSTUVWXYZ.")))))</f>
        <v>0</v>
      </c>
      <c r="AD204">
        <f>AND(IF(Metadata!C204="",FALSE,TRUE),exact(Metadata!C204,"Host-associated"))</f>
        <v>0</v>
      </c>
      <c r="AE204">
        <f>AND(IF(Metadata!D204="",FALSE,TRUE),OR(exact(Metadata!D204,"Animal"),exact(Metadata!D204,"Fungus"),exact(Metadata!D204,"Plant")))</f>
        <v>0</v>
      </c>
      <c r="AF204">
        <f>AND(IF(Metadata!E204="",FALSE,TRUE),OR(exact(Metadata!E204,"Plant secretion"),exact(Metadata!E204,"Plant rhizosphere"),exact(Metadata!E204,"Plant surface"),exact(Metadata!E204,"Plant corpus"),exact(Metadata!E204,"Fungus surface"),exact(Metadata!E204,"Fungus corpus"),exact(Metadata!E204,"Animal surface"),exact(Metadata!E204,"Animal proximal gut"),exact(Metadata!E204,"Animal corpus"),exact(Metadata!E204,"Animal distal gut"),exact(Metadata!E204,"Animal secretion")))</f>
        <v>0</v>
      </c>
      <c r="AG204">
        <f>OR(AND(IF(Metadata!F204="",FALSE,TRUE),OR(exact(Metadata!F204,"not collected"),exact(Metadata!F204,"not provided"),exact(Metadata!F204,"restricted access"))),AND(IF(Metadata!F204="",FALSE,TRUE),OR(exact(Metadata!F204,"organism-associated habitat"),exact(Metadata!F204,"plant-associated habitat"),exact(Metadata!F204,"animal-associated habitat"),exact(Metadata!F204,"insecta-associated habitat"),exact(Metadata!F204,"mammalia-associated habitat"),exact(Metadata!F204,"human-associated habitat"),exact(Metadata!F204,"livestock-associated habitat"))))</f>
        <v>0</v>
      </c>
      <c r="AH204">
        <f>AND(IF(Metadata!G204="",FALSE,TRUE),exact(Metadata!G204,"host-associated"))</f>
        <v>0</v>
      </c>
      <c r="AI204">
        <f>OR(AND(IF(Metadata!H204="",FALSE,TRUE),OR(exact(Metadata!H204,"not collected"),exact(Metadata!H204,"not provided"))),AND(IF(Metadata!H204="",FALSE,ISNUMBER(VALUE(Metadata!H204))),Metadata!H204&gt;0))</f>
        <v>0</v>
      </c>
      <c r="AJ204">
        <f>AND(IF(Metadata!I204="",FALSE,TRUE),exact(Metadata!I204,"years"))</f>
        <v>0</v>
      </c>
      <c r="AK204">
        <f>IF(Metadata!J204="",FALSE,TRUE)</f>
        <v>0</v>
      </c>
      <c r="AL204">
        <f>OR(AND(IF(Metadata!K204="",FALSE,TRUE),OR(exact(Metadata!K204,"not collected"),exact(Metadata!K204,"not provided"))),AND(IF(Metadata!K204="",FALSE,ISNUMBER(VALUE(Metadata!K204))),Metadata!K204&gt;0))</f>
        <v>0</v>
      </c>
      <c r="AM204">
        <f>AND(IF(Metadata!L204="",FALSE,TRUE),exact(Metadata!L204,"cm"))</f>
        <v>0</v>
      </c>
      <c r="AN204">
        <f>IF(Metadata!M204="",FALSE,TRUE)</f>
        <v>0</v>
      </c>
      <c r="AO204">
        <f>OR(AND(IF(Metadata!N204="",FALSE,TRUE),OR(exact(Metadata!N204,"not applicable"),exact(Metadata!N204,"not collected"),exact(Metadata!N204,"not provided"))),AND(IF(Metadata!N204="",FALSE,IF(ISERROR(INT(Metadata!N204)),FALSE,INT(Metadata!N204)=Metadata!N204)),Metadata!N204&gt;0))</f>
        <v>0</v>
      </c>
      <c r="AP204">
        <f>OR(AND(IF(Metadata!O204="",FALSE,TRUE),OR(exact(Metadata!O204,"not collected"),exact(Metadata!O204,"not provided"))),AND(IF(Metadata!O204="",FALSE,ISNUMBER(VALUE(Metadata!O204))),Metadata!O204&gt;0))</f>
        <v>0</v>
      </c>
      <c r="AQ204">
        <f>AND(IF(Metadata!P204="",FALSE,TRUE),exact(Metadata!P204,"kg"))</f>
        <v>0</v>
      </c>
      <c r="AR204">
        <f>OR(AND(IF(Metadata!Q204="",FALSE,TRUE),OR(exact(Metadata!Q204,"not applicable"),exact(Metadata!Q204,"not collected"),exact(Metadata!Q204,"not provided"),exact(Metadata!Q204,"restricted access"))),IF(Metadata!Q204="",FALSE,IF(ISERROR(INT(Metadata!Q204)),FALSE,INT(Metadata!Q204)=Metadata!Q204)))</f>
        <v>0</v>
      </c>
      <c r="AS204">
        <f>AND(IF(Metadata!R204="",FALSE,TRUE),exact(Metadata!R204,"Not applicable"))</f>
        <v>0</v>
      </c>
    </row>
    <row r="205" spans="1:45">
      <c r="A205" s="4">
        <f>IF(B205=" "," ",HYPERLINK(CONCATENATE("#metadata!",ADDRESS(INDEX($X$2:$X$1001,MATCH(ROWS($V$2:V205),$V$2:$V$1001,0),0),2)),INDEX($AA$2:$AA$1001,MATCH(ROWS($V$2:V205),$V$2:$V$1001,0),0)))</f>
        <v>0</v>
      </c>
      <c r="B205" s="5">
        <f>IF(OR(INDEX($W$2:$W$1001,MATCH(ROWS($V$2:V205),$V$2:$V$1001,0),1)&gt;=100000,INDEX($AC$1005:$AS$1005,1,MATCH(COLUMNS($AC$1006:AC1006),$AC$1006:$AS$1006,0))&gt;=100000), " ",IF(INDEX($AC$2:$AS$1001,MATCH(ROWS($V$2:V205),$V$2:$V$1001,0),MATCH(COLUMNS($AC$1006:AC1006),$AC$1006:$AS$1006,0)), HYPERLINK("#",""), HYPERLINK(CONCATENATE("#Metadata!", ADDRESS(INDEX($X$2:$X$1001,MATCH(ROWS($V$2:V205),$V$2:$V$1001,0),0), INDEX($AC$1004:$AS$1004,1,MATCH(COLUMNS($AC$1006:AC1006),$AC$1006:$AS$1006,0)))),"Fix")))</f>
        <v>0</v>
      </c>
      <c r="C205" s="5">
        <f>IF(OR(INDEX($W$2:$W$1001,MATCH(ROWS($V$2:V205),$V$2:$V$1001,0),1)&gt;=100000,INDEX($AC$1005:$AS$1005,1,MATCH(COLUMNS($AC$1006:AD1006),$AC$1006:$AS$1006,0))&gt;=100000), " ",IF(INDEX($AC$2:$AS$1001,MATCH(ROWS($V$2:V205),$V$2:$V$1001,0),MATCH(COLUMNS($AC$1006:AD1006),$AC$1006:$AS$1006,0)), HYPERLINK("#",""), HYPERLINK(CONCATENATE("#Metadata!", ADDRESS(INDEX($X$2:$X$1001,MATCH(ROWS($V$2:V205),$V$2:$V$1001,0),0), INDEX($AC$1004:$AS$1004,1,MATCH(COLUMNS($AC$1006:AD1006),$AC$1006:$AS$1006,0)))),"Fix")))</f>
        <v>0</v>
      </c>
      <c r="D205" s="5">
        <f>IF(OR(INDEX($W$2:$W$1001,MATCH(ROWS($V$2:V205),$V$2:$V$1001,0),1)&gt;=100000,INDEX($AC$1005:$AS$1005,1,MATCH(COLUMNS($AC$1006:AE1006),$AC$1006:$AS$1006,0))&gt;=100000), " ",IF(INDEX($AC$2:$AS$1001,MATCH(ROWS($V$2:V205),$V$2:$V$1001,0),MATCH(COLUMNS($AC$1006:AE1006),$AC$1006:$AS$1006,0)), HYPERLINK("#",""), HYPERLINK(CONCATENATE("#Metadata!", ADDRESS(INDEX($X$2:$X$1001,MATCH(ROWS($V$2:V205),$V$2:$V$1001,0),0), INDEX($AC$1004:$AS$1004,1,MATCH(COLUMNS($AC$1006:AE1006),$AC$1006:$AS$1006,0)))),"Fix")))</f>
        <v>0</v>
      </c>
      <c r="E205" s="5">
        <f>IF(OR(INDEX($W$2:$W$1001,MATCH(ROWS($V$2:V205),$V$2:$V$1001,0),1)&gt;=100000,INDEX($AC$1005:$AS$1005,1,MATCH(COLUMNS($AC$1006:AF1006),$AC$1006:$AS$1006,0))&gt;=100000), " ",IF(INDEX($AC$2:$AS$1001,MATCH(ROWS($V$2:V205),$V$2:$V$1001,0),MATCH(COLUMNS($AC$1006:AF1006),$AC$1006:$AS$1006,0)), HYPERLINK("#",""), HYPERLINK(CONCATENATE("#Metadata!", ADDRESS(INDEX($X$2:$X$1001,MATCH(ROWS($V$2:V205),$V$2:$V$1001,0),0), INDEX($AC$1004:$AS$1004,1,MATCH(COLUMNS($AC$1006:AF1006),$AC$1006:$AS$1006,0)))),"Fix")))</f>
        <v>0</v>
      </c>
      <c r="F205" s="5">
        <f>IF(OR(INDEX($W$2:$W$1001,MATCH(ROWS($V$2:V205),$V$2:$V$1001,0),1)&gt;=100000,INDEX($AC$1005:$AS$1005,1,MATCH(COLUMNS($AC$1006:AG1006),$AC$1006:$AS$1006,0))&gt;=100000), " ",IF(INDEX($AC$2:$AS$1001,MATCH(ROWS($V$2:V205),$V$2:$V$1001,0),MATCH(COLUMNS($AC$1006:AG1006),$AC$1006:$AS$1006,0)), HYPERLINK("#",""), HYPERLINK(CONCATENATE("#Metadata!", ADDRESS(INDEX($X$2:$X$1001,MATCH(ROWS($V$2:V205),$V$2:$V$1001,0),0), INDEX($AC$1004:$AS$1004,1,MATCH(COLUMNS($AC$1006:AG1006),$AC$1006:$AS$1006,0)))),"Fix")))</f>
        <v>0</v>
      </c>
      <c r="G205" s="5">
        <f>IF(OR(INDEX($W$2:$W$1001,MATCH(ROWS($V$2:V205),$V$2:$V$1001,0),1)&gt;=100000,INDEX($AC$1005:$AS$1005,1,MATCH(COLUMNS($AC$1006:AH1006),$AC$1006:$AS$1006,0))&gt;=100000), " ",IF(INDEX($AC$2:$AS$1001,MATCH(ROWS($V$2:V205),$V$2:$V$1001,0),MATCH(COLUMNS($AC$1006:AH1006),$AC$1006:$AS$1006,0)), HYPERLINK("#",""), HYPERLINK(CONCATENATE("#Metadata!", ADDRESS(INDEX($X$2:$X$1001,MATCH(ROWS($V$2:V205),$V$2:$V$1001,0),0), INDEX($AC$1004:$AS$1004,1,MATCH(COLUMNS($AC$1006:AH1006),$AC$1006:$AS$1006,0)))),"Fix")))</f>
        <v>0</v>
      </c>
      <c r="H205" s="5">
        <f>IF(OR(INDEX($W$2:$W$1001,MATCH(ROWS($V$2:V205),$V$2:$V$1001,0),1)&gt;=100000,INDEX($AC$1005:$AS$1005,1,MATCH(COLUMNS($AC$1006:AI1006),$AC$1006:$AS$1006,0))&gt;=100000), " ",IF(INDEX($AC$2:$AS$1001,MATCH(ROWS($V$2:V205),$V$2:$V$1001,0),MATCH(COLUMNS($AC$1006:AI1006),$AC$1006:$AS$1006,0)), HYPERLINK("#",""), HYPERLINK(CONCATENATE("#Metadata!", ADDRESS(INDEX($X$2:$X$1001,MATCH(ROWS($V$2:V205),$V$2:$V$1001,0),0), INDEX($AC$1004:$AS$1004,1,MATCH(COLUMNS($AC$1006:AI1006),$AC$1006:$AS$1006,0)))),"Fix")))</f>
        <v>0</v>
      </c>
      <c r="I205" s="5">
        <f>IF(OR(INDEX($W$2:$W$1001,MATCH(ROWS($V$2:V205),$V$2:$V$1001,0),1)&gt;=100000,INDEX($AC$1005:$AS$1005,1,MATCH(COLUMNS($AC$1006:AJ1006),$AC$1006:$AS$1006,0))&gt;=100000), " ",IF(INDEX($AC$2:$AS$1001,MATCH(ROWS($V$2:V205),$V$2:$V$1001,0),MATCH(COLUMNS($AC$1006:AJ1006),$AC$1006:$AS$1006,0)), HYPERLINK("#",""), HYPERLINK(CONCATENATE("#Metadata!", ADDRESS(INDEX($X$2:$X$1001,MATCH(ROWS($V$2:V205),$V$2:$V$1001,0),0), INDEX($AC$1004:$AS$1004,1,MATCH(COLUMNS($AC$1006:AJ1006),$AC$1006:$AS$1006,0)))),"Fix")))</f>
        <v>0</v>
      </c>
      <c r="J205" s="5">
        <f>IF(OR(INDEX($W$2:$W$1001,MATCH(ROWS($V$2:V205),$V$2:$V$1001,0),1)&gt;=100000,INDEX($AC$1005:$AS$1005,1,MATCH(COLUMNS($AC$1006:AK1006),$AC$1006:$AS$1006,0))&gt;=100000), " ",IF(INDEX($AC$2:$AS$1001,MATCH(ROWS($V$2:V205),$V$2:$V$1001,0),MATCH(COLUMNS($AC$1006:AK1006),$AC$1006:$AS$1006,0)), HYPERLINK("#",""), HYPERLINK(CONCATENATE("#Metadata!", ADDRESS(INDEX($X$2:$X$1001,MATCH(ROWS($V$2:V205),$V$2:$V$1001,0),0), INDEX($AC$1004:$AS$1004,1,MATCH(COLUMNS($AC$1006:AK1006),$AC$1006:$AS$1006,0)))),"Fix")))</f>
        <v>0</v>
      </c>
      <c r="K205" s="5">
        <f>IF(OR(INDEX($W$2:$W$1001,MATCH(ROWS($V$2:V205),$V$2:$V$1001,0),1)&gt;=100000,INDEX($AC$1005:$AS$1005,1,MATCH(COLUMNS($AC$1006:AL1006),$AC$1006:$AS$1006,0))&gt;=100000), " ",IF(INDEX($AC$2:$AS$1001,MATCH(ROWS($V$2:V205),$V$2:$V$1001,0),MATCH(COLUMNS($AC$1006:AL1006),$AC$1006:$AS$1006,0)), HYPERLINK("#",""), HYPERLINK(CONCATENATE("#Metadata!", ADDRESS(INDEX($X$2:$X$1001,MATCH(ROWS($V$2:V205),$V$2:$V$1001,0),0), INDEX($AC$1004:$AS$1004,1,MATCH(COLUMNS($AC$1006:AL1006),$AC$1006:$AS$1006,0)))),"Fix")))</f>
        <v>0</v>
      </c>
      <c r="L205" s="5">
        <f>IF(OR(INDEX($W$2:$W$1001,MATCH(ROWS($V$2:V205),$V$2:$V$1001,0),1)&gt;=100000,INDEX($AC$1005:$AS$1005,1,MATCH(COLUMNS($AC$1006:AM1006),$AC$1006:$AS$1006,0))&gt;=100000), " ",IF(INDEX($AC$2:$AS$1001,MATCH(ROWS($V$2:V205),$V$2:$V$1001,0),MATCH(COLUMNS($AC$1006:AM1006),$AC$1006:$AS$1006,0)), HYPERLINK("#",""), HYPERLINK(CONCATENATE("#Metadata!", ADDRESS(INDEX($X$2:$X$1001,MATCH(ROWS($V$2:V205),$V$2:$V$1001,0),0), INDEX($AC$1004:$AS$1004,1,MATCH(COLUMNS($AC$1006:AM1006),$AC$1006:$AS$1006,0)))),"Fix")))</f>
        <v>0</v>
      </c>
      <c r="M205" s="5">
        <f>IF(OR(INDEX($W$2:$W$1001,MATCH(ROWS($V$2:V205),$V$2:$V$1001,0),1)&gt;=100000,INDEX($AC$1005:$AS$1005,1,MATCH(COLUMNS($AC$1006:AN1006),$AC$1006:$AS$1006,0))&gt;=100000), " ",IF(INDEX($AC$2:$AS$1001,MATCH(ROWS($V$2:V205),$V$2:$V$1001,0),MATCH(COLUMNS($AC$1006:AN1006),$AC$1006:$AS$1006,0)), HYPERLINK("#",""), HYPERLINK(CONCATENATE("#Metadata!", ADDRESS(INDEX($X$2:$X$1001,MATCH(ROWS($V$2:V205),$V$2:$V$1001,0),0), INDEX($AC$1004:$AS$1004,1,MATCH(COLUMNS($AC$1006:AN1006),$AC$1006:$AS$1006,0)))),"Fix")))</f>
        <v>0</v>
      </c>
      <c r="N205" s="5">
        <f>IF(OR(INDEX($W$2:$W$1001,MATCH(ROWS($V$2:V205),$V$2:$V$1001,0),1)&gt;=100000,INDEX($AC$1005:$AS$1005,1,MATCH(COLUMNS($AC$1006:AO1006),$AC$1006:$AS$1006,0))&gt;=100000), " ",IF(INDEX($AC$2:$AS$1001,MATCH(ROWS($V$2:V205),$V$2:$V$1001,0),MATCH(COLUMNS($AC$1006:AO1006),$AC$1006:$AS$1006,0)), HYPERLINK("#",""), HYPERLINK(CONCATENATE("#Metadata!", ADDRESS(INDEX($X$2:$X$1001,MATCH(ROWS($V$2:V205),$V$2:$V$1001,0),0), INDEX($AC$1004:$AS$1004,1,MATCH(COLUMNS($AC$1006:AO1006),$AC$1006:$AS$1006,0)))),"Fix")))</f>
        <v>0</v>
      </c>
      <c r="O205" s="5">
        <f>IF(OR(INDEX($W$2:$W$1001,MATCH(ROWS($V$2:V205),$V$2:$V$1001,0),1)&gt;=100000,INDEX($AC$1005:$AS$1005,1,MATCH(COLUMNS($AC$1006:AP1006),$AC$1006:$AS$1006,0))&gt;=100000), " ",IF(INDEX($AC$2:$AS$1001,MATCH(ROWS($V$2:V205),$V$2:$V$1001,0),MATCH(COLUMNS($AC$1006:AP1006),$AC$1006:$AS$1006,0)), HYPERLINK("#",""), HYPERLINK(CONCATENATE("#Metadata!", ADDRESS(INDEX($X$2:$X$1001,MATCH(ROWS($V$2:V205),$V$2:$V$1001,0),0), INDEX($AC$1004:$AS$1004,1,MATCH(COLUMNS($AC$1006:AP1006),$AC$1006:$AS$1006,0)))),"Fix")))</f>
        <v>0</v>
      </c>
      <c r="P205" s="5">
        <f>IF(OR(INDEX($W$2:$W$1001,MATCH(ROWS($V$2:V205),$V$2:$V$1001,0),1)&gt;=100000,INDEX($AC$1005:$AS$1005,1,MATCH(COLUMNS($AC$1006:AQ1006),$AC$1006:$AS$1006,0))&gt;=100000), " ",IF(INDEX($AC$2:$AS$1001,MATCH(ROWS($V$2:V205),$V$2:$V$1001,0),MATCH(COLUMNS($AC$1006:AQ1006),$AC$1006:$AS$1006,0)), HYPERLINK("#",""), HYPERLINK(CONCATENATE("#Metadata!", ADDRESS(INDEX($X$2:$X$1001,MATCH(ROWS($V$2:V205),$V$2:$V$1001,0),0), INDEX($AC$1004:$AS$1004,1,MATCH(COLUMNS($AC$1006:AQ1006),$AC$1006:$AS$1006,0)))),"Fix")))</f>
        <v>0</v>
      </c>
      <c r="Q205" s="5">
        <f>IF(OR(INDEX($W$2:$W$1001,MATCH(ROWS($V$2:V205),$V$2:$V$1001,0),1)&gt;=100000,INDEX($AC$1005:$AS$1005,1,MATCH(COLUMNS($AC$1006:AR1006),$AC$1006:$AS$1006,0))&gt;=100000), " ",IF(INDEX($AC$2:$AS$1001,MATCH(ROWS($V$2:V205),$V$2:$V$1001,0),MATCH(COLUMNS($AC$1006:AR1006),$AC$1006:$AS$1006,0)), HYPERLINK("#",""), HYPERLINK(CONCATENATE("#Metadata!", ADDRESS(INDEX($X$2:$X$1001,MATCH(ROWS($V$2:V205),$V$2:$V$1001,0),0), INDEX($AC$1004:$AS$1004,1,MATCH(COLUMNS($AC$1006:AR1006),$AC$1006:$AS$1006,0)))),"Fix")))</f>
        <v>0</v>
      </c>
      <c r="R205" s="5">
        <f>IF(OR(INDEX($W$2:$W$1001,MATCH(ROWS($V$2:V205),$V$2:$V$1001,0),1)&gt;=100000,INDEX($AC$1005:$AS$1005,1,MATCH(COLUMNS($AC$1006:AS1006),$AC$1006:$AS$1006,0))&gt;=100000), " ",IF(INDEX($AC$2:$AS$1001,MATCH(ROWS($V$2:V205),$V$2:$V$1001,0),MATCH(COLUMNS($AC$1006:AS1006),$AC$1006:$AS$1006,0)), HYPERLINK("#",""), HYPERLINK(CONCATENATE("#Metadata!", ADDRESS(INDEX($X$2:$X$1001,MATCH(ROWS($V$2:V205),$V$2:$V$1001,0),0), INDEX($AC$1004:$AS$1004,1,MATCH(COLUMNS($AC$1006:AS1006),$AC$1006:$AS$1006,0)))),"Fix")))</f>
        <v>0</v>
      </c>
      <c r="V205">
        <v>0</v>
      </c>
      <c r="W205">
        <v>0</v>
      </c>
      <c r="X205">
        <v>0</v>
      </c>
      <c r="Y205">
        <f>IF(Z205,TRUE,AND(AC205:AS205))</f>
        <v>0</v>
      </c>
      <c r="Z205">
        <f>COUNTBLANK(Metadata!B205:R205)=COLUMNS(Metadata!B205:R205)</f>
        <v>0</v>
      </c>
      <c r="AA205">
        <v>0</v>
      </c>
      <c r="AC205">
        <f>AND(IF(Metadata!B205="",FALSE,TRUE),COUNTIF(Metadata!B:B, Metadata!B205) = 1,NOT(ISERROR(SUMPRODUCT(SEARCH(MID(Metadata!B205,ROW(INDIRECT("1:"&amp;LEN(Metadata!B205))), 1),"0123456789abcdefghijklmnopqrstuvwxyzABCDEFGHIJKLMNOPQRSTUVWXYZ.")))))</f>
        <v>0</v>
      </c>
      <c r="AD205">
        <f>AND(IF(Metadata!C205="",FALSE,TRUE),exact(Metadata!C205,"Host-associated"))</f>
        <v>0</v>
      </c>
      <c r="AE205">
        <f>AND(IF(Metadata!D205="",FALSE,TRUE),OR(exact(Metadata!D205,"Animal"),exact(Metadata!D205,"Fungus"),exact(Metadata!D205,"Plant")))</f>
        <v>0</v>
      </c>
      <c r="AF205">
        <f>AND(IF(Metadata!E205="",FALSE,TRUE),OR(exact(Metadata!E205,"Plant secretion"),exact(Metadata!E205,"Plant rhizosphere"),exact(Metadata!E205,"Plant surface"),exact(Metadata!E205,"Plant corpus"),exact(Metadata!E205,"Fungus surface"),exact(Metadata!E205,"Fungus corpus"),exact(Metadata!E205,"Animal surface"),exact(Metadata!E205,"Animal proximal gut"),exact(Metadata!E205,"Animal corpus"),exact(Metadata!E205,"Animal distal gut"),exact(Metadata!E205,"Animal secretion")))</f>
        <v>0</v>
      </c>
      <c r="AG205">
        <f>OR(AND(IF(Metadata!F205="",FALSE,TRUE),OR(exact(Metadata!F205,"not collected"),exact(Metadata!F205,"not provided"),exact(Metadata!F205,"restricted access"))),AND(IF(Metadata!F205="",FALSE,TRUE),OR(exact(Metadata!F205,"organism-associated habitat"),exact(Metadata!F205,"plant-associated habitat"),exact(Metadata!F205,"animal-associated habitat"),exact(Metadata!F205,"insecta-associated habitat"),exact(Metadata!F205,"mammalia-associated habitat"),exact(Metadata!F205,"human-associated habitat"),exact(Metadata!F205,"livestock-associated habitat"))))</f>
        <v>0</v>
      </c>
      <c r="AH205">
        <f>AND(IF(Metadata!G205="",FALSE,TRUE),exact(Metadata!G205,"host-associated"))</f>
        <v>0</v>
      </c>
      <c r="AI205">
        <f>OR(AND(IF(Metadata!H205="",FALSE,TRUE),OR(exact(Metadata!H205,"not collected"),exact(Metadata!H205,"not provided"))),AND(IF(Metadata!H205="",FALSE,ISNUMBER(VALUE(Metadata!H205))),Metadata!H205&gt;0))</f>
        <v>0</v>
      </c>
      <c r="AJ205">
        <f>AND(IF(Metadata!I205="",FALSE,TRUE),exact(Metadata!I205,"years"))</f>
        <v>0</v>
      </c>
      <c r="AK205">
        <f>IF(Metadata!J205="",FALSE,TRUE)</f>
        <v>0</v>
      </c>
      <c r="AL205">
        <f>OR(AND(IF(Metadata!K205="",FALSE,TRUE),OR(exact(Metadata!K205,"not collected"),exact(Metadata!K205,"not provided"))),AND(IF(Metadata!K205="",FALSE,ISNUMBER(VALUE(Metadata!K205))),Metadata!K205&gt;0))</f>
        <v>0</v>
      </c>
      <c r="AM205">
        <f>AND(IF(Metadata!L205="",FALSE,TRUE),exact(Metadata!L205,"cm"))</f>
        <v>0</v>
      </c>
      <c r="AN205">
        <f>IF(Metadata!M205="",FALSE,TRUE)</f>
        <v>0</v>
      </c>
      <c r="AO205">
        <f>OR(AND(IF(Metadata!N205="",FALSE,TRUE),OR(exact(Metadata!N205,"not applicable"),exact(Metadata!N205,"not collected"),exact(Metadata!N205,"not provided"))),AND(IF(Metadata!N205="",FALSE,IF(ISERROR(INT(Metadata!N205)),FALSE,INT(Metadata!N205)=Metadata!N205)),Metadata!N205&gt;0))</f>
        <v>0</v>
      </c>
      <c r="AP205">
        <f>OR(AND(IF(Metadata!O205="",FALSE,TRUE),OR(exact(Metadata!O205,"not collected"),exact(Metadata!O205,"not provided"))),AND(IF(Metadata!O205="",FALSE,ISNUMBER(VALUE(Metadata!O205))),Metadata!O205&gt;0))</f>
        <v>0</v>
      </c>
      <c r="AQ205">
        <f>AND(IF(Metadata!P205="",FALSE,TRUE),exact(Metadata!P205,"kg"))</f>
        <v>0</v>
      </c>
      <c r="AR205">
        <f>OR(AND(IF(Metadata!Q205="",FALSE,TRUE),OR(exact(Metadata!Q205,"not applicable"),exact(Metadata!Q205,"not collected"),exact(Metadata!Q205,"not provided"),exact(Metadata!Q205,"restricted access"))),IF(Metadata!Q205="",FALSE,IF(ISERROR(INT(Metadata!Q205)),FALSE,INT(Metadata!Q205)=Metadata!Q205)))</f>
        <v>0</v>
      </c>
      <c r="AS205">
        <f>AND(IF(Metadata!R205="",FALSE,TRUE),exact(Metadata!R205,"Not applicable"))</f>
        <v>0</v>
      </c>
    </row>
    <row r="206" spans="1:45">
      <c r="A206" s="4">
        <f>IF(B206=" "," ",HYPERLINK(CONCATENATE("#metadata!",ADDRESS(INDEX($X$2:$X$1001,MATCH(ROWS($V$2:V206),$V$2:$V$1001,0),0),2)),INDEX($AA$2:$AA$1001,MATCH(ROWS($V$2:V206),$V$2:$V$1001,0),0)))</f>
        <v>0</v>
      </c>
      <c r="B206" s="5">
        <f>IF(OR(INDEX($W$2:$W$1001,MATCH(ROWS($V$2:V206),$V$2:$V$1001,0),1)&gt;=100000,INDEX($AC$1005:$AS$1005,1,MATCH(COLUMNS($AC$1006:AC1006),$AC$1006:$AS$1006,0))&gt;=100000), " ",IF(INDEX($AC$2:$AS$1001,MATCH(ROWS($V$2:V206),$V$2:$V$1001,0),MATCH(COLUMNS($AC$1006:AC1006),$AC$1006:$AS$1006,0)), HYPERLINK("#",""), HYPERLINK(CONCATENATE("#Metadata!", ADDRESS(INDEX($X$2:$X$1001,MATCH(ROWS($V$2:V206),$V$2:$V$1001,0),0), INDEX($AC$1004:$AS$1004,1,MATCH(COLUMNS($AC$1006:AC1006),$AC$1006:$AS$1006,0)))),"Fix")))</f>
        <v>0</v>
      </c>
      <c r="C206" s="5">
        <f>IF(OR(INDEX($W$2:$W$1001,MATCH(ROWS($V$2:V206),$V$2:$V$1001,0),1)&gt;=100000,INDEX($AC$1005:$AS$1005,1,MATCH(COLUMNS($AC$1006:AD1006),$AC$1006:$AS$1006,0))&gt;=100000), " ",IF(INDEX($AC$2:$AS$1001,MATCH(ROWS($V$2:V206),$V$2:$V$1001,0),MATCH(COLUMNS($AC$1006:AD1006),$AC$1006:$AS$1006,0)), HYPERLINK("#",""), HYPERLINK(CONCATENATE("#Metadata!", ADDRESS(INDEX($X$2:$X$1001,MATCH(ROWS($V$2:V206),$V$2:$V$1001,0),0), INDEX($AC$1004:$AS$1004,1,MATCH(COLUMNS($AC$1006:AD1006),$AC$1006:$AS$1006,0)))),"Fix")))</f>
        <v>0</v>
      </c>
      <c r="D206" s="5">
        <f>IF(OR(INDEX($W$2:$W$1001,MATCH(ROWS($V$2:V206),$V$2:$V$1001,0),1)&gt;=100000,INDEX($AC$1005:$AS$1005,1,MATCH(COLUMNS($AC$1006:AE1006),$AC$1006:$AS$1006,0))&gt;=100000), " ",IF(INDEX($AC$2:$AS$1001,MATCH(ROWS($V$2:V206),$V$2:$V$1001,0),MATCH(COLUMNS($AC$1006:AE1006),$AC$1006:$AS$1006,0)), HYPERLINK("#",""), HYPERLINK(CONCATENATE("#Metadata!", ADDRESS(INDEX($X$2:$X$1001,MATCH(ROWS($V$2:V206),$V$2:$V$1001,0),0), INDEX($AC$1004:$AS$1004,1,MATCH(COLUMNS($AC$1006:AE1006),$AC$1006:$AS$1006,0)))),"Fix")))</f>
        <v>0</v>
      </c>
      <c r="E206" s="5">
        <f>IF(OR(INDEX($W$2:$W$1001,MATCH(ROWS($V$2:V206),$V$2:$V$1001,0),1)&gt;=100000,INDEX($AC$1005:$AS$1005,1,MATCH(COLUMNS($AC$1006:AF1006),$AC$1006:$AS$1006,0))&gt;=100000), " ",IF(INDEX($AC$2:$AS$1001,MATCH(ROWS($V$2:V206),$V$2:$V$1001,0),MATCH(COLUMNS($AC$1006:AF1006),$AC$1006:$AS$1006,0)), HYPERLINK("#",""), HYPERLINK(CONCATENATE("#Metadata!", ADDRESS(INDEX($X$2:$X$1001,MATCH(ROWS($V$2:V206),$V$2:$V$1001,0),0), INDEX($AC$1004:$AS$1004,1,MATCH(COLUMNS($AC$1006:AF1006),$AC$1006:$AS$1006,0)))),"Fix")))</f>
        <v>0</v>
      </c>
      <c r="F206" s="5">
        <f>IF(OR(INDEX($W$2:$W$1001,MATCH(ROWS($V$2:V206),$V$2:$V$1001,0),1)&gt;=100000,INDEX($AC$1005:$AS$1005,1,MATCH(COLUMNS($AC$1006:AG1006),$AC$1006:$AS$1006,0))&gt;=100000), " ",IF(INDEX($AC$2:$AS$1001,MATCH(ROWS($V$2:V206),$V$2:$V$1001,0),MATCH(COLUMNS($AC$1006:AG1006),$AC$1006:$AS$1006,0)), HYPERLINK("#",""), HYPERLINK(CONCATENATE("#Metadata!", ADDRESS(INDEX($X$2:$X$1001,MATCH(ROWS($V$2:V206),$V$2:$V$1001,0),0), INDEX($AC$1004:$AS$1004,1,MATCH(COLUMNS($AC$1006:AG1006),$AC$1006:$AS$1006,0)))),"Fix")))</f>
        <v>0</v>
      </c>
      <c r="G206" s="5">
        <f>IF(OR(INDEX($W$2:$W$1001,MATCH(ROWS($V$2:V206),$V$2:$V$1001,0),1)&gt;=100000,INDEX($AC$1005:$AS$1005,1,MATCH(COLUMNS($AC$1006:AH1006),$AC$1006:$AS$1006,0))&gt;=100000), " ",IF(INDEX($AC$2:$AS$1001,MATCH(ROWS($V$2:V206),$V$2:$V$1001,0),MATCH(COLUMNS($AC$1006:AH1006),$AC$1006:$AS$1006,0)), HYPERLINK("#",""), HYPERLINK(CONCATENATE("#Metadata!", ADDRESS(INDEX($X$2:$X$1001,MATCH(ROWS($V$2:V206),$V$2:$V$1001,0),0), INDEX($AC$1004:$AS$1004,1,MATCH(COLUMNS($AC$1006:AH1006),$AC$1006:$AS$1006,0)))),"Fix")))</f>
        <v>0</v>
      </c>
      <c r="H206" s="5">
        <f>IF(OR(INDEX($W$2:$W$1001,MATCH(ROWS($V$2:V206),$V$2:$V$1001,0),1)&gt;=100000,INDEX($AC$1005:$AS$1005,1,MATCH(COLUMNS($AC$1006:AI1006),$AC$1006:$AS$1006,0))&gt;=100000), " ",IF(INDEX($AC$2:$AS$1001,MATCH(ROWS($V$2:V206),$V$2:$V$1001,0),MATCH(COLUMNS($AC$1006:AI1006),$AC$1006:$AS$1006,0)), HYPERLINK("#",""), HYPERLINK(CONCATENATE("#Metadata!", ADDRESS(INDEX($X$2:$X$1001,MATCH(ROWS($V$2:V206),$V$2:$V$1001,0),0), INDEX($AC$1004:$AS$1004,1,MATCH(COLUMNS($AC$1006:AI1006),$AC$1006:$AS$1006,0)))),"Fix")))</f>
        <v>0</v>
      </c>
      <c r="I206" s="5">
        <f>IF(OR(INDEX($W$2:$W$1001,MATCH(ROWS($V$2:V206),$V$2:$V$1001,0),1)&gt;=100000,INDEX($AC$1005:$AS$1005,1,MATCH(COLUMNS($AC$1006:AJ1006),$AC$1006:$AS$1006,0))&gt;=100000), " ",IF(INDEX($AC$2:$AS$1001,MATCH(ROWS($V$2:V206),$V$2:$V$1001,0),MATCH(COLUMNS($AC$1006:AJ1006),$AC$1006:$AS$1006,0)), HYPERLINK("#",""), HYPERLINK(CONCATENATE("#Metadata!", ADDRESS(INDEX($X$2:$X$1001,MATCH(ROWS($V$2:V206),$V$2:$V$1001,0),0), INDEX($AC$1004:$AS$1004,1,MATCH(COLUMNS($AC$1006:AJ1006),$AC$1006:$AS$1006,0)))),"Fix")))</f>
        <v>0</v>
      </c>
      <c r="J206" s="5">
        <f>IF(OR(INDEX($W$2:$W$1001,MATCH(ROWS($V$2:V206),$V$2:$V$1001,0),1)&gt;=100000,INDEX($AC$1005:$AS$1005,1,MATCH(COLUMNS($AC$1006:AK1006),$AC$1006:$AS$1006,0))&gt;=100000), " ",IF(INDEX($AC$2:$AS$1001,MATCH(ROWS($V$2:V206),$V$2:$V$1001,0),MATCH(COLUMNS($AC$1006:AK1006),$AC$1006:$AS$1006,0)), HYPERLINK("#",""), HYPERLINK(CONCATENATE("#Metadata!", ADDRESS(INDEX($X$2:$X$1001,MATCH(ROWS($V$2:V206),$V$2:$V$1001,0),0), INDEX($AC$1004:$AS$1004,1,MATCH(COLUMNS($AC$1006:AK1006),$AC$1006:$AS$1006,0)))),"Fix")))</f>
        <v>0</v>
      </c>
      <c r="K206" s="5">
        <f>IF(OR(INDEX($W$2:$W$1001,MATCH(ROWS($V$2:V206),$V$2:$V$1001,0),1)&gt;=100000,INDEX($AC$1005:$AS$1005,1,MATCH(COLUMNS($AC$1006:AL1006),$AC$1006:$AS$1006,0))&gt;=100000), " ",IF(INDEX($AC$2:$AS$1001,MATCH(ROWS($V$2:V206),$V$2:$V$1001,0),MATCH(COLUMNS($AC$1006:AL1006),$AC$1006:$AS$1006,0)), HYPERLINK("#",""), HYPERLINK(CONCATENATE("#Metadata!", ADDRESS(INDEX($X$2:$X$1001,MATCH(ROWS($V$2:V206),$V$2:$V$1001,0),0), INDEX($AC$1004:$AS$1004,1,MATCH(COLUMNS($AC$1006:AL1006),$AC$1006:$AS$1006,0)))),"Fix")))</f>
        <v>0</v>
      </c>
      <c r="L206" s="5">
        <f>IF(OR(INDEX($W$2:$W$1001,MATCH(ROWS($V$2:V206),$V$2:$V$1001,0),1)&gt;=100000,INDEX($AC$1005:$AS$1005,1,MATCH(COLUMNS($AC$1006:AM1006),$AC$1006:$AS$1006,0))&gt;=100000), " ",IF(INDEX($AC$2:$AS$1001,MATCH(ROWS($V$2:V206),$V$2:$V$1001,0),MATCH(COLUMNS($AC$1006:AM1006),$AC$1006:$AS$1006,0)), HYPERLINK("#",""), HYPERLINK(CONCATENATE("#Metadata!", ADDRESS(INDEX($X$2:$X$1001,MATCH(ROWS($V$2:V206),$V$2:$V$1001,0),0), INDEX($AC$1004:$AS$1004,1,MATCH(COLUMNS($AC$1006:AM1006),$AC$1006:$AS$1006,0)))),"Fix")))</f>
        <v>0</v>
      </c>
      <c r="M206" s="5">
        <f>IF(OR(INDEX($W$2:$W$1001,MATCH(ROWS($V$2:V206),$V$2:$V$1001,0),1)&gt;=100000,INDEX($AC$1005:$AS$1005,1,MATCH(COLUMNS($AC$1006:AN1006),$AC$1006:$AS$1006,0))&gt;=100000), " ",IF(INDEX($AC$2:$AS$1001,MATCH(ROWS($V$2:V206),$V$2:$V$1001,0),MATCH(COLUMNS($AC$1006:AN1006),$AC$1006:$AS$1006,0)), HYPERLINK("#",""), HYPERLINK(CONCATENATE("#Metadata!", ADDRESS(INDEX($X$2:$X$1001,MATCH(ROWS($V$2:V206),$V$2:$V$1001,0),0), INDEX($AC$1004:$AS$1004,1,MATCH(COLUMNS($AC$1006:AN1006),$AC$1006:$AS$1006,0)))),"Fix")))</f>
        <v>0</v>
      </c>
      <c r="N206" s="5">
        <f>IF(OR(INDEX($W$2:$W$1001,MATCH(ROWS($V$2:V206),$V$2:$V$1001,0),1)&gt;=100000,INDEX($AC$1005:$AS$1005,1,MATCH(COLUMNS($AC$1006:AO1006),$AC$1006:$AS$1006,0))&gt;=100000), " ",IF(INDEX($AC$2:$AS$1001,MATCH(ROWS($V$2:V206),$V$2:$V$1001,0),MATCH(COLUMNS($AC$1006:AO1006),$AC$1006:$AS$1006,0)), HYPERLINK("#",""), HYPERLINK(CONCATENATE("#Metadata!", ADDRESS(INDEX($X$2:$X$1001,MATCH(ROWS($V$2:V206),$V$2:$V$1001,0),0), INDEX($AC$1004:$AS$1004,1,MATCH(COLUMNS($AC$1006:AO1006),$AC$1006:$AS$1006,0)))),"Fix")))</f>
        <v>0</v>
      </c>
      <c r="O206" s="5">
        <f>IF(OR(INDEX($W$2:$W$1001,MATCH(ROWS($V$2:V206),$V$2:$V$1001,0),1)&gt;=100000,INDEX($AC$1005:$AS$1005,1,MATCH(COLUMNS($AC$1006:AP1006),$AC$1006:$AS$1006,0))&gt;=100000), " ",IF(INDEX($AC$2:$AS$1001,MATCH(ROWS($V$2:V206),$V$2:$V$1001,0),MATCH(COLUMNS($AC$1006:AP1006),$AC$1006:$AS$1006,0)), HYPERLINK("#",""), HYPERLINK(CONCATENATE("#Metadata!", ADDRESS(INDEX($X$2:$X$1001,MATCH(ROWS($V$2:V206),$V$2:$V$1001,0),0), INDEX($AC$1004:$AS$1004,1,MATCH(COLUMNS($AC$1006:AP1006),$AC$1006:$AS$1006,0)))),"Fix")))</f>
        <v>0</v>
      </c>
      <c r="P206" s="5">
        <f>IF(OR(INDEX($W$2:$W$1001,MATCH(ROWS($V$2:V206),$V$2:$V$1001,0),1)&gt;=100000,INDEX($AC$1005:$AS$1005,1,MATCH(COLUMNS($AC$1006:AQ1006),$AC$1006:$AS$1006,0))&gt;=100000), " ",IF(INDEX($AC$2:$AS$1001,MATCH(ROWS($V$2:V206),$V$2:$V$1001,0),MATCH(COLUMNS($AC$1006:AQ1006),$AC$1006:$AS$1006,0)), HYPERLINK("#",""), HYPERLINK(CONCATENATE("#Metadata!", ADDRESS(INDEX($X$2:$X$1001,MATCH(ROWS($V$2:V206),$V$2:$V$1001,0),0), INDEX($AC$1004:$AS$1004,1,MATCH(COLUMNS($AC$1006:AQ1006),$AC$1006:$AS$1006,0)))),"Fix")))</f>
        <v>0</v>
      </c>
      <c r="Q206" s="5">
        <f>IF(OR(INDEX($W$2:$W$1001,MATCH(ROWS($V$2:V206),$V$2:$V$1001,0),1)&gt;=100000,INDEX($AC$1005:$AS$1005,1,MATCH(COLUMNS($AC$1006:AR1006),$AC$1006:$AS$1006,0))&gt;=100000), " ",IF(INDEX($AC$2:$AS$1001,MATCH(ROWS($V$2:V206),$V$2:$V$1001,0),MATCH(COLUMNS($AC$1006:AR1006),$AC$1006:$AS$1006,0)), HYPERLINK("#",""), HYPERLINK(CONCATENATE("#Metadata!", ADDRESS(INDEX($X$2:$X$1001,MATCH(ROWS($V$2:V206),$V$2:$V$1001,0),0), INDEX($AC$1004:$AS$1004,1,MATCH(COLUMNS($AC$1006:AR1006),$AC$1006:$AS$1006,0)))),"Fix")))</f>
        <v>0</v>
      </c>
      <c r="R206" s="5">
        <f>IF(OR(INDEX($W$2:$W$1001,MATCH(ROWS($V$2:V206),$V$2:$V$1001,0),1)&gt;=100000,INDEX($AC$1005:$AS$1005,1,MATCH(COLUMNS($AC$1006:AS1006),$AC$1006:$AS$1006,0))&gt;=100000), " ",IF(INDEX($AC$2:$AS$1001,MATCH(ROWS($V$2:V206),$V$2:$V$1001,0),MATCH(COLUMNS($AC$1006:AS1006),$AC$1006:$AS$1006,0)), HYPERLINK("#",""), HYPERLINK(CONCATENATE("#Metadata!", ADDRESS(INDEX($X$2:$X$1001,MATCH(ROWS($V$2:V206),$V$2:$V$1001,0),0), INDEX($AC$1004:$AS$1004,1,MATCH(COLUMNS($AC$1006:AS1006),$AC$1006:$AS$1006,0)))),"Fix")))</f>
        <v>0</v>
      </c>
      <c r="V206">
        <v>0</v>
      </c>
      <c r="W206">
        <v>0</v>
      </c>
      <c r="X206">
        <v>0</v>
      </c>
      <c r="Y206">
        <f>IF(Z206,TRUE,AND(AC206:AS206))</f>
        <v>0</v>
      </c>
      <c r="Z206">
        <f>COUNTBLANK(Metadata!B206:R206)=COLUMNS(Metadata!B206:R206)</f>
        <v>0</v>
      </c>
      <c r="AA206">
        <v>0</v>
      </c>
      <c r="AC206">
        <f>AND(IF(Metadata!B206="",FALSE,TRUE),COUNTIF(Metadata!B:B, Metadata!B206) = 1,NOT(ISERROR(SUMPRODUCT(SEARCH(MID(Metadata!B206,ROW(INDIRECT("1:"&amp;LEN(Metadata!B206))), 1),"0123456789abcdefghijklmnopqrstuvwxyzABCDEFGHIJKLMNOPQRSTUVWXYZ.")))))</f>
        <v>0</v>
      </c>
      <c r="AD206">
        <f>AND(IF(Metadata!C206="",FALSE,TRUE),exact(Metadata!C206,"Host-associated"))</f>
        <v>0</v>
      </c>
      <c r="AE206">
        <f>AND(IF(Metadata!D206="",FALSE,TRUE),OR(exact(Metadata!D206,"Animal"),exact(Metadata!D206,"Fungus"),exact(Metadata!D206,"Plant")))</f>
        <v>0</v>
      </c>
      <c r="AF206">
        <f>AND(IF(Metadata!E206="",FALSE,TRUE),OR(exact(Metadata!E206,"Plant secretion"),exact(Metadata!E206,"Plant rhizosphere"),exact(Metadata!E206,"Plant surface"),exact(Metadata!E206,"Plant corpus"),exact(Metadata!E206,"Fungus surface"),exact(Metadata!E206,"Fungus corpus"),exact(Metadata!E206,"Animal surface"),exact(Metadata!E206,"Animal proximal gut"),exact(Metadata!E206,"Animal corpus"),exact(Metadata!E206,"Animal distal gut"),exact(Metadata!E206,"Animal secretion")))</f>
        <v>0</v>
      </c>
      <c r="AG206">
        <f>OR(AND(IF(Metadata!F206="",FALSE,TRUE),OR(exact(Metadata!F206,"not collected"),exact(Metadata!F206,"not provided"),exact(Metadata!F206,"restricted access"))),AND(IF(Metadata!F206="",FALSE,TRUE),OR(exact(Metadata!F206,"organism-associated habitat"),exact(Metadata!F206,"plant-associated habitat"),exact(Metadata!F206,"animal-associated habitat"),exact(Metadata!F206,"insecta-associated habitat"),exact(Metadata!F206,"mammalia-associated habitat"),exact(Metadata!F206,"human-associated habitat"),exact(Metadata!F206,"livestock-associated habitat"))))</f>
        <v>0</v>
      </c>
      <c r="AH206">
        <f>AND(IF(Metadata!G206="",FALSE,TRUE),exact(Metadata!G206,"host-associated"))</f>
        <v>0</v>
      </c>
      <c r="AI206">
        <f>OR(AND(IF(Metadata!H206="",FALSE,TRUE),OR(exact(Metadata!H206,"not collected"),exact(Metadata!H206,"not provided"))),AND(IF(Metadata!H206="",FALSE,ISNUMBER(VALUE(Metadata!H206))),Metadata!H206&gt;0))</f>
        <v>0</v>
      </c>
      <c r="AJ206">
        <f>AND(IF(Metadata!I206="",FALSE,TRUE),exact(Metadata!I206,"years"))</f>
        <v>0</v>
      </c>
      <c r="AK206">
        <f>IF(Metadata!J206="",FALSE,TRUE)</f>
        <v>0</v>
      </c>
      <c r="AL206">
        <f>OR(AND(IF(Metadata!K206="",FALSE,TRUE),OR(exact(Metadata!K206,"not collected"),exact(Metadata!K206,"not provided"))),AND(IF(Metadata!K206="",FALSE,ISNUMBER(VALUE(Metadata!K206))),Metadata!K206&gt;0))</f>
        <v>0</v>
      </c>
      <c r="AM206">
        <f>AND(IF(Metadata!L206="",FALSE,TRUE),exact(Metadata!L206,"cm"))</f>
        <v>0</v>
      </c>
      <c r="AN206">
        <f>IF(Metadata!M206="",FALSE,TRUE)</f>
        <v>0</v>
      </c>
      <c r="AO206">
        <f>OR(AND(IF(Metadata!N206="",FALSE,TRUE),OR(exact(Metadata!N206,"not applicable"),exact(Metadata!N206,"not collected"),exact(Metadata!N206,"not provided"))),AND(IF(Metadata!N206="",FALSE,IF(ISERROR(INT(Metadata!N206)),FALSE,INT(Metadata!N206)=Metadata!N206)),Metadata!N206&gt;0))</f>
        <v>0</v>
      </c>
      <c r="AP206">
        <f>OR(AND(IF(Metadata!O206="",FALSE,TRUE),OR(exact(Metadata!O206,"not collected"),exact(Metadata!O206,"not provided"))),AND(IF(Metadata!O206="",FALSE,ISNUMBER(VALUE(Metadata!O206))),Metadata!O206&gt;0))</f>
        <v>0</v>
      </c>
      <c r="AQ206">
        <f>AND(IF(Metadata!P206="",FALSE,TRUE),exact(Metadata!P206,"kg"))</f>
        <v>0</v>
      </c>
      <c r="AR206">
        <f>OR(AND(IF(Metadata!Q206="",FALSE,TRUE),OR(exact(Metadata!Q206,"not applicable"),exact(Metadata!Q206,"not collected"),exact(Metadata!Q206,"not provided"),exact(Metadata!Q206,"restricted access"))),IF(Metadata!Q206="",FALSE,IF(ISERROR(INT(Metadata!Q206)),FALSE,INT(Metadata!Q206)=Metadata!Q206)))</f>
        <v>0</v>
      </c>
      <c r="AS206">
        <f>AND(IF(Metadata!R206="",FALSE,TRUE),exact(Metadata!R206,"Not applicable"))</f>
        <v>0</v>
      </c>
    </row>
    <row r="207" spans="1:45">
      <c r="A207" s="4">
        <f>IF(B207=" "," ",HYPERLINK(CONCATENATE("#metadata!",ADDRESS(INDEX($X$2:$X$1001,MATCH(ROWS($V$2:V207),$V$2:$V$1001,0),0),2)),INDEX($AA$2:$AA$1001,MATCH(ROWS($V$2:V207),$V$2:$V$1001,0),0)))</f>
        <v>0</v>
      </c>
      <c r="B207" s="5">
        <f>IF(OR(INDEX($W$2:$W$1001,MATCH(ROWS($V$2:V207),$V$2:$V$1001,0),1)&gt;=100000,INDEX($AC$1005:$AS$1005,1,MATCH(COLUMNS($AC$1006:AC1006),$AC$1006:$AS$1006,0))&gt;=100000), " ",IF(INDEX($AC$2:$AS$1001,MATCH(ROWS($V$2:V207),$V$2:$V$1001,0),MATCH(COLUMNS($AC$1006:AC1006),$AC$1006:$AS$1006,0)), HYPERLINK("#",""), HYPERLINK(CONCATENATE("#Metadata!", ADDRESS(INDEX($X$2:$X$1001,MATCH(ROWS($V$2:V207),$V$2:$V$1001,0),0), INDEX($AC$1004:$AS$1004,1,MATCH(COLUMNS($AC$1006:AC1006),$AC$1006:$AS$1006,0)))),"Fix")))</f>
        <v>0</v>
      </c>
      <c r="C207" s="5">
        <f>IF(OR(INDEX($W$2:$W$1001,MATCH(ROWS($V$2:V207),$V$2:$V$1001,0),1)&gt;=100000,INDEX($AC$1005:$AS$1005,1,MATCH(COLUMNS($AC$1006:AD1006),$AC$1006:$AS$1006,0))&gt;=100000), " ",IF(INDEX($AC$2:$AS$1001,MATCH(ROWS($V$2:V207),$V$2:$V$1001,0),MATCH(COLUMNS($AC$1006:AD1006),$AC$1006:$AS$1006,0)), HYPERLINK("#",""), HYPERLINK(CONCATENATE("#Metadata!", ADDRESS(INDEX($X$2:$X$1001,MATCH(ROWS($V$2:V207),$V$2:$V$1001,0),0), INDEX($AC$1004:$AS$1004,1,MATCH(COLUMNS($AC$1006:AD1006),$AC$1006:$AS$1006,0)))),"Fix")))</f>
        <v>0</v>
      </c>
      <c r="D207" s="5">
        <f>IF(OR(INDEX($W$2:$W$1001,MATCH(ROWS($V$2:V207),$V$2:$V$1001,0),1)&gt;=100000,INDEX($AC$1005:$AS$1005,1,MATCH(COLUMNS($AC$1006:AE1006),$AC$1006:$AS$1006,0))&gt;=100000), " ",IF(INDEX($AC$2:$AS$1001,MATCH(ROWS($V$2:V207),$V$2:$V$1001,0),MATCH(COLUMNS($AC$1006:AE1006),$AC$1006:$AS$1006,0)), HYPERLINK("#",""), HYPERLINK(CONCATENATE("#Metadata!", ADDRESS(INDEX($X$2:$X$1001,MATCH(ROWS($V$2:V207),$V$2:$V$1001,0),0), INDEX($AC$1004:$AS$1004,1,MATCH(COLUMNS($AC$1006:AE1006),$AC$1006:$AS$1006,0)))),"Fix")))</f>
        <v>0</v>
      </c>
      <c r="E207" s="5">
        <f>IF(OR(INDEX($W$2:$W$1001,MATCH(ROWS($V$2:V207),$V$2:$V$1001,0),1)&gt;=100000,INDEX($AC$1005:$AS$1005,1,MATCH(COLUMNS($AC$1006:AF1006),$AC$1006:$AS$1006,0))&gt;=100000), " ",IF(INDEX($AC$2:$AS$1001,MATCH(ROWS($V$2:V207),$V$2:$V$1001,0),MATCH(COLUMNS($AC$1006:AF1006),$AC$1006:$AS$1006,0)), HYPERLINK("#",""), HYPERLINK(CONCATENATE("#Metadata!", ADDRESS(INDEX($X$2:$X$1001,MATCH(ROWS($V$2:V207),$V$2:$V$1001,0),0), INDEX($AC$1004:$AS$1004,1,MATCH(COLUMNS($AC$1006:AF1006),$AC$1006:$AS$1006,0)))),"Fix")))</f>
        <v>0</v>
      </c>
      <c r="F207" s="5">
        <f>IF(OR(INDEX($W$2:$W$1001,MATCH(ROWS($V$2:V207),$V$2:$V$1001,0),1)&gt;=100000,INDEX($AC$1005:$AS$1005,1,MATCH(COLUMNS($AC$1006:AG1006),$AC$1006:$AS$1006,0))&gt;=100000), " ",IF(INDEX($AC$2:$AS$1001,MATCH(ROWS($V$2:V207),$V$2:$V$1001,0),MATCH(COLUMNS($AC$1006:AG1006),$AC$1006:$AS$1006,0)), HYPERLINK("#",""), HYPERLINK(CONCATENATE("#Metadata!", ADDRESS(INDEX($X$2:$X$1001,MATCH(ROWS($V$2:V207),$V$2:$V$1001,0),0), INDEX($AC$1004:$AS$1004,1,MATCH(COLUMNS($AC$1006:AG1006),$AC$1006:$AS$1006,0)))),"Fix")))</f>
        <v>0</v>
      </c>
      <c r="G207" s="5">
        <f>IF(OR(INDEX($W$2:$W$1001,MATCH(ROWS($V$2:V207),$V$2:$V$1001,0),1)&gt;=100000,INDEX($AC$1005:$AS$1005,1,MATCH(COLUMNS($AC$1006:AH1006),$AC$1006:$AS$1006,0))&gt;=100000), " ",IF(INDEX($AC$2:$AS$1001,MATCH(ROWS($V$2:V207),$V$2:$V$1001,0),MATCH(COLUMNS($AC$1006:AH1006),$AC$1006:$AS$1006,0)), HYPERLINK("#",""), HYPERLINK(CONCATENATE("#Metadata!", ADDRESS(INDEX($X$2:$X$1001,MATCH(ROWS($V$2:V207),$V$2:$V$1001,0),0), INDEX($AC$1004:$AS$1004,1,MATCH(COLUMNS($AC$1006:AH1006),$AC$1006:$AS$1006,0)))),"Fix")))</f>
        <v>0</v>
      </c>
      <c r="H207" s="5">
        <f>IF(OR(INDEX($W$2:$W$1001,MATCH(ROWS($V$2:V207),$V$2:$V$1001,0),1)&gt;=100000,INDEX($AC$1005:$AS$1005,1,MATCH(COLUMNS($AC$1006:AI1006),$AC$1006:$AS$1006,0))&gt;=100000), " ",IF(INDEX($AC$2:$AS$1001,MATCH(ROWS($V$2:V207),$V$2:$V$1001,0),MATCH(COLUMNS($AC$1006:AI1006),$AC$1006:$AS$1006,0)), HYPERLINK("#",""), HYPERLINK(CONCATENATE("#Metadata!", ADDRESS(INDEX($X$2:$X$1001,MATCH(ROWS($V$2:V207),$V$2:$V$1001,0),0), INDEX($AC$1004:$AS$1004,1,MATCH(COLUMNS($AC$1006:AI1006),$AC$1006:$AS$1006,0)))),"Fix")))</f>
        <v>0</v>
      </c>
      <c r="I207" s="5">
        <f>IF(OR(INDEX($W$2:$W$1001,MATCH(ROWS($V$2:V207),$V$2:$V$1001,0),1)&gt;=100000,INDEX($AC$1005:$AS$1005,1,MATCH(COLUMNS($AC$1006:AJ1006),$AC$1006:$AS$1006,0))&gt;=100000), " ",IF(INDEX($AC$2:$AS$1001,MATCH(ROWS($V$2:V207),$V$2:$V$1001,0),MATCH(COLUMNS($AC$1006:AJ1006),$AC$1006:$AS$1006,0)), HYPERLINK("#",""), HYPERLINK(CONCATENATE("#Metadata!", ADDRESS(INDEX($X$2:$X$1001,MATCH(ROWS($V$2:V207),$V$2:$V$1001,0),0), INDEX($AC$1004:$AS$1004,1,MATCH(COLUMNS($AC$1006:AJ1006),$AC$1006:$AS$1006,0)))),"Fix")))</f>
        <v>0</v>
      </c>
      <c r="J207" s="5">
        <f>IF(OR(INDEX($W$2:$W$1001,MATCH(ROWS($V$2:V207),$V$2:$V$1001,0),1)&gt;=100000,INDEX($AC$1005:$AS$1005,1,MATCH(COLUMNS($AC$1006:AK1006),$AC$1006:$AS$1006,0))&gt;=100000), " ",IF(INDEX($AC$2:$AS$1001,MATCH(ROWS($V$2:V207),$V$2:$V$1001,0),MATCH(COLUMNS($AC$1006:AK1006),$AC$1006:$AS$1006,0)), HYPERLINK("#",""), HYPERLINK(CONCATENATE("#Metadata!", ADDRESS(INDEX($X$2:$X$1001,MATCH(ROWS($V$2:V207),$V$2:$V$1001,0),0), INDEX($AC$1004:$AS$1004,1,MATCH(COLUMNS($AC$1006:AK1006),$AC$1006:$AS$1006,0)))),"Fix")))</f>
        <v>0</v>
      </c>
      <c r="K207" s="5">
        <f>IF(OR(INDEX($W$2:$W$1001,MATCH(ROWS($V$2:V207),$V$2:$V$1001,0),1)&gt;=100000,INDEX($AC$1005:$AS$1005,1,MATCH(COLUMNS($AC$1006:AL1006),$AC$1006:$AS$1006,0))&gt;=100000), " ",IF(INDEX($AC$2:$AS$1001,MATCH(ROWS($V$2:V207),$V$2:$V$1001,0),MATCH(COLUMNS($AC$1006:AL1006),$AC$1006:$AS$1006,0)), HYPERLINK("#",""), HYPERLINK(CONCATENATE("#Metadata!", ADDRESS(INDEX($X$2:$X$1001,MATCH(ROWS($V$2:V207),$V$2:$V$1001,0),0), INDEX($AC$1004:$AS$1004,1,MATCH(COLUMNS($AC$1006:AL1006),$AC$1006:$AS$1006,0)))),"Fix")))</f>
        <v>0</v>
      </c>
      <c r="L207" s="5">
        <f>IF(OR(INDEX($W$2:$W$1001,MATCH(ROWS($V$2:V207),$V$2:$V$1001,0),1)&gt;=100000,INDEX($AC$1005:$AS$1005,1,MATCH(COLUMNS($AC$1006:AM1006),$AC$1006:$AS$1006,0))&gt;=100000), " ",IF(INDEX($AC$2:$AS$1001,MATCH(ROWS($V$2:V207),$V$2:$V$1001,0),MATCH(COLUMNS($AC$1006:AM1006),$AC$1006:$AS$1006,0)), HYPERLINK("#",""), HYPERLINK(CONCATENATE("#Metadata!", ADDRESS(INDEX($X$2:$X$1001,MATCH(ROWS($V$2:V207),$V$2:$V$1001,0),0), INDEX($AC$1004:$AS$1004,1,MATCH(COLUMNS($AC$1006:AM1006),$AC$1006:$AS$1006,0)))),"Fix")))</f>
        <v>0</v>
      </c>
      <c r="M207" s="5">
        <f>IF(OR(INDEX($W$2:$W$1001,MATCH(ROWS($V$2:V207),$V$2:$V$1001,0),1)&gt;=100000,INDEX($AC$1005:$AS$1005,1,MATCH(COLUMNS($AC$1006:AN1006),$AC$1006:$AS$1006,0))&gt;=100000), " ",IF(INDEX($AC$2:$AS$1001,MATCH(ROWS($V$2:V207),$V$2:$V$1001,0),MATCH(COLUMNS($AC$1006:AN1006),$AC$1006:$AS$1006,0)), HYPERLINK("#",""), HYPERLINK(CONCATENATE("#Metadata!", ADDRESS(INDEX($X$2:$X$1001,MATCH(ROWS($V$2:V207),$V$2:$V$1001,0),0), INDEX($AC$1004:$AS$1004,1,MATCH(COLUMNS($AC$1006:AN1006),$AC$1006:$AS$1006,0)))),"Fix")))</f>
        <v>0</v>
      </c>
      <c r="N207" s="5">
        <f>IF(OR(INDEX($W$2:$W$1001,MATCH(ROWS($V$2:V207),$V$2:$V$1001,0),1)&gt;=100000,INDEX($AC$1005:$AS$1005,1,MATCH(COLUMNS($AC$1006:AO1006),$AC$1006:$AS$1006,0))&gt;=100000), " ",IF(INDEX($AC$2:$AS$1001,MATCH(ROWS($V$2:V207),$V$2:$V$1001,0),MATCH(COLUMNS($AC$1006:AO1006),$AC$1006:$AS$1006,0)), HYPERLINK("#",""), HYPERLINK(CONCATENATE("#Metadata!", ADDRESS(INDEX($X$2:$X$1001,MATCH(ROWS($V$2:V207),$V$2:$V$1001,0),0), INDEX($AC$1004:$AS$1004,1,MATCH(COLUMNS($AC$1006:AO1006),$AC$1006:$AS$1006,0)))),"Fix")))</f>
        <v>0</v>
      </c>
      <c r="O207" s="5">
        <f>IF(OR(INDEX($W$2:$W$1001,MATCH(ROWS($V$2:V207),$V$2:$V$1001,0),1)&gt;=100000,INDEX($AC$1005:$AS$1005,1,MATCH(COLUMNS($AC$1006:AP1006),$AC$1006:$AS$1006,0))&gt;=100000), " ",IF(INDEX($AC$2:$AS$1001,MATCH(ROWS($V$2:V207),$V$2:$V$1001,0),MATCH(COLUMNS($AC$1006:AP1006),$AC$1006:$AS$1006,0)), HYPERLINK("#",""), HYPERLINK(CONCATENATE("#Metadata!", ADDRESS(INDEX($X$2:$X$1001,MATCH(ROWS($V$2:V207),$V$2:$V$1001,0),0), INDEX($AC$1004:$AS$1004,1,MATCH(COLUMNS($AC$1006:AP1006),$AC$1006:$AS$1006,0)))),"Fix")))</f>
        <v>0</v>
      </c>
      <c r="P207" s="5">
        <f>IF(OR(INDEX($W$2:$W$1001,MATCH(ROWS($V$2:V207),$V$2:$V$1001,0),1)&gt;=100000,INDEX($AC$1005:$AS$1005,1,MATCH(COLUMNS($AC$1006:AQ1006),$AC$1006:$AS$1006,0))&gt;=100000), " ",IF(INDEX($AC$2:$AS$1001,MATCH(ROWS($V$2:V207),$V$2:$V$1001,0),MATCH(COLUMNS($AC$1006:AQ1006),$AC$1006:$AS$1006,0)), HYPERLINK("#",""), HYPERLINK(CONCATENATE("#Metadata!", ADDRESS(INDEX($X$2:$X$1001,MATCH(ROWS($V$2:V207),$V$2:$V$1001,0),0), INDEX($AC$1004:$AS$1004,1,MATCH(COLUMNS($AC$1006:AQ1006),$AC$1006:$AS$1006,0)))),"Fix")))</f>
        <v>0</v>
      </c>
      <c r="Q207" s="5">
        <f>IF(OR(INDEX($W$2:$W$1001,MATCH(ROWS($V$2:V207),$V$2:$V$1001,0),1)&gt;=100000,INDEX($AC$1005:$AS$1005,1,MATCH(COLUMNS($AC$1006:AR1006),$AC$1006:$AS$1006,0))&gt;=100000), " ",IF(INDEX($AC$2:$AS$1001,MATCH(ROWS($V$2:V207),$V$2:$V$1001,0),MATCH(COLUMNS($AC$1006:AR1006),$AC$1006:$AS$1006,0)), HYPERLINK("#",""), HYPERLINK(CONCATENATE("#Metadata!", ADDRESS(INDEX($X$2:$X$1001,MATCH(ROWS($V$2:V207),$V$2:$V$1001,0),0), INDEX($AC$1004:$AS$1004,1,MATCH(COLUMNS($AC$1006:AR1006),$AC$1006:$AS$1006,0)))),"Fix")))</f>
        <v>0</v>
      </c>
      <c r="R207" s="5">
        <f>IF(OR(INDEX($W$2:$W$1001,MATCH(ROWS($V$2:V207),$V$2:$V$1001,0),1)&gt;=100000,INDEX($AC$1005:$AS$1005,1,MATCH(COLUMNS($AC$1006:AS1006),$AC$1006:$AS$1006,0))&gt;=100000), " ",IF(INDEX($AC$2:$AS$1001,MATCH(ROWS($V$2:V207),$V$2:$V$1001,0),MATCH(COLUMNS($AC$1006:AS1006),$AC$1006:$AS$1006,0)), HYPERLINK("#",""), HYPERLINK(CONCATENATE("#Metadata!", ADDRESS(INDEX($X$2:$X$1001,MATCH(ROWS($V$2:V207),$V$2:$V$1001,0),0), INDEX($AC$1004:$AS$1004,1,MATCH(COLUMNS($AC$1006:AS1006),$AC$1006:$AS$1006,0)))),"Fix")))</f>
        <v>0</v>
      </c>
      <c r="V207">
        <v>0</v>
      </c>
      <c r="W207">
        <v>0</v>
      </c>
      <c r="X207">
        <v>0</v>
      </c>
      <c r="Y207">
        <f>IF(Z207,TRUE,AND(AC207:AS207))</f>
        <v>0</v>
      </c>
      <c r="Z207">
        <f>COUNTBLANK(Metadata!B207:R207)=COLUMNS(Metadata!B207:R207)</f>
        <v>0</v>
      </c>
      <c r="AA207">
        <v>0</v>
      </c>
      <c r="AC207">
        <f>AND(IF(Metadata!B207="",FALSE,TRUE),COUNTIF(Metadata!B:B, Metadata!B207) = 1,NOT(ISERROR(SUMPRODUCT(SEARCH(MID(Metadata!B207,ROW(INDIRECT("1:"&amp;LEN(Metadata!B207))), 1),"0123456789abcdefghijklmnopqrstuvwxyzABCDEFGHIJKLMNOPQRSTUVWXYZ.")))))</f>
        <v>0</v>
      </c>
      <c r="AD207">
        <f>AND(IF(Metadata!C207="",FALSE,TRUE),exact(Metadata!C207,"Host-associated"))</f>
        <v>0</v>
      </c>
      <c r="AE207">
        <f>AND(IF(Metadata!D207="",FALSE,TRUE),OR(exact(Metadata!D207,"Animal"),exact(Metadata!D207,"Fungus"),exact(Metadata!D207,"Plant")))</f>
        <v>0</v>
      </c>
      <c r="AF207">
        <f>AND(IF(Metadata!E207="",FALSE,TRUE),OR(exact(Metadata!E207,"Plant secretion"),exact(Metadata!E207,"Plant rhizosphere"),exact(Metadata!E207,"Plant surface"),exact(Metadata!E207,"Plant corpus"),exact(Metadata!E207,"Fungus surface"),exact(Metadata!E207,"Fungus corpus"),exact(Metadata!E207,"Animal surface"),exact(Metadata!E207,"Animal proximal gut"),exact(Metadata!E207,"Animal corpus"),exact(Metadata!E207,"Animal distal gut"),exact(Metadata!E207,"Animal secretion")))</f>
        <v>0</v>
      </c>
      <c r="AG207">
        <f>OR(AND(IF(Metadata!F207="",FALSE,TRUE),OR(exact(Metadata!F207,"not collected"),exact(Metadata!F207,"not provided"),exact(Metadata!F207,"restricted access"))),AND(IF(Metadata!F207="",FALSE,TRUE),OR(exact(Metadata!F207,"organism-associated habitat"),exact(Metadata!F207,"plant-associated habitat"),exact(Metadata!F207,"animal-associated habitat"),exact(Metadata!F207,"insecta-associated habitat"),exact(Metadata!F207,"mammalia-associated habitat"),exact(Metadata!F207,"human-associated habitat"),exact(Metadata!F207,"livestock-associated habitat"))))</f>
        <v>0</v>
      </c>
      <c r="AH207">
        <f>AND(IF(Metadata!G207="",FALSE,TRUE),exact(Metadata!G207,"host-associated"))</f>
        <v>0</v>
      </c>
      <c r="AI207">
        <f>OR(AND(IF(Metadata!H207="",FALSE,TRUE),OR(exact(Metadata!H207,"not collected"),exact(Metadata!H207,"not provided"))),AND(IF(Metadata!H207="",FALSE,ISNUMBER(VALUE(Metadata!H207))),Metadata!H207&gt;0))</f>
        <v>0</v>
      </c>
      <c r="AJ207">
        <f>AND(IF(Metadata!I207="",FALSE,TRUE),exact(Metadata!I207,"years"))</f>
        <v>0</v>
      </c>
      <c r="AK207">
        <f>IF(Metadata!J207="",FALSE,TRUE)</f>
        <v>0</v>
      </c>
      <c r="AL207">
        <f>OR(AND(IF(Metadata!K207="",FALSE,TRUE),OR(exact(Metadata!K207,"not collected"),exact(Metadata!K207,"not provided"))),AND(IF(Metadata!K207="",FALSE,ISNUMBER(VALUE(Metadata!K207))),Metadata!K207&gt;0))</f>
        <v>0</v>
      </c>
      <c r="AM207">
        <f>AND(IF(Metadata!L207="",FALSE,TRUE),exact(Metadata!L207,"cm"))</f>
        <v>0</v>
      </c>
      <c r="AN207">
        <f>IF(Metadata!M207="",FALSE,TRUE)</f>
        <v>0</v>
      </c>
      <c r="AO207">
        <f>OR(AND(IF(Metadata!N207="",FALSE,TRUE),OR(exact(Metadata!N207,"not applicable"),exact(Metadata!N207,"not collected"),exact(Metadata!N207,"not provided"))),AND(IF(Metadata!N207="",FALSE,IF(ISERROR(INT(Metadata!N207)),FALSE,INT(Metadata!N207)=Metadata!N207)),Metadata!N207&gt;0))</f>
        <v>0</v>
      </c>
      <c r="AP207">
        <f>OR(AND(IF(Metadata!O207="",FALSE,TRUE),OR(exact(Metadata!O207,"not collected"),exact(Metadata!O207,"not provided"))),AND(IF(Metadata!O207="",FALSE,ISNUMBER(VALUE(Metadata!O207))),Metadata!O207&gt;0))</f>
        <v>0</v>
      </c>
      <c r="AQ207">
        <f>AND(IF(Metadata!P207="",FALSE,TRUE),exact(Metadata!P207,"kg"))</f>
        <v>0</v>
      </c>
      <c r="AR207">
        <f>OR(AND(IF(Metadata!Q207="",FALSE,TRUE),OR(exact(Metadata!Q207,"not applicable"),exact(Metadata!Q207,"not collected"),exact(Metadata!Q207,"not provided"),exact(Metadata!Q207,"restricted access"))),IF(Metadata!Q207="",FALSE,IF(ISERROR(INT(Metadata!Q207)),FALSE,INT(Metadata!Q207)=Metadata!Q207)))</f>
        <v>0</v>
      </c>
      <c r="AS207">
        <f>AND(IF(Metadata!R207="",FALSE,TRUE),exact(Metadata!R207,"Not applicable"))</f>
        <v>0</v>
      </c>
    </row>
    <row r="208" spans="1:45">
      <c r="A208" s="4">
        <f>IF(B208=" "," ",HYPERLINK(CONCATENATE("#metadata!",ADDRESS(INDEX($X$2:$X$1001,MATCH(ROWS($V$2:V208),$V$2:$V$1001,0),0),2)),INDEX($AA$2:$AA$1001,MATCH(ROWS($V$2:V208),$V$2:$V$1001,0),0)))</f>
        <v>0</v>
      </c>
      <c r="B208" s="5">
        <f>IF(OR(INDEX($W$2:$W$1001,MATCH(ROWS($V$2:V208),$V$2:$V$1001,0),1)&gt;=100000,INDEX($AC$1005:$AS$1005,1,MATCH(COLUMNS($AC$1006:AC1006),$AC$1006:$AS$1006,0))&gt;=100000), " ",IF(INDEX($AC$2:$AS$1001,MATCH(ROWS($V$2:V208),$V$2:$V$1001,0),MATCH(COLUMNS($AC$1006:AC1006),$AC$1006:$AS$1006,0)), HYPERLINK("#",""), HYPERLINK(CONCATENATE("#Metadata!", ADDRESS(INDEX($X$2:$X$1001,MATCH(ROWS($V$2:V208),$V$2:$V$1001,0),0), INDEX($AC$1004:$AS$1004,1,MATCH(COLUMNS($AC$1006:AC1006),$AC$1006:$AS$1006,0)))),"Fix")))</f>
        <v>0</v>
      </c>
      <c r="C208" s="5">
        <f>IF(OR(INDEX($W$2:$W$1001,MATCH(ROWS($V$2:V208),$V$2:$V$1001,0),1)&gt;=100000,INDEX($AC$1005:$AS$1005,1,MATCH(COLUMNS($AC$1006:AD1006),$AC$1006:$AS$1006,0))&gt;=100000), " ",IF(INDEX($AC$2:$AS$1001,MATCH(ROWS($V$2:V208),$V$2:$V$1001,0),MATCH(COLUMNS($AC$1006:AD1006),$AC$1006:$AS$1006,0)), HYPERLINK("#",""), HYPERLINK(CONCATENATE("#Metadata!", ADDRESS(INDEX($X$2:$X$1001,MATCH(ROWS($V$2:V208),$V$2:$V$1001,0),0), INDEX($AC$1004:$AS$1004,1,MATCH(COLUMNS($AC$1006:AD1006),$AC$1006:$AS$1006,0)))),"Fix")))</f>
        <v>0</v>
      </c>
      <c r="D208" s="5">
        <f>IF(OR(INDEX($W$2:$W$1001,MATCH(ROWS($V$2:V208),$V$2:$V$1001,0),1)&gt;=100000,INDEX($AC$1005:$AS$1005,1,MATCH(COLUMNS($AC$1006:AE1006),$AC$1006:$AS$1006,0))&gt;=100000), " ",IF(INDEX($AC$2:$AS$1001,MATCH(ROWS($V$2:V208),$V$2:$V$1001,0),MATCH(COLUMNS($AC$1006:AE1006),$AC$1006:$AS$1006,0)), HYPERLINK("#",""), HYPERLINK(CONCATENATE("#Metadata!", ADDRESS(INDEX($X$2:$X$1001,MATCH(ROWS($V$2:V208),$V$2:$V$1001,0),0), INDEX($AC$1004:$AS$1004,1,MATCH(COLUMNS($AC$1006:AE1006),$AC$1006:$AS$1006,0)))),"Fix")))</f>
        <v>0</v>
      </c>
      <c r="E208" s="5">
        <f>IF(OR(INDEX($W$2:$W$1001,MATCH(ROWS($V$2:V208),$V$2:$V$1001,0),1)&gt;=100000,INDEX($AC$1005:$AS$1005,1,MATCH(COLUMNS($AC$1006:AF1006),$AC$1006:$AS$1006,0))&gt;=100000), " ",IF(INDEX($AC$2:$AS$1001,MATCH(ROWS($V$2:V208),$V$2:$V$1001,0),MATCH(COLUMNS($AC$1006:AF1006),$AC$1006:$AS$1006,0)), HYPERLINK("#",""), HYPERLINK(CONCATENATE("#Metadata!", ADDRESS(INDEX($X$2:$X$1001,MATCH(ROWS($V$2:V208),$V$2:$V$1001,0),0), INDEX($AC$1004:$AS$1004,1,MATCH(COLUMNS($AC$1006:AF1006),$AC$1006:$AS$1006,0)))),"Fix")))</f>
        <v>0</v>
      </c>
      <c r="F208" s="5">
        <f>IF(OR(INDEX($W$2:$W$1001,MATCH(ROWS($V$2:V208),$V$2:$V$1001,0),1)&gt;=100000,INDEX($AC$1005:$AS$1005,1,MATCH(COLUMNS($AC$1006:AG1006),$AC$1006:$AS$1006,0))&gt;=100000), " ",IF(INDEX($AC$2:$AS$1001,MATCH(ROWS($V$2:V208),$V$2:$V$1001,0),MATCH(COLUMNS($AC$1006:AG1006),$AC$1006:$AS$1006,0)), HYPERLINK("#",""), HYPERLINK(CONCATENATE("#Metadata!", ADDRESS(INDEX($X$2:$X$1001,MATCH(ROWS($V$2:V208),$V$2:$V$1001,0),0), INDEX($AC$1004:$AS$1004,1,MATCH(COLUMNS($AC$1006:AG1006),$AC$1006:$AS$1006,0)))),"Fix")))</f>
        <v>0</v>
      </c>
      <c r="G208" s="5">
        <f>IF(OR(INDEX($W$2:$W$1001,MATCH(ROWS($V$2:V208),$V$2:$V$1001,0),1)&gt;=100000,INDEX($AC$1005:$AS$1005,1,MATCH(COLUMNS($AC$1006:AH1006),$AC$1006:$AS$1006,0))&gt;=100000), " ",IF(INDEX($AC$2:$AS$1001,MATCH(ROWS($V$2:V208),$V$2:$V$1001,0),MATCH(COLUMNS($AC$1006:AH1006),$AC$1006:$AS$1006,0)), HYPERLINK("#",""), HYPERLINK(CONCATENATE("#Metadata!", ADDRESS(INDEX($X$2:$X$1001,MATCH(ROWS($V$2:V208),$V$2:$V$1001,0),0), INDEX($AC$1004:$AS$1004,1,MATCH(COLUMNS($AC$1006:AH1006),$AC$1006:$AS$1006,0)))),"Fix")))</f>
        <v>0</v>
      </c>
      <c r="H208" s="5">
        <f>IF(OR(INDEX($W$2:$W$1001,MATCH(ROWS($V$2:V208),$V$2:$V$1001,0),1)&gt;=100000,INDEX($AC$1005:$AS$1005,1,MATCH(COLUMNS($AC$1006:AI1006),$AC$1006:$AS$1006,0))&gt;=100000), " ",IF(INDEX($AC$2:$AS$1001,MATCH(ROWS($V$2:V208),$V$2:$V$1001,0),MATCH(COLUMNS($AC$1006:AI1006),$AC$1006:$AS$1006,0)), HYPERLINK("#",""), HYPERLINK(CONCATENATE("#Metadata!", ADDRESS(INDEX($X$2:$X$1001,MATCH(ROWS($V$2:V208),$V$2:$V$1001,0),0), INDEX($AC$1004:$AS$1004,1,MATCH(COLUMNS($AC$1006:AI1006),$AC$1006:$AS$1006,0)))),"Fix")))</f>
        <v>0</v>
      </c>
      <c r="I208" s="5">
        <f>IF(OR(INDEX($W$2:$W$1001,MATCH(ROWS($V$2:V208),$V$2:$V$1001,0),1)&gt;=100000,INDEX($AC$1005:$AS$1005,1,MATCH(COLUMNS($AC$1006:AJ1006),$AC$1006:$AS$1006,0))&gt;=100000), " ",IF(INDEX($AC$2:$AS$1001,MATCH(ROWS($V$2:V208),$V$2:$V$1001,0),MATCH(COLUMNS($AC$1006:AJ1006),$AC$1006:$AS$1006,0)), HYPERLINK("#",""), HYPERLINK(CONCATENATE("#Metadata!", ADDRESS(INDEX($X$2:$X$1001,MATCH(ROWS($V$2:V208),$V$2:$V$1001,0),0), INDEX($AC$1004:$AS$1004,1,MATCH(COLUMNS($AC$1006:AJ1006),$AC$1006:$AS$1006,0)))),"Fix")))</f>
        <v>0</v>
      </c>
      <c r="J208" s="5">
        <f>IF(OR(INDEX($W$2:$W$1001,MATCH(ROWS($V$2:V208),$V$2:$V$1001,0),1)&gt;=100000,INDEX($AC$1005:$AS$1005,1,MATCH(COLUMNS($AC$1006:AK1006),$AC$1006:$AS$1006,0))&gt;=100000), " ",IF(INDEX($AC$2:$AS$1001,MATCH(ROWS($V$2:V208),$V$2:$V$1001,0),MATCH(COLUMNS($AC$1006:AK1006),$AC$1006:$AS$1006,0)), HYPERLINK("#",""), HYPERLINK(CONCATENATE("#Metadata!", ADDRESS(INDEX($X$2:$X$1001,MATCH(ROWS($V$2:V208),$V$2:$V$1001,0),0), INDEX($AC$1004:$AS$1004,1,MATCH(COLUMNS($AC$1006:AK1006),$AC$1006:$AS$1006,0)))),"Fix")))</f>
        <v>0</v>
      </c>
      <c r="K208" s="5">
        <f>IF(OR(INDEX($W$2:$W$1001,MATCH(ROWS($V$2:V208),$V$2:$V$1001,0),1)&gt;=100000,INDEX($AC$1005:$AS$1005,1,MATCH(COLUMNS($AC$1006:AL1006),$AC$1006:$AS$1006,0))&gt;=100000), " ",IF(INDEX($AC$2:$AS$1001,MATCH(ROWS($V$2:V208),$V$2:$V$1001,0),MATCH(COLUMNS($AC$1006:AL1006),$AC$1006:$AS$1006,0)), HYPERLINK("#",""), HYPERLINK(CONCATENATE("#Metadata!", ADDRESS(INDEX($X$2:$X$1001,MATCH(ROWS($V$2:V208),$V$2:$V$1001,0),0), INDEX($AC$1004:$AS$1004,1,MATCH(COLUMNS($AC$1006:AL1006),$AC$1006:$AS$1006,0)))),"Fix")))</f>
        <v>0</v>
      </c>
      <c r="L208" s="5">
        <f>IF(OR(INDEX($W$2:$W$1001,MATCH(ROWS($V$2:V208),$V$2:$V$1001,0),1)&gt;=100000,INDEX($AC$1005:$AS$1005,1,MATCH(COLUMNS($AC$1006:AM1006),$AC$1006:$AS$1006,0))&gt;=100000), " ",IF(INDEX($AC$2:$AS$1001,MATCH(ROWS($V$2:V208),$V$2:$V$1001,0),MATCH(COLUMNS($AC$1006:AM1006),$AC$1006:$AS$1006,0)), HYPERLINK("#",""), HYPERLINK(CONCATENATE("#Metadata!", ADDRESS(INDEX($X$2:$X$1001,MATCH(ROWS($V$2:V208),$V$2:$V$1001,0),0), INDEX($AC$1004:$AS$1004,1,MATCH(COLUMNS($AC$1006:AM1006),$AC$1006:$AS$1006,0)))),"Fix")))</f>
        <v>0</v>
      </c>
      <c r="M208" s="5">
        <f>IF(OR(INDEX($W$2:$W$1001,MATCH(ROWS($V$2:V208),$V$2:$V$1001,0),1)&gt;=100000,INDEX($AC$1005:$AS$1005,1,MATCH(COLUMNS($AC$1006:AN1006),$AC$1006:$AS$1006,0))&gt;=100000), " ",IF(INDEX($AC$2:$AS$1001,MATCH(ROWS($V$2:V208),$V$2:$V$1001,0),MATCH(COLUMNS($AC$1006:AN1006),$AC$1006:$AS$1006,0)), HYPERLINK("#",""), HYPERLINK(CONCATENATE("#Metadata!", ADDRESS(INDEX($X$2:$X$1001,MATCH(ROWS($V$2:V208),$V$2:$V$1001,0),0), INDEX($AC$1004:$AS$1004,1,MATCH(COLUMNS($AC$1006:AN1006),$AC$1006:$AS$1006,0)))),"Fix")))</f>
        <v>0</v>
      </c>
      <c r="N208" s="5">
        <f>IF(OR(INDEX($W$2:$W$1001,MATCH(ROWS($V$2:V208),$V$2:$V$1001,0),1)&gt;=100000,INDEX($AC$1005:$AS$1005,1,MATCH(COLUMNS($AC$1006:AO1006),$AC$1006:$AS$1006,0))&gt;=100000), " ",IF(INDEX($AC$2:$AS$1001,MATCH(ROWS($V$2:V208),$V$2:$V$1001,0),MATCH(COLUMNS($AC$1006:AO1006),$AC$1006:$AS$1006,0)), HYPERLINK("#",""), HYPERLINK(CONCATENATE("#Metadata!", ADDRESS(INDEX($X$2:$X$1001,MATCH(ROWS($V$2:V208),$V$2:$V$1001,0),0), INDEX($AC$1004:$AS$1004,1,MATCH(COLUMNS($AC$1006:AO1006),$AC$1006:$AS$1006,0)))),"Fix")))</f>
        <v>0</v>
      </c>
      <c r="O208" s="5">
        <f>IF(OR(INDEX($W$2:$W$1001,MATCH(ROWS($V$2:V208),$V$2:$V$1001,0),1)&gt;=100000,INDEX($AC$1005:$AS$1005,1,MATCH(COLUMNS($AC$1006:AP1006),$AC$1006:$AS$1006,0))&gt;=100000), " ",IF(INDEX($AC$2:$AS$1001,MATCH(ROWS($V$2:V208),$V$2:$V$1001,0),MATCH(COLUMNS($AC$1006:AP1006),$AC$1006:$AS$1006,0)), HYPERLINK("#",""), HYPERLINK(CONCATENATE("#Metadata!", ADDRESS(INDEX($X$2:$X$1001,MATCH(ROWS($V$2:V208),$V$2:$V$1001,0),0), INDEX($AC$1004:$AS$1004,1,MATCH(COLUMNS($AC$1006:AP1006),$AC$1006:$AS$1006,0)))),"Fix")))</f>
        <v>0</v>
      </c>
      <c r="P208" s="5">
        <f>IF(OR(INDEX($W$2:$W$1001,MATCH(ROWS($V$2:V208),$V$2:$V$1001,0),1)&gt;=100000,INDEX($AC$1005:$AS$1005,1,MATCH(COLUMNS($AC$1006:AQ1006),$AC$1006:$AS$1006,0))&gt;=100000), " ",IF(INDEX($AC$2:$AS$1001,MATCH(ROWS($V$2:V208),$V$2:$V$1001,0),MATCH(COLUMNS($AC$1006:AQ1006),$AC$1006:$AS$1006,0)), HYPERLINK("#",""), HYPERLINK(CONCATENATE("#Metadata!", ADDRESS(INDEX($X$2:$X$1001,MATCH(ROWS($V$2:V208),$V$2:$V$1001,0),0), INDEX($AC$1004:$AS$1004,1,MATCH(COLUMNS($AC$1006:AQ1006),$AC$1006:$AS$1006,0)))),"Fix")))</f>
        <v>0</v>
      </c>
      <c r="Q208" s="5">
        <f>IF(OR(INDEX($W$2:$W$1001,MATCH(ROWS($V$2:V208),$V$2:$V$1001,0),1)&gt;=100000,INDEX($AC$1005:$AS$1005,1,MATCH(COLUMNS($AC$1006:AR1006),$AC$1006:$AS$1006,0))&gt;=100000), " ",IF(INDEX($AC$2:$AS$1001,MATCH(ROWS($V$2:V208),$V$2:$V$1001,0),MATCH(COLUMNS($AC$1006:AR1006),$AC$1006:$AS$1006,0)), HYPERLINK("#",""), HYPERLINK(CONCATENATE("#Metadata!", ADDRESS(INDEX($X$2:$X$1001,MATCH(ROWS($V$2:V208),$V$2:$V$1001,0),0), INDEX($AC$1004:$AS$1004,1,MATCH(COLUMNS($AC$1006:AR1006),$AC$1006:$AS$1006,0)))),"Fix")))</f>
        <v>0</v>
      </c>
      <c r="R208" s="5">
        <f>IF(OR(INDEX($W$2:$W$1001,MATCH(ROWS($V$2:V208),$V$2:$V$1001,0),1)&gt;=100000,INDEX($AC$1005:$AS$1005,1,MATCH(COLUMNS($AC$1006:AS1006),$AC$1006:$AS$1006,0))&gt;=100000), " ",IF(INDEX($AC$2:$AS$1001,MATCH(ROWS($V$2:V208),$V$2:$V$1001,0),MATCH(COLUMNS($AC$1006:AS1006),$AC$1006:$AS$1006,0)), HYPERLINK("#",""), HYPERLINK(CONCATENATE("#Metadata!", ADDRESS(INDEX($X$2:$X$1001,MATCH(ROWS($V$2:V208),$V$2:$V$1001,0),0), INDEX($AC$1004:$AS$1004,1,MATCH(COLUMNS($AC$1006:AS1006),$AC$1006:$AS$1006,0)))),"Fix")))</f>
        <v>0</v>
      </c>
      <c r="V208">
        <v>0</v>
      </c>
      <c r="W208">
        <v>0</v>
      </c>
      <c r="X208">
        <v>0</v>
      </c>
      <c r="Y208">
        <f>IF(Z208,TRUE,AND(AC208:AS208))</f>
        <v>0</v>
      </c>
      <c r="Z208">
        <f>COUNTBLANK(Metadata!B208:R208)=COLUMNS(Metadata!B208:R208)</f>
        <v>0</v>
      </c>
      <c r="AA208">
        <v>0</v>
      </c>
      <c r="AC208">
        <f>AND(IF(Metadata!B208="",FALSE,TRUE),COUNTIF(Metadata!B:B, Metadata!B208) = 1,NOT(ISERROR(SUMPRODUCT(SEARCH(MID(Metadata!B208,ROW(INDIRECT("1:"&amp;LEN(Metadata!B208))), 1),"0123456789abcdefghijklmnopqrstuvwxyzABCDEFGHIJKLMNOPQRSTUVWXYZ.")))))</f>
        <v>0</v>
      </c>
      <c r="AD208">
        <f>AND(IF(Metadata!C208="",FALSE,TRUE),exact(Metadata!C208,"Host-associated"))</f>
        <v>0</v>
      </c>
      <c r="AE208">
        <f>AND(IF(Metadata!D208="",FALSE,TRUE),OR(exact(Metadata!D208,"Animal"),exact(Metadata!D208,"Fungus"),exact(Metadata!D208,"Plant")))</f>
        <v>0</v>
      </c>
      <c r="AF208">
        <f>AND(IF(Metadata!E208="",FALSE,TRUE),OR(exact(Metadata!E208,"Plant secretion"),exact(Metadata!E208,"Plant rhizosphere"),exact(Metadata!E208,"Plant surface"),exact(Metadata!E208,"Plant corpus"),exact(Metadata!E208,"Fungus surface"),exact(Metadata!E208,"Fungus corpus"),exact(Metadata!E208,"Animal surface"),exact(Metadata!E208,"Animal proximal gut"),exact(Metadata!E208,"Animal corpus"),exact(Metadata!E208,"Animal distal gut"),exact(Metadata!E208,"Animal secretion")))</f>
        <v>0</v>
      </c>
      <c r="AG208">
        <f>OR(AND(IF(Metadata!F208="",FALSE,TRUE),OR(exact(Metadata!F208,"not collected"),exact(Metadata!F208,"not provided"),exact(Metadata!F208,"restricted access"))),AND(IF(Metadata!F208="",FALSE,TRUE),OR(exact(Metadata!F208,"organism-associated habitat"),exact(Metadata!F208,"plant-associated habitat"),exact(Metadata!F208,"animal-associated habitat"),exact(Metadata!F208,"insecta-associated habitat"),exact(Metadata!F208,"mammalia-associated habitat"),exact(Metadata!F208,"human-associated habitat"),exact(Metadata!F208,"livestock-associated habitat"))))</f>
        <v>0</v>
      </c>
      <c r="AH208">
        <f>AND(IF(Metadata!G208="",FALSE,TRUE),exact(Metadata!G208,"host-associated"))</f>
        <v>0</v>
      </c>
      <c r="AI208">
        <f>OR(AND(IF(Metadata!H208="",FALSE,TRUE),OR(exact(Metadata!H208,"not collected"),exact(Metadata!H208,"not provided"))),AND(IF(Metadata!H208="",FALSE,ISNUMBER(VALUE(Metadata!H208))),Metadata!H208&gt;0))</f>
        <v>0</v>
      </c>
      <c r="AJ208">
        <f>AND(IF(Metadata!I208="",FALSE,TRUE),exact(Metadata!I208,"years"))</f>
        <v>0</v>
      </c>
      <c r="AK208">
        <f>IF(Metadata!J208="",FALSE,TRUE)</f>
        <v>0</v>
      </c>
      <c r="AL208">
        <f>OR(AND(IF(Metadata!K208="",FALSE,TRUE),OR(exact(Metadata!K208,"not collected"),exact(Metadata!K208,"not provided"))),AND(IF(Metadata!K208="",FALSE,ISNUMBER(VALUE(Metadata!K208))),Metadata!K208&gt;0))</f>
        <v>0</v>
      </c>
      <c r="AM208">
        <f>AND(IF(Metadata!L208="",FALSE,TRUE),exact(Metadata!L208,"cm"))</f>
        <v>0</v>
      </c>
      <c r="AN208">
        <f>IF(Metadata!M208="",FALSE,TRUE)</f>
        <v>0</v>
      </c>
      <c r="AO208">
        <f>OR(AND(IF(Metadata!N208="",FALSE,TRUE),OR(exact(Metadata!N208,"not applicable"),exact(Metadata!N208,"not collected"),exact(Metadata!N208,"not provided"))),AND(IF(Metadata!N208="",FALSE,IF(ISERROR(INT(Metadata!N208)),FALSE,INT(Metadata!N208)=Metadata!N208)),Metadata!N208&gt;0))</f>
        <v>0</v>
      </c>
      <c r="AP208">
        <f>OR(AND(IF(Metadata!O208="",FALSE,TRUE),OR(exact(Metadata!O208,"not collected"),exact(Metadata!O208,"not provided"))),AND(IF(Metadata!O208="",FALSE,ISNUMBER(VALUE(Metadata!O208))),Metadata!O208&gt;0))</f>
        <v>0</v>
      </c>
      <c r="AQ208">
        <f>AND(IF(Metadata!P208="",FALSE,TRUE),exact(Metadata!P208,"kg"))</f>
        <v>0</v>
      </c>
      <c r="AR208">
        <f>OR(AND(IF(Metadata!Q208="",FALSE,TRUE),OR(exact(Metadata!Q208,"not applicable"),exact(Metadata!Q208,"not collected"),exact(Metadata!Q208,"not provided"),exact(Metadata!Q208,"restricted access"))),IF(Metadata!Q208="",FALSE,IF(ISERROR(INT(Metadata!Q208)),FALSE,INT(Metadata!Q208)=Metadata!Q208)))</f>
        <v>0</v>
      </c>
      <c r="AS208">
        <f>AND(IF(Metadata!R208="",FALSE,TRUE),exact(Metadata!R208,"Not applicable"))</f>
        <v>0</v>
      </c>
    </row>
    <row r="209" spans="1:45">
      <c r="A209" s="4">
        <f>IF(B209=" "," ",HYPERLINK(CONCATENATE("#metadata!",ADDRESS(INDEX($X$2:$X$1001,MATCH(ROWS($V$2:V209),$V$2:$V$1001,0),0),2)),INDEX($AA$2:$AA$1001,MATCH(ROWS($V$2:V209),$V$2:$V$1001,0),0)))</f>
        <v>0</v>
      </c>
      <c r="B209" s="5">
        <f>IF(OR(INDEX($W$2:$W$1001,MATCH(ROWS($V$2:V209),$V$2:$V$1001,0),1)&gt;=100000,INDEX($AC$1005:$AS$1005,1,MATCH(COLUMNS($AC$1006:AC1006),$AC$1006:$AS$1006,0))&gt;=100000), " ",IF(INDEX($AC$2:$AS$1001,MATCH(ROWS($V$2:V209),$V$2:$V$1001,0),MATCH(COLUMNS($AC$1006:AC1006),$AC$1006:$AS$1006,0)), HYPERLINK("#",""), HYPERLINK(CONCATENATE("#Metadata!", ADDRESS(INDEX($X$2:$X$1001,MATCH(ROWS($V$2:V209),$V$2:$V$1001,0),0), INDEX($AC$1004:$AS$1004,1,MATCH(COLUMNS($AC$1006:AC1006),$AC$1006:$AS$1006,0)))),"Fix")))</f>
        <v>0</v>
      </c>
      <c r="C209" s="5">
        <f>IF(OR(INDEX($W$2:$W$1001,MATCH(ROWS($V$2:V209),$V$2:$V$1001,0),1)&gt;=100000,INDEX($AC$1005:$AS$1005,1,MATCH(COLUMNS($AC$1006:AD1006),$AC$1006:$AS$1006,0))&gt;=100000), " ",IF(INDEX($AC$2:$AS$1001,MATCH(ROWS($V$2:V209),$V$2:$V$1001,0),MATCH(COLUMNS($AC$1006:AD1006),$AC$1006:$AS$1006,0)), HYPERLINK("#",""), HYPERLINK(CONCATENATE("#Metadata!", ADDRESS(INDEX($X$2:$X$1001,MATCH(ROWS($V$2:V209),$V$2:$V$1001,0),0), INDEX($AC$1004:$AS$1004,1,MATCH(COLUMNS($AC$1006:AD1006),$AC$1006:$AS$1006,0)))),"Fix")))</f>
        <v>0</v>
      </c>
      <c r="D209" s="5">
        <f>IF(OR(INDEX($W$2:$W$1001,MATCH(ROWS($V$2:V209),$V$2:$V$1001,0),1)&gt;=100000,INDEX($AC$1005:$AS$1005,1,MATCH(COLUMNS($AC$1006:AE1006),$AC$1006:$AS$1006,0))&gt;=100000), " ",IF(INDEX($AC$2:$AS$1001,MATCH(ROWS($V$2:V209),$V$2:$V$1001,0),MATCH(COLUMNS($AC$1006:AE1006),$AC$1006:$AS$1006,0)), HYPERLINK("#",""), HYPERLINK(CONCATENATE("#Metadata!", ADDRESS(INDEX($X$2:$X$1001,MATCH(ROWS($V$2:V209),$V$2:$V$1001,0),0), INDEX($AC$1004:$AS$1004,1,MATCH(COLUMNS($AC$1006:AE1006),$AC$1006:$AS$1006,0)))),"Fix")))</f>
        <v>0</v>
      </c>
      <c r="E209" s="5">
        <f>IF(OR(INDEX($W$2:$W$1001,MATCH(ROWS($V$2:V209),$V$2:$V$1001,0),1)&gt;=100000,INDEX($AC$1005:$AS$1005,1,MATCH(COLUMNS($AC$1006:AF1006),$AC$1006:$AS$1006,0))&gt;=100000), " ",IF(INDEX($AC$2:$AS$1001,MATCH(ROWS($V$2:V209),$V$2:$V$1001,0),MATCH(COLUMNS($AC$1006:AF1006),$AC$1006:$AS$1006,0)), HYPERLINK("#",""), HYPERLINK(CONCATENATE("#Metadata!", ADDRESS(INDEX($X$2:$X$1001,MATCH(ROWS($V$2:V209),$V$2:$V$1001,0),0), INDEX($AC$1004:$AS$1004,1,MATCH(COLUMNS($AC$1006:AF1006),$AC$1006:$AS$1006,0)))),"Fix")))</f>
        <v>0</v>
      </c>
      <c r="F209" s="5">
        <f>IF(OR(INDEX($W$2:$W$1001,MATCH(ROWS($V$2:V209),$V$2:$V$1001,0),1)&gt;=100000,INDEX($AC$1005:$AS$1005,1,MATCH(COLUMNS($AC$1006:AG1006),$AC$1006:$AS$1006,0))&gt;=100000), " ",IF(INDEX($AC$2:$AS$1001,MATCH(ROWS($V$2:V209),$V$2:$V$1001,0),MATCH(COLUMNS($AC$1006:AG1006),$AC$1006:$AS$1006,0)), HYPERLINK("#",""), HYPERLINK(CONCATENATE("#Metadata!", ADDRESS(INDEX($X$2:$X$1001,MATCH(ROWS($V$2:V209),$V$2:$V$1001,0),0), INDEX($AC$1004:$AS$1004,1,MATCH(COLUMNS($AC$1006:AG1006),$AC$1006:$AS$1006,0)))),"Fix")))</f>
        <v>0</v>
      </c>
      <c r="G209" s="5">
        <f>IF(OR(INDEX($W$2:$W$1001,MATCH(ROWS($V$2:V209),$V$2:$V$1001,0),1)&gt;=100000,INDEX($AC$1005:$AS$1005,1,MATCH(COLUMNS($AC$1006:AH1006),$AC$1006:$AS$1006,0))&gt;=100000), " ",IF(INDEX($AC$2:$AS$1001,MATCH(ROWS($V$2:V209),$V$2:$V$1001,0),MATCH(COLUMNS($AC$1006:AH1006),$AC$1006:$AS$1006,0)), HYPERLINK("#",""), HYPERLINK(CONCATENATE("#Metadata!", ADDRESS(INDEX($X$2:$X$1001,MATCH(ROWS($V$2:V209),$V$2:$V$1001,0),0), INDEX($AC$1004:$AS$1004,1,MATCH(COLUMNS($AC$1006:AH1006),$AC$1006:$AS$1006,0)))),"Fix")))</f>
        <v>0</v>
      </c>
      <c r="H209" s="5">
        <f>IF(OR(INDEX($W$2:$W$1001,MATCH(ROWS($V$2:V209),$V$2:$V$1001,0),1)&gt;=100000,INDEX($AC$1005:$AS$1005,1,MATCH(COLUMNS($AC$1006:AI1006),$AC$1006:$AS$1006,0))&gt;=100000), " ",IF(INDEX($AC$2:$AS$1001,MATCH(ROWS($V$2:V209),$V$2:$V$1001,0),MATCH(COLUMNS($AC$1006:AI1006),$AC$1006:$AS$1006,0)), HYPERLINK("#",""), HYPERLINK(CONCATENATE("#Metadata!", ADDRESS(INDEX($X$2:$X$1001,MATCH(ROWS($V$2:V209),$V$2:$V$1001,0),0), INDEX($AC$1004:$AS$1004,1,MATCH(COLUMNS($AC$1006:AI1006),$AC$1006:$AS$1006,0)))),"Fix")))</f>
        <v>0</v>
      </c>
      <c r="I209" s="5">
        <f>IF(OR(INDEX($W$2:$W$1001,MATCH(ROWS($V$2:V209),$V$2:$V$1001,0),1)&gt;=100000,INDEX($AC$1005:$AS$1005,1,MATCH(COLUMNS($AC$1006:AJ1006),$AC$1006:$AS$1006,0))&gt;=100000), " ",IF(INDEX($AC$2:$AS$1001,MATCH(ROWS($V$2:V209),$V$2:$V$1001,0),MATCH(COLUMNS($AC$1006:AJ1006),$AC$1006:$AS$1006,0)), HYPERLINK("#",""), HYPERLINK(CONCATENATE("#Metadata!", ADDRESS(INDEX($X$2:$X$1001,MATCH(ROWS($V$2:V209),$V$2:$V$1001,0),0), INDEX($AC$1004:$AS$1004,1,MATCH(COLUMNS($AC$1006:AJ1006),$AC$1006:$AS$1006,0)))),"Fix")))</f>
        <v>0</v>
      </c>
      <c r="J209" s="5">
        <f>IF(OR(INDEX($W$2:$W$1001,MATCH(ROWS($V$2:V209),$V$2:$V$1001,0),1)&gt;=100000,INDEX($AC$1005:$AS$1005,1,MATCH(COLUMNS($AC$1006:AK1006),$AC$1006:$AS$1006,0))&gt;=100000), " ",IF(INDEX($AC$2:$AS$1001,MATCH(ROWS($V$2:V209),$V$2:$V$1001,0),MATCH(COLUMNS($AC$1006:AK1006),$AC$1006:$AS$1006,0)), HYPERLINK("#",""), HYPERLINK(CONCATENATE("#Metadata!", ADDRESS(INDEX($X$2:$X$1001,MATCH(ROWS($V$2:V209),$V$2:$V$1001,0),0), INDEX($AC$1004:$AS$1004,1,MATCH(COLUMNS($AC$1006:AK1006),$AC$1006:$AS$1006,0)))),"Fix")))</f>
        <v>0</v>
      </c>
      <c r="K209" s="5">
        <f>IF(OR(INDEX($W$2:$W$1001,MATCH(ROWS($V$2:V209),$V$2:$V$1001,0),1)&gt;=100000,INDEX($AC$1005:$AS$1005,1,MATCH(COLUMNS($AC$1006:AL1006),$AC$1006:$AS$1006,0))&gt;=100000), " ",IF(INDEX($AC$2:$AS$1001,MATCH(ROWS($V$2:V209),$V$2:$V$1001,0),MATCH(COLUMNS($AC$1006:AL1006),$AC$1006:$AS$1006,0)), HYPERLINK("#",""), HYPERLINK(CONCATENATE("#Metadata!", ADDRESS(INDEX($X$2:$X$1001,MATCH(ROWS($V$2:V209),$V$2:$V$1001,0),0), INDEX($AC$1004:$AS$1004,1,MATCH(COLUMNS($AC$1006:AL1006),$AC$1006:$AS$1006,0)))),"Fix")))</f>
        <v>0</v>
      </c>
      <c r="L209" s="5">
        <f>IF(OR(INDEX($W$2:$W$1001,MATCH(ROWS($V$2:V209),$V$2:$V$1001,0),1)&gt;=100000,INDEX($AC$1005:$AS$1005,1,MATCH(COLUMNS($AC$1006:AM1006),$AC$1006:$AS$1006,0))&gt;=100000), " ",IF(INDEX($AC$2:$AS$1001,MATCH(ROWS($V$2:V209),$V$2:$V$1001,0),MATCH(COLUMNS($AC$1006:AM1006),$AC$1006:$AS$1006,0)), HYPERLINK("#",""), HYPERLINK(CONCATENATE("#Metadata!", ADDRESS(INDEX($X$2:$X$1001,MATCH(ROWS($V$2:V209),$V$2:$V$1001,0),0), INDEX($AC$1004:$AS$1004,1,MATCH(COLUMNS($AC$1006:AM1006),$AC$1006:$AS$1006,0)))),"Fix")))</f>
        <v>0</v>
      </c>
      <c r="M209" s="5">
        <f>IF(OR(INDEX($W$2:$W$1001,MATCH(ROWS($V$2:V209),$V$2:$V$1001,0),1)&gt;=100000,INDEX($AC$1005:$AS$1005,1,MATCH(COLUMNS($AC$1006:AN1006),$AC$1006:$AS$1006,0))&gt;=100000), " ",IF(INDEX($AC$2:$AS$1001,MATCH(ROWS($V$2:V209),$V$2:$V$1001,0),MATCH(COLUMNS($AC$1006:AN1006),$AC$1006:$AS$1006,0)), HYPERLINK("#",""), HYPERLINK(CONCATENATE("#Metadata!", ADDRESS(INDEX($X$2:$X$1001,MATCH(ROWS($V$2:V209),$V$2:$V$1001,0),0), INDEX($AC$1004:$AS$1004,1,MATCH(COLUMNS($AC$1006:AN1006),$AC$1006:$AS$1006,0)))),"Fix")))</f>
        <v>0</v>
      </c>
      <c r="N209" s="5">
        <f>IF(OR(INDEX($W$2:$W$1001,MATCH(ROWS($V$2:V209),$V$2:$V$1001,0),1)&gt;=100000,INDEX($AC$1005:$AS$1005,1,MATCH(COLUMNS($AC$1006:AO1006),$AC$1006:$AS$1006,0))&gt;=100000), " ",IF(INDEX($AC$2:$AS$1001,MATCH(ROWS($V$2:V209),$V$2:$V$1001,0),MATCH(COLUMNS($AC$1006:AO1006),$AC$1006:$AS$1006,0)), HYPERLINK("#",""), HYPERLINK(CONCATENATE("#Metadata!", ADDRESS(INDEX($X$2:$X$1001,MATCH(ROWS($V$2:V209),$V$2:$V$1001,0),0), INDEX($AC$1004:$AS$1004,1,MATCH(COLUMNS($AC$1006:AO1006),$AC$1006:$AS$1006,0)))),"Fix")))</f>
        <v>0</v>
      </c>
      <c r="O209" s="5">
        <f>IF(OR(INDEX($W$2:$W$1001,MATCH(ROWS($V$2:V209),$V$2:$V$1001,0),1)&gt;=100000,INDEX($AC$1005:$AS$1005,1,MATCH(COLUMNS($AC$1006:AP1006),$AC$1006:$AS$1006,0))&gt;=100000), " ",IF(INDEX($AC$2:$AS$1001,MATCH(ROWS($V$2:V209),$V$2:$V$1001,0),MATCH(COLUMNS($AC$1006:AP1006),$AC$1006:$AS$1006,0)), HYPERLINK("#",""), HYPERLINK(CONCATENATE("#Metadata!", ADDRESS(INDEX($X$2:$X$1001,MATCH(ROWS($V$2:V209),$V$2:$V$1001,0),0), INDEX($AC$1004:$AS$1004,1,MATCH(COLUMNS($AC$1006:AP1006),$AC$1006:$AS$1006,0)))),"Fix")))</f>
        <v>0</v>
      </c>
      <c r="P209" s="5">
        <f>IF(OR(INDEX($W$2:$W$1001,MATCH(ROWS($V$2:V209),$V$2:$V$1001,0),1)&gt;=100000,INDEX($AC$1005:$AS$1005,1,MATCH(COLUMNS($AC$1006:AQ1006),$AC$1006:$AS$1006,0))&gt;=100000), " ",IF(INDEX($AC$2:$AS$1001,MATCH(ROWS($V$2:V209),$V$2:$V$1001,0),MATCH(COLUMNS($AC$1006:AQ1006),$AC$1006:$AS$1006,0)), HYPERLINK("#",""), HYPERLINK(CONCATENATE("#Metadata!", ADDRESS(INDEX($X$2:$X$1001,MATCH(ROWS($V$2:V209),$V$2:$V$1001,0),0), INDEX($AC$1004:$AS$1004,1,MATCH(COLUMNS($AC$1006:AQ1006),$AC$1006:$AS$1006,0)))),"Fix")))</f>
        <v>0</v>
      </c>
      <c r="Q209" s="5">
        <f>IF(OR(INDEX($W$2:$W$1001,MATCH(ROWS($V$2:V209),$V$2:$V$1001,0),1)&gt;=100000,INDEX($AC$1005:$AS$1005,1,MATCH(COLUMNS($AC$1006:AR1006),$AC$1006:$AS$1006,0))&gt;=100000), " ",IF(INDEX($AC$2:$AS$1001,MATCH(ROWS($V$2:V209),$V$2:$V$1001,0),MATCH(COLUMNS($AC$1006:AR1006),$AC$1006:$AS$1006,0)), HYPERLINK("#",""), HYPERLINK(CONCATENATE("#Metadata!", ADDRESS(INDEX($X$2:$X$1001,MATCH(ROWS($V$2:V209),$V$2:$V$1001,0),0), INDEX($AC$1004:$AS$1004,1,MATCH(COLUMNS($AC$1006:AR1006),$AC$1006:$AS$1006,0)))),"Fix")))</f>
        <v>0</v>
      </c>
      <c r="R209" s="5">
        <f>IF(OR(INDEX($W$2:$W$1001,MATCH(ROWS($V$2:V209),$V$2:$V$1001,0),1)&gt;=100000,INDEX($AC$1005:$AS$1005,1,MATCH(COLUMNS($AC$1006:AS1006),$AC$1006:$AS$1006,0))&gt;=100000), " ",IF(INDEX($AC$2:$AS$1001,MATCH(ROWS($V$2:V209),$V$2:$V$1001,0),MATCH(COLUMNS($AC$1006:AS1006),$AC$1006:$AS$1006,0)), HYPERLINK("#",""), HYPERLINK(CONCATENATE("#Metadata!", ADDRESS(INDEX($X$2:$X$1001,MATCH(ROWS($V$2:V209),$V$2:$V$1001,0),0), INDEX($AC$1004:$AS$1004,1,MATCH(COLUMNS($AC$1006:AS1006),$AC$1006:$AS$1006,0)))),"Fix")))</f>
        <v>0</v>
      </c>
      <c r="V209">
        <v>0</v>
      </c>
      <c r="W209">
        <v>0</v>
      </c>
      <c r="X209">
        <v>0</v>
      </c>
      <c r="Y209">
        <f>IF(Z209,TRUE,AND(AC209:AS209))</f>
        <v>0</v>
      </c>
      <c r="Z209">
        <f>COUNTBLANK(Metadata!B209:R209)=COLUMNS(Metadata!B209:R209)</f>
        <v>0</v>
      </c>
      <c r="AA209">
        <v>0</v>
      </c>
      <c r="AC209">
        <f>AND(IF(Metadata!B209="",FALSE,TRUE),COUNTIF(Metadata!B:B, Metadata!B209) = 1,NOT(ISERROR(SUMPRODUCT(SEARCH(MID(Metadata!B209,ROW(INDIRECT("1:"&amp;LEN(Metadata!B209))), 1),"0123456789abcdefghijklmnopqrstuvwxyzABCDEFGHIJKLMNOPQRSTUVWXYZ.")))))</f>
        <v>0</v>
      </c>
      <c r="AD209">
        <f>AND(IF(Metadata!C209="",FALSE,TRUE),exact(Metadata!C209,"Host-associated"))</f>
        <v>0</v>
      </c>
      <c r="AE209">
        <f>AND(IF(Metadata!D209="",FALSE,TRUE),OR(exact(Metadata!D209,"Animal"),exact(Metadata!D209,"Fungus"),exact(Metadata!D209,"Plant")))</f>
        <v>0</v>
      </c>
      <c r="AF209">
        <f>AND(IF(Metadata!E209="",FALSE,TRUE),OR(exact(Metadata!E209,"Plant secretion"),exact(Metadata!E209,"Plant rhizosphere"),exact(Metadata!E209,"Plant surface"),exact(Metadata!E209,"Plant corpus"),exact(Metadata!E209,"Fungus surface"),exact(Metadata!E209,"Fungus corpus"),exact(Metadata!E209,"Animal surface"),exact(Metadata!E209,"Animal proximal gut"),exact(Metadata!E209,"Animal corpus"),exact(Metadata!E209,"Animal distal gut"),exact(Metadata!E209,"Animal secretion")))</f>
        <v>0</v>
      </c>
      <c r="AG209">
        <f>OR(AND(IF(Metadata!F209="",FALSE,TRUE),OR(exact(Metadata!F209,"not collected"),exact(Metadata!F209,"not provided"),exact(Metadata!F209,"restricted access"))),AND(IF(Metadata!F209="",FALSE,TRUE),OR(exact(Metadata!F209,"organism-associated habitat"),exact(Metadata!F209,"plant-associated habitat"),exact(Metadata!F209,"animal-associated habitat"),exact(Metadata!F209,"insecta-associated habitat"),exact(Metadata!F209,"mammalia-associated habitat"),exact(Metadata!F209,"human-associated habitat"),exact(Metadata!F209,"livestock-associated habitat"))))</f>
        <v>0</v>
      </c>
      <c r="AH209">
        <f>AND(IF(Metadata!G209="",FALSE,TRUE),exact(Metadata!G209,"host-associated"))</f>
        <v>0</v>
      </c>
      <c r="AI209">
        <f>OR(AND(IF(Metadata!H209="",FALSE,TRUE),OR(exact(Metadata!H209,"not collected"),exact(Metadata!H209,"not provided"))),AND(IF(Metadata!H209="",FALSE,ISNUMBER(VALUE(Metadata!H209))),Metadata!H209&gt;0))</f>
        <v>0</v>
      </c>
      <c r="AJ209">
        <f>AND(IF(Metadata!I209="",FALSE,TRUE),exact(Metadata!I209,"years"))</f>
        <v>0</v>
      </c>
      <c r="AK209">
        <f>IF(Metadata!J209="",FALSE,TRUE)</f>
        <v>0</v>
      </c>
      <c r="AL209">
        <f>OR(AND(IF(Metadata!K209="",FALSE,TRUE),OR(exact(Metadata!K209,"not collected"),exact(Metadata!K209,"not provided"))),AND(IF(Metadata!K209="",FALSE,ISNUMBER(VALUE(Metadata!K209))),Metadata!K209&gt;0))</f>
        <v>0</v>
      </c>
      <c r="AM209">
        <f>AND(IF(Metadata!L209="",FALSE,TRUE),exact(Metadata!L209,"cm"))</f>
        <v>0</v>
      </c>
      <c r="AN209">
        <f>IF(Metadata!M209="",FALSE,TRUE)</f>
        <v>0</v>
      </c>
      <c r="AO209">
        <f>OR(AND(IF(Metadata!N209="",FALSE,TRUE),OR(exact(Metadata!N209,"not applicable"),exact(Metadata!N209,"not collected"),exact(Metadata!N209,"not provided"))),AND(IF(Metadata!N209="",FALSE,IF(ISERROR(INT(Metadata!N209)),FALSE,INT(Metadata!N209)=Metadata!N209)),Metadata!N209&gt;0))</f>
        <v>0</v>
      </c>
      <c r="AP209">
        <f>OR(AND(IF(Metadata!O209="",FALSE,TRUE),OR(exact(Metadata!O209,"not collected"),exact(Metadata!O209,"not provided"))),AND(IF(Metadata!O209="",FALSE,ISNUMBER(VALUE(Metadata!O209))),Metadata!O209&gt;0))</f>
        <v>0</v>
      </c>
      <c r="AQ209">
        <f>AND(IF(Metadata!P209="",FALSE,TRUE),exact(Metadata!P209,"kg"))</f>
        <v>0</v>
      </c>
      <c r="AR209">
        <f>OR(AND(IF(Metadata!Q209="",FALSE,TRUE),OR(exact(Metadata!Q209,"not applicable"),exact(Metadata!Q209,"not collected"),exact(Metadata!Q209,"not provided"),exact(Metadata!Q209,"restricted access"))),IF(Metadata!Q209="",FALSE,IF(ISERROR(INT(Metadata!Q209)),FALSE,INT(Metadata!Q209)=Metadata!Q209)))</f>
        <v>0</v>
      </c>
      <c r="AS209">
        <f>AND(IF(Metadata!R209="",FALSE,TRUE),exact(Metadata!R209,"Not applicable"))</f>
        <v>0</v>
      </c>
    </row>
    <row r="210" spans="1:45">
      <c r="A210" s="4">
        <f>IF(B210=" "," ",HYPERLINK(CONCATENATE("#metadata!",ADDRESS(INDEX($X$2:$X$1001,MATCH(ROWS($V$2:V210),$V$2:$V$1001,0),0),2)),INDEX($AA$2:$AA$1001,MATCH(ROWS($V$2:V210),$V$2:$V$1001,0),0)))</f>
        <v>0</v>
      </c>
      <c r="B210" s="5">
        <f>IF(OR(INDEX($W$2:$W$1001,MATCH(ROWS($V$2:V210),$V$2:$V$1001,0),1)&gt;=100000,INDEX($AC$1005:$AS$1005,1,MATCH(COLUMNS($AC$1006:AC1006),$AC$1006:$AS$1006,0))&gt;=100000), " ",IF(INDEX($AC$2:$AS$1001,MATCH(ROWS($V$2:V210),$V$2:$V$1001,0),MATCH(COLUMNS($AC$1006:AC1006),$AC$1006:$AS$1006,0)), HYPERLINK("#",""), HYPERLINK(CONCATENATE("#Metadata!", ADDRESS(INDEX($X$2:$X$1001,MATCH(ROWS($V$2:V210),$V$2:$V$1001,0),0), INDEX($AC$1004:$AS$1004,1,MATCH(COLUMNS($AC$1006:AC1006),$AC$1006:$AS$1006,0)))),"Fix")))</f>
        <v>0</v>
      </c>
      <c r="C210" s="5">
        <f>IF(OR(INDEX($W$2:$W$1001,MATCH(ROWS($V$2:V210),$V$2:$V$1001,0),1)&gt;=100000,INDEX($AC$1005:$AS$1005,1,MATCH(COLUMNS($AC$1006:AD1006),$AC$1006:$AS$1006,0))&gt;=100000), " ",IF(INDEX($AC$2:$AS$1001,MATCH(ROWS($V$2:V210),$V$2:$V$1001,0),MATCH(COLUMNS($AC$1006:AD1006),$AC$1006:$AS$1006,0)), HYPERLINK("#",""), HYPERLINK(CONCATENATE("#Metadata!", ADDRESS(INDEX($X$2:$X$1001,MATCH(ROWS($V$2:V210),$V$2:$V$1001,0),0), INDEX($AC$1004:$AS$1004,1,MATCH(COLUMNS($AC$1006:AD1006),$AC$1006:$AS$1006,0)))),"Fix")))</f>
        <v>0</v>
      </c>
      <c r="D210" s="5">
        <f>IF(OR(INDEX($W$2:$W$1001,MATCH(ROWS($V$2:V210),$V$2:$V$1001,0),1)&gt;=100000,INDEX($AC$1005:$AS$1005,1,MATCH(COLUMNS($AC$1006:AE1006),$AC$1006:$AS$1006,0))&gt;=100000), " ",IF(INDEX($AC$2:$AS$1001,MATCH(ROWS($V$2:V210),$V$2:$V$1001,0),MATCH(COLUMNS($AC$1006:AE1006),$AC$1006:$AS$1006,0)), HYPERLINK("#",""), HYPERLINK(CONCATENATE("#Metadata!", ADDRESS(INDEX($X$2:$X$1001,MATCH(ROWS($V$2:V210),$V$2:$V$1001,0),0), INDEX($AC$1004:$AS$1004,1,MATCH(COLUMNS($AC$1006:AE1006),$AC$1006:$AS$1006,0)))),"Fix")))</f>
        <v>0</v>
      </c>
      <c r="E210" s="5">
        <f>IF(OR(INDEX($W$2:$W$1001,MATCH(ROWS($V$2:V210),$V$2:$V$1001,0),1)&gt;=100000,INDEX($AC$1005:$AS$1005,1,MATCH(COLUMNS($AC$1006:AF1006),$AC$1006:$AS$1006,0))&gt;=100000), " ",IF(INDEX($AC$2:$AS$1001,MATCH(ROWS($V$2:V210),$V$2:$V$1001,0),MATCH(COLUMNS($AC$1006:AF1006),$AC$1006:$AS$1006,0)), HYPERLINK("#",""), HYPERLINK(CONCATENATE("#Metadata!", ADDRESS(INDEX($X$2:$X$1001,MATCH(ROWS($V$2:V210),$V$2:$V$1001,0),0), INDEX($AC$1004:$AS$1004,1,MATCH(COLUMNS($AC$1006:AF1006),$AC$1006:$AS$1006,0)))),"Fix")))</f>
        <v>0</v>
      </c>
      <c r="F210" s="5">
        <f>IF(OR(INDEX($W$2:$W$1001,MATCH(ROWS($V$2:V210),$V$2:$V$1001,0),1)&gt;=100000,INDEX($AC$1005:$AS$1005,1,MATCH(COLUMNS($AC$1006:AG1006),$AC$1006:$AS$1006,0))&gt;=100000), " ",IF(INDEX($AC$2:$AS$1001,MATCH(ROWS($V$2:V210),$V$2:$V$1001,0),MATCH(COLUMNS($AC$1006:AG1006),$AC$1006:$AS$1006,0)), HYPERLINK("#",""), HYPERLINK(CONCATENATE("#Metadata!", ADDRESS(INDEX($X$2:$X$1001,MATCH(ROWS($V$2:V210),$V$2:$V$1001,0),0), INDEX($AC$1004:$AS$1004,1,MATCH(COLUMNS($AC$1006:AG1006),$AC$1006:$AS$1006,0)))),"Fix")))</f>
        <v>0</v>
      </c>
      <c r="G210" s="5">
        <f>IF(OR(INDEX($W$2:$W$1001,MATCH(ROWS($V$2:V210),$V$2:$V$1001,0),1)&gt;=100000,INDEX($AC$1005:$AS$1005,1,MATCH(COLUMNS($AC$1006:AH1006),$AC$1006:$AS$1006,0))&gt;=100000), " ",IF(INDEX($AC$2:$AS$1001,MATCH(ROWS($V$2:V210),$V$2:$V$1001,0),MATCH(COLUMNS($AC$1006:AH1006),$AC$1006:$AS$1006,0)), HYPERLINK("#",""), HYPERLINK(CONCATENATE("#Metadata!", ADDRESS(INDEX($X$2:$X$1001,MATCH(ROWS($V$2:V210),$V$2:$V$1001,0),0), INDEX($AC$1004:$AS$1004,1,MATCH(COLUMNS($AC$1006:AH1006),$AC$1006:$AS$1006,0)))),"Fix")))</f>
        <v>0</v>
      </c>
      <c r="H210" s="5">
        <f>IF(OR(INDEX($W$2:$W$1001,MATCH(ROWS($V$2:V210),$V$2:$V$1001,0),1)&gt;=100000,INDEX($AC$1005:$AS$1005,1,MATCH(COLUMNS($AC$1006:AI1006),$AC$1006:$AS$1006,0))&gt;=100000), " ",IF(INDEX($AC$2:$AS$1001,MATCH(ROWS($V$2:V210),$V$2:$V$1001,0),MATCH(COLUMNS($AC$1006:AI1006),$AC$1006:$AS$1006,0)), HYPERLINK("#",""), HYPERLINK(CONCATENATE("#Metadata!", ADDRESS(INDEX($X$2:$X$1001,MATCH(ROWS($V$2:V210),$V$2:$V$1001,0),0), INDEX($AC$1004:$AS$1004,1,MATCH(COLUMNS($AC$1006:AI1006),$AC$1006:$AS$1006,0)))),"Fix")))</f>
        <v>0</v>
      </c>
      <c r="I210" s="5">
        <f>IF(OR(INDEX($W$2:$W$1001,MATCH(ROWS($V$2:V210),$V$2:$V$1001,0),1)&gt;=100000,INDEX($AC$1005:$AS$1005,1,MATCH(COLUMNS($AC$1006:AJ1006),$AC$1006:$AS$1006,0))&gt;=100000), " ",IF(INDEX($AC$2:$AS$1001,MATCH(ROWS($V$2:V210),$V$2:$V$1001,0),MATCH(COLUMNS($AC$1006:AJ1006),$AC$1006:$AS$1006,0)), HYPERLINK("#",""), HYPERLINK(CONCATENATE("#Metadata!", ADDRESS(INDEX($X$2:$X$1001,MATCH(ROWS($V$2:V210),$V$2:$V$1001,0),0), INDEX($AC$1004:$AS$1004,1,MATCH(COLUMNS($AC$1006:AJ1006),$AC$1006:$AS$1006,0)))),"Fix")))</f>
        <v>0</v>
      </c>
      <c r="J210" s="5">
        <f>IF(OR(INDEX($W$2:$W$1001,MATCH(ROWS($V$2:V210),$V$2:$V$1001,0),1)&gt;=100000,INDEX($AC$1005:$AS$1005,1,MATCH(COLUMNS($AC$1006:AK1006),$AC$1006:$AS$1006,0))&gt;=100000), " ",IF(INDEX($AC$2:$AS$1001,MATCH(ROWS($V$2:V210),$V$2:$V$1001,0),MATCH(COLUMNS($AC$1006:AK1006),$AC$1006:$AS$1006,0)), HYPERLINK("#",""), HYPERLINK(CONCATENATE("#Metadata!", ADDRESS(INDEX($X$2:$X$1001,MATCH(ROWS($V$2:V210),$V$2:$V$1001,0),0), INDEX($AC$1004:$AS$1004,1,MATCH(COLUMNS($AC$1006:AK1006),$AC$1006:$AS$1006,0)))),"Fix")))</f>
        <v>0</v>
      </c>
      <c r="K210" s="5">
        <f>IF(OR(INDEX($W$2:$W$1001,MATCH(ROWS($V$2:V210),$V$2:$V$1001,0),1)&gt;=100000,INDEX($AC$1005:$AS$1005,1,MATCH(COLUMNS($AC$1006:AL1006),$AC$1006:$AS$1006,0))&gt;=100000), " ",IF(INDEX($AC$2:$AS$1001,MATCH(ROWS($V$2:V210),$V$2:$V$1001,0),MATCH(COLUMNS($AC$1006:AL1006),$AC$1006:$AS$1006,0)), HYPERLINK("#",""), HYPERLINK(CONCATENATE("#Metadata!", ADDRESS(INDEX($X$2:$X$1001,MATCH(ROWS($V$2:V210),$V$2:$V$1001,0),0), INDEX($AC$1004:$AS$1004,1,MATCH(COLUMNS($AC$1006:AL1006),$AC$1006:$AS$1006,0)))),"Fix")))</f>
        <v>0</v>
      </c>
      <c r="L210" s="5">
        <f>IF(OR(INDEX($W$2:$W$1001,MATCH(ROWS($V$2:V210),$V$2:$V$1001,0),1)&gt;=100000,INDEX($AC$1005:$AS$1005,1,MATCH(COLUMNS($AC$1006:AM1006),$AC$1006:$AS$1006,0))&gt;=100000), " ",IF(INDEX($AC$2:$AS$1001,MATCH(ROWS($V$2:V210),$V$2:$V$1001,0),MATCH(COLUMNS($AC$1006:AM1006),$AC$1006:$AS$1006,0)), HYPERLINK("#",""), HYPERLINK(CONCATENATE("#Metadata!", ADDRESS(INDEX($X$2:$X$1001,MATCH(ROWS($V$2:V210),$V$2:$V$1001,0),0), INDEX($AC$1004:$AS$1004,1,MATCH(COLUMNS($AC$1006:AM1006),$AC$1006:$AS$1006,0)))),"Fix")))</f>
        <v>0</v>
      </c>
      <c r="M210" s="5">
        <f>IF(OR(INDEX($W$2:$W$1001,MATCH(ROWS($V$2:V210),$V$2:$V$1001,0),1)&gt;=100000,INDEX($AC$1005:$AS$1005,1,MATCH(COLUMNS($AC$1006:AN1006),$AC$1006:$AS$1006,0))&gt;=100000), " ",IF(INDEX($AC$2:$AS$1001,MATCH(ROWS($V$2:V210),$V$2:$V$1001,0),MATCH(COLUMNS($AC$1006:AN1006),$AC$1006:$AS$1006,0)), HYPERLINK("#",""), HYPERLINK(CONCATENATE("#Metadata!", ADDRESS(INDEX($X$2:$X$1001,MATCH(ROWS($V$2:V210),$V$2:$V$1001,0),0), INDEX($AC$1004:$AS$1004,1,MATCH(COLUMNS($AC$1006:AN1006),$AC$1006:$AS$1006,0)))),"Fix")))</f>
        <v>0</v>
      </c>
      <c r="N210" s="5">
        <f>IF(OR(INDEX($W$2:$W$1001,MATCH(ROWS($V$2:V210),$V$2:$V$1001,0),1)&gt;=100000,INDEX($AC$1005:$AS$1005,1,MATCH(COLUMNS($AC$1006:AO1006),$AC$1006:$AS$1006,0))&gt;=100000), " ",IF(INDEX($AC$2:$AS$1001,MATCH(ROWS($V$2:V210),$V$2:$V$1001,0),MATCH(COLUMNS($AC$1006:AO1006),$AC$1006:$AS$1006,0)), HYPERLINK("#",""), HYPERLINK(CONCATENATE("#Metadata!", ADDRESS(INDEX($X$2:$X$1001,MATCH(ROWS($V$2:V210),$V$2:$V$1001,0),0), INDEX($AC$1004:$AS$1004,1,MATCH(COLUMNS($AC$1006:AO1006),$AC$1006:$AS$1006,0)))),"Fix")))</f>
        <v>0</v>
      </c>
      <c r="O210" s="5">
        <f>IF(OR(INDEX($W$2:$W$1001,MATCH(ROWS($V$2:V210),$V$2:$V$1001,0),1)&gt;=100000,INDEX($AC$1005:$AS$1005,1,MATCH(COLUMNS($AC$1006:AP1006),$AC$1006:$AS$1006,0))&gt;=100000), " ",IF(INDEX($AC$2:$AS$1001,MATCH(ROWS($V$2:V210),$V$2:$V$1001,0),MATCH(COLUMNS($AC$1006:AP1006),$AC$1006:$AS$1006,0)), HYPERLINK("#",""), HYPERLINK(CONCATENATE("#Metadata!", ADDRESS(INDEX($X$2:$X$1001,MATCH(ROWS($V$2:V210),$V$2:$V$1001,0),0), INDEX($AC$1004:$AS$1004,1,MATCH(COLUMNS($AC$1006:AP1006),$AC$1006:$AS$1006,0)))),"Fix")))</f>
        <v>0</v>
      </c>
      <c r="P210" s="5">
        <f>IF(OR(INDEX($W$2:$W$1001,MATCH(ROWS($V$2:V210),$V$2:$V$1001,0),1)&gt;=100000,INDEX($AC$1005:$AS$1005,1,MATCH(COLUMNS($AC$1006:AQ1006),$AC$1006:$AS$1006,0))&gt;=100000), " ",IF(INDEX($AC$2:$AS$1001,MATCH(ROWS($V$2:V210),$V$2:$V$1001,0),MATCH(COLUMNS($AC$1006:AQ1006),$AC$1006:$AS$1006,0)), HYPERLINK("#",""), HYPERLINK(CONCATENATE("#Metadata!", ADDRESS(INDEX($X$2:$X$1001,MATCH(ROWS($V$2:V210),$V$2:$V$1001,0),0), INDEX($AC$1004:$AS$1004,1,MATCH(COLUMNS($AC$1006:AQ1006),$AC$1006:$AS$1006,0)))),"Fix")))</f>
        <v>0</v>
      </c>
      <c r="Q210" s="5">
        <f>IF(OR(INDEX($W$2:$W$1001,MATCH(ROWS($V$2:V210),$V$2:$V$1001,0),1)&gt;=100000,INDEX($AC$1005:$AS$1005,1,MATCH(COLUMNS($AC$1006:AR1006),$AC$1006:$AS$1006,0))&gt;=100000), " ",IF(INDEX($AC$2:$AS$1001,MATCH(ROWS($V$2:V210),$V$2:$V$1001,0),MATCH(COLUMNS($AC$1006:AR1006),$AC$1006:$AS$1006,0)), HYPERLINK("#",""), HYPERLINK(CONCATENATE("#Metadata!", ADDRESS(INDEX($X$2:$X$1001,MATCH(ROWS($V$2:V210),$V$2:$V$1001,0),0), INDEX($AC$1004:$AS$1004,1,MATCH(COLUMNS($AC$1006:AR1006),$AC$1006:$AS$1006,0)))),"Fix")))</f>
        <v>0</v>
      </c>
      <c r="R210" s="5">
        <f>IF(OR(INDEX($W$2:$W$1001,MATCH(ROWS($V$2:V210),$V$2:$V$1001,0),1)&gt;=100000,INDEX($AC$1005:$AS$1005,1,MATCH(COLUMNS($AC$1006:AS1006),$AC$1006:$AS$1006,0))&gt;=100000), " ",IF(INDEX($AC$2:$AS$1001,MATCH(ROWS($V$2:V210),$V$2:$V$1001,0),MATCH(COLUMNS($AC$1006:AS1006),$AC$1006:$AS$1006,0)), HYPERLINK("#",""), HYPERLINK(CONCATENATE("#Metadata!", ADDRESS(INDEX($X$2:$X$1001,MATCH(ROWS($V$2:V210),$V$2:$V$1001,0),0), INDEX($AC$1004:$AS$1004,1,MATCH(COLUMNS($AC$1006:AS1006),$AC$1006:$AS$1006,0)))),"Fix")))</f>
        <v>0</v>
      </c>
      <c r="V210">
        <v>0</v>
      </c>
      <c r="W210">
        <v>0</v>
      </c>
      <c r="X210">
        <v>0</v>
      </c>
      <c r="Y210">
        <f>IF(Z210,TRUE,AND(AC210:AS210))</f>
        <v>0</v>
      </c>
      <c r="Z210">
        <f>COUNTBLANK(Metadata!B210:R210)=COLUMNS(Metadata!B210:R210)</f>
        <v>0</v>
      </c>
      <c r="AA210">
        <v>0</v>
      </c>
      <c r="AC210">
        <f>AND(IF(Metadata!B210="",FALSE,TRUE),COUNTIF(Metadata!B:B, Metadata!B210) = 1,NOT(ISERROR(SUMPRODUCT(SEARCH(MID(Metadata!B210,ROW(INDIRECT("1:"&amp;LEN(Metadata!B210))), 1),"0123456789abcdefghijklmnopqrstuvwxyzABCDEFGHIJKLMNOPQRSTUVWXYZ.")))))</f>
        <v>0</v>
      </c>
      <c r="AD210">
        <f>AND(IF(Metadata!C210="",FALSE,TRUE),exact(Metadata!C210,"Host-associated"))</f>
        <v>0</v>
      </c>
      <c r="AE210">
        <f>AND(IF(Metadata!D210="",FALSE,TRUE),OR(exact(Metadata!D210,"Animal"),exact(Metadata!D210,"Fungus"),exact(Metadata!D210,"Plant")))</f>
        <v>0</v>
      </c>
      <c r="AF210">
        <f>AND(IF(Metadata!E210="",FALSE,TRUE),OR(exact(Metadata!E210,"Plant secretion"),exact(Metadata!E210,"Plant rhizosphere"),exact(Metadata!E210,"Plant surface"),exact(Metadata!E210,"Plant corpus"),exact(Metadata!E210,"Fungus surface"),exact(Metadata!E210,"Fungus corpus"),exact(Metadata!E210,"Animal surface"),exact(Metadata!E210,"Animal proximal gut"),exact(Metadata!E210,"Animal corpus"),exact(Metadata!E210,"Animal distal gut"),exact(Metadata!E210,"Animal secretion")))</f>
        <v>0</v>
      </c>
      <c r="AG210">
        <f>OR(AND(IF(Metadata!F210="",FALSE,TRUE),OR(exact(Metadata!F210,"not collected"),exact(Metadata!F210,"not provided"),exact(Metadata!F210,"restricted access"))),AND(IF(Metadata!F210="",FALSE,TRUE),OR(exact(Metadata!F210,"organism-associated habitat"),exact(Metadata!F210,"plant-associated habitat"),exact(Metadata!F210,"animal-associated habitat"),exact(Metadata!F210,"insecta-associated habitat"),exact(Metadata!F210,"mammalia-associated habitat"),exact(Metadata!F210,"human-associated habitat"),exact(Metadata!F210,"livestock-associated habitat"))))</f>
        <v>0</v>
      </c>
      <c r="AH210">
        <f>AND(IF(Metadata!G210="",FALSE,TRUE),exact(Metadata!G210,"host-associated"))</f>
        <v>0</v>
      </c>
      <c r="AI210">
        <f>OR(AND(IF(Metadata!H210="",FALSE,TRUE),OR(exact(Metadata!H210,"not collected"),exact(Metadata!H210,"not provided"))),AND(IF(Metadata!H210="",FALSE,ISNUMBER(VALUE(Metadata!H210))),Metadata!H210&gt;0))</f>
        <v>0</v>
      </c>
      <c r="AJ210">
        <f>AND(IF(Metadata!I210="",FALSE,TRUE),exact(Metadata!I210,"years"))</f>
        <v>0</v>
      </c>
      <c r="AK210">
        <f>IF(Metadata!J210="",FALSE,TRUE)</f>
        <v>0</v>
      </c>
      <c r="AL210">
        <f>OR(AND(IF(Metadata!K210="",FALSE,TRUE),OR(exact(Metadata!K210,"not collected"),exact(Metadata!K210,"not provided"))),AND(IF(Metadata!K210="",FALSE,ISNUMBER(VALUE(Metadata!K210))),Metadata!K210&gt;0))</f>
        <v>0</v>
      </c>
      <c r="AM210">
        <f>AND(IF(Metadata!L210="",FALSE,TRUE),exact(Metadata!L210,"cm"))</f>
        <v>0</v>
      </c>
      <c r="AN210">
        <f>IF(Metadata!M210="",FALSE,TRUE)</f>
        <v>0</v>
      </c>
      <c r="AO210">
        <f>OR(AND(IF(Metadata!N210="",FALSE,TRUE),OR(exact(Metadata!N210,"not applicable"),exact(Metadata!N210,"not collected"),exact(Metadata!N210,"not provided"))),AND(IF(Metadata!N210="",FALSE,IF(ISERROR(INT(Metadata!N210)),FALSE,INT(Metadata!N210)=Metadata!N210)),Metadata!N210&gt;0))</f>
        <v>0</v>
      </c>
      <c r="AP210">
        <f>OR(AND(IF(Metadata!O210="",FALSE,TRUE),OR(exact(Metadata!O210,"not collected"),exact(Metadata!O210,"not provided"))),AND(IF(Metadata!O210="",FALSE,ISNUMBER(VALUE(Metadata!O210))),Metadata!O210&gt;0))</f>
        <v>0</v>
      </c>
      <c r="AQ210">
        <f>AND(IF(Metadata!P210="",FALSE,TRUE),exact(Metadata!P210,"kg"))</f>
        <v>0</v>
      </c>
      <c r="AR210">
        <f>OR(AND(IF(Metadata!Q210="",FALSE,TRUE),OR(exact(Metadata!Q210,"not applicable"),exact(Metadata!Q210,"not collected"),exact(Metadata!Q210,"not provided"),exact(Metadata!Q210,"restricted access"))),IF(Metadata!Q210="",FALSE,IF(ISERROR(INT(Metadata!Q210)),FALSE,INT(Metadata!Q210)=Metadata!Q210)))</f>
        <v>0</v>
      </c>
      <c r="AS210">
        <f>AND(IF(Metadata!R210="",FALSE,TRUE),exact(Metadata!R210,"Not applicable"))</f>
        <v>0</v>
      </c>
    </row>
    <row r="211" spans="1:45">
      <c r="A211" s="4">
        <f>IF(B211=" "," ",HYPERLINK(CONCATENATE("#metadata!",ADDRESS(INDEX($X$2:$X$1001,MATCH(ROWS($V$2:V211),$V$2:$V$1001,0),0),2)),INDEX($AA$2:$AA$1001,MATCH(ROWS($V$2:V211),$V$2:$V$1001,0),0)))</f>
        <v>0</v>
      </c>
      <c r="B211" s="5">
        <f>IF(OR(INDEX($W$2:$W$1001,MATCH(ROWS($V$2:V211),$V$2:$V$1001,0),1)&gt;=100000,INDEX($AC$1005:$AS$1005,1,MATCH(COLUMNS($AC$1006:AC1006),$AC$1006:$AS$1006,0))&gt;=100000), " ",IF(INDEX($AC$2:$AS$1001,MATCH(ROWS($V$2:V211),$V$2:$V$1001,0),MATCH(COLUMNS($AC$1006:AC1006),$AC$1006:$AS$1006,0)), HYPERLINK("#",""), HYPERLINK(CONCATENATE("#Metadata!", ADDRESS(INDEX($X$2:$X$1001,MATCH(ROWS($V$2:V211),$V$2:$V$1001,0),0), INDEX($AC$1004:$AS$1004,1,MATCH(COLUMNS($AC$1006:AC1006),$AC$1006:$AS$1006,0)))),"Fix")))</f>
        <v>0</v>
      </c>
      <c r="C211" s="5">
        <f>IF(OR(INDEX($W$2:$W$1001,MATCH(ROWS($V$2:V211),$V$2:$V$1001,0),1)&gt;=100000,INDEX($AC$1005:$AS$1005,1,MATCH(COLUMNS($AC$1006:AD1006),$AC$1006:$AS$1006,0))&gt;=100000), " ",IF(INDEX($AC$2:$AS$1001,MATCH(ROWS($V$2:V211),$V$2:$V$1001,0),MATCH(COLUMNS($AC$1006:AD1006),$AC$1006:$AS$1006,0)), HYPERLINK("#",""), HYPERLINK(CONCATENATE("#Metadata!", ADDRESS(INDEX($X$2:$X$1001,MATCH(ROWS($V$2:V211),$V$2:$V$1001,0),0), INDEX($AC$1004:$AS$1004,1,MATCH(COLUMNS($AC$1006:AD1006),$AC$1006:$AS$1006,0)))),"Fix")))</f>
        <v>0</v>
      </c>
      <c r="D211" s="5">
        <f>IF(OR(INDEX($W$2:$W$1001,MATCH(ROWS($V$2:V211),$V$2:$V$1001,0),1)&gt;=100000,INDEX($AC$1005:$AS$1005,1,MATCH(COLUMNS($AC$1006:AE1006),$AC$1006:$AS$1006,0))&gt;=100000), " ",IF(INDEX($AC$2:$AS$1001,MATCH(ROWS($V$2:V211),$V$2:$V$1001,0),MATCH(COLUMNS($AC$1006:AE1006),$AC$1006:$AS$1006,0)), HYPERLINK("#",""), HYPERLINK(CONCATENATE("#Metadata!", ADDRESS(INDEX($X$2:$X$1001,MATCH(ROWS($V$2:V211),$V$2:$V$1001,0),0), INDEX($AC$1004:$AS$1004,1,MATCH(COLUMNS($AC$1006:AE1006),$AC$1006:$AS$1006,0)))),"Fix")))</f>
        <v>0</v>
      </c>
      <c r="E211" s="5">
        <f>IF(OR(INDEX($W$2:$W$1001,MATCH(ROWS($V$2:V211),$V$2:$V$1001,0),1)&gt;=100000,INDEX($AC$1005:$AS$1005,1,MATCH(COLUMNS($AC$1006:AF1006),$AC$1006:$AS$1006,0))&gt;=100000), " ",IF(INDEX($AC$2:$AS$1001,MATCH(ROWS($V$2:V211),$V$2:$V$1001,0),MATCH(COLUMNS($AC$1006:AF1006),$AC$1006:$AS$1006,0)), HYPERLINK("#",""), HYPERLINK(CONCATENATE("#Metadata!", ADDRESS(INDEX($X$2:$X$1001,MATCH(ROWS($V$2:V211),$V$2:$V$1001,0),0), INDEX($AC$1004:$AS$1004,1,MATCH(COLUMNS($AC$1006:AF1006),$AC$1006:$AS$1006,0)))),"Fix")))</f>
        <v>0</v>
      </c>
      <c r="F211" s="5">
        <f>IF(OR(INDEX($W$2:$W$1001,MATCH(ROWS($V$2:V211),$V$2:$V$1001,0),1)&gt;=100000,INDEX($AC$1005:$AS$1005,1,MATCH(COLUMNS($AC$1006:AG1006),$AC$1006:$AS$1006,0))&gt;=100000), " ",IF(INDEX($AC$2:$AS$1001,MATCH(ROWS($V$2:V211),$V$2:$V$1001,0),MATCH(COLUMNS($AC$1006:AG1006),$AC$1006:$AS$1006,0)), HYPERLINK("#",""), HYPERLINK(CONCATENATE("#Metadata!", ADDRESS(INDEX($X$2:$X$1001,MATCH(ROWS($V$2:V211),$V$2:$V$1001,0),0), INDEX($AC$1004:$AS$1004,1,MATCH(COLUMNS($AC$1006:AG1006),$AC$1006:$AS$1006,0)))),"Fix")))</f>
        <v>0</v>
      </c>
      <c r="G211" s="5">
        <f>IF(OR(INDEX($W$2:$W$1001,MATCH(ROWS($V$2:V211),$V$2:$V$1001,0),1)&gt;=100000,INDEX($AC$1005:$AS$1005,1,MATCH(COLUMNS($AC$1006:AH1006),$AC$1006:$AS$1006,0))&gt;=100000), " ",IF(INDEX($AC$2:$AS$1001,MATCH(ROWS($V$2:V211),$V$2:$V$1001,0),MATCH(COLUMNS($AC$1006:AH1006),$AC$1006:$AS$1006,0)), HYPERLINK("#",""), HYPERLINK(CONCATENATE("#Metadata!", ADDRESS(INDEX($X$2:$X$1001,MATCH(ROWS($V$2:V211),$V$2:$V$1001,0),0), INDEX($AC$1004:$AS$1004,1,MATCH(COLUMNS($AC$1006:AH1006),$AC$1006:$AS$1006,0)))),"Fix")))</f>
        <v>0</v>
      </c>
      <c r="H211" s="5">
        <f>IF(OR(INDEX($W$2:$W$1001,MATCH(ROWS($V$2:V211),$V$2:$V$1001,0),1)&gt;=100000,INDEX($AC$1005:$AS$1005,1,MATCH(COLUMNS($AC$1006:AI1006),$AC$1006:$AS$1006,0))&gt;=100000), " ",IF(INDEX($AC$2:$AS$1001,MATCH(ROWS($V$2:V211),$V$2:$V$1001,0),MATCH(COLUMNS($AC$1006:AI1006),$AC$1006:$AS$1006,0)), HYPERLINK("#",""), HYPERLINK(CONCATENATE("#Metadata!", ADDRESS(INDEX($X$2:$X$1001,MATCH(ROWS($V$2:V211),$V$2:$V$1001,0),0), INDEX($AC$1004:$AS$1004,1,MATCH(COLUMNS($AC$1006:AI1006),$AC$1006:$AS$1006,0)))),"Fix")))</f>
        <v>0</v>
      </c>
      <c r="I211" s="5">
        <f>IF(OR(INDEX($W$2:$W$1001,MATCH(ROWS($V$2:V211),$V$2:$V$1001,0),1)&gt;=100000,INDEX($AC$1005:$AS$1005,1,MATCH(COLUMNS($AC$1006:AJ1006),$AC$1006:$AS$1006,0))&gt;=100000), " ",IF(INDEX($AC$2:$AS$1001,MATCH(ROWS($V$2:V211),$V$2:$V$1001,0),MATCH(COLUMNS($AC$1006:AJ1006),$AC$1006:$AS$1006,0)), HYPERLINK("#",""), HYPERLINK(CONCATENATE("#Metadata!", ADDRESS(INDEX($X$2:$X$1001,MATCH(ROWS($V$2:V211),$V$2:$V$1001,0),0), INDEX($AC$1004:$AS$1004,1,MATCH(COLUMNS($AC$1006:AJ1006),$AC$1006:$AS$1006,0)))),"Fix")))</f>
        <v>0</v>
      </c>
      <c r="J211" s="5">
        <f>IF(OR(INDEX($W$2:$W$1001,MATCH(ROWS($V$2:V211),$V$2:$V$1001,0),1)&gt;=100000,INDEX($AC$1005:$AS$1005,1,MATCH(COLUMNS($AC$1006:AK1006),$AC$1006:$AS$1006,0))&gt;=100000), " ",IF(INDEX($AC$2:$AS$1001,MATCH(ROWS($V$2:V211),$V$2:$V$1001,0),MATCH(COLUMNS($AC$1006:AK1006),$AC$1006:$AS$1006,0)), HYPERLINK("#",""), HYPERLINK(CONCATENATE("#Metadata!", ADDRESS(INDEX($X$2:$X$1001,MATCH(ROWS($V$2:V211),$V$2:$V$1001,0),0), INDEX($AC$1004:$AS$1004,1,MATCH(COLUMNS($AC$1006:AK1006),$AC$1006:$AS$1006,0)))),"Fix")))</f>
        <v>0</v>
      </c>
      <c r="K211" s="5">
        <f>IF(OR(INDEX($W$2:$W$1001,MATCH(ROWS($V$2:V211),$V$2:$V$1001,0),1)&gt;=100000,INDEX($AC$1005:$AS$1005,1,MATCH(COLUMNS($AC$1006:AL1006),$AC$1006:$AS$1006,0))&gt;=100000), " ",IF(INDEX($AC$2:$AS$1001,MATCH(ROWS($V$2:V211),$V$2:$V$1001,0),MATCH(COLUMNS($AC$1006:AL1006),$AC$1006:$AS$1006,0)), HYPERLINK("#",""), HYPERLINK(CONCATENATE("#Metadata!", ADDRESS(INDEX($X$2:$X$1001,MATCH(ROWS($V$2:V211),$V$2:$V$1001,0),0), INDEX($AC$1004:$AS$1004,1,MATCH(COLUMNS($AC$1006:AL1006),$AC$1006:$AS$1006,0)))),"Fix")))</f>
        <v>0</v>
      </c>
      <c r="L211" s="5">
        <f>IF(OR(INDEX($W$2:$W$1001,MATCH(ROWS($V$2:V211),$V$2:$V$1001,0),1)&gt;=100000,INDEX($AC$1005:$AS$1005,1,MATCH(COLUMNS($AC$1006:AM1006),$AC$1006:$AS$1006,0))&gt;=100000), " ",IF(INDEX($AC$2:$AS$1001,MATCH(ROWS($V$2:V211),$V$2:$V$1001,0),MATCH(COLUMNS($AC$1006:AM1006),$AC$1006:$AS$1006,0)), HYPERLINK("#",""), HYPERLINK(CONCATENATE("#Metadata!", ADDRESS(INDEX($X$2:$X$1001,MATCH(ROWS($V$2:V211),$V$2:$V$1001,0),0), INDEX($AC$1004:$AS$1004,1,MATCH(COLUMNS($AC$1006:AM1006),$AC$1006:$AS$1006,0)))),"Fix")))</f>
        <v>0</v>
      </c>
      <c r="M211" s="5">
        <f>IF(OR(INDEX($W$2:$W$1001,MATCH(ROWS($V$2:V211),$V$2:$V$1001,0),1)&gt;=100000,INDEX($AC$1005:$AS$1005,1,MATCH(COLUMNS($AC$1006:AN1006),$AC$1006:$AS$1006,0))&gt;=100000), " ",IF(INDEX($AC$2:$AS$1001,MATCH(ROWS($V$2:V211),$V$2:$V$1001,0),MATCH(COLUMNS($AC$1006:AN1006),$AC$1006:$AS$1006,0)), HYPERLINK("#",""), HYPERLINK(CONCATENATE("#Metadata!", ADDRESS(INDEX($X$2:$X$1001,MATCH(ROWS($V$2:V211),$V$2:$V$1001,0),0), INDEX($AC$1004:$AS$1004,1,MATCH(COLUMNS($AC$1006:AN1006),$AC$1006:$AS$1006,0)))),"Fix")))</f>
        <v>0</v>
      </c>
      <c r="N211" s="5">
        <f>IF(OR(INDEX($W$2:$W$1001,MATCH(ROWS($V$2:V211),$V$2:$V$1001,0),1)&gt;=100000,INDEX($AC$1005:$AS$1005,1,MATCH(COLUMNS($AC$1006:AO1006),$AC$1006:$AS$1006,0))&gt;=100000), " ",IF(INDEX($AC$2:$AS$1001,MATCH(ROWS($V$2:V211),$V$2:$V$1001,0),MATCH(COLUMNS($AC$1006:AO1006),$AC$1006:$AS$1006,0)), HYPERLINK("#",""), HYPERLINK(CONCATENATE("#Metadata!", ADDRESS(INDEX($X$2:$X$1001,MATCH(ROWS($V$2:V211),$V$2:$V$1001,0),0), INDEX($AC$1004:$AS$1004,1,MATCH(COLUMNS($AC$1006:AO1006),$AC$1006:$AS$1006,0)))),"Fix")))</f>
        <v>0</v>
      </c>
      <c r="O211" s="5">
        <f>IF(OR(INDEX($W$2:$W$1001,MATCH(ROWS($V$2:V211),$V$2:$V$1001,0),1)&gt;=100000,INDEX($AC$1005:$AS$1005,1,MATCH(COLUMNS($AC$1006:AP1006),$AC$1006:$AS$1006,0))&gt;=100000), " ",IF(INDEX($AC$2:$AS$1001,MATCH(ROWS($V$2:V211),$V$2:$V$1001,0),MATCH(COLUMNS($AC$1006:AP1006),$AC$1006:$AS$1006,0)), HYPERLINK("#",""), HYPERLINK(CONCATENATE("#Metadata!", ADDRESS(INDEX($X$2:$X$1001,MATCH(ROWS($V$2:V211),$V$2:$V$1001,0),0), INDEX($AC$1004:$AS$1004,1,MATCH(COLUMNS($AC$1006:AP1006),$AC$1006:$AS$1006,0)))),"Fix")))</f>
        <v>0</v>
      </c>
      <c r="P211" s="5">
        <f>IF(OR(INDEX($W$2:$W$1001,MATCH(ROWS($V$2:V211),$V$2:$V$1001,0),1)&gt;=100000,INDEX($AC$1005:$AS$1005,1,MATCH(COLUMNS($AC$1006:AQ1006),$AC$1006:$AS$1006,0))&gt;=100000), " ",IF(INDEX($AC$2:$AS$1001,MATCH(ROWS($V$2:V211),$V$2:$V$1001,0),MATCH(COLUMNS($AC$1006:AQ1006),$AC$1006:$AS$1006,0)), HYPERLINK("#",""), HYPERLINK(CONCATENATE("#Metadata!", ADDRESS(INDEX($X$2:$X$1001,MATCH(ROWS($V$2:V211),$V$2:$V$1001,0),0), INDEX($AC$1004:$AS$1004,1,MATCH(COLUMNS($AC$1006:AQ1006),$AC$1006:$AS$1006,0)))),"Fix")))</f>
        <v>0</v>
      </c>
      <c r="Q211" s="5">
        <f>IF(OR(INDEX($W$2:$W$1001,MATCH(ROWS($V$2:V211),$V$2:$V$1001,0),1)&gt;=100000,INDEX($AC$1005:$AS$1005,1,MATCH(COLUMNS($AC$1006:AR1006),$AC$1006:$AS$1006,0))&gt;=100000), " ",IF(INDEX($AC$2:$AS$1001,MATCH(ROWS($V$2:V211),$V$2:$V$1001,0),MATCH(COLUMNS($AC$1006:AR1006),$AC$1006:$AS$1006,0)), HYPERLINK("#",""), HYPERLINK(CONCATENATE("#Metadata!", ADDRESS(INDEX($X$2:$X$1001,MATCH(ROWS($V$2:V211),$V$2:$V$1001,0),0), INDEX($AC$1004:$AS$1004,1,MATCH(COLUMNS($AC$1006:AR1006),$AC$1006:$AS$1006,0)))),"Fix")))</f>
        <v>0</v>
      </c>
      <c r="R211" s="5">
        <f>IF(OR(INDEX($W$2:$W$1001,MATCH(ROWS($V$2:V211),$V$2:$V$1001,0),1)&gt;=100000,INDEX($AC$1005:$AS$1005,1,MATCH(COLUMNS($AC$1006:AS1006),$AC$1006:$AS$1006,0))&gt;=100000), " ",IF(INDEX($AC$2:$AS$1001,MATCH(ROWS($V$2:V211),$V$2:$V$1001,0),MATCH(COLUMNS($AC$1006:AS1006),$AC$1006:$AS$1006,0)), HYPERLINK("#",""), HYPERLINK(CONCATENATE("#Metadata!", ADDRESS(INDEX($X$2:$X$1001,MATCH(ROWS($V$2:V211),$V$2:$V$1001,0),0), INDEX($AC$1004:$AS$1004,1,MATCH(COLUMNS($AC$1006:AS1006),$AC$1006:$AS$1006,0)))),"Fix")))</f>
        <v>0</v>
      </c>
      <c r="V211">
        <v>0</v>
      </c>
      <c r="W211">
        <v>0</v>
      </c>
      <c r="X211">
        <v>0</v>
      </c>
      <c r="Y211">
        <f>IF(Z211,TRUE,AND(AC211:AS211))</f>
        <v>0</v>
      </c>
      <c r="Z211">
        <f>COUNTBLANK(Metadata!B211:R211)=COLUMNS(Metadata!B211:R211)</f>
        <v>0</v>
      </c>
      <c r="AA211">
        <v>0</v>
      </c>
      <c r="AC211">
        <f>AND(IF(Metadata!B211="",FALSE,TRUE),COUNTIF(Metadata!B:B, Metadata!B211) = 1,NOT(ISERROR(SUMPRODUCT(SEARCH(MID(Metadata!B211,ROW(INDIRECT("1:"&amp;LEN(Metadata!B211))), 1),"0123456789abcdefghijklmnopqrstuvwxyzABCDEFGHIJKLMNOPQRSTUVWXYZ.")))))</f>
        <v>0</v>
      </c>
      <c r="AD211">
        <f>AND(IF(Metadata!C211="",FALSE,TRUE),exact(Metadata!C211,"Host-associated"))</f>
        <v>0</v>
      </c>
      <c r="AE211">
        <f>AND(IF(Metadata!D211="",FALSE,TRUE),OR(exact(Metadata!D211,"Animal"),exact(Metadata!D211,"Fungus"),exact(Metadata!D211,"Plant")))</f>
        <v>0</v>
      </c>
      <c r="AF211">
        <f>AND(IF(Metadata!E211="",FALSE,TRUE),OR(exact(Metadata!E211,"Plant secretion"),exact(Metadata!E211,"Plant rhizosphere"),exact(Metadata!E211,"Plant surface"),exact(Metadata!E211,"Plant corpus"),exact(Metadata!E211,"Fungus surface"),exact(Metadata!E211,"Fungus corpus"),exact(Metadata!E211,"Animal surface"),exact(Metadata!E211,"Animal proximal gut"),exact(Metadata!E211,"Animal corpus"),exact(Metadata!E211,"Animal distal gut"),exact(Metadata!E211,"Animal secretion")))</f>
        <v>0</v>
      </c>
      <c r="AG211">
        <f>OR(AND(IF(Metadata!F211="",FALSE,TRUE),OR(exact(Metadata!F211,"not collected"),exact(Metadata!F211,"not provided"),exact(Metadata!F211,"restricted access"))),AND(IF(Metadata!F211="",FALSE,TRUE),OR(exact(Metadata!F211,"organism-associated habitat"),exact(Metadata!F211,"plant-associated habitat"),exact(Metadata!F211,"animal-associated habitat"),exact(Metadata!F211,"insecta-associated habitat"),exact(Metadata!F211,"mammalia-associated habitat"),exact(Metadata!F211,"human-associated habitat"),exact(Metadata!F211,"livestock-associated habitat"))))</f>
        <v>0</v>
      </c>
      <c r="AH211">
        <f>AND(IF(Metadata!G211="",FALSE,TRUE),exact(Metadata!G211,"host-associated"))</f>
        <v>0</v>
      </c>
      <c r="AI211">
        <f>OR(AND(IF(Metadata!H211="",FALSE,TRUE),OR(exact(Metadata!H211,"not collected"),exact(Metadata!H211,"not provided"))),AND(IF(Metadata!H211="",FALSE,ISNUMBER(VALUE(Metadata!H211))),Metadata!H211&gt;0))</f>
        <v>0</v>
      </c>
      <c r="AJ211">
        <f>AND(IF(Metadata!I211="",FALSE,TRUE),exact(Metadata!I211,"years"))</f>
        <v>0</v>
      </c>
      <c r="AK211">
        <f>IF(Metadata!J211="",FALSE,TRUE)</f>
        <v>0</v>
      </c>
      <c r="AL211">
        <f>OR(AND(IF(Metadata!K211="",FALSE,TRUE),OR(exact(Metadata!K211,"not collected"),exact(Metadata!K211,"not provided"))),AND(IF(Metadata!K211="",FALSE,ISNUMBER(VALUE(Metadata!K211))),Metadata!K211&gt;0))</f>
        <v>0</v>
      </c>
      <c r="AM211">
        <f>AND(IF(Metadata!L211="",FALSE,TRUE),exact(Metadata!L211,"cm"))</f>
        <v>0</v>
      </c>
      <c r="AN211">
        <f>IF(Metadata!M211="",FALSE,TRUE)</f>
        <v>0</v>
      </c>
      <c r="AO211">
        <f>OR(AND(IF(Metadata!N211="",FALSE,TRUE),OR(exact(Metadata!N211,"not applicable"),exact(Metadata!N211,"not collected"),exact(Metadata!N211,"not provided"))),AND(IF(Metadata!N211="",FALSE,IF(ISERROR(INT(Metadata!N211)),FALSE,INT(Metadata!N211)=Metadata!N211)),Metadata!N211&gt;0))</f>
        <v>0</v>
      </c>
      <c r="AP211">
        <f>OR(AND(IF(Metadata!O211="",FALSE,TRUE),OR(exact(Metadata!O211,"not collected"),exact(Metadata!O211,"not provided"))),AND(IF(Metadata!O211="",FALSE,ISNUMBER(VALUE(Metadata!O211))),Metadata!O211&gt;0))</f>
        <v>0</v>
      </c>
      <c r="AQ211">
        <f>AND(IF(Metadata!P211="",FALSE,TRUE),exact(Metadata!P211,"kg"))</f>
        <v>0</v>
      </c>
      <c r="AR211">
        <f>OR(AND(IF(Metadata!Q211="",FALSE,TRUE),OR(exact(Metadata!Q211,"not applicable"),exact(Metadata!Q211,"not collected"),exact(Metadata!Q211,"not provided"),exact(Metadata!Q211,"restricted access"))),IF(Metadata!Q211="",FALSE,IF(ISERROR(INT(Metadata!Q211)),FALSE,INT(Metadata!Q211)=Metadata!Q211)))</f>
        <v>0</v>
      </c>
      <c r="AS211">
        <f>AND(IF(Metadata!R211="",FALSE,TRUE),exact(Metadata!R211,"Not applicable"))</f>
        <v>0</v>
      </c>
    </row>
    <row r="212" spans="1:45">
      <c r="A212" s="4">
        <f>IF(B212=" "," ",HYPERLINK(CONCATENATE("#metadata!",ADDRESS(INDEX($X$2:$X$1001,MATCH(ROWS($V$2:V212),$V$2:$V$1001,0),0),2)),INDEX($AA$2:$AA$1001,MATCH(ROWS($V$2:V212),$V$2:$V$1001,0),0)))</f>
        <v>0</v>
      </c>
      <c r="B212" s="5">
        <f>IF(OR(INDEX($W$2:$W$1001,MATCH(ROWS($V$2:V212),$V$2:$V$1001,0),1)&gt;=100000,INDEX($AC$1005:$AS$1005,1,MATCH(COLUMNS($AC$1006:AC1006),$AC$1006:$AS$1006,0))&gt;=100000), " ",IF(INDEX($AC$2:$AS$1001,MATCH(ROWS($V$2:V212),$V$2:$V$1001,0),MATCH(COLUMNS($AC$1006:AC1006),$AC$1006:$AS$1006,0)), HYPERLINK("#",""), HYPERLINK(CONCATENATE("#Metadata!", ADDRESS(INDEX($X$2:$X$1001,MATCH(ROWS($V$2:V212),$V$2:$V$1001,0),0), INDEX($AC$1004:$AS$1004,1,MATCH(COLUMNS($AC$1006:AC1006),$AC$1006:$AS$1006,0)))),"Fix")))</f>
        <v>0</v>
      </c>
      <c r="C212" s="5">
        <f>IF(OR(INDEX($W$2:$W$1001,MATCH(ROWS($V$2:V212),$V$2:$V$1001,0),1)&gt;=100000,INDEX($AC$1005:$AS$1005,1,MATCH(COLUMNS($AC$1006:AD1006),$AC$1006:$AS$1006,0))&gt;=100000), " ",IF(INDEX($AC$2:$AS$1001,MATCH(ROWS($V$2:V212),$V$2:$V$1001,0),MATCH(COLUMNS($AC$1006:AD1006),$AC$1006:$AS$1006,0)), HYPERLINK("#",""), HYPERLINK(CONCATENATE("#Metadata!", ADDRESS(INDEX($X$2:$X$1001,MATCH(ROWS($V$2:V212),$V$2:$V$1001,0),0), INDEX($AC$1004:$AS$1004,1,MATCH(COLUMNS($AC$1006:AD1006),$AC$1006:$AS$1006,0)))),"Fix")))</f>
        <v>0</v>
      </c>
      <c r="D212" s="5">
        <f>IF(OR(INDEX($W$2:$W$1001,MATCH(ROWS($V$2:V212),$V$2:$V$1001,0),1)&gt;=100000,INDEX($AC$1005:$AS$1005,1,MATCH(COLUMNS($AC$1006:AE1006),$AC$1006:$AS$1006,0))&gt;=100000), " ",IF(INDEX($AC$2:$AS$1001,MATCH(ROWS($V$2:V212),$V$2:$V$1001,0),MATCH(COLUMNS($AC$1006:AE1006),$AC$1006:$AS$1006,0)), HYPERLINK("#",""), HYPERLINK(CONCATENATE("#Metadata!", ADDRESS(INDEX($X$2:$X$1001,MATCH(ROWS($V$2:V212),$V$2:$V$1001,0),0), INDEX($AC$1004:$AS$1004,1,MATCH(COLUMNS($AC$1006:AE1006),$AC$1006:$AS$1006,0)))),"Fix")))</f>
        <v>0</v>
      </c>
      <c r="E212" s="5">
        <f>IF(OR(INDEX($W$2:$W$1001,MATCH(ROWS($V$2:V212),$V$2:$V$1001,0),1)&gt;=100000,INDEX($AC$1005:$AS$1005,1,MATCH(COLUMNS($AC$1006:AF1006),$AC$1006:$AS$1006,0))&gt;=100000), " ",IF(INDEX($AC$2:$AS$1001,MATCH(ROWS($V$2:V212),$V$2:$V$1001,0),MATCH(COLUMNS($AC$1006:AF1006),$AC$1006:$AS$1006,0)), HYPERLINK("#",""), HYPERLINK(CONCATENATE("#Metadata!", ADDRESS(INDEX($X$2:$X$1001,MATCH(ROWS($V$2:V212),$V$2:$V$1001,0),0), INDEX($AC$1004:$AS$1004,1,MATCH(COLUMNS($AC$1006:AF1006),$AC$1006:$AS$1006,0)))),"Fix")))</f>
        <v>0</v>
      </c>
      <c r="F212" s="5">
        <f>IF(OR(INDEX($W$2:$W$1001,MATCH(ROWS($V$2:V212),$V$2:$V$1001,0),1)&gt;=100000,INDEX($AC$1005:$AS$1005,1,MATCH(COLUMNS($AC$1006:AG1006),$AC$1006:$AS$1006,0))&gt;=100000), " ",IF(INDEX($AC$2:$AS$1001,MATCH(ROWS($V$2:V212),$V$2:$V$1001,0),MATCH(COLUMNS($AC$1006:AG1006),$AC$1006:$AS$1006,0)), HYPERLINK("#",""), HYPERLINK(CONCATENATE("#Metadata!", ADDRESS(INDEX($X$2:$X$1001,MATCH(ROWS($V$2:V212),$V$2:$V$1001,0),0), INDEX($AC$1004:$AS$1004,1,MATCH(COLUMNS($AC$1006:AG1006),$AC$1006:$AS$1006,0)))),"Fix")))</f>
        <v>0</v>
      </c>
      <c r="G212" s="5">
        <f>IF(OR(INDEX($W$2:$W$1001,MATCH(ROWS($V$2:V212),$V$2:$V$1001,0),1)&gt;=100000,INDEX($AC$1005:$AS$1005,1,MATCH(COLUMNS($AC$1006:AH1006),$AC$1006:$AS$1006,0))&gt;=100000), " ",IF(INDEX($AC$2:$AS$1001,MATCH(ROWS($V$2:V212),$V$2:$V$1001,0),MATCH(COLUMNS($AC$1006:AH1006),$AC$1006:$AS$1006,0)), HYPERLINK("#",""), HYPERLINK(CONCATENATE("#Metadata!", ADDRESS(INDEX($X$2:$X$1001,MATCH(ROWS($V$2:V212),$V$2:$V$1001,0),0), INDEX($AC$1004:$AS$1004,1,MATCH(COLUMNS($AC$1006:AH1006),$AC$1006:$AS$1006,0)))),"Fix")))</f>
        <v>0</v>
      </c>
      <c r="H212" s="5">
        <f>IF(OR(INDEX($W$2:$W$1001,MATCH(ROWS($V$2:V212),$V$2:$V$1001,0),1)&gt;=100000,INDEX($AC$1005:$AS$1005,1,MATCH(COLUMNS($AC$1006:AI1006),$AC$1006:$AS$1006,0))&gt;=100000), " ",IF(INDEX($AC$2:$AS$1001,MATCH(ROWS($V$2:V212),$V$2:$V$1001,0),MATCH(COLUMNS($AC$1006:AI1006),$AC$1006:$AS$1006,0)), HYPERLINK("#",""), HYPERLINK(CONCATENATE("#Metadata!", ADDRESS(INDEX($X$2:$X$1001,MATCH(ROWS($V$2:V212),$V$2:$V$1001,0),0), INDEX($AC$1004:$AS$1004,1,MATCH(COLUMNS($AC$1006:AI1006),$AC$1006:$AS$1006,0)))),"Fix")))</f>
        <v>0</v>
      </c>
      <c r="I212" s="5">
        <f>IF(OR(INDEX($W$2:$W$1001,MATCH(ROWS($V$2:V212),$V$2:$V$1001,0),1)&gt;=100000,INDEX($AC$1005:$AS$1005,1,MATCH(COLUMNS($AC$1006:AJ1006),$AC$1006:$AS$1006,0))&gt;=100000), " ",IF(INDEX($AC$2:$AS$1001,MATCH(ROWS($V$2:V212),$V$2:$V$1001,0),MATCH(COLUMNS($AC$1006:AJ1006),$AC$1006:$AS$1006,0)), HYPERLINK("#",""), HYPERLINK(CONCATENATE("#Metadata!", ADDRESS(INDEX($X$2:$X$1001,MATCH(ROWS($V$2:V212),$V$2:$V$1001,0),0), INDEX($AC$1004:$AS$1004,1,MATCH(COLUMNS($AC$1006:AJ1006),$AC$1006:$AS$1006,0)))),"Fix")))</f>
        <v>0</v>
      </c>
      <c r="J212" s="5">
        <f>IF(OR(INDEX($W$2:$W$1001,MATCH(ROWS($V$2:V212),$V$2:$V$1001,0),1)&gt;=100000,INDEX($AC$1005:$AS$1005,1,MATCH(COLUMNS($AC$1006:AK1006),$AC$1006:$AS$1006,0))&gt;=100000), " ",IF(INDEX($AC$2:$AS$1001,MATCH(ROWS($V$2:V212),$V$2:$V$1001,0),MATCH(COLUMNS($AC$1006:AK1006),$AC$1006:$AS$1006,0)), HYPERLINK("#",""), HYPERLINK(CONCATENATE("#Metadata!", ADDRESS(INDEX($X$2:$X$1001,MATCH(ROWS($V$2:V212),$V$2:$V$1001,0),0), INDEX($AC$1004:$AS$1004,1,MATCH(COLUMNS($AC$1006:AK1006),$AC$1006:$AS$1006,0)))),"Fix")))</f>
        <v>0</v>
      </c>
      <c r="K212" s="5">
        <f>IF(OR(INDEX($W$2:$W$1001,MATCH(ROWS($V$2:V212),$V$2:$V$1001,0),1)&gt;=100000,INDEX($AC$1005:$AS$1005,1,MATCH(COLUMNS($AC$1006:AL1006),$AC$1006:$AS$1006,0))&gt;=100000), " ",IF(INDEX($AC$2:$AS$1001,MATCH(ROWS($V$2:V212),$V$2:$V$1001,0),MATCH(COLUMNS($AC$1006:AL1006),$AC$1006:$AS$1006,0)), HYPERLINK("#",""), HYPERLINK(CONCATENATE("#Metadata!", ADDRESS(INDEX($X$2:$X$1001,MATCH(ROWS($V$2:V212),$V$2:$V$1001,0),0), INDEX($AC$1004:$AS$1004,1,MATCH(COLUMNS($AC$1006:AL1006),$AC$1006:$AS$1006,0)))),"Fix")))</f>
        <v>0</v>
      </c>
      <c r="L212" s="5">
        <f>IF(OR(INDEX($W$2:$W$1001,MATCH(ROWS($V$2:V212),$V$2:$V$1001,0),1)&gt;=100000,INDEX($AC$1005:$AS$1005,1,MATCH(COLUMNS($AC$1006:AM1006),$AC$1006:$AS$1006,0))&gt;=100000), " ",IF(INDEX($AC$2:$AS$1001,MATCH(ROWS($V$2:V212),$V$2:$V$1001,0),MATCH(COLUMNS($AC$1006:AM1006),$AC$1006:$AS$1006,0)), HYPERLINK("#",""), HYPERLINK(CONCATENATE("#Metadata!", ADDRESS(INDEX($X$2:$X$1001,MATCH(ROWS($V$2:V212),$V$2:$V$1001,0),0), INDEX($AC$1004:$AS$1004,1,MATCH(COLUMNS($AC$1006:AM1006),$AC$1006:$AS$1006,0)))),"Fix")))</f>
        <v>0</v>
      </c>
      <c r="M212" s="5">
        <f>IF(OR(INDEX($W$2:$W$1001,MATCH(ROWS($V$2:V212),$V$2:$V$1001,0),1)&gt;=100000,INDEX($AC$1005:$AS$1005,1,MATCH(COLUMNS($AC$1006:AN1006),$AC$1006:$AS$1006,0))&gt;=100000), " ",IF(INDEX($AC$2:$AS$1001,MATCH(ROWS($V$2:V212),$V$2:$V$1001,0),MATCH(COLUMNS($AC$1006:AN1006),$AC$1006:$AS$1006,0)), HYPERLINK("#",""), HYPERLINK(CONCATENATE("#Metadata!", ADDRESS(INDEX($X$2:$X$1001,MATCH(ROWS($V$2:V212),$V$2:$V$1001,0),0), INDEX($AC$1004:$AS$1004,1,MATCH(COLUMNS($AC$1006:AN1006),$AC$1006:$AS$1006,0)))),"Fix")))</f>
        <v>0</v>
      </c>
      <c r="N212" s="5">
        <f>IF(OR(INDEX($W$2:$W$1001,MATCH(ROWS($V$2:V212),$V$2:$V$1001,0),1)&gt;=100000,INDEX($AC$1005:$AS$1005,1,MATCH(COLUMNS($AC$1006:AO1006),$AC$1006:$AS$1006,0))&gt;=100000), " ",IF(INDEX($AC$2:$AS$1001,MATCH(ROWS($V$2:V212),$V$2:$V$1001,0),MATCH(COLUMNS($AC$1006:AO1006),$AC$1006:$AS$1006,0)), HYPERLINK("#",""), HYPERLINK(CONCATENATE("#Metadata!", ADDRESS(INDEX($X$2:$X$1001,MATCH(ROWS($V$2:V212),$V$2:$V$1001,0),0), INDEX($AC$1004:$AS$1004,1,MATCH(COLUMNS($AC$1006:AO1006),$AC$1006:$AS$1006,0)))),"Fix")))</f>
        <v>0</v>
      </c>
      <c r="O212" s="5">
        <f>IF(OR(INDEX($W$2:$W$1001,MATCH(ROWS($V$2:V212),$V$2:$V$1001,0),1)&gt;=100000,INDEX($AC$1005:$AS$1005,1,MATCH(COLUMNS($AC$1006:AP1006),$AC$1006:$AS$1006,0))&gt;=100000), " ",IF(INDEX($AC$2:$AS$1001,MATCH(ROWS($V$2:V212),$V$2:$V$1001,0),MATCH(COLUMNS($AC$1006:AP1006),$AC$1006:$AS$1006,0)), HYPERLINK("#",""), HYPERLINK(CONCATENATE("#Metadata!", ADDRESS(INDEX($X$2:$X$1001,MATCH(ROWS($V$2:V212),$V$2:$V$1001,0),0), INDEX($AC$1004:$AS$1004,1,MATCH(COLUMNS($AC$1006:AP1006),$AC$1006:$AS$1006,0)))),"Fix")))</f>
        <v>0</v>
      </c>
      <c r="P212" s="5">
        <f>IF(OR(INDEX($W$2:$W$1001,MATCH(ROWS($V$2:V212),$V$2:$V$1001,0),1)&gt;=100000,INDEX($AC$1005:$AS$1005,1,MATCH(COLUMNS($AC$1006:AQ1006),$AC$1006:$AS$1006,0))&gt;=100000), " ",IF(INDEX($AC$2:$AS$1001,MATCH(ROWS($V$2:V212),$V$2:$V$1001,0),MATCH(COLUMNS($AC$1006:AQ1006),$AC$1006:$AS$1006,0)), HYPERLINK("#",""), HYPERLINK(CONCATENATE("#Metadata!", ADDRESS(INDEX($X$2:$X$1001,MATCH(ROWS($V$2:V212),$V$2:$V$1001,0),0), INDEX($AC$1004:$AS$1004,1,MATCH(COLUMNS($AC$1006:AQ1006),$AC$1006:$AS$1006,0)))),"Fix")))</f>
        <v>0</v>
      </c>
      <c r="Q212" s="5">
        <f>IF(OR(INDEX($W$2:$W$1001,MATCH(ROWS($V$2:V212),$V$2:$V$1001,0),1)&gt;=100000,INDEX($AC$1005:$AS$1005,1,MATCH(COLUMNS($AC$1006:AR1006),$AC$1006:$AS$1006,0))&gt;=100000), " ",IF(INDEX($AC$2:$AS$1001,MATCH(ROWS($V$2:V212),$V$2:$V$1001,0),MATCH(COLUMNS($AC$1006:AR1006),$AC$1006:$AS$1006,0)), HYPERLINK("#",""), HYPERLINK(CONCATENATE("#Metadata!", ADDRESS(INDEX($X$2:$X$1001,MATCH(ROWS($V$2:V212),$V$2:$V$1001,0),0), INDEX($AC$1004:$AS$1004,1,MATCH(COLUMNS($AC$1006:AR1006),$AC$1006:$AS$1006,0)))),"Fix")))</f>
        <v>0</v>
      </c>
      <c r="R212" s="5">
        <f>IF(OR(INDEX($W$2:$W$1001,MATCH(ROWS($V$2:V212),$V$2:$V$1001,0),1)&gt;=100000,INDEX($AC$1005:$AS$1005,1,MATCH(COLUMNS($AC$1006:AS1006),$AC$1006:$AS$1006,0))&gt;=100000), " ",IF(INDEX($AC$2:$AS$1001,MATCH(ROWS($V$2:V212),$V$2:$V$1001,0),MATCH(COLUMNS($AC$1006:AS1006),$AC$1006:$AS$1006,0)), HYPERLINK("#",""), HYPERLINK(CONCATENATE("#Metadata!", ADDRESS(INDEX($X$2:$X$1001,MATCH(ROWS($V$2:V212),$V$2:$V$1001,0),0), INDEX($AC$1004:$AS$1004,1,MATCH(COLUMNS($AC$1006:AS1006),$AC$1006:$AS$1006,0)))),"Fix")))</f>
        <v>0</v>
      </c>
      <c r="V212">
        <v>0</v>
      </c>
      <c r="W212">
        <v>0</v>
      </c>
      <c r="X212">
        <v>0</v>
      </c>
      <c r="Y212">
        <f>IF(Z212,TRUE,AND(AC212:AS212))</f>
        <v>0</v>
      </c>
      <c r="Z212">
        <f>COUNTBLANK(Metadata!B212:R212)=COLUMNS(Metadata!B212:R212)</f>
        <v>0</v>
      </c>
      <c r="AA212">
        <v>0</v>
      </c>
      <c r="AC212">
        <f>AND(IF(Metadata!B212="",FALSE,TRUE),COUNTIF(Metadata!B:B, Metadata!B212) = 1,NOT(ISERROR(SUMPRODUCT(SEARCH(MID(Metadata!B212,ROW(INDIRECT("1:"&amp;LEN(Metadata!B212))), 1),"0123456789abcdefghijklmnopqrstuvwxyzABCDEFGHIJKLMNOPQRSTUVWXYZ.")))))</f>
        <v>0</v>
      </c>
      <c r="AD212">
        <f>AND(IF(Metadata!C212="",FALSE,TRUE),exact(Metadata!C212,"Host-associated"))</f>
        <v>0</v>
      </c>
      <c r="AE212">
        <f>AND(IF(Metadata!D212="",FALSE,TRUE),OR(exact(Metadata!D212,"Animal"),exact(Metadata!D212,"Fungus"),exact(Metadata!D212,"Plant")))</f>
        <v>0</v>
      </c>
      <c r="AF212">
        <f>AND(IF(Metadata!E212="",FALSE,TRUE),OR(exact(Metadata!E212,"Plant secretion"),exact(Metadata!E212,"Plant rhizosphere"),exact(Metadata!E212,"Plant surface"),exact(Metadata!E212,"Plant corpus"),exact(Metadata!E212,"Fungus surface"),exact(Metadata!E212,"Fungus corpus"),exact(Metadata!E212,"Animal surface"),exact(Metadata!E212,"Animal proximal gut"),exact(Metadata!E212,"Animal corpus"),exact(Metadata!E212,"Animal distal gut"),exact(Metadata!E212,"Animal secretion")))</f>
        <v>0</v>
      </c>
      <c r="AG212">
        <f>OR(AND(IF(Metadata!F212="",FALSE,TRUE),OR(exact(Metadata!F212,"not collected"),exact(Metadata!F212,"not provided"),exact(Metadata!F212,"restricted access"))),AND(IF(Metadata!F212="",FALSE,TRUE),OR(exact(Metadata!F212,"organism-associated habitat"),exact(Metadata!F212,"plant-associated habitat"),exact(Metadata!F212,"animal-associated habitat"),exact(Metadata!F212,"insecta-associated habitat"),exact(Metadata!F212,"mammalia-associated habitat"),exact(Metadata!F212,"human-associated habitat"),exact(Metadata!F212,"livestock-associated habitat"))))</f>
        <v>0</v>
      </c>
      <c r="AH212">
        <f>AND(IF(Metadata!G212="",FALSE,TRUE),exact(Metadata!G212,"host-associated"))</f>
        <v>0</v>
      </c>
      <c r="AI212">
        <f>OR(AND(IF(Metadata!H212="",FALSE,TRUE),OR(exact(Metadata!H212,"not collected"),exact(Metadata!H212,"not provided"))),AND(IF(Metadata!H212="",FALSE,ISNUMBER(VALUE(Metadata!H212))),Metadata!H212&gt;0))</f>
        <v>0</v>
      </c>
      <c r="AJ212">
        <f>AND(IF(Metadata!I212="",FALSE,TRUE),exact(Metadata!I212,"years"))</f>
        <v>0</v>
      </c>
      <c r="AK212">
        <f>IF(Metadata!J212="",FALSE,TRUE)</f>
        <v>0</v>
      </c>
      <c r="AL212">
        <f>OR(AND(IF(Metadata!K212="",FALSE,TRUE),OR(exact(Metadata!K212,"not collected"),exact(Metadata!K212,"not provided"))),AND(IF(Metadata!K212="",FALSE,ISNUMBER(VALUE(Metadata!K212))),Metadata!K212&gt;0))</f>
        <v>0</v>
      </c>
      <c r="AM212">
        <f>AND(IF(Metadata!L212="",FALSE,TRUE),exact(Metadata!L212,"cm"))</f>
        <v>0</v>
      </c>
      <c r="AN212">
        <f>IF(Metadata!M212="",FALSE,TRUE)</f>
        <v>0</v>
      </c>
      <c r="AO212">
        <f>OR(AND(IF(Metadata!N212="",FALSE,TRUE),OR(exact(Metadata!N212,"not applicable"),exact(Metadata!N212,"not collected"),exact(Metadata!N212,"not provided"))),AND(IF(Metadata!N212="",FALSE,IF(ISERROR(INT(Metadata!N212)),FALSE,INT(Metadata!N212)=Metadata!N212)),Metadata!N212&gt;0))</f>
        <v>0</v>
      </c>
      <c r="AP212">
        <f>OR(AND(IF(Metadata!O212="",FALSE,TRUE),OR(exact(Metadata!O212,"not collected"),exact(Metadata!O212,"not provided"))),AND(IF(Metadata!O212="",FALSE,ISNUMBER(VALUE(Metadata!O212))),Metadata!O212&gt;0))</f>
        <v>0</v>
      </c>
      <c r="AQ212">
        <f>AND(IF(Metadata!P212="",FALSE,TRUE),exact(Metadata!P212,"kg"))</f>
        <v>0</v>
      </c>
      <c r="AR212">
        <f>OR(AND(IF(Metadata!Q212="",FALSE,TRUE),OR(exact(Metadata!Q212,"not applicable"),exact(Metadata!Q212,"not collected"),exact(Metadata!Q212,"not provided"),exact(Metadata!Q212,"restricted access"))),IF(Metadata!Q212="",FALSE,IF(ISERROR(INT(Metadata!Q212)),FALSE,INT(Metadata!Q212)=Metadata!Q212)))</f>
        <v>0</v>
      </c>
      <c r="AS212">
        <f>AND(IF(Metadata!R212="",FALSE,TRUE),exact(Metadata!R212,"Not applicable"))</f>
        <v>0</v>
      </c>
    </row>
    <row r="213" spans="1:45">
      <c r="A213" s="4">
        <f>IF(B213=" "," ",HYPERLINK(CONCATENATE("#metadata!",ADDRESS(INDEX($X$2:$X$1001,MATCH(ROWS($V$2:V213),$V$2:$V$1001,0),0),2)),INDEX($AA$2:$AA$1001,MATCH(ROWS($V$2:V213),$V$2:$V$1001,0),0)))</f>
        <v>0</v>
      </c>
      <c r="B213" s="5">
        <f>IF(OR(INDEX($W$2:$W$1001,MATCH(ROWS($V$2:V213),$V$2:$V$1001,0),1)&gt;=100000,INDEX($AC$1005:$AS$1005,1,MATCH(COLUMNS($AC$1006:AC1006),$AC$1006:$AS$1006,0))&gt;=100000), " ",IF(INDEX($AC$2:$AS$1001,MATCH(ROWS($V$2:V213),$V$2:$V$1001,0),MATCH(COLUMNS($AC$1006:AC1006),$AC$1006:$AS$1006,0)), HYPERLINK("#",""), HYPERLINK(CONCATENATE("#Metadata!", ADDRESS(INDEX($X$2:$X$1001,MATCH(ROWS($V$2:V213),$V$2:$V$1001,0),0), INDEX($AC$1004:$AS$1004,1,MATCH(COLUMNS($AC$1006:AC1006),$AC$1006:$AS$1006,0)))),"Fix")))</f>
        <v>0</v>
      </c>
      <c r="C213" s="5">
        <f>IF(OR(INDEX($W$2:$W$1001,MATCH(ROWS($V$2:V213),$V$2:$V$1001,0),1)&gt;=100000,INDEX($AC$1005:$AS$1005,1,MATCH(COLUMNS($AC$1006:AD1006),$AC$1006:$AS$1006,0))&gt;=100000), " ",IF(INDEX($AC$2:$AS$1001,MATCH(ROWS($V$2:V213),$V$2:$V$1001,0),MATCH(COLUMNS($AC$1006:AD1006),$AC$1006:$AS$1006,0)), HYPERLINK("#",""), HYPERLINK(CONCATENATE("#Metadata!", ADDRESS(INDEX($X$2:$X$1001,MATCH(ROWS($V$2:V213),$V$2:$V$1001,0),0), INDEX($AC$1004:$AS$1004,1,MATCH(COLUMNS($AC$1006:AD1006),$AC$1006:$AS$1006,0)))),"Fix")))</f>
        <v>0</v>
      </c>
      <c r="D213" s="5">
        <f>IF(OR(INDEX($W$2:$W$1001,MATCH(ROWS($V$2:V213),$V$2:$V$1001,0),1)&gt;=100000,INDEX($AC$1005:$AS$1005,1,MATCH(COLUMNS($AC$1006:AE1006),$AC$1006:$AS$1006,0))&gt;=100000), " ",IF(INDEX($AC$2:$AS$1001,MATCH(ROWS($V$2:V213),$V$2:$V$1001,0),MATCH(COLUMNS($AC$1006:AE1006),$AC$1006:$AS$1006,0)), HYPERLINK("#",""), HYPERLINK(CONCATENATE("#Metadata!", ADDRESS(INDEX($X$2:$X$1001,MATCH(ROWS($V$2:V213),$V$2:$V$1001,0),0), INDEX($AC$1004:$AS$1004,1,MATCH(COLUMNS($AC$1006:AE1006),$AC$1006:$AS$1006,0)))),"Fix")))</f>
        <v>0</v>
      </c>
      <c r="E213" s="5">
        <f>IF(OR(INDEX($W$2:$W$1001,MATCH(ROWS($V$2:V213),$V$2:$V$1001,0),1)&gt;=100000,INDEX($AC$1005:$AS$1005,1,MATCH(COLUMNS($AC$1006:AF1006),$AC$1006:$AS$1006,0))&gt;=100000), " ",IF(INDEX($AC$2:$AS$1001,MATCH(ROWS($V$2:V213),$V$2:$V$1001,0),MATCH(COLUMNS($AC$1006:AF1006),$AC$1006:$AS$1006,0)), HYPERLINK("#",""), HYPERLINK(CONCATENATE("#Metadata!", ADDRESS(INDEX($X$2:$X$1001,MATCH(ROWS($V$2:V213),$V$2:$V$1001,0),0), INDEX($AC$1004:$AS$1004,1,MATCH(COLUMNS($AC$1006:AF1006),$AC$1006:$AS$1006,0)))),"Fix")))</f>
        <v>0</v>
      </c>
      <c r="F213" s="5">
        <f>IF(OR(INDEX($W$2:$W$1001,MATCH(ROWS($V$2:V213),$V$2:$V$1001,0),1)&gt;=100000,INDEX($AC$1005:$AS$1005,1,MATCH(COLUMNS($AC$1006:AG1006),$AC$1006:$AS$1006,0))&gt;=100000), " ",IF(INDEX($AC$2:$AS$1001,MATCH(ROWS($V$2:V213),$V$2:$V$1001,0),MATCH(COLUMNS($AC$1006:AG1006),$AC$1006:$AS$1006,0)), HYPERLINK("#",""), HYPERLINK(CONCATENATE("#Metadata!", ADDRESS(INDEX($X$2:$X$1001,MATCH(ROWS($V$2:V213),$V$2:$V$1001,0),0), INDEX($AC$1004:$AS$1004,1,MATCH(COLUMNS($AC$1006:AG1006),$AC$1006:$AS$1006,0)))),"Fix")))</f>
        <v>0</v>
      </c>
      <c r="G213" s="5">
        <f>IF(OR(INDEX($W$2:$W$1001,MATCH(ROWS($V$2:V213),$V$2:$V$1001,0),1)&gt;=100000,INDEX($AC$1005:$AS$1005,1,MATCH(COLUMNS($AC$1006:AH1006),$AC$1006:$AS$1006,0))&gt;=100000), " ",IF(INDEX($AC$2:$AS$1001,MATCH(ROWS($V$2:V213),$V$2:$V$1001,0),MATCH(COLUMNS($AC$1006:AH1006),$AC$1006:$AS$1006,0)), HYPERLINK("#",""), HYPERLINK(CONCATENATE("#Metadata!", ADDRESS(INDEX($X$2:$X$1001,MATCH(ROWS($V$2:V213),$V$2:$V$1001,0),0), INDEX($AC$1004:$AS$1004,1,MATCH(COLUMNS($AC$1006:AH1006),$AC$1006:$AS$1006,0)))),"Fix")))</f>
        <v>0</v>
      </c>
      <c r="H213" s="5">
        <f>IF(OR(INDEX($W$2:$W$1001,MATCH(ROWS($V$2:V213),$V$2:$V$1001,0),1)&gt;=100000,INDEX($AC$1005:$AS$1005,1,MATCH(COLUMNS($AC$1006:AI1006),$AC$1006:$AS$1006,0))&gt;=100000), " ",IF(INDEX($AC$2:$AS$1001,MATCH(ROWS($V$2:V213),$V$2:$V$1001,0),MATCH(COLUMNS($AC$1006:AI1006),$AC$1006:$AS$1006,0)), HYPERLINK("#",""), HYPERLINK(CONCATENATE("#Metadata!", ADDRESS(INDEX($X$2:$X$1001,MATCH(ROWS($V$2:V213),$V$2:$V$1001,0),0), INDEX($AC$1004:$AS$1004,1,MATCH(COLUMNS($AC$1006:AI1006),$AC$1006:$AS$1006,0)))),"Fix")))</f>
        <v>0</v>
      </c>
      <c r="I213" s="5">
        <f>IF(OR(INDEX($W$2:$W$1001,MATCH(ROWS($V$2:V213),$V$2:$V$1001,0),1)&gt;=100000,INDEX($AC$1005:$AS$1005,1,MATCH(COLUMNS($AC$1006:AJ1006),$AC$1006:$AS$1006,0))&gt;=100000), " ",IF(INDEX($AC$2:$AS$1001,MATCH(ROWS($V$2:V213),$V$2:$V$1001,0),MATCH(COLUMNS($AC$1006:AJ1006),$AC$1006:$AS$1006,0)), HYPERLINK("#",""), HYPERLINK(CONCATENATE("#Metadata!", ADDRESS(INDEX($X$2:$X$1001,MATCH(ROWS($V$2:V213),$V$2:$V$1001,0),0), INDEX($AC$1004:$AS$1004,1,MATCH(COLUMNS($AC$1006:AJ1006),$AC$1006:$AS$1006,0)))),"Fix")))</f>
        <v>0</v>
      </c>
      <c r="J213" s="5">
        <f>IF(OR(INDEX($W$2:$W$1001,MATCH(ROWS($V$2:V213),$V$2:$V$1001,0),1)&gt;=100000,INDEX($AC$1005:$AS$1005,1,MATCH(COLUMNS($AC$1006:AK1006),$AC$1006:$AS$1006,0))&gt;=100000), " ",IF(INDEX($AC$2:$AS$1001,MATCH(ROWS($V$2:V213),$V$2:$V$1001,0),MATCH(COLUMNS($AC$1006:AK1006),$AC$1006:$AS$1006,0)), HYPERLINK("#",""), HYPERLINK(CONCATENATE("#Metadata!", ADDRESS(INDEX($X$2:$X$1001,MATCH(ROWS($V$2:V213),$V$2:$V$1001,0),0), INDEX($AC$1004:$AS$1004,1,MATCH(COLUMNS($AC$1006:AK1006),$AC$1006:$AS$1006,0)))),"Fix")))</f>
        <v>0</v>
      </c>
      <c r="K213" s="5">
        <f>IF(OR(INDEX($W$2:$W$1001,MATCH(ROWS($V$2:V213),$V$2:$V$1001,0),1)&gt;=100000,INDEX($AC$1005:$AS$1005,1,MATCH(COLUMNS($AC$1006:AL1006),$AC$1006:$AS$1006,0))&gt;=100000), " ",IF(INDEX($AC$2:$AS$1001,MATCH(ROWS($V$2:V213),$V$2:$V$1001,0),MATCH(COLUMNS($AC$1006:AL1006),$AC$1006:$AS$1006,0)), HYPERLINK("#",""), HYPERLINK(CONCATENATE("#Metadata!", ADDRESS(INDEX($X$2:$X$1001,MATCH(ROWS($V$2:V213),$V$2:$V$1001,0),0), INDEX($AC$1004:$AS$1004,1,MATCH(COLUMNS($AC$1006:AL1006),$AC$1006:$AS$1006,0)))),"Fix")))</f>
        <v>0</v>
      </c>
      <c r="L213" s="5">
        <f>IF(OR(INDEX($W$2:$W$1001,MATCH(ROWS($V$2:V213),$V$2:$V$1001,0),1)&gt;=100000,INDEX($AC$1005:$AS$1005,1,MATCH(COLUMNS($AC$1006:AM1006),$AC$1006:$AS$1006,0))&gt;=100000), " ",IF(INDEX($AC$2:$AS$1001,MATCH(ROWS($V$2:V213),$V$2:$V$1001,0),MATCH(COLUMNS($AC$1006:AM1006),$AC$1006:$AS$1006,0)), HYPERLINK("#",""), HYPERLINK(CONCATENATE("#Metadata!", ADDRESS(INDEX($X$2:$X$1001,MATCH(ROWS($V$2:V213),$V$2:$V$1001,0),0), INDEX($AC$1004:$AS$1004,1,MATCH(COLUMNS($AC$1006:AM1006),$AC$1006:$AS$1006,0)))),"Fix")))</f>
        <v>0</v>
      </c>
      <c r="M213" s="5">
        <f>IF(OR(INDEX($W$2:$W$1001,MATCH(ROWS($V$2:V213),$V$2:$V$1001,0),1)&gt;=100000,INDEX($AC$1005:$AS$1005,1,MATCH(COLUMNS($AC$1006:AN1006),$AC$1006:$AS$1006,0))&gt;=100000), " ",IF(INDEX($AC$2:$AS$1001,MATCH(ROWS($V$2:V213),$V$2:$V$1001,0),MATCH(COLUMNS($AC$1006:AN1006),$AC$1006:$AS$1006,0)), HYPERLINK("#",""), HYPERLINK(CONCATENATE("#Metadata!", ADDRESS(INDEX($X$2:$X$1001,MATCH(ROWS($V$2:V213),$V$2:$V$1001,0),0), INDEX($AC$1004:$AS$1004,1,MATCH(COLUMNS($AC$1006:AN1006),$AC$1006:$AS$1006,0)))),"Fix")))</f>
        <v>0</v>
      </c>
      <c r="N213" s="5">
        <f>IF(OR(INDEX($W$2:$W$1001,MATCH(ROWS($V$2:V213),$V$2:$V$1001,0),1)&gt;=100000,INDEX($AC$1005:$AS$1005,1,MATCH(COLUMNS($AC$1006:AO1006),$AC$1006:$AS$1006,0))&gt;=100000), " ",IF(INDEX($AC$2:$AS$1001,MATCH(ROWS($V$2:V213),$V$2:$V$1001,0),MATCH(COLUMNS($AC$1006:AO1006),$AC$1006:$AS$1006,0)), HYPERLINK("#",""), HYPERLINK(CONCATENATE("#Metadata!", ADDRESS(INDEX($X$2:$X$1001,MATCH(ROWS($V$2:V213),$V$2:$V$1001,0),0), INDEX($AC$1004:$AS$1004,1,MATCH(COLUMNS($AC$1006:AO1006),$AC$1006:$AS$1006,0)))),"Fix")))</f>
        <v>0</v>
      </c>
      <c r="O213" s="5">
        <f>IF(OR(INDEX($W$2:$W$1001,MATCH(ROWS($V$2:V213),$V$2:$V$1001,0),1)&gt;=100000,INDEX($AC$1005:$AS$1005,1,MATCH(COLUMNS($AC$1006:AP1006),$AC$1006:$AS$1006,0))&gt;=100000), " ",IF(INDEX($AC$2:$AS$1001,MATCH(ROWS($V$2:V213),$V$2:$V$1001,0),MATCH(COLUMNS($AC$1006:AP1006),$AC$1006:$AS$1006,0)), HYPERLINK("#",""), HYPERLINK(CONCATENATE("#Metadata!", ADDRESS(INDEX($X$2:$X$1001,MATCH(ROWS($V$2:V213),$V$2:$V$1001,0),0), INDEX($AC$1004:$AS$1004,1,MATCH(COLUMNS($AC$1006:AP1006),$AC$1006:$AS$1006,0)))),"Fix")))</f>
        <v>0</v>
      </c>
      <c r="P213" s="5">
        <f>IF(OR(INDEX($W$2:$W$1001,MATCH(ROWS($V$2:V213),$V$2:$V$1001,0),1)&gt;=100000,INDEX($AC$1005:$AS$1005,1,MATCH(COLUMNS($AC$1006:AQ1006),$AC$1006:$AS$1006,0))&gt;=100000), " ",IF(INDEX($AC$2:$AS$1001,MATCH(ROWS($V$2:V213),$V$2:$V$1001,0),MATCH(COLUMNS($AC$1006:AQ1006),$AC$1006:$AS$1006,0)), HYPERLINK("#",""), HYPERLINK(CONCATENATE("#Metadata!", ADDRESS(INDEX($X$2:$X$1001,MATCH(ROWS($V$2:V213),$V$2:$V$1001,0),0), INDEX($AC$1004:$AS$1004,1,MATCH(COLUMNS($AC$1006:AQ1006),$AC$1006:$AS$1006,0)))),"Fix")))</f>
        <v>0</v>
      </c>
      <c r="Q213" s="5">
        <f>IF(OR(INDEX($W$2:$W$1001,MATCH(ROWS($V$2:V213),$V$2:$V$1001,0),1)&gt;=100000,INDEX($AC$1005:$AS$1005,1,MATCH(COLUMNS($AC$1006:AR1006),$AC$1006:$AS$1006,0))&gt;=100000), " ",IF(INDEX($AC$2:$AS$1001,MATCH(ROWS($V$2:V213),$V$2:$V$1001,0),MATCH(COLUMNS($AC$1006:AR1006),$AC$1006:$AS$1006,0)), HYPERLINK("#",""), HYPERLINK(CONCATENATE("#Metadata!", ADDRESS(INDEX($X$2:$X$1001,MATCH(ROWS($V$2:V213),$V$2:$V$1001,0),0), INDEX($AC$1004:$AS$1004,1,MATCH(COLUMNS($AC$1006:AR1006),$AC$1006:$AS$1006,0)))),"Fix")))</f>
        <v>0</v>
      </c>
      <c r="R213" s="5">
        <f>IF(OR(INDEX($W$2:$W$1001,MATCH(ROWS($V$2:V213),$V$2:$V$1001,0),1)&gt;=100000,INDEX($AC$1005:$AS$1005,1,MATCH(COLUMNS($AC$1006:AS1006),$AC$1006:$AS$1006,0))&gt;=100000), " ",IF(INDEX($AC$2:$AS$1001,MATCH(ROWS($V$2:V213),$V$2:$V$1001,0),MATCH(COLUMNS($AC$1006:AS1006),$AC$1006:$AS$1006,0)), HYPERLINK("#",""), HYPERLINK(CONCATENATE("#Metadata!", ADDRESS(INDEX($X$2:$X$1001,MATCH(ROWS($V$2:V213),$V$2:$V$1001,0),0), INDEX($AC$1004:$AS$1004,1,MATCH(COLUMNS($AC$1006:AS1006),$AC$1006:$AS$1006,0)))),"Fix")))</f>
        <v>0</v>
      </c>
      <c r="V213">
        <v>0</v>
      </c>
      <c r="W213">
        <v>0</v>
      </c>
      <c r="X213">
        <v>0</v>
      </c>
      <c r="Y213">
        <f>IF(Z213,TRUE,AND(AC213:AS213))</f>
        <v>0</v>
      </c>
      <c r="Z213">
        <f>COUNTBLANK(Metadata!B213:R213)=COLUMNS(Metadata!B213:R213)</f>
        <v>0</v>
      </c>
      <c r="AA213">
        <v>0</v>
      </c>
      <c r="AC213">
        <f>AND(IF(Metadata!B213="",FALSE,TRUE),COUNTIF(Metadata!B:B, Metadata!B213) = 1,NOT(ISERROR(SUMPRODUCT(SEARCH(MID(Metadata!B213,ROW(INDIRECT("1:"&amp;LEN(Metadata!B213))), 1),"0123456789abcdefghijklmnopqrstuvwxyzABCDEFGHIJKLMNOPQRSTUVWXYZ.")))))</f>
        <v>0</v>
      </c>
      <c r="AD213">
        <f>AND(IF(Metadata!C213="",FALSE,TRUE),exact(Metadata!C213,"Host-associated"))</f>
        <v>0</v>
      </c>
      <c r="AE213">
        <f>AND(IF(Metadata!D213="",FALSE,TRUE),OR(exact(Metadata!D213,"Animal"),exact(Metadata!D213,"Fungus"),exact(Metadata!D213,"Plant")))</f>
        <v>0</v>
      </c>
      <c r="AF213">
        <f>AND(IF(Metadata!E213="",FALSE,TRUE),OR(exact(Metadata!E213,"Plant secretion"),exact(Metadata!E213,"Plant rhizosphere"),exact(Metadata!E213,"Plant surface"),exact(Metadata!E213,"Plant corpus"),exact(Metadata!E213,"Fungus surface"),exact(Metadata!E213,"Fungus corpus"),exact(Metadata!E213,"Animal surface"),exact(Metadata!E213,"Animal proximal gut"),exact(Metadata!E213,"Animal corpus"),exact(Metadata!E213,"Animal distal gut"),exact(Metadata!E213,"Animal secretion")))</f>
        <v>0</v>
      </c>
      <c r="AG213">
        <f>OR(AND(IF(Metadata!F213="",FALSE,TRUE),OR(exact(Metadata!F213,"not collected"),exact(Metadata!F213,"not provided"),exact(Metadata!F213,"restricted access"))),AND(IF(Metadata!F213="",FALSE,TRUE),OR(exact(Metadata!F213,"organism-associated habitat"),exact(Metadata!F213,"plant-associated habitat"),exact(Metadata!F213,"animal-associated habitat"),exact(Metadata!F213,"insecta-associated habitat"),exact(Metadata!F213,"mammalia-associated habitat"),exact(Metadata!F213,"human-associated habitat"),exact(Metadata!F213,"livestock-associated habitat"))))</f>
        <v>0</v>
      </c>
      <c r="AH213">
        <f>AND(IF(Metadata!G213="",FALSE,TRUE),exact(Metadata!G213,"host-associated"))</f>
        <v>0</v>
      </c>
      <c r="AI213">
        <f>OR(AND(IF(Metadata!H213="",FALSE,TRUE),OR(exact(Metadata!H213,"not collected"),exact(Metadata!H213,"not provided"))),AND(IF(Metadata!H213="",FALSE,ISNUMBER(VALUE(Metadata!H213))),Metadata!H213&gt;0))</f>
        <v>0</v>
      </c>
      <c r="AJ213">
        <f>AND(IF(Metadata!I213="",FALSE,TRUE),exact(Metadata!I213,"years"))</f>
        <v>0</v>
      </c>
      <c r="AK213">
        <f>IF(Metadata!J213="",FALSE,TRUE)</f>
        <v>0</v>
      </c>
      <c r="AL213">
        <f>OR(AND(IF(Metadata!K213="",FALSE,TRUE),OR(exact(Metadata!K213,"not collected"),exact(Metadata!K213,"not provided"))),AND(IF(Metadata!K213="",FALSE,ISNUMBER(VALUE(Metadata!K213))),Metadata!K213&gt;0))</f>
        <v>0</v>
      </c>
      <c r="AM213">
        <f>AND(IF(Metadata!L213="",FALSE,TRUE),exact(Metadata!L213,"cm"))</f>
        <v>0</v>
      </c>
      <c r="AN213">
        <f>IF(Metadata!M213="",FALSE,TRUE)</f>
        <v>0</v>
      </c>
      <c r="AO213">
        <f>OR(AND(IF(Metadata!N213="",FALSE,TRUE),OR(exact(Metadata!N213,"not applicable"),exact(Metadata!N213,"not collected"),exact(Metadata!N213,"not provided"))),AND(IF(Metadata!N213="",FALSE,IF(ISERROR(INT(Metadata!N213)),FALSE,INT(Metadata!N213)=Metadata!N213)),Metadata!N213&gt;0))</f>
        <v>0</v>
      </c>
      <c r="AP213">
        <f>OR(AND(IF(Metadata!O213="",FALSE,TRUE),OR(exact(Metadata!O213,"not collected"),exact(Metadata!O213,"not provided"))),AND(IF(Metadata!O213="",FALSE,ISNUMBER(VALUE(Metadata!O213))),Metadata!O213&gt;0))</f>
        <v>0</v>
      </c>
      <c r="AQ213">
        <f>AND(IF(Metadata!P213="",FALSE,TRUE),exact(Metadata!P213,"kg"))</f>
        <v>0</v>
      </c>
      <c r="AR213">
        <f>OR(AND(IF(Metadata!Q213="",FALSE,TRUE),OR(exact(Metadata!Q213,"not applicable"),exact(Metadata!Q213,"not collected"),exact(Metadata!Q213,"not provided"),exact(Metadata!Q213,"restricted access"))),IF(Metadata!Q213="",FALSE,IF(ISERROR(INT(Metadata!Q213)),FALSE,INT(Metadata!Q213)=Metadata!Q213)))</f>
        <v>0</v>
      </c>
      <c r="AS213">
        <f>AND(IF(Metadata!R213="",FALSE,TRUE),exact(Metadata!R213,"Not applicable"))</f>
        <v>0</v>
      </c>
    </row>
    <row r="214" spans="1:45">
      <c r="A214" s="4">
        <f>IF(B214=" "," ",HYPERLINK(CONCATENATE("#metadata!",ADDRESS(INDEX($X$2:$X$1001,MATCH(ROWS($V$2:V214),$V$2:$V$1001,0),0),2)),INDEX($AA$2:$AA$1001,MATCH(ROWS($V$2:V214),$V$2:$V$1001,0),0)))</f>
        <v>0</v>
      </c>
      <c r="B214" s="5">
        <f>IF(OR(INDEX($W$2:$W$1001,MATCH(ROWS($V$2:V214),$V$2:$V$1001,0),1)&gt;=100000,INDEX($AC$1005:$AS$1005,1,MATCH(COLUMNS($AC$1006:AC1006),$AC$1006:$AS$1006,0))&gt;=100000), " ",IF(INDEX($AC$2:$AS$1001,MATCH(ROWS($V$2:V214),$V$2:$V$1001,0),MATCH(COLUMNS($AC$1006:AC1006),$AC$1006:$AS$1006,0)), HYPERLINK("#",""), HYPERLINK(CONCATENATE("#Metadata!", ADDRESS(INDEX($X$2:$X$1001,MATCH(ROWS($V$2:V214),$V$2:$V$1001,0),0), INDEX($AC$1004:$AS$1004,1,MATCH(COLUMNS($AC$1006:AC1006),$AC$1006:$AS$1006,0)))),"Fix")))</f>
        <v>0</v>
      </c>
      <c r="C214" s="5">
        <f>IF(OR(INDEX($W$2:$W$1001,MATCH(ROWS($V$2:V214),$V$2:$V$1001,0),1)&gt;=100000,INDEX($AC$1005:$AS$1005,1,MATCH(COLUMNS($AC$1006:AD1006),$AC$1006:$AS$1006,0))&gt;=100000), " ",IF(INDEX($AC$2:$AS$1001,MATCH(ROWS($V$2:V214),$V$2:$V$1001,0),MATCH(COLUMNS($AC$1006:AD1006),$AC$1006:$AS$1006,0)), HYPERLINK("#",""), HYPERLINK(CONCATENATE("#Metadata!", ADDRESS(INDEX($X$2:$X$1001,MATCH(ROWS($V$2:V214),$V$2:$V$1001,0),0), INDEX($AC$1004:$AS$1004,1,MATCH(COLUMNS($AC$1006:AD1006),$AC$1006:$AS$1006,0)))),"Fix")))</f>
        <v>0</v>
      </c>
      <c r="D214" s="5">
        <f>IF(OR(INDEX($W$2:$W$1001,MATCH(ROWS($V$2:V214),$V$2:$V$1001,0),1)&gt;=100000,INDEX($AC$1005:$AS$1005,1,MATCH(COLUMNS($AC$1006:AE1006),$AC$1006:$AS$1006,0))&gt;=100000), " ",IF(INDEX($AC$2:$AS$1001,MATCH(ROWS($V$2:V214),$V$2:$V$1001,0),MATCH(COLUMNS($AC$1006:AE1006),$AC$1006:$AS$1006,0)), HYPERLINK("#",""), HYPERLINK(CONCATENATE("#Metadata!", ADDRESS(INDEX($X$2:$X$1001,MATCH(ROWS($V$2:V214),$V$2:$V$1001,0),0), INDEX($AC$1004:$AS$1004,1,MATCH(COLUMNS($AC$1006:AE1006),$AC$1006:$AS$1006,0)))),"Fix")))</f>
        <v>0</v>
      </c>
      <c r="E214" s="5">
        <f>IF(OR(INDEX($W$2:$W$1001,MATCH(ROWS($V$2:V214),$V$2:$V$1001,0),1)&gt;=100000,INDEX($AC$1005:$AS$1005,1,MATCH(COLUMNS($AC$1006:AF1006),$AC$1006:$AS$1006,0))&gt;=100000), " ",IF(INDEX($AC$2:$AS$1001,MATCH(ROWS($V$2:V214),$V$2:$V$1001,0),MATCH(COLUMNS($AC$1006:AF1006),$AC$1006:$AS$1006,0)), HYPERLINK("#",""), HYPERLINK(CONCATENATE("#Metadata!", ADDRESS(INDEX($X$2:$X$1001,MATCH(ROWS($V$2:V214),$V$2:$V$1001,0),0), INDEX($AC$1004:$AS$1004,1,MATCH(COLUMNS($AC$1006:AF1006),$AC$1006:$AS$1006,0)))),"Fix")))</f>
        <v>0</v>
      </c>
      <c r="F214" s="5">
        <f>IF(OR(INDEX($W$2:$W$1001,MATCH(ROWS($V$2:V214),$V$2:$V$1001,0),1)&gt;=100000,INDEX($AC$1005:$AS$1005,1,MATCH(COLUMNS($AC$1006:AG1006),$AC$1006:$AS$1006,0))&gt;=100000), " ",IF(INDEX($AC$2:$AS$1001,MATCH(ROWS($V$2:V214),$V$2:$V$1001,0),MATCH(COLUMNS($AC$1006:AG1006),$AC$1006:$AS$1006,0)), HYPERLINK("#",""), HYPERLINK(CONCATENATE("#Metadata!", ADDRESS(INDEX($X$2:$X$1001,MATCH(ROWS($V$2:V214),$V$2:$V$1001,0),0), INDEX($AC$1004:$AS$1004,1,MATCH(COLUMNS($AC$1006:AG1006),$AC$1006:$AS$1006,0)))),"Fix")))</f>
        <v>0</v>
      </c>
      <c r="G214" s="5">
        <f>IF(OR(INDEX($W$2:$W$1001,MATCH(ROWS($V$2:V214),$V$2:$V$1001,0),1)&gt;=100000,INDEX($AC$1005:$AS$1005,1,MATCH(COLUMNS($AC$1006:AH1006),$AC$1006:$AS$1006,0))&gt;=100000), " ",IF(INDEX($AC$2:$AS$1001,MATCH(ROWS($V$2:V214),$V$2:$V$1001,0),MATCH(COLUMNS($AC$1006:AH1006),$AC$1006:$AS$1006,0)), HYPERLINK("#",""), HYPERLINK(CONCATENATE("#Metadata!", ADDRESS(INDEX($X$2:$X$1001,MATCH(ROWS($V$2:V214),$V$2:$V$1001,0),0), INDEX($AC$1004:$AS$1004,1,MATCH(COLUMNS($AC$1006:AH1006),$AC$1006:$AS$1006,0)))),"Fix")))</f>
        <v>0</v>
      </c>
      <c r="H214" s="5">
        <f>IF(OR(INDEX($W$2:$W$1001,MATCH(ROWS($V$2:V214),$V$2:$V$1001,0),1)&gt;=100000,INDEX($AC$1005:$AS$1005,1,MATCH(COLUMNS($AC$1006:AI1006),$AC$1006:$AS$1006,0))&gt;=100000), " ",IF(INDEX($AC$2:$AS$1001,MATCH(ROWS($V$2:V214),$V$2:$V$1001,0),MATCH(COLUMNS($AC$1006:AI1006),$AC$1006:$AS$1006,0)), HYPERLINK("#",""), HYPERLINK(CONCATENATE("#Metadata!", ADDRESS(INDEX($X$2:$X$1001,MATCH(ROWS($V$2:V214),$V$2:$V$1001,0),0), INDEX($AC$1004:$AS$1004,1,MATCH(COLUMNS($AC$1006:AI1006),$AC$1006:$AS$1006,0)))),"Fix")))</f>
        <v>0</v>
      </c>
      <c r="I214" s="5">
        <f>IF(OR(INDEX($W$2:$W$1001,MATCH(ROWS($V$2:V214),$V$2:$V$1001,0),1)&gt;=100000,INDEX($AC$1005:$AS$1005,1,MATCH(COLUMNS($AC$1006:AJ1006),$AC$1006:$AS$1006,0))&gt;=100000), " ",IF(INDEX($AC$2:$AS$1001,MATCH(ROWS($V$2:V214),$V$2:$V$1001,0),MATCH(COLUMNS($AC$1006:AJ1006),$AC$1006:$AS$1006,0)), HYPERLINK("#",""), HYPERLINK(CONCATENATE("#Metadata!", ADDRESS(INDEX($X$2:$X$1001,MATCH(ROWS($V$2:V214),$V$2:$V$1001,0),0), INDEX($AC$1004:$AS$1004,1,MATCH(COLUMNS($AC$1006:AJ1006),$AC$1006:$AS$1006,0)))),"Fix")))</f>
        <v>0</v>
      </c>
      <c r="J214" s="5">
        <f>IF(OR(INDEX($W$2:$W$1001,MATCH(ROWS($V$2:V214),$V$2:$V$1001,0),1)&gt;=100000,INDEX($AC$1005:$AS$1005,1,MATCH(COLUMNS($AC$1006:AK1006),$AC$1006:$AS$1006,0))&gt;=100000), " ",IF(INDEX($AC$2:$AS$1001,MATCH(ROWS($V$2:V214),$V$2:$V$1001,0),MATCH(COLUMNS($AC$1006:AK1006),$AC$1006:$AS$1006,0)), HYPERLINK("#",""), HYPERLINK(CONCATENATE("#Metadata!", ADDRESS(INDEX($X$2:$X$1001,MATCH(ROWS($V$2:V214),$V$2:$V$1001,0),0), INDEX($AC$1004:$AS$1004,1,MATCH(COLUMNS($AC$1006:AK1006),$AC$1006:$AS$1006,0)))),"Fix")))</f>
        <v>0</v>
      </c>
      <c r="K214" s="5">
        <f>IF(OR(INDEX($W$2:$W$1001,MATCH(ROWS($V$2:V214),$V$2:$V$1001,0),1)&gt;=100000,INDEX($AC$1005:$AS$1005,1,MATCH(COLUMNS($AC$1006:AL1006),$AC$1006:$AS$1006,0))&gt;=100000), " ",IF(INDEX($AC$2:$AS$1001,MATCH(ROWS($V$2:V214),$V$2:$V$1001,0),MATCH(COLUMNS($AC$1006:AL1006),$AC$1006:$AS$1006,0)), HYPERLINK("#",""), HYPERLINK(CONCATENATE("#Metadata!", ADDRESS(INDEX($X$2:$X$1001,MATCH(ROWS($V$2:V214),$V$2:$V$1001,0),0), INDEX($AC$1004:$AS$1004,1,MATCH(COLUMNS($AC$1006:AL1006),$AC$1006:$AS$1006,0)))),"Fix")))</f>
        <v>0</v>
      </c>
      <c r="L214" s="5">
        <f>IF(OR(INDEX($W$2:$W$1001,MATCH(ROWS($V$2:V214),$V$2:$V$1001,0),1)&gt;=100000,INDEX($AC$1005:$AS$1005,1,MATCH(COLUMNS($AC$1006:AM1006),$AC$1006:$AS$1006,0))&gt;=100000), " ",IF(INDEX($AC$2:$AS$1001,MATCH(ROWS($V$2:V214),$V$2:$V$1001,0),MATCH(COLUMNS($AC$1006:AM1006),$AC$1006:$AS$1006,0)), HYPERLINK("#",""), HYPERLINK(CONCATENATE("#Metadata!", ADDRESS(INDEX($X$2:$X$1001,MATCH(ROWS($V$2:V214),$V$2:$V$1001,0),0), INDEX($AC$1004:$AS$1004,1,MATCH(COLUMNS($AC$1006:AM1006),$AC$1006:$AS$1006,0)))),"Fix")))</f>
        <v>0</v>
      </c>
      <c r="M214" s="5">
        <f>IF(OR(INDEX($W$2:$W$1001,MATCH(ROWS($V$2:V214),$V$2:$V$1001,0),1)&gt;=100000,INDEX($AC$1005:$AS$1005,1,MATCH(COLUMNS($AC$1006:AN1006),$AC$1006:$AS$1006,0))&gt;=100000), " ",IF(INDEX($AC$2:$AS$1001,MATCH(ROWS($V$2:V214),$V$2:$V$1001,0),MATCH(COLUMNS($AC$1006:AN1006),$AC$1006:$AS$1006,0)), HYPERLINK("#",""), HYPERLINK(CONCATENATE("#Metadata!", ADDRESS(INDEX($X$2:$X$1001,MATCH(ROWS($V$2:V214),$V$2:$V$1001,0),0), INDEX($AC$1004:$AS$1004,1,MATCH(COLUMNS($AC$1006:AN1006),$AC$1006:$AS$1006,0)))),"Fix")))</f>
        <v>0</v>
      </c>
      <c r="N214" s="5">
        <f>IF(OR(INDEX($W$2:$W$1001,MATCH(ROWS($V$2:V214),$V$2:$V$1001,0),1)&gt;=100000,INDEX($AC$1005:$AS$1005,1,MATCH(COLUMNS($AC$1006:AO1006),$AC$1006:$AS$1006,0))&gt;=100000), " ",IF(INDEX($AC$2:$AS$1001,MATCH(ROWS($V$2:V214),$V$2:$V$1001,0),MATCH(COLUMNS($AC$1006:AO1006),$AC$1006:$AS$1006,0)), HYPERLINK("#",""), HYPERLINK(CONCATENATE("#Metadata!", ADDRESS(INDEX($X$2:$X$1001,MATCH(ROWS($V$2:V214),$V$2:$V$1001,0),0), INDEX($AC$1004:$AS$1004,1,MATCH(COLUMNS($AC$1006:AO1006),$AC$1006:$AS$1006,0)))),"Fix")))</f>
        <v>0</v>
      </c>
      <c r="O214" s="5">
        <f>IF(OR(INDEX($W$2:$W$1001,MATCH(ROWS($V$2:V214),$V$2:$V$1001,0),1)&gt;=100000,INDEX($AC$1005:$AS$1005,1,MATCH(COLUMNS($AC$1006:AP1006),$AC$1006:$AS$1006,0))&gt;=100000), " ",IF(INDEX($AC$2:$AS$1001,MATCH(ROWS($V$2:V214),$V$2:$V$1001,0),MATCH(COLUMNS($AC$1006:AP1006),$AC$1006:$AS$1006,0)), HYPERLINK("#",""), HYPERLINK(CONCATENATE("#Metadata!", ADDRESS(INDEX($X$2:$X$1001,MATCH(ROWS($V$2:V214),$V$2:$V$1001,0),0), INDEX($AC$1004:$AS$1004,1,MATCH(COLUMNS($AC$1006:AP1006),$AC$1006:$AS$1006,0)))),"Fix")))</f>
        <v>0</v>
      </c>
      <c r="P214" s="5">
        <f>IF(OR(INDEX($W$2:$W$1001,MATCH(ROWS($V$2:V214),$V$2:$V$1001,0),1)&gt;=100000,INDEX($AC$1005:$AS$1005,1,MATCH(COLUMNS($AC$1006:AQ1006),$AC$1006:$AS$1006,0))&gt;=100000), " ",IF(INDEX($AC$2:$AS$1001,MATCH(ROWS($V$2:V214),$V$2:$V$1001,0),MATCH(COLUMNS($AC$1006:AQ1006),$AC$1006:$AS$1006,0)), HYPERLINK("#",""), HYPERLINK(CONCATENATE("#Metadata!", ADDRESS(INDEX($X$2:$X$1001,MATCH(ROWS($V$2:V214),$V$2:$V$1001,0),0), INDEX($AC$1004:$AS$1004,1,MATCH(COLUMNS($AC$1006:AQ1006),$AC$1006:$AS$1006,0)))),"Fix")))</f>
        <v>0</v>
      </c>
      <c r="Q214" s="5">
        <f>IF(OR(INDEX($W$2:$W$1001,MATCH(ROWS($V$2:V214),$V$2:$V$1001,0),1)&gt;=100000,INDEX($AC$1005:$AS$1005,1,MATCH(COLUMNS($AC$1006:AR1006),$AC$1006:$AS$1006,0))&gt;=100000), " ",IF(INDEX($AC$2:$AS$1001,MATCH(ROWS($V$2:V214),$V$2:$V$1001,0),MATCH(COLUMNS($AC$1006:AR1006),$AC$1006:$AS$1006,0)), HYPERLINK("#",""), HYPERLINK(CONCATENATE("#Metadata!", ADDRESS(INDEX($X$2:$X$1001,MATCH(ROWS($V$2:V214),$V$2:$V$1001,0),0), INDEX($AC$1004:$AS$1004,1,MATCH(COLUMNS($AC$1006:AR1006),$AC$1006:$AS$1006,0)))),"Fix")))</f>
        <v>0</v>
      </c>
      <c r="R214" s="5">
        <f>IF(OR(INDEX($W$2:$W$1001,MATCH(ROWS($V$2:V214),$V$2:$V$1001,0),1)&gt;=100000,INDEX($AC$1005:$AS$1005,1,MATCH(COLUMNS($AC$1006:AS1006),$AC$1006:$AS$1006,0))&gt;=100000), " ",IF(INDEX($AC$2:$AS$1001,MATCH(ROWS($V$2:V214),$V$2:$V$1001,0),MATCH(COLUMNS($AC$1006:AS1006),$AC$1006:$AS$1006,0)), HYPERLINK("#",""), HYPERLINK(CONCATENATE("#Metadata!", ADDRESS(INDEX($X$2:$X$1001,MATCH(ROWS($V$2:V214),$V$2:$V$1001,0),0), INDEX($AC$1004:$AS$1004,1,MATCH(COLUMNS($AC$1006:AS1006),$AC$1006:$AS$1006,0)))),"Fix")))</f>
        <v>0</v>
      </c>
      <c r="V214">
        <v>0</v>
      </c>
      <c r="W214">
        <v>0</v>
      </c>
      <c r="X214">
        <v>0</v>
      </c>
      <c r="Y214">
        <f>IF(Z214,TRUE,AND(AC214:AS214))</f>
        <v>0</v>
      </c>
      <c r="Z214">
        <f>COUNTBLANK(Metadata!B214:R214)=COLUMNS(Metadata!B214:R214)</f>
        <v>0</v>
      </c>
      <c r="AA214">
        <v>0</v>
      </c>
      <c r="AC214">
        <f>AND(IF(Metadata!B214="",FALSE,TRUE),COUNTIF(Metadata!B:B, Metadata!B214) = 1,NOT(ISERROR(SUMPRODUCT(SEARCH(MID(Metadata!B214,ROW(INDIRECT("1:"&amp;LEN(Metadata!B214))), 1),"0123456789abcdefghijklmnopqrstuvwxyzABCDEFGHIJKLMNOPQRSTUVWXYZ.")))))</f>
        <v>0</v>
      </c>
      <c r="AD214">
        <f>AND(IF(Metadata!C214="",FALSE,TRUE),exact(Metadata!C214,"Host-associated"))</f>
        <v>0</v>
      </c>
      <c r="AE214">
        <f>AND(IF(Metadata!D214="",FALSE,TRUE),OR(exact(Metadata!D214,"Animal"),exact(Metadata!D214,"Fungus"),exact(Metadata!D214,"Plant")))</f>
        <v>0</v>
      </c>
      <c r="AF214">
        <f>AND(IF(Metadata!E214="",FALSE,TRUE),OR(exact(Metadata!E214,"Plant secretion"),exact(Metadata!E214,"Plant rhizosphere"),exact(Metadata!E214,"Plant surface"),exact(Metadata!E214,"Plant corpus"),exact(Metadata!E214,"Fungus surface"),exact(Metadata!E214,"Fungus corpus"),exact(Metadata!E214,"Animal surface"),exact(Metadata!E214,"Animal proximal gut"),exact(Metadata!E214,"Animal corpus"),exact(Metadata!E214,"Animal distal gut"),exact(Metadata!E214,"Animal secretion")))</f>
        <v>0</v>
      </c>
      <c r="AG214">
        <f>OR(AND(IF(Metadata!F214="",FALSE,TRUE),OR(exact(Metadata!F214,"not collected"),exact(Metadata!F214,"not provided"),exact(Metadata!F214,"restricted access"))),AND(IF(Metadata!F214="",FALSE,TRUE),OR(exact(Metadata!F214,"organism-associated habitat"),exact(Metadata!F214,"plant-associated habitat"),exact(Metadata!F214,"animal-associated habitat"),exact(Metadata!F214,"insecta-associated habitat"),exact(Metadata!F214,"mammalia-associated habitat"),exact(Metadata!F214,"human-associated habitat"),exact(Metadata!F214,"livestock-associated habitat"))))</f>
        <v>0</v>
      </c>
      <c r="AH214">
        <f>AND(IF(Metadata!G214="",FALSE,TRUE),exact(Metadata!G214,"host-associated"))</f>
        <v>0</v>
      </c>
      <c r="AI214">
        <f>OR(AND(IF(Metadata!H214="",FALSE,TRUE),OR(exact(Metadata!H214,"not collected"),exact(Metadata!H214,"not provided"))),AND(IF(Metadata!H214="",FALSE,ISNUMBER(VALUE(Metadata!H214))),Metadata!H214&gt;0))</f>
        <v>0</v>
      </c>
      <c r="AJ214">
        <f>AND(IF(Metadata!I214="",FALSE,TRUE),exact(Metadata!I214,"years"))</f>
        <v>0</v>
      </c>
      <c r="AK214">
        <f>IF(Metadata!J214="",FALSE,TRUE)</f>
        <v>0</v>
      </c>
      <c r="AL214">
        <f>OR(AND(IF(Metadata!K214="",FALSE,TRUE),OR(exact(Metadata!K214,"not collected"),exact(Metadata!K214,"not provided"))),AND(IF(Metadata!K214="",FALSE,ISNUMBER(VALUE(Metadata!K214))),Metadata!K214&gt;0))</f>
        <v>0</v>
      </c>
      <c r="AM214">
        <f>AND(IF(Metadata!L214="",FALSE,TRUE),exact(Metadata!L214,"cm"))</f>
        <v>0</v>
      </c>
      <c r="AN214">
        <f>IF(Metadata!M214="",FALSE,TRUE)</f>
        <v>0</v>
      </c>
      <c r="AO214">
        <f>OR(AND(IF(Metadata!N214="",FALSE,TRUE),OR(exact(Metadata!N214,"not applicable"),exact(Metadata!N214,"not collected"),exact(Metadata!N214,"not provided"))),AND(IF(Metadata!N214="",FALSE,IF(ISERROR(INT(Metadata!N214)),FALSE,INT(Metadata!N214)=Metadata!N214)),Metadata!N214&gt;0))</f>
        <v>0</v>
      </c>
      <c r="AP214">
        <f>OR(AND(IF(Metadata!O214="",FALSE,TRUE),OR(exact(Metadata!O214,"not collected"),exact(Metadata!O214,"not provided"))),AND(IF(Metadata!O214="",FALSE,ISNUMBER(VALUE(Metadata!O214))),Metadata!O214&gt;0))</f>
        <v>0</v>
      </c>
      <c r="AQ214">
        <f>AND(IF(Metadata!P214="",FALSE,TRUE),exact(Metadata!P214,"kg"))</f>
        <v>0</v>
      </c>
      <c r="AR214">
        <f>OR(AND(IF(Metadata!Q214="",FALSE,TRUE),OR(exact(Metadata!Q214,"not applicable"),exact(Metadata!Q214,"not collected"),exact(Metadata!Q214,"not provided"),exact(Metadata!Q214,"restricted access"))),IF(Metadata!Q214="",FALSE,IF(ISERROR(INT(Metadata!Q214)),FALSE,INT(Metadata!Q214)=Metadata!Q214)))</f>
        <v>0</v>
      </c>
      <c r="AS214">
        <f>AND(IF(Metadata!R214="",FALSE,TRUE),exact(Metadata!R214,"Not applicable"))</f>
        <v>0</v>
      </c>
    </row>
    <row r="215" spans="1:45">
      <c r="A215" s="4">
        <f>IF(B215=" "," ",HYPERLINK(CONCATENATE("#metadata!",ADDRESS(INDEX($X$2:$X$1001,MATCH(ROWS($V$2:V215),$V$2:$V$1001,0),0),2)),INDEX($AA$2:$AA$1001,MATCH(ROWS($V$2:V215),$V$2:$V$1001,0),0)))</f>
        <v>0</v>
      </c>
      <c r="B215" s="5">
        <f>IF(OR(INDEX($W$2:$W$1001,MATCH(ROWS($V$2:V215),$V$2:$V$1001,0),1)&gt;=100000,INDEX($AC$1005:$AS$1005,1,MATCH(COLUMNS($AC$1006:AC1006),$AC$1006:$AS$1006,0))&gt;=100000), " ",IF(INDEX($AC$2:$AS$1001,MATCH(ROWS($V$2:V215),$V$2:$V$1001,0),MATCH(COLUMNS($AC$1006:AC1006),$AC$1006:$AS$1006,0)), HYPERLINK("#",""), HYPERLINK(CONCATENATE("#Metadata!", ADDRESS(INDEX($X$2:$X$1001,MATCH(ROWS($V$2:V215),$V$2:$V$1001,0),0), INDEX($AC$1004:$AS$1004,1,MATCH(COLUMNS($AC$1006:AC1006),$AC$1006:$AS$1006,0)))),"Fix")))</f>
        <v>0</v>
      </c>
      <c r="C215" s="5">
        <f>IF(OR(INDEX($W$2:$W$1001,MATCH(ROWS($V$2:V215),$V$2:$V$1001,0),1)&gt;=100000,INDEX($AC$1005:$AS$1005,1,MATCH(COLUMNS($AC$1006:AD1006),$AC$1006:$AS$1006,0))&gt;=100000), " ",IF(INDEX($AC$2:$AS$1001,MATCH(ROWS($V$2:V215),$V$2:$V$1001,0),MATCH(COLUMNS($AC$1006:AD1006),$AC$1006:$AS$1006,0)), HYPERLINK("#",""), HYPERLINK(CONCATENATE("#Metadata!", ADDRESS(INDEX($X$2:$X$1001,MATCH(ROWS($V$2:V215),$V$2:$V$1001,0),0), INDEX($AC$1004:$AS$1004,1,MATCH(COLUMNS($AC$1006:AD1006),$AC$1006:$AS$1006,0)))),"Fix")))</f>
        <v>0</v>
      </c>
      <c r="D215" s="5">
        <f>IF(OR(INDEX($W$2:$W$1001,MATCH(ROWS($V$2:V215),$V$2:$V$1001,0),1)&gt;=100000,INDEX($AC$1005:$AS$1005,1,MATCH(COLUMNS($AC$1006:AE1006),$AC$1006:$AS$1006,0))&gt;=100000), " ",IF(INDEX($AC$2:$AS$1001,MATCH(ROWS($V$2:V215),$V$2:$V$1001,0),MATCH(COLUMNS($AC$1006:AE1006),$AC$1006:$AS$1006,0)), HYPERLINK("#",""), HYPERLINK(CONCATENATE("#Metadata!", ADDRESS(INDEX($X$2:$X$1001,MATCH(ROWS($V$2:V215),$V$2:$V$1001,0),0), INDEX($AC$1004:$AS$1004,1,MATCH(COLUMNS($AC$1006:AE1006),$AC$1006:$AS$1006,0)))),"Fix")))</f>
        <v>0</v>
      </c>
      <c r="E215" s="5">
        <f>IF(OR(INDEX($W$2:$W$1001,MATCH(ROWS($V$2:V215),$V$2:$V$1001,0),1)&gt;=100000,INDEX($AC$1005:$AS$1005,1,MATCH(COLUMNS($AC$1006:AF1006),$AC$1006:$AS$1006,0))&gt;=100000), " ",IF(INDEX($AC$2:$AS$1001,MATCH(ROWS($V$2:V215),$V$2:$V$1001,0),MATCH(COLUMNS($AC$1006:AF1006),$AC$1006:$AS$1006,0)), HYPERLINK("#",""), HYPERLINK(CONCATENATE("#Metadata!", ADDRESS(INDEX($X$2:$X$1001,MATCH(ROWS($V$2:V215),$V$2:$V$1001,0),0), INDEX($AC$1004:$AS$1004,1,MATCH(COLUMNS($AC$1006:AF1006),$AC$1006:$AS$1006,0)))),"Fix")))</f>
        <v>0</v>
      </c>
      <c r="F215" s="5">
        <f>IF(OR(INDEX($W$2:$W$1001,MATCH(ROWS($V$2:V215),$V$2:$V$1001,0),1)&gt;=100000,INDEX($AC$1005:$AS$1005,1,MATCH(COLUMNS($AC$1006:AG1006),$AC$1006:$AS$1006,0))&gt;=100000), " ",IF(INDEX($AC$2:$AS$1001,MATCH(ROWS($V$2:V215),$V$2:$V$1001,0),MATCH(COLUMNS($AC$1006:AG1006),$AC$1006:$AS$1006,0)), HYPERLINK("#",""), HYPERLINK(CONCATENATE("#Metadata!", ADDRESS(INDEX($X$2:$X$1001,MATCH(ROWS($V$2:V215),$V$2:$V$1001,0),0), INDEX($AC$1004:$AS$1004,1,MATCH(COLUMNS($AC$1006:AG1006),$AC$1006:$AS$1006,0)))),"Fix")))</f>
        <v>0</v>
      </c>
      <c r="G215" s="5">
        <f>IF(OR(INDEX($W$2:$W$1001,MATCH(ROWS($V$2:V215),$V$2:$V$1001,0),1)&gt;=100000,INDEX($AC$1005:$AS$1005,1,MATCH(COLUMNS($AC$1006:AH1006),$AC$1006:$AS$1006,0))&gt;=100000), " ",IF(INDEX($AC$2:$AS$1001,MATCH(ROWS($V$2:V215),$V$2:$V$1001,0),MATCH(COLUMNS($AC$1006:AH1006),$AC$1006:$AS$1006,0)), HYPERLINK("#",""), HYPERLINK(CONCATENATE("#Metadata!", ADDRESS(INDEX($X$2:$X$1001,MATCH(ROWS($V$2:V215),$V$2:$V$1001,0),0), INDEX($AC$1004:$AS$1004,1,MATCH(COLUMNS($AC$1006:AH1006),$AC$1006:$AS$1006,0)))),"Fix")))</f>
        <v>0</v>
      </c>
      <c r="H215" s="5">
        <f>IF(OR(INDEX($W$2:$W$1001,MATCH(ROWS($V$2:V215),$V$2:$V$1001,0),1)&gt;=100000,INDEX($AC$1005:$AS$1005,1,MATCH(COLUMNS($AC$1006:AI1006),$AC$1006:$AS$1006,0))&gt;=100000), " ",IF(INDEX($AC$2:$AS$1001,MATCH(ROWS($V$2:V215),$V$2:$V$1001,0),MATCH(COLUMNS($AC$1006:AI1006),$AC$1006:$AS$1006,0)), HYPERLINK("#",""), HYPERLINK(CONCATENATE("#Metadata!", ADDRESS(INDEX($X$2:$X$1001,MATCH(ROWS($V$2:V215),$V$2:$V$1001,0),0), INDEX($AC$1004:$AS$1004,1,MATCH(COLUMNS($AC$1006:AI1006),$AC$1006:$AS$1006,0)))),"Fix")))</f>
        <v>0</v>
      </c>
      <c r="I215" s="5">
        <f>IF(OR(INDEX($W$2:$W$1001,MATCH(ROWS($V$2:V215),$V$2:$V$1001,0),1)&gt;=100000,INDEX($AC$1005:$AS$1005,1,MATCH(COLUMNS($AC$1006:AJ1006),$AC$1006:$AS$1006,0))&gt;=100000), " ",IF(INDEX($AC$2:$AS$1001,MATCH(ROWS($V$2:V215),$V$2:$V$1001,0),MATCH(COLUMNS($AC$1006:AJ1006),$AC$1006:$AS$1006,0)), HYPERLINK("#",""), HYPERLINK(CONCATENATE("#Metadata!", ADDRESS(INDEX($X$2:$X$1001,MATCH(ROWS($V$2:V215),$V$2:$V$1001,0),0), INDEX($AC$1004:$AS$1004,1,MATCH(COLUMNS($AC$1006:AJ1006),$AC$1006:$AS$1006,0)))),"Fix")))</f>
        <v>0</v>
      </c>
      <c r="J215" s="5">
        <f>IF(OR(INDEX($W$2:$W$1001,MATCH(ROWS($V$2:V215),$V$2:$V$1001,0),1)&gt;=100000,INDEX($AC$1005:$AS$1005,1,MATCH(COLUMNS($AC$1006:AK1006),$AC$1006:$AS$1006,0))&gt;=100000), " ",IF(INDEX($AC$2:$AS$1001,MATCH(ROWS($V$2:V215),$V$2:$V$1001,0),MATCH(COLUMNS($AC$1006:AK1006),$AC$1006:$AS$1006,0)), HYPERLINK("#",""), HYPERLINK(CONCATENATE("#Metadata!", ADDRESS(INDEX($X$2:$X$1001,MATCH(ROWS($V$2:V215),$V$2:$V$1001,0),0), INDEX($AC$1004:$AS$1004,1,MATCH(COLUMNS($AC$1006:AK1006),$AC$1006:$AS$1006,0)))),"Fix")))</f>
        <v>0</v>
      </c>
      <c r="K215" s="5">
        <f>IF(OR(INDEX($W$2:$W$1001,MATCH(ROWS($V$2:V215),$V$2:$V$1001,0),1)&gt;=100000,INDEX($AC$1005:$AS$1005,1,MATCH(COLUMNS($AC$1006:AL1006),$AC$1006:$AS$1006,0))&gt;=100000), " ",IF(INDEX($AC$2:$AS$1001,MATCH(ROWS($V$2:V215),$V$2:$V$1001,0),MATCH(COLUMNS($AC$1006:AL1006),$AC$1006:$AS$1006,0)), HYPERLINK("#",""), HYPERLINK(CONCATENATE("#Metadata!", ADDRESS(INDEX($X$2:$X$1001,MATCH(ROWS($V$2:V215),$V$2:$V$1001,0),0), INDEX($AC$1004:$AS$1004,1,MATCH(COLUMNS($AC$1006:AL1006),$AC$1006:$AS$1006,0)))),"Fix")))</f>
        <v>0</v>
      </c>
      <c r="L215" s="5">
        <f>IF(OR(INDEX($W$2:$W$1001,MATCH(ROWS($V$2:V215),$V$2:$V$1001,0),1)&gt;=100000,INDEX($AC$1005:$AS$1005,1,MATCH(COLUMNS($AC$1006:AM1006),$AC$1006:$AS$1006,0))&gt;=100000), " ",IF(INDEX($AC$2:$AS$1001,MATCH(ROWS($V$2:V215),$V$2:$V$1001,0),MATCH(COLUMNS($AC$1006:AM1006),$AC$1006:$AS$1006,0)), HYPERLINK("#",""), HYPERLINK(CONCATENATE("#Metadata!", ADDRESS(INDEX($X$2:$X$1001,MATCH(ROWS($V$2:V215),$V$2:$V$1001,0),0), INDEX($AC$1004:$AS$1004,1,MATCH(COLUMNS($AC$1006:AM1006),$AC$1006:$AS$1006,0)))),"Fix")))</f>
        <v>0</v>
      </c>
      <c r="M215" s="5">
        <f>IF(OR(INDEX($W$2:$W$1001,MATCH(ROWS($V$2:V215),$V$2:$V$1001,0),1)&gt;=100000,INDEX($AC$1005:$AS$1005,1,MATCH(COLUMNS($AC$1006:AN1006),$AC$1006:$AS$1006,0))&gt;=100000), " ",IF(INDEX($AC$2:$AS$1001,MATCH(ROWS($V$2:V215),$V$2:$V$1001,0),MATCH(COLUMNS($AC$1006:AN1006),$AC$1006:$AS$1006,0)), HYPERLINK("#",""), HYPERLINK(CONCATENATE("#Metadata!", ADDRESS(INDEX($X$2:$X$1001,MATCH(ROWS($V$2:V215),$V$2:$V$1001,0),0), INDEX($AC$1004:$AS$1004,1,MATCH(COLUMNS($AC$1006:AN1006),$AC$1006:$AS$1006,0)))),"Fix")))</f>
        <v>0</v>
      </c>
      <c r="N215" s="5">
        <f>IF(OR(INDEX($W$2:$W$1001,MATCH(ROWS($V$2:V215),$V$2:$V$1001,0),1)&gt;=100000,INDEX($AC$1005:$AS$1005,1,MATCH(COLUMNS($AC$1006:AO1006),$AC$1006:$AS$1006,0))&gt;=100000), " ",IF(INDEX($AC$2:$AS$1001,MATCH(ROWS($V$2:V215),$V$2:$V$1001,0),MATCH(COLUMNS($AC$1006:AO1006),$AC$1006:$AS$1006,0)), HYPERLINK("#",""), HYPERLINK(CONCATENATE("#Metadata!", ADDRESS(INDEX($X$2:$X$1001,MATCH(ROWS($V$2:V215),$V$2:$V$1001,0),0), INDEX($AC$1004:$AS$1004,1,MATCH(COLUMNS($AC$1006:AO1006),$AC$1006:$AS$1006,0)))),"Fix")))</f>
        <v>0</v>
      </c>
      <c r="O215" s="5">
        <f>IF(OR(INDEX($W$2:$W$1001,MATCH(ROWS($V$2:V215),$V$2:$V$1001,0),1)&gt;=100000,INDEX($AC$1005:$AS$1005,1,MATCH(COLUMNS($AC$1006:AP1006),$AC$1006:$AS$1006,0))&gt;=100000), " ",IF(INDEX($AC$2:$AS$1001,MATCH(ROWS($V$2:V215),$V$2:$V$1001,0),MATCH(COLUMNS($AC$1006:AP1006),$AC$1006:$AS$1006,0)), HYPERLINK("#",""), HYPERLINK(CONCATENATE("#Metadata!", ADDRESS(INDEX($X$2:$X$1001,MATCH(ROWS($V$2:V215),$V$2:$V$1001,0),0), INDEX($AC$1004:$AS$1004,1,MATCH(COLUMNS($AC$1006:AP1006),$AC$1006:$AS$1006,0)))),"Fix")))</f>
        <v>0</v>
      </c>
      <c r="P215" s="5">
        <f>IF(OR(INDEX($W$2:$W$1001,MATCH(ROWS($V$2:V215),$V$2:$V$1001,0),1)&gt;=100000,INDEX($AC$1005:$AS$1005,1,MATCH(COLUMNS($AC$1006:AQ1006),$AC$1006:$AS$1006,0))&gt;=100000), " ",IF(INDEX($AC$2:$AS$1001,MATCH(ROWS($V$2:V215),$V$2:$V$1001,0),MATCH(COLUMNS($AC$1006:AQ1006),$AC$1006:$AS$1006,0)), HYPERLINK("#",""), HYPERLINK(CONCATENATE("#Metadata!", ADDRESS(INDEX($X$2:$X$1001,MATCH(ROWS($V$2:V215),$V$2:$V$1001,0),0), INDEX($AC$1004:$AS$1004,1,MATCH(COLUMNS($AC$1006:AQ1006),$AC$1006:$AS$1006,0)))),"Fix")))</f>
        <v>0</v>
      </c>
      <c r="Q215" s="5">
        <f>IF(OR(INDEX($W$2:$W$1001,MATCH(ROWS($V$2:V215),$V$2:$V$1001,0),1)&gt;=100000,INDEX($AC$1005:$AS$1005,1,MATCH(COLUMNS($AC$1006:AR1006),$AC$1006:$AS$1006,0))&gt;=100000), " ",IF(INDEX($AC$2:$AS$1001,MATCH(ROWS($V$2:V215),$V$2:$V$1001,0),MATCH(COLUMNS($AC$1006:AR1006),$AC$1006:$AS$1006,0)), HYPERLINK("#",""), HYPERLINK(CONCATENATE("#Metadata!", ADDRESS(INDEX($X$2:$X$1001,MATCH(ROWS($V$2:V215),$V$2:$V$1001,0),0), INDEX($AC$1004:$AS$1004,1,MATCH(COLUMNS($AC$1006:AR1006),$AC$1006:$AS$1006,0)))),"Fix")))</f>
        <v>0</v>
      </c>
      <c r="R215" s="5">
        <f>IF(OR(INDEX($W$2:$W$1001,MATCH(ROWS($V$2:V215),$V$2:$V$1001,0),1)&gt;=100000,INDEX($AC$1005:$AS$1005,1,MATCH(COLUMNS($AC$1006:AS1006),$AC$1006:$AS$1006,0))&gt;=100000), " ",IF(INDEX($AC$2:$AS$1001,MATCH(ROWS($V$2:V215),$V$2:$V$1001,0),MATCH(COLUMNS($AC$1006:AS1006),$AC$1006:$AS$1006,0)), HYPERLINK("#",""), HYPERLINK(CONCATENATE("#Metadata!", ADDRESS(INDEX($X$2:$X$1001,MATCH(ROWS($V$2:V215),$V$2:$V$1001,0),0), INDEX($AC$1004:$AS$1004,1,MATCH(COLUMNS($AC$1006:AS1006),$AC$1006:$AS$1006,0)))),"Fix")))</f>
        <v>0</v>
      </c>
      <c r="V215">
        <v>0</v>
      </c>
      <c r="W215">
        <v>0</v>
      </c>
      <c r="X215">
        <v>0</v>
      </c>
      <c r="Y215">
        <f>IF(Z215,TRUE,AND(AC215:AS215))</f>
        <v>0</v>
      </c>
      <c r="Z215">
        <f>COUNTBLANK(Metadata!B215:R215)=COLUMNS(Metadata!B215:R215)</f>
        <v>0</v>
      </c>
      <c r="AA215">
        <v>0</v>
      </c>
      <c r="AC215">
        <f>AND(IF(Metadata!B215="",FALSE,TRUE),COUNTIF(Metadata!B:B, Metadata!B215) = 1,NOT(ISERROR(SUMPRODUCT(SEARCH(MID(Metadata!B215,ROW(INDIRECT("1:"&amp;LEN(Metadata!B215))), 1),"0123456789abcdefghijklmnopqrstuvwxyzABCDEFGHIJKLMNOPQRSTUVWXYZ.")))))</f>
        <v>0</v>
      </c>
      <c r="AD215">
        <f>AND(IF(Metadata!C215="",FALSE,TRUE),exact(Metadata!C215,"Host-associated"))</f>
        <v>0</v>
      </c>
      <c r="AE215">
        <f>AND(IF(Metadata!D215="",FALSE,TRUE),OR(exact(Metadata!D215,"Animal"),exact(Metadata!D215,"Fungus"),exact(Metadata!D215,"Plant")))</f>
        <v>0</v>
      </c>
      <c r="AF215">
        <f>AND(IF(Metadata!E215="",FALSE,TRUE),OR(exact(Metadata!E215,"Plant secretion"),exact(Metadata!E215,"Plant rhizosphere"),exact(Metadata!E215,"Plant surface"),exact(Metadata!E215,"Plant corpus"),exact(Metadata!E215,"Fungus surface"),exact(Metadata!E215,"Fungus corpus"),exact(Metadata!E215,"Animal surface"),exact(Metadata!E215,"Animal proximal gut"),exact(Metadata!E215,"Animal corpus"),exact(Metadata!E215,"Animal distal gut"),exact(Metadata!E215,"Animal secretion")))</f>
        <v>0</v>
      </c>
      <c r="AG215">
        <f>OR(AND(IF(Metadata!F215="",FALSE,TRUE),OR(exact(Metadata!F215,"not collected"),exact(Metadata!F215,"not provided"),exact(Metadata!F215,"restricted access"))),AND(IF(Metadata!F215="",FALSE,TRUE),OR(exact(Metadata!F215,"organism-associated habitat"),exact(Metadata!F215,"plant-associated habitat"),exact(Metadata!F215,"animal-associated habitat"),exact(Metadata!F215,"insecta-associated habitat"),exact(Metadata!F215,"mammalia-associated habitat"),exact(Metadata!F215,"human-associated habitat"),exact(Metadata!F215,"livestock-associated habitat"))))</f>
        <v>0</v>
      </c>
      <c r="AH215">
        <f>AND(IF(Metadata!G215="",FALSE,TRUE),exact(Metadata!G215,"host-associated"))</f>
        <v>0</v>
      </c>
      <c r="AI215">
        <f>OR(AND(IF(Metadata!H215="",FALSE,TRUE),OR(exact(Metadata!H215,"not collected"),exact(Metadata!H215,"not provided"))),AND(IF(Metadata!H215="",FALSE,ISNUMBER(VALUE(Metadata!H215))),Metadata!H215&gt;0))</f>
        <v>0</v>
      </c>
      <c r="AJ215">
        <f>AND(IF(Metadata!I215="",FALSE,TRUE),exact(Metadata!I215,"years"))</f>
        <v>0</v>
      </c>
      <c r="AK215">
        <f>IF(Metadata!J215="",FALSE,TRUE)</f>
        <v>0</v>
      </c>
      <c r="AL215">
        <f>OR(AND(IF(Metadata!K215="",FALSE,TRUE),OR(exact(Metadata!K215,"not collected"),exact(Metadata!K215,"not provided"))),AND(IF(Metadata!K215="",FALSE,ISNUMBER(VALUE(Metadata!K215))),Metadata!K215&gt;0))</f>
        <v>0</v>
      </c>
      <c r="AM215">
        <f>AND(IF(Metadata!L215="",FALSE,TRUE),exact(Metadata!L215,"cm"))</f>
        <v>0</v>
      </c>
      <c r="AN215">
        <f>IF(Metadata!M215="",FALSE,TRUE)</f>
        <v>0</v>
      </c>
      <c r="AO215">
        <f>OR(AND(IF(Metadata!N215="",FALSE,TRUE),OR(exact(Metadata!N215,"not applicable"),exact(Metadata!N215,"not collected"),exact(Metadata!N215,"not provided"))),AND(IF(Metadata!N215="",FALSE,IF(ISERROR(INT(Metadata!N215)),FALSE,INT(Metadata!N215)=Metadata!N215)),Metadata!N215&gt;0))</f>
        <v>0</v>
      </c>
      <c r="AP215">
        <f>OR(AND(IF(Metadata!O215="",FALSE,TRUE),OR(exact(Metadata!O215,"not collected"),exact(Metadata!O215,"not provided"))),AND(IF(Metadata!O215="",FALSE,ISNUMBER(VALUE(Metadata!O215))),Metadata!O215&gt;0))</f>
        <v>0</v>
      </c>
      <c r="AQ215">
        <f>AND(IF(Metadata!P215="",FALSE,TRUE),exact(Metadata!P215,"kg"))</f>
        <v>0</v>
      </c>
      <c r="AR215">
        <f>OR(AND(IF(Metadata!Q215="",FALSE,TRUE),OR(exact(Metadata!Q215,"not applicable"),exact(Metadata!Q215,"not collected"),exact(Metadata!Q215,"not provided"),exact(Metadata!Q215,"restricted access"))),IF(Metadata!Q215="",FALSE,IF(ISERROR(INT(Metadata!Q215)),FALSE,INT(Metadata!Q215)=Metadata!Q215)))</f>
        <v>0</v>
      </c>
      <c r="AS215">
        <f>AND(IF(Metadata!R215="",FALSE,TRUE),exact(Metadata!R215,"Not applicable"))</f>
        <v>0</v>
      </c>
    </row>
    <row r="216" spans="1:45">
      <c r="A216" s="4">
        <f>IF(B216=" "," ",HYPERLINK(CONCATENATE("#metadata!",ADDRESS(INDEX($X$2:$X$1001,MATCH(ROWS($V$2:V216),$V$2:$V$1001,0),0),2)),INDEX($AA$2:$AA$1001,MATCH(ROWS($V$2:V216),$V$2:$V$1001,0),0)))</f>
        <v>0</v>
      </c>
      <c r="B216" s="5">
        <f>IF(OR(INDEX($W$2:$W$1001,MATCH(ROWS($V$2:V216),$V$2:$V$1001,0),1)&gt;=100000,INDEX($AC$1005:$AS$1005,1,MATCH(COLUMNS($AC$1006:AC1006),$AC$1006:$AS$1006,0))&gt;=100000), " ",IF(INDEX($AC$2:$AS$1001,MATCH(ROWS($V$2:V216),$V$2:$V$1001,0),MATCH(COLUMNS($AC$1006:AC1006),$AC$1006:$AS$1006,0)), HYPERLINK("#",""), HYPERLINK(CONCATENATE("#Metadata!", ADDRESS(INDEX($X$2:$X$1001,MATCH(ROWS($V$2:V216),$V$2:$V$1001,0),0), INDEX($AC$1004:$AS$1004,1,MATCH(COLUMNS($AC$1006:AC1006),$AC$1006:$AS$1006,0)))),"Fix")))</f>
        <v>0</v>
      </c>
      <c r="C216" s="5">
        <f>IF(OR(INDEX($W$2:$W$1001,MATCH(ROWS($V$2:V216),$V$2:$V$1001,0),1)&gt;=100000,INDEX($AC$1005:$AS$1005,1,MATCH(COLUMNS($AC$1006:AD1006),$AC$1006:$AS$1006,0))&gt;=100000), " ",IF(INDEX($AC$2:$AS$1001,MATCH(ROWS($V$2:V216),$V$2:$V$1001,0),MATCH(COLUMNS($AC$1006:AD1006),$AC$1006:$AS$1006,0)), HYPERLINK("#",""), HYPERLINK(CONCATENATE("#Metadata!", ADDRESS(INDEX($X$2:$X$1001,MATCH(ROWS($V$2:V216),$V$2:$V$1001,0),0), INDEX($AC$1004:$AS$1004,1,MATCH(COLUMNS($AC$1006:AD1006),$AC$1006:$AS$1006,0)))),"Fix")))</f>
        <v>0</v>
      </c>
      <c r="D216" s="5">
        <f>IF(OR(INDEX($W$2:$W$1001,MATCH(ROWS($V$2:V216),$V$2:$V$1001,0),1)&gt;=100000,INDEX($AC$1005:$AS$1005,1,MATCH(COLUMNS($AC$1006:AE1006),$AC$1006:$AS$1006,0))&gt;=100000), " ",IF(INDEX($AC$2:$AS$1001,MATCH(ROWS($V$2:V216),$V$2:$V$1001,0),MATCH(COLUMNS($AC$1006:AE1006),$AC$1006:$AS$1006,0)), HYPERLINK("#",""), HYPERLINK(CONCATENATE("#Metadata!", ADDRESS(INDEX($X$2:$X$1001,MATCH(ROWS($V$2:V216),$V$2:$V$1001,0),0), INDEX($AC$1004:$AS$1004,1,MATCH(COLUMNS($AC$1006:AE1006),$AC$1006:$AS$1006,0)))),"Fix")))</f>
        <v>0</v>
      </c>
      <c r="E216" s="5">
        <f>IF(OR(INDEX($W$2:$W$1001,MATCH(ROWS($V$2:V216),$V$2:$V$1001,0),1)&gt;=100000,INDEX($AC$1005:$AS$1005,1,MATCH(COLUMNS($AC$1006:AF1006),$AC$1006:$AS$1006,0))&gt;=100000), " ",IF(INDEX($AC$2:$AS$1001,MATCH(ROWS($V$2:V216),$V$2:$V$1001,0),MATCH(COLUMNS($AC$1006:AF1006),$AC$1006:$AS$1006,0)), HYPERLINK("#",""), HYPERLINK(CONCATENATE("#Metadata!", ADDRESS(INDEX($X$2:$X$1001,MATCH(ROWS($V$2:V216),$V$2:$V$1001,0),0), INDEX($AC$1004:$AS$1004,1,MATCH(COLUMNS($AC$1006:AF1006),$AC$1006:$AS$1006,0)))),"Fix")))</f>
        <v>0</v>
      </c>
      <c r="F216" s="5">
        <f>IF(OR(INDEX($W$2:$W$1001,MATCH(ROWS($V$2:V216),$V$2:$V$1001,0),1)&gt;=100000,INDEX($AC$1005:$AS$1005,1,MATCH(COLUMNS($AC$1006:AG1006),$AC$1006:$AS$1006,0))&gt;=100000), " ",IF(INDEX($AC$2:$AS$1001,MATCH(ROWS($V$2:V216),$V$2:$V$1001,0),MATCH(COLUMNS($AC$1006:AG1006),$AC$1006:$AS$1006,0)), HYPERLINK("#",""), HYPERLINK(CONCATENATE("#Metadata!", ADDRESS(INDEX($X$2:$X$1001,MATCH(ROWS($V$2:V216),$V$2:$V$1001,0),0), INDEX($AC$1004:$AS$1004,1,MATCH(COLUMNS($AC$1006:AG1006),$AC$1006:$AS$1006,0)))),"Fix")))</f>
        <v>0</v>
      </c>
      <c r="G216" s="5">
        <f>IF(OR(INDEX($W$2:$W$1001,MATCH(ROWS($V$2:V216),$V$2:$V$1001,0),1)&gt;=100000,INDEX($AC$1005:$AS$1005,1,MATCH(COLUMNS($AC$1006:AH1006),$AC$1006:$AS$1006,0))&gt;=100000), " ",IF(INDEX($AC$2:$AS$1001,MATCH(ROWS($V$2:V216),$V$2:$V$1001,0),MATCH(COLUMNS($AC$1006:AH1006),$AC$1006:$AS$1006,0)), HYPERLINK("#",""), HYPERLINK(CONCATENATE("#Metadata!", ADDRESS(INDEX($X$2:$X$1001,MATCH(ROWS($V$2:V216),$V$2:$V$1001,0),0), INDEX($AC$1004:$AS$1004,1,MATCH(COLUMNS($AC$1006:AH1006),$AC$1006:$AS$1006,0)))),"Fix")))</f>
        <v>0</v>
      </c>
      <c r="H216" s="5">
        <f>IF(OR(INDEX($W$2:$W$1001,MATCH(ROWS($V$2:V216),$V$2:$V$1001,0),1)&gt;=100000,INDEX($AC$1005:$AS$1005,1,MATCH(COLUMNS($AC$1006:AI1006),$AC$1006:$AS$1006,0))&gt;=100000), " ",IF(INDEX($AC$2:$AS$1001,MATCH(ROWS($V$2:V216),$V$2:$V$1001,0),MATCH(COLUMNS($AC$1006:AI1006),$AC$1006:$AS$1006,0)), HYPERLINK("#",""), HYPERLINK(CONCATENATE("#Metadata!", ADDRESS(INDEX($X$2:$X$1001,MATCH(ROWS($V$2:V216),$V$2:$V$1001,0),0), INDEX($AC$1004:$AS$1004,1,MATCH(COLUMNS($AC$1006:AI1006),$AC$1006:$AS$1006,0)))),"Fix")))</f>
        <v>0</v>
      </c>
      <c r="I216" s="5">
        <f>IF(OR(INDEX($W$2:$W$1001,MATCH(ROWS($V$2:V216),$V$2:$V$1001,0),1)&gt;=100000,INDEX($AC$1005:$AS$1005,1,MATCH(COLUMNS($AC$1006:AJ1006),$AC$1006:$AS$1006,0))&gt;=100000), " ",IF(INDEX($AC$2:$AS$1001,MATCH(ROWS($V$2:V216),$V$2:$V$1001,0),MATCH(COLUMNS($AC$1006:AJ1006),$AC$1006:$AS$1006,0)), HYPERLINK("#",""), HYPERLINK(CONCATENATE("#Metadata!", ADDRESS(INDEX($X$2:$X$1001,MATCH(ROWS($V$2:V216),$V$2:$V$1001,0),0), INDEX($AC$1004:$AS$1004,1,MATCH(COLUMNS($AC$1006:AJ1006),$AC$1006:$AS$1006,0)))),"Fix")))</f>
        <v>0</v>
      </c>
      <c r="J216" s="5">
        <f>IF(OR(INDEX($W$2:$W$1001,MATCH(ROWS($V$2:V216),$V$2:$V$1001,0),1)&gt;=100000,INDEX($AC$1005:$AS$1005,1,MATCH(COLUMNS($AC$1006:AK1006),$AC$1006:$AS$1006,0))&gt;=100000), " ",IF(INDEX($AC$2:$AS$1001,MATCH(ROWS($V$2:V216),$V$2:$V$1001,0),MATCH(COLUMNS($AC$1006:AK1006),$AC$1006:$AS$1006,0)), HYPERLINK("#",""), HYPERLINK(CONCATENATE("#Metadata!", ADDRESS(INDEX($X$2:$X$1001,MATCH(ROWS($V$2:V216),$V$2:$V$1001,0),0), INDEX($AC$1004:$AS$1004,1,MATCH(COLUMNS($AC$1006:AK1006),$AC$1006:$AS$1006,0)))),"Fix")))</f>
        <v>0</v>
      </c>
      <c r="K216" s="5">
        <f>IF(OR(INDEX($W$2:$W$1001,MATCH(ROWS($V$2:V216),$V$2:$V$1001,0),1)&gt;=100000,INDEX($AC$1005:$AS$1005,1,MATCH(COLUMNS($AC$1006:AL1006),$AC$1006:$AS$1006,0))&gt;=100000), " ",IF(INDEX($AC$2:$AS$1001,MATCH(ROWS($V$2:V216),$V$2:$V$1001,0),MATCH(COLUMNS($AC$1006:AL1006),$AC$1006:$AS$1006,0)), HYPERLINK("#",""), HYPERLINK(CONCATENATE("#Metadata!", ADDRESS(INDEX($X$2:$X$1001,MATCH(ROWS($V$2:V216),$V$2:$V$1001,0),0), INDEX($AC$1004:$AS$1004,1,MATCH(COLUMNS($AC$1006:AL1006),$AC$1006:$AS$1006,0)))),"Fix")))</f>
        <v>0</v>
      </c>
      <c r="L216" s="5">
        <f>IF(OR(INDEX($W$2:$W$1001,MATCH(ROWS($V$2:V216),$V$2:$V$1001,0),1)&gt;=100000,INDEX($AC$1005:$AS$1005,1,MATCH(COLUMNS($AC$1006:AM1006),$AC$1006:$AS$1006,0))&gt;=100000), " ",IF(INDEX($AC$2:$AS$1001,MATCH(ROWS($V$2:V216),$V$2:$V$1001,0),MATCH(COLUMNS($AC$1006:AM1006),$AC$1006:$AS$1006,0)), HYPERLINK("#",""), HYPERLINK(CONCATENATE("#Metadata!", ADDRESS(INDEX($X$2:$X$1001,MATCH(ROWS($V$2:V216),$V$2:$V$1001,0),0), INDEX($AC$1004:$AS$1004,1,MATCH(COLUMNS($AC$1006:AM1006),$AC$1006:$AS$1006,0)))),"Fix")))</f>
        <v>0</v>
      </c>
      <c r="M216" s="5">
        <f>IF(OR(INDEX($W$2:$W$1001,MATCH(ROWS($V$2:V216),$V$2:$V$1001,0),1)&gt;=100000,INDEX($AC$1005:$AS$1005,1,MATCH(COLUMNS($AC$1006:AN1006),$AC$1006:$AS$1006,0))&gt;=100000), " ",IF(INDEX($AC$2:$AS$1001,MATCH(ROWS($V$2:V216),$V$2:$V$1001,0),MATCH(COLUMNS($AC$1006:AN1006),$AC$1006:$AS$1006,0)), HYPERLINK("#",""), HYPERLINK(CONCATENATE("#Metadata!", ADDRESS(INDEX($X$2:$X$1001,MATCH(ROWS($V$2:V216),$V$2:$V$1001,0),0), INDEX($AC$1004:$AS$1004,1,MATCH(COLUMNS($AC$1006:AN1006),$AC$1006:$AS$1006,0)))),"Fix")))</f>
        <v>0</v>
      </c>
      <c r="N216" s="5">
        <f>IF(OR(INDEX($W$2:$W$1001,MATCH(ROWS($V$2:V216),$V$2:$V$1001,0),1)&gt;=100000,INDEX($AC$1005:$AS$1005,1,MATCH(COLUMNS($AC$1006:AO1006),$AC$1006:$AS$1006,0))&gt;=100000), " ",IF(INDEX($AC$2:$AS$1001,MATCH(ROWS($V$2:V216),$V$2:$V$1001,0),MATCH(COLUMNS($AC$1006:AO1006),$AC$1006:$AS$1006,0)), HYPERLINK("#",""), HYPERLINK(CONCATENATE("#Metadata!", ADDRESS(INDEX($X$2:$X$1001,MATCH(ROWS($V$2:V216),$V$2:$V$1001,0),0), INDEX($AC$1004:$AS$1004,1,MATCH(COLUMNS($AC$1006:AO1006),$AC$1006:$AS$1006,0)))),"Fix")))</f>
        <v>0</v>
      </c>
      <c r="O216" s="5">
        <f>IF(OR(INDEX($W$2:$W$1001,MATCH(ROWS($V$2:V216),$V$2:$V$1001,0),1)&gt;=100000,INDEX($AC$1005:$AS$1005,1,MATCH(COLUMNS($AC$1006:AP1006),$AC$1006:$AS$1006,0))&gt;=100000), " ",IF(INDEX($AC$2:$AS$1001,MATCH(ROWS($V$2:V216),$V$2:$V$1001,0),MATCH(COLUMNS($AC$1006:AP1006),$AC$1006:$AS$1006,0)), HYPERLINK("#",""), HYPERLINK(CONCATENATE("#Metadata!", ADDRESS(INDEX($X$2:$X$1001,MATCH(ROWS($V$2:V216),$V$2:$V$1001,0),0), INDEX($AC$1004:$AS$1004,1,MATCH(COLUMNS($AC$1006:AP1006),$AC$1006:$AS$1006,0)))),"Fix")))</f>
        <v>0</v>
      </c>
      <c r="P216" s="5">
        <f>IF(OR(INDEX($W$2:$W$1001,MATCH(ROWS($V$2:V216),$V$2:$V$1001,0),1)&gt;=100000,INDEX($AC$1005:$AS$1005,1,MATCH(COLUMNS($AC$1006:AQ1006),$AC$1006:$AS$1006,0))&gt;=100000), " ",IF(INDEX($AC$2:$AS$1001,MATCH(ROWS($V$2:V216),$V$2:$V$1001,0),MATCH(COLUMNS($AC$1006:AQ1006),$AC$1006:$AS$1006,0)), HYPERLINK("#",""), HYPERLINK(CONCATENATE("#Metadata!", ADDRESS(INDEX($X$2:$X$1001,MATCH(ROWS($V$2:V216),$V$2:$V$1001,0),0), INDEX($AC$1004:$AS$1004,1,MATCH(COLUMNS($AC$1006:AQ1006),$AC$1006:$AS$1006,0)))),"Fix")))</f>
        <v>0</v>
      </c>
      <c r="Q216" s="5">
        <f>IF(OR(INDEX($W$2:$W$1001,MATCH(ROWS($V$2:V216),$V$2:$V$1001,0),1)&gt;=100000,INDEX($AC$1005:$AS$1005,1,MATCH(COLUMNS($AC$1006:AR1006),$AC$1006:$AS$1006,0))&gt;=100000), " ",IF(INDEX($AC$2:$AS$1001,MATCH(ROWS($V$2:V216),$V$2:$V$1001,0),MATCH(COLUMNS($AC$1006:AR1006),$AC$1006:$AS$1006,0)), HYPERLINK("#",""), HYPERLINK(CONCATENATE("#Metadata!", ADDRESS(INDEX($X$2:$X$1001,MATCH(ROWS($V$2:V216),$V$2:$V$1001,0),0), INDEX($AC$1004:$AS$1004,1,MATCH(COLUMNS($AC$1006:AR1006),$AC$1006:$AS$1006,0)))),"Fix")))</f>
        <v>0</v>
      </c>
      <c r="R216" s="5">
        <f>IF(OR(INDEX($W$2:$W$1001,MATCH(ROWS($V$2:V216),$V$2:$V$1001,0),1)&gt;=100000,INDEX($AC$1005:$AS$1005,1,MATCH(COLUMNS($AC$1006:AS1006),$AC$1006:$AS$1006,0))&gt;=100000), " ",IF(INDEX($AC$2:$AS$1001,MATCH(ROWS($V$2:V216),$V$2:$V$1001,0),MATCH(COLUMNS($AC$1006:AS1006),$AC$1006:$AS$1006,0)), HYPERLINK("#",""), HYPERLINK(CONCATENATE("#Metadata!", ADDRESS(INDEX($X$2:$X$1001,MATCH(ROWS($V$2:V216),$V$2:$V$1001,0),0), INDEX($AC$1004:$AS$1004,1,MATCH(COLUMNS($AC$1006:AS1006),$AC$1006:$AS$1006,0)))),"Fix")))</f>
        <v>0</v>
      </c>
      <c r="V216">
        <v>0</v>
      </c>
      <c r="W216">
        <v>0</v>
      </c>
      <c r="X216">
        <v>0</v>
      </c>
      <c r="Y216">
        <f>IF(Z216,TRUE,AND(AC216:AS216))</f>
        <v>0</v>
      </c>
      <c r="Z216">
        <f>COUNTBLANK(Metadata!B216:R216)=COLUMNS(Metadata!B216:R216)</f>
        <v>0</v>
      </c>
      <c r="AA216">
        <v>0</v>
      </c>
      <c r="AC216">
        <f>AND(IF(Metadata!B216="",FALSE,TRUE),COUNTIF(Metadata!B:B, Metadata!B216) = 1,NOT(ISERROR(SUMPRODUCT(SEARCH(MID(Metadata!B216,ROW(INDIRECT("1:"&amp;LEN(Metadata!B216))), 1),"0123456789abcdefghijklmnopqrstuvwxyzABCDEFGHIJKLMNOPQRSTUVWXYZ.")))))</f>
        <v>0</v>
      </c>
      <c r="AD216">
        <f>AND(IF(Metadata!C216="",FALSE,TRUE),exact(Metadata!C216,"Host-associated"))</f>
        <v>0</v>
      </c>
      <c r="AE216">
        <f>AND(IF(Metadata!D216="",FALSE,TRUE),OR(exact(Metadata!D216,"Animal"),exact(Metadata!D216,"Fungus"),exact(Metadata!D216,"Plant")))</f>
        <v>0</v>
      </c>
      <c r="AF216">
        <f>AND(IF(Metadata!E216="",FALSE,TRUE),OR(exact(Metadata!E216,"Plant secretion"),exact(Metadata!E216,"Plant rhizosphere"),exact(Metadata!E216,"Plant surface"),exact(Metadata!E216,"Plant corpus"),exact(Metadata!E216,"Fungus surface"),exact(Metadata!E216,"Fungus corpus"),exact(Metadata!E216,"Animal surface"),exact(Metadata!E216,"Animal proximal gut"),exact(Metadata!E216,"Animal corpus"),exact(Metadata!E216,"Animal distal gut"),exact(Metadata!E216,"Animal secretion")))</f>
        <v>0</v>
      </c>
      <c r="AG216">
        <f>OR(AND(IF(Metadata!F216="",FALSE,TRUE),OR(exact(Metadata!F216,"not collected"),exact(Metadata!F216,"not provided"),exact(Metadata!F216,"restricted access"))),AND(IF(Metadata!F216="",FALSE,TRUE),OR(exact(Metadata!F216,"organism-associated habitat"),exact(Metadata!F216,"plant-associated habitat"),exact(Metadata!F216,"animal-associated habitat"),exact(Metadata!F216,"insecta-associated habitat"),exact(Metadata!F216,"mammalia-associated habitat"),exact(Metadata!F216,"human-associated habitat"),exact(Metadata!F216,"livestock-associated habitat"))))</f>
        <v>0</v>
      </c>
      <c r="AH216">
        <f>AND(IF(Metadata!G216="",FALSE,TRUE),exact(Metadata!G216,"host-associated"))</f>
        <v>0</v>
      </c>
      <c r="AI216">
        <f>OR(AND(IF(Metadata!H216="",FALSE,TRUE),OR(exact(Metadata!H216,"not collected"),exact(Metadata!H216,"not provided"))),AND(IF(Metadata!H216="",FALSE,ISNUMBER(VALUE(Metadata!H216))),Metadata!H216&gt;0))</f>
        <v>0</v>
      </c>
      <c r="AJ216">
        <f>AND(IF(Metadata!I216="",FALSE,TRUE),exact(Metadata!I216,"years"))</f>
        <v>0</v>
      </c>
      <c r="AK216">
        <f>IF(Metadata!J216="",FALSE,TRUE)</f>
        <v>0</v>
      </c>
      <c r="AL216">
        <f>OR(AND(IF(Metadata!K216="",FALSE,TRUE),OR(exact(Metadata!K216,"not collected"),exact(Metadata!K216,"not provided"))),AND(IF(Metadata!K216="",FALSE,ISNUMBER(VALUE(Metadata!K216))),Metadata!K216&gt;0))</f>
        <v>0</v>
      </c>
      <c r="AM216">
        <f>AND(IF(Metadata!L216="",FALSE,TRUE),exact(Metadata!L216,"cm"))</f>
        <v>0</v>
      </c>
      <c r="AN216">
        <f>IF(Metadata!M216="",FALSE,TRUE)</f>
        <v>0</v>
      </c>
      <c r="AO216">
        <f>OR(AND(IF(Metadata!N216="",FALSE,TRUE),OR(exact(Metadata!N216,"not applicable"),exact(Metadata!N216,"not collected"),exact(Metadata!N216,"not provided"))),AND(IF(Metadata!N216="",FALSE,IF(ISERROR(INT(Metadata!N216)),FALSE,INT(Metadata!N216)=Metadata!N216)),Metadata!N216&gt;0))</f>
        <v>0</v>
      </c>
      <c r="AP216">
        <f>OR(AND(IF(Metadata!O216="",FALSE,TRUE),OR(exact(Metadata!O216,"not collected"),exact(Metadata!O216,"not provided"))),AND(IF(Metadata!O216="",FALSE,ISNUMBER(VALUE(Metadata!O216))),Metadata!O216&gt;0))</f>
        <v>0</v>
      </c>
      <c r="AQ216">
        <f>AND(IF(Metadata!P216="",FALSE,TRUE),exact(Metadata!P216,"kg"))</f>
        <v>0</v>
      </c>
      <c r="AR216">
        <f>OR(AND(IF(Metadata!Q216="",FALSE,TRUE),OR(exact(Metadata!Q216,"not applicable"),exact(Metadata!Q216,"not collected"),exact(Metadata!Q216,"not provided"),exact(Metadata!Q216,"restricted access"))),IF(Metadata!Q216="",FALSE,IF(ISERROR(INT(Metadata!Q216)),FALSE,INT(Metadata!Q216)=Metadata!Q216)))</f>
        <v>0</v>
      </c>
      <c r="AS216">
        <f>AND(IF(Metadata!R216="",FALSE,TRUE),exact(Metadata!R216,"Not applicable"))</f>
        <v>0</v>
      </c>
    </row>
    <row r="217" spans="1:45">
      <c r="A217" s="4">
        <f>IF(B217=" "," ",HYPERLINK(CONCATENATE("#metadata!",ADDRESS(INDEX($X$2:$X$1001,MATCH(ROWS($V$2:V217),$V$2:$V$1001,0),0),2)),INDEX($AA$2:$AA$1001,MATCH(ROWS($V$2:V217),$V$2:$V$1001,0),0)))</f>
        <v>0</v>
      </c>
      <c r="B217" s="5">
        <f>IF(OR(INDEX($W$2:$W$1001,MATCH(ROWS($V$2:V217),$V$2:$V$1001,0),1)&gt;=100000,INDEX($AC$1005:$AS$1005,1,MATCH(COLUMNS($AC$1006:AC1006),$AC$1006:$AS$1006,0))&gt;=100000), " ",IF(INDEX($AC$2:$AS$1001,MATCH(ROWS($V$2:V217),$V$2:$V$1001,0),MATCH(COLUMNS($AC$1006:AC1006),$AC$1006:$AS$1006,0)), HYPERLINK("#",""), HYPERLINK(CONCATENATE("#Metadata!", ADDRESS(INDEX($X$2:$X$1001,MATCH(ROWS($V$2:V217),$V$2:$V$1001,0),0), INDEX($AC$1004:$AS$1004,1,MATCH(COLUMNS($AC$1006:AC1006),$AC$1006:$AS$1006,0)))),"Fix")))</f>
        <v>0</v>
      </c>
      <c r="C217" s="5">
        <f>IF(OR(INDEX($W$2:$W$1001,MATCH(ROWS($V$2:V217),$V$2:$V$1001,0),1)&gt;=100000,INDEX($AC$1005:$AS$1005,1,MATCH(COLUMNS($AC$1006:AD1006),$AC$1006:$AS$1006,0))&gt;=100000), " ",IF(INDEX($AC$2:$AS$1001,MATCH(ROWS($V$2:V217),$V$2:$V$1001,0),MATCH(COLUMNS($AC$1006:AD1006),$AC$1006:$AS$1006,0)), HYPERLINK("#",""), HYPERLINK(CONCATENATE("#Metadata!", ADDRESS(INDEX($X$2:$X$1001,MATCH(ROWS($V$2:V217),$V$2:$V$1001,0),0), INDEX($AC$1004:$AS$1004,1,MATCH(COLUMNS($AC$1006:AD1006),$AC$1006:$AS$1006,0)))),"Fix")))</f>
        <v>0</v>
      </c>
      <c r="D217" s="5">
        <f>IF(OR(INDEX($W$2:$W$1001,MATCH(ROWS($V$2:V217),$V$2:$V$1001,0),1)&gt;=100000,INDEX($AC$1005:$AS$1005,1,MATCH(COLUMNS($AC$1006:AE1006),$AC$1006:$AS$1006,0))&gt;=100000), " ",IF(INDEX($AC$2:$AS$1001,MATCH(ROWS($V$2:V217),$V$2:$V$1001,0),MATCH(COLUMNS($AC$1006:AE1006),$AC$1006:$AS$1006,0)), HYPERLINK("#",""), HYPERLINK(CONCATENATE("#Metadata!", ADDRESS(INDEX($X$2:$X$1001,MATCH(ROWS($V$2:V217),$V$2:$V$1001,0),0), INDEX($AC$1004:$AS$1004,1,MATCH(COLUMNS($AC$1006:AE1006),$AC$1006:$AS$1006,0)))),"Fix")))</f>
        <v>0</v>
      </c>
      <c r="E217" s="5">
        <f>IF(OR(INDEX($W$2:$W$1001,MATCH(ROWS($V$2:V217),$V$2:$V$1001,0),1)&gt;=100000,INDEX($AC$1005:$AS$1005,1,MATCH(COLUMNS($AC$1006:AF1006),$AC$1006:$AS$1006,0))&gt;=100000), " ",IF(INDEX($AC$2:$AS$1001,MATCH(ROWS($V$2:V217),$V$2:$V$1001,0),MATCH(COLUMNS($AC$1006:AF1006),$AC$1006:$AS$1006,0)), HYPERLINK("#",""), HYPERLINK(CONCATENATE("#Metadata!", ADDRESS(INDEX($X$2:$X$1001,MATCH(ROWS($V$2:V217),$V$2:$V$1001,0),0), INDEX($AC$1004:$AS$1004,1,MATCH(COLUMNS($AC$1006:AF1006),$AC$1006:$AS$1006,0)))),"Fix")))</f>
        <v>0</v>
      </c>
      <c r="F217" s="5">
        <f>IF(OR(INDEX($W$2:$W$1001,MATCH(ROWS($V$2:V217),$V$2:$V$1001,0),1)&gt;=100000,INDEX($AC$1005:$AS$1005,1,MATCH(COLUMNS($AC$1006:AG1006),$AC$1006:$AS$1006,0))&gt;=100000), " ",IF(INDEX($AC$2:$AS$1001,MATCH(ROWS($V$2:V217),$V$2:$V$1001,0),MATCH(COLUMNS($AC$1006:AG1006),$AC$1006:$AS$1006,0)), HYPERLINK("#",""), HYPERLINK(CONCATENATE("#Metadata!", ADDRESS(INDEX($X$2:$X$1001,MATCH(ROWS($V$2:V217),$V$2:$V$1001,0),0), INDEX($AC$1004:$AS$1004,1,MATCH(COLUMNS($AC$1006:AG1006),$AC$1006:$AS$1006,0)))),"Fix")))</f>
        <v>0</v>
      </c>
      <c r="G217" s="5">
        <f>IF(OR(INDEX($W$2:$W$1001,MATCH(ROWS($V$2:V217),$V$2:$V$1001,0),1)&gt;=100000,INDEX($AC$1005:$AS$1005,1,MATCH(COLUMNS($AC$1006:AH1006),$AC$1006:$AS$1006,0))&gt;=100000), " ",IF(INDEX($AC$2:$AS$1001,MATCH(ROWS($V$2:V217),$V$2:$V$1001,0),MATCH(COLUMNS($AC$1006:AH1006),$AC$1006:$AS$1006,0)), HYPERLINK("#",""), HYPERLINK(CONCATENATE("#Metadata!", ADDRESS(INDEX($X$2:$X$1001,MATCH(ROWS($V$2:V217),$V$2:$V$1001,0),0), INDEX($AC$1004:$AS$1004,1,MATCH(COLUMNS($AC$1006:AH1006),$AC$1006:$AS$1006,0)))),"Fix")))</f>
        <v>0</v>
      </c>
      <c r="H217" s="5">
        <f>IF(OR(INDEX($W$2:$W$1001,MATCH(ROWS($V$2:V217),$V$2:$V$1001,0),1)&gt;=100000,INDEX($AC$1005:$AS$1005,1,MATCH(COLUMNS($AC$1006:AI1006),$AC$1006:$AS$1006,0))&gt;=100000), " ",IF(INDEX($AC$2:$AS$1001,MATCH(ROWS($V$2:V217),$V$2:$V$1001,0),MATCH(COLUMNS($AC$1006:AI1006),$AC$1006:$AS$1006,0)), HYPERLINK("#",""), HYPERLINK(CONCATENATE("#Metadata!", ADDRESS(INDEX($X$2:$X$1001,MATCH(ROWS($V$2:V217),$V$2:$V$1001,0),0), INDEX($AC$1004:$AS$1004,1,MATCH(COLUMNS($AC$1006:AI1006),$AC$1006:$AS$1006,0)))),"Fix")))</f>
        <v>0</v>
      </c>
      <c r="I217" s="5">
        <f>IF(OR(INDEX($W$2:$W$1001,MATCH(ROWS($V$2:V217),$V$2:$V$1001,0),1)&gt;=100000,INDEX($AC$1005:$AS$1005,1,MATCH(COLUMNS($AC$1006:AJ1006),$AC$1006:$AS$1006,0))&gt;=100000), " ",IF(INDEX($AC$2:$AS$1001,MATCH(ROWS($V$2:V217),$V$2:$V$1001,0),MATCH(COLUMNS($AC$1006:AJ1006),$AC$1006:$AS$1006,0)), HYPERLINK("#",""), HYPERLINK(CONCATENATE("#Metadata!", ADDRESS(INDEX($X$2:$X$1001,MATCH(ROWS($V$2:V217),$V$2:$V$1001,0),0), INDEX($AC$1004:$AS$1004,1,MATCH(COLUMNS($AC$1006:AJ1006),$AC$1006:$AS$1006,0)))),"Fix")))</f>
        <v>0</v>
      </c>
      <c r="J217" s="5">
        <f>IF(OR(INDEX($W$2:$W$1001,MATCH(ROWS($V$2:V217),$V$2:$V$1001,0),1)&gt;=100000,INDEX($AC$1005:$AS$1005,1,MATCH(COLUMNS($AC$1006:AK1006),$AC$1006:$AS$1006,0))&gt;=100000), " ",IF(INDEX($AC$2:$AS$1001,MATCH(ROWS($V$2:V217),$V$2:$V$1001,0),MATCH(COLUMNS($AC$1006:AK1006),$AC$1006:$AS$1006,0)), HYPERLINK("#",""), HYPERLINK(CONCATENATE("#Metadata!", ADDRESS(INDEX($X$2:$X$1001,MATCH(ROWS($V$2:V217),$V$2:$V$1001,0),0), INDEX($AC$1004:$AS$1004,1,MATCH(COLUMNS($AC$1006:AK1006),$AC$1006:$AS$1006,0)))),"Fix")))</f>
        <v>0</v>
      </c>
      <c r="K217" s="5">
        <f>IF(OR(INDEX($W$2:$W$1001,MATCH(ROWS($V$2:V217),$V$2:$V$1001,0),1)&gt;=100000,INDEX($AC$1005:$AS$1005,1,MATCH(COLUMNS($AC$1006:AL1006),$AC$1006:$AS$1006,0))&gt;=100000), " ",IF(INDEX($AC$2:$AS$1001,MATCH(ROWS($V$2:V217),$V$2:$V$1001,0),MATCH(COLUMNS($AC$1006:AL1006),$AC$1006:$AS$1006,0)), HYPERLINK("#",""), HYPERLINK(CONCATENATE("#Metadata!", ADDRESS(INDEX($X$2:$X$1001,MATCH(ROWS($V$2:V217),$V$2:$V$1001,0),0), INDEX($AC$1004:$AS$1004,1,MATCH(COLUMNS($AC$1006:AL1006),$AC$1006:$AS$1006,0)))),"Fix")))</f>
        <v>0</v>
      </c>
      <c r="L217" s="5">
        <f>IF(OR(INDEX($W$2:$W$1001,MATCH(ROWS($V$2:V217),$V$2:$V$1001,0),1)&gt;=100000,INDEX($AC$1005:$AS$1005,1,MATCH(COLUMNS($AC$1006:AM1006),$AC$1006:$AS$1006,0))&gt;=100000), " ",IF(INDEX($AC$2:$AS$1001,MATCH(ROWS($V$2:V217),$V$2:$V$1001,0),MATCH(COLUMNS($AC$1006:AM1006),$AC$1006:$AS$1006,0)), HYPERLINK("#",""), HYPERLINK(CONCATENATE("#Metadata!", ADDRESS(INDEX($X$2:$X$1001,MATCH(ROWS($V$2:V217),$V$2:$V$1001,0),0), INDEX($AC$1004:$AS$1004,1,MATCH(COLUMNS($AC$1006:AM1006),$AC$1006:$AS$1006,0)))),"Fix")))</f>
        <v>0</v>
      </c>
      <c r="M217" s="5">
        <f>IF(OR(INDEX($W$2:$W$1001,MATCH(ROWS($V$2:V217),$V$2:$V$1001,0),1)&gt;=100000,INDEX($AC$1005:$AS$1005,1,MATCH(COLUMNS($AC$1006:AN1006),$AC$1006:$AS$1006,0))&gt;=100000), " ",IF(INDEX($AC$2:$AS$1001,MATCH(ROWS($V$2:V217),$V$2:$V$1001,0),MATCH(COLUMNS($AC$1006:AN1006),$AC$1006:$AS$1006,0)), HYPERLINK("#",""), HYPERLINK(CONCATENATE("#Metadata!", ADDRESS(INDEX($X$2:$X$1001,MATCH(ROWS($V$2:V217),$V$2:$V$1001,0),0), INDEX($AC$1004:$AS$1004,1,MATCH(COLUMNS($AC$1006:AN1006),$AC$1006:$AS$1006,0)))),"Fix")))</f>
        <v>0</v>
      </c>
      <c r="N217" s="5">
        <f>IF(OR(INDEX($W$2:$W$1001,MATCH(ROWS($V$2:V217),$V$2:$V$1001,0),1)&gt;=100000,INDEX($AC$1005:$AS$1005,1,MATCH(COLUMNS($AC$1006:AO1006),$AC$1006:$AS$1006,0))&gt;=100000), " ",IF(INDEX($AC$2:$AS$1001,MATCH(ROWS($V$2:V217),$V$2:$V$1001,0),MATCH(COLUMNS($AC$1006:AO1006),$AC$1006:$AS$1006,0)), HYPERLINK("#",""), HYPERLINK(CONCATENATE("#Metadata!", ADDRESS(INDEX($X$2:$X$1001,MATCH(ROWS($V$2:V217),$V$2:$V$1001,0),0), INDEX($AC$1004:$AS$1004,1,MATCH(COLUMNS($AC$1006:AO1006),$AC$1006:$AS$1006,0)))),"Fix")))</f>
        <v>0</v>
      </c>
      <c r="O217" s="5">
        <f>IF(OR(INDEX($W$2:$W$1001,MATCH(ROWS($V$2:V217),$V$2:$V$1001,0),1)&gt;=100000,INDEX($AC$1005:$AS$1005,1,MATCH(COLUMNS($AC$1006:AP1006),$AC$1006:$AS$1006,0))&gt;=100000), " ",IF(INDEX($AC$2:$AS$1001,MATCH(ROWS($V$2:V217),$V$2:$V$1001,0),MATCH(COLUMNS($AC$1006:AP1006),$AC$1006:$AS$1006,0)), HYPERLINK("#",""), HYPERLINK(CONCATENATE("#Metadata!", ADDRESS(INDEX($X$2:$X$1001,MATCH(ROWS($V$2:V217),$V$2:$V$1001,0),0), INDEX($AC$1004:$AS$1004,1,MATCH(COLUMNS($AC$1006:AP1006),$AC$1006:$AS$1006,0)))),"Fix")))</f>
        <v>0</v>
      </c>
      <c r="P217" s="5">
        <f>IF(OR(INDEX($W$2:$W$1001,MATCH(ROWS($V$2:V217),$V$2:$V$1001,0),1)&gt;=100000,INDEX($AC$1005:$AS$1005,1,MATCH(COLUMNS($AC$1006:AQ1006),$AC$1006:$AS$1006,0))&gt;=100000), " ",IF(INDEX($AC$2:$AS$1001,MATCH(ROWS($V$2:V217),$V$2:$V$1001,0),MATCH(COLUMNS($AC$1006:AQ1006),$AC$1006:$AS$1006,0)), HYPERLINK("#",""), HYPERLINK(CONCATENATE("#Metadata!", ADDRESS(INDEX($X$2:$X$1001,MATCH(ROWS($V$2:V217),$V$2:$V$1001,0),0), INDEX($AC$1004:$AS$1004,1,MATCH(COLUMNS($AC$1006:AQ1006),$AC$1006:$AS$1006,0)))),"Fix")))</f>
        <v>0</v>
      </c>
      <c r="Q217" s="5">
        <f>IF(OR(INDEX($W$2:$W$1001,MATCH(ROWS($V$2:V217),$V$2:$V$1001,0),1)&gt;=100000,INDEX($AC$1005:$AS$1005,1,MATCH(COLUMNS($AC$1006:AR1006),$AC$1006:$AS$1006,0))&gt;=100000), " ",IF(INDEX($AC$2:$AS$1001,MATCH(ROWS($V$2:V217),$V$2:$V$1001,0),MATCH(COLUMNS($AC$1006:AR1006),$AC$1006:$AS$1006,0)), HYPERLINK("#",""), HYPERLINK(CONCATENATE("#Metadata!", ADDRESS(INDEX($X$2:$X$1001,MATCH(ROWS($V$2:V217),$V$2:$V$1001,0),0), INDEX($AC$1004:$AS$1004,1,MATCH(COLUMNS($AC$1006:AR1006),$AC$1006:$AS$1006,0)))),"Fix")))</f>
        <v>0</v>
      </c>
      <c r="R217" s="5">
        <f>IF(OR(INDEX($W$2:$W$1001,MATCH(ROWS($V$2:V217),$V$2:$V$1001,0),1)&gt;=100000,INDEX($AC$1005:$AS$1005,1,MATCH(COLUMNS($AC$1006:AS1006),$AC$1006:$AS$1006,0))&gt;=100000), " ",IF(INDEX($AC$2:$AS$1001,MATCH(ROWS($V$2:V217),$V$2:$V$1001,0),MATCH(COLUMNS($AC$1006:AS1006),$AC$1006:$AS$1006,0)), HYPERLINK("#",""), HYPERLINK(CONCATENATE("#Metadata!", ADDRESS(INDEX($X$2:$X$1001,MATCH(ROWS($V$2:V217),$V$2:$V$1001,0),0), INDEX($AC$1004:$AS$1004,1,MATCH(COLUMNS($AC$1006:AS1006),$AC$1006:$AS$1006,0)))),"Fix")))</f>
        <v>0</v>
      </c>
      <c r="V217">
        <v>0</v>
      </c>
      <c r="W217">
        <v>0</v>
      </c>
      <c r="X217">
        <v>0</v>
      </c>
      <c r="Y217">
        <f>IF(Z217,TRUE,AND(AC217:AS217))</f>
        <v>0</v>
      </c>
      <c r="Z217">
        <f>COUNTBLANK(Metadata!B217:R217)=COLUMNS(Metadata!B217:R217)</f>
        <v>0</v>
      </c>
      <c r="AA217">
        <v>0</v>
      </c>
      <c r="AC217">
        <f>AND(IF(Metadata!B217="",FALSE,TRUE),COUNTIF(Metadata!B:B, Metadata!B217) = 1,NOT(ISERROR(SUMPRODUCT(SEARCH(MID(Metadata!B217,ROW(INDIRECT("1:"&amp;LEN(Metadata!B217))), 1),"0123456789abcdefghijklmnopqrstuvwxyzABCDEFGHIJKLMNOPQRSTUVWXYZ.")))))</f>
        <v>0</v>
      </c>
      <c r="AD217">
        <f>AND(IF(Metadata!C217="",FALSE,TRUE),exact(Metadata!C217,"Host-associated"))</f>
        <v>0</v>
      </c>
      <c r="AE217">
        <f>AND(IF(Metadata!D217="",FALSE,TRUE),OR(exact(Metadata!D217,"Animal"),exact(Metadata!D217,"Fungus"),exact(Metadata!D217,"Plant")))</f>
        <v>0</v>
      </c>
      <c r="AF217">
        <f>AND(IF(Metadata!E217="",FALSE,TRUE),OR(exact(Metadata!E217,"Plant secretion"),exact(Metadata!E217,"Plant rhizosphere"),exact(Metadata!E217,"Plant surface"),exact(Metadata!E217,"Plant corpus"),exact(Metadata!E217,"Fungus surface"),exact(Metadata!E217,"Fungus corpus"),exact(Metadata!E217,"Animal surface"),exact(Metadata!E217,"Animal proximal gut"),exact(Metadata!E217,"Animal corpus"),exact(Metadata!E217,"Animal distal gut"),exact(Metadata!E217,"Animal secretion")))</f>
        <v>0</v>
      </c>
      <c r="AG217">
        <f>OR(AND(IF(Metadata!F217="",FALSE,TRUE),OR(exact(Metadata!F217,"not collected"),exact(Metadata!F217,"not provided"),exact(Metadata!F217,"restricted access"))),AND(IF(Metadata!F217="",FALSE,TRUE),OR(exact(Metadata!F217,"organism-associated habitat"),exact(Metadata!F217,"plant-associated habitat"),exact(Metadata!F217,"animal-associated habitat"),exact(Metadata!F217,"insecta-associated habitat"),exact(Metadata!F217,"mammalia-associated habitat"),exact(Metadata!F217,"human-associated habitat"),exact(Metadata!F217,"livestock-associated habitat"))))</f>
        <v>0</v>
      </c>
      <c r="AH217">
        <f>AND(IF(Metadata!G217="",FALSE,TRUE),exact(Metadata!G217,"host-associated"))</f>
        <v>0</v>
      </c>
      <c r="AI217">
        <f>OR(AND(IF(Metadata!H217="",FALSE,TRUE),OR(exact(Metadata!H217,"not collected"),exact(Metadata!H217,"not provided"))),AND(IF(Metadata!H217="",FALSE,ISNUMBER(VALUE(Metadata!H217))),Metadata!H217&gt;0))</f>
        <v>0</v>
      </c>
      <c r="AJ217">
        <f>AND(IF(Metadata!I217="",FALSE,TRUE),exact(Metadata!I217,"years"))</f>
        <v>0</v>
      </c>
      <c r="AK217">
        <f>IF(Metadata!J217="",FALSE,TRUE)</f>
        <v>0</v>
      </c>
      <c r="AL217">
        <f>OR(AND(IF(Metadata!K217="",FALSE,TRUE),OR(exact(Metadata!K217,"not collected"),exact(Metadata!K217,"not provided"))),AND(IF(Metadata!K217="",FALSE,ISNUMBER(VALUE(Metadata!K217))),Metadata!K217&gt;0))</f>
        <v>0</v>
      </c>
      <c r="AM217">
        <f>AND(IF(Metadata!L217="",FALSE,TRUE),exact(Metadata!L217,"cm"))</f>
        <v>0</v>
      </c>
      <c r="AN217">
        <f>IF(Metadata!M217="",FALSE,TRUE)</f>
        <v>0</v>
      </c>
      <c r="AO217">
        <f>OR(AND(IF(Metadata!N217="",FALSE,TRUE),OR(exact(Metadata!N217,"not applicable"),exact(Metadata!N217,"not collected"),exact(Metadata!N217,"not provided"))),AND(IF(Metadata!N217="",FALSE,IF(ISERROR(INT(Metadata!N217)),FALSE,INT(Metadata!N217)=Metadata!N217)),Metadata!N217&gt;0))</f>
        <v>0</v>
      </c>
      <c r="AP217">
        <f>OR(AND(IF(Metadata!O217="",FALSE,TRUE),OR(exact(Metadata!O217,"not collected"),exact(Metadata!O217,"not provided"))),AND(IF(Metadata!O217="",FALSE,ISNUMBER(VALUE(Metadata!O217))),Metadata!O217&gt;0))</f>
        <v>0</v>
      </c>
      <c r="AQ217">
        <f>AND(IF(Metadata!P217="",FALSE,TRUE),exact(Metadata!P217,"kg"))</f>
        <v>0</v>
      </c>
      <c r="AR217">
        <f>OR(AND(IF(Metadata!Q217="",FALSE,TRUE),OR(exact(Metadata!Q217,"not applicable"),exact(Metadata!Q217,"not collected"),exact(Metadata!Q217,"not provided"),exact(Metadata!Q217,"restricted access"))),IF(Metadata!Q217="",FALSE,IF(ISERROR(INT(Metadata!Q217)),FALSE,INT(Metadata!Q217)=Metadata!Q217)))</f>
        <v>0</v>
      </c>
      <c r="AS217">
        <f>AND(IF(Metadata!R217="",FALSE,TRUE),exact(Metadata!R217,"Not applicable"))</f>
        <v>0</v>
      </c>
    </row>
    <row r="218" spans="1:45">
      <c r="A218" s="4">
        <f>IF(B218=" "," ",HYPERLINK(CONCATENATE("#metadata!",ADDRESS(INDEX($X$2:$X$1001,MATCH(ROWS($V$2:V218),$V$2:$V$1001,0),0),2)),INDEX($AA$2:$AA$1001,MATCH(ROWS($V$2:V218),$V$2:$V$1001,0),0)))</f>
        <v>0</v>
      </c>
      <c r="B218" s="5">
        <f>IF(OR(INDEX($W$2:$W$1001,MATCH(ROWS($V$2:V218),$V$2:$V$1001,0),1)&gt;=100000,INDEX($AC$1005:$AS$1005,1,MATCH(COLUMNS($AC$1006:AC1006),$AC$1006:$AS$1006,0))&gt;=100000), " ",IF(INDEX($AC$2:$AS$1001,MATCH(ROWS($V$2:V218),$V$2:$V$1001,0),MATCH(COLUMNS($AC$1006:AC1006),$AC$1006:$AS$1006,0)), HYPERLINK("#",""), HYPERLINK(CONCATENATE("#Metadata!", ADDRESS(INDEX($X$2:$X$1001,MATCH(ROWS($V$2:V218),$V$2:$V$1001,0),0), INDEX($AC$1004:$AS$1004,1,MATCH(COLUMNS($AC$1006:AC1006),$AC$1006:$AS$1006,0)))),"Fix")))</f>
        <v>0</v>
      </c>
      <c r="C218" s="5">
        <f>IF(OR(INDEX($W$2:$W$1001,MATCH(ROWS($V$2:V218),$V$2:$V$1001,0),1)&gt;=100000,INDEX($AC$1005:$AS$1005,1,MATCH(COLUMNS($AC$1006:AD1006),$AC$1006:$AS$1006,0))&gt;=100000), " ",IF(INDEX($AC$2:$AS$1001,MATCH(ROWS($V$2:V218),$V$2:$V$1001,0),MATCH(COLUMNS($AC$1006:AD1006),$AC$1006:$AS$1006,0)), HYPERLINK("#",""), HYPERLINK(CONCATENATE("#Metadata!", ADDRESS(INDEX($X$2:$X$1001,MATCH(ROWS($V$2:V218),$V$2:$V$1001,0),0), INDEX($AC$1004:$AS$1004,1,MATCH(COLUMNS($AC$1006:AD1006),$AC$1006:$AS$1006,0)))),"Fix")))</f>
        <v>0</v>
      </c>
      <c r="D218" s="5">
        <f>IF(OR(INDEX($W$2:$W$1001,MATCH(ROWS($V$2:V218),$V$2:$V$1001,0),1)&gt;=100000,INDEX($AC$1005:$AS$1005,1,MATCH(COLUMNS($AC$1006:AE1006),$AC$1006:$AS$1006,0))&gt;=100000), " ",IF(INDEX($AC$2:$AS$1001,MATCH(ROWS($V$2:V218),$V$2:$V$1001,0),MATCH(COLUMNS($AC$1006:AE1006),$AC$1006:$AS$1006,0)), HYPERLINK("#",""), HYPERLINK(CONCATENATE("#Metadata!", ADDRESS(INDEX($X$2:$X$1001,MATCH(ROWS($V$2:V218),$V$2:$V$1001,0),0), INDEX($AC$1004:$AS$1004,1,MATCH(COLUMNS($AC$1006:AE1006),$AC$1006:$AS$1006,0)))),"Fix")))</f>
        <v>0</v>
      </c>
      <c r="E218" s="5">
        <f>IF(OR(INDEX($W$2:$W$1001,MATCH(ROWS($V$2:V218),$V$2:$V$1001,0),1)&gt;=100000,INDEX($AC$1005:$AS$1005,1,MATCH(COLUMNS($AC$1006:AF1006),$AC$1006:$AS$1006,0))&gt;=100000), " ",IF(INDEX($AC$2:$AS$1001,MATCH(ROWS($V$2:V218),$V$2:$V$1001,0),MATCH(COLUMNS($AC$1006:AF1006),$AC$1006:$AS$1006,0)), HYPERLINK("#",""), HYPERLINK(CONCATENATE("#Metadata!", ADDRESS(INDEX($X$2:$X$1001,MATCH(ROWS($V$2:V218),$V$2:$V$1001,0),0), INDEX($AC$1004:$AS$1004,1,MATCH(COLUMNS($AC$1006:AF1006),$AC$1006:$AS$1006,0)))),"Fix")))</f>
        <v>0</v>
      </c>
      <c r="F218" s="5">
        <f>IF(OR(INDEX($W$2:$W$1001,MATCH(ROWS($V$2:V218),$V$2:$V$1001,0),1)&gt;=100000,INDEX($AC$1005:$AS$1005,1,MATCH(COLUMNS($AC$1006:AG1006),$AC$1006:$AS$1006,0))&gt;=100000), " ",IF(INDEX($AC$2:$AS$1001,MATCH(ROWS($V$2:V218),$V$2:$V$1001,0),MATCH(COLUMNS($AC$1006:AG1006),$AC$1006:$AS$1006,0)), HYPERLINK("#",""), HYPERLINK(CONCATENATE("#Metadata!", ADDRESS(INDEX($X$2:$X$1001,MATCH(ROWS($V$2:V218),$V$2:$V$1001,0),0), INDEX($AC$1004:$AS$1004,1,MATCH(COLUMNS($AC$1006:AG1006),$AC$1006:$AS$1006,0)))),"Fix")))</f>
        <v>0</v>
      </c>
      <c r="G218" s="5">
        <f>IF(OR(INDEX($W$2:$W$1001,MATCH(ROWS($V$2:V218),$V$2:$V$1001,0),1)&gt;=100000,INDEX($AC$1005:$AS$1005,1,MATCH(COLUMNS($AC$1006:AH1006),$AC$1006:$AS$1006,0))&gt;=100000), " ",IF(INDEX($AC$2:$AS$1001,MATCH(ROWS($V$2:V218),$V$2:$V$1001,0),MATCH(COLUMNS($AC$1006:AH1006),$AC$1006:$AS$1006,0)), HYPERLINK("#",""), HYPERLINK(CONCATENATE("#Metadata!", ADDRESS(INDEX($X$2:$X$1001,MATCH(ROWS($V$2:V218),$V$2:$V$1001,0),0), INDEX($AC$1004:$AS$1004,1,MATCH(COLUMNS($AC$1006:AH1006),$AC$1006:$AS$1006,0)))),"Fix")))</f>
        <v>0</v>
      </c>
      <c r="H218" s="5">
        <f>IF(OR(INDEX($W$2:$W$1001,MATCH(ROWS($V$2:V218),$V$2:$V$1001,0),1)&gt;=100000,INDEX($AC$1005:$AS$1005,1,MATCH(COLUMNS($AC$1006:AI1006),$AC$1006:$AS$1006,0))&gt;=100000), " ",IF(INDEX($AC$2:$AS$1001,MATCH(ROWS($V$2:V218),$V$2:$V$1001,0),MATCH(COLUMNS($AC$1006:AI1006),$AC$1006:$AS$1006,0)), HYPERLINK("#",""), HYPERLINK(CONCATENATE("#Metadata!", ADDRESS(INDEX($X$2:$X$1001,MATCH(ROWS($V$2:V218),$V$2:$V$1001,0),0), INDEX($AC$1004:$AS$1004,1,MATCH(COLUMNS($AC$1006:AI1006),$AC$1006:$AS$1006,0)))),"Fix")))</f>
        <v>0</v>
      </c>
      <c r="I218" s="5">
        <f>IF(OR(INDEX($W$2:$W$1001,MATCH(ROWS($V$2:V218),$V$2:$V$1001,0),1)&gt;=100000,INDEX($AC$1005:$AS$1005,1,MATCH(COLUMNS($AC$1006:AJ1006),$AC$1006:$AS$1006,0))&gt;=100000), " ",IF(INDEX($AC$2:$AS$1001,MATCH(ROWS($V$2:V218),$V$2:$V$1001,0),MATCH(COLUMNS($AC$1006:AJ1006),$AC$1006:$AS$1006,0)), HYPERLINK("#",""), HYPERLINK(CONCATENATE("#Metadata!", ADDRESS(INDEX($X$2:$X$1001,MATCH(ROWS($V$2:V218),$V$2:$V$1001,0),0), INDEX($AC$1004:$AS$1004,1,MATCH(COLUMNS($AC$1006:AJ1006),$AC$1006:$AS$1006,0)))),"Fix")))</f>
        <v>0</v>
      </c>
      <c r="J218" s="5">
        <f>IF(OR(INDEX($W$2:$W$1001,MATCH(ROWS($V$2:V218),$V$2:$V$1001,0),1)&gt;=100000,INDEX($AC$1005:$AS$1005,1,MATCH(COLUMNS($AC$1006:AK1006),$AC$1006:$AS$1006,0))&gt;=100000), " ",IF(INDEX($AC$2:$AS$1001,MATCH(ROWS($V$2:V218),$V$2:$V$1001,0),MATCH(COLUMNS($AC$1006:AK1006),$AC$1006:$AS$1006,0)), HYPERLINK("#",""), HYPERLINK(CONCATENATE("#Metadata!", ADDRESS(INDEX($X$2:$X$1001,MATCH(ROWS($V$2:V218),$V$2:$V$1001,0),0), INDEX($AC$1004:$AS$1004,1,MATCH(COLUMNS($AC$1006:AK1006),$AC$1006:$AS$1006,0)))),"Fix")))</f>
        <v>0</v>
      </c>
      <c r="K218" s="5">
        <f>IF(OR(INDEX($W$2:$W$1001,MATCH(ROWS($V$2:V218),$V$2:$V$1001,0),1)&gt;=100000,INDEX($AC$1005:$AS$1005,1,MATCH(COLUMNS($AC$1006:AL1006),$AC$1006:$AS$1006,0))&gt;=100000), " ",IF(INDEX($AC$2:$AS$1001,MATCH(ROWS($V$2:V218),$V$2:$V$1001,0),MATCH(COLUMNS($AC$1006:AL1006),$AC$1006:$AS$1006,0)), HYPERLINK("#",""), HYPERLINK(CONCATENATE("#Metadata!", ADDRESS(INDEX($X$2:$X$1001,MATCH(ROWS($V$2:V218),$V$2:$V$1001,0),0), INDEX($AC$1004:$AS$1004,1,MATCH(COLUMNS($AC$1006:AL1006),$AC$1006:$AS$1006,0)))),"Fix")))</f>
        <v>0</v>
      </c>
      <c r="L218" s="5">
        <f>IF(OR(INDEX($W$2:$W$1001,MATCH(ROWS($V$2:V218),$V$2:$V$1001,0),1)&gt;=100000,INDEX($AC$1005:$AS$1005,1,MATCH(COLUMNS($AC$1006:AM1006),$AC$1006:$AS$1006,0))&gt;=100000), " ",IF(INDEX($AC$2:$AS$1001,MATCH(ROWS($V$2:V218),$V$2:$V$1001,0),MATCH(COLUMNS($AC$1006:AM1006),$AC$1006:$AS$1006,0)), HYPERLINK("#",""), HYPERLINK(CONCATENATE("#Metadata!", ADDRESS(INDEX($X$2:$X$1001,MATCH(ROWS($V$2:V218),$V$2:$V$1001,0),0), INDEX($AC$1004:$AS$1004,1,MATCH(COLUMNS($AC$1006:AM1006),$AC$1006:$AS$1006,0)))),"Fix")))</f>
        <v>0</v>
      </c>
      <c r="M218" s="5">
        <f>IF(OR(INDEX($W$2:$W$1001,MATCH(ROWS($V$2:V218),$V$2:$V$1001,0),1)&gt;=100000,INDEX($AC$1005:$AS$1005,1,MATCH(COLUMNS($AC$1006:AN1006),$AC$1006:$AS$1006,0))&gt;=100000), " ",IF(INDEX($AC$2:$AS$1001,MATCH(ROWS($V$2:V218),$V$2:$V$1001,0),MATCH(COLUMNS($AC$1006:AN1006),$AC$1006:$AS$1006,0)), HYPERLINK("#",""), HYPERLINK(CONCATENATE("#Metadata!", ADDRESS(INDEX($X$2:$X$1001,MATCH(ROWS($V$2:V218),$V$2:$V$1001,0),0), INDEX($AC$1004:$AS$1004,1,MATCH(COLUMNS($AC$1006:AN1006),$AC$1006:$AS$1006,0)))),"Fix")))</f>
        <v>0</v>
      </c>
      <c r="N218" s="5">
        <f>IF(OR(INDEX($W$2:$W$1001,MATCH(ROWS($V$2:V218),$V$2:$V$1001,0),1)&gt;=100000,INDEX($AC$1005:$AS$1005,1,MATCH(COLUMNS($AC$1006:AO1006),$AC$1006:$AS$1006,0))&gt;=100000), " ",IF(INDEX($AC$2:$AS$1001,MATCH(ROWS($V$2:V218),$V$2:$V$1001,0),MATCH(COLUMNS($AC$1006:AO1006),$AC$1006:$AS$1006,0)), HYPERLINK("#",""), HYPERLINK(CONCATENATE("#Metadata!", ADDRESS(INDEX($X$2:$X$1001,MATCH(ROWS($V$2:V218),$V$2:$V$1001,0),0), INDEX($AC$1004:$AS$1004,1,MATCH(COLUMNS($AC$1006:AO1006),$AC$1006:$AS$1006,0)))),"Fix")))</f>
        <v>0</v>
      </c>
      <c r="O218" s="5">
        <f>IF(OR(INDEX($W$2:$W$1001,MATCH(ROWS($V$2:V218),$V$2:$V$1001,0),1)&gt;=100000,INDEX($AC$1005:$AS$1005,1,MATCH(COLUMNS($AC$1006:AP1006),$AC$1006:$AS$1006,0))&gt;=100000), " ",IF(INDEX($AC$2:$AS$1001,MATCH(ROWS($V$2:V218),$V$2:$V$1001,0),MATCH(COLUMNS($AC$1006:AP1006),$AC$1006:$AS$1006,0)), HYPERLINK("#",""), HYPERLINK(CONCATENATE("#Metadata!", ADDRESS(INDEX($X$2:$X$1001,MATCH(ROWS($V$2:V218),$V$2:$V$1001,0),0), INDEX($AC$1004:$AS$1004,1,MATCH(COLUMNS($AC$1006:AP1006),$AC$1006:$AS$1006,0)))),"Fix")))</f>
        <v>0</v>
      </c>
      <c r="P218" s="5">
        <f>IF(OR(INDEX($W$2:$W$1001,MATCH(ROWS($V$2:V218),$V$2:$V$1001,0),1)&gt;=100000,INDEX($AC$1005:$AS$1005,1,MATCH(COLUMNS($AC$1006:AQ1006),$AC$1006:$AS$1006,0))&gt;=100000), " ",IF(INDEX($AC$2:$AS$1001,MATCH(ROWS($V$2:V218),$V$2:$V$1001,0),MATCH(COLUMNS($AC$1006:AQ1006),$AC$1006:$AS$1006,0)), HYPERLINK("#",""), HYPERLINK(CONCATENATE("#Metadata!", ADDRESS(INDEX($X$2:$X$1001,MATCH(ROWS($V$2:V218),$V$2:$V$1001,0),0), INDEX($AC$1004:$AS$1004,1,MATCH(COLUMNS($AC$1006:AQ1006),$AC$1006:$AS$1006,0)))),"Fix")))</f>
        <v>0</v>
      </c>
      <c r="Q218" s="5">
        <f>IF(OR(INDEX($W$2:$W$1001,MATCH(ROWS($V$2:V218),$V$2:$V$1001,0),1)&gt;=100000,INDEX($AC$1005:$AS$1005,1,MATCH(COLUMNS($AC$1006:AR1006),$AC$1006:$AS$1006,0))&gt;=100000), " ",IF(INDEX($AC$2:$AS$1001,MATCH(ROWS($V$2:V218),$V$2:$V$1001,0),MATCH(COLUMNS($AC$1006:AR1006),$AC$1006:$AS$1006,0)), HYPERLINK("#",""), HYPERLINK(CONCATENATE("#Metadata!", ADDRESS(INDEX($X$2:$X$1001,MATCH(ROWS($V$2:V218),$V$2:$V$1001,0),0), INDEX($AC$1004:$AS$1004,1,MATCH(COLUMNS($AC$1006:AR1006),$AC$1006:$AS$1006,0)))),"Fix")))</f>
        <v>0</v>
      </c>
      <c r="R218" s="5">
        <f>IF(OR(INDEX($W$2:$W$1001,MATCH(ROWS($V$2:V218),$V$2:$V$1001,0),1)&gt;=100000,INDEX($AC$1005:$AS$1005,1,MATCH(COLUMNS($AC$1006:AS1006),$AC$1006:$AS$1006,0))&gt;=100000), " ",IF(INDEX($AC$2:$AS$1001,MATCH(ROWS($V$2:V218),$V$2:$V$1001,0),MATCH(COLUMNS($AC$1006:AS1006),$AC$1006:$AS$1006,0)), HYPERLINK("#",""), HYPERLINK(CONCATENATE("#Metadata!", ADDRESS(INDEX($X$2:$X$1001,MATCH(ROWS($V$2:V218),$V$2:$V$1001,0),0), INDEX($AC$1004:$AS$1004,1,MATCH(COLUMNS($AC$1006:AS1006),$AC$1006:$AS$1006,0)))),"Fix")))</f>
        <v>0</v>
      </c>
      <c r="V218">
        <v>0</v>
      </c>
      <c r="W218">
        <v>0</v>
      </c>
      <c r="X218">
        <v>0</v>
      </c>
      <c r="Y218">
        <f>IF(Z218,TRUE,AND(AC218:AS218))</f>
        <v>0</v>
      </c>
      <c r="Z218">
        <f>COUNTBLANK(Metadata!B218:R218)=COLUMNS(Metadata!B218:R218)</f>
        <v>0</v>
      </c>
      <c r="AA218">
        <v>0</v>
      </c>
      <c r="AC218">
        <f>AND(IF(Metadata!B218="",FALSE,TRUE),COUNTIF(Metadata!B:B, Metadata!B218) = 1,NOT(ISERROR(SUMPRODUCT(SEARCH(MID(Metadata!B218,ROW(INDIRECT("1:"&amp;LEN(Metadata!B218))), 1),"0123456789abcdefghijklmnopqrstuvwxyzABCDEFGHIJKLMNOPQRSTUVWXYZ.")))))</f>
        <v>0</v>
      </c>
      <c r="AD218">
        <f>AND(IF(Metadata!C218="",FALSE,TRUE),exact(Metadata!C218,"Host-associated"))</f>
        <v>0</v>
      </c>
      <c r="AE218">
        <f>AND(IF(Metadata!D218="",FALSE,TRUE),OR(exact(Metadata!D218,"Animal"),exact(Metadata!D218,"Fungus"),exact(Metadata!D218,"Plant")))</f>
        <v>0</v>
      </c>
      <c r="AF218">
        <f>AND(IF(Metadata!E218="",FALSE,TRUE),OR(exact(Metadata!E218,"Plant secretion"),exact(Metadata!E218,"Plant rhizosphere"),exact(Metadata!E218,"Plant surface"),exact(Metadata!E218,"Plant corpus"),exact(Metadata!E218,"Fungus surface"),exact(Metadata!E218,"Fungus corpus"),exact(Metadata!E218,"Animal surface"),exact(Metadata!E218,"Animal proximal gut"),exact(Metadata!E218,"Animal corpus"),exact(Metadata!E218,"Animal distal gut"),exact(Metadata!E218,"Animal secretion")))</f>
        <v>0</v>
      </c>
      <c r="AG218">
        <f>OR(AND(IF(Metadata!F218="",FALSE,TRUE),OR(exact(Metadata!F218,"not collected"),exact(Metadata!F218,"not provided"),exact(Metadata!F218,"restricted access"))),AND(IF(Metadata!F218="",FALSE,TRUE),OR(exact(Metadata!F218,"organism-associated habitat"),exact(Metadata!F218,"plant-associated habitat"),exact(Metadata!F218,"animal-associated habitat"),exact(Metadata!F218,"insecta-associated habitat"),exact(Metadata!F218,"mammalia-associated habitat"),exact(Metadata!F218,"human-associated habitat"),exact(Metadata!F218,"livestock-associated habitat"))))</f>
        <v>0</v>
      </c>
      <c r="AH218">
        <f>AND(IF(Metadata!G218="",FALSE,TRUE),exact(Metadata!G218,"host-associated"))</f>
        <v>0</v>
      </c>
      <c r="AI218">
        <f>OR(AND(IF(Metadata!H218="",FALSE,TRUE),OR(exact(Metadata!H218,"not collected"),exact(Metadata!H218,"not provided"))),AND(IF(Metadata!H218="",FALSE,ISNUMBER(VALUE(Metadata!H218))),Metadata!H218&gt;0))</f>
        <v>0</v>
      </c>
      <c r="AJ218">
        <f>AND(IF(Metadata!I218="",FALSE,TRUE),exact(Metadata!I218,"years"))</f>
        <v>0</v>
      </c>
      <c r="AK218">
        <f>IF(Metadata!J218="",FALSE,TRUE)</f>
        <v>0</v>
      </c>
      <c r="AL218">
        <f>OR(AND(IF(Metadata!K218="",FALSE,TRUE),OR(exact(Metadata!K218,"not collected"),exact(Metadata!K218,"not provided"))),AND(IF(Metadata!K218="",FALSE,ISNUMBER(VALUE(Metadata!K218))),Metadata!K218&gt;0))</f>
        <v>0</v>
      </c>
      <c r="AM218">
        <f>AND(IF(Metadata!L218="",FALSE,TRUE),exact(Metadata!L218,"cm"))</f>
        <v>0</v>
      </c>
      <c r="AN218">
        <f>IF(Metadata!M218="",FALSE,TRUE)</f>
        <v>0</v>
      </c>
      <c r="AO218">
        <f>OR(AND(IF(Metadata!N218="",FALSE,TRUE),OR(exact(Metadata!N218,"not applicable"),exact(Metadata!N218,"not collected"),exact(Metadata!N218,"not provided"))),AND(IF(Metadata!N218="",FALSE,IF(ISERROR(INT(Metadata!N218)),FALSE,INT(Metadata!N218)=Metadata!N218)),Metadata!N218&gt;0))</f>
        <v>0</v>
      </c>
      <c r="AP218">
        <f>OR(AND(IF(Metadata!O218="",FALSE,TRUE),OR(exact(Metadata!O218,"not collected"),exact(Metadata!O218,"not provided"))),AND(IF(Metadata!O218="",FALSE,ISNUMBER(VALUE(Metadata!O218))),Metadata!O218&gt;0))</f>
        <v>0</v>
      </c>
      <c r="AQ218">
        <f>AND(IF(Metadata!P218="",FALSE,TRUE),exact(Metadata!P218,"kg"))</f>
        <v>0</v>
      </c>
      <c r="AR218">
        <f>OR(AND(IF(Metadata!Q218="",FALSE,TRUE),OR(exact(Metadata!Q218,"not applicable"),exact(Metadata!Q218,"not collected"),exact(Metadata!Q218,"not provided"),exact(Metadata!Q218,"restricted access"))),IF(Metadata!Q218="",FALSE,IF(ISERROR(INT(Metadata!Q218)),FALSE,INT(Metadata!Q218)=Metadata!Q218)))</f>
        <v>0</v>
      </c>
      <c r="AS218">
        <f>AND(IF(Metadata!R218="",FALSE,TRUE),exact(Metadata!R218,"Not applicable"))</f>
        <v>0</v>
      </c>
    </row>
    <row r="219" spans="1:45">
      <c r="A219" s="4">
        <f>IF(B219=" "," ",HYPERLINK(CONCATENATE("#metadata!",ADDRESS(INDEX($X$2:$X$1001,MATCH(ROWS($V$2:V219),$V$2:$V$1001,0),0),2)),INDEX($AA$2:$AA$1001,MATCH(ROWS($V$2:V219),$V$2:$V$1001,0),0)))</f>
        <v>0</v>
      </c>
      <c r="B219" s="5">
        <f>IF(OR(INDEX($W$2:$W$1001,MATCH(ROWS($V$2:V219),$V$2:$V$1001,0),1)&gt;=100000,INDEX($AC$1005:$AS$1005,1,MATCH(COLUMNS($AC$1006:AC1006),$AC$1006:$AS$1006,0))&gt;=100000), " ",IF(INDEX($AC$2:$AS$1001,MATCH(ROWS($V$2:V219),$V$2:$V$1001,0),MATCH(COLUMNS($AC$1006:AC1006),$AC$1006:$AS$1006,0)), HYPERLINK("#",""), HYPERLINK(CONCATENATE("#Metadata!", ADDRESS(INDEX($X$2:$X$1001,MATCH(ROWS($V$2:V219),$V$2:$V$1001,0),0), INDEX($AC$1004:$AS$1004,1,MATCH(COLUMNS($AC$1006:AC1006),$AC$1006:$AS$1006,0)))),"Fix")))</f>
        <v>0</v>
      </c>
      <c r="C219" s="5">
        <f>IF(OR(INDEX($W$2:$W$1001,MATCH(ROWS($V$2:V219),$V$2:$V$1001,0),1)&gt;=100000,INDEX($AC$1005:$AS$1005,1,MATCH(COLUMNS($AC$1006:AD1006),$AC$1006:$AS$1006,0))&gt;=100000), " ",IF(INDEX($AC$2:$AS$1001,MATCH(ROWS($V$2:V219),$V$2:$V$1001,0),MATCH(COLUMNS($AC$1006:AD1006),$AC$1006:$AS$1006,0)), HYPERLINK("#",""), HYPERLINK(CONCATENATE("#Metadata!", ADDRESS(INDEX($X$2:$X$1001,MATCH(ROWS($V$2:V219),$V$2:$V$1001,0),0), INDEX($AC$1004:$AS$1004,1,MATCH(COLUMNS($AC$1006:AD1006),$AC$1006:$AS$1006,0)))),"Fix")))</f>
        <v>0</v>
      </c>
      <c r="D219" s="5">
        <f>IF(OR(INDEX($W$2:$W$1001,MATCH(ROWS($V$2:V219),$V$2:$V$1001,0),1)&gt;=100000,INDEX($AC$1005:$AS$1005,1,MATCH(COLUMNS($AC$1006:AE1006),$AC$1006:$AS$1006,0))&gt;=100000), " ",IF(INDEX($AC$2:$AS$1001,MATCH(ROWS($V$2:V219),$V$2:$V$1001,0),MATCH(COLUMNS($AC$1006:AE1006),$AC$1006:$AS$1006,0)), HYPERLINK("#",""), HYPERLINK(CONCATENATE("#Metadata!", ADDRESS(INDEX($X$2:$X$1001,MATCH(ROWS($V$2:V219),$V$2:$V$1001,0),0), INDEX($AC$1004:$AS$1004,1,MATCH(COLUMNS($AC$1006:AE1006),$AC$1006:$AS$1006,0)))),"Fix")))</f>
        <v>0</v>
      </c>
      <c r="E219" s="5">
        <f>IF(OR(INDEX($W$2:$W$1001,MATCH(ROWS($V$2:V219),$V$2:$V$1001,0),1)&gt;=100000,INDEX($AC$1005:$AS$1005,1,MATCH(COLUMNS($AC$1006:AF1006),$AC$1006:$AS$1006,0))&gt;=100000), " ",IF(INDEX($AC$2:$AS$1001,MATCH(ROWS($V$2:V219),$V$2:$V$1001,0),MATCH(COLUMNS($AC$1006:AF1006),$AC$1006:$AS$1006,0)), HYPERLINK("#",""), HYPERLINK(CONCATENATE("#Metadata!", ADDRESS(INDEX($X$2:$X$1001,MATCH(ROWS($V$2:V219),$V$2:$V$1001,0),0), INDEX($AC$1004:$AS$1004,1,MATCH(COLUMNS($AC$1006:AF1006),$AC$1006:$AS$1006,0)))),"Fix")))</f>
        <v>0</v>
      </c>
      <c r="F219" s="5">
        <f>IF(OR(INDEX($W$2:$W$1001,MATCH(ROWS($V$2:V219),$V$2:$V$1001,0),1)&gt;=100000,INDEX($AC$1005:$AS$1005,1,MATCH(COLUMNS($AC$1006:AG1006),$AC$1006:$AS$1006,0))&gt;=100000), " ",IF(INDEX($AC$2:$AS$1001,MATCH(ROWS($V$2:V219),$V$2:$V$1001,0),MATCH(COLUMNS($AC$1006:AG1006),$AC$1006:$AS$1006,0)), HYPERLINK("#",""), HYPERLINK(CONCATENATE("#Metadata!", ADDRESS(INDEX($X$2:$X$1001,MATCH(ROWS($V$2:V219),$V$2:$V$1001,0),0), INDEX($AC$1004:$AS$1004,1,MATCH(COLUMNS($AC$1006:AG1006),$AC$1006:$AS$1006,0)))),"Fix")))</f>
        <v>0</v>
      </c>
      <c r="G219" s="5">
        <f>IF(OR(INDEX($W$2:$W$1001,MATCH(ROWS($V$2:V219),$V$2:$V$1001,0),1)&gt;=100000,INDEX($AC$1005:$AS$1005,1,MATCH(COLUMNS($AC$1006:AH1006),$AC$1006:$AS$1006,0))&gt;=100000), " ",IF(INDEX($AC$2:$AS$1001,MATCH(ROWS($V$2:V219),$V$2:$V$1001,0),MATCH(COLUMNS($AC$1006:AH1006),$AC$1006:$AS$1006,0)), HYPERLINK("#",""), HYPERLINK(CONCATENATE("#Metadata!", ADDRESS(INDEX($X$2:$X$1001,MATCH(ROWS($V$2:V219),$V$2:$V$1001,0),0), INDEX($AC$1004:$AS$1004,1,MATCH(COLUMNS($AC$1006:AH1006),$AC$1006:$AS$1006,0)))),"Fix")))</f>
        <v>0</v>
      </c>
      <c r="H219" s="5">
        <f>IF(OR(INDEX($W$2:$W$1001,MATCH(ROWS($V$2:V219),$V$2:$V$1001,0),1)&gt;=100000,INDEX($AC$1005:$AS$1005,1,MATCH(COLUMNS($AC$1006:AI1006),$AC$1006:$AS$1006,0))&gt;=100000), " ",IF(INDEX($AC$2:$AS$1001,MATCH(ROWS($V$2:V219),$V$2:$V$1001,0),MATCH(COLUMNS($AC$1006:AI1006),$AC$1006:$AS$1006,0)), HYPERLINK("#",""), HYPERLINK(CONCATENATE("#Metadata!", ADDRESS(INDEX($X$2:$X$1001,MATCH(ROWS($V$2:V219),$V$2:$V$1001,0),0), INDEX($AC$1004:$AS$1004,1,MATCH(COLUMNS($AC$1006:AI1006),$AC$1006:$AS$1006,0)))),"Fix")))</f>
        <v>0</v>
      </c>
      <c r="I219" s="5">
        <f>IF(OR(INDEX($W$2:$W$1001,MATCH(ROWS($V$2:V219),$V$2:$V$1001,0),1)&gt;=100000,INDEX($AC$1005:$AS$1005,1,MATCH(COLUMNS($AC$1006:AJ1006),$AC$1006:$AS$1006,0))&gt;=100000), " ",IF(INDEX($AC$2:$AS$1001,MATCH(ROWS($V$2:V219),$V$2:$V$1001,0),MATCH(COLUMNS($AC$1006:AJ1006),$AC$1006:$AS$1006,0)), HYPERLINK("#",""), HYPERLINK(CONCATENATE("#Metadata!", ADDRESS(INDEX($X$2:$X$1001,MATCH(ROWS($V$2:V219),$V$2:$V$1001,0),0), INDEX($AC$1004:$AS$1004,1,MATCH(COLUMNS($AC$1006:AJ1006),$AC$1006:$AS$1006,0)))),"Fix")))</f>
        <v>0</v>
      </c>
      <c r="J219" s="5">
        <f>IF(OR(INDEX($W$2:$W$1001,MATCH(ROWS($V$2:V219),$V$2:$V$1001,0),1)&gt;=100000,INDEX($AC$1005:$AS$1005,1,MATCH(COLUMNS($AC$1006:AK1006),$AC$1006:$AS$1006,0))&gt;=100000), " ",IF(INDEX($AC$2:$AS$1001,MATCH(ROWS($V$2:V219),$V$2:$V$1001,0),MATCH(COLUMNS($AC$1006:AK1006),$AC$1006:$AS$1006,0)), HYPERLINK("#",""), HYPERLINK(CONCATENATE("#Metadata!", ADDRESS(INDEX($X$2:$X$1001,MATCH(ROWS($V$2:V219),$V$2:$V$1001,0),0), INDEX($AC$1004:$AS$1004,1,MATCH(COLUMNS($AC$1006:AK1006),$AC$1006:$AS$1006,0)))),"Fix")))</f>
        <v>0</v>
      </c>
      <c r="K219" s="5">
        <f>IF(OR(INDEX($W$2:$W$1001,MATCH(ROWS($V$2:V219),$V$2:$V$1001,0),1)&gt;=100000,INDEX($AC$1005:$AS$1005,1,MATCH(COLUMNS($AC$1006:AL1006),$AC$1006:$AS$1006,0))&gt;=100000), " ",IF(INDEX($AC$2:$AS$1001,MATCH(ROWS($V$2:V219),$V$2:$V$1001,0),MATCH(COLUMNS($AC$1006:AL1006),$AC$1006:$AS$1006,0)), HYPERLINK("#",""), HYPERLINK(CONCATENATE("#Metadata!", ADDRESS(INDEX($X$2:$X$1001,MATCH(ROWS($V$2:V219),$V$2:$V$1001,0),0), INDEX($AC$1004:$AS$1004,1,MATCH(COLUMNS($AC$1006:AL1006),$AC$1006:$AS$1006,0)))),"Fix")))</f>
        <v>0</v>
      </c>
      <c r="L219" s="5">
        <f>IF(OR(INDEX($W$2:$W$1001,MATCH(ROWS($V$2:V219),$V$2:$V$1001,0),1)&gt;=100000,INDEX($AC$1005:$AS$1005,1,MATCH(COLUMNS($AC$1006:AM1006),$AC$1006:$AS$1006,0))&gt;=100000), " ",IF(INDEX($AC$2:$AS$1001,MATCH(ROWS($V$2:V219),$V$2:$V$1001,0),MATCH(COLUMNS($AC$1006:AM1006),$AC$1006:$AS$1006,0)), HYPERLINK("#",""), HYPERLINK(CONCATENATE("#Metadata!", ADDRESS(INDEX($X$2:$X$1001,MATCH(ROWS($V$2:V219),$V$2:$V$1001,0),0), INDEX($AC$1004:$AS$1004,1,MATCH(COLUMNS($AC$1006:AM1006),$AC$1006:$AS$1006,0)))),"Fix")))</f>
        <v>0</v>
      </c>
      <c r="M219" s="5">
        <f>IF(OR(INDEX($W$2:$W$1001,MATCH(ROWS($V$2:V219),$V$2:$V$1001,0),1)&gt;=100000,INDEX($AC$1005:$AS$1005,1,MATCH(COLUMNS($AC$1006:AN1006),$AC$1006:$AS$1006,0))&gt;=100000), " ",IF(INDEX($AC$2:$AS$1001,MATCH(ROWS($V$2:V219),$V$2:$V$1001,0),MATCH(COLUMNS($AC$1006:AN1006),$AC$1006:$AS$1006,0)), HYPERLINK("#",""), HYPERLINK(CONCATENATE("#Metadata!", ADDRESS(INDEX($X$2:$X$1001,MATCH(ROWS($V$2:V219),$V$2:$V$1001,0),0), INDEX($AC$1004:$AS$1004,1,MATCH(COLUMNS($AC$1006:AN1006),$AC$1006:$AS$1006,0)))),"Fix")))</f>
        <v>0</v>
      </c>
      <c r="N219" s="5">
        <f>IF(OR(INDEX($W$2:$W$1001,MATCH(ROWS($V$2:V219),$V$2:$V$1001,0),1)&gt;=100000,INDEX($AC$1005:$AS$1005,1,MATCH(COLUMNS($AC$1006:AO1006),$AC$1006:$AS$1006,0))&gt;=100000), " ",IF(INDEX($AC$2:$AS$1001,MATCH(ROWS($V$2:V219),$V$2:$V$1001,0),MATCH(COLUMNS($AC$1006:AO1006),$AC$1006:$AS$1006,0)), HYPERLINK("#",""), HYPERLINK(CONCATENATE("#Metadata!", ADDRESS(INDEX($X$2:$X$1001,MATCH(ROWS($V$2:V219),$V$2:$V$1001,0),0), INDEX($AC$1004:$AS$1004,1,MATCH(COLUMNS($AC$1006:AO1006),$AC$1006:$AS$1006,0)))),"Fix")))</f>
        <v>0</v>
      </c>
      <c r="O219" s="5">
        <f>IF(OR(INDEX($W$2:$W$1001,MATCH(ROWS($V$2:V219),$V$2:$V$1001,0),1)&gt;=100000,INDEX($AC$1005:$AS$1005,1,MATCH(COLUMNS($AC$1006:AP1006),$AC$1006:$AS$1006,0))&gt;=100000), " ",IF(INDEX($AC$2:$AS$1001,MATCH(ROWS($V$2:V219),$V$2:$V$1001,0),MATCH(COLUMNS($AC$1006:AP1006),$AC$1006:$AS$1006,0)), HYPERLINK("#",""), HYPERLINK(CONCATENATE("#Metadata!", ADDRESS(INDEX($X$2:$X$1001,MATCH(ROWS($V$2:V219),$V$2:$V$1001,0),0), INDEX($AC$1004:$AS$1004,1,MATCH(COLUMNS($AC$1006:AP1006),$AC$1006:$AS$1006,0)))),"Fix")))</f>
        <v>0</v>
      </c>
      <c r="P219" s="5">
        <f>IF(OR(INDEX($W$2:$W$1001,MATCH(ROWS($V$2:V219),$V$2:$V$1001,0),1)&gt;=100000,INDEX($AC$1005:$AS$1005,1,MATCH(COLUMNS($AC$1006:AQ1006),$AC$1006:$AS$1006,0))&gt;=100000), " ",IF(INDEX($AC$2:$AS$1001,MATCH(ROWS($V$2:V219),$V$2:$V$1001,0),MATCH(COLUMNS($AC$1006:AQ1006),$AC$1006:$AS$1006,0)), HYPERLINK("#",""), HYPERLINK(CONCATENATE("#Metadata!", ADDRESS(INDEX($X$2:$X$1001,MATCH(ROWS($V$2:V219),$V$2:$V$1001,0),0), INDEX($AC$1004:$AS$1004,1,MATCH(COLUMNS($AC$1006:AQ1006),$AC$1006:$AS$1006,0)))),"Fix")))</f>
        <v>0</v>
      </c>
      <c r="Q219" s="5">
        <f>IF(OR(INDEX($W$2:$W$1001,MATCH(ROWS($V$2:V219),$V$2:$V$1001,0),1)&gt;=100000,INDEX($AC$1005:$AS$1005,1,MATCH(COLUMNS($AC$1006:AR1006),$AC$1006:$AS$1006,0))&gt;=100000), " ",IF(INDEX($AC$2:$AS$1001,MATCH(ROWS($V$2:V219),$V$2:$V$1001,0),MATCH(COLUMNS($AC$1006:AR1006),$AC$1006:$AS$1006,0)), HYPERLINK("#",""), HYPERLINK(CONCATENATE("#Metadata!", ADDRESS(INDEX($X$2:$X$1001,MATCH(ROWS($V$2:V219),$V$2:$V$1001,0),0), INDEX($AC$1004:$AS$1004,1,MATCH(COLUMNS($AC$1006:AR1006),$AC$1006:$AS$1006,0)))),"Fix")))</f>
        <v>0</v>
      </c>
      <c r="R219" s="5">
        <f>IF(OR(INDEX($W$2:$W$1001,MATCH(ROWS($V$2:V219),$V$2:$V$1001,0),1)&gt;=100000,INDEX($AC$1005:$AS$1005,1,MATCH(COLUMNS($AC$1006:AS1006),$AC$1006:$AS$1006,0))&gt;=100000), " ",IF(INDEX($AC$2:$AS$1001,MATCH(ROWS($V$2:V219),$V$2:$V$1001,0),MATCH(COLUMNS($AC$1006:AS1006),$AC$1006:$AS$1006,0)), HYPERLINK("#",""), HYPERLINK(CONCATENATE("#Metadata!", ADDRESS(INDEX($X$2:$X$1001,MATCH(ROWS($V$2:V219),$V$2:$V$1001,0),0), INDEX($AC$1004:$AS$1004,1,MATCH(COLUMNS($AC$1006:AS1006),$AC$1006:$AS$1006,0)))),"Fix")))</f>
        <v>0</v>
      </c>
      <c r="V219">
        <v>0</v>
      </c>
      <c r="W219">
        <v>0</v>
      </c>
      <c r="X219">
        <v>0</v>
      </c>
      <c r="Y219">
        <f>IF(Z219,TRUE,AND(AC219:AS219))</f>
        <v>0</v>
      </c>
      <c r="Z219">
        <f>COUNTBLANK(Metadata!B219:R219)=COLUMNS(Metadata!B219:R219)</f>
        <v>0</v>
      </c>
      <c r="AA219">
        <v>0</v>
      </c>
      <c r="AC219">
        <f>AND(IF(Metadata!B219="",FALSE,TRUE),COUNTIF(Metadata!B:B, Metadata!B219) = 1,NOT(ISERROR(SUMPRODUCT(SEARCH(MID(Metadata!B219,ROW(INDIRECT("1:"&amp;LEN(Metadata!B219))), 1),"0123456789abcdefghijklmnopqrstuvwxyzABCDEFGHIJKLMNOPQRSTUVWXYZ.")))))</f>
        <v>0</v>
      </c>
      <c r="AD219">
        <f>AND(IF(Metadata!C219="",FALSE,TRUE),exact(Metadata!C219,"Host-associated"))</f>
        <v>0</v>
      </c>
      <c r="AE219">
        <f>AND(IF(Metadata!D219="",FALSE,TRUE),OR(exact(Metadata!D219,"Animal"),exact(Metadata!D219,"Fungus"),exact(Metadata!D219,"Plant")))</f>
        <v>0</v>
      </c>
      <c r="AF219">
        <f>AND(IF(Metadata!E219="",FALSE,TRUE),OR(exact(Metadata!E219,"Plant secretion"),exact(Metadata!E219,"Plant rhizosphere"),exact(Metadata!E219,"Plant surface"),exact(Metadata!E219,"Plant corpus"),exact(Metadata!E219,"Fungus surface"),exact(Metadata!E219,"Fungus corpus"),exact(Metadata!E219,"Animal surface"),exact(Metadata!E219,"Animal proximal gut"),exact(Metadata!E219,"Animal corpus"),exact(Metadata!E219,"Animal distal gut"),exact(Metadata!E219,"Animal secretion")))</f>
        <v>0</v>
      </c>
      <c r="AG219">
        <f>OR(AND(IF(Metadata!F219="",FALSE,TRUE),OR(exact(Metadata!F219,"not collected"),exact(Metadata!F219,"not provided"),exact(Metadata!F219,"restricted access"))),AND(IF(Metadata!F219="",FALSE,TRUE),OR(exact(Metadata!F219,"organism-associated habitat"),exact(Metadata!F219,"plant-associated habitat"),exact(Metadata!F219,"animal-associated habitat"),exact(Metadata!F219,"insecta-associated habitat"),exact(Metadata!F219,"mammalia-associated habitat"),exact(Metadata!F219,"human-associated habitat"),exact(Metadata!F219,"livestock-associated habitat"))))</f>
        <v>0</v>
      </c>
      <c r="AH219">
        <f>AND(IF(Metadata!G219="",FALSE,TRUE),exact(Metadata!G219,"host-associated"))</f>
        <v>0</v>
      </c>
      <c r="AI219">
        <f>OR(AND(IF(Metadata!H219="",FALSE,TRUE),OR(exact(Metadata!H219,"not collected"),exact(Metadata!H219,"not provided"))),AND(IF(Metadata!H219="",FALSE,ISNUMBER(VALUE(Metadata!H219))),Metadata!H219&gt;0))</f>
        <v>0</v>
      </c>
      <c r="AJ219">
        <f>AND(IF(Metadata!I219="",FALSE,TRUE),exact(Metadata!I219,"years"))</f>
        <v>0</v>
      </c>
      <c r="AK219">
        <f>IF(Metadata!J219="",FALSE,TRUE)</f>
        <v>0</v>
      </c>
      <c r="AL219">
        <f>OR(AND(IF(Metadata!K219="",FALSE,TRUE),OR(exact(Metadata!K219,"not collected"),exact(Metadata!K219,"not provided"))),AND(IF(Metadata!K219="",FALSE,ISNUMBER(VALUE(Metadata!K219))),Metadata!K219&gt;0))</f>
        <v>0</v>
      </c>
      <c r="AM219">
        <f>AND(IF(Metadata!L219="",FALSE,TRUE),exact(Metadata!L219,"cm"))</f>
        <v>0</v>
      </c>
      <c r="AN219">
        <f>IF(Metadata!M219="",FALSE,TRUE)</f>
        <v>0</v>
      </c>
      <c r="AO219">
        <f>OR(AND(IF(Metadata!N219="",FALSE,TRUE),OR(exact(Metadata!N219,"not applicable"),exact(Metadata!N219,"not collected"),exact(Metadata!N219,"not provided"))),AND(IF(Metadata!N219="",FALSE,IF(ISERROR(INT(Metadata!N219)),FALSE,INT(Metadata!N219)=Metadata!N219)),Metadata!N219&gt;0))</f>
        <v>0</v>
      </c>
      <c r="AP219">
        <f>OR(AND(IF(Metadata!O219="",FALSE,TRUE),OR(exact(Metadata!O219,"not collected"),exact(Metadata!O219,"not provided"))),AND(IF(Metadata!O219="",FALSE,ISNUMBER(VALUE(Metadata!O219))),Metadata!O219&gt;0))</f>
        <v>0</v>
      </c>
      <c r="AQ219">
        <f>AND(IF(Metadata!P219="",FALSE,TRUE),exact(Metadata!P219,"kg"))</f>
        <v>0</v>
      </c>
      <c r="AR219">
        <f>OR(AND(IF(Metadata!Q219="",FALSE,TRUE),OR(exact(Metadata!Q219,"not applicable"),exact(Metadata!Q219,"not collected"),exact(Metadata!Q219,"not provided"),exact(Metadata!Q219,"restricted access"))),IF(Metadata!Q219="",FALSE,IF(ISERROR(INT(Metadata!Q219)),FALSE,INT(Metadata!Q219)=Metadata!Q219)))</f>
        <v>0</v>
      </c>
      <c r="AS219">
        <f>AND(IF(Metadata!R219="",FALSE,TRUE),exact(Metadata!R219,"Not applicable"))</f>
        <v>0</v>
      </c>
    </row>
    <row r="220" spans="1:45">
      <c r="A220" s="4">
        <f>IF(B220=" "," ",HYPERLINK(CONCATENATE("#metadata!",ADDRESS(INDEX($X$2:$X$1001,MATCH(ROWS($V$2:V220),$V$2:$V$1001,0),0),2)),INDEX($AA$2:$AA$1001,MATCH(ROWS($V$2:V220),$V$2:$V$1001,0),0)))</f>
        <v>0</v>
      </c>
      <c r="B220" s="5">
        <f>IF(OR(INDEX($W$2:$W$1001,MATCH(ROWS($V$2:V220),$V$2:$V$1001,0),1)&gt;=100000,INDEX($AC$1005:$AS$1005,1,MATCH(COLUMNS($AC$1006:AC1006),$AC$1006:$AS$1006,0))&gt;=100000), " ",IF(INDEX($AC$2:$AS$1001,MATCH(ROWS($V$2:V220),$V$2:$V$1001,0),MATCH(COLUMNS($AC$1006:AC1006),$AC$1006:$AS$1006,0)), HYPERLINK("#",""), HYPERLINK(CONCATENATE("#Metadata!", ADDRESS(INDEX($X$2:$X$1001,MATCH(ROWS($V$2:V220),$V$2:$V$1001,0),0), INDEX($AC$1004:$AS$1004,1,MATCH(COLUMNS($AC$1006:AC1006),$AC$1006:$AS$1006,0)))),"Fix")))</f>
        <v>0</v>
      </c>
      <c r="C220" s="5">
        <f>IF(OR(INDEX($W$2:$W$1001,MATCH(ROWS($V$2:V220),$V$2:$V$1001,0),1)&gt;=100000,INDEX($AC$1005:$AS$1005,1,MATCH(COLUMNS($AC$1006:AD1006),$AC$1006:$AS$1006,0))&gt;=100000), " ",IF(INDEX($AC$2:$AS$1001,MATCH(ROWS($V$2:V220),$V$2:$V$1001,0),MATCH(COLUMNS($AC$1006:AD1006),$AC$1006:$AS$1006,0)), HYPERLINK("#",""), HYPERLINK(CONCATENATE("#Metadata!", ADDRESS(INDEX($X$2:$X$1001,MATCH(ROWS($V$2:V220),$V$2:$V$1001,0),0), INDEX($AC$1004:$AS$1004,1,MATCH(COLUMNS($AC$1006:AD1006),$AC$1006:$AS$1006,0)))),"Fix")))</f>
        <v>0</v>
      </c>
      <c r="D220" s="5">
        <f>IF(OR(INDEX($W$2:$W$1001,MATCH(ROWS($V$2:V220),$V$2:$V$1001,0),1)&gt;=100000,INDEX($AC$1005:$AS$1005,1,MATCH(COLUMNS($AC$1006:AE1006),$AC$1006:$AS$1006,0))&gt;=100000), " ",IF(INDEX($AC$2:$AS$1001,MATCH(ROWS($V$2:V220),$V$2:$V$1001,0),MATCH(COLUMNS($AC$1006:AE1006),$AC$1006:$AS$1006,0)), HYPERLINK("#",""), HYPERLINK(CONCATENATE("#Metadata!", ADDRESS(INDEX($X$2:$X$1001,MATCH(ROWS($V$2:V220),$V$2:$V$1001,0),0), INDEX($AC$1004:$AS$1004,1,MATCH(COLUMNS($AC$1006:AE1006),$AC$1006:$AS$1006,0)))),"Fix")))</f>
        <v>0</v>
      </c>
      <c r="E220" s="5">
        <f>IF(OR(INDEX($W$2:$W$1001,MATCH(ROWS($V$2:V220),$V$2:$V$1001,0),1)&gt;=100000,INDEX($AC$1005:$AS$1005,1,MATCH(COLUMNS($AC$1006:AF1006),$AC$1006:$AS$1006,0))&gt;=100000), " ",IF(INDEX($AC$2:$AS$1001,MATCH(ROWS($V$2:V220),$V$2:$V$1001,0),MATCH(COLUMNS($AC$1006:AF1006),$AC$1006:$AS$1006,0)), HYPERLINK("#",""), HYPERLINK(CONCATENATE("#Metadata!", ADDRESS(INDEX($X$2:$X$1001,MATCH(ROWS($V$2:V220),$V$2:$V$1001,0),0), INDEX($AC$1004:$AS$1004,1,MATCH(COLUMNS($AC$1006:AF1006),$AC$1006:$AS$1006,0)))),"Fix")))</f>
        <v>0</v>
      </c>
      <c r="F220" s="5">
        <f>IF(OR(INDEX($W$2:$W$1001,MATCH(ROWS($V$2:V220),$V$2:$V$1001,0),1)&gt;=100000,INDEX($AC$1005:$AS$1005,1,MATCH(COLUMNS($AC$1006:AG1006),$AC$1006:$AS$1006,0))&gt;=100000), " ",IF(INDEX($AC$2:$AS$1001,MATCH(ROWS($V$2:V220),$V$2:$V$1001,0),MATCH(COLUMNS($AC$1006:AG1006),$AC$1006:$AS$1006,0)), HYPERLINK("#",""), HYPERLINK(CONCATENATE("#Metadata!", ADDRESS(INDEX($X$2:$X$1001,MATCH(ROWS($V$2:V220),$V$2:$V$1001,0),0), INDEX($AC$1004:$AS$1004,1,MATCH(COLUMNS($AC$1006:AG1006),$AC$1006:$AS$1006,0)))),"Fix")))</f>
        <v>0</v>
      </c>
      <c r="G220" s="5">
        <f>IF(OR(INDEX($W$2:$W$1001,MATCH(ROWS($V$2:V220),$V$2:$V$1001,0),1)&gt;=100000,INDEX($AC$1005:$AS$1005,1,MATCH(COLUMNS($AC$1006:AH1006),$AC$1006:$AS$1006,0))&gt;=100000), " ",IF(INDEX($AC$2:$AS$1001,MATCH(ROWS($V$2:V220),$V$2:$V$1001,0),MATCH(COLUMNS($AC$1006:AH1006),$AC$1006:$AS$1006,0)), HYPERLINK("#",""), HYPERLINK(CONCATENATE("#Metadata!", ADDRESS(INDEX($X$2:$X$1001,MATCH(ROWS($V$2:V220),$V$2:$V$1001,0),0), INDEX($AC$1004:$AS$1004,1,MATCH(COLUMNS($AC$1006:AH1006),$AC$1006:$AS$1006,0)))),"Fix")))</f>
        <v>0</v>
      </c>
      <c r="H220" s="5">
        <f>IF(OR(INDEX($W$2:$W$1001,MATCH(ROWS($V$2:V220),$V$2:$V$1001,0),1)&gt;=100000,INDEX($AC$1005:$AS$1005,1,MATCH(COLUMNS($AC$1006:AI1006),$AC$1006:$AS$1006,0))&gt;=100000), " ",IF(INDEX($AC$2:$AS$1001,MATCH(ROWS($V$2:V220),$V$2:$V$1001,0),MATCH(COLUMNS($AC$1006:AI1006),$AC$1006:$AS$1006,0)), HYPERLINK("#",""), HYPERLINK(CONCATENATE("#Metadata!", ADDRESS(INDEX($X$2:$X$1001,MATCH(ROWS($V$2:V220),$V$2:$V$1001,0),0), INDEX($AC$1004:$AS$1004,1,MATCH(COLUMNS($AC$1006:AI1006),$AC$1006:$AS$1006,0)))),"Fix")))</f>
        <v>0</v>
      </c>
      <c r="I220" s="5">
        <f>IF(OR(INDEX($W$2:$W$1001,MATCH(ROWS($V$2:V220),$V$2:$V$1001,0),1)&gt;=100000,INDEX($AC$1005:$AS$1005,1,MATCH(COLUMNS($AC$1006:AJ1006),$AC$1006:$AS$1006,0))&gt;=100000), " ",IF(INDEX($AC$2:$AS$1001,MATCH(ROWS($V$2:V220),$V$2:$V$1001,0),MATCH(COLUMNS($AC$1006:AJ1006),$AC$1006:$AS$1006,0)), HYPERLINK("#",""), HYPERLINK(CONCATENATE("#Metadata!", ADDRESS(INDEX($X$2:$X$1001,MATCH(ROWS($V$2:V220),$V$2:$V$1001,0),0), INDEX($AC$1004:$AS$1004,1,MATCH(COLUMNS($AC$1006:AJ1006),$AC$1006:$AS$1006,0)))),"Fix")))</f>
        <v>0</v>
      </c>
      <c r="J220" s="5">
        <f>IF(OR(INDEX($W$2:$W$1001,MATCH(ROWS($V$2:V220),$V$2:$V$1001,0),1)&gt;=100000,INDEX($AC$1005:$AS$1005,1,MATCH(COLUMNS($AC$1006:AK1006),$AC$1006:$AS$1006,0))&gt;=100000), " ",IF(INDEX($AC$2:$AS$1001,MATCH(ROWS($V$2:V220),$V$2:$V$1001,0),MATCH(COLUMNS($AC$1006:AK1006),$AC$1006:$AS$1006,0)), HYPERLINK("#",""), HYPERLINK(CONCATENATE("#Metadata!", ADDRESS(INDEX($X$2:$X$1001,MATCH(ROWS($V$2:V220),$V$2:$V$1001,0),0), INDEX($AC$1004:$AS$1004,1,MATCH(COLUMNS($AC$1006:AK1006),$AC$1006:$AS$1006,0)))),"Fix")))</f>
        <v>0</v>
      </c>
      <c r="K220" s="5">
        <f>IF(OR(INDEX($W$2:$W$1001,MATCH(ROWS($V$2:V220),$V$2:$V$1001,0),1)&gt;=100000,INDEX($AC$1005:$AS$1005,1,MATCH(COLUMNS($AC$1006:AL1006),$AC$1006:$AS$1006,0))&gt;=100000), " ",IF(INDEX($AC$2:$AS$1001,MATCH(ROWS($V$2:V220),$V$2:$V$1001,0),MATCH(COLUMNS($AC$1006:AL1006),$AC$1006:$AS$1006,0)), HYPERLINK("#",""), HYPERLINK(CONCATENATE("#Metadata!", ADDRESS(INDEX($X$2:$X$1001,MATCH(ROWS($V$2:V220),$V$2:$V$1001,0),0), INDEX($AC$1004:$AS$1004,1,MATCH(COLUMNS($AC$1006:AL1006),$AC$1006:$AS$1006,0)))),"Fix")))</f>
        <v>0</v>
      </c>
      <c r="L220" s="5">
        <f>IF(OR(INDEX($W$2:$W$1001,MATCH(ROWS($V$2:V220),$V$2:$V$1001,0),1)&gt;=100000,INDEX($AC$1005:$AS$1005,1,MATCH(COLUMNS($AC$1006:AM1006),$AC$1006:$AS$1006,0))&gt;=100000), " ",IF(INDEX($AC$2:$AS$1001,MATCH(ROWS($V$2:V220),$V$2:$V$1001,0),MATCH(COLUMNS($AC$1006:AM1006),$AC$1006:$AS$1006,0)), HYPERLINK("#",""), HYPERLINK(CONCATENATE("#Metadata!", ADDRESS(INDEX($X$2:$X$1001,MATCH(ROWS($V$2:V220),$V$2:$V$1001,0),0), INDEX($AC$1004:$AS$1004,1,MATCH(COLUMNS($AC$1006:AM1006),$AC$1006:$AS$1006,0)))),"Fix")))</f>
        <v>0</v>
      </c>
      <c r="M220" s="5">
        <f>IF(OR(INDEX($W$2:$W$1001,MATCH(ROWS($V$2:V220),$V$2:$V$1001,0),1)&gt;=100000,INDEX($AC$1005:$AS$1005,1,MATCH(COLUMNS($AC$1006:AN1006),$AC$1006:$AS$1006,0))&gt;=100000), " ",IF(INDEX($AC$2:$AS$1001,MATCH(ROWS($V$2:V220),$V$2:$V$1001,0),MATCH(COLUMNS($AC$1006:AN1006),$AC$1006:$AS$1006,0)), HYPERLINK("#",""), HYPERLINK(CONCATENATE("#Metadata!", ADDRESS(INDEX($X$2:$X$1001,MATCH(ROWS($V$2:V220),$V$2:$V$1001,0),0), INDEX($AC$1004:$AS$1004,1,MATCH(COLUMNS($AC$1006:AN1006),$AC$1006:$AS$1006,0)))),"Fix")))</f>
        <v>0</v>
      </c>
      <c r="N220" s="5">
        <f>IF(OR(INDEX($W$2:$W$1001,MATCH(ROWS($V$2:V220),$V$2:$V$1001,0),1)&gt;=100000,INDEX($AC$1005:$AS$1005,1,MATCH(COLUMNS($AC$1006:AO1006),$AC$1006:$AS$1006,0))&gt;=100000), " ",IF(INDEX($AC$2:$AS$1001,MATCH(ROWS($V$2:V220),$V$2:$V$1001,0),MATCH(COLUMNS($AC$1006:AO1006),$AC$1006:$AS$1006,0)), HYPERLINK("#",""), HYPERLINK(CONCATENATE("#Metadata!", ADDRESS(INDEX($X$2:$X$1001,MATCH(ROWS($V$2:V220),$V$2:$V$1001,0),0), INDEX($AC$1004:$AS$1004,1,MATCH(COLUMNS($AC$1006:AO1006),$AC$1006:$AS$1006,0)))),"Fix")))</f>
        <v>0</v>
      </c>
      <c r="O220" s="5">
        <f>IF(OR(INDEX($W$2:$W$1001,MATCH(ROWS($V$2:V220),$V$2:$V$1001,0),1)&gt;=100000,INDEX($AC$1005:$AS$1005,1,MATCH(COLUMNS($AC$1006:AP1006),$AC$1006:$AS$1006,0))&gt;=100000), " ",IF(INDEX($AC$2:$AS$1001,MATCH(ROWS($V$2:V220),$V$2:$V$1001,0),MATCH(COLUMNS($AC$1006:AP1006),$AC$1006:$AS$1006,0)), HYPERLINK("#",""), HYPERLINK(CONCATENATE("#Metadata!", ADDRESS(INDEX($X$2:$X$1001,MATCH(ROWS($V$2:V220),$V$2:$V$1001,0),0), INDEX($AC$1004:$AS$1004,1,MATCH(COLUMNS($AC$1006:AP1006),$AC$1006:$AS$1006,0)))),"Fix")))</f>
        <v>0</v>
      </c>
      <c r="P220" s="5">
        <f>IF(OR(INDEX($W$2:$W$1001,MATCH(ROWS($V$2:V220),$V$2:$V$1001,0),1)&gt;=100000,INDEX($AC$1005:$AS$1005,1,MATCH(COLUMNS($AC$1006:AQ1006),$AC$1006:$AS$1006,0))&gt;=100000), " ",IF(INDEX($AC$2:$AS$1001,MATCH(ROWS($V$2:V220),$V$2:$V$1001,0),MATCH(COLUMNS($AC$1006:AQ1006),$AC$1006:$AS$1006,0)), HYPERLINK("#",""), HYPERLINK(CONCATENATE("#Metadata!", ADDRESS(INDEX($X$2:$X$1001,MATCH(ROWS($V$2:V220),$V$2:$V$1001,0),0), INDEX($AC$1004:$AS$1004,1,MATCH(COLUMNS($AC$1006:AQ1006),$AC$1006:$AS$1006,0)))),"Fix")))</f>
        <v>0</v>
      </c>
      <c r="Q220" s="5">
        <f>IF(OR(INDEX($W$2:$W$1001,MATCH(ROWS($V$2:V220),$V$2:$V$1001,0),1)&gt;=100000,INDEX($AC$1005:$AS$1005,1,MATCH(COLUMNS($AC$1006:AR1006),$AC$1006:$AS$1006,0))&gt;=100000), " ",IF(INDEX($AC$2:$AS$1001,MATCH(ROWS($V$2:V220),$V$2:$V$1001,0),MATCH(COLUMNS($AC$1006:AR1006),$AC$1006:$AS$1006,0)), HYPERLINK("#",""), HYPERLINK(CONCATENATE("#Metadata!", ADDRESS(INDEX($X$2:$X$1001,MATCH(ROWS($V$2:V220),$V$2:$V$1001,0),0), INDEX($AC$1004:$AS$1004,1,MATCH(COLUMNS($AC$1006:AR1006),$AC$1006:$AS$1006,0)))),"Fix")))</f>
        <v>0</v>
      </c>
      <c r="R220" s="5">
        <f>IF(OR(INDEX($W$2:$W$1001,MATCH(ROWS($V$2:V220),$V$2:$V$1001,0),1)&gt;=100000,INDEX($AC$1005:$AS$1005,1,MATCH(COLUMNS($AC$1006:AS1006),$AC$1006:$AS$1006,0))&gt;=100000), " ",IF(INDEX($AC$2:$AS$1001,MATCH(ROWS($V$2:V220),$V$2:$V$1001,0),MATCH(COLUMNS($AC$1006:AS1006),$AC$1006:$AS$1006,0)), HYPERLINK("#",""), HYPERLINK(CONCATENATE("#Metadata!", ADDRESS(INDEX($X$2:$X$1001,MATCH(ROWS($V$2:V220),$V$2:$V$1001,0),0), INDEX($AC$1004:$AS$1004,1,MATCH(COLUMNS($AC$1006:AS1006),$AC$1006:$AS$1006,0)))),"Fix")))</f>
        <v>0</v>
      </c>
      <c r="V220">
        <v>0</v>
      </c>
      <c r="W220">
        <v>0</v>
      </c>
      <c r="X220">
        <v>0</v>
      </c>
      <c r="Y220">
        <f>IF(Z220,TRUE,AND(AC220:AS220))</f>
        <v>0</v>
      </c>
      <c r="Z220">
        <f>COUNTBLANK(Metadata!B220:R220)=COLUMNS(Metadata!B220:R220)</f>
        <v>0</v>
      </c>
      <c r="AA220">
        <v>0</v>
      </c>
      <c r="AC220">
        <f>AND(IF(Metadata!B220="",FALSE,TRUE),COUNTIF(Metadata!B:B, Metadata!B220) = 1,NOT(ISERROR(SUMPRODUCT(SEARCH(MID(Metadata!B220,ROW(INDIRECT("1:"&amp;LEN(Metadata!B220))), 1),"0123456789abcdefghijklmnopqrstuvwxyzABCDEFGHIJKLMNOPQRSTUVWXYZ.")))))</f>
        <v>0</v>
      </c>
      <c r="AD220">
        <f>AND(IF(Metadata!C220="",FALSE,TRUE),exact(Metadata!C220,"Host-associated"))</f>
        <v>0</v>
      </c>
      <c r="AE220">
        <f>AND(IF(Metadata!D220="",FALSE,TRUE),OR(exact(Metadata!D220,"Animal"),exact(Metadata!D220,"Fungus"),exact(Metadata!D220,"Plant")))</f>
        <v>0</v>
      </c>
      <c r="AF220">
        <f>AND(IF(Metadata!E220="",FALSE,TRUE),OR(exact(Metadata!E220,"Plant secretion"),exact(Metadata!E220,"Plant rhizosphere"),exact(Metadata!E220,"Plant surface"),exact(Metadata!E220,"Plant corpus"),exact(Metadata!E220,"Fungus surface"),exact(Metadata!E220,"Fungus corpus"),exact(Metadata!E220,"Animal surface"),exact(Metadata!E220,"Animal proximal gut"),exact(Metadata!E220,"Animal corpus"),exact(Metadata!E220,"Animal distal gut"),exact(Metadata!E220,"Animal secretion")))</f>
        <v>0</v>
      </c>
      <c r="AG220">
        <f>OR(AND(IF(Metadata!F220="",FALSE,TRUE),OR(exact(Metadata!F220,"not collected"),exact(Metadata!F220,"not provided"),exact(Metadata!F220,"restricted access"))),AND(IF(Metadata!F220="",FALSE,TRUE),OR(exact(Metadata!F220,"organism-associated habitat"),exact(Metadata!F220,"plant-associated habitat"),exact(Metadata!F220,"animal-associated habitat"),exact(Metadata!F220,"insecta-associated habitat"),exact(Metadata!F220,"mammalia-associated habitat"),exact(Metadata!F220,"human-associated habitat"),exact(Metadata!F220,"livestock-associated habitat"))))</f>
        <v>0</v>
      </c>
      <c r="AH220">
        <f>AND(IF(Metadata!G220="",FALSE,TRUE),exact(Metadata!G220,"host-associated"))</f>
        <v>0</v>
      </c>
      <c r="AI220">
        <f>OR(AND(IF(Metadata!H220="",FALSE,TRUE),OR(exact(Metadata!H220,"not collected"),exact(Metadata!H220,"not provided"))),AND(IF(Metadata!H220="",FALSE,ISNUMBER(VALUE(Metadata!H220))),Metadata!H220&gt;0))</f>
        <v>0</v>
      </c>
      <c r="AJ220">
        <f>AND(IF(Metadata!I220="",FALSE,TRUE),exact(Metadata!I220,"years"))</f>
        <v>0</v>
      </c>
      <c r="AK220">
        <f>IF(Metadata!J220="",FALSE,TRUE)</f>
        <v>0</v>
      </c>
      <c r="AL220">
        <f>OR(AND(IF(Metadata!K220="",FALSE,TRUE),OR(exact(Metadata!K220,"not collected"),exact(Metadata!K220,"not provided"))),AND(IF(Metadata!K220="",FALSE,ISNUMBER(VALUE(Metadata!K220))),Metadata!K220&gt;0))</f>
        <v>0</v>
      </c>
      <c r="AM220">
        <f>AND(IF(Metadata!L220="",FALSE,TRUE),exact(Metadata!L220,"cm"))</f>
        <v>0</v>
      </c>
      <c r="AN220">
        <f>IF(Metadata!M220="",FALSE,TRUE)</f>
        <v>0</v>
      </c>
      <c r="AO220">
        <f>OR(AND(IF(Metadata!N220="",FALSE,TRUE),OR(exact(Metadata!N220,"not applicable"),exact(Metadata!N220,"not collected"),exact(Metadata!N220,"not provided"))),AND(IF(Metadata!N220="",FALSE,IF(ISERROR(INT(Metadata!N220)),FALSE,INT(Metadata!N220)=Metadata!N220)),Metadata!N220&gt;0))</f>
        <v>0</v>
      </c>
      <c r="AP220">
        <f>OR(AND(IF(Metadata!O220="",FALSE,TRUE),OR(exact(Metadata!O220,"not collected"),exact(Metadata!O220,"not provided"))),AND(IF(Metadata!O220="",FALSE,ISNUMBER(VALUE(Metadata!O220))),Metadata!O220&gt;0))</f>
        <v>0</v>
      </c>
      <c r="AQ220">
        <f>AND(IF(Metadata!P220="",FALSE,TRUE),exact(Metadata!P220,"kg"))</f>
        <v>0</v>
      </c>
      <c r="AR220">
        <f>OR(AND(IF(Metadata!Q220="",FALSE,TRUE),OR(exact(Metadata!Q220,"not applicable"),exact(Metadata!Q220,"not collected"),exact(Metadata!Q220,"not provided"),exact(Metadata!Q220,"restricted access"))),IF(Metadata!Q220="",FALSE,IF(ISERROR(INT(Metadata!Q220)),FALSE,INT(Metadata!Q220)=Metadata!Q220)))</f>
        <v>0</v>
      </c>
      <c r="AS220">
        <f>AND(IF(Metadata!R220="",FALSE,TRUE),exact(Metadata!R220,"Not applicable"))</f>
        <v>0</v>
      </c>
    </row>
    <row r="221" spans="1:45">
      <c r="A221" s="4">
        <f>IF(B221=" "," ",HYPERLINK(CONCATENATE("#metadata!",ADDRESS(INDEX($X$2:$X$1001,MATCH(ROWS($V$2:V221),$V$2:$V$1001,0),0),2)),INDEX($AA$2:$AA$1001,MATCH(ROWS($V$2:V221),$V$2:$V$1001,0),0)))</f>
        <v>0</v>
      </c>
      <c r="B221" s="5">
        <f>IF(OR(INDEX($W$2:$W$1001,MATCH(ROWS($V$2:V221),$V$2:$V$1001,0),1)&gt;=100000,INDEX($AC$1005:$AS$1005,1,MATCH(COLUMNS($AC$1006:AC1006),$AC$1006:$AS$1006,0))&gt;=100000), " ",IF(INDEX($AC$2:$AS$1001,MATCH(ROWS($V$2:V221),$V$2:$V$1001,0),MATCH(COLUMNS($AC$1006:AC1006),$AC$1006:$AS$1006,0)), HYPERLINK("#",""), HYPERLINK(CONCATENATE("#Metadata!", ADDRESS(INDEX($X$2:$X$1001,MATCH(ROWS($V$2:V221),$V$2:$V$1001,0),0), INDEX($AC$1004:$AS$1004,1,MATCH(COLUMNS($AC$1006:AC1006),$AC$1006:$AS$1006,0)))),"Fix")))</f>
        <v>0</v>
      </c>
      <c r="C221" s="5">
        <f>IF(OR(INDEX($W$2:$W$1001,MATCH(ROWS($V$2:V221),$V$2:$V$1001,0),1)&gt;=100000,INDEX($AC$1005:$AS$1005,1,MATCH(COLUMNS($AC$1006:AD1006),$AC$1006:$AS$1006,0))&gt;=100000), " ",IF(INDEX($AC$2:$AS$1001,MATCH(ROWS($V$2:V221),$V$2:$V$1001,0),MATCH(COLUMNS($AC$1006:AD1006),$AC$1006:$AS$1006,0)), HYPERLINK("#",""), HYPERLINK(CONCATENATE("#Metadata!", ADDRESS(INDEX($X$2:$X$1001,MATCH(ROWS($V$2:V221),$V$2:$V$1001,0),0), INDEX($AC$1004:$AS$1004,1,MATCH(COLUMNS($AC$1006:AD1006),$AC$1006:$AS$1006,0)))),"Fix")))</f>
        <v>0</v>
      </c>
      <c r="D221" s="5">
        <f>IF(OR(INDEX($W$2:$W$1001,MATCH(ROWS($V$2:V221),$V$2:$V$1001,0),1)&gt;=100000,INDEX($AC$1005:$AS$1005,1,MATCH(COLUMNS($AC$1006:AE1006),$AC$1006:$AS$1006,0))&gt;=100000), " ",IF(INDEX($AC$2:$AS$1001,MATCH(ROWS($V$2:V221),$V$2:$V$1001,0),MATCH(COLUMNS($AC$1006:AE1006),$AC$1006:$AS$1006,0)), HYPERLINK("#",""), HYPERLINK(CONCATENATE("#Metadata!", ADDRESS(INDEX($X$2:$X$1001,MATCH(ROWS($V$2:V221),$V$2:$V$1001,0),0), INDEX($AC$1004:$AS$1004,1,MATCH(COLUMNS($AC$1006:AE1006),$AC$1006:$AS$1006,0)))),"Fix")))</f>
        <v>0</v>
      </c>
      <c r="E221" s="5">
        <f>IF(OR(INDEX($W$2:$W$1001,MATCH(ROWS($V$2:V221),$V$2:$V$1001,0),1)&gt;=100000,INDEX($AC$1005:$AS$1005,1,MATCH(COLUMNS($AC$1006:AF1006),$AC$1006:$AS$1006,0))&gt;=100000), " ",IF(INDEX($AC$2:$AS$1001,MATCH(ROWS($V$2:V221),$V$2:$V$1001,0),MATCH(COLUMNS($AC$1006:AF1006),$AC$1006:$AS$1006,0)), HYPERLINK("#",""), HYPERLINK(CONCATENATE("#Metadata!", ADDRESS(INDEX($X$2:$X$1001,MATCH(ROWS($V$2:V221),$V$2:$V$1001,0),0), INDEX($AC$1004:$AS$1004,1,MATCH(COLUMNS($AC$1006:AF1006),$AC$1006:$AS$1006,0)))),"Fix")))</f>
        <v>0</v>
      </c>
      <c r="F221" s="5">
        <f>IF(OR(INDEX($W$2:$W$1001,MATCH(ROWS($V$2:V221),$V$2:$V$1001,0),1)&gt;=100000,INDEX($AC$1005:$AS$1005,1,MATCH(COLUMNS($AC$1006:AG1006),$AC$1006:$AS$1006,0))&gt;=100000), " ",IF(INDEX($AC$2:$AS$1001,MATCH(ROWS($V$2:V221),$V$2:$V$1001,0),MATCH(COLUMNS($AC$1006:AG1006),$AC$1006:$AS$1006,0)), HYPERLINK("#",""), HYPERLINK(CONCATENATE("#Metadata!", ADDRESS(INDEX($X$2:$X$1001,MATCH(ROWS($V$2:V221),$V$2:$V$1001,0),0), INDEX($AC$1004:$AS$1004,1,MATCH(COLUMNS($AC$1006:AG1006),$AC$1006:$AS$1006,0)))),"Fix")))</f>
        <v>0</v>
      </c>
      <c r="G221" s="5">
        <f>IF(OR(INDEX($W$2:$W$1001,MATCH(ROWS($V$2:V221),$V$2:$V$1001,0),1)&gt;=100000,INDEX($AC$1005:$AS$1005,1,MATCH(COLUMNS($AC$1006:AH1006),$AC$1006:$AS$1006,0))&gt;=100000), " ",IF(INDEX($AC$2:$AS$1001,MATCH(ROWS($V$2:V221),$V$2:$V$1001,0),MATCH(COLUMNS($AC$1006:AH1006),$AC$1006:$AS$1006,0)), HYPERLINK("#",""), HYPERLINK(CONCATENATE("#Metadata!", ADDRESS(INDEX($X$2:$X$1001,MATCH(ROWS($V$2:V221),$V$2:$V$1001,0),0), INDEX($AC$1004:$AS$1004,1,MATCH(COLUMNS($AC$1006:AH1006),$AC$1006:$AS$1006,0)))),"Fix")))</f>
        <v>0</v>
      </c>
      <c r="H221" s="5">
        <f>IF(OR(INDEX($W$2:$W$1001,MATCH(ROWS($V$2:V221),$V$2:$V$1001,0),1)&gt;=100000,INDEX($AC$1005:$AS$1005,1,MATCH(COLUMNS($AC$1006:AI1006),$AC$1006:$AS$1006,0))&gt;=100000), " ",IF(INDEX($AC$2:$AS$1001,MATCH(ROWS($V$2:V221),$V$2:$V$1001,0),MATCH(COLUMNS($AC$1006:AI1006),$AC$1006:$AS$1006,0)), HYPERLINK("#",""), HYPERLINK(CONCATENATE("#Metadata!", ADDRESS(INDEX($X$2:$X$1001,MATCH(ROWS($V$2:V221),$V$2:$V$1001,0),0), INDEX($AC$1004:$AS$1004,1,MATCH(COLUMNS($AC$1006:AI1006),$AC$1006:$AS$1006,0)))),"Fix")))</f>
        <v>0</v>
      </c>
      <c r="I221" s="5">
        <f>IF(OR(INDEX($W$2:$W$1001,MATCH(ROWS($V$2:V221),$V$2:$V$1001,0),1)&gt;=100000,INDEX($AC$1005:$AS$1005,1,MATCH(COLUMNS($AC$1006:AJ1006),$AC$1006:$AS$1006,0))&gt;=100000), " ",IF(INDEX($AC$2:$AS$1001,MATCH(ROWS($V$2:V221),$V$2:$V$1001,0),MATCH(COLUMNS($AC$1006:AJ1006),$AC$1006:$AS$1006,0)), HYPERLINK("#",""), HYPERLINK(CONCATENATE("#Metadata!", ADDRESS(INDEX($X$2:$X$1001,MATCH(ROWS($V$2:V221),$V$2:$V$1001,0),0), INDEX($AC$1004:$AS$1004,1,MATCH(COLUMNS($AC$1006:AJ1006),$AC$1006:$AS$1006,0)))),"Fix")))</f>
        <v>0</v>
      </c>
      <c r="J221" s="5">
        <f>IF(OR(INDEX($W$2:$W$1001,MATCH(ROWS($V$2:V221),$V$2:$V$1001,0),1)&gt;=100000,INDEX($AC$1005:$AS$1005,1,MATCH(COLUMNS($AC$1006:AK1006),$AC$1006:$AS$1006,0))&gt;=100000), " ",IF(INDEX($AC$2:$AS$1001,MATCH(ROWS($V$2:V221),$V$2:$V$1001,0),MATCH(COLUMNS($AC$1006:AK1006),$AC$1006:$AS$1006,0)), HYPERLINK("#",""), HYPERLINK(CONCATENATE("#Metadata!", ADDRESS(INDEX($X$2:$X$1001,MATCH(ROWS($V$2:V221),$V$2:$V$1001,0),0), INDEX($AC$1004:$AS$1004,1,MATCH(COLUMNS($AC$1006:AK1006),$AC$1006:$AS$1006,0)))),"Fix")))</f>
        <v>0</v>
      </c>
      <c r="K221" s="5">
        <f>IF(OR(INDEX($W$2:$W$1001,MATCH(ROWS($V$2:V221),$V$2:$V$1001,0),1)&gt;=100000,INDEX($AC$1005:$AS$1005,1,MATCH(COLUMNS($AC$1006:AL1006),$AC$1006:$AS$1006,0))&gt;=100000), " ",IF(INDEX($AC$2:$AS$1001,MATCH(ROWS($V$2:V221),$V$2:$V$1001,0),MATCH(COLUMNS($AC$1006:AL1006),$AC$1006:$AS$1006,0)), HYPERLINK("#",""), HYPERLINK(CONCATENATE("#Metadata!", ADDRESS(INDEX($X$2:$X$1001,MATCH(ROWS($V$2:V221),$V$2:$V$1001,0),0), INDEX($AC$1004:$AS$1004,1,MATCH(COLUMNS($AC$1006:AL1006),$AC$1006:$AS$1006,0)))),"Fix")))</f>
        <v>0</v>
      </c>
      <c r="L221" s="5">
        <f>IF(OR(INDEX($W$2:$W$1001,MATCH(ROWS($V$2:V221),$V$2:$V$1001,0),1)&gt;=100000,INDEX($AC$1005:$AS$1005,1,MATCH(COLUMNS($AC$1006:AM1006),$AC$1006:$AS$1006,0))&gt;=100000), " ",IF(INDEX($AC$2:$AS$1001,MATCH(ROWS($V$2:V221),$V$2:$V$1001,0),MATCH(COLUMNS($AC$1006:AM1006),$AC$1006:$AS$1006,0)), HYPERLINK("#",""), HYPERLINK(CONCATENATE("#Metadata!", ADDRESS(INDEX($X$2:$X$1001,MATCH(ROWS($V$2:V221),$V$2:$V$1001,0),0), INDEX($AC$1004:$AS$1004,1,MATCH(COLUMNS($AC$1006:AM1006),$AC$1006:$AS$1006,0)))),"Fix")))</f>
        <v>0</v>
      </c>
      <c r="M221" s="5">
        <f>IF(OR(INDEX($W$2:$W$1001,MATCH(ROWS($V$2:V221),$V$2:$V$1001,0),1)&gt;=100000,INDEX($AC$1005:$AS$1005,1,MATCH(COLUMNS($AC$1006:AN1006),$AC$1006:$AS$1006,0))&gt;=100000), " ",IF(INDEX($AC$2:$AS$1001,MATCH(ROWS($V$2:V221),$V$2:$V$1001,0),MATCH(COLUMNS($AC$1006:AN1006),$AC$1006:$AS$1006,0)), HYPERLINK("#",""), HYPERLINK(CONCATENATE("#Metadata!", ADDRESS(INDEX($X$2:$X$1001,MATCH(ROWS($V$2:V221),$V$2:$V$1001,0),0), INDEX($AC$1004:$AS$1004,1,MATCH(COLUMNS($AC$1006:AN1006),$AC$1006:$AS$1006,0)))),"Fix")))</f>
        <v>0</v>
      </c>
      <c r="N221" s="5">
        <f>IF(OR(INDEX($W$2:$W$1001,MATCH(ROWS($V$2:V221),$V$2:$V$1001,0),1)&gt;=100000,INDEX($AC$1005:$AS$1005,1,MATCH(COLUMNS($AC$1006:AO1006),$AC$1006:$AS$1006,0))&gt;=100000), " ",IF(INDEX($AC$2:$AS$1001,MATCH(ROWS($V$2:V221),$V$2:$V$1001,0),MATCH(COLUMNS($AC$1006:AO1006),$AC$1006:$AS$1006,0)), HYPERLINK("#",""), HYPERLINK(CONCATENATE("#Metadata!", ADDRESS(INDEX($X$2:$X$1001,MATCH(ROWS($V$2:V221),$V$2:$V$1001,0),0), INDEX($AC$1004:$AS$1004,1,MATCH(COLUMNS($AC$1006:AO1006),$AC$1006:$AS$1006,0)))),"Fix")))</f>
        <v>0</v>
      </c>
      <c r="O221" s="5">
        <f>IF(OR(INDEX($W$2:$W$1001,MATCH(ROWS($V$2:V221),$V$2:$V$1001,0),1)&gt;=100000,INDEX($AC$1005:$AS$1005,1,MATCH(COLUMNS($AC$1006:AP1006),$AC$1006:$AS$1006,0))&gt;=100000), " ",IF(INDEX($AC$2:$AS$1001,MATCH(ROWS($V$2:V221),$V$2:$V$1001,0),MATCH(COLUMNS($AC$1006:AP1006),$AC$1006:$AS$1006,0)), HYPERLINK("#",""), HYPERLINK(CONCATENATE("#Metadata!", ADDRESS(INDEX($X$2:$X$1001,MATCH(ROWS($V$2:V221),$V$2:$V$1001,0),0), INDEX($AC$1004:$AS$1004,1,MATCH(COLUMNS($AC$1006:AP1006),$AC$1006:$AS$1006,0)))),"Fix")))</f>
        <v>0</v>
      </c>
      <c r="P221" s="5">
        <f>IF(OR(INDEX($W$2:$W$1001,MATCH(ROWS($V$2:V221),$V$2:$V$1001,0),1)&gt;=100000,INDEX($AC$1005:$AS$1005,1,MATCH(COLUMNS($AC$1006:AQ1006),$AC$1006:$AS$1006,0))&gt;=100000), " ",IF(INDEX($AC$2:$AS$1001,MATCH(ROWS($V$2:V221),$V$2:$V$1001,0),MATCH(COLUMNS($AC$1006:AQ1006),$AC$1006:$AS$1006,0)), HYPERLINK("#",""), HYPERLINK(CONCATENATE("#Metadata!", ADDRESS(INDEX($X$2:$X$1001,MATCH(ROWS($V$2:V221),$V$2:$V$1001,0),0), INDEX($AC$1004:$AS$1004,1,MATCH(COLUMNS($AC$1006:AQ1006),$AC$1006:$AS$1006,0)))),"Fix")))</f>
        <v>0</v>
      </c>
      <c r="Q221" s="5">
        <f>IF(OR(INDEX($W$2:$W$1001,MATCH(ROWS($V$2:V221),$V$2:$V$1001,0),1)&gt;=100000,INDEX($AC$1005:$AS$1005,1,MATCH(COLUMNS($AC$1006:AR1006),$AC$1006:$AS$1006,0))&gt;=100000), " ",IF(INDEX($AC$2:$AS$1001,MATCH(ROWS($V$2:V221),$V$2:$V$1001,0),MATCH(COLUMNS($AC$1006:AR1006),$AC$1006:$AS$1006,0)), HYPERLINK("#",""), HYPERLINK(CONCATENATE("#Metadata!", ADDRESS(INDEX($X$2:$X$1001,MATCH(ROWS($V$2:V221),$V$2:$V$1001,0),0), INDEX($AC$1004:$AS$1004,1,MATCH(COLUMNS($AC$1006:AR1006),$AC$1006:$AS$1006,0)))),"Fix")))</f>
        <v>0</v>
      </c>
      <c r="R221" s="5">
        <f>IF(OR(INDEX($W$2:$W$1001,MATCH(ROWS($V$2:V221),$V$2:$V$1001,0),1)&gt;=100000,INDEX($AC$1005:$AS$1005,1,MATCH(COLUMNS($AC$1006:AS1006),$AC$1006:$AS$1006,0))&gt;=100000), " ",IF(INDEX($AC$2:$AS$1001,MATCH(ROWS($V$2:V221),$V$2:$V$1001,0),MATCH(COLUMNS($AC$1006:AS1006),$AC$1006:$AS$1006,0)), HYPERLINK("#",""), HYPERLINK(CONCATENATE("#Metadata!", ADDRESS(INDEX($X$2:$X$1001,MATCH(ROWS($V$2:V221),$V$2:$V$1001,0),0), INDEX($AC$1004:$AS$1004,1,MATCH(COLUMNS($AC$1006:AS1006),$AC$1006:$AS$1006,0)))),"Fix")))</f>
        <v>0</v>
      </c>
      <c r="V221">
        <v>0</v>
      </c>
      <c r="W221">
        <v>0</v>
      </c>
      <c r="X221">
        <v>0</v>
      </c>
      <c r="Y221">
        <f>IF(Z221,TRUE,AND(AC221:AS221))</f>
        <v>0</v>
      </c>
      <c r="Z221">
        <f>COUNTBLANK(Metadata!B221:R221)=COLUMNS(Metadata!B221:R221)</f>
        <v>0</v>
      </c>
      <c r="AA221">
        <v>0</v>
      </c>
      <c r="AC221">
        <f>AND(IF(Metadata!B221="",FALSE,TRUE),COUNTIF(Metadata!B:B, Metadata!B221) = 1,NOT(ISERROR(SUMPRODUCT(SEARCH(MID(Metadata!B221,ROW(INDIRECT("1:"&amp;LEN(Metadata!B221))), 1),"0123456789abcdefghijklmnopqrstuvwxyzABCDEFGHIJKLMNOPQRSTUVWXYZ.")))))</f>
        <v>0</v>
      </c>
      <c r="AD221">
        <f>AND(IF(Metadata!C221="",FALSE,TRUE),exact(Metadata!C221,"Host-associated"))</f>
        <v>0</v>
      </c>
      <c r="AE221">
        <f>AND(IF(Metadata!D221="",FALSE,TRUE),OR(exact(Metadata!D221,"Animal"),exact(Metadata!D221,"Fungus"),exact(Metadata!D221,"Plant")))</f>
        <v>0</v>
      </c>
      <c r="AF221">
        <f>AND(IF(Metadata!E221="",FALSE,TRUE),OR(exact(Metadata!E221,"Plant secretion"),exact(Metadata!E221,"Plant rhizosphere"),exact(Metadata!E221,"Plant surface"),exact(Metadata!E221,"Plant corpus"),exact(Metadata!E221,"Fungus surface"),exact(Metadata!E221,"Fungus corpus"),exact(Metadata!E221,"Animal surface"),exact(Metadata!E221,"Animal proximal gut"),exact(Metadata!E221,"Animal corpus"),exact(Metadata!E221,"Animal distal gut"),exact(Metadata!E221,"Animal secretion")))</f>
        <v>0</v>
      </c>
      <c r="AG221">
        <f>OR(AND(IF(Metadata!F221="",FALSE,TRUE),OR(exact(Metadata!F221,"not collected"),exact(Metadata!F221,"not provided"),exact(Metadata!F221,"restricted access"))),AND(IF(Metadata!F221="",FALSE,TRUE),OR(exact(Metadata!F221,"organism-associated habitat"),exact(Metadata!F221,"plant-associated habitat"),exact(Metadata!F221,"animal-associated habitat"),exact(Metadata!F221,"insecta-associated habitat"),exact(Metadata!F221,"mammalia-associated habitat"),exact(Metadata!F221,"human-associated habitat"),exact(Metadata!F221,"livestock-associated habitat"))))</f>
        <v>0</v>
      </c>
      <c r="AH221">
        <f>AND(IF(Metadata!G221="",FALSE,TRUE),exact(Metadata!G221,"host-associated"))</f>
        <v>0</v>
      </c>
      <c r="AI221">
        <f>OR(AND(IF(Metadata!H221="",FALSE,TRUE),OR(exact(Metadata!H221,"not collected"),exact(Metadata!H221,"not provided"))),AND(IF(Metadata!H221="",FALSE,ISNUMBER(VALUE(Metadata!H221))),Metadata!H221&gt;0))</f>
        <v>0</v>
      </c>
      <c r="AJ221">
        <f>AND(IF(Metadata!I221="",FALSE,TRUE),exact(Metadata!I221,"years"))</f>
        <v>0</v>
      </c>
      <c r="AK221">
        <f>IF(Metadata!J221="",FALSE,TRUE)</f>
        <v>0</v>
      </c>
      <c r="AL221">
        <f>OR(AND(IF(Metadata!K221="",FALSE,TRUE),OR(exact(Metadata!K221,"not collected"),exact(Metadata!K221,"not provided"))),AND(IF(Metadata!K221="",FALSE,ISNUMBER(VALUE(Metadata!K221))),Metadata!K221&gt;0))</f>
        <v>0</v>
      </c>
      <c r="AM221">
        <f>AND(IF(Metadata!L221="",FALSE,TRUE),exact(Metadata!L221,"cm"))</f>
        <v>0</v>
      </c>
      <c r="AN221">
        <f>IF(Metadata!M221="",FALSE,TRUE)</f>
        <v>0</v>
      </c>
      <c r="AO221">
        <f>OR(AND(IF(Metadata!N221="",FALSE,TRUE),OR(exact(Metadata!N221,"not applicable"),exact(Metadata!N221,"not collected"),exact(Metadata!N221,"not provided"))),AND(IF(Metadata!N221="",FALSE,IF(ISERROR(INT(Metadata!N221)),FALSE,INT(Metadata!N221)=Metadata!N221)),Metadata!N221&gt;0))</f>
        <v>0</v>
      </c>
      <c r="AP221">
        <f>OR(AND(IF(Metadata!O221="",FALSE,TRUE),OR(exact(Metadata!O221,"not collected"),exact(Metadata!O221,"not provided"))),AND(IF(Metadata!O221="",FALSE,ISNUMBER(VALUE(Metadata!O221))),Metadata!O221&gt;0))</f>
        <v>0</v>
      </c>
      <c r="AQ221">
        <f>AND(IF(Metadata!P221="",FALSE,TRUE),exact(Metadata!P221,"kg"))</f>
        <v>0</v>
      </c>
      <c r="AR221">
        <f>OR(AND(IF(Metadata!Q221="",FALSE,TRUE),OR(exact(Metadata!Q221,"not applicable"),exact(Metadata!Q221,"not collected"),exact(Metadata!Q221,"not provided"),exact(Metadata!Q221,"restricted access"))),IF(Metadata!Q221="",FALSE,IF(ISERROR(INT(Metadata!Q221)),FALSE,INT(Metadata!Q221)=Metadata!Q221)))</f>
        <v>0</v>
      </c>
      <c r="AS221">
        <f>AND(IF(Metadata!R221="",FALSE,TRUE),exact(Metadata!R221,"Not applicable"))</f>
        <v>0</v>
      </c>
    </row>
    <row r="222" spans="1:45">
      <c r="A222" s="4">
        <f>IF(B222=" "," ",HYPERLINK(CONCATENATE("#metadata!",ADDRESS(INDEX($X$2:$X$1001,MATCH(ROWS($V$2:V222),$V$2:$V$1001,0),0),2)),INDEX($AA$2:$AA$1001,MATCH(ROWS($V$2:V222),$V$2:$V$1001,0),0)))</f>
        <v>0</v>
      </c>
      <c r="B222" s="5">
        <f>IF(OR(INDEX($W$2:$W$1001,MATCH(ROWS($V$2:V222),$V$2:$V$1001,0),1)&gt;=100000,INDEX($AC$1005:$AS$1005,1,MATCH(COLUMNS($AC$1006:AC1006),$AC$1006:$AS$1006,0))&gt;=100000), " ",IF(INDEX($AC$2:$AS$1001,MATCH(ROWS($V$2:V222),$V$2:$V$1001,0),MATCH(COLUMNS($AC$1006:AC1006),$AC$1006:$AS$1006,0)), HYPERLINK("#",""), HYPERLINK(CONCATENATE("#Metadata!", ADDRESS(INDEX($X$2:$X$1001,MATCH(ROWS($V$2:V222),$V$2:$V$1001,0),0), INDEX($AC$1004:$AS$1004,1,MATCH(COLUMNS($AC$1006:AC1006),$AC$1006:$AS$1006,0)))),"Fix")))</f>
        <v>0</v>
      </c>
      <c r="C222" s="5">
        <f>IF(OR(INDEX($W$2:$W$1001,MATCH(ROWS($V$2:V222),$V$2:$V$1001,0),1)&gt;=100000,INDEX($AC$1005:$AS$1005,1,MATCH(COLUMNS($AC$1006:AD1006),$AC$1006:$AS$1006,0))&gt;=100000), " ",IF(INDEX($AC$2:$AS$1001,MATCH(ROWS($V$2:V222),$V$2:$V$1001,0),MATCH(COLUMNS($AC$1006:AD1006),$AC$1006:$AS$1006,0)), HYPERLINK("#",""), HYPERLINK(CONCATENATE("#Metadata!", ADDRESS(INDEX($X$2:$X$1001,MATCH(ROWS($V$2:V222),$V$2:$V$1001,0),0), INDEX($AC$1004:$AS$1004,1,MATCH(COLUMNS($AC$1006:AD1006),$AC$1006:$AS$1006,0)))),"Fix")))</f>
        <v>0</v>
      </c>
      <c r="D222" s="5">
        <f>IF(OR(INDEX($W$2:$W$1001,MATCH(ROWS($V$2:V222),$V$2:$V$1001,0),1)&gt;=100000,INDEX($AC$1005:$AS$1005,1,MATCH(COLUMNS($AC$1006:AE1006),$AC$1006:$AS$1006,0))&gt;=100000), " ",IF(INDEX($AC$2:$AS$1001,MATCH(ROWS($V$2:V222),$V$2:$V$1001,0),MATCH(COLUMNS($AC$1006:AE1006),$AC$1006:$AS$1006,0)), HYPERLINK("#",""), HYPERLINK(CONCATENATE("#Metadata!", ADDRESS(INDEX($X$2:$X$1001,MATCH(ROWS($V$2:V222),$V$2:$V$1001,0),0), INDEX($AC$1004:$AS$1004,1,MATCH(COLUMNS($AC$1006:AE1006),$AC$1006:$AS$1006,0)))),"Fix")))</f>
        <v>0</v>
      </c>
      <c r="E222" s="5">
        <f>IF(OR(INDEX($W$2:$W$1001,MATCH(ROWS($V$2:V222),$V$2:$V$1001,0),1)&gt;=100000,INDEX($AC$1005:$AS$1005,1,MATCH(COLUMNS($AC$1006:AF1006),$AC$1006:$AS$1006,0))&gt;=100000), " ",IF(INDEX($AC$2:$AS$1001,MATCH(ROWS($V$2:V222),$V$2:$V$1001,0),MATCH(COLUMNS($AC$1006:AF1006),$AC$1006:$AS$1006,0)), HYPERLINK("#",""), HYPERLINK(CONCATENATE("#Metadata!", ADDRESS(INDEX($X$2:$X$1001,MATCH(ROWS($V$2:V222),$V$2:$V$1001,0),0), INDEX($AC$1004:$AS$1004,1,MATCH(COLUMNS($AC$1006:AF1006),$AC$1006:$AS$1006,0)))),"Fix")))</f>
        <v>0</v>
      </c>
      <c r="F222" s="5">
        <f>IF(OR(INDEX($W$2:$W$1001,MATCH(ROWS($V$2:V222),$V$2:$V$1001,0),1)&gt;=100000,INDEX($AC$1005:$AS$1005,1,MATCH(COLUMNS($AC$1006:AG1006),$AC$1006:$AS$1006,0))&gt;=100000), " ",IF(INDEX($AC$2:$AS$1001,MATCH(ROWS($V$2:V222),$V$2:$V$1001,0),MATCH(COLUMNS($AC$1006:AG1006),$AC$1006:$AS$1006,0)), HYPERLINK("#",""), HYPERLINK(CONCATENATE("#Metadata!", ADDRESS(INDEX($X$2:$X$1001,MATCH(ROWS($V$2:V222),$V$2:$V$1001,0),0), INDEX($AC$1004:$AS$1004,1,MATCH(COLUMNS($AC$1006:AG1006),$AC$1006:$AS$1006,0)))),"Fix")))</f>
        <v>0</v>
      </c>
      <c r="G222" s="5">
        <f>IF(OR(INDEX($W$2:$W$1001,MATCH(ROWS($V$2:V222),$V$2:$V$1001,0),1)&gt;=100000,INDEX($AC$1005:$AS$1005,1,MATCH(COLUMNS($AC$1006:AH1006),$AC$1006:$AS$1006,0))&gt;=100000), " ",IF(INDEX($AC$2:$AS$1001,MATCH(ROWS($V$2:V222),$V$2:$V$1001,0),MATCH(COLUMNS($AC$1006:AH1006),$AC$1006:$AS$1006,0)), HYPERLINK("#",""), HYPERLINK(CONCATENATE("#Metadata!", ADDRESS(INDEX($X$2:$X$1001,MATCH(ROWS($V$2:V222),$V$2:$V$1001,0),0), INDEX($AC$1004:$AS$1004,1,MATCH(COLUMNS($AC$1006:AH1006),$AC$1006:$AS$1006,0)))),"Fix")))</f>
        <v>0</v>
      </c>
      <c r="H222" s="5">
        <f>IF(OR(INDEX($W$2:$W$1001,MATCH(ROWS($V$2:V222),$V$2:$V$1001,0),1)&gt;=100000,INDEX($AC$1005:$AS$1005,1,MATCH(COLUMNS($AC$1006:AI1006),$AC$1006:$AS$1006,0))&gt;=100000), " ",IF(INDEX($AC$2:$AS$1001,MATCH(ROWS($V$2:V222),$V$2:$V$1001,0),MATCH(COLUMNS($AC$1006:AI1006),$AC$1006:$AS$1006,0)), HYPERLINK("#",""), HYPERLINK(CONCATENATE("#Metadata!", ADDRESS(INDEX($X$2:$X$1001,MATCH(ROWS($V$2:V222),$V$2:$V$1001,0),0), INDEX($AC$1004:$AS$1004,1,MATCH(COLUMNS($AC$1006:AI1006),$AC$1006:$AS$1006,0)))),"Fix")))</f>
        <v>0</v>
      </c>
      <c r="I222" s="5">
        <f>IF(OR(INDEX($W$2:$W$1001,MATCH(ROWS($V$2:V222),$V$2:$V$1001,0),1)&gt;=100000,INDEX($AC$1005:$AS$1005,1,MATCH(COLUMNS($AC$1006:AJ1006),$AC$1006:$AS$1006,0))&gt;=100000), " ",IF(INDEX($AC$2:$AS$1001,MATCH(ROWS($V$2:V222),$V$2:$V$1001,0),MATCH(COLUMNS($AC$1006:AJ1006),$AC$1006:$AS$1006,0)), HYPERLINK("#",""), HYPERLINK(CONCATENATE("#Metadata!", ADDRESS(INDEX($X$2:$X$1001,MATCH(ROWS($V$2:V222),$V$2:$V$1001,0),0), INDEX($AC$1004:$AS$1004,1,MATCH(COLUMNS($AC$1006:AJ1006),$AC$1006:$AS$1006,0)))),"Fix")))</f>
        <v>0</v>
      </c>
      <c r="J222" s="5">
        <f>IF(OR(INDEX($W$2:$W$1001,MATCH(ROWS($V$2:V222),$V$2:$V$1001,0),1)&gt;=100000,INDEX($AC$1005:$AS$1005,1,MATCH(COLUMNS($AC$1006:AK1006),$AC$1006:$AS$1006,0))&gt;=100000), " ",IF(INDEX($AC$2:$AS$1001,MATCH(ROWS($V$2:V222),$V$2:$V$1001,0),MATCH(COLUMNS($AC$1006:AK1006),$AC$1006:$AS$1006,0)), HYPERLINK("#",""), HYPERLINK(CONCATENATE("#Metadata!", ADDRESS(INDEX($X$2:$X$1001,MATCH(ROWS($V$2:V222),$V$2:$V$1001,0),0), INDEX($AC$1004:$AS$1004,1,MATCH(COLUMNS($AC$1006:AK1006),$AC$1006:$AS$1006,0)))),"Fix")))</f>
        <v>0</v>
      </c>
      <c r="K222" s="5">
        <f>IF(OR(INDEX($W$2:$W$1001,MATCH(ROWS($V$2:V222),$V$2:$V$1001,0),1)&gt;=100000,INDEX($AC$1005:$AS$1005,1,MATCH(COLUMNS($AC$1006:AL1006),$AC$1006:$AS$1006,0))&gt;=100000), " ",IF(INDEX($AC$2:$AS$1001,MATCH(ROWS($V$2:V222),$V$2:$V$1001,0),MATCH(COLUMNS($AC$1006:AL1006),$AC$1006:$AS$1006,0)), HYPERLINK("#",""), HYPERLINK(CONCATENATE("#Metadata!", ADDRESS(INDEX($X$2:$X$1001,MATCH(ROWS($V$2:V222),$V$2:$V$1001,0),0), INDEX($AC$1004:$AS$1004,1,MATCH(COLUMNS($AC$1006:AL1006),$AC$1006:$AS$1006,0)))),"Fix")))</f>
        <v>0</v>
      </c>
      <c r="L222" s="5">
        <f>IF(OR(INDEX($W$2:$W$1001,MATCH(ROWS($V$2:V222),$V$2:$V$1001,0),1)&gt;=100000,INDEX($AC$1005:$AS$1005,1,MATCH(COLUMNS($AC$1006:AM1006),$AC$1006:$AS$1006,0))&gt;=100000), " ",IF(INDEX($AC$2:$AS$1001,MATCH(ROWS($V$2:V222),$V$2:$V$1001,0),MATCH(COLUMNS($AC$1006:AM1006),$AC$1006:$AS$1006,0)), HYPERLINK("#",""), HYPERLINK(CONCATENATE("#Metadata!", ADDRESS(INDEX($X$2:$X$1001,MATCH(ROWS($V$2:V222),$V$2:$V$1001,0),0), INDEX($AC$1004:$AS$1004,1,MATCH(COLUMNS($AC$1006:AM1006),$AC$1006:$AS$1006,0)))),"Fix")))</f>
        <v>0</v>
      </c>
      <c r="M222" s="5">
        <f>IF(OR(INDEX($W$2:$W$1001,MATCH(ROWS($V$2:V222),$V$2:$V$1001,0),1)&gt;=100000,INDEX($AC$1005:$AS$1005,1,MATCH(COLUMNS($AC$1006:AN1006),$AC$1006:$AS$1006,0))&gt;=100000), " ",IF(INDEX($AC$2:$AS$1001,MATCH(ROWS($V$2:V222),$V$2:$V$1001,0),MATCH(COLUMNS($AC$1006:AN1006),$AC$1006:$AS$1006,0)), HYPERLINK("#",""), HYPERLINK(CONCATENATE("#Metadata!", ADDRESS(INDEX($X$2:$X$1001,MATCH(ROWS($V$2:V222),$V$2:$V$1001,0),0), INDEX($AC$1004:$AS$1004,1,MATCH(COLUMNS($AC$1006:AN1006),$AC$1006:$AS$1006,0)))),"Fix")))</f>
        <v>0</v>
      </c>
      <c r="N222" s="5">
        <f>IF(OR(INDEX($W$2:$W$1001,MATCH(ROWS($V$2:V222),$V$2:$V$1001,0),1)&gt;=100000,INDEX($AC$1005:$AS$1005,1,MATCH(COLUMNS($AC$1006:AO1006),$AC$1006:$AS$1006,0))&gt;=100000), " ",IF(INDEX($AC$2:$AS$1001,MATCH(ROWS($V$2:V222),$V$2:$V$1001,0),MATCH(COLUMNS($AC$1006:AO1006),$AC$1006:$AS$1006,0)), HYPERLINK("#",""), HYPERLINK(CONCATENATE("#Metadata!", ADDRESS(INDEX($X$2:$X$1001,MATCH(ROWS($V$2:V222),$V$2:$V$1001,0),0), INDEX($AC$1004:$AS$1004,1,MATCH(COLUMNS($AC$1006:AO1006),$AC$1006:$AS$1006,0)))),"Fix")))</f>
        <v>0</v>
      </c>
      <c r="O222" s="5">
        <f>IF(OR(INDEX($W$2:$W$1001,MATCH(ROWS($V$2:V222),$V$2:$V$1001,0),1)&gt;=100000,INDEX($AC$1005:$AS$1005,1,MATCH(COLUMNS($AC$1006:AP1006),$AC$1006:$AS$1006,0))&gt;=100000), " ",IF(INDEX($AC$2:$AS$1001,MATCH(ROWS($V$2:V222),$V$2:$V$1001,0),MATCH(COLUMNS($AC$1006:AP1006),$AC$1006:$AS$1006,0)), HYPERLINK("#",""), HYPERLINK(CONCATENATE("#Metadata!", ADDRESS(INDEX($X$2:$X$1001,MATCH(ROWS($V$2:V222),$V$2:$V$1001,0),0), INDEX($AC$1004:$AS$1004,1,MATCH(COLUMNS($AC$1006:AP1006),$AC$1006:$AS$1006,0)))),"Fix")))</f>
        <v>0</v>
      </c>
      <c r="P222" s="5">
        <f>IF(OR(INDEX($W$2:$W$1001,MATCH(ROWS($V$2:V222),$V$2:$V$1001,0),1)&gt;=100000,INDEX($AC$1005:$AS$1005,1,MATCH(COLUMNS($AC$1006:AQ1006),$AC$1006:$AS$1006,0))&gt;=100000), " ",IF(INDEX($AC$2:$AS$1001,MATCH(ROWS($V$2:V222),$V$2:$V$1001,0),MATCH(COLUMNS($AC$1006:AQ1006),$AC$1006:$AS$1006,0)), HYPERLINK("#",""), HYPERLINK(CONCATENATE("#Metadata!", ADDRESS(INDEX($X$2:$X$1001,MATCH(ROWS($V$2:V222),$V$2:$V$1001,0),0), INDEX($AC$1004:$AS$1004,1,MATCH(COLUMNS($AC$1006:AQ1006),$AC$1006:$AS$1006,0)))),"Fix")))</f>
        <v>0</v>
      </c>
      <c r="Q222" s="5">
        <f>IF(OR(INDEX($W$2:$W$1001,MATCH(ROWS($V$2:V222),$V$2:$V$1001,0),1)&gt;=100000,INDEX($AC$1005:$AS$1005,1,MATCH(COLUMNS($AC$1006:AR1006),$AC$1006:$AS$1006,0))&gt;=100000), " ",IF(INDEX($AC$2:$AS$1001,MATCH(ROWS($V$2:V222),$V$2:$V$1001,0),MATCH(COLUMNS($AC$1006:AR1006),$AC$1006:$AS$1006,0)), HYPERLINK("#",""), HYPERLINK(CONCATENATE("#Metadata!", ADDRESS(INDEX($X$2:$X$1001,MATCH(ROWS($V$2:V222),$V$2:$V$1001,0),0), INDEX($AC$1004:$AS$1004,1,MATCH(COLUMNS($AC$1006:AR1006),$AC$1006:$AS$1006,0)))),"Fix")))</f>
        <v>0</v>
      </c>
      <c r="R222" s="5">
        <f>IF(OR(INDEX($W$2:$W$1001,MATCH(ROWS($V$2:V222),$V$2:$V$1001,0),1)&gt;=100000,INDEX($AC$1005:$AS$1005,1,MATCH(COLUMNS($AC$1006:AS1006),$AC$1006:$AS$1006,0))&gt;=100000), " ",IF(INDEX($AC$2:$AS$1001,MATCH(ROWS($V$2:V222),$V$2:$V$1001,0),MATCH(COLUMNS($AC$1006:AS1006),$AC$1006:$AS$1006,0)), HYPERLINK("#",""), HYPERLINK(CONCATENATE("#Metadata!", ADDRESS(INDEX($X$2:$X$1001,MATCH(ROWS($V$2:V222),$V$2:$V$1001,0),0), INDEX($AC$1004:$AS$1004,1,MATCH(COLUMNS($AC$1006:AS1006),$AC$1006:$AS$1006,0)))),"Fix")))</f>
        <v>0</v>
      </c>
      <c r="V222">
        <v>0</v>
      </c>
      <c r="W222">
        <v>0</v>
      </c>
      <c r="X222">
        <v>0</v>
      </c>
      <c r="Y222">
        <f>IF(Z222,TRUE,AND(AC222:AS222))</f>
        <v>0</v>
      </c>
      <c r="Z222">
        <f>COUNTBLANK(Metadata!B222:R222)=COLUMNS(Metadata!B222:R222)</f>
        <v>0</v>
      </c>
      <c r="AA222">
        <v>0</v>
      </c>
      <c r="AC222">
        <f>AND(IF(Metadata!B222="",FALSE,TRUE),COUNTIF(Metadata!B:B, Metadata!B222) = 1,NOT(ISERROR(SUMPRODUCT(SEARCH(MID(Metadata!B222,ROW(INDIRECT("1:"&amp;LEN(Metadata!B222))), 1),"0123456789abcdefghijklmnopqrstuvwxyzABCDEFGHIJKLMNOPQRSTUVWXYZ.")))))</f>
        <v>0</v>
      </c>
      <c r="AD222">
        <f>AND(IF(Metadata!C222="",FALSE,TRUE),exact(Metadata!C222,"Host-associated"))</f>
        <v>0</v>
      </c>
      <c r="AE222">
        <f>AND(IF(Metadata!D222="",FALSE,TRUE),OR(exact(Metadata!D222,"Animal"),exact(Metadata!D222,"Fungus"),exact(Metadata!D222,"Plant")))</f>
        <v>0</v>
      </c>
      <c r="AF222">
        <f>AND(IF(Metadata!E222="",FALSE,TRUE),OR(exact(Metadata!E222,"Plant secretion"),exact(Metadata!E222,"Plant rhizosphere"),exact(Metadata!E222,"Plant surface"),exact(Metadata!E222,"Plant corpus"),exact(Metadata!E222,"Fungus surface"),exact(Metadata!E222,"Fungus corpus"),exact(Metadata!E222,"Animal surface"),exact(Metadata!E222,"Animal proximal gut"),exact(Metadata!E222,"Animal corpus"),exact(Metadata!E222,"Animal distal gut"),exact(Metadata!E222,"Animal secretion")))</f>
        <v>0</v>
      </c>
      <c r="AG222">
        <f>OR(AND(IF(Metadata!F222="",FALSE,TRUE),OR(exact(Metadata!F222,"not collected"),exact(Metadata!F222,"not provided"),exact(Metadata!F222,"restricted access"))),AND(IF(Metadata!F222="",FALSE,TRUE),OR(exact(Metadata!F222,"organism-associated habitat"),exact(Metadata!F222,"plant-associated habitat"),exact(Metadata!F222,"animal-associated habitat"),exact(Metadata!F222,"insecta-associated habitat"),exact(Metadata!F222,"mammalia-associated habitat"),exact(Metadata!F222,"human-associated habitat"),exact(Metadata!F222,"livestock-associated habitat"))))</f>
        <v>0</v>
      </c>
      <c r="AH222">
        <f>AND(IF(Metadata!G222="",FALSE,TRUE),exact(Metadata!G222,"host-associated"))</f>
        <v>0</v>
      </c>
      <c r="AI222">
        <f>OR(AND(IF(Metadata!H222="",FALSE,TRUE),OR(exact(Metadata!H222,"not collected"),exact(Metadata!H222,"not provided"))),AND(IF(Metadata!H222="",FALSE,ISNUMBER(VALUE(Metadata!H222))),Metadata!H222&gt;0))</f>
        <v>0</v>
      </c>
      <c r="AJ222">
        <f>AND(IF(Metadata!I222="",FALSE,TRUE),exact(Metadata!I222,"years"))</f>
        <v>0</v>
      </c>
      <c r="AK222">
        <f>IF(Metadata!J222="",FALSE,TRUE)</f>
        <v>0</v>
      </c>
      <c r="AL222">
        <f>OR(AND(IF(Metadata!K222="",FALSE,TRUE),OR(exact(Metadata!K222,"not collected"),exact(Metadata!K222,"not provided"))),AND(IF(Metadata!K222="",FALSE,ISNUMBER(VALUE(Metadata!K222))),Metadata!K222&gt;0))</f>
        <v>0</v>
      </c>
      <c r="AM222">
        <f>AND(IF(Metadata!L222="",FALSE,TRUE),exact(Metadata!L222,"cm"))</f>
        <v>0</v>
      </c>
      <c r="AN222">
        <f>IF(Metadata!M222="",FALSE,TRUE)</f>
        <v>0</v>
      </c>
      <c r="AO222">
        <f>OR(AND(IF(Metadata!N222="",FALSE,TRUE),OR(exact(Metadata!N222,"not applicable"),exact(Metadata!N222,"not collected"),exact(Metadata!N222,"not provided"))),AND(IF(Metadata!N222="",FALSE,IF(ISERROR(INT(Metadata!N222)),FALSE,INT(Metadata!N222)=Metadata!N222)),Metadata!N222&gt;0))</f>
        <v>0</v>
      </c>
      <c r="AP222">
        <f>OR(AND(IF(Metadata!O222="",FALSE,TRUE),OR(exact(Metadata!O222,"not collected"),exact(Metadata!O222,"not provided"))),AND(IF(Metadata!O222="",FALSE,ISNUMBER(VALUE(Metadata!O222))),Metadata!O222&gt;0))</f>
        <v>0</v>
      </c>
      <c r="AQ222">
        <f>AND(IF(Metadata!P222="",FALSE,TRUE),exact(Metadata!P222,"kg"))</f>
        <v>0</v>
      </c>
      <c r="AR222">
        <f>OR(AND(IF(Metadata!Q222="",FALSE,TRUE),OR(exact(Metadata!Q222,"not applicable"),exact(Metadata!Q222,"not collected"),exact(Metadata!Q222,"not provided"),exact(Metadata!Q222,"restricted access"))),IF(Metadata!Q222="",FALSE,IF(ISERROR(INT(Metadata!Q222)),FALSE,INT(Metadata!Q222)=Metadata!Q222)))</f>
        <v>0</v>
      </c>
      <c r="AS222">
        <f>AND(IF(Metadata!R222="",FALSE,TRUE),exact(Metadata!R222,"Not applicable"))</f>
        <v>0</v>
      </c>
    </row>
    <row r="223" spans="1:45">
      <c r="A223" s="4">
        <f>IF(B223=" "," ",HYPERLINK(CONCATENATE("#metadata!",ADDRESS(INDEX($X$2:$X$1001,MATCH(ROWS($V$2:V223),$V$2:$V$1001,0),0),2)),INDEX($AA$2:$AA$1001,MATCH(ROWS($V$2:V223),$V$2:$V$1001,0),0)))</f>
        <v>0</v>
      </c>
      <c r="B223" s="5">
        <f>IF(OR(INDEX($W$2:$W$1001,MATCH(ROWS($V$2:V223),$V$2:$V$1001,0),1)&gt;=100000,INDEX($AC$1005:$AS$1005,1,MATCH(COLUMNS($AC$1006:AC1006),$AC$1006:$AS$1006,0))&gt;=100000), " ",IF(INDEX($AC$2:$AS$1001,MATCH(ROWS($V$2:V223),$V$2:$V$1001,0),MATCH(COLUMNS($AC$1006:AC1006),$AC$1006:$AS$1006,0)), HYPERLINK("#",""), HYPERLINK(CONCATENATE("#Metadata!", ADDRESS(INDEX($X$2:$X$1001,MATCH(ROWS($V$2:V223),$V$2:$V$1001,0),0), INDEX($AC$1004:$AS$1004,1,MATCH(COLUMNS($AC$1006:AC1006),$AC$1006:$AS$1006,0)))),"Fix")))</f>
        <v>0</v>
      </c>
      <c r="C223" s="5">
        <f>IF(OR(INDEX($W$2:$W$1001,MATCH(ROWS($V$2:V223),$V$2:$V$1001,0),1)&gt;=100000,INDEX($AC$1005:$AS$1005,1,MATCH(COLUMNS($AC$1006:AD1006),$AC$1006:$AS$1006,0))&gt;=100000), " ",IF(INDEX($AC$2:$AS$1001,MATCH(ROWS($V$2:V223),$V$2:$V$1001,0),MATCH(COLUMNS($AC$1006:AD1006),$AC$1006:$AS$1006,0)), HYPERLINK("#",""), HYPERLINK(CONCATENATE("#Metadata!", ADDRESS(INDEX($X$2:$X$1001,MATCH(ROWS($V$2:V223),$V$2:$V$1001,0),0), INDEX($AC$1004:$AS$1004,1,MATCH(COLUMNS($AC$1006:AD1006),$AC$1006:$AS$1006,0)))),"Fix")))</f>
        <v>0</v>
      </c>
      <c r="D223" s="5">
        <f>IF(OR(INDEX($W$2:$W$1001,MATCH(ROWS($V$2:V223),$V$2:$V$1001,0),1)&gt;=100000,INDEX($AC$1005:$AS$1005,1,MATCH(COLUMNS($AC$1006:AE1006),$AC$1006:$AS$1006,0))&gt;=100000), " ",IF(INDEX($AC$2:$AS$1001,MATCH(ROWS($V$2:V223),$V$2:$V$1001,0),MATCH(COLUMNS($AC$1006:AE1006),$AC$1006:$AS$1006,0)), HYPERLINK("#",""), HYPERLINK(CONCATENATE("#Metadata!", ADDRESS(INDEX($X$2:$X$1001,MATCH(ROWS($V$2:V223),$V$2:$V$1001,0),0), INDEX($AC$1004:$AS$1004,1,MATCH(COLUMNS($AC$1006:AE1006),$AC$1006:$AS$1006,0)))),"Fix")))</f>
        <v>0</v>
      </c>
      <c r="E223" s="5">
        <f>IF(OR(INDEX($W$2:$W$1001,MATCH(ROWS($V$2:V223),$V$2:$V$1001,0),1)&gt;=100000,INDEX($AC$1005:$AS$1005,1,MATCH(COLUMNS($AC$1006:AF1006),$AC$1006:$AS$1006,0))&gt;=100000), " ",IF(INDEX($AC$2:$AS$1001,MATCH(ROWS($V$2:V223),$V$2:$V$1001,0),MATCH(COLUMNS($AC$1006:AF1006),$AC$1006:$AS$1006,0)), HYPERLINK("#",""), HYPERLINK(CONCATENATE("#Metadata!", ADDRESS(INDEX($X$2:$X$1001,MATCH(ROWS($V$2:V223),$V$2:$V$1001,0),0), INDEX($AC$1004:$AS$1004,1,MATCH(COLUMNS($AC$1006:AF1006),$AC$1006:$AS$1006,0)))),"Fix")))</f>
        <v>0</v>
      </c>
      <c r="F223" s="5">
        <f>IF(OR(INDEX($W$2:$W$1001,MATCH(ROWS($V$2:V223),$V$2:$V$1001,0),1)&gt;=100000,INDEX($AC$1005:$AS$1005,1,MATCH(COLUMNS($AC$1006:AG1006),$AC$1006:$AS$1006,0))&gt;=100000), " ",IF(INDEX($AC$2:$AS$1001,MATCH(ROWS($V$2:V223),$V$2:$V$1001,0),MATCH(COLUMNS($AC$1006:AG1006),$AC$1006:$AS$1006,0)), HYPERLINK("#",""), HYPERLINK(CONCATENATE("#Metadata!", ADDRESS(INDEX($X$2:$X$1001,MATCH(ROWS($V$2:V223),$V$2:$V$1001,0),0), INDEX($AC$1004:$AS$1004,1,MATCH(COLUMNS($AC$1006:AG1006),$AC$1006:$AS$1006,0)))),"Fix")))</f>
        <v>0</v>
      </c>
      <c r="G223" s="5">
        <f>IF(OR(INDEX($W$2:$W$1001,MATCH(ROWS($V$2:V223),$V$2:$V$1001,0),1)&gt;=100000,INDEX($AC$1005:$AS$1005,1,MATCH(COLUMNS($AC$1006:AH1006),$AC$1006:$AS$1006,0))&gt;=100000), " ",IF(INDEX($AC$2:$AS$1001,MATCH(ROWS($V$2:V223),$V$2:$V$1001,0),MATCH(COLUMNS($AC$1006:AH1006),$AC$1006:$AS$1006,0)), HYPERLINK("#",""), HYPERLINK(CONCATENATE("#Metadata!", ADDRESS(INDEX($X$2:$X$1001,MATCH(ROWS($V$2:V223),$V$2:$V$1001,0),0), INDEX($AC$1004:$AS$1004,1,MATCH(COLUMNS($AC$1006:AH1006),$AC$1006:$AS$1006,0)))),"Fix")))</f>
        <v>0</v>
      </c>
      <c r="H223" s="5">
        <f>IF(OR(INDEX($W$2:$W$1001,MATCH(ROWS($V$2:V223),$V$2:$V$1001,0),1)&gt;=100000,INDEX($AC$1005:$AS$1005,1,MATCH(COLUMNS($AC$1006:AI1006),$AC$1006:$AS$1006,0))&gt;=100000), " ",IF(INDEX($AC$2:$AS$1001,MATCH(ROWS($V$2:V223),$V$2:$V$1001,0),MATCH(COLUMNS($AC$1006:AI1006),$AC$1006:$AS$1006,0)), HYPERLINK("#",""), HYPERLINK(CONCATENATE("#Metadata!", ADDRESS(INDEX($X$2:$X$1001,MATCH(ROWS($V$2:V223),$V$2:$V$1001,0),0), INDEX($AC$1004:$AS$1004,1,MATCH(COLUMNS($AC$1006:AI1006),$AC$1006:$AS$1006,0)))),"Fix")))</f>
        <v>0</v>
      </c>
      <c r="I223" s="5">
        <f>IF(OR(INDEX($W$2:$W$1001,MATCH(ROWS($V$2:V223),$V$2:$V$1001,0),1)&gt;=100000,INDEX($AC$1005:$AS$1005,1,MATCH(COLUMNS($AC$1006:AJ1006),$AC$1006:$AS$1006,0))&gt;=100000), " ",IF(INDEX($AC$2:$AS$1001,MATCH(ROWS($V$2:V223),$V$2:$V$1001,0),MATCH(COLUMNS($AC$1006:AJ1006),$AC$1006:$AS$1006,0)), HYPERLINK("#",""), HYPERLINK(CONCATENATE("#Metadata!", ADDRESS(INDEX($X$2:$X$1001,MATCH(ROWS($V$2:V223),$V$2:$V$1001,0),0), INDEX($AC$1004:$AS$1004,1,MATCH(COLUMNS($AC$1006:AJ1006),$AC$1006:$AS$1006,0)))),"Fix")))</f>
        <v>0</v>
      </c>
      <c r="J223" s="5">
        <f>IF(OR(INDEX($W$2:$W$1001,MATCH(ROWS($V$2:V223),$V$2:$V$1001,0),1)&gt;=100000,INDEX($AC$1005:$AS$1005,1,MATCH(COLUMNS($AC$1006:AK1006),$AC$1006:$AS$1006,0))&gt;=100000), " ",IF(INDEX($AC$2:$AS$1001,MATCH(ROWS($V$2:V223),$V$2:$V$1001,0),MATCH(COLUMNS($AC$1006:AK1006),$AC$1006:$AS$1006,0)), HYPERLINK("#",""), HYPERLINK(CONCATENATE("#Metadata!", ADDRESS(INDEX($X$2:$X$1001,MATCH(ROWS($V$2:V223),$V$2:$V$1001,0),0), INDEX($AC$1004:$AS$1004,1,MATCH(COLUMNS($AC$1006:AK1006),$AC$1006:$AS$1006,0)))),"Fix")))</f>
        <v>0</v>
      </c>
      <c r="K223" s="5">
        <f>IF(OR(INDEX($W$2:$W$1001,MATCH(ROWS($V$2:V223),$V$2:$V$1001,0),1)&gt;=100000,INDEX($AC$1005:$AS$1005,1,MATCH(COLUMNS($AC$1006:AL1006),$AC$1006:$AS$1006,0))&gt;=100000), " ",IF(INDEX($AC$2:$AS$1001,MATCH(ROWS($V$2:V223),$V$2:$V$1001,0),MATCH(COLUMNS($AC$1006:AL1006),$AC$1006:$AS$1006,0)), HYPERLINK("#",""), HYPERLINK(CONCATENATE("#Metadata!", ADDRESS(INDEX($X$2:$X$1001,MATCH(ROWS($V$2:V223),$V$2:$V$1001,0),0), INDEX($AC$1004:$AS$1004,1,MATCH(COLUMNS($AC$1006:AL1006),$AC$1006:$AS$1006,0)))),"Fix")))</f>
        <v>0</v>
      </c>
      <c r="L223" s="5">
        <f>IF(OR(INDEX($W$2:$W$1001,MATCH(ROWS($V$2:V223),$V$2:$V$1001,0),1)&gt;=100000,INDEX($AC$1005:$AS$1005,1,MATCH(COLUMNS($AC$1006:AM1006),$AC$1006:$AS$1006,0))&gt;=100000), " ",IF(INDEX($AC$2:$AS$1001,MATCH(ROWS($V$2:V223),$V$2:$V$1001,0),MATCH(COLUMNS($AC$1006:AM1006),$AC$1006:$AS$1006,0)), HYPERLINK("#",""), HYPERLINK(CONCATENATE("#Metadata!", ADDRESS(INDEX($X$2:$X$1001,MATCH(ROWS($V$2:V223),$V$2:$V$1001,0),0), INDEX($AC$1004:$AS$1004,1,MATCH(COLUMNS($AC$1006:AM1006),$AC$1006:$AS$1006,0)))),"Fix")))</f>
        <v>0</v>
      </c>
      <c r="M223" s="5">
        <f>IF(OR(INDEX($W$2:$W$1001,MATCH(ROWS($V$2:V223),$V$2:$V$1001,0),1)&gt;=100000,INDEX($AC$1005:$AS$1005,1,MATCH(COLUMNS($AC$1006:AN1006),$AC$1006:$AS$1006,0))&gt;=100000), " ",IF(INDEX($AC$2:$AS$1001,MATCH(ROWS($V$2:V223),$V$2:$V$1001,0),MATCH(COLUMNS($AC$1006:AN1006),$AC$1006:$AS$1006,0)), HYPERLINK("#",""), HYPERLINK(CONCATENATE("#Metadata!", ADDRESS(INDEX($X$2:$X$1001,MATCH(ROWS($V$2:V223),$V$2:$V$1001,0),0), INDEX($AC$1004:$AS$1004,1,MATCH(COLUMNS($AC$1006:AN1006),$AC$1006:$AS$1006,0)))),"Fix")))</f>
        <v>0</v>
      </c>
      <c r="N223" s="5">
        <f>IF(OR(INDEX($W$2:$W$1001,MATCH(ROWS($V$2:V223),$V$2:$V$1001,0),1)&gt;=100000,INDEX($AC$1005:$AS$1005,1,MATCH(COLUMNS($AC$1006:AO1006),$AC$1006:$AS$1006,0))&gt;=100000), " ",IF(INDEX($AC$2:$AS$1001,MATCH(ROWS($V$2:V223),$V$2:$V$1001,0),MATCH(COLUMNS($AC$1006:AO1006),$AC$1006:$AS$1006,0)), HYPERLINK("#",""), HYPERLINK(CONCATENATE("#Metadata!", ADDRESS(INDEX($X$2:$X$1001,MATCH(ROWS($V$2:V223),$V$2:$V$1001,0),0), INDEX($AC$1004:$AS$1004,1,MATCH(COLUMNS($AC$1006:AO1006),$AC$1006:$AS$1006,0)))),"Fix")))</f>
        <v>0</v>
      </c>
      <c r="O223" s="5">
        <f>IF(OR(INDEX($W$2:$W$1001,MATCH(ROWS($V$2:V223),$V$2:$V$1001,0),1)&gt;=100000,INDEX($AC$1005:$AS$1005,1,MATCH(COLUMNS($AC$1006:AP1006),$AC$1006:$AS$1006,0))&gt;=100000), " ",IF(INDEX($AC$2:$AS$1001,MATCH(ROWS($V$2:V223),$V$2:$V$1001,0),MATCH(COLUMNS($AC$1006:AP1006),$AC$1006:$AS$1006,0)), HYPERLINK("#",""), HYPERLINK(CONCATENATE("#Metadata!", ADDRESS(INDEX($X$2:$X$1001,MATCH(ROWS($V$2:V223),$V$2:$V$1001,0),0), INDEX($AC$1004:$AS$1004,1,MATCH(COLUMNS($AC$1006:AP1006),$AC$1006:$AS$1006,0)))),"Fix")))</f>
        <v>0</v>
      </c>
      <c r="P223" s="5">
        <f>IF(OR(INDEX($W$2:$W$1001,MATCH(ROWS($V$2:V223),$V$2:$V$1001,0),1)&gt;=100000,INDEX($AC$1005:$AS$1005,1,MATCH(COLUMNS($AC$1006:AQ1006),$AC$1006:$AS$1006,0))&gt;=100000), " ",IF(INDEX($AC$2:$AS$1001,MATCH(ROWS($V$2:V223),$V$2:$V$1001,0),MATCH(COLUMNS($AC$1006:AQ1006),$AC$1006:$AS$1006,0)), HYPERLINK("#",""), HYPERLINK(CONCATENATE("#Metadata!", ADDRESS(INDEX($X$2:$X$1001,MATCH(ROWS($V$2:V223),$V$2:$V$1001,0),0), INDEX($AC$1004:$AS$1004,1,MATCH(COLUMNS($AC$1006:AQ1006),$AC$1006:$AS$1006,0)))),"Fix")))</f>
        <v>0</v>
      </c>
      <c r="Q223" s="5">
        <f>IF(OR(INDEX($W$2:$W$1001,MATCH(ROWS($V$2:V223),$V$2:$V$1001,0),1)&gt;=100000,INDEX($AC$1005:$AS$1005,1,MATCH(COLUMNS($AC$1006:AR1006),$AC$1006:$AS$1006,0))&gt;=100000), " ",IF(INDEX($AC$2:$AS$1001,MATCH(ROWS($V$2:V223),$V$2:$V$1001,0),MATCH(COLUMNS($AC$1006:AR1006),$AC$1006:$AS$1006,0)), HYPERLINK("#",""), HYPERLINK(CONCATENATE("#Metadata!", ADDRESS(INDEX($X$2:$X$1001,MATCH(ROWS($V$2:V223),$V$2:$V$1001,0),0), INDEX($AC$1004:$AS$1004,1,MATCH(COLUMNS($AC$1006:AR1006),$AC$1006:$AS$1006,0)))),"Fix")))</f>
        <v>0</v>
      </c>
      <c r="R223" s="5">
        <f>IF(OR(INDEX($W$2:$W$1001,MATCH(ROWS($V$2:V223),$V$2:$V$1001,0),1)&gt;=100000,INDEX($AC$1005:$AS$1005,1,MATCH(COLUMNS($AC$1006:AS1006),$AC$1006:$AS$1006,0))&gt;=100000), " ",IF(INDEX($AC$2:$AS$1001,MATCH(ROWS($V$2:V223),$V$2:$V$1001,0),MATCH(COLUMNS($AC$1006:AS1006),$AC$1006:$AS$1006,0)), HYPERLINK("#",""), HYPERLINK(CONCATENATE("#Metadata!", ADDRESS(INDEX($X$2:$X$1001,MATCH(ROWS($V$2:V223),$V$2:$V$1001,0),0), INDEX($AC$1004:$AS$1004,1,MATCH(COLUMNS($AC$1006:AS1006),$AC$1006:$AS$1006,0)))),"Fix")))</f>
        <v>0</v>
      </c>
      <c r="V223">
        <v>0</v>
      </c>
      <c r="W223">
        <v>0</v>
      </c>
      <c r="X223">
        <v>0</v>
      </c>
      <c r="Y223">
        <f>IF(Z223,TRUE,AND(AC223:AS223))</f>
        <v>0</v>
      </c>
      <c r="Z223">
        <f>COUNTBLANK(Metadata!B223:R223)=COLUMNS(Metadata!B223:R223)</f>
        <v>0</v>
      </c>
      <c r="AA223">
        <v>0</v>
      </c>
      <c r="AC223">
        <f>AND(IF(Metadata!B223="",FALSE,TRUE),COUNTIF(Metadata!B:B, Metadata!B223) = 1,NOT(ISERROR(SUMPRODUCT(SEARCH(MID(Metadata!B223,ROW(INDIRECT("1:"&amp;LEN(Metadata!B223))), 1),"0123456789abcdefghijklmnopqrstuvwxyzABCDEFGHIJKLMNOPQRSTUVWXYZ.")))))</f>
        <v>0</v>
      </c>
      <c r="AD223">
        <f>AND(IF(Metadata!C223="",FALSE,TRUE),exact(Metadata!C223,"Host-associated"))</f>
        <v>0</v>
      </c>
      <c r="AE223">
        <f>AND(IF(Metadata!D223="",FALSE,TRUE),OR(exact(Metadata!D223,"Animal"),exact(Metadata!D223,"Fungus"),exact(Metadata!D223,"Plant")))</f>
        <v>0</v>
      </c>
      <c r="AF223">
        <f>AND(IF(Metadata!E223="",FALSE,TRUE),OR(exact(Metadata!E223,"Plant secretion"),exact(Metadata!E223,"Plant rhizosphere"),exact(Metadata!E223,"Plant surface"),exact(Metadata!E223,"Plant corpus"),exact(Metadata!E223,"Fungus surface"),exact(Metadata!E223,"Fungus corpus"),exact(Metadata!E223,"Animal surface"),exact(Metadata!E223,"Animal proximal gut"),exact(Metadata!E223,"Animal corpus"),exact(Metadata!E223,"Animal distal gut"),exact(Metadata!E223,"Animal secretion")))</f>
        <v>0</v>
      </c>
      <c r="AG223">
        <f>OR(AND(IF(Metadata!F223="",FALSE,TRUE),OR(exact(Metadata!F223,"not collected"),exact(Metadata!F223,"not provided"),exact(Metadata!F223,"restricted access"))),AND(IF(Metadata!F223="",FALSE,TRUE),OR(exact(Metadata!F223,"organism-associated habitat"),exact(Metadata!F223,"plant-associated habitat"),exact(Metadata!F223,"animal-associated habitat"),exact(Metadata!F223,"insecta-associated habitat"),exact(Metadata!F223,"mammalia-associated habitat"),exact(Metadata!F223,"human-associated habitat"),exact(Metadata!F223,"livestock-associated habitat"))))</f>
        <v>0</v>
      </c>
      <c r="AH223">
        <f>AND(IF(Metadata!G223="",FALSE,TRUE),exact(Metadata!G223,"host-associated"))</f>
        <v>0</v>
      </c>
      <c r="AI223">
        <f>OR(AND(IF(Metadata!H223="",FALSE,TRUE),OR(exact(Metadata!H223,"not collected"),exact(Metadata!H223,"not provided"))),AND(IF(Metadata!H223="",FALSE,ISNUMBER(VALUE(Metadata!H223))),Metadata!H223&gt;0))</f>
        <v>0</v>
      </c>
      <c r="AJ223">
        <f>AND(IF(Metadata!I223="",FALSE,TRUE),exact(Metadata!I223,"years"))</f>
        <v>0</v>
      </c>
      <c r="AK223">
        <f>IF(Metadata!J223="",FALSE,TRUE)</f>
        <v>0</v>
      </c>
      <c r="AL223">
        <f>OR(AND(IF(Metadata!K223="",FALSE,TRUE),OR(exact(Metadata!K223,"not collected"),exact(Metadata!K223,"not provided"))),AND(IF(Metadata!K223="",FALSE,ISNUMBER(VALUE(Metadata!K223))),Metadata!K223&gt;0))</f>
        <v>0</v>
      </c>
      <c r="AM223">
        <f>AND(IF(Metadata!L223="",FALSE,TRUE),exact(Metadata!L223,"cm"))</f>
        <v>0</v>
      </c>
      <c r="AN223">
        <f>IF(Metadata!M223="",FALSE,TRUE)</f>
        <v>0</v>
      </c>
      <c r="AO223">
        <f>OR(AND(IF(Metadata!N223="",FALSE,TRUE),OR(exact(Metadata!N223,"not applicable"),exact(Metadata!N223,"not collected"),exact(Metadata!N223,"not provided"))),AND(IF(Metadata!N223="",FALSE,IF(ISERROR(INT(Metadata!N223)),FALSE,INT(Metadata!N223)=Metadata!N223)),Metadata!N223&gt;0))</f>
        <v>0</v>
      </c>
      <c r="AP223">
        <f>OR(AND(IF(Metadata!O223="",FALSE,TRUE),OR(exact(Metadata!O223,"not collected"),exact(Metadata!O223,"not provided"))),AND(IF(Metadata!O223="",FALSE,ISNUMBER(VALUE(Metadata!O223))),Metadata!O223&gt;0))</f>
        <v>0</v>
      </c>
      <c r="AQ223">
        <f>AND(IF(Metadata!P223="",FALSE,TRUE),exact(Metadata!P223,"kg"))</f>
        <v>0</v>
      </c>
      <c r="AR223">
        <f>OR(AND(IF(Metadata!Q223="",FALSE,TRUE),OR(exact(Metadata!Q223,"not applicable"),exact(Metadata!Q223,"not collected"),exact(Metadata!Q223,"not provided"),exact(Metadata!Q223,"restricted access"))),IF(Metadata!Q223="",FALSE,IF(ISERROR(INT(Metadata!Q223)),FALSE,INT(Metadata!Q223)=Metadata!Q223)))</f>
        <v>0</v>
      </c>
      <c r="AS223">
        <f>AND(IF(Metadata!R223="",FALSE,TRUE),exact(Metadata!R223,"Not applicable"))</f>
        <v>0</v>
      </c>
    </row>
    <row r="224" spans="1:45">
      <c r="A224" s="4">
        <f>IF(B224=" "," ",HYPERLINK(CONCATENATE("#metadata!",ADDRESS(INDEX($X$2:$X$1001,MATCH(ROWS($V$2:V224),$V$2:$V$1001,0),0),2)),INDEX($AA$2:$AA$1001,MATCH(ROWS($V$2:V224),$V$2:$V$1001,0),0)))</f>
        <v>0</v>
      </c>
      <c r="B224" s="5">
        <f>IF(OR(INDEX($W$2:$W$1001,MATCH(ROWS($V$2:V224),$V$2:$V$1001,0),1)&gt;=100000,INDEX($AC$1005:$AS$1005,1,MATCH(COLUMNS($AC$1006:AC1006),$AC$1006:$AS$1006,0))&gt;=100000), " ",IF(INDEX($AC$2:$AS$1001,MATCH(ROWS($V$2:V224),$V$2:$V$1001,0),MATCH(COLUMNS($AC$1006:AC1006),$AC$1006:$AS$1006,0)), HYPERLINK("#",""), HYPERLINK(CONCATENATE("#Metadata!", ADDRESS(INDEX($X$2:$X$1001,MATCH(ROWS($V$2:V224),$V$2:$V$1001,0),0), INDEX($AC$1004:$AS$1004,1,MATCH(COLUMNS($AC$1006:AC1006),$AC$1006:$AS$1006,0)))),"Fix")))</f>
        <v>0</v>
      </c>
      <c r="C224" s="5">
        <f>IF(OR(INDEX($W$2:$W$1001,MATCH(ROWS($V$2:V224),$V$2:$V$1001,0),1)&gt;=100000,INDEX($AC$1005:$AS$1005,1,MATCH(COLUMNS($AC$1006:AD1006),$AC$1006:$AS$1006,0))&gt;=100000), " ",IF(INDEX($AC$2:$AS$1001,MATCH(ROWS($V$2:V224),$V$2:$V$1001,0),MATCH(COLUMNS($AC$1006:AD1006),$AC$1006:$AS$1006,0)), HYPERLINK("#",""), HYPERLINK(CONCATENATE("#Metadata!", ADDRESS(INDEX($X$2:$X$1001,MATCH(ROWS($V$2:V224),$V$2:$V$1001,0),0), INDEX($AC$1004:$AS$1004,1,MATCH(COLUMNS($AC$1006:AD1006),$AC$1006:$AS$1006,0)))),"Fix")))</f>
        <v>0</v>
      </c>
      <c r="D224" s="5">
        <f>IF(OR(INDEX($W$2:$W$1001,MATCH(ROWS($V$2:V224),$V$2:$V$1001,0),1)&gt;=100000,INDEX($AC$1005:$AS$1005,1,MATCH(COLUMNS($AC$1006:AE1006),$AC$1006:$AS$1006,0))&gt;=100000), " ",IF(INDEX($AC$2:$AS$1001,MATCH(ROWS($V$2:V224),$V$2:$V$1001,0),MATCH(COLUMNS($AC$1006:AE1006),$AC$1006:$AS$1006,0)), HYPERLINK("#",""), HYPERLINK(CONCATENATE("#Metadata!", ADDRESS(INDEX($X$2:$X$1001,MATCH(ROWS($V$2:V224),$V$2:$V$1001,0),0), INDEX($AC$1004:$AS$1004,1,MATCH(COLUMNS($AC$1006:AE1006),$AC$1006:$AS$1006,0)))),"Fix")))</f>
        <v>0</v>
      </c>
      <c r="E224" s="5">
        <f>IF(OR(INDEX($W$2:$W$1001,MATCH(ROWS($V$2:V224),$V$2:$V$1001,0),1)&gt;=100000,INDEX($AC$1005:$AS$1005,1,MATCH(COLUMNS($AC$1006:AF1006),$AC$1006:$AS$1006,0))&gt;=100000), " ",IF(INDEX($AC$2:$AS$1001,MATCH(ROWS($V$2:V224),$V$2:$V$1001,0),MATCH(COLUMNS($AC$1006:AF1006),$AC$1006:$AS$1006,0)), HYPERLINK("#",""), HYPERLINK(CONCATENATE("#Metadata!", ADDRESS(INDEX($X$2:$X$1001,MATCH(ROWS($V$2:V224),$V$2:$V$1001,0),0), INDEX($AC$1004:$AS$1004,1,MATCH(COLUMNS($AC$1006:AF1006),$AC$1006:$AS$1006,0)))),"Fix")))</f>
        <v>0</v>
      </c>
      <c r="F224" s="5">
        <f>IF(OR(INDEX($W$2:$W$1001,MATCH(ROWS($V$2:V224),$V$2:$V$1001,0),1)&gt;=100000,INDEX($AC$1005:$AS$1005,1,MATCH(COLUMNS($AC$1006:AG1006),$AC$1006:$AS$1006,0))&gt;=100000), " ",IF(INDEX($AC$2:$AS$1001,MATCH(ROWS($V$2:V224),$V$2:$V$1001,0),MATCH(COLUMNS($AC$1006:AG1006),$AC$1006:$AS$1006,0)), HYPERLINK("#",""), HYPERLINK(CONCATENATE("#Metadata!", ADDRESS(INDEX($X$2:$X$1001,MATCH(ROWS($V$2:V224),$V$2:$V$1001,0),0), INDEX($AC$1004:$AS$1004,1,MATCH(COLUMNS($AC$1006:AG1006),$AC$1006:$AS$1006,0)))),"Fix")))</f>
        <v>0</v>
      </c>
      <c r="G224" s="5">
        <f>IF(OR(INDEX($W$2:$W$1001,MATCH(ROWS($V$2:V224),$V$2:$V$1001,0),1)&gt;=100000,INDEX($AC$1005:$AS$1005,1,MATCH(COLUMNS($AC$1006:AH1006),$AC$1006:$AS$1006,0))&gt;=100000), " ",IF(INDEX($AC$2:$AS$1001,MATCH(ROWS($V$2:V224),$V$2:$V$1001,0),MATCH(COLUMNS($AC$1006:AH1006),$AC$1006:$AS$1006,0)), HYPERLINK("#",""), HYPERLINK(CONCATENATE("#Metadata!", ADDRESS(INDEX($X$2:$X$1001,MATCH(ROWS($V$2:V224),$V$2:$V$1001,0),0), INDEX($AC$1004:$AS$1004,1,MATCH(COLUMNS($AC$1006:AH1006),$AC$1006:$AS$1006,0)))),"Fix")))</f>
        <v>0</v>
      </c>
      <c r="H224" s="5">
        <f>IF(OR(INDEX($W$2:$W$1001,MATCH(ROWS($V$2:V224),$V$2:$V$1001,0),1)&gt;=100000,INDEX($AC$1005:$AS$1005,1,MATCH(COLUMNS($AC$1006:AI1006),$AC$1006:$AS$1006,0))&gt;=100000), " ",IF(INDEX($AC$2:$AS$1001,MATCH(ROWS($V$2:V224),$V$2:$V$1001,0),MATCH(COLUMNS($AC$1006:AI1006),$AC$1006:$AS$1006,0)), HYPERLINK("#",""), HYPERLINK(CONCATENATE("#Metadata!", ADDRESS(INDEX($X$2:$X$1001,MATCH(ROWS($V$2:V224),$V$2:$V$1001,0),0), INDEX($AC$1004:$AS$1004,1,MATCH(COLUMNS($AC$1006:AI1006),$AC$1006:$AS$1006,0)))),"Fix")))</f>
        <v>0</v>
      </c>
      <c r="I224" s="5">
        <f>IF(OR(INDEX($W$2:$W$1001,MATCH(ROWS($V$2:V224),$V$2:$V$1001,0),1)&gt;=100000,INDEX($AC$1005:$AS$1005,1,MATCH(COLUMNS($AC$1006:AJ1006),$AC$1006:$AS$1006,0))&gt;=100000), " ",IF(INDEX($AC$2:$AS$1001,MATCH(ROWS($V$2:V224),$V$2:$V$1001,0),MATCH(COLUMNS($AC$1006:AJ1006),$AC$1006:$AS$1006,0)), HYPERLINK("#",""), HYPERLINK(CONCATENATE("#Metadata!", ADDRESS(INDEX($X$2:$X$1001,MATCH(ROWS($V$2:V224),$V$2:$V$1001,0),0), INDEX($AC$1004:$AS$1004,1,MATCH(COLUMNS($AC$1006:AJ1006),$AC$1006:$AS$1006,0)))),"Fix")))</f>
        <v>0</v>
      </c>
      <c r="J224" s="5">
        <f>IF(OR(INDEX($W$2:$W$1001,MATCH(ROWS($V$2:V224),$V$2:$V$1001,0),1)&gt;=100000,INDEX($AC$1005:$AS$1005,1,MATCH(COLUMNS($AC$1006:AK1006),$AC$1006:$AS$1006,0))&gt;=100000), " ",IF(INDEX($AC$2:$AS$1001,MATCH(ROWS($V$2:V224),$V$2:$V$1001,0),MATCH(COLUMNS($AC$1006:AK1006),$AC$1006:$AS$1006,0)), HYPERLINK("#",""), HYPERLINK(CONCATENATE("#Metadata!", ADDRESS(INDEX($X$2:$X$1001,MATCH(ROWS($V$2:V224),$V$2:$V$1001,0),0), INDEX($AC$1004:$AS$1004,1,MATCH(COLUMNS($AC$1006:AK1006),$AC$1006:$AS$1006,0)))),"Fix")))</f>
        <v>0</v>
      </c>
      <c r="K224" s="5">
        <f>IF(OR(INDEX($W$2:$W$1001,MATCH(ROWS($V$2:V224),$V$2:$V$1001,0),1)&gt;=100000,INDEX($AC$1005:$AS$1005,1,MATCH(COLUMNS($AC$1006:AL1006),$AC$1006:$AS$1006,0))&gt;=100000), " ",IF(INDEX($AC$2:$AS$1001,MATCH(ROWS($V$2:V224),$V$2:$V$1001,0),MATCH(COLUMNS($AC$1006:AL1006),$AC$1006:$AS$1006,0)), HYPERLINK("#",""), HYPERLINK(CONCATENATE("#Metadata!", ADDRESS(INDEX($X$2:$X$1001,MATCH(ROWS($V$2:V224),$V$2:$V$1001,0),0), INDEX($AC$1004:$AS$1004,1,MATCH(COLUMNS($AC$1006:AL1006),$AC$1006:$AS$1006,0)))),"Fix")))</f>
        <v>0</v>
      </c>
      <c r="L224" s="5">
        <f>IF(OR(INDEX($W$2:$W$1001,MATCH(ROWS($V$2:V224),$V$2:$V$1001,0),1)&gt;=100000,INDEX($AC$1005:$AS$1005,1,MATCH(COLUMNS($AC$1006:AM1006),$AC$1006:$AS$1006,0))&gt;=100000), " ",IF(INDEX($AC$2:$AS$1001,MATCH(ROWS($V$2:V224),$V$2:$V$1001,0),MATCH(COLUMNS($AC$1006:AM1006),$AC$1006:$AS$1006,0)), HYPERLINK("#",""), HYPERLINK(CONCATENATE("#Metadata!", ADDRESS(INDEX($X$2:$X$1001,MATCH(ROWS($V$2:V224),$V$2:$V$1001,0),0), INDEX($AC$1004:$AS$1004,1,MATCH(COLUMNS($AC$1006:AM1006),$AC$1006:$AS$1006,0)))),"Fix")))</f>
        <v>0</v>
      </c>
      <c r="M224" s="5">
        <f>IF(OR(INDEX($W$2:$W$1001,MATCH(ROWS($V$2:V224),$V$2:$V$1001,0),1)&gt;=100000,INDEX($AC$1005:$AS$1005,1,MATCH(COLUMNS($AC$1006:AN1006),$AC$1006:$AS$1006,0))&gt;=100000), " ",IF(INDEX($AC$2:$AS$1001,MATCH(ROWS($V$2:V224),$V$2:$V$1001,0),MATCH(COLUMNS($AC$1006:AN1006),$AC$1006:$AS$1006,0)), HYPERLINK("#",""), HYPERLINK(CONCATENATE("#Metadata!", ADDRESS(INDEX($X$2:$X$1001,MATCH(ROWS($V$2:V224),$V$2:$V$1001,0),0), INDEX($AC$1004:$AS$1004,1,MATCH(COLUMNS($AC$1006:AN1006),$AC$1006:$AS$1006,0)))),"Fix")))</f>
        <v>0</v>
      </c>
      <c r="N224" s="5">
        <f>IF(OR(INDEX($W$2:$W$1001,MATCH(ROWS($V$2:V224),$V$2:$V$1001,0),1)&gt;=100000,INDEX($AC$1005:$AS$1005,1,MATCH(COLUMNS($AC$1006:AO1006),$AC$1006:$AS$1006,0))&gt;=100000), " ",IF(INDEX($AC$2:$AS$1001,MATCH(ROWS($V$2:V224),$V$2:$V$1001,0),MATCH(COLUMNS($AC$1006:AO1006),$AC$1006:$AS$1006,0)), HYPERLINK("#",""), HYPERLINK(CONCATENATE("#Metadata!", ADDRESS(INDEX($X$2:$X$1001,MATCH(ROWS($V$2:V224),$V$2:$V$1001,0),0), INDEX($AC$1004:$AS$1004,1,MATCH(COLUMNS($AC$1006:AO1006),$AC$1006:$AS$1006,0)))),"Fix")))</f>
        <v>0</v>
      </c>
      <c r="O224" s="5">
        <f>IF(OR(INDEX($W$2:$W$1001,MATCH(ROWS($V$2:V224),$V$2:$V$1001,0),1)&gt;=100000,INDEX($AC$1005:$AS$1005,1,MATCH(COLUMNS($AC$1006:AP1006),$AC$1006:$AS$1006,0))&gt;=100000), " ",IF(INDEX($AC$2:$AS$1001,MATCH(ROWS($V$2:V224),$V$2:$V$1001,0),MATCH(COLUMNS($AC$1006:AP1006),$AC$1006:$AS$1006,0)), HYPERLINK("#",""), HYPERLINK(CONCATENATE("#Metadata!", ADDRESS(INDEX($X$2:$X$1001,MATCH(ROWS($V$2:V224),$V$2:$V$1001,0),0), INDEX($AC$1004:$AS$1004,1,MATCH(COLUMNS($AC$1006:AP1006),$AC$1006:$AS$1006,0)))),"Fix")))</f>
        <v>0</v>
      </c>
      <c r="P224" s="5">
        <f>IF(OR(INDEX($W$2:$W$1001,MATCH(ROWS($V$2:V224),$V$2:$V$1001,0),1)&gt;=100000,INDEX($AC$1005:$AS$1005,1,MATCH(COLUMNS($AC$1006:AQ1006),$AC$1006:$AS$1006,0))&gt;=100000), " ",IF(INDEX($AC$2:$AS$1001,MATCH(ROWS($V$2:V224),$V$2:$V$1001,0),MATCH(COLUMNS($AC$1006:AQ1006),$AC$1006:$AS$1006,0)), HYPERLINK("#",""), HYPERLINK(CONCATENATE("#Metadata!", ADDRESS(INDEX($X$2:$X$1001,MATCH(ROWS($V$2:V224),$V$2:$V$1001,0),0), INDEX($AC$1004:$AS$1004,1,MATCH(COLUMNS($AC$1006:AQ1006),$AC$1006:$AS$1006,0)))),"Fix")))</f>
        <v>0</v>
      </c>
      <c r="Q224" s="5">
        <f>IF(OR(INDEX($W$2:$W$1001,MATCH(ROWS($V$2:V224),$V$2:$V$1001,0),1)&gt;=100000,INDEX($AC$1005:$AS$1005,1,MATCH(COLUMNS($AC$1006:AR1006),$AC$1006:$AS$1006,0))&gt;=100000), " ",IF(INDEX($AC$2:$AS$1001,MATCH(ROWS($V$2:V224),$V$2:$V$1001,0),MATCH(COLUMNS($AC$1006:AR1006),$AC$1006:$AS$1006,0)), HYPERLINK("#",""), HYPERLINK(CONCATENATE("#Metadata!", ADDRESS(INDEX($X$2:$X$1001,MATCH(ROWS($V$2:V224),$V$2:$V$1001,0),0), INDEX($AC$1004:$AS$1004,1,MATCH(COLUMNS($AC$1006:AR1006),$AC$1006:$AS$1006,0)))),"Fix")))</f>
        <v>0</v>
      </c>
      <c r="R224" s="5">
        <f>IF(OR(INDEX($W$2:$W$1001,MATCH(ROWS($V$2:V224),$V$2:$V$1001,0),1)&gt;=100000,INDEX($AC$1005:$AS$1005,1,MATCH(COLUMNS($AC$1006:AS1006),$AC$1006:$AS$1006,0))&gt;=100000), " ",IF(INDEX($AC$2:$AS$1001,MATCH(ROWS($V$2:V224),$V$2:$V$1001,0),MATCH(COLUMNS($AC$1006:AS1006),$AC$1006:$AS$1006,0)), HYPERLINK("#",""), HYPERLINK(CONCATENATE("#Metadata!", ADDRESS(INDEX($X$2:$X$1001,MATCH(ROWS($V$2:V224),$V$2:$V$1001,0),0), INDEX($AC$1004:$AS$1004,1,MATCH(COLUMNS($AC$1006:AS1006),$AC$1006:$AS$1006,0)))),"Fix")))</f>
        <v>0</v>
      </c>
      <c r="V224">
        <v>0</v>
      </c>
      <c r="W224">
        <v>0</v>
      </c>
      <c r="X224">
        <v>0</v>
      </c>
      <c r="Y224">
        <f>IF(Z224,TRUE,AND(AC224:AS224))</f>
        <v>0</v>
      </c>
      <c r="Z224">
        <f>COUNTBLANK(Metadata!B224:R224)=COLUMNS(Metadata!B224:R224)</f>
        <v>0</v>
      </c>
      <c r="AA224">
        <v>0</v>
      </c>
      <c r="AC224">
        <f>AND(IF(Metadata!B224="",FALSE,TRUE),COUNTIF(Metadata!B:B, Metadata!B224) = 1,NOT(ISERROR(SUMPRODUCT(SEARCH(MID(Metadata!B224,ROW(INDIRECT("1:"&amp;LEN(Metadata!B224))), 1),"0123456789abcdefghijklmnopqrstuvwxyzABCDEFGHIJKLMNOPQRSTUVWXYZ.")))))</f>
        <v>0</v>
      </c>
      <c r="AD224">
        <f>AND(IF(Metadata!C224="",FALSE,TRUE),exact(Metadata!C224,"Host-associated"))</f>
        <v>0</v>
      </c>
      <c r="AE224">
        <f>AND(IF(Metadata!D224="",FALSE,TRUE),OR(exact(Metadata!D224,"Animal"),exact(Metadata!D224,"Fungus"),exact(Metadata!D224,"Plant")))</f>
        <v>0</v>
      </c>
      <c r="AF224">
        <f>AND(IF(Metadata!E224="",FALSE,TRUE),OR(exact(Metadata!E224,"Plant secretion"),exact(Metadata!E224,"Plant rhizosphere"),exact(Metadata!E224,"Plant surface"),exact(Metadata!E224,"Plant corpus"),exact(Metadata!E224,"Fungus surface"),exact(Metadata!E224,"Fungus corpus"),exact(Metadata!E224,"Animal surface"),exact(Metadata!E224,"Animal proximal gut"),exact(Metadata!E224,"Animal corpus"),exact(Metadata!E224,"Animal distal gut"),exact(Metadata!E224,"Animal secretion")))</f>
        <v>0</v>
      </c>
      <c r="AG224">
        <f>OR(AND(IF(Metadata!F224="",FALSE,TRUE),OR(exact(Metadata!F224,"not collected"),exact(Metadata!F224,"not provided"),exact(Metadata!F224,"restricted access"))),AND(IF(Metadata!F224="",FALSE,TRUE),OR(exact(Metadata!F224,"organism-associated habitat"),exact(Metadata!F224,"plant-associated habitat"),exact(Metadata!F224,"animal-associated habitat"),exact(Metadata!F224,"insecta-associated habitat"),exact(Metadata!F224,"mammalia-associated habitat"),exact(Metadata!F224,"human-associated habitat"),exact(Metadata!F224,"livestock-associated habitat"))))</f>
        <v>0</v>
      </c>
      <c r="AH224">
        <f>AND(IF(Metadata!G224="",FALSE,TRUE),exact(Metadata!G224,"host-associated"))</f>
        <v>0</v>
      </c>
      <c r="AI224">
        <f>OR(AND(IF(Metadata!H224="",FALSE,TRUE),OR(exact(Metadata!H224,"not collected"),exact(Metadata!H224,"not provided"))),AND(IF(Metadata!H224="",FALSE,ISNUMBER(VALUE(Metadata!H224))),Metadata!H224&gt;0))</f>
        <v>0</v>
      </c>
      <c r="AJ224">
        <f>AND(IF(Metadata!I224="",FALSE,TRUE),exact(Metadata!I224,"years"))</f>
        <v>0</v>
      </c>
      <c r="AK224">
        <f>IF(Metadata!J224="",FALSE,TRUE)</f>
        <v>0</v>
      </c>
      <c r="AL224">
        <f>OR(AND(IF(Metadata!K224="",FALSE,TRUE),OR(exact(Metadata!K224,"not collected"),exact(Metadata!K224,"not provided"))),AND(IF(Metadata!K224="",FALSE,ISNUMBER(VALUE(Metadata!K224))),Metadata!K224&gt;0))</f>
        <v>0</v>
      </c>
      <c r="AM224">
        <f>AND(IF(Metadata!L224="",FALSE,TRUE),exact(Metadata!L224,"cm"))</f>
        <v>0</v>
      </c>
      <c r="AN224">
        <f>IF(Metadata!M224="",FALSE,TRUE)</f>
        <v>0</v>
      </c>
      <c r="AO224">
        <f>OR(AND(IF(Metadata!N224="",FALSE,TRUE),OR(exact(Metadata!N224,"not applicable"),exact(Metadata!N224,"not collected"),exact(Metadata!N224,"not provided"))),AND(IF(Metadata!N224="",FALSE,IF(ISERROR(INT(Metadata!N224)),FALSE,INT(Metadata!N224)=Metadata!N224)),Metadata!N224&gt;0))</f>
        <v>0</v>
      </c>
      <c r="AP224">
        <f>OR(AND(IF(Metadata!O224="",FALSE,TRUE),OR(exact(Metadata!O224,"not collected"),exact(Metadata!O224,"not provided"))),AND(IF(Metadata!O224="",FALSE,ISNUMBER(VALUE(Metadata!O224))),Metadata!O224&gt;0))</f>
        <v>0</v>
      </c>
      <c r="AQ224">
        <f>AND(IF(Metadata!P224="",FALSE,TRUE),exact(Metadata!P224,"kg"))</f>
        <v>0</v>
      </c>
      <c r="AR224">
        <f>OR(AND(IF(Metadata!Q224="",FALSE,TRUE),OR(exact(Metadata!Q224,"not applicable"),exact(Metadata!Q224,"not collected"),exact(Metadata!Q224,"not provided"),exact(Metadata!Q224,"restricted access"))),IF(Metadata!Q224="",FALSE,IF(ISERROR(INT(Metadata!Q224)),FALSE,INT(Metadata!Q224)=Metadata!Q224)))</f>
        <v>0</v>
      </c>
      <c r="AS224">
        <f>AND(IF(Metadata!R224="",FALSE,TRUE),exact(Metadata!R224,"Not applicable"))</f>
        <v>0</v>
      </c>
    </row>
    <row r="225" spans="1:45">
      <c r="A225" s="4">
        <f>IF(B225=" "," ",HYPERLINK(CONCATENATE("#metadata!",ADDRESS(INDEX($X$2:$X$1001,MATCH(ROWS($V$2:V225),$V$2:$V$1001,0),0),2)),INDEX($AA$2:$AA$1001,MATCH(ROWS($V$2:V225),$V$2:$V$1001,0),0)))</f>
        <v>0</v>
      </c>
      <c r="B225" s="5">
        <f>IF(OR(INDEX($W$2:$W$1001,MATCH(ROWS($V$2:V225),$V$2:$V$1001,0),1)&gt;=100000,INDEX($AC$1005:$AS$1005,1,MATCH(COLUMNS($AC$1006:AC1006),$AC$1006:$AS$1006,0))&gt;=100000), " ",IF(INDEX($AC$2:$AS$1001,MATCH(ROWS($V$2:V225),$V$2:$V$1001,0),MATCH(COLUMNS($AC$1006:AC1006),$AC$1006:$AS$1006,0)), HYPERLINK("#",""), HYPERLINK(CONCATENATE("#Metadata!", ADDRESS(INDEX($X$2:$X$1001,MATCH(ROWS($V$2:V225),$V$2:$V$1001,0),0), INDEX($AC$1004:$AS$1004,1,MATCH(COLUMNS($AC$1006:AC1006),$AC$1006:$AS$1006,0)))),"Fix")))</f>
        <v>0</v>
      </c>
      <c r="C225" s="5">
        <f>IF(OR(INDEX($W$2:$W$1001,MATCH(ROWS($V$2:V225),$V$2:$V$1001,0),1)&gt;=100000,INDEX($AC$1005:$AS$1005,1,MATCH(COLUMNS($AC$1006:AD1006),$AC$1006:$AS$1006,0))&gt;=100000), " ",IF(INDEX($AC$2:$AS$1001,MATCH(ROWS($V$2:V225),$V$2:$V$1001,0),MATCH(COLUMNS($AC$1006:AD1006),$AC$1006:$AS$1006,0)), HYPERLINK("#",""), HYPERLINK(CONCATENATE("#Metadata!", ADDRESS(INDEX($X$2:$X$1001,MATCH(ROWS($V$2:V225),$V$2:$V$1001,0),0), INDEX($AC$1004:$AS$1004,1,MATCH(COLUMNS($AC$1006:AD1006),$AC$1006:$AS$1006,0)))),"Fix")))</f>
        <v>0</v>
      </c>
      <c r="D225" s="5">
        <f>IF(OR(INDEX($W$2:$W$1001,MATCH(ROWS($V$2:V225),$V$2:$V$1001,0),1)&gt;=100000,INDEX($AC$1005:$AS$1005,1,MATCH(COLUMNS($AC$1006:AE1006),$AC$1006:$AS$1006,0))&gt;=100000), " ",IF(INDEX($AC$2:$AS$1001,MATCH(ROWS($V$2:V225),$V$2:$V$1001,0),MATCH(COLUMNS($AC$1006:AE1006),$AC$1006:$AS$1006,0)), HYPERLINK("#",""), HYPERLINK(CONCATENATE("#Metadata!", ADDRESS(INDEX($X$2:$X$1001,MATCH(ROWS($V$2:V225),$V$2:$V$1001,0),0), INDEX($AC$1004:$AS$1004,1,MATCH(COLUMNS($AC$1006:AE1006),$AC$1006:$AS$1006,0)))),"Fix")))</f>
        <v>0</v>
      </c>
      <c r="E225" s="5">
        <f>IF(OR(INDEX($W$2:$W$1001,MATCH(ROWS($V$2:V225),$V$2:$V$1001,0),1)&gt;=100000,INDEX($AC$1005:$AS$1005,1,MATCH(COLUMNS($AC$1006:AF1006),$AC$1006:$AS$1006,0))&gt;=100000), " ",IF(INDEX($AC$2:$AS$1001,MATCH(ROWS($V$2:V225),$V$2:$V$1001,0),MATCH(COLUMNS($AC$1006:AF1006),$AC$1006:$AS$1006,0)), HYPERLINK("#",""), HYPERLINK(CONCATENATE("#Metadata!", ADDRESS(INDEX($X$2:$X$1001,MATCH(ROWS($V$2:V225),$V$2:$V$1001,0),0), INDEX($AC$1004:$AS$1004,1,MATCH(COLUMNS($AC$1006:AF1006),$AC$1006:$AS$1006,0)))),"Fix")))</f>
        <v>0</v>
      </c>
      <c r="F225" s="5">
        <f>IF(OR(INDEX($W$2:$W$1001,MATCH(ROWS($V$2:V225),$V$2:$V$1001,0),1)&gt;=100000,INDEX($AC$1005:$AS$1005,1,MATCH(COLUMNS($AC$1006:AG1006),$AC$1006:$AS$1006,0))&gt;=100000), " ",IF(INDEX($AC$2:$AS$1001,MATCH(ROWS($V$2:V225),$V$2:$V$1001,0),MATCH(COLUMNS($AC$1006:AG1006),$AC$1006:$AS$1006,0)), HYPERLINK("#",""), HYPERLINK(CONCATENATE("#Metadata!", ADDRESS(INDEX($X$2:$X$1001,MATCH(ROWS($V$2:V225),$V$2:$V$1001,0),0), INDEX($AC$1004:$AS$1004,1,MATCH(COLUMNS($AC$1006:AG1006),$AC$1006:$AS$1006,0)))),"Fix")))</f>
        <v>0</v>
      </c>
      <c r="G225" s="5">
        <f>IF(OR(INDEX($W$2:$W$1001,MATCH(ROWS($V$2:V225),$V$2:$V$1001,0),1)&gt;=100000,INDEX($AC$1005:$AS$1005,1,MATCH(COLUMNS($AC$1006:AH1006),$AC$1006:$AS$1006,0))&gt;=100000), " ",IF(INDEX($AC$2:$AS$1001,MATCH(ROWS($V$2:V225),$V$2:$V$1001,0),MATCH(COLUMNS($AC$1006:AH1006),$AC$1006:$AS$1006,0)), HYPERLINK("#",""), HYPERLINK(CONCATENATE("#Metadata!", ADDRESS(INDEX($X$2:$X$1001,MATCH(ROWS($V$2:V225),$V$2:$V$1001,0),0), INDEX($AC$1004:$AS$1004,1,MATCH(COLUMNS($AC$1006:AH1006),$AC$1006:$AS$1006,0)))),"Fix")))</f>
        <v>0</v>
      </c>
      <c r="H225" s="5">
        <f>IF(OR(INDEX($W$2:$W$1001,MATCH(ROWS($V$2:V225),$V$2:$V$1001,0),1)&gt;=100000,INDEX($AC$1005:$AS$1005,1,MATCH(COLUMNS($AC$1006:AI1006),$AC$1006:$AS$1006,0))&gt;=100000), " ",IF(INDEX($AC$2:$AS$1001,MATCH(ROWS($V$2:V225),$V$2:$V$1001,0),MATCH(COLUMNS($AC$1006:AI1006),$AC$1006:$AS$1006,0)), HYPERLINK("#",""), HYPERLINK(CONCATENATE("#Metadata!", ADDRESS(INDEX($X$2:$X$1001,MATCH(ROWS($V$2:V225),$V$2:$V$1001,0),0), INDEX($AC$1004:$AS$1004,1,MATCH(COLUMNS($AC$1006:AI1006),$AC$1006:$AS$1006,0)))),"Fix")))</f>
        <v>0</v>
      </c>
      <c r="I225" s="5">
        <f>IF(OR(INDEX($W$2:$W$1001,MATCH(ROWS($V$2:V225),$V$2:$V$1001,0),1)&gt;=100000,INDEX($AC$1005:$AS$1005,1,MATCH(COLUMNS($AC$1006:AJ1006),$AC$1006:$AS$1006,0))&gt;=100000), " ",IF(INDEX($AC$2:$AS$1001,MATCH(ROWS($V$2:V225),$V$2:$V$1001,0),MATCH(COLUMNS($AC$1006:AJ1006),$AC$1006:$AS$1006,0)), HYPERLINK("#",""), HYPERLINK(CONCATENATE("#Metadata!", ADDRESS(INDEX($X$2:$X$1001,MATCH(ROWS($V$2:V225),$V$2:$V$1001,0),0), INDEX($AC$1004:$AS$1004,1,MATCH(COLUMNS($AC$1006:AJ1006),$AC$1006:$AS$1006,0)))),"Fix")))</f>
        <v>0</v>
      </c>
      <c r="J225" s="5">
        <f>IF(OR(INDEX($W$2:$W$1001,MATCH(ROWS($V$2:V225),$V$2:$V$1001,0),1)&gt;=100000,INDEX($AC$1005:$AS$1005,1,MATCH(COLUMNS($AC$1006:AK1006),$AC$1006:$AS$1006,0))&gt;=100000), " ",IF(INDEX($AC$2:$AS$1001,MATCH(ROWS($V$2:V225),$V$2:$V$1001,0),MATCH(COLUMNS($AC$1006:AK1006),$AC$1006:$AS$1006,0)), HYPERLINK("#",""), HYPERLINK(CONCATENATE("#Metadata!", ADDRESS(INDEX($X$2:$X$1001,MATCH(ROWS($V$2:V225),$V$2:$V$1001,0),0), INDEX($AC$1004:$AS$1004,1,MATCH(COLUMNS($AC$1006:AK1006),$AC$1006:$AS$1006,0)))),"Fix")))</f>
        <v>0</v>
      </c>
      <c r="K225" s="5">
        <f>IF(OR(INDEX($W$2:$W$1001,MATCH(ROWS($V$2:V225),$V$2:$V$1001,0),1)&gt;=100000,INDEX($AC$1005:$AS$1005,1,MATCH(COLUMNS($AC$1006:AL1006),$AC$1006:$AS$1006,0))&gt;=100000), " ",IF(INDEX($AC$2:$AS$1001,MATCH(ROWS($V$2:V225),$V$2:$V$1001,0),MATCH(COLUMNS($AC$1006:AL1006),$AC$1006:$AS$1006,0)), HYPERLINK("#",""), HYPERLINK(CONCATENATE("#Metadata!", ADDRESS(INDEX($X$2:$X$1001,MATCH(ROWS($V$2:V225),$V$2:$V$1001,0),0), INDEX($AC$1004:$AS$1004,1,MATCH(COLUMNS($AC$1006:AL1006),$AC$1006:$AS$1006,0)))),"Fix")))</f>
        <v>0</v>
      </c>
      <c r="L225" s="5">
        <f>IF(OR(INDEX($W$2:$W$1001,MATCH(ROWS($V$2:V225),$V$2:$V$1001,0),1)&gt;=100000,INDEX($AC$1005:$AS$1005,1,MATCH(COLUMNS($AC$1006:AM1006),$AC$1006:$AS$1006,0))&gt;=100000), " ",IF(INDEX($AC$2:$AS$1001,MATCH(ROWS($V$2:V225),$V$2:$V$1001,0),MATCH(COLUMNS($AC$1006:AM1006),$AC$1006:$AS$1006,0)), HYPERLINK("#",""), HYPERLINK(CONCATENATE("#Metadata!", ADDRESS(INDEX($X$2:$X$1001,MATCH(ROWS($V$2:V225),$V$2:$V$1001,0),0), INDEX($AC$1004:$AS$1004,1,MATCH(COLUMNS($AC$1006:AM1006),$AC$1006:$AS$1006,0)))),"Fix")))</f>
        <v>0</v>
      </c>
      <c r="M225" s="5">
        <f>IF(OR(INDEX($W$2:$W$1001,MATCH(ROWS($V$2:V225),$V$2:$V$1001,0),1)&gt;=100000,INDEX($AC$1005:$AS$1005,1,MATCH(COLUMNS($AC$1006:AN1006),$AC$1006:$AS$1006,0))&gt;=100000), " ",IF(INDEX($AC$2:$AS$1001,MATCH(ROWS($V$2:V225),$V$2:$V$1001,0),MATCH(COLUMNS($AC$1006:AN1006),$AC$1006:$AS$1006,0)), HYPERLINK("#",""), HYPERLINK(CONCATENATE("#Metadata!", ADDRESS(INDEX($X$2:$X$1001,MATCH(ROWS($V$2:V225),$V$2:$V$1001,0),0), INDEX($AC$1004:$AS$1004,1,MATCH(COLUMNS($AC$1006:AN1006),$AC$1006:$AS$1006,0)))),"Fix")))</f>
        <v>0</v>
      </c>
      <c r="N225" s="5">
        <f>IF(OR(INDEX($W$2:$W$1001,MATCH(ROWS($V$2:V225),$V$2:$V$1001,0),1)&gt;=100000,INDEX($AC$1005:$AS$1005,1,MATCH(COLUMNS($AC$1006:AO1006),$AC$1006:$AS$1006,0))&gt;=100000), " ",IF(INDEX($AC$2:$AS$1001,MATCH(ROWS($V$2:V225),$V$2:$V$1001,0),MATCH(COLUMNS($AC$1006:AO1006),$AC$1006:$AS$1006,0)), HYPERLINK("#",""), HYPERLINK(CONCATENATE("#Metadata!", ADDRESS(INDEX($X$2:$X$1001,MATCH(ROWS($V$2:V225),$V$2:$V$1001,0),0), INDEX($AC$1004:$AS$1004,1,MATCH(COLUMNS($AC$1006:AO1006),$AC$1006:$AS$1006,0)))),"Fix")))</f>
        <v>0</v>
      </c>
      <c r="O225" s="5">
        <f>IF(OR(INDEX($W$2:$W$1001,MATCH(ROWS($V$2:V225),$V$2:$V$1001,0),1)&gt;=100000,INDEX($AC$1005:$AS$1005,1,MATCH(COLUMNS($AC$1006:AP1006),$AC$1006:$AS$1006,0))&gt;=100000), " ",IF(INDEX($AC$2:$AS$1001,MATCH(ROWS($V$2:V225),$V$2:$V$1001,0),MATCH(COLUMNS($AC$1006:AP1006),$AC$1006:$AS$1006,0)), HYPERLINK("#",""), HYPERLINK(CONCATENATE("#Metadata!", ADDRESS(INDEX($X$2:$X$1001,MATCH(ROWS($V$2:V225),$V$2:$V$1001,0),0), INDEX($AC$1004:$AS$1004,1,MATCH(COLUMNS($AC$1006:AP1006),$AC$1006:$AS$1006,0)))),"Fix")))</f>
        <v>0</v>
      </c>
      <c r="P225" s="5">
        <f>IF(OR(INDEX($W$2:$W$1001,MATCH(ROWS($V$2:V225),$V$2:$V$1001,0),1)&gt;=100000,INDEX($AC$1005:$AS$1005,1,MATCH(COLUMNS($AC$1006:AQ1006),$AC$1006:$AS$1006,0))&gt;=100000), " ",IF(INDEX($AC$2:$AS$1001,MATCH(ROWS($V$2:V225),$V$2:$V$1001,0),MATCH(COLUMNS($AC$1006:AQ1006),$AC$1006:$AS$1006,0)), HYPERLINK("#",""), HYPERLINK(CONCATENATE("#Metadata!", ADDRESS(INDEX($X$2:$X$1001,MATCH(ROWS($V$2:V225),$V$2:$V$1001,0),0), INDEX($AC$1004:$AS$1004,1,MATCH(COLUMNS($AC$1006:AQ1006),$AC$1006:$AS$1006,0)))),"Fix")))</f>
        <v>0</v>
      </c>
      <c r="Q225" s="5">
        <f>IF(OR(INDEX($W$2:$W$1001,MATCH(ROWS($V$2:V225),$V$2:$V$1001,0),1)&gt;=100000,INDEX($AC$1005:$AS$1005,1,MATCH(COLUMNS($AC$1006:AR1006),$AC$1006:$AS$1006,0))&gt;=100000), " ",IF(INDEX($AC$2:$AS$1001,MATCH(ROWS($V$2:V225),$V$2:$V$1001,0),MATCH(COLUMNS($AC$1006:AR1006),$AC$1006:$AS$1006,0)), HYPERLINK("#",""), HYPERLINK(CONCATENATE("#Metadata!", ADDRESS(INDEX($X$2:$X$1001,MATCH(ROWS($V$2:V225),$V$2:$V$1001,0),0), INDEX($AC$1004:$AS$1004,1,MATCH(COLUMNS($AC$1006:AR1006),$AC$1006:$AS$1006,0)))),"Fix")))</f>
        <v>0</v>
      </c>
      <c r="R225" s="5">
        <f>IF(OR(INDEX($W$2:$W$1001,MATCH(ROWS($V$2:V225),$V$2:$V$1001,0),1)&gt;=100000,INDEX($AC$1005:$AS$1005,1,MATCH(COLUMNS($AC$1006:AS1006),$AC$1006:$AS$1006,0))&gt;=100000), " ",IF(INDEX($AC$2:$AS$1001,MATCH(ROWS($V$2:V225),$V$2:$V$1001,0),MATCH(COLUMNS($AC$1006:AS1006),$AC$1006:$AS$1006,0)), HYPERLINK("#",""), HYPERLINK(CONCATENATE("#Metadata!", ADDRESS(INDEX($X$2:$X$1001,MATCH(ROWS($V$2:V225),$V$2:$V$1001,0),0), INDEX($AC$1004:$AS$1004,1,MATCH(COLUMNS($AC$1006:AS1006),$AC$1006:$AS$1006,0)))),"Fix")))</f>
        <v>0</v>
      </c>
      <c r="V225">
        <v>0</v>
      </c>
      <c r="W225">
        <v>0</v>
      </c>
      <c r="X225">
        <v>0</v>
      </c>
      <c r="Y225">
        <f>IF(Z225,TRUE,AND(AC225:AS225))</f>
        <v>0</v>
      </c>
      <c r="Z225">
        <f>COUNTBLANK(Metadata!B225:R225)=COLUMNS(Metadata!B225:R225)</f>
        <v>0</v>
      </c>
      <c r="AA225">
        <v>0</v>
      </c>
      <c r="AC225">
        <f>AND(IF(Metadata!B225="",FALSE,TRUE),COUNTIF(Metadata!B:B, Metadata!B225) = 1,NOT(ISERROR(SUMPRODUCT(SEARCH(MID(Metadata!B225,ROW(INDIRECT("1:"&amp;LEN(Metadata!B225))), 1),"0123456789abcdefghijklmnopqrstuvwxyzABCDEFGHIJKLMNOPQRSTUVWXYZ.")))))</f>
        <v>0</v>
      </c>
      <c r="AD225">
        <f>AND(IF(Metadata!C225="",FALSE,TRUE),exact(Metadata!C225,"Host-associated"))</f>
        <v>0</v>
      </c>
      <c r="AE225">
        <f>AND(IF(Metadata!D225="",FALSE,TRUE),OR(exact(Metadata!D225,"Animal"),exact(Metadata!D225,"Fungus"),exact(Metadata!D225,"Plant")))</f>
        <v>0</v>
      </c>
      <c r="AF225">
        <f>AND(IF(Metadata!E225="",FALSE,TRUE),OR(exact(Metadata!E225,"Plant secretion"),exact(Metadata!E225,"Plant rhizosphere"),exact(Metadata!E225,"Plant surface"),exact(Metadata!E225,"Plant corpus"),exact(Metadata!E225,"Fungus surface"),exact(Metadata!E225,"Fungus corpus"),exact(Metadata!E225,"Animal surface"),exact(Metadata!E225,"Animal proximal gut"),exact(Metadata!E225,"Animal corpus"),exact(Metadata!E225,"Animal distal gut"),exact(Metadata!E225,"Animal secretion")))</f>
        <v>0</v>
      </c>
      <c r="AG225">
        <f>OR(AND(IF(Metadata!F225="",FALSE,TRUE),OR(exact(Metadata!F225,"not collected"),exact(Metadata!F225,"not provided"),exact(Metadata!F225,"restricted access"))),AND(IF(Metadata!F225="",FALSE,TRUE),OR(exact(Metadata!F225,"organism-associated habitat"),exact(Metadata!F225,"plant-associated habitat"),exact(Metadata!F225,"animal-associated habitat"),exact(Metadata!F225,"insecta-associated habitat"),exact(Metadata!F225,"mammalia-associated habitat"),exact(Metadata!F225,"human-associated habitat"),exact(Metadata!F225,"livestock-associated habitat"))))</f>
        <v>0</v>
      </c>
      <c r="AH225">
        <f>AND(IF(Metadata!G225="",FALSE,TRUE),exact(Metadata!G225,"host-associated"))</f>
        <v>0</v>
      </c>
      <c r="AI225">
        <f>OR(AND(IF(Metadata!H225="",FALSE,TRUE),OR(exact(Metadata!H225,"not collected"),exact(Metadata!H225,"not provided"))),AND(IF(Metadata!H225="",FALSE,ISNUMBER(VALUE(Metadata!H225))),Metadata!H225&gt;0))</f>
        <v>0</v>
      </c>
      <c r="AJ225">
        <f>AND(IF(Metadata!I225="",FALSE,TRUE),exact(Metadata!I225,"years"))</f>
        <v>0</v>
      </c>
      <c r="AK225">
        <f>IF(Metadata!J225="",FALSE,TRUE)</f>
        <v>0</v>
      </c>
      <c r="AL225">
        <f>OR(AND(IF(Metadata!K225="",FALSE,TRUE),OR(exact(Metadata!K225,"not collected"),exact(Metadata!K225,"not provided"))),AND(IF(Metadata!K225="",FALSE,ISNUMBER(VALUE(Metadata!K225))),Metadata!K225&gt;0))</f>
        <v>0</v>
      </c>
      <c r="AM225">
        <f>AND(IF(Metadata!L225="",FALSE,TRUE),exact(Metadata!L225,"cm"))</f>
        <v>0</v>
      </c>
      <c r="AN225">
        <f>IF(Metadata!M225="",FALSE,TRUE)</f>
        <v>0</v>
      </c>
      <c r="AO225">
        <f>OR(AND(IF(Metadata!N225="",FALSE,TRUE),OR(exact(Metadata!N225,"not applicable"),exact(Metadata!N225,"not collected"),exact(Metadata!N225,"not provided"))),AND(IF(Metadata!N225="",FALSE,IF(ISERROR(INT(Metadata!N225)),FALSE,INT(Metadata!N225)=Metadata!N225)),Metadata!N225&gt;0))</f>
        <v>0</v>
      </c>
      <c r="AP225">
        <f>OR(AND(IF(Metadata!O225="",FALSE,TRUE),OR(exact(Metadata!O225,"not collected"),exact(Metadata!O225,"not provided"))),AND(IF(Metadata!O225="",FALSE,ISNUMBER(VALUE(Metadata!O225))),Metadata!O225&gt;0))</f>
        <v>0</v>
      </c>
      <c r="AQ225">
        <f>AND(IF(Metadata!P225="",FALSE,TRUE),exact(Metadata!P225,"kg"))</f>
        <v>0</v>
      </c>
      <c r="AR225">
        <f>OR(AND(IF(Metadata!Q225="",FALSE,TRUE),OR(exact(Metadata!Q225,"not applicable"),exact(Metadata!Q225,"not collected"),exact(Metadata!Q225,"not provided"),exact(Metadata!Q225,"restricted access"))),IF(Metadata!Q225="",FALSE,IF(ISERROR(INT(Metadata!Q225)),FALSE,INT(Metadata!Q225)=Metadata!Q225)))</f>
        <v>0</v>
      </c>
      <c r="AS225">
        <f>AND(IF(Metadata!R225="",FALSE,TRUE),exact(Metadata!R225,"Not applicable"))</f>
        <v>0</v>
      </c>
    </row>
    <row r="226" spans="1:45">
      <c r="A226" s="4">
        <f>IF(B226=" "," ",HYPERLINK(CONCATENATE("#metadata!",ADDRESS(INDEX($X$2:$X$1001,MATCH(ROWS($V$2:V226),$V$2:$V$1001,0),0),2)),INDEX($AA$2:$AA$1001,MATCH(ROWS($V$2:V226),$V$2:$V$1001,0),0)))</f>
        <v>0</v>
      </c>
      <c r="B226" s="5">
        <f>IF(OR(INDEX($W$2:$W$1001,MATCH(ROWS($V$2:V226),$V$2:$V$1001,0),1)&gt;=100000,INDEX($AC$1005:$AS$1005,1,MATCH(COLUMNS($AC$1006:AC1006),$AC$1006:$AS$1006,0))&gt;=100000), " ",IF(INDEX($AC$2:$AS$1001,MATCH(ROWS($V$2:V226),$V$2:$V$1001,0),MATCH(COLUMNS($AC$1006:AC1006),$AC$1006:$AS$1006,0)), HYPERLINK("#",""), HYPERLINK(CONCATENATE("#Metadata!", ADDRESS(INDEX($X$2:$X$1001,MATCH(ROWS($V$2:V226),$V$2:$V$1001,0),0), INDEX($AC$1004:$AS$1004,1,MATCH(COLUMNS($AC$1006:AC1006),$AC$1006:$AS$1006,0)))),"Fix")))</f>
        <v>0</v>
      </c>
      <c r="C226" s="5">
        <f>IF(OR(INDEX($W$2:$W$1001,MATCH(ROWS($V$2:V226),$V$2:$V$1001,0),1)&gt;=100000,INDEX($AC$1005:$AS$1005,1,MATCH(COLUMNS($AC$1006:AD1006),$AC$1006:$AS$1006,0))&gt;=100000), " ",IF(INDEX($AC$2:$AS$1001,MATCH(ROWS($V$2:V226),$V$2:$V$1001,0),MATCH(COLUMNS($AC$1006:AD1006),$AC$1006:$AS$1006,0)), HYPERLINK("#",""), HYPERLINK(CONCATENATE("#Metadata!", ADDRESS(INDEX($X$2:$X$1001,MATCH(ROWS($V$2:V226),$V$2:$V$1001,0),0), INDEX($AC$1004:$AS$1004,1,MATCH(COLUMNS($AC$1006:AD1006),$AC$1006:$AS$1006,0)))),"Fix")))</f>
        <v>0</v>
      </c>
      <c r="D226" s="5">
        <f>IF(OR(INDEX($W$2:$W$1001,MATCH(ROWS($V$2:V226),$V$2:$V$1001,0),1)&gt;=100000,INDEX($AC$1005:$AS$1005,1,MATCH(COLUMNS($AC$1006:AE1006),$AC$1006:$AS$1006,0))&gt;=100000), " ",IF(INDEX($AC$2:$AS$1001,MATCH(ROWS($V$2:V226),$V$2:$V$1001,0),MATCH(COLUMNS($AC$1006:AE1006),$AC$1006:$AS$1006,0)), HYPERLINK("#",""), HYPERLINK(CONCATENATE("#Metadata!", ADDRESS(INDEX($X$2:$X$1001,MATCH(ROWS($V$2:V226),$V$2:$V$1001,0),0), INDEX($AC$1004:$AS$1004,1,MATCH(COLUMNS($AC$1006:AE1006),$AC$1006:$AS$1006,0)))),"Fix")))</f>
        <v>0</v>
      </c>
      <c r="E226" s="5">
        <f>IF(OR(INDEX($W$2:$W$1001,MATCH(ROWS($V$2:V226),$V$2:$V$1001,0),1)&gt;=100000,INDEX($AC$1005:$AS$1005,1,MATCH(COLUMNS($AC$1006:AF1006),$AC$1006:$AS$1006,0))&gt;=100000), " ",IF(INDEX($AC$2:$AS$1001,MATCH(ROWS($V$2:V226),$V$2:$V$1001,0),MATCH(COLUMNS($AC$1006:AF1006),$AC$1006:$AS$1006,0)), HYPERLINK("#",""), HYPERLINK(CONCATENATE("#Metadata!", ADDRESS(INDEX($X$2:$X$1001,MATCH(ROWS($V$2:V226),$V$2:$V$1001,0),0), INDEX($AC$1004:$AS$1004,1,MATCH(COLUMNS($AC$1006:AF1006),$AC$1006:$AS$1006,0)))),"Fix")))</f>
        <v>0</v>
      </c>
      <c r="F226" s="5">
        <f>IF(OR(INDEX($W$2:$W$1001,MATCH(ROWS($V$2:V226),$V$2:$V$1001,0),1)&gt;=100000,INDEX($AC$1005:$AS$1005,1,MATCH(COLUMNS($AC$1006:AG1006),$AC$1006:$AS$1006,0))&gt;=100000), " ",IF(INDEX($AC$2:$AS$1001,MATCH(ROWS($V$2:V226),$V$2:$V$1001,0),MATCH(COLUMNS($AC$1006:AG1006),$AC$1006:$AS$1006,0)), HYPERLINK("#",""), HYPERLINK(CONCATENATE("#Metadata!", ADDRESS(INDEX($X$2:$X$1001,MATCH(ROWS($V$2:V226),$V$2:$V$1001,0),0), INDEX($AC$1004:$AS$1004,1,MATCH(COLUMNS($AC$1006:AG1006),$AC$1006:$AS$1006,0)))),"Fix")))</f>
        <v>0</v>
      </c>
      <c r="G226" s="5">
        <f>IF(OR(INDEX($W$2:$W$1001,MATCH(ROWS($V$2:V226),$V$2:$V$1001,0),1)&gt;=100000,INDEX($AC$1005:$AS$1005,1,MATCH(COLUMNS($AC$1006:AH1006),$AC$1006:$AS$1006,0))&gt;=100000), " ",IF(INDEX($AC$2:$AS$1001,MATCH(ROWS($V$2:V226),$V$2:$V$1001,0),MATCH(COLUMNS($AC$1006:AH1006),$AC$1006:$AS$1006,0)), HYPERLINK("#",""), HYPERLINK(CONCATENATE("#Metadata!", ADDRESS(INDEX($X$2:$X$1001,MATCH(ROWS($V$2:V226),$V$2:$V$1001,0),0), INDEX($AC$1004:$AS$1004,1,MATCH(COLUMNS($AC$1006:AH1006),$AC$1006:$AS$1006,0)))),"Fix")))</f>
        <v>0</v>
      </c>
      <c r="H226" s="5">
        <f>IF(OR(INDEX($W$2:$W$1001,MATCH(ROWS($V$2:V226),$V$2:$V$1001,0),1)&gt;=100000,INDEX($AC$1005:$AS$1005,1,MATCH(COLUMNS($AC$1006:AI1006),$AC$1006:$AS$1006,0))&gt;=100000), " ",IF(INDEX($AC$2:$AS$1001,MATCH(ROWS($V$2:V226),$V$2:$V$1001,0),MATCH(COLUMNS($AC$1006:AI1006),$AC$1006:$AS$1006,0)), HYPERLINK("#",""), HYPERLINK(CONCATENATE("#Metadata!", ADDRESS(INDEX($X$2:$X$1001,MATCH(ROWS($V$2:V226),$V$2:$V$1001,0),0), INDEX($AC$1004:$AS$1004,1,MATCH(COLUMNS($AC$1006:AI1006),$AC$1006:$AS$1006,0)))),"Fix")))</f>
        <v>0</v>
      </c>
      <c r="I226" s="5">
        <f>IF(OR(INDEX($W$2:$W$1001,MATCH(ROWS($V$2:V226),$V$2:$V$1001,0),1)&gt;=100000,INDEX($AC$1005:$AS$1005,1,MATCH(COLUMNS($AC$1006:AJ1006),$AC$1006:$AS$1006,0))&gt;=100000), " ",IF(INDEX($AC$2:$AS$1001,MATCH(ROWS($V$2:V226),$V$2:$V$1001,0),MATCH(COLUMNS($AC$1006:AJ1006),$AC$1006:$AS$1006,0)), HYPERLINK("#",""), HYPERLINK(CONCATENATE("#Metadata!", ADDRESS(INDEX($X$2:$X$1001,MATCH(ROWS($V$2:V226),$V$2:$V$1001,0),0), INDEX($AC$1004:$AS$1004,1,MATCH(COLUMNS($AC$1006:AJ1006),$AC$1006:$AS$1006,0)))),"Fix")))</f>
        <v>0</v>
      </c>
      <c r="J226" s="5">
        <f>IF(OR(INDEX($W$2:$W$1001,MATCH(ROWS($V$2:V226),$V$2:$V$1001,0),1)&gt;=100000,INDEX($AC$1005:$AS$1005,1,MATCH(COLUMNS($AC$1006:AK1006),$AC$1006:$AS$1006,0))&gt;=100000), " ",IF(INDEX($AC$2:$AS$1001,MATCH(ROWS($V$2:V226),$V$2:$V$1001,0),MATCH(COLUMNS($AC$1006:AK1006),$AC$1006:$AS$1006,0)), HYPERLINK("#",""), HYPERLINK(CONCATENATE("#Metadata!", ADDRESS(INDEX($X$2:$X$1001,MATCH(ROWS($V$2:V226),$V$2:$V$1001,0),0), INDEX($AC$1004:$AS$1004,1,MATCH(COLUMNS($AC$1006:AK1006),$AC$1006:$AS$1006,0)))),"Fix")))</f>
        <v>0</v>
      </c>
      <c r="K226" s="5">
        <f>IF(OR(INDEX($W$2:$W$1001,MATCH(ROWS($V$2:V226),$V$2:$V$1001,0),1)&gt;=100000,INDEX($AC$1005:$AS$1005,1,MATCH(COLUMNS($AC$1006:AL1006),$AC$1006:$AS$1006,0))&gt;=100000), " ",IF(INDEX($AC$2:$AS$1001,MATCH(ROWS($V$2:V226),$V$2:$V$1001,0),MATCH(COLUMNS($AC$1006:AL1006),$AC$1006:$AS$1006,0)), HYPERLINK("#",""), HYPERLINK(CONCATENATE("#Metadata!", ADDRESS(INDEX($X$2:$X$1001,MATCH(ROWS($V$2:V226),$V$2:$V$1001,0),0), INDEX($AC$1004:$AS$1004,1,MATCH(COLUMNS($AC$1006:AL1006),$AC$1006:$AS$1006,0)))),"Fix")))</f>
        <v>0</v>
      </c>
      <c r="L226" s="5">
        <f>IF(OR(INDEX($W$2:$W$1001,MATCH(ROWS($V$2:V226),$V$2:$V$1001,0),1)&gt;=100000,INDEX($AC$1005:$AS$1005,1,MATCH(COLUMNS($AC$1006:AM1006),$AC$1006:$AS$1006,0))&gt;=100000), " ",IF(INDEX($AC$2:$AS$1001,MATCH(ROWS($V$2:V226),$V$2:$V$1001,0),MATCH(COLUMNS($AC$1006:AM1006),$AC$1006:$AS$1006,0)), HYPERLINK("#",""), HYPERLINK(CONCATENATE("#Metadata!", ADDRESS(INDEX($X$2:$X$1001,MATCH(ROWS($V$2:V226),$V$2:$V$1001,0),0), INDEX($AC$1004:$AS$1004,1,MATCH(COLUMNS($AC$1006:AM1006),$AC$1006:$AS$1006,0)))),"Fix")))</f>
        <v>0</v>
      </c>
      <c r="M226" s="5">
        <f>IF(OR(INDEX($W$2:$W$1001,MATCH(ROWS($V$2:V226),$V$2:$V$1001,0),1)&gt;=100000,INDEX($AC$1005:$AS$1005,1,MATCH(COLUMNS($AC$1006:AN1006),$AC$1006:$AS$1006,0))&gt;=100000), " ",IF(INDEX($AC$2:$AS$1001,MATCH(ROWS($V$2:V226),$V$2:$V$1001,0),MATCH(COLUMNS($AC$1006:AN1006),$AC$1006:$AS$1006,0)), HYPERLINK("#",""), HYPERLINK(CONCATENATE("#Metadata!", ADDRESS(INDEX($X$2:$X$1001,MATCH(ROWS($V$2:V226),$V$2:$V$1001,0),0), INDEX($AC$1004:$AS$1004,1,MATCH(COLUMNS($AC$1006:AN1006),$AC$1006:$AS$1006,0)))),"Fix")))</f>
        <v>0</v>
      </c>
      <c r="N226" s="5">
        <f>IF(OR(INDEX($W$2:$W$1001,MATCH(ROWS($V$2:V226),$V$2:$V$1001,0),1)&gt;=100000,INDEX($AC$1005:$AS$1005,1,MATCH(COLUMNS($AC$1006:AO1006),$AC$1006:$AS$1006,0))&gt;=100000), " ",IF(INDEX($AC$2:$AS$1001,MATCH(ROWS($V$2:V226),$V$2:$V$1001,0),MATCH(COLUMNS($AC$1006:AO1006),$AC$1006:$AS$1006,0)), HYPERLINK("#",""), HYPERLINK(CONCATENATE("#Metadata!", ADDRESS(INDEX($X$2:$X$1001,MATCH(ROWS($V$2:V226),$V$2:$V$1001,0),0), INDEX($AC$1004:$AS$1004,1,MATCH(COLUMNS($AC$1006:AO1006),$AC$1006:$AS$1006,0)))),"Fix")))</f>
        <v>0</v>
      </c>
      <c r="O226" s="5">
        <f>IF(OR(INDEX($W$2:$W$1001,MATCH(ROWS($V$2:V226),$V$2:$V$1001,0),1)&gt;=100000,INDEX($AC$1005:$AS$1005,1,MATCH(COLUMNS($AC$1006:AP1006),$AC$1006:$AS$1006,0))&gt;=100000), " ",IF(INDEX($AC$2:$AS$1001,MATCH(ROWS($V$2:V226),$V$2:$V$1001,0),MATCH(COLUMNS($AC$1006:AP1006),$AC$1006:$AS$1006,0)), HYPERLINK("#",""), HYPERLINK(CONCATENATE("#Metadata!", ADDRESS(INDEX($X$2:$X$1001,MATCH(ROWS($V$2:V226),$V$2:$V$1001,0),0), INDEX($AC$1004:$AS$1004,1,MATCH(COLUMNS($AC$1006:AP1006),$AC$1006:$AS$1006,0)))),"Fix")))</f>
        <v>0</v>
      </c>
      <c r="P226" s="5">
        <f>IF(OR(INDEX($W$2:$W$1001,MATCH(ROWS($V$2:V226),$V$2:$V$1001,0),1)&gt;=100000,INDEX($AC$1005:$AS$1005,1,MATCH(COLUMNS($AC$1006:AQ1006),$AC$1006:$AS$1006,0))&gt;=100000), " ",IF(INDEX($AC$2:$AS$1001,MATCH(ROWS($V$2:V226),$V$2:$V$1001,0),MATCH(COLUMNS($AC$1006:AQ1006),$AC$1006:$AS$1006,0)), HYPERLINK("#",""), HYPERLINK(CONCATENATE("#Metadata!", ADDRESS(INDEX($X$2:$X$1001,MATCH(ROWS($V$2:V226),$V$2:$V$1001,0),0), INDEX($AC$1004:$AS$1004,1,MATCH(COLUMNS($AC$1006:AQ1006),$AC$1006:$AS$1006,0)))),"Fix")))</f>
        <v>0</v>
      </c>
      <c r="Q226" s="5">
        <f>IF(OR(INDEX($W$2:$W$1001,MATCH(ROWS($V$2:V226),$V$2:$V$1001,0),1)&gt;=100000,INDEX($AC$1005:$AS$1005,1,MATCH(COLUMNS($AC$1006:AR1006),$AC$1006:$AS$1006,0))&gt;=100000), " ",IF(INDEX($AC$2:$AS$1001,MATCH(ROWS($V$2:V226),$V$2:$V$1001,0),MATCH(COLUMNS($AC$1006:AR1006),$AC$1006:$AS$1006,0)), HYPERLINK("#",""), HYPERLINK(CONCATENATE("#Metadata!", ADDRESS(INDEX($X$2:$X$1001,MATCH(ROWS($V$2:V226),$V$2:$V$1001,0),0), INDEX($AC$1004:$AS$1004,1,MATCH(COLUMNS($AC$1006:AR1006),$AC$1006:$AS$1006,0)))),"Fix")))</f>
        <v>0</v>
      </c>
      <c r="R226" s="5">
        <f>IF(OR(INDEX($W$2:$W$1001,MATCH(ROWS($V$2:V226),$V$2:$V$1001,0),1)&gt;=100000,INDEX($AC$1005:$AS$1005,1,MATCH(COLUMNS($AC$1006:AS1006),$AC$1006:$AS$1006,0))&gt;=100000), " ",IF(INDEX($AC$2:$AS$1001,MATCH(ROWS($V$2:V226),$V$2:$V$1001,0),MATCH(COLUMNS($AC$1006:AS1006),$AC$1006:$AS$1006,0)), HYPERLINK("#",""), HYPERLINK(CONCATENATE("#Metadata!", ADDRESS(INDEX($X$2:$X$1001,MATCH(ROWS($V$2:V226),$V$2:$V$1001,0),0), INDEX($AC$1004:$AS$1004,1,MATCH(COLUMNS($AC$1006:AS1006),$AC$1006:$AS$1006,0)))),"Fix")))</f>
        <v>0</v>
      </c>
      <c r="V226">
        <v>0</v>
      </c>
      <c r="W226">
        <v>0</v>
      </c>
      <c r="X226">
        <v>0</v>
      </c>
      <c r="Y226">
        <f>IF(Z226,TRUE,AND(AC226:AS226))</f>
        <v>0</v>
      </c>
      <c r="Z226">
        <f>COUNTBLANK(Metadata!B226:R226)=COLUMNS(Metadata!B226:R226)</f>
        <v>0</v>
      </c>
      <c r="AA226">
        <v>0</v>
      </c>
      <c r="AC226">
        <f>AND(IF(Metadata!B226="",FALSE,TRUE),COUNTIF(Metadata!B:B, Metadata!B226) = 1,NOT(ISERROR(SUMPRODUCT(SEARCH(MID(Metadata!B226,ROW(INDIRECT("1:"&amp;LEN(Metadata!B226))), 1),"0123456789abcdefghijklmnopqrstuvwxyzABCDEFGHIJKLMNOPQRSTUVWXYZ.")))))</f>
        <v>0</v>
      </c>
      <c r="AD226">
        <f>AND(IF(Metadata!C226="",FALSE,TRUE),exact(Metadata!C226,"Host-associated"))</f>
        <v>0</v>
      </c>
      <c r="AE226">
        <f>AND(IF(Metadata!D226="",FALSE,TRUE),OR(exact(Metadata!D226,"Animal"),exact(Metadata!D226,"Fungus"),exact(Metadata!D226,"Plant")))</f>
        <v>0</v>
      </c>
      <c r="AF226">
        <f>AND(IF(Metadata!E226="",FALSE,TRUE),OR(exact(Metadata!E226,"Plant secretion"),exact(Metadata!E226,"Plant rhizosphere"),exact(Metadata!E226,"Plant surface"),exact(Metadata!E226,"Plant corpus"),exact(Metadata!E226,"Fungus surface"),exact(Metadata!E226,"Fungus corpus"),exact(Metadata!E226,"Animal surface"),exact(Metadata!E226,"Animal proximal gut"),exact(Metadata!E226,"Animal corpus"),exact(Metadata!E226,"Animal distal gut"),exact(Metadata!E226,"Animal secretion")))</f>
        <v>0</v>
      </c>
      <c r="AG226">
        <f>OR(AND(IF(Metadata!F226="",FALSE,TRUE),OR(exact(Metadata!F226,"not collected"),exact(Metadata!F226,"not provided"),exact(Metadata!F226,"restricted access"))),AND(IF(Metadata!F226="",FALSE,TRUE),OR(exact(Metadata!F226,"organism-associated habitat"),exact(Metadata!F226,"plant-associated habitat"),exact(Metadata!F226,"animal-associated habitat"),exact(Metadata!F226,"insecta-associated habitat"),exact(Metadata!F226,"mammalia-associated habitat"),exact(Metadata!F226,"human-associated habitat"),exact(Metadata!F226,"livestock-associated habitat"))))</f>
        <v>0</v>
      </c>
      <c r="AH226">
        <f>AND(IF(Metadata!G226="",FALSE,TRUE),exact(Metadata!G226,"host-associated"))</f>
        <v>0</v>
      </c>
      <c r="AI226">
        <f>OR(AND(IF(Metadata!H226="",FALSE,TRUE),OR(exact(Metadata!H226,"not collected"),exact(Metadata!H226,"not provided"))),AND(IF(Metadata!H226="",FALSE,ISNUMBER(VALUE(Metadata!H226))),Metadata!H226&gt;0))</f>
        <v>0</v>
      </c>
      <c r="AJ226">
        <f>AND(IF(Metadata!I226="",FALSE,TRUE),exact(Metadata!I226,"years"))</f>
        <v>0</v>
      </c>
      <c r="AK226">
        <f>IF(Metadata!J226="",FALSE,TRUE)</f>
        <v>0</v>
      </c>
      <c r="AL226">
        <f>OR(AND(IF(Metadata!K226="",FALSE,TRUE),OR(exact(Metadata!K226,"not collected"),exact(Metadata!K226,"not provided"))),AND(IF(Metadata!K226="",FALSE,ISNUMBER(VALUE(Metadata!K226))),Metadata!K226&gt;0))</f>
        <v>0</v>
      </c>
      <c r="AM226">
        <f>AND(IF(Metadata!L226="",FALSE,TRUE),exact(Metadata!L226,"cm"))</f>
        <v>0</v>
      </c>
      <c r="AN226">
        <f>IF(Metadata!M226="",FALSE,TRUE)</f>
        <v>0</v>
      </c>
      <c r="AO226">
        <f>OR(AND(IF(Metadata!N226="",FALSE,TRUE),OR(exact(Metadata!N226,"not applicable"),exact(Metadata!N226,"not collected"),exact(Metadata!N226,"not provided"))),AND(IF(Metadata!N226="",FALSE,IF(ISERROR(INT(Metadata!N226)),FALSE,INT(Metadata!N226)=Metadata!N226)),Metadata!N226&gt;0))</f>
        <v>0</v>
      </c>
      <c r="AP226">
        <f>OR(AND(IF(Metadata!O226="",FALSE,TRUE),OR(exact(Metadata!O226,"not collected"),exact(Metadata!O226,"not provided"))),AND(IF(Metadata!O226="",FALSE,ISNUMBER(VALUE(Metadata!O226))),Metadata!O226&gt;0))</f>
        <v>0</v>
      </c>
      <c r="AQ226">
        <f>AND(IF(Metadata!P226="",FALSE,TRUE),exact(Metadata!P226,"kg"))</f>
        <v>0</v>
      </c>
      <c r="AR226">
        <f>OR(AND(IF(Metadata!Q226="",FALSE,TRUE),OR(exact(Metadata!Q226,"not applicable"),exact(Metadata!Q226,"not collected"),exact(Metadata!Q226,"not provided"),exact(Metadata!Q226,"restricted access"))),IF(Metadata!Q226="",FALSE,IF(ISERROR(INT(Metadata!Q226)),FALSE,INT(Metadata!Q226)=Metadata!Q226)))</f>
        <v>0</v>
      </c>
      <c r="AS226">
        <f>AND(IF(Metadata!R226="",FALSE,TRUE),exact(Metadata!R226,"Not applicable"))</f>
        <v>0</v>
      </c>
    </row>
    <row r="227" spans="1:45">
      <c r="A227" s="4">
        <f>IF(B227=" "," ",HYPERLINK(CONCATENATE("#metadata!",ADDRESS(INDEX($X$2:$X$1001,MATCH(ROWS($V$2:V227),$V$2:$V$1001,0),0),2)),INDEX($AA$2:$AA$1001,MATCH(ROWS($V$2:V227),$V$2:$V$1001,0),0)))</f>
        <v>0</v>
      </c>
      <c r="B227" s="5">
        <f>IF(OR(INDEX($W$2:$W$1001,MATCH(ROWS($V$2:V227),$V$2:$V$1001,0),1)&gt;=100000,INDEX($AC$1005:$AS$1005,1,MATCH(COLUMNS($AC$1006:AC1006),$AC$1006:$AS$1006,0))&gt;=100000), " ",IF(INDEX($AC$2:$AS$1001,MATCH(ROWS($V$2:V227),$V$2:$V$1001,0),MATCH(COLUMNS($AC$1006:AC1006),$AC$1006:$AS$1006,0)), HYPERLINK("#",""), HYPERLINK(CONCATENATE("#Metadata!", ADDRESS(INDEX($X$2:$X$1001,MATCH(ROWS($V$2:V227),$V$2:$V$1001,0),0), INDEX($AC$1004:$AS$1004,1,MATCH(COLUMNS($AC$1006:AC1006),$AC$1006:$AS$1006,0)))),"Fix")))</f>
        <v>0</v>
      </c>
      <c r="C227" s="5">
        <f>IF(OR(INDEX($W$2:$W$1001,MATCH(ROWS($V$2:V227),$V$2:$V$1001,0),1)&gt;=100000,INDEX($AC$1005:$AS$1005,1,MATCH(COLUMNS($AC$1006:AD1006),$AC$1006:$AS$1006,0))&gt;=100000), " ",IF(INDEX($AC$2:$AS$1001,MATCH(ROWS($V$2:V227),$V$2:$V$1001,0),MATCH(COLUMNS($AC$1006:AD1006),$AC$1006:$AS$1006,0)), HYPERLINK("#",""), HYPERLINK(CONCATENATE("#Metadata!", ADDRESS(INDEX($X$2:$X$1001,MATCH(ROWS($V$2:V227),$V$2:$V$1001,0),0), INDEX($AC$1004:$AS$1004,1,MATCH(COLUMNS($AC$1006:AD1006),$AC$1006:$AS$1006,0)))),"Fix")))</f>
        <v>0</v>
      </c>
      <c r="D227" s="5">
        <f>IF(OR(INDEX($W$2:$W$1001,MATCH(ROWS($V$2:V227),$V$2:$V$1001,0),1)&gt;=100000,INDEX($AC$1005:$AS$1005,1,MATCH(COLUMNS($AC$1006:AE1006),$AC$1006:$AS$1006,0))&gt;=100000), " ",IF(INDEX($AC$2:$AS$1001,MATCH(ROWS($V$2:V227),$V$2:$V$1001,0),MATCH(COLUMNS($AC$1006:AE1006),$AC$1006:$AS$1006,0)), HYPERLINK("#",""), HYPERLINK(CONCATENATE("#Metadata!", ADDRESS(INDEX($X$2:$X$1001,MATCH(ROWS($V$2:V227),$V$2:$V$1001,0),0), INDEX($AC$1004:$AS$1004,1,MATCH(COLUMNS($AC$1006:AE1006),$AC$1006:$AS$1006,0)))),"Fix")))</f>
        <v>0</v>
      </c>
      <c r="E227" s="5">
        <f>IF(OR(INDEX($W$2:$W$1001,MATCH(ROWS($V$2:V227),$V$2:$V$1001,0),1)&gt;=100000,INDEX($AC$1005:$AS$1005,1,MATCH(COLUMNS($AC$1006:AF1006),$AC$1006:$AS$1006,0))&gt;=100000), " ",IF(INDEX($AC$2:$AS$1001,MATCH(ROWS($V$2:V227),$V$2:$V$1001,0),MATCH(COLUMNS($AC$1006:AF1006),$AC$1006:$AS$1006,0)), HYPERLINK("#",""), HYPERLINK(CONCATENATE("#Metadata!", ADDRESS(INDEX($X$2:$X$1001,MATCH(ROWS($V$2:V227),$V$2:$V$1001,0),0), INDEX($AC$1004:$AS$1004,1,MATCH(COLUMNS($AC$1006:AF1006),$AC$1006:$AS$1006,0)))),"Fix")))</f>
        <v>0</v>
      </c>
      <c r="F227" s="5">
        <f>IF(OR(INDEX($W$2:$W$1001,MATCH(ROWS($V$2:V227),$V$2:$V$1001,0),1)&gt;=100000,INDEX($AC$1005:$AS$1005,1,MATCH(COLUMNS($AC$1006:AG1006),$AC$1006:$AS$1006,0))&gt;=100000), " ",IF(INDEX($AC$2:$AS$1001,MATCH(ROWS($V$2:V227),$V$2:$V$1001,0),MATCH(COLUMNS($AC$1006:AG1006),$AC$1006:$AS$1006,0)), HYPERLINK("#",""), HYPERLINK(CONCATENATE("#Metadata!", ADDRESS(INDEX($X$2:$X$1001,MATCH(ROWS($V$2:V227),$V$2:$V$1001,0),0), INDEX($AC$1004:$AS$1004,1,MATCH(COLUMNS($AC$1006:AG1006),$AC$1006:$AS$1006,0)))),"Fix")))</f>
        <v>0</v>
      </c>
      <c r="G227" s="5">
        <f>IF(OR(INDEX($W$2:$W$1001,MATCH(ROWS($V$2:V227),$V$2:$V$1001,0),1)&gt;=100000,INDEX($AC$1005:$AS$1005,1,MATCH(COLUMNS($AC$1006:AH1006),$AC$1006:$AS$1006,0))&gt;=100000), " ",IF(INDEX($AC$2:$AS$1001,MATCH(ROWS($V$2:V227),$V$2:$V$1001,0),MATCH(COLUMNS($AC$1006:AH1006),$AC$1006:$AS$1006,0)), HYPERLINK("#",""), HYPERLINK(CONCATENATE("#Metadata!", ADDRESS(INDEX($X$2:$X$1001,MATCH(ROWS($V$2:V227),$V$2:$V$1001,0),0), INDEX($AC$1004:$AS$1004,1,MATCH(COLUMNS($AC$1006:AH1006),$AC$1006:$AS$1006,0)))),"Fix")))</f>
        <v>0</v>
      </c>
      <c r="H227" s="5">
        <f>IF(OR(INDEX($W$2:$W$1001,MATCH(ROWS($V$2:V227),$V$2:$V$1001,0),1)&gt;=100000,INDEX($AC$1005:$AS$1005,1,MATCH(COLUMNS($AC$1006:AI1006),$AC$1006:$AS$1006,0))&gt;=100000), " ",IF(INDEX($AC$2:$AS$1001,MATCH(ROWS($V$2:V227),$V$2:$V$1001,0),MATCH(COLUMNS($AC$1006:AI1006),$AC$1006:$AS$1006,0)), HYPERLINK("#",""), HYPERLINK(CONCATENATE("#Metadata!", ADDRESS(INDEX($X$2:$X$1001,MATCH(ROWS($V$2:V227),$V$2:$V$1001,0),0), INDEX($AC$1004:$AS$1004,1,MATCH(COLUMNS($AC$1006:AI1006),$AC$1006:$AS$1006,0)))),"Fix")))</f>
        <v>0</v>
      </c>
      <c r="I227" s="5">
        <f>IF(OR(INDEX($W$2:$W$1001,MATCH(ROWS($V$2:V227),$V$2:$V$1001,0),1)&gt;=100000,INDEX($AC$1005:$AS$1005,1,MATCH(COLUMNS($AC$1006:AJ1006),$AC$1006:$AS$1006,0))&gt;=100000), " ",IF(INDEX($AC$2:$AS$1001,MATCH(ROWS($V$2:V227),$V$2:$V$1001,0),MATCH(COLUMNS($AC$1006:AJ1006),$AC$1006:$AS$1006,0)), HYPERLINK("#",""), HYPERLINK(CONCATENATE("#Metadata!", ADDRESS(INDEX($X$2:$X$1001,MATCH(ROWS($V$2:V227),$V$2:$V$1001,0),0), INDEX($AC$1004:$AS$1004,1,MATCH(COLUMNS($AC$1006:AJ1006),$AC$1006:$AS$1006,0)))),"Fix")))</f>
        <v>0</v>
      </c>
      <c r="J227" s="5">
        <f>IF(OR(INDEX($W$2:$W$1001,MATCH(ROWS($V$2:V227),$V$2:$V$1001,0),1)&gt;=100000,INDEX($AC$1005:$AS$1005,1,MATCH(COLUMNS($AC$1006:AK1006),$AC$1006:$AS$1006,0))&gt;=100000), " ",IF(INDEX($AC$2:$AS$1001,MATCH(ROWS($V$2:V227),$V$2:$V$1001,0),MATCH(COLUMNS($AC$1006:AK1006),$AC$1006:$AS$1006,0)), HYPERLINK("#",""), HYPERLINK(CONCATENATE("#Metadata!", ADDRESS(INDEX($X$2:$X$1001,MATCH(ROWS($V$2:V227),$V$2:$V$1001,0),0), INDEX($AC$1004:$AS$1004,1,MATCH(COLUMNS($AC$1006:AK1006),$AC$1006:$AS$1006,0)))),"Fix")))</f>
        <v>0</v>
      </c>
      <c r="K227" s="5">
        <f>IF(OR(INDEX($W$2:$W$1001,MATCH(ROWS($V$2:V227),$V$2:$V$1001,0),1)&gt;=100000,INDEX($AC$1005:$AS$1005,1,MATCH(COLUMNS($AC$1006:AL1006),$AC$1006:$AS$1006,0))&gt;=100000), " ",IF(INDEX($AC$2:$AS$1001,MATCH(ROWS($V$2:V227),$V$2:$V$1001,0),MATCH(COLUMNS($AC$1006:AL1006),$AC$1006:$AS$1006,0)), HYPERLINK("#",""), HYPERLINK(CONCATENATE("#Metadata!", ADDRESS(INDEX($X$2:$X$1001,MATCH(ROWS($V$2:V227),$V$2:$V$1001,0),0), INDEX($AC$1004:$AS$1004,1,MATCH(COLUMNS($AC$1006:AL1006),$AC$1006:$AS$1006,0)))),"Fix")))</f>
        <v>0</v>
      </c>
      <c r="L227" s="5">
        <f>IF(OR(INDEX($W$2:$W$1001,MATCH(ROWS($V$2:V227),$V$2:$V$1001,0),1)&gt;=100000,INDEX($AC$1005:$AS$1005,1,MATCH(COLUMNS($AC$1006:AM1006),$AC$1006:$AS$1006,0))&gt;=100000), " ",IF(INDEX($AC$2:$AS$1001,MATCH(ROWS($V$2:V227),$V$2:$V$1001,0),MATCH(COLUMNS($AC$1006:AM1006),$AC$1006:$AS$1006,0)), HYPERLINK("#",""), HYPERLINK(CONCATENATE("#Metadata!", ADDRESS(INDEX($X$2:$X$1001,MATCH(ROWS($V$2:V227),$V$2:$V$1001,0),0), INDEX($AC$1004:$AS$1004,1,MATCH(COLUMNS($AC$1006:AM1006),$AC$1006:$AS$1006,0)))),"Fix")))</f>
        <v>0</v>
      </c>
      <c r="M227" s="5">
        <f>IF(OR(INDEX($W$2:$W$1001,MATCH(ROWS($V$2:V227),$V$2:$V$1001,0),1)&gt;=100000,INDEX($AC$1005:$AS$1005,1,MATCH(COLUMNS($AC$1006:AN1006),$AC$1006:$AS$1006,0))&gt;=100000), " ",IF(INDEX($AC$2:$AS$1001,MATCH(ROWS($V$2:V227),$V$2:$V$1001,0),MATCH(COLUMNS($AC$1006:AN1006),$AC$1006:$AS$1006,0)), HYPERLINK("#",""), HYPERLINK(CONCATENATE("#Metadata!", ADDRESS(INDEX($X$2:$X$1001,MATCH(ROWS($V$2:V227),$V$2:$V$1001,0),0), INDEX($AC$1004:$AS$1004,1,MATCH(COLUMNS($AC$1006:AN1006),$AC$1006:$AS$1006,0)))),"Fix")))</f>
        <v>0</v>
      </c>
      <c r="N227" s="5">
        <f>IF(OR(INDEX($W$2:$W$1001,MATCH(ROWS($V$2:V227),$V$2:$V$1001,0),1)&gt;=100000,INDEX($AC$1005:$AS$1005,1,MATCH(COLUMNS($AC$1006:AO1006),$AC$1006:$AS$1006,0))&gt;=100000), " ",IF(INDEX($AC$2:$AS$1001,MATCH(ROWS($V$2:V227),$V$2:$V$1001,0),MATCH(COLUMNS($AC$1006:AO1006),$AC$1006:$AS$1006,0)), HYPERLINK("#",""), HYPERLINK(CONCATENATE("#Metadata!", ADDRESS(INDEX($X$2:$X$1001,MATCH(ROWS($V$2:V227),$V$2:$V$1001,0),0), INDEX($AC$1004:$AS$1004,1,MATCH(COLUMNS($AC$1006:AO1006),$AC$1006:$AS$1006,0)))),"Fix")))</f>
        <v>0</v>
      </c>
      <c r="O227" s="5">
        <f>IF(OR(INDEX($W$2:$W$1001,MATCH(ROWS($V$2:V227),$V$2:$V$1001,0),1)&gt;=100000,INDEX($AC$1005:$AS$1005,1,MATCH(COLUMNS($AC$1006:AP1006),$AC$1006:$AS$1006,0))&gt;=100000), " ",IF(INDEX($AC$2:$AS$1001,MATCH(ROWS($V$2:V227),$V$2:$V$1001,0),MATCH(COLUMNS($AC$1006:AP1006),$AC$1006:$AS$1006,0)), HYPERLINK("#",""), HYPERLINK(CONCATENATE("#Metadata!", ADDRESS(INDEX($X$2:$X$1001,MATCH(ROWS($V$2:V227),$V$2:$V$1001,0),0), INDEX($AC$1004:$AS$1004,1,MATCH(COLUMNS($AC$1006:AP1006),$AC$1006:$AS$1006,0)))),"Fix")))</f>
        <v>0</v>
      </c>
      <c r="P227" s="5">
        <f>IF(OR(INDEX($W$2:$W$1001,MATCH(ROWS($V$2:V227),$V$2:$V$1001,0),1)&gt;=100000,INDEX($AC$1005:$AS$1005,1,MATCH(COLUMNS($AC$1006:AQ1006),$AC$1006:$AS$1006,0))&gt;=100000), " ",IF(INDEX($AC$2:$AS$1001,MATCH(ROWS($V$2:V227),$V$2:$V$1001,0),MATCH(COLUMNS($AC$1006:AQ1006),$AC$1006:$AS$1006,0)), HYPERLINK("#",""), HYPERLINK(CONCATENATE("#Metadata!", ADDRESS(INDEX($X$2:$X$1001,MATCH(ROWS($V$2:V227),$V$2:$V$1001,0),0), INDEX($AC$1004:$AS$1004,1,MATCH(COLUMNS($AC$1006:AQ1006),$AC$1006:$AS$1006,0)))),"Fix")))</f>
        <v>0</v>
      </c>
      <c r="Q227" s="5">
        <f>IF(OR(INDEX($W$2:$W$1001,MATCH(ROWS($V$2:V227),$V$2:$V$1001,0),1)&gt;=100000,INDEX($AC$1005:$AS$1005,1,MATCH(COLUMNS($AC$1006:AR1006),$AC$1006:$AS$1006,0))&gt;=100000), " ",IF(INDEX($AC$2:$AS$1001,MATCH(ROWS($V$2:V227),$V$2:$V$1001,0),MATCH(COLUMNS($AC$1006:AR1006),$AC$1006:$AS$1006,0)), HYPERLINK("#",""), HYPERLINK(CONCATENATE("#Metadata!", ADDRESS(INDEX($X$2:$X$1001,MATCH(ROWS($V$2:V227),$V$2:$V$1001,0),0), INDEX($AC$1004:$AS$1004,1,MATCH(COLUMNS($AC$1006:AR1006),$AC$1006:$AS$1006,0)))),"Fix")))</f>
        <v>0</v>
      </c>
      <c r="R227" s="5">
        <f>IF(OR(INDEX($W$2:$W$1001,MATCH(ROWS($V$2:V227),$V$2:$V$1001,0),1)&gt;=100000,INDEX($AC$1005:$AS$1005,1,MATCH(COLUMNS($AC$1006:AS1006),$AC$1006:$AS$1006,0))&gt;=100000), " ",IF(INDEX($AC$2:$AS$1001,MATCH(ROWS($V$2:V227),$V$2:$V$1001,0),MATCH(COLUMNS($AC$1006:AS1006),$AC$1006:$AS$1006,0)), HYPERLINK("#",""), HYPERLINK(CONCATENATE("#Metadata!", ADDRESS(INDEX($X$2:$X$1001,MATCH(ROWS($V$2:V227),$V$2:$V$1001,0),0), INDEX($AC$1004:$AS$1004,1,MATCH(COLUMNS($AC$1006:AS1006),$AC$1006:$AS$1006,0)))),"Fix")))</f>
        <v>0</v>
      </c>
      <c r="V227">
        <v>0</v>
      </c>
      <c r="W227">
        <v>0</v>
      </c>
      <c r="X227">
        <v>0</v>
      </c>
      <c r="Y227">
        <f>IF(Z227,TRUE,AND(AC227:AS227))</f>
        <v>0</v>
      </c>
      <c r="Z227">
        <f>COUNTBLANK(Metadata!B227:R227)=COLUMNS(Metadata!B227:R227)</f>
        <v>0</v>
      </c>
      <c r="AA227">
        <v>0</v>
      </c>
      <c r="AC227">
        <f>AND(IF(Metadata!B227="",FALSE,TRUE),COUNTIF(Metadata!B:B, Metadata!B227) = 1,NOT(ISERROR(SUMPRODUCT(SEARCH(MID(Metadata!B227,ROW(INDIRECT("1:"&amp;LEN(Metadata!B227))), 1),"0123456789abcdefghijklmnopqrstuvwxyzABCDEFGHIJKLMNOPQRSTUVWXYZ.")))))</f>
        <v>0</v>
      </c>
      <c r="AD227">
        <f>AND(IF(Metadata!C227="",FALSE,TRUE),exact(Metadata!C227,"Host-associated"))</f>
        <v>0</v>
      </c>
      <c r="AE227">
        <f>AND(IF(Metadata!D227="",FALSE,TRUE),OR(exact(Metadata!D227,"Animal"),exact(Metadata!D227,"Fungus"),exact(Metadata!D227,"Plant")))</f>
        <v>0</v>
      </c>
      <c r="AF227">
        <f>AND(IF(Metadata!E227="",FALSE,TRUE),OR(exact(Metadata!E227,"Plant secretion"),exact(Metadata!E227,"Plant rhizosphere"),exact(Metadata!E227,"Plant surface"),exact(Metadata!E227,"Plant corpus"),exact(Metadata!E227,"Fungus surface"),exact(Metadata!E227,"Fungus corpus"),exact(Metadata!E227,"Animal surface"),exact(Metadata!E227,"Animal proximal gut"),exact(Metadata!E227,"Animal corpus"),exact(Metadata!E227,"Animal distal gut"),exact(Metadata!E227,"Animal secretion")))</f>
        <v>0</v>
      </c>
      <c r="AG227">
        <f>OR(AND(IF(Metadata!F227="",FALSE,TRUE),OR(exact(Metadata!F227,"not collected"),exact(Metadata!F227,"not provided"),exact(Metadata!F227,"restricted access"))),AND(IF(Metadata!F227="",FALSE,TRUE),OR(exact(Metadata!F227,"organism-associated habitat"),exact(Metadata!F227,"plant-associated habitat"),exact(Metadata!F227,"animal-associated habitat"),exact(Metadata!F227,"insecta-associated habitat"),exact(Metadata!F227,"mammalia-associated habitat"),exact(Metadata!F227,"human-associated habitat"),exact(Metadata!F227,"livestock-associated habitat"))))</f>
        <v>0</v>
      </c>
      <c r="AH227">
        <f>AND(IF(Metadata!G227="",FALSE,TRUE),exact(Metadata!G227,"host-associated"))</f>
        <v>0</v>
      </c>
      <c r="AI227">
        <f>OR(AND(IF(Metadata!H227="",FALSE,TRUE),OR(exact(Metadata!H227,"not collected"),exact(Metadata!H227,"not provided"))),AND(IF(Metadata!H227="",FALSE,ISNUMBER(VALUE(Metadata!H227))),Metadata!H227&gt;0))</f>
        <v>0</v>
      </c>
      <c r="AJ227">
        <f>AND(IF(Metadata!I227="",FALSE,TRUE),exact(Metadata!I227,"years"))</f>
        <v>0</v>
      </c>
      <c r="AK227">
        <f>IF(Metadata!J227="",FALSE,TRUE)</f>
        <v>0</v>
      </c>
      <c r="AL227">
        <f>OR(AND(IF(Metadata!K227="",FALSE,TRUE),OR(exact(Metadata!K227,"not collected"),exact(Metadata!K227,"not provided"))),AND(IF(Metadata!K227="",FALSE,ISNUMBER(VALUE(Metadata!K227))),Metadata!K227&gt;0))</f>
        <v>0</v>
      </c>
      <c r="AM227">
        <f>AND(IF(Metadata!L227="",FALSE,TRUE),exact(Metadata!L227,"cm"))</f>
        <v>0</v>
      </c>
      <c r="AN227">
        <f>IF(Metadata!M227="",FALSE,TRUE)</f>
        <v>0</v>
      </c>
      <c r="AO227">
        <f>OR(AND(IF(Metadata!N227="",FALSE,TRUE),OR(exact(Metadata!N227,"not applicable"),exact(Metadata!N227,"not collected"),exact(Metadata!N227,"not provided"))),AND(IF(Metadata!N227="",FALSE,IF(ISERROR(INT(Metadata!N227)),FALSE,INT(Metadata!N227)=Metadata!N227)),Metadata!N227&gt;0))</f>
        <v>0</v>
      </c>
      <c r="AP227">
        <f>OR(AND(IF(Metadata!O227="",FALSE,TRUE),OR(exact(Metadata!O227,"not collected"),exact(Metadata!O227,"not provided"))),AND(IF(Metadata!O227="",FALSE,ISNUMBER(VALUE(Metadata!O227))),Metadata!O227&gt;0))</f>
        <v>0</v>
      </c>
      <c r="AQ227">
        <f>AND(IF(Metadata!P227="",FALSE,TRUE),exact(Metadata!P227,"kg"))</f>
        <v>0</v>
      </c>
      <c r="AR227">
        <f>OR(AND(IF(Metadata!Q227="",FALSE,TRUE),OR(exact(Metadata!Q227,"not applicable"),exact(Metadata!Q227,"not collected"),exact(Metadata!Q227,"not provided"),exact(Metadata!Q227,"restricted access"))),IF(Metadata!Q227="",FALSE,IF(ISERROR(INT(Metadata!Q227)),FALSE,INT(Metadata!Q227)=Metadata!Q227)))</f>
        <v>0</v>
      </c>
      <c r="AS227">
        <f>AND(IF(Metadata!R227="",FALSE,TRUE),exact(Metadata!R227,"Not applicable"))</f>
        <v>0</v>
      </c>
    </row>
    <row r="228" spans="1:45">
      <c r="A228" s="4">
        <f>IF(B228=" "," ",HYPERLINK(CONCATENATE("#metadata!",ADDRESS(INDEX($X$2:$X$1001,MATCH(ROWS($V$2:V228),$V$2:$V$1001,0),0),2)),INDEX($AA$2:$AA$1001,MATCH(ROWS($V$2:V228),$V$2:$V$1001,0),0)))</f>
        <v>0</v>
      </c>
      <c r="B228" s="5">
        <f>IF(OR(INDEX($W$2:$W$1001,MATCH(ROWS($V$2:V228),$V$2:$V$1001,0),1)&gt;=100000,INDEX($AC$1005:$AS$1005,1,MATCH(COLUMNS($AC$1006:AC1006),$AC$1006:$AS$1006,0))&gt;=100000), " ",IF(INDEX($AC$2:$AS$1001,MATCH(ROWS($V$2:V228),$V$2:$V$1001,0),MATCH(COLUMNS($AC$1006:AC1006),$AC$1006:$AS$1006,0)), HYPERLINK("#",""), HYPERLINK(CONCATENATE("#Metadata!", ADDRESS(INDEX($X$2:$X$1001,MATCH(ROWS($V$2:V228),$V$2:$V$1001,0),0), INDEX($AC$1004:$AS$1004,1,MATCH(COLUMNS($AC$1006:AC1006),$AC$1006:$AS$1006,0)))),"Fix")))</f>
        <v>0</v>
      </c>
      <c r="C228" s="5">
        <f>IF(OR(INDEX($W$2:$W$1001,MATCH(ROWS($V$2:V228),$V$2:$V$1001,0),1)&gt;=100000,INDEX($AC$1005:$AS$1005,1,MATCH(COLUMNS($AC$1006:AD1006),$AC$1006:$AS$1006,0))&gt;=100000), " ",IF(INDEX($AC$2:$AS$1001,MATCH(ROWS($V$2:V228),$V$2:$V$1001,0),MATCH(COLUMNS($AC$1006:AD1006),$AC$1006:$AS$1006,0)), HYPERLINK("#",""), HYPERLINK(CONCATENATE("#Metadata!", ADDRESS(INDEX($X$2:$X$1001,MATCH(ROWS($V$2:V228),$V$2:$V$1001,0),0), INDEX($AC$1004:$AS$1004,1,MATCH(COLUMNS($AC$1006:AD1006),$AC$1006:$AS$1006,0)))),"Fix")))</f>
        <v>0</v>
      </c>
      <c r="D228" s="5">
        <f>IF(OR(INDEX($W$2:$W$1001,MATCH(ROWS($V$2:V228),$V$2:$V$1001,0),1)&gt;=100000,INDEX($AC$1005:$AS$1005,1,MATCH(COLUMNS($AC$1006:AE1006),$AC$1006:$AS$1006,0))&gt;=100000), " ",IF(INDEX($AC$2:$AS$1001,MATCH(ROWS($V$2:V228),$V$2:$V$1001,0),MATCH(COLUMNS($AC$1006:AE1006),$AC$1006:$AS$1006,0)), HYPERLINK("#",""), HYPERLINK(CONCATENATE("#Metadata!", ADDRESS(INDEX($X$2:$X$1001,MATCH(ROWS($V$2:V228),$V$2:$V$1001,0),0), INDEX($AC$1004:$AS$1004,1,MATCH(COLUMNS($AC$1006:AE1006),$AC$1006:$AS$1006,0)))),"Fix")))</f>
        <v>0</v>
      </c>
      <c r="E228" s="5">
        <f>IF(OR(INDEX($W$2:$W$1001,MATCH(ROWS($V$2:V228),$V$2:$V$1001,0),1)&gt;=100000,INDEX($AC$1005:$AS$1005,1,MATCH(COLUMNS($AC$1006:AF1006),$AC$1006:$AS$1006,0))&gt;=100000), " ",IF(INDEX($AC$2:$AS$1001,MATCH(ROWS($V$2:V228),$V$2:$V$1001,0),MATCH(COLUMNS($AC$1006:AF1006),$AC$1006:$AS$1006,0)), HYPERLINK("#",""), HYPERLINK(CONCATENATE("#Metadata!", ADDRESS(INDEX($X$2:$X$1001,MATCH(ROWS($V$2:V228),$V$2:$V$1001,0),0), INDEX($AC$1004:$AS$1004,1,MATCH(COLUMNS($AC$1006:AF1006),$AC$1006:$AS$1006,0)))),"Fix")))</f>
        <v>0</v>
      </c>
      <c r="F228" s="5">
        <f>IF(OR(INDEX($W$2:$W$1001,MATCH(ROWS($V$2:V228),$V$2:$V$1001,0),1)&gt;=100000,INDEX($AC$1005:$AS$1005,1,MATCH(COLUMNS($AC$1006:AG1006),$AC$1006:$AS$1006,0))&gt;=100000), " ",IF(INDEX($AC$2:$AS$1001,MATCH(ROWS($V$2:V228),$V$2:$V$1001,0),MATCH(COLUMNS($AC$1006:AG1006),$AC$1006:$AS$1006,0)), HYPERLINK("#",""), HYPERLINK(CONCATENATE("#Metadata!", ADDRESS(INDEX($X$2:$X$1001,MATCH(ROWS($V$2:V228),$V$2:$V$1001,0),0), INDEX($AC$1004:$AS$1004,1,MATCH(COLUMNS($AC$1006:AG1006),$AC$1006:$AS$1006,0)))),"Fix")))</f>
        <v>0</v>
      </c>
      <c r="G228" s="5">
        <f>IF(OR(INDEX($W$2:$W$1001,MATCH(ROWS($V$2:V228),$V$2:$V$1001,0),1)&gt;=100000,INDEX($AC$1005:$AS$1005,1,MATCH(COLUMNS($AC$1006:AH1006),$AC$1006:$AS$1006,0))&gt;=100000), " ",IF(INDEX($AC$2:$AS$1001,MATCH(ROWS($V$2:V228),$V$2:$V$1001,0),MATCH(COLUMNS($AC$1006:AH1006),$AC$1006:$AS$1006,0)), HYPERLINK("#",""), HYPERLINK(CONCATENATE("#Metadata!", ADDRESS(INDEX($X$2:$X$1001,MATCH(ROWS($V$2:V228),$V$2:$V$1001,0),0), INDEX($AC$1004:$AS$1004,1,MATCH(COLUMNS($AC$1006:AH1006),$AC$1006:$AS$1006,0)))),"Fix")))</f>
        <v>0</v>
      </c>
      <c r="H228" s="5">
        <f>IF(OR(INDEX($W$2:$W$1001,MATCH(ROWS($V$2:V228),$V$2:$V$1001,0),1)&gt;=100000,INDEX($AC$1005:$AS$1005,1,MATCH(COLUMNS($AC$1006:AI1006),$AC$1006:$AS$1006,0))&gt;=100000), " ",IF(INDEX($AC$2:$AS$1001,MATCH(ROWS($V$2:V228),$V$2:$V$1001,0),MATCH(COLUMNS($AC$1006:AI1006),$AC$1006:$AS$1006,0)), HYPERLINK("#",""), HYPERLINK(CONCATENATE("#Metadata!", ADDRESS(INDEX($X$2:$X$1001,MATCH(ROWS($V$2:V228),$V$2:$V$1001,0),0), INDEX($AC$1004:$AS$1004,1,MATCH(COLUMNS($AC$1006:AI1006),$AC$1006:$AS$1006,0)))),"Fix")))</f>
        <v>0</v>
      </c>
      <c r="I228" s="5">
        <f>IF(OR(INDEX($W$2:$W$1001,MATCH(ROWS($V$2:V228),$V$2:$V$1001,0),1)&gt;=100000,INDEX($AC$1005:$AS$1005,1,MATCH(COLUMNS($AC$1006:AJ1006),$AC$1006:$AS$1006,0))&gt;=100000), " ",IF(INDEX($AC$2:$AS$1001,MATCH(ROWS($V$2:V228),$V$2:$V$1001,0),MATCH(COLUMNS($AC$1006:AJ1006),$AC$1006:$AS$1006,0)), HYPERLINK("#",""), HYPERLINK(CONCATENATE("#Metadata!", ADDRESS(INDEX($X$2:$X$1001,MATCH(ROWS($V$2:V228),$V$2:$V$1001,0),0), INDEX($AC$1004:$AS$1004,1,MATCH(COLUMNS($AC$1006:AJ1006),$AC$1006:$AS$1006,0)))),"Fix")))</f>
        <v>0</v>
      </c>
      <c r="J228" s="5">
        <f>IF(OR(INDEX($W$2:$W$1001,MATCH(ROWS($V$2:V228),$V$2:$V$1001,0),1)&gt;=100000,INDEX($AC$1005:$AS$1005,1,MATCH(COLUMNS($AC$1006:AK1006),$AC$1006:$AS$1006,0))&gt;=100000), " ",IF(INDEX($AC$2:$AS$1001,MATCH(ROWS($V$2:V228),$V$2:$V$1001,0),MATCH(COLUMNS($AC$1006:AK1006),$AC$1006:$AS$1006,0)), HYPERLINK("#",""), HYPERLINK(CONCATENATE("#Metadata!", ADDRESS(INDEX($X$2:$X$1001,MATCH(ROWS($V$2:V228),$V$2:$V$1001,0),0), INDEX($AC$1004:$AS$1004,1,MATCH(COLUMNS($AC$1006:AK1006),$AC$1006:$AS$1006,0)))),"Fix")))</f>
        <v>0</v>
      </c>
      <c r="K228" s="5">
        <f>IF(OR(INDEX($W$2:$W$1001,MATCH(ROWS($V$2:V228),$V$2:$V$1001,0),1)&gt;=100000,INDEX($AC$1005:$AS$1005,1,MATCH(COLUMNS($AC$1006:AL1006),$AC$1006:$AS$1006,0))&gt;=100000), " ",IF(INDEX($AC$2:$AS$1001,MATCH(ROWS($V$2:V228),$V$2:$V$1001,0),MATCH(COLUMNS($AC$1006:AL1006),$AC$1006:$AS$1006,0)), HYPERLINK("#",""), HYPERLINK(CONCATENATE("#Metadata!", ADDRESS(INDEX($X$2:$X$1001,MATCH(ROWS($V$2:V228),$V$2:$V$1001,0),0), INDEX($AC$1004:$AS$1004,1,MATCH(COLUMNS($AC$1006:AL1006),$AC$1006:$AS$1006,0)))),"Fix")))</f>
        <v>0</v>
      </c>
      <c r="L228" s="5">
        <f>IF(OR(INDEX($W$2:$W$1001,MATCH(ROWS($V$2:V228),$V$2:$V$1001,0),1)&gt;=100000,INDEX($AC$1005:$AS$1005,1,MATCH(COLUMNS($AC$1006:AM1006),$AC$1006:$AS$1006,0))&gt;=100000), " ",IF(INDEX($AC$2:$AS$1001,MATCH(ROWS($V$2:V228),$V$2:$V$1001,0),MATCH(COLUMNS($AC$1006:AM1006),$AC$1006:$AS$1006,0)), HYPERLINK("#",""), HYPERLINK(CONCATENATE("#Metadata!", ADDRESS(INDEX($X$2:$X$1001,MATCH(ROWS($V$2:V228),$V$2:$V$1001,0),0), INDEX($AC$1004:$AS$1004,1,MATCH(COLUMNS($AC$1006:AM1006),$AC$1006:$AS$1006,0)))),"Fix")))</f>
        <v>0</v>
      </c>
      <c r="M228" s="5">
        <f>IF(OR(INDEX($W$2:$W$1001,MATCH(ROWS($V$2:V228),$V$2:$V$1001,0),1)&gt;=100000,INDEX($AC$1005:$AS$1005,1,MATCH(COLUMNS($AC$1006:AN1006),$AC$1006:$AS$1006,0))&gt;=100000), " ",IF(INDEX($AC$2:$AS$1001,MATCH(ROWS($V$2:V228),$V$2:$V$1001,0),MATCH(COLUMNS($AC$1006:AN1006),$AC$1006:$AS$1006,0)), HYPERLINK("#",""), HYPERLINK(CONCATENATE("#Metadata!", ADDRESS(INDEX($X$2:$X$1001,MATCH(ROWS($V$2:V228),$V$2:$V$1001,0),0), INDEX($AC$1004:$AS$1004,1,MATCH(COLUMNS($AC$1006:AN1006),$AC$1006:$AS$1006,0)))),"Fix")))</f>
        <v>0</v>
      </c>
      <c r="N228" s="5">
        <f>IF(OR(INDEX($W$2:$W$1001,MATCH(ROWS($V$2:V228),$V$2:$V$1001,0),1)&gt;=100000,INDEX($AC$1005:$AS$1005,1,MATCH(COLUMNS($AC$1006:AO1006),$AC$1006:$AS$1006,0))&gt;=100000), " ",IF(INDEX($AC$2:$AS$1001,MATCH(ROWS($V$2:V228),$V$2:$V$1001,0),MATCH(COLUMNS($AC$1006:AO1006),$AC$1006:$AS$1006,0)), HYPERLINK("#",""), HYPERLINK(CONCATENATE("#Metadata!", ADDRESS(INDEX($X$2:$X$1001,MATCH(ROWS($V$2:V228),$V$2:$V$1001,0),0), INDEX($AC$1004:$AS$1004,1,MATCH(COLUMNS($AC$1006:AO1006),$AC$1006:$AS$1006,0)))),"Fix")))</f>
        <v>0</v>
      </c>
      <c r="O228" s="5">
        <f>IF(OR(INDEX($W$2:$W$1001,MATCH(ROWS($V$2:V228),$V$2:$V$1001,0),1)&gt;=100000,INDEX($AC$1005:$AS$1005,1,MATCH(COLUMNS($AC$1006:AP1006),$AC$1006:$AS$1006,0))&gt;=100000), " ",IF(INDEX($AC$2:$AS$1001,MATCH(ROWS($V$2:V228),$V$2:$V$1001,0),MATCH(COLUMNS($AC$1006:AP1006),$AC$1006:$AS$1006,0)), HYPERLINK("#",""), HYPERLINK(CONCATENATE("#Metadata!", ADDRESS(INDEX($X$2:$X$1001,MATCH(ROWS($V$2:V228),$V$2:$V$1001,0),0), INDEX($AC$1004:$AS$1004,1,MATCH(COLUMNS($AC$1006:AP1006),$AC$1006:$AS$1006,0)))),"Fix")))</f>
        <v>0</v>
      </c>
      <c r="P228" s="5">
        <f>IF(OR(INDEX($W$2:$W$1001,MATCH(ROWS($V$2:V228),$V$2:$V$1001,0),1)&gt;=100000,INDEX($AC$1005:$AS$1005,1,MATCH(COLUMNS($AC$1006:AQ1006),$AC$1006:$AS$1006,0))&gt;=100000), " ",IF(INDEX($AC$2:$AS$1001,MATCH(ROWS($V$2:V228),$V$2:$V$1001,0),MATCH(COLUMNS($AC$1006:AQ1006),$AC$1006:$AS$1006,0)), HYPERLINK("#",""), HYPERLINK(CONCATENATE("#Metadata!", ADDRESS(INDEX($X$2:$X$1001,MATCH(ROWS($V$2:V228),$V$2:$V$1001,0),0), INDEX($AC$1004:$AS$1004,1,MATCH(COLUMNS($AC$1006:AQ1006),$AC$1006:$AS$1006,0)))),"Fix")))</f>
        <v>0</v>
      </c>
      <c r="Q228" s="5">
        <f>IF(OR(INDEX($W$2:$W$1001,MATCH(ROWS($V$2:V228),$V$2:$V$1001,0),1)&gt;=100000,INDEX($AC$1005:$AS$1005,1,MATCH(COLUMNS($AC$1006:AR1006),$AC$1006:$AS$1006,0))&gt;=100000), " ",IF(INDEX($AC$2:$AS$1001,MATCH(ROWS($V$2:V228),$V$2:$V$1001,0),MATCH(COLUMNS($AC$1006:AR1006),$AC$1006:$AS$1006,0)), HYPERLINK("#",""), HYPERLINK(CONCATENATE("#Metadata!", ADDRESS(INDEX($X$2:$X$1001,MATCH(ROWS($V$2:V228),$V$2:$V$1001,0),0), INDEX($AC$1004:$AS$1004,1,MATCH(COLUMNS($AC$1006:AR1006),$AC$1006:$AS$1006,0)))),"Fix")))</f>
        <v>0</v>
      </c>
      <c r="R228" s="5">
        <f>IF(OR(INDEX($W$2:$W$1001,MATCH(ROWS($V$2:V228),$V$2:$V$1001,0),1)&gt;=100000,INDEX($AC$1005:$AS$1005,1,MATCH(COLUMNS($AC$1006:AS1006),$AC$1006:$AS$1006,0))&gt;=100000), " ",IF(INDEX($AC$2:$AS$1001,MATCH(ROWS($V$2:V228),$V$2:$V$1001,0),MATCH(COLUMNS($AC$1006:AS1006),$AC$1006:$AS$1006,0)), HYPERLINK("#",""), HYPERLINK(CONCATENATE("#Metadata!", ADDRESS(INDEX($X$2:$X$1001,MATCH(ROWS($V$2:V228),$V$2:$V$1001,0),0), INDEX($AC$1004:$AS$1004,1,MATCH(COLUMNS($AC$1006:AS1006),$AC$1006:$AS$1006,0)))),"Fix")))</f>
        <v>0</v>
      </c>
      <c r="V228">
        <v>0</v>
      </c>
      <c r="W228">
        <v>0</v>
      </c>
      <c r="X228">
        <v>0</v>
      </c>
      <c r="Y228">
        <f>IF(Z228,TRUE,AND(AC228:AS228))</f>
        <v>0</v>
      </c>
      <c r="Z228">
        <f>COUNTBLANK(Metadata!B228:R228)=COLUMNS(Metadata!B228:R228)</f>
        <v>0</v>
      </c>
      <c r="AA228">
        <v>0</v>
      </c>
      <c r="AC228">
        <f>AND(IF(Metadata!B228="",FALSE,TRUE),COUNTIF(Metadata!B:B, Metadata!B228) = 1,NOT(ISERROR(SUMPRODUCT(SEARCH(MID(Metadata!B228,ROW(INDIRECT("1:"&amp;LEN(Metadata!B228))), 1),"0123456789abcdefghijklmnopqrstuvwxyzABCDEFGHIJKLMNOPQRSTUVWXYZ.")))))</f>
        <v>0</v>
      </c>
      <c r="AD228">
        <f>AND(IF(Metadata!C228="",FALSE,TRUE),exact(Metadata!C228,"Host-associated"))</f>
        <v>0</v>
      </c>
      <c r="AE228">
        <f>AND(IF(Metadata!D228="",FALSE,TRUE),OR(exact(Metadata!D228,"Animal"),exact(Metadata!D228,"Fungus"),exact(Metadata!D228,"Plant")))</f>
        <v>0</v>
      </c>
      <c r="AF228">
        <f>AND(IF(Metadata!E228="",FALSE,TRUE),OR(exact(Metadata!E228,"Plant secretion"),exact(Metadata!E228,"Plant rhizosphere"),exact(Metadata!E228,"Plant surface"),exact(Metadata!E228,"Plant corpus"),exact(Metadata!E228,"Fungus surface"),exact(Metadata!E228,"Fungus corpus"),exact(Metadata!E228,"Animal surface"),exact(Metadata!E228,"Animal proximal gut"),exact(Metadata!E228,"Animal corpus"),exact(Metadata!E228,"Animal distal gut"),exact(Metadata!E228,"Animal secretion")))</f>
        <v>0</v>
      </c>
      <c r="AG228">
        <f>OR(AND(IF(Metadata!F228="",FALSE,TRUE),OR(exact(Metadata!F228,"not collected"),exact(Metadata!F228,"not provided"),exact(Metadata!F228,"restricted access"))),AND(IF(Metadata!F228="",FALSE,TRUE),OR(exact(Metadata!F228,"organism-associated habitat"),exact(Metadata!F228,"plant-associated habitat"),exact(Metadata!F228,"animal-associated habitat"),exact(Metadata!F228,"insecta-associated habitat"),exact(Metadata!F228,"mammalia-associated habitat"),exact(Metadata!F228,"human-associated habitat"),exact(Metadata!F228,"livestock-associated habitat"))))</f>
        <v>0</v>
      </c>
      <c r="AH228">
        <f>AND(IF(Metadata!G228="",FALSE,TRUE),exact(Metadata!G228,"host-associated"))</f>
        <v>0</v>
      </c>
      <c r="AI228">
        <f>OR(AND(IF(Metadata!H228="",FALSE,TRUE),OR(exact(Metadata!H228,"not collected"),exact(Metadata!H228,"not provided"))),AND(IF(Metadata!H228="",FALSE,ISNUMBER(VALUE(Metadata!H228))),Metadata!H228&gt;0))</f>
        <v>0</v>
      </c>
      <c r="AJ228">
        <f>AND(IF(Metadata!I228="",FALSE,TRUE),exact(Metadata!I228,"years"))</f>
        <v>0</v>
      </c>
      <c r="AK228">
        <f>IF(Metadata!J228="",FALSE,TRUE)</f>
        <v>0</v>
      </c>
      <c r="AL228">
        <f>OR(AND(IF(Metadata!K228="",FALSE,TRUE),OR(exact(Metadata!K228,"not collected"),exact(Metadata!K228,"not provided"))),AND(IF(Metadata!K228="",FALSE,ISNUMBER(VALUE(Metadata!K228))),Metadata!K228&gt;0))</f>
        <v>0</v>
      </c>
      <c r="AM228">
        <f>AND(IF(Metadata!L228="",FALSE,TRUE),exact(Metadata!L228,"cm"))</f>
        <v>0</v>
      </c>
      <c r="AN228">
        <f>IF(Metadata!M228="",FALSE,TRUE)</f>
        <v>0</v>
      </c>
      <c r="AO228">
        <f>OR(AND(IF(Metadata!N228="",FALSE,TRUE),OR(exact(Metadata!N228,"not applicable"),exact(Metadata!N228,"not collected"),exact(Metadata!N228,"not provided"))),AND(IF(Metadata!N228="",FALSE,IF(ISERROR(INT(Metadata!N228)),FALSE,INT(Metadata!N228)=Metadata!N228)),Metadata!N228&gt;0))</f>
        <v>0</v>
      </c>
      <c r="AP228">
        <f>OR(AND(IF(Metadata!O228="",FALSE,TRUE),OR(exact(Metadata!O228,"not collected"),exact(Metadata!O228,"not provided"))),AND(IF(Metadata!O228="",FALSE,ISNUMBER(VALUE(Metadata!O228))),Metadata!O228&gt;0))</f>
        <v>0</v>
      </c>
      <c r="AQ228">
        <f>AND(IF(Metadata!P228="",FALSE,TRUE),exact(Metadata!P228,"kg"))</f>
        <v>0</v>
      </c>
      <c r="AR228">
        <f>OR(AND(IF(Metadata!Q228="",FALSE,TRUE),OR(exact(Metadata!Q228,"not applicable"),exact(Metadata!Q228,"not collected"),exact(Metadata!Q228,"not provided"),exact(Metadata!Q228,"restricted access"))),IF(Metadata!Q228="",FALSE,IF(ISERROR(INT(Metadata!Q228)),FALSE,INT(Metadata!Q228)=Metadata!Q228)))</f>
        <v>0</v>
      </c>
      <c r="AS228">
        <f>AND(IF(Metadata!R228="",FALSE,TRUE),exact(Metadata!R228,"Not applicable"))</f>
        <v>0</v>
      </c>
    </row>
    <row r="229" spans="1:45">
      <c r="A229" s="4">
        <f>IF(B229=" "," ",HYPERLINK(CONCATENATE("#metadata!",ADDRESS(INDEX($X$2:$X$1001,MATCH(ROWS($V$2:V229),$V$2:$V$1001,0),0),2)),INDEX($AA$2:$AA$1001,MATCH(ROWS($V$2:V229),$V$2:$V$1001,0),0)))</f>
        <v>0</v>
      </c>
      <c r="B229" s="5">
        <f>IF(OR(INDEX($W$2:$W$1001,MATCH(ROWS($V$2:V229),$V$2:$V$1001,0),1)&gt;=100000,INDEX($AC$1005:$AS$1005,1,MATCH(COLUMNS($AC$1006:AC1006),$AC$1006:$AS$1006,0))&gt;=100000), " ",IF(INDEX($AC$2:$AS$1001,MATCH(ROWS($V$2:V229),$V$2:$V$1001,0),MATCH(COLUMNS($AC$1006:AC1006),$AC$1006:$AS$1006,0)), HYPERLINK("#",""), HYPERLINK(CONCATENATE("#Metadata!", ADDRESS(INDEX($X$2:$X$1001,MATCH(ROWS($V$2:V229),$V$2:$V$1001,0),0), INDEX($AC$1004:$AS$1004,1,MATCH(COLUMNS($AC$1006:AC1006),$AC$1006:$AS$1006,0)))),"Fix")))</f>
        <v>0</v>
      </c>
      <c r="C229" s="5">
        <f>IF(OR(INDEX($W$2:$W$1001,MATCH(ROWS($V$2:V229),$V$2:$V$1001,0),1)&gt;=100000,INDEX($AC$1005:$AS$1005,1,MATCH(COLUMNS($AC$1006:AD1006),$AC$1006:$AS$1006,0))&gt;=100000), " ",IF(INDEX($AC$2:$AS$1001,MATCH(ROWS($V$2:V229),$V$2:$V$1001,0),MATCH(COLUMNS($AC$1006:AD1006),$AC$1006:$AS$1006,0)), HYPERLINK("#",""), HYPERLINK(CONCATENATE("#Metadata!", ADDRESS(INDEX($X$2:$X$1001,MATCH(ROWS($V$2:V229),$V$2:$V$1001,0),0), INDEX($AC$1004:$AS$1004,1,MATCH(COLUMNS($AC$1006:AD1006),$AC$1006:$AS$1006,0)))),"Fix")))</f>
        <v>0</v>
      </c>
      <c r="D229" s="5">
        <f>IF(OR(INDEX($W$2:$W$1001,MATCH(ROWS($V$2:V229),$V$2:$V$1001,0),1)&gt;=100000,INDEX($AC$1005:$AS$1005,1,MATCH(COLUMNS($AC$1006:AE1006),$AC$1006:$AS$1006,0))&gt;=100000), " ",IF(INDEX($AC$2:$AS$1001,MATCH(ROWS($V$2:V229),$V$2:$V$1001,0),MATCH(COLUMNS($AC$1006:AE1006),$AC$1006:$AS$1006,0)), HYPERLINK("#",""), HYPERLINK(CONCATENATE("#Metadata!", ADDRESS(INDEX($X$2:$X$1001,MATCH(ROWS($V$2:V229),$V$2:$V$1001,0),0), INDEX($AC$1004:$AS$1004,1,MATCH(COLUMNS($AC$1006:AE1006),$AC$1006:$AS$1006,0)))),"Fix")))</f>
        <v>0</v>
      </c>
      <c r="E229" s="5">
        <f>IF(OR(INDEX($W$2:$W$1001,MATCH(ROWS($V$2:V229),$V$2:$V$1001,0),1)&gt;=100000,INDEX($AC$1005:$AS$1005,1,MATCH(COLUMNS($AC$1006:AF1006),$AC$1006:$AS$1006,0))&gt;=100000), " ",IF(INDEX($AC$2:$AS$1001,MATCH(ROWS($V$2:V229),$V$2:$V$1001,0),MATCH(COLUMNS($AC$1006:AF1006),$AC$1006:$AS$1006,0)), HYPERLINK("#",""), HYPERLINK(CONCATENATE("#Metadata!", ADDRESS(INDEX($X$2:$X$1001,MATCH(ROWS($V$2:V229),$V$2:$V$1001,0),0), INDEX($AC$1004:$AS$1004,1,MATCH(COLUMNS($AC$1006:AF1006),$AC$1006:$AS$1006,0)))),"Fix")))</f>
        <v>0</v>
      </c>
      <c r="F229" s="5">
        <f>IF(OR(INDEX($W$2:$W$1001,MATCH(ROWS($V$2:V229),$V$2:$V$1001,0),1)&gt;=100000,INDEX($AC$1005:$AS$1005,1,MATCH(COLUMNS($AC$1006:AG1006),$AC$1006:$AS$1006,0))&gt;=100000), " ",IF(INDEX($AC$2:$AS$1001,MATCH(ROWS($V$2:V229),$V$2:$V$1001,0),MATCH(COLUMNS($AC$1006:AG1006),$AC$1006:$AS$1006,0)), HYPERLINK("#",""), HYPERLINK(CONCATENATE("#Metadata!", ADDRESS(INDEX($X$2:$X$1001,MATCH(ROWS($V$2:V229),$V$2:$V$1001,0),0), INDEX($AC$1004:$AS$1004,1,MATCH(COLUMNS($AC$1006:AG1006),$AC$1006:$AS$1006,0)))),"Fix")))</f>
        <v>0</v>
      </c>
      <c r="G229" s="5">
        <f>IF(OR(INDEX($W$2:$W$1001,MATCH(ROWS($V$2:V229),$V$2:$V$1001,0),1)&gt;=100000,INDEX($AC$1005:$AS$1005,1,MATCH(COLUMNS($AC$1006:AH1006),$AC$1006:$AS$1006,0))&gt;=100000), " ",IF(INDEX($AC$2:$AS$1001,MATCH(ROWS($V$2:V229),$V$2:$V$1001,0),MATCH(COLUMNS($AC$1006:AH1006),$AC$1006:$AS$1006,0)), HYPERLINK("#",""), HYPERLINK(CONCATENATE("#Metadata!", ADDRESS(INDEX($X$2:$X$1001,MATCH(ROWS($V$2:V229),$V$2:$V$1001,0),0), INDEX($AC$1004:$AS$1004,1,MATCH(COLUMNS($AC$1006:AH1006),$AC$1006:$AS$1006,0)))),"Fix")))</f>
        <v>0</v>
      </c>
      <c r="H229" s="5">
        <f>IF(OR(INDEX($W$2:$W$1001,MATCH(ROWS($V$2:V229),$V$2:$V$1001,0),1)&gt;=100000,INDEX($AC$1005:$AS$1005,1,MATCH(COLUMNS($AC$1006:AI1006),$AC$1006:$AS$1006,0))&gt;=100000), " ",IF(INDEX($AC$2:$AS$1001,MATCH(ROWS($V$2:V229),$V$2:$V$1001,0),MATCH(COLUMNS($AC$1006:AI1006),$AC$1006:$AS$1006,0)), HYPERLINK("#",""), HYPERLINK(CONCATENATE("#Metadata!", ADDRESS(INDEX($X$2:$X$1001,MATCH(ROWS($V$2:V229),$V$2:$V$1001,0),0), INDEX($AC$1004:$AS$1004,1,MATCH(COLUMNS($AC$1006:AI1006),$AC$1006:$AS$1006,0)))),"Fix")))</f>
        <v>0</v>
      </c>
      <c r="I229" s="5">
        <f>IF(OR(INDEX($W$2:$W$1001,MATCH(ROWS($V$2:V229),$V$2:$V$1001,0),1)&gt;=100000,INDEX($AC$1005:$AS$1005,1,MATCH(COLUMNS($AC$1006:AJ1006),$AC$1006:$AS$1006,0))&gt;=100000), " ",IF(INDEX($AC$2:$AS$1001,MATCH(ROWS($V$2:V229),$V$2:$V$1001,0),MATCH(COLUMNS($AC$1006:AJ1006),$AC$1006:$AS$1006,0)), HYPERLINK("#",""), HYPERLINK(CONCATENATE("#Metadata!", ADDRESS(INDEX($X$2:$X$1001,MATCH(ROWS($V$2:V229),$V$2:$V$1001,0),0), INDEX($AC$1004:$AS$1004,1,MATCH(COLUMNS($AC$1006:AJ1006),$AC$1006:$AS$1006,0)))),"Fix")))</f>
        <v>0</v>
      </c>
      <c r="J229" s="5">
        <f>IF(OR(INDEX($W$2:$W$1001,MATCH(ROWS($V$2:V229),$V$2:$V$1001,0),1)&gt;=100000,INDEX($AC$1005:$AS$1005,1,MATCH(COLUMNS($AC$1006:AK1006),$AC$1006:$AS$1006,0))&gt;=100000), " ",IF(INDEX($AC$2:$AS$1001,MATCH(ROWS($V$2:V229),$V$2:$V$1001,0),MATCH(COLUMNS($AC$1006:AK1006),$AC$1006:$AS$1006,0)), HYPERLINK("#",""), HYPERLINK(CONCATENATE("#Metadata!", ADDRESS(INDEX($X$2:$X$1001,MATCH(ROWS($V$2:V229),$V$2:$V$1001,0),0), INDEX($AC$1004:$AS$1004,1,MATCH(COLUMNS($AC$1006:AK1006),$AC$1006:$AS$1006,0)))),"Fix")))</f>
        <v>0</v>
      </c>
      <c r="K229" s="5">
        <f>IF(OR(INDEX($W$2:$W$1001,MATCH(ROWS($V$2:V229),$V$2:$V$1001,0),1)&gt;=100000,INDEX($AC$1005:$AS$1005,1,MATCH(COLUMNS($AC$1006:AL1006),$AC$1006:$AS$1006,0))&gt;=100000), " ",IF(INDEX($AC$2:$AS$1001,MATCH(ROWS($V$2:V229),$V$2:$V$1001,0),MATCH(COLUMNS($AC$1006:AL1006),$AC$1006:$AS$1006,0)), HYPERLINK("#",""), HYPERLINK(CONCATENATE("#Metadata!", ADDRESS(INDEX($X$2:$X$1001,MATCH(ROWS($V$2:V229),$V$2:$V$1001,0),0), INDEX($AC$1004:$AS$1004,1,MATCH(COLUMNS($AC$1006:AL1006),$AC$1006:$AS$1006,0)))),"Fix")))</f>
        <v>0</v>
      </c>
      <c r="L229" s="5">
        <f>IF(OR(INDEX($W$2:$W$1001,MATCH(ROWS($V$2:V229),$V$2:$V$1001,0),1)&gt;=100000,INDEX($AC$1005:$AS$1005,1,MATCH(COLUMNS($AC$1006:AM1006),$AC$1006:$AS$1006,0))&gt;=100000), " ",IF(INDEX($AC$2:$AS$1001,MATCH(ROWS($V$2:V229),$V$2:$V$1001,0),MATCH(COLUMNS($AC$1006:AM1006),$AC$1006:$AS$1006,0)), HYPERLINK("#",""), HYPERLINK(CONCATENATE("#Metadata!", ADDRESS(INDEX($X$2:$X$1001,MATCH(ROWS($V$2:V229),$V$2:$V$1001,0),0), INDEX($AC$1004:$AS$1004,1,MATCH(COLUMNS($AC$1006:AM1006),$AC$1006:$AS$1006,0)))),"Fix")))</f>
        <v>0</v>
      </c>
      <c r="M229" s="5">
        <f>IF(OR(INDEX($W$2:$W$1001,MATCH(ROWS($V$2:V229),$V$2:$V$1001,0),1)&gt;=100000,INDEX($AC$1005:$AS$1005,1,MATCH(COLUMNS($AC$1006:AN1006),$AC$1006:$AS$1006,0))&gt;=100000), " ",IF(INDEX($AC$2:$AS$1001,MATCH(ROWS($V$2:V229),$V$2:$V$1001,0),MATCH(COLUMNS($AC$1006:AN1006),$AC$1006:$AS$1006,0)), HYPERLINK("#",""), HYPERLINK(CONCATENATE("#Metadata!", ADDRESS(INDEX($X$2:$X$1001,MATCH(ROWS($V$2:V229),$V$2:$V$1001,0),0), INDEX($AC$1004:$AS$1004,1,MATCH(COLUMNS($AC$1006:AN1006),$AC$1006:$AS$1006,0)))),"Fix")))</f>
        <v>0</v>
      </c>
      <c r="N229" s="5">
        <f>IF(OR(INDEX($W$2:$W$1001,MATCH(ROWS($V$2:V229),$V$2:$V$1001,0),1)&gt;=100000,INDEX($AC$1005:$AS$1005,1,MATCH(COLUMNS($AC$1006:AO1006),$AC$1006:$AS$1006,0))&gt;=100000), " ",IF(INDEX($AC$2:$AS$1001,MATCH(ROWS($V$2:V229),$V$2:$V$1001,0),MATCH(COLUMNS($AC$1006:AO1006),$AC$1006:$AS$1006,0)), HYPERLINK("#",""), HYPERLINK(CONCATENATE("#Metadata!", ADDRESS(INDEX($X$2:$X$1001,MATCH(ROWS($V$2:V229),$V$2:$V$1001,0),0), INDEX($AC$1004:$AS$1004,1,MATCH(COLUMNS($AC$1006:AO1006),$AC$1006:$AS$1006,0)))),"Fix")))</f>
        <v>0</v>
      </c>
      <c r="O229" s="5">
        <f>IF(OR(INDEX($W$2:$W$1001,MATCH(ROWS($V$2:V229),$V$2:$V$1001,0),1)&gt;=100000,INDEX($AC$1005:$AS$1005,1,MATCH(COLUMNS($AC$1006:AP1006),$AC$1006:$AS$1006,0))&gt;=100000), " ",IF(INDEX($AC$2:$AS$1001,MATCH(ROWS($V$2:V229),$V$2:$V$1001,0),MATCH(COLUMNS($AC$1006:AP1006),$AC$1006:$AS$1006,0)), HYPERLINK("#",""), HYPERLINK(CONCATENATE("#Metadata!", ADDRESS(INDEX($X$2:$X$1001,MATCH(ROWS($V$2:V229),$V$2:$V$1001,0),0), INDEX($AC$1004:$AS$1004,1,MATCH(COLUMNS($AC$1006:AP1006),$AC$1006:$AS$1006,0)))),"Fix")))</f>
        <v>0</v>
      </c>
      <c r="P229" s="5">
        <f>IF(OR(INDEX($W$2:$W$1001,MATCH(ROWS($V$2:V229),$V$2:$V$1001,0),1)&gt;=100000,INDEX($AC$1005:$AS$1005,1,MATCH(COLUMNS($AC$1006:AQ1006),$AC$1006:$AS$1006,0))&gt;=100000), " ",IF(INDEX($AC$2:$AS$1001,MATCH(ROWS($V$2:V229),$V$2:$V$1001,0),MATCH(COLUMNS($AC$1006:AQ1006),$AC$1006:$AS$1006,0)), HYPERLINK("#",""), HYPERLINK(CONCATENATE("#Metadata!", ADDRESS(INDEX($X$2:$X$1001,MATCH(ROWS($V$2:V229),$V$2:$V$1001,0),0), INDEX($AC$1004:$AS$1004,1,MATCH(COLUMNS($AC$1006:AQ1006),$AC$1006:$AS$1006,0)))),"Fix")))</f>
        <v>0</v>
      </c>
      <c r="Q229" s="5">
        <f>IF(OR(INDEX($W$2:$W$1001,MATCH(ROWS($V$2:V229),$V$2:$V$1001,0),1)&gt;=100000,INDEX($AC$1005:$AS$1005,1,MATCH(COLUMNS($AC$1006:AR1006),$AC$1006:$AS$1006,0))&gt;=100000), " ",IF(INDEX($AC$2:$AS$1001,MATCH(ROWS($V$2:V229),$V$2:$V$1001,0),MATCH(COLUMNS($AC$1006:AR1006),$AC$1006:$AS$1006,0)), HYPERLINK("#",""), HYPERLINK(CONCATENATE("#Metadata!", ADDRESS(INDEX($X$2:$X$1001,MATCH(ROWS($V$2:V229),$V$2:$V$1001,0),0), INDEX($AC$1004:$AS$1004,1,MATCH(COLUMNS($AC$1006:AR1006),$AC$1006:$AS$1006,0)))),"Fix")))</f>
        <v>0</v>
      </c>
      <c r="R229" s="5">
        <f>IF(OR(INDEX($W$2:$W$1001,MATCH(ROWS($V$2:V229),$V$2:$V$1001,0),1)&gt;=100000,INDEX($AC$1005:$AS$1005,1,MATCH(COLUMNS($AC$1006:AS1006),$AC$1006:$AS$1006,0))&gt;=100000), " ",IF(INDEX($AC$2:$AS$1001,MATCH(ROWS($V$2:V229),$V$2:$V$1001,0),MATCH(COLUMNS($AC$1006:AS1006),$AC$1006:$AS$1006,0)), HYPERLINK("#",""), HYPERLINK(CONCATENATE("#Metadata!", ADDRESS(INDEX($X$2:$X$1001,MATCH(ROWS($V$2:V229),$V$2:$V$1001,0),0), INDEX($AC$1004:$AS$1004,1,MATCH(COLUMNS($AC$1006:AS1006),$AC$1006:$AS$1006,0)))),"Fix")))</f>
        <v>0</v>
      </c>
      <c r="V229">
        <v>0</v>
      </c>
      <c r="W229">
        <v>0</v>
      </c>
      <c r="X229">
        <v>0</v>
      </c>
      <c r="Y229">
        <f>IF(Z229,TRUE,AND(AC229:AS229))</f>
        <v>0</v>
      </c>
      <c r="Z229">
        <f>COUNTBLANK(Metadata!B229:R229)=COLUMNS(Metadata!B229:R229)</f>
        <v>0</v>
      </c>
      <c r="AA229">
        <v>0</v>
      </c>
      <c r="AC229">
        <f>AND(IF(Metadata!B229="",FALSE,TRUE),COUNTIF(Metadata!B:B, Metadata!B229) = 1,NOT(ISERROR(SUMPRODUCT(SEARCH(MID(Metadata!B229,ROW(INDIRECT("1:"&amp;LEN(Metadata!B229))), 1),"0123456789abcdefghijklmnopqrstuvwxyzABCDEFGHIJKLMNOPQRSTUVWXYZ.")))))</f>
        <v>0</v>
      </c>
      <c r="AD229">
        <f>AND(IF(Metadata!C229="",FALSE,TRUE),exact(Metadata!C229,"Host-associated"))</f>
        <v>0</v>
      </c>
      <c r="AE229">
        <f>AND(IF(Metadata!D229="",FALSE,TRUE),OR(exact(Metadata!D229,"Animal"),exact(Metadata!D229,"Fungus"),exact(Metadata!D229,"Plant")))</f>
        <v>0</v>
      </c>
      <c r="AF229">
        <f>AND(IF(Metadata!E229="",FALSE,TRUE),OR(exact(Metadata!E229,"Plant secretion"),exact(Metadata!E229,"Plant rhizosphere"),exact(Metadata!E229,"Plant surface"),exact(Metadata!E229,"Plant corpus"),exact(Metadata!E229,"Fungus surface"),exact(Metadata!E229,"Fungus corpus"),exact(Metadata!E229,"Animal surface"),exact(Metadata!E229,"Animal proximal gut"),exact(Metadata!E229,"Animal corpus"),exact(Metadata!E229,"Animal distal gut"),exact(Metadata!E229,"Animal secretion")))</f>
        <v>0</v>
      </c>
      <c r="AG229">
        <f>OR(AND(IF(Metadata!F229="",FALSE,TRUE),OR(exact(Metadata!F229,"not collected"),exact(Metadata!F229,"not provided"),exact(Metadata!F229,"restricted access"))),AND(IF(Metadata!F229="",FALSE,TRUE),OR(exact(Metadata!F229,"organism-associated habitat"),exact(Metadata!F229,"plant-associated habitat"),exact(Metadata!F229,"animal-associated habitat"),exact(Metadata!F229,"insecta-associated habitat"),exact(Metadata!F229,"mammalia-associated habitat"),exact(Metadata!F229,"human-associated habitat"),exact(Metadata!F229,"livestock-associated habitat"))))</f>
        <v>0</v>
      </c>
      <c r="AH229">
        <f>AND(IF(Metadata!G229="",FALSE,TRUE),exact(Metadata!G229,"host-associated"))</f>
        <v>0</v>
      </c>
      <c r="AI229">
        <f>OR(AND(IF(Metadata!H229="",FALSE,TRUE),OR(exact(Metadata!H229,"not collected"),exact(Metadata!H229,"not provided"))),AND(IF(Metadata!H229="",FALSE,ISNUMBER(VALUE(Metadata!H229))),Metadata!H229&gt;0))</f>
        <v>0</v>
      </c>
      <c r="AJ229">
        <f>AND(IF(Metadata!I229="",FALSE,TRUE),exact(Metadata!I229,"years"))</f>
        <v>0</v>
      </c>
      <c r="AK229">
        <f>IF(Metadata!J229="",FALSE,TRUE)</f>
        <v>0</v>
      </c>
      <c r="AL229">
        <f>OR(AND(IF(Metadata!K229="",FALSE,TRUE),OR(exact(Metadata!K229,"not collected"),exact(Metadata!K229,"not provided"))),AND(IF(Metadata!K229="",FALSE,ISNUMBER(VALUE(Metadata!K229))),Metadata!K229&gt;0))</f>
        <v>0</v>
      </c>
      <c r="AM229">
        <f>AND(IF(Metadata!L229="",FALSE,TRUE),exact(Metadata!L229,"cm"))</f>
        <v>0</v>
      </c>
      <c r="AN229">
        <f>IF(Metadata!M229="",FALSE,TRUE)</f>
        <v>0</v>
      </c>
      <c r="AO229">
        <f>OR(AND(IF(Metadata!N229="",FALSE,TRUE),OR(exact(Metadata!N229,"not applicable"),exact(Metadata!N229,"not collected"),exact(Metadata!N229,"not provided"))),AND(IF(Metadata!N229="",FALSE,IF(ISERROR(INT(Metadata!N229)),FALSE,INT(Metadata!N229)=Metadata!N229)),Metadata!N229&gt;0))</f>
        <v>0</v>
      </c>
      <c r="AP229">
        <f>OR(AND(IF(Metadata!O229="",FALSE,TRUE),OR(exact(Metadata!O229,"not collected"),exact(Metadata!O229,"not provided"))),AND(IF(Metadata!O229="",FALSE,ISNUMBER(VALUE(Metadata!O229))),Metadata!O229&gt;0))</f>
        <v>0</v>
      </c>
      <c r="AQ229">
        <f>AND(IF(Metadata!P229="",FALSE,TRUE),exact(Metadata!P229,"kg"))</f>
        <v>0</v>
      </c>
      <c r="AR229">
        <f>OR(AND(IF(Metadata!Q229="",FALSE,TRUE),OR(exact(Metadata!Q229,"not applicable"),exact(Metadata!Q229,"not collected"),exact(Metadata!Q229,"not provided"),exact(Metadata!Q229,"restricted access"))),IF(Metadata!Q229="",FALSE,IF(ISERROR(INT(Metadata!Q229)),FALSE,INT(Metadata!Q229)=Metadata!Q229)))</f>
        <v>0</v>
      </c>
      <c r="AS229">
        <f>AND(IF(Metadata!R229="",FALSE,TRUE),exact(Metadata!R229,"Not applicable"))</f>
        <v>0</v>
      </c>
    </row>
    <row r="230" spans="1:45">
      <c r="A230" s="4">
        <f>IF(B230=" "," ",HYPERLINK(CONCATENATE("#metadata!",ADDRESS(INDEX($X$2:$X$1001,MATCH(ROWS($V$2:V230),$V$2:$V$1001,0),0),2)),INDEX($AA$2:$AA$1001,MATCH(ROWS($V$2:V230),$V$2:$V$1001,0),0)))</f>
        <v>0</v>
      </c>
      <c r="B230" s="5">
        <f>IF(OR(INDEX($W$2:$W$1001,MATCH(ROWS($V$2:V230),$V$2:$V$1001,0),1)&gt;=100000,INDEX($AC$1005:$AS$1005,1,MATCH(COLUMNS($AC$1006:AC1006),$AC$1006:$AS$1006,0))&gt;=100000), " ",IF(INDEX($AC$2:$AS$1001,MATCH(ROWS($V$2:V230),$V$2:$V$1001,0),MATCH(COLUMNS($AC$1006:AC1006),$AC$1006:$AS$1006,0)), HYPERLINK("#",""), HYPERLINK(CONCATENATE("#Metadata!", ADDRESS(INDEX($X$2:$X$1001,MATCH(ROWS($V$2:V230),$V$2:$V$1001,0),0), INDEX($AC$1004:$AS$1004,1,MATCH(COLUMNS($AC$1006:AC1006),$AC$1006:$AS$1006,0)))),"Fix")))</f>
        <v>0</v>
      </c>
      <c r="C230" s="5">
        <f>IF(OR(INDEX($W$2:$W$1001,MATCH(ROWS($V$2:V230),$V$2:$V$1001,0),1)&gt;=100000,INDEX($AC$1005:$AS$1005,1,MATCH(COLUMNS($AC$1006:AD1006),$AC$1006:$AS$1006,0))&gt;=100000), " ",IF(INDEX($AC$2:$AS$1001,MATCH(ROWS($V$2:V230),$V$2:$V$1001,0),MATCH(COLUMNS($AC$1006:AD1006),$AC$1006:$AS$1006,0)), HYPERLINK("#",""), HYPERLINK(CONCATENATE("#Metadata!", ADDRESS(INDEX($X$2:$X$1001,MATCH(ROWS($V$2:V230),$V$2:$V$1001,0),0), INDEX($AC$1004:$AS$1004,1,MATCH(COLUMNS($AC$1006:AD1006),$AC$1006:$AS$1006,0)))),"Fix")))</f>
        <v>0</v>
      </c>
      <c r="D230" s="5">
        <f>IF(OR(INDEX($W$2:$W$1001,MATCH(ROWS($V$2:V230),$V$2:$V$1001,0),1)&gt;=100000,INDEX($AC$1005:$AS$1005,1,MATCH(COLUMNS($AC$1006:AE1006),$AC$1006:$AS$1006,0))&gt;=100000), " ",IF(INDEX($AC$2:$AS$1001,MATCH(ROWS($V$2:V230),$V$2:$V$1001,0),MATCH(COLUMNS($AC$1006:AE1006),$AC$1006:$AS$1006,0)), HYPERLINK("#",""), HYPERLINK(CONCATENATE("#Metadata!", ADDRESS(INDEX($X$2:$X$1001,MATCH(ROWS($V$2:V230),$V$2:$V$1001,0),0), INDEX($AC$1004:$AS$1004,1,MATCH(COLUMNS($AC$1006:AE1006),$AC$1006:$AS$1006,0)))),"Fix")))</f>
        <v>0</v>
      </c>
      <c r="E230" s="5">
        <f>IF(OR(INDEX($W$2:$W$1001,MATCH(ROWS($V$2:V230),$V$2:$V$1001,0),1)&gt;=100000,INDEX($AC$1005:$AS$1005,1,MATCH(COLUMNS($AC$1006:AF1006),$AC$1006:$AS$1006,0))&gt;=100000), " ",IF(INDEX($AC$2:$AS$1001,MATCH(ROWS($V$2:V230),$V$2:$V$1001,0),MATCH(COLUMNS($AC$1006:AF1006),$AC$1006:$AS$1006,0)), HYPERLINK("#",""), HYPERLINK(CONCATENATE("#Metadata!", ADDRESS(INDEX($X$2:$X$1001,MATCH(ROWS($V$2:V230),$V$2:$V$1001,0),0), INDEX($AC$1004:$AS$1004,1,MATCH(COLUMNS($AC$1006:AF1006),$AC$1006:$AS$1006,0)))),"Fix")))</f>
        <v>0</v>
      </c>
      <c r="F230" s="5">
        <f>IF(OR(INDEX($W$2:$W$1001,MATCH(ROWS($V$2:V230),$V$2:$V$1001,0),1)&gt;=100000,INDEX($AC$1005:$AS$1005,1,MATCH(COLUMNS($AC$1006:AG1006),$AC$1006:$AS$1006,0))&gt;=100000), " ",IF(INDEX($AC$2:$AS$1001,MATCH(ROWS($V$2:V230),$V$2:$V$1001,0),MATCH(COLUMNS($AC$1006:AG1006),$AC$1006:$AS$1006,0)), HYPERLINK("#",""), HYPERLINK(CONCATENATE("#Metadata!", ADDRESS(INDEX($X$2:$X$1001,MATCH(ROWS($V$2:V230),$V$2:$V$1001,0),0), INDEX($AC$1004:$AS$1004,1,MATCH(COLUMNS($AC$1006:AG1006),$AC$1006:$AS$1006,0)))),"Fix")))</f>
        <v>0</v>
      </c>
      <c r="G230" s="5">
        <f>IF(OR(INDEX($W$2:$W$1001,MATCH(ROWS($V$2:V230),$V$2:$V$1001,0),1)&gt;=100000,INDEX($AC$1005:$AS$1005,1,MATCH(COLUMNS($AC$1006:AH1006),$AC$1006:$AS$1006,0))&gt;=100000), " ",IF(INDEX($AC$2:$AS$1001,MATCH(ROWS($V$2:V230),$V$2:$V$1001,0),MATCH(COLUMNS($AC$1006:AH1006),$AC$1006:$AS$1006,0)), HYPERLINK("#",""), HYPERLINK(CONCATENATE("#Metadata!", ADDRESS(INDEX($X$2:$X$1001,MATCH(ROWS($V$2:V230),$V$2:$V$1001,0),0), INDEX($AC$1004:$AS$1004,1,MATCH(COLUMNS($AC$1006:AH1006),$AC$1006:$AS$1006,0)))),"Fix")))</f>
        <v>0</v>
      </c>
      <c r="H230" s="5">
        <f>IF(OR(INDEX($W$2:$W$1001,MATCH(ROWS($V$2:V230),$V$2:$V$1001,0),1)&gt;=100000,INDEX($AC$1005:$AS$1005,1,MATCH(COLUMNS($AC$1006:AI1006),$AC$1006:$AS$1006,0))&gt;=100000), " ",IF(INDEX($AC$2:$AS$1001,MATCH(ROWS($V$2:V230),$V$2:$V$1001,0),MATCH(COLUMNS($AC$1006:AI1006),$AC$1006:$AS$1006,0)), HYPERLINK("#",""), HYPERLINK(CONCATENATE("#Metadata!", ADDRESS(INDEX($X$2:$X$1001,MATCH(ROWS($V$2:V230),$V$2:$V$1001,0),0), INDEX($AC$1004:$AS$1004,1,MATCH(COLUMNS($AC$1006:AI1006),$AC$1006:$AS$1006,0)))),"Fix")))</f>
        <v>0</v>
      </c>
      <c r="I230" s="5">
        <f>IF(OR(INDEX($W$2:$W$1001,MATCH(ROWS($V$2:V230),$V$2:$V$1001,0),1)&gt;=100000,INDEX($AC$1005:$AS$1005,1,MATCH(COLUMNS($AC$1006:AJ1006),$AC$1006:$AS$1006,0))&gt;=100000), " ",IF(INDEX($AC$2:$AS$1001,MATCH(ROWS($V$2:V230),$V$2:$V$1001,0),MATCH(COLUMNS($AC$1006:AJ1006),$AC$1006:$AS$1006,0)), HYPERLINK("#",""), HYPERLINK(CONCATENATE("#Metadata!", ADDRESS(INDEX($X$2:$X$1001,MATCH(ROWS($V$2:V230),$V$2:$V$1001,0),0), INDEX($AC$1004:$AS$1004,1,MATCH(COLUMNS($AC$1006:AJ1006),$AC$1006:$AS$1006,0)))),"Fix")))</f>
        <v>0</v>
      </c>
      <c r="J230" s="5">
        <f>IF(OR(INDEX($W$2:$W$1001,MATCH(ROWS($V$2:V230),$V$2:$V$1001,0),1)&gt;=100000,INDEX($AC$1005:$AS$1005,1,MATCH(COLUMNS($AC$1006:AK1006),$AC$1006:$AS$1006,0))&gt;=100000), " ",IF(INDEX($AC$2:$AS$1001,MATCH(ROWS($V$2:V230),$V$2:$V$1001,0),MATCH(COLUMNS($AC$1006:AK1006),$AC$1006:$AS$1006,0)), HYPERLINK("#",""), HYPERLINK(CONCATENATE("#Metadata!", ADDRESS(INDEX($X$2:$X$1001,MATCH(ROWS($V$2:V230),$V$2:$V$1001,0),0), INDEX($AC$1004:$AS$1004,1,MATCH(COLUMNS($AC$1006:AK1006),$AC$1006:$AS$1006,0)))),"Fix")))</f>
        <v>0</v>
      </c>
      <c r="K230" s="5">
        <f>IF(OR(INDEX($W$2:$W$1001,MATCH(ROWS($V$2:V230),$V$2:$V$1001,0),1)&gt;=100000,INDEX($AC$1005:$AS$1005,1,MATCH(COLUMNS($AC$1006:AL1006),$AC$1006:$AS$1006,0))&gt;=100000), " ",IF(INDEX($AC$2:$AS$1001,MATCH(ROWS($V$2:V230),$V$2:$V$1001,0),MATCH(COLUMNS($AC$1006:AL1006),$AC$1006:$AS$1006,0)), HYPERLINK("#",""), HYPERLINK(CONCATENATE("#Metadata!", ADDRESS(INDEX($X$2:$X$1001,MATCH(ROWS($V$2:V230),$V$2:$V$1001,0),0), INDEX($AC$1004:$AS$1004,1,MATCH(COLUMNS($AC$1006:AL1006),$AC$1006:$AS$1006,0)))),"Fix")))</f>
        <v>0</v>
      </c>
      <c r="L230" s="5">
        <f>IF(OR(INDEX($W$2:$W$1001,MATCH(ROWS($V$2:V230),$V$2:$V$1001,0),1)&gt;=100000,INDEX($AC$1005:$AS$1005,1,MATCH(COLUMNS($AC$1006:AM1006),$AC$1006:$AS$1006,0))&gt;=100000), " ",IF(INDEX($AC$2:$AS$1001,MATCH(ROWS($V$2:V230),$V$2:$V$1001,0),MATCH(COLUMNS($AC$1006:AM1006),$AC$1006:$AS$1006,0)), HYPERLINK("#",""), HYPERLINK(CONCATENATE("#Metadata!", ADDRESS(INDEX($X$2:$X$1001,MATCH(ROWS($V$2:V230),$V$2:$V$1001,0),0), INDEX($AC$1004:$AS$1004,1,MATCH(COLUMNS($AC$1006:AM1006),$AC$1006:$AS$1006,0)))),"Fix")))</f>
        <v>0</v>
      </c>
      <c r="M230" s="5">
        <f>IF(OR(INDEX($W$2:$W$1001,MATCH(ROWS($V$2:V230),$V$2:$V$1001,0),1)&gt;=100000,INDEX($AC$1005:$AS$1005,1,MATCH(COLUMNS($AC$1006:AN1006),$AC$1006:$AS$1006,0))&gt;=100000), " ",IF(INDEX($AC$2:$AS$1001,MATCH(ROWS($V$2:V230),$V$2:$V$1001,0),MATCH(COLUMNS($AC$1006:AN1006),$AC$1006:$AS$1006,0)), HYPERLINK("#",""), HYPERLINK(CONCATENATE("#Metadata!", ADDRESS(INDEX($X$2:$X$1001,MATCH(ROWS($V$2:V230),$V$2:$V$1001,0),0), INDEX($AC$1004:$AS$1004,1,MATCH(COLUMNS($AC$1006:AN1006),$AC$1006:$AS$1006,0)))),"Fix")))</f>
        <v>0</v>
      </c>
      <c r="N230" s="5">
        <f>IF(OR(INDEX($W$2:$W$1001,MATCH(ROWS($V$2:V230),$V$2:$V$1001,0),1)&gt;=100000,INDEX($AC$1005:$AS$1005,1,MATCH(COLUMNS($AC$1006:AO1006),$AC$1006:$AS$1006,0))&gt;=100000), " ",IF(INDEX($AC$2:$AS$1001,MATCH(ROWS($V$2:V230),$V$2:$V$1001,0),MATCH(COLUMNS($AC$1006:AO1006),$AC$1006:$AS$1006,0)), HYPERLINK("#",""), HYPERLINK(CONCATENATE("#Metadata!", ADDRESS(INDEX($X$2:$X$1001,MATCH(ROWS($V$2:V230),$V$2:$V$1001,0),0), INDEX($AC$1004:$AS$1004,1,MATCH(COLUMNS($AC$1006:AO1006),$AC$1006:$AS$1006,0)))),"Fix")))</f>
        <v>0</v>
      </c>
      <c r="O230" s="5">
        <f>IF(OR(INDEX($W$2:$W$1001,MATCH(ROWS($V$2:V230),$V$2:$V$1001,0),1)&gt;=100000,INDEX($AC$1005:$AS$1005,1,MATCH(COLUMNS($AC$1006:AP1006),$AC$1006:$AS$1006,0))&gt;=100000), " ",IF(INDEX($AC$2:$AS$1001,MATCH(ROWS($V$2:V230),$V$2:$V$1001,0),MATCH(COLUMNS($AC$1006:AP1006),$AC$1006:$AS$1006,0)), HYPERLINK("#",""), HYPERLINK(CONCATENATE("#Metadata!", ADDRESS(INDEX($X$2:$X$1001,MATCH(ROWS($V$2:V230),$V$2:$V$1001,0),0), INDEX($AC$1004:$AS$1004,1,MATCH(COLUMNS($AC$1006:AP1006),$AC$1006:$AS$1006,0)))),"Fix")))</f>
        <v>0</v>
      </c>
      <c r="P230" s="5">
        <f>IF(OR(INDEX($W$2:$W$1001,MATCH(ROWS($V$2:V230),$V$2:$V$1001,0),1)&gt;=100000,INDEX($AC$1005:$AS$1005,1,MATCH(COLUMNS($AC$1006:AQ1006),$AC$1006:$AS$1006,0))&gt;=100000), " ",IF(INDEX($AC$2:$AS$1001,MATCH(ROWS($V$2:V230),$V$2:$V$1001,0),MATCH(COLUMNS($AC$1006:AQ1006),$AC$1006:$AS$1006,0)), HYPERLINK("#",""), HYPERLINK(CONCATENATE("#Metadata!", ADDRESS(INDEX($X$2:$X$1001,MATCH(ROWS($V$2:V230),$V$2:$V$1001,0),0), INDEX($AC$1004:$AS$1004,1,MATCH(COLUMNS($AC$1006:AQ1006),$AC$1006:$AS$1006,0)))),"Fix")))</f>
        <v>0</v>
      </c>
      <c r="Q230" s="5">
        <f>IF(OR(INDEX($W$2:$W$1001,MATCH(ROWS($V$2:V230),$V$2:$V$1001,0),1)&gt;=100000,INDEX($AC$1005:$AS$1005,1,MATCH(COLUMNS($AC$1006:AR1006),$AC$1006:$AS$1006,0))&gt;=100000), " ",IF(INDEX($AC$2:$AS$1001,MATCH(ROWS($V$2:V230),$V$2:$V$1001,0),MATCH(COLUMNS($AC$1006:AR1006),$AC$1006:$AS$1006,0)), HYPERLINK("#",""), HYPERLINK(CONCATENATE("#Metadata!", ADDRESS(INDEX($X$2:$X$1001,MATCH(ROWS($V$2:V230),$V$2:$V$1001,0),0), INDEX($AC$1004:$AS$1004,1,MATCH(COLUMNS($AC$1006:AR1006),$AC$1006:$AS$1006,0)))),"Fix")))</f>
        <v>0</v>
      </c>
      <c r="R230" s="5">
        <f>IF(OR(INDEX($W$2:$W$1001,MATCH(ROWS($V$2:V230),$V$2:$V$1001,0),1)&gt;=100000,INDEX($AC$1005:$AS$1005,1,MATCH(COLUMNS($AC$1006:AS1006),$AC$1006:$AS$1006,0))&gt;=100000), " ",IF(INDEX($AC$2:$AS$1001,MATCH(ROWS($V$2:V230),$V$2:$V$1001,0),MATCH(COLUMNS($AC$1006:AS1006),$AC$1006:$AS$1006,0)), HYPERLINK("#",""), HYPERLINK(CONCATENATE("#Metadata!", ADDRESS(INDEX($X$2:$X$1001,MATCH(ROWS($V$2:V230),$V$2:$V$1001,0),0), INDEX($AC$1004:$AS$1004,1,MATCH(COLUMNS($AC$1006:AS1006),$AC$1006:$AS$1006,0)))),"Fix")))</f>
        <v>0</v>
      </c>
      <c r="V230">
        <v>0</v>
      </c>
      <c r="W230">
        <v>0</v>
      </c>
      <c r="X230">
        <v>0</v>
      </c>
      <c r="Y230">
        <f>IF(Z230,TRUE,AND(AC230:AS230))</f>
        <v>0</v>
      </c>
      <c r="Z230">
        <f>COUNTBLANK(Metadata!B230:R230)=COLUMNS(Metadata!B230:R230)</f>
        <v>0</v>
      </c>
      <c r="AA230">
        <v>0</v>
      </c>
      <c r="AC230">
        <f>AND(IF(Metadata!B230="",FALSE,TRUE),COUNTIF(Metadata!B:B, Metadata!B230) = 1,NOT(ISERROR(SUMPRODUCT(SEARCH(MID(Metadata!B230,ROW(INDIRECT("1:"&amp;LEN(Metadata!B230))), 1),"0123456789abcdefghijklmnopqrstuvwxyzABCDEFGHIJKLMNOPQRSTUVWXYZ.")))))</f>
        <v>0</v>
      </c>
      <c r="AD230">
        <f>AND(IF(Metadata!C230="",FALSE,TRUE),exact(Metadata!C230,"Host-associated"))</f>
        <v>0</v>
      </c>
      <c r="AE230">
        <f>AND(IF(Metadata!D230="",FALSE,TRUE),OR(exact(Metadata!D230,"Animal"),exact(Metadata!D230,"Fungus"),exact(Metadata!D230,"Plant")))</f>
        <v>0</v>
      </c>
      <c r="AF230">
        <f>AND(IF(Metadata!E230="",FALSE,TRUE),OR(exact(Metadata!E230,"Plant secretion"),exact(Metadata!E230,"Plant rhizosphere"),exact(Metadata!E230,"Plant surface"),exact(Metadata!E230,"Plant corpus"),exact(Metadata!E230,"Fungus surface"),exact(Metadata!E230,"Fungus corpus"),exact(Metadata!E230,"Animal surface"),exact(Metadata!E230,"Animal proximal gut"),exact(Metadata!E230,"Animal corpus"),exact(Metadata!E230,"Animal distal gut"),exact(Metadata!E230,"Animal secretion")))</f>
        <v>0</v>
      </c>
      <c r="AG230">
        <f>OR(AND(IF(Metadata!F230="",FALSE,TRUE),OR(exact(Metadata!F230,"not collected"),exact(Metadata!F230,"not provided"),exact(Metadata!F230,"restricted access"))),AND(IF(Metadata!F230="",FALSE,TRUE),OR(exact(Metadata!F230,"organism-associated habitat"),exact(Metadata!F230,"plant-associated habitat"),exact(Metadata!F230,"animal-associated habitat"),exact(Metadata!F230,"insecta-associated habitat"),exact(Metadata!F230,"mammalia-associated habitat"),exact(Metadata!F230,"human-associated habitat"),exact(Metadata!F230,"livestock-associated habitat"))))</f>
        <v>0</v>
      </c>
      <c r="AH230">
        <f>AND(IF(Metadata!G230="",FALSE,TRUE),exact(Metadata!G230,"host-associated"))</f>
        <v>0</v>
      </c>
      <c r="AI230">
        <f>OR(AND(IF(Metadata!H230="",FALSE,TRUE),OR(exact(Metadata!H230,"not collected"),exact(Metadata!H230,"not provided"))),AND(IF(Metadata!H230="",FALSE,ISNUMBER(VALUE(Metadata!H230))),Metadata!H230&gt;0))</f>
        <v>0</v>
      </c>
      <c r="AJ230">
        <f>AND(IF(Metadata!I230="",FALSE,TRUE),exact(Metadata!I230,"years"))</f>
        <v>0</v>
      </c>
      <c r="AK230">
        <f>IF(Metadata!J230="",FALSE,TRUE)</f>
        <v>0</v>
      </c>
      <c r="AL230">
        <f>OR(AND(IF(Metadata!K230="",FALSE,TRUE),OR(exact(Metadata!K230,"not collected"),exact(Metadata!K230,"not provided"))),AND(IF(Metadata!K230="",FALSE,ISNUMBER(VALUE(Metadata!K230))),Metadata!K230&gt;0))</f>
        <v>0</v>
      </c>
      <c r="AM230">
        <f>AND(IF(Metadata!L230="",FALSE,TRUE),exact(Metadata!L230,"cm"))</f>
        <v>0</v>
      </c>
      <c r="AN230">
        <f>IF(Metadata!M230="",FALSE,TRUE)</f>
        <v>0</v>
      </c>
      <c r="AO230">
        <f>OR(AND(IF(Metadata!N230="",FALSE,TRUE),OR(exact(Metadata!N230,"not applicable"),exact(Metadata!N230,"not collected"),exact(Metadata!N230,"not provided"))),AND(IF(Metadata!N230="",FALSE,IF(ISERROR(INT(Metadata!N230)),FALSE,INT(Metadata!N230)=Metadata!N230)),Metadata!N230&gt;0))</f>
        <v>0</v>
      </c>
      <c r="AP230">
        <f>OR(AND(IF(Metadata!O230="",FALSE,TRUE),OR(exact(Metadata!O230,"not collected"),exact(Metadata!O230,"not provided"))),AND(IF(Metadata!O230="",FALSE,ISNUMBER(VALUE(Metadata!O230))),Metadata!O230&gt;0))</f>
        <v>0</v>
      </c>
      <c r="AQ230">
        <f>AND(IF(Metadata!P230="",FALSE,TRUE),exact(Metadata!P230,"kg"))</f>
        <v>0</v>
      </c>
      <c r="AR230">
        <f>OR(AND(IF(Metadata!Q230="",FALSE,TRUE),OR(exact(Metadata!Q230,"not applicable"),exact(Metadata!Q230,"not collected"),exact(Metadata!Q230,"not provided"),exact(Metadata!Q230,"restricted access"))),IF(Metadata!Q230="",FALSE,IF(ISERROR(INT(Metadata!Q230)),FALSE,INT(Metadata!Q230)=Metadata!Q230)))</f>
        <v>0</v>
      </c>
      <c r="AS230">
        <f>AND(IF(Metadata!R230="",FALSE,TRUE),exact(Metadata!R230,"Not applicable"))</f>
        <v>0</v>
      </c>
    </row>
    <row r="231" spans="1:45">
      <c r="A231" s="4">
        <f>IF(B231=" "," ",HYPERLINK(CONCATENATE("#metadata!",ADDRESS(INDEX($X$2:$X$1001,MATCH(ROWS($V$2:V231),$V$2:$V$1001,0),0),2)),INDEX($AA$2:$AA$1001,MATCH(ROWS($V$2:V231),$V$2:$V$1001,0),0)))</f>
        <v>0</v>
      </c>
      <c r="B231" s="5">
        <f>IF(OR(INDEX($W$2:$W$1001,MATCH(ROWS($V$2:V231),$V$2:$V$1001,0),1)&gt;=100000,INDEX($AC$1005:$AS$1005,1,MATCH(COLUMNS($AC$1006:AC1006),$AC$1006:$AS$1006,0))&gt;=100000), " ",IF(INDEX($AC$2:$AS$1001,MATCH(ROWS($V$2:V231),$V$2:$V$1001,0),MATCH(COLUMNS($AC$1006:AC1006),$AC$1006:$AS$1006,0)), HYPERLINK("#",""), HYPERLINK(CONCATENATE("#Metadata!", ADDRESS(INDEX($X$2:$X$1001,MATCH(ROWS($V$2:V231),$V$2:$V$1001,0),0), INDEX($AC$1004:$AS$1004,1,MATCH(COLUMNS($AC$1006:AC1006),$AC$1006:$AS$1006,0)))),"Fix")))</f>
        <v>0</v>
      </c>
      <c r="C231" s="5">
        <f>IF(OR(INDEX($W$2:$W$1001,MATCH(ROWS($V$2:V231),$V$2:$V$1001,0),1)&gt;=100000,INDEX($AC$1005:$AS$1005,1,MATCH(COLUMNS($AC$1006:AD1006),$AC$1006:$AS$1006,0))&gt;=100000), " ",IF(INDEX($AC$2:$AS$1001,MATCH(ROWS($V$2:V231),$V$2:$V$1001,0),MATCH(COLUMNS($AC$1006:AD1006),$AC$1006:$AS$1006,0)), HYPERLINK("#",""), HYPERLINK(CONCATENATE("#Metadata!", ADDRESS(INDEX($X$2:$X$1001,MATCH(ROWS($V$2:V231),$V$2:$V$1001,0),0), INDEX($AC$1004:$AS$1004,1,MATCH(COLUMNS($AC$1006:AD1006),$AC$1006:$AS$1006,0)))),"Fix")))</f>
        <v>0</v>
      </c>
      <c r="D231" s="5">
        <f>IF(OR(INDEX($W$2:$W$1001,MATCH(ROWS($V$2:V231),$V$2:$V$1001,0),1)&gt;=100000,INDEX($AC$1005:$AS$1005,1,MATCH(COLUMNS($AC$1006:AE1006),$AC$1006:$AS$1006,0))&gt;=100000), " ",IF(INDEX($AC$2:$AS$1001,MATCH(ROWS($V$2:V231),$V$2:$V$1001,0),MATCH(COLUMNS($AC$1006:AE1006),$AC$1006:$AS$1006,0)), HYPERLINK("#",""), HYPERLINK(CONCATENATE("#Metadata!", ADDRESS(INDEX($X$2:$X$1001,MATCH(ROWS($V$2:V231),$V$2:$V$1001,0),0), INDEX($AC$1004:$AS$1004,1,MATCH(COLUMNS($AC$1006:AE1006),$AC$1006:$AS$1006,0)))),"Fix")))</f>
        <v>0</v>
      </c>
      <c r="E231" s="5">
        <f>IF(OR(INDEX($W$2:$W$1001,MATCH(ROWS($V$2:V231),$V$2:$V$1001,0),1)&gt;=100000,INDEX($AC$1005:$AS$1005,1,MATCH(COLUMNS($AC$1006:AF1006),$AC$1006:$AS$1006,0))&gt;=100000), " ",IF(INDEX($AC$2:$AS$1001,MATCH(ROWS($V$2:V231),$V$2:$V$1001,0),MATCH(COLUMNS($AC$1006:AF1006),$AC$1006:$AS$1006,0)), HYPERLINK("#",""), HYPERLINK(CONCATENATE("#Metadata!", ADDRESS(INDEX($X$2:$X$1001,MATCH(ROWS($V$2:V231),$V$2:$V$1001,0),0), INDEX($AC$1004:$AS$1004,1,MATCH(COLUMNS($AC$1006:AF1006),$AC$1006:$AS$1006,0)))),"Fix")))</f>
        <v>0</v>
      </c>
      <c r="F231" s="5">
        <f>IF(OR(INDEX($W$2:$W$1001,MATCH(ROWS($V$2:V231),$V$2:$V$1001,0),1)&gt;=100000,INDEX($AC$1005:$AS$1005,1,MATCH(COLUMNS($AC$1006:AG1006),$AC$1006:$AS$1006,0))&gt;=100000), " ",IF(INDEX($AC$2:$AS$1001,MATCH(ROWS($V$2:V231),$V$2:$V$1001,0),MATCH(COLUMNS($AC$1006:AG1006),$AC$1006:$AS$1006,0)), HYPERLINK("#",""), HYPERLINK(CONCATENATE("#Metadata!", ADDRESS(INDEX($X$2:$X$1001,MATCH(ROWS($V$2:V231),$V$2:$V$1001,0),0), INDEX($AC$1004:$AS$1004,1,MATCH(COLUMNS($AC$1006:AG1006),$AC$1006:$AS$1006,0)))),"Fix")))</f>
        <v>0</v>
      </c>
      <c r="G231" s="5">
        <f>IF(OR(INDEX($W$2:$W$1001,MATCH(ROWS($V$2:V231),$V$2:$V$1001,0),1)&gt;=100000,INDEX($AC$1005:$AS$1005,1,MATCH(COLUMNS($AC$1006:AH1006),$AC$1006:$AS$1006,0))&gt;=100000), " ",IF(INDEX($AC$2:$AS$1001,MATCH(ROWS($V$2:V231),$V$2:$V$1001,0),MATCH(COLUMNS($AC$1006:AH1006),$AC$1006:$AS$1006,0)), HYPERLINK("#",""), HYPERLINK(CONCATENATE("#Metadata!", ADDRESS(INDEX($X$2:$X$1001,MATCH(ROWS($V$2:V231),$V$2:$V$1001,0),0), INDEX($AC$1004:$AS$1004,1,MATCH(COLUMNS($AC$1006:AH1006),$AC$1006:$AS$1006,0)))),"Fix")))</f>
        <v>0</v>
      </c>
      <c r="H231" s="5">
        <f>IF(OR(INDEX($W$2:$W$1001,MATCH(ROWS($V$2:V231),$V$2:$V$1001,0),1)&gt;=100000,INDEX($AC$1005:$AS$1005,1,MATCH(COLUMNS($AC$1006:AI1006),$AC$1006:$AS$1006,0))&gt;=100000), " ",IF(INDEX($AC$2:$AS$1001,MATCH(ROWS($V$2:V231),$V$2:$V$1001,0),MATCH(COLUMNS($AC$1006:AI1006),$AC$1006:$AS$1006,0)), HYPERLINK("#",""), HYPERLINK(CONCATENATE("#Metadata!", ADDRESS(INDEX($X$2:$X$1001,MATCH(ROWS($V$2:V231),$V$2:$V$1001,0),0), INDEX($AC$1004:$AS$1004,1,MATCH(COLUMNS($AC$1006:AI1006),$AC$1006:$AS$1006,0)))),"Fix")))</f>
        <v>0</v>
      </c>
      <c r="I231" s="5">
        <f>IF(OR(INDEX($W$2:$W$1001,MATCH(ROWS($V$2:V231),$V$2:$V$1001,0),1)&gt;=100000,INDEX($AC$1005:$AS$1005,1,MATCH(COLUMNS($AC$1006:AJ1006),$AC$1006:$AS$1006,0))&gt;=100000), " ",IF(INDEX($AC$2:$AS$1001,MATCH(ROWS($V$2:V231),$V$2:$V$1001,0),MATCH(COLUMNS($AC$1006:AJ1006),$AC$1006:$AS$1006,0)), HYPERLINK("#",""), HYPERLINK(CONCATENATE("#Metadata!", ADDRESS(INDEX($X$2:$X$1001,MATCH(ROWS($V$2:V231),$V$2:$V$1001,0),0), INDEX($AC$1004:$AS$1004,1,MATCH(COLUMNS($AC$1006:AJ1006),$AC$1006:$AS$1006,0)))),"Fix")))</f>
        <v>0</v>
      </c>
      <c r="J231" s="5">
        <f>IF(OR(INDEX($W$2:$W$1001,MATCH(ROWS($V$2:V231),$V$2:$V$1001,0),1)&gt;=100000,INDEX($AC$1005:$AS$1005,1,MATCH(COLUMNS($AC$1006:AK1006),$AC$1006:$AS$1006,0))&gt;=100000), " ",IF(INDEX($AC$2:$AS$1001,MATCH(ROWS($V$2:V231),$V$2:$V$1001,0),MATCH(COLUMNS($AC$1006:AK1006),$AC$1006:$AS$1006,0)), HYPERLINK("#",""), HYPERLINK(CONCATENATE("#Metadata!", ADDRESS(INDEX($X$2:$X$1001,MATCH(ROWS($V$2:V231),$V$2:$V$1001,0),0), INDEX($AC$1004:$AS$1004,1,MATCH(COLUMNS($AC$1006:AK1006),$AC$1006:$AS$1006,0)))),"Fix")))</f>
        <v>0</v>
      </c>
      <c r="K231" s="5">
        <f>IF(OR(INDEX($W$2:$W$1001,MATCH(ROWS($V$2:V231),$V$2:$V$1001,0),1)&gt;=100000,INDEX($AC$1005:$AS$1005,1,MATCH(COLUMNS($AC$1006:AL1006),$AC$1006:$AS$1006,0))&gt;=100000), " ",IF(INDEX($AC$2:$AS$1001,MATCH(ROWS($V$2:V231),$V$2:$V$1001,0),MATCH(COLUMNS($AC$1006:AL1006),$AC$1006:$AS$1006,0)), HYPERLINK("#",""), HYPERLINK(CONCATENATE("#Metadata!", ADDRESS(INDEX($X$2:$X$1001,MATCH(ROWS($V$2:V231),$V$2:$V$1001,0),0), INDEX($AC$1004:$AS$1004,1,MATCH(COLUMNS($AC$1006:AL1006),$AC$1006:$AS$1006,0)))),"Fix")))</f>
        <v>0</v>
      </c>
      <c r="L231" s="5">
        <f>IF(OR(INDEX($W$2:$W$1001,MATCH(ROWS($V$2:V231),$V$2:$V$1001,0),1)&gt;=100000,INDEX($AC$1005:$AS$1005,1,MATCH(COLUMNS($AC$1006:AM1006),$AC$1006:$AS$1006,0))&gt;=100000), " ",IF(INDEX($AC$2:$AS$1001,MATCH(ROWS($V$2:V231),$V$2:$V$1001,0),MATCH(COLUMNS($AC$1006:AM1006),$AC$1006:$AS$1006,0)), HYPERLINK("#",""), HYPERLINK(CONCATENATE("#Metadata!", ADDRESS(INDEX($X$2:$X$1001,MATCH(ROWS($V$2:V231),$V$2:$V$1001,0),0), INDEX($AC$1004:$AS$1004,1,MATCH(COLUMNS($AC$1006:AM1006),$AC$1006:$AS$1006,0)))),"Fix")))</f>
        <v>0</v>
      </c>
      <c r="M231" s="5">
        <f>IF(OR(INDEX($W$2:$W$1001,MATCH(ROWS($V$2:V231),$V$2:$V$1001,0),1)&gt;=100000,INDEX($AC$1005:$AS$1005,1,MATCH(COLUMNS($AC$1006:AN1006),$AC$1006:$AS$1006,0))&gt;=100000), " ",IF(INDEX($AC$2:$AS$1001,MATCH(ROWS($V$2:V231),$V$2:$V$1001,0),MATCH(COLUMNS($AC$1006:AN1006),$AC$1006:$AS$1006,0)), HYPERLINK("#",""), HYPERLINK(CONCATENATE("#Metadata!", ADDRESS(INDEX($X$2:$X$1001,MATCH(ROWS($V$2:V231),$V$2:$V$1001,0),0), INDEX($AC$1004:$AS$1004,1,MATCH(COLUMNS($AC$1006:AN1006),$AC$1006:$AS$1006,0)))),"Fix")))</f>
        <v>0</v>
      </c>
      <c r="N231" s="5">
        <f>IF(OR(INDEX($W$2:$W$1001,MATCH(ROWS($V$2:V231),$V$2:$V$1001,0),1)&gt;=100000,INDEX($AC$1005:$AS$1005,1,MATCH(COLUMNS($AC$1006:AO1006),$AC$1006:$AS$1006,0))&gt;=100000), " ",IF(INDEX($AC$2:$AS$1001,MATCH(ROWS($V$2:V231),$V$2:$V$1001,0),MATCH(COLUMNS($AC$1006:AO1006),$AC$1006:$AS$1006,0)), HYPERLINK("#",""), HYPERLINK(CONCATENATE("#Metadata!", ADDRESS(INDEX($X$2:$X$1001,MATCH(ROWS($V$2:V231),$V$2:$V$1001,0),0), INDEX($AC$1004:$AS$1004,1,MATCH(COLUMNS($AC$1006:AO1006),$AC$1006:$AS$1006,0)))),"Fix")))</f>
        <v>0</v>
      </c>
      <c r="O231" s="5">
        <f>IF(OR(INDEX($W$2:$W$1001,MATCH(ROWS($V$2:V231),$V$2:$V$1001,0),1)&gt;=100000,INDEX($AC$1005:$AS$1005,1,MATCH(COLUMNS($AC$1006:AP1006),$AC$1006:$AS$1006,0))&gt;=100000), " ",IF(INDEX($AC$2:$AS$1001,MATCH(ROWS($V$2:V231),$V$2:$V$1001,0),MATCH(COLUMNS($AC$1006:AP1006),$AC$1006:$AS$1006,0)), HYPERLINK("#",""), HYPERLINK(CONCATENATE("#Metadata!", ADDRESS(INDEX($X$2:$X$1001,MATCH(ROWS($V$2:V231),$V$2:$V$1001,0),0), INDEX($AC$1004:$AS$1004,1,MATCH(COLUMNS($AC$1006:AP1006),$AC$1006:$AS$1006,0)))),"Fix")))</f>
        <v>0</v>
      </c>
      <c r="P231" s="5">
        <f>IF(OR(INDEX($W$2:$W$1001,MATCH(ROWS($V$2:V231),$V$2:$V$1001,0),1)&gt;=100000,INDEX($AC$1005:$AS$1005,1,MATCH(COLUMNS($AC$1006:AQ1006),$AC$1006:$AS$1006,0))&gt;=100000), " ",IF(INDEX($AC$2:$AS$1001,MATCH(ROWS($V$2:V231),$V$2:$V$1001,0),MATCH(COLUMNS($AC$1006:AQ1006),$AC$1006:$AS$1006,0)), HYPERLINK("#",""), HYPERLINK(CONCATENATE("#Metadata!", ADDRESS(INDEX($X$2:$X$1001,MATCH(ROWS($V$2:V231),$V$2:$V$1001,0),0), INDEX($AC$1004:$AS$1004,1,MATCH(COLUMNS($AC$1006:AQ1006),$AC$1006:$AS$1006,0)))),"Fix")))</f>
        <v>0</v>
      </c>
      <c r="Q231" s="5">
        <f>IF(OR(INDEX($W$2:$W$1001,MATCH(ROWS($V$2:V231),$V$2:$V$1001,0),1)&gt;=100000,INDEX($AC$1005:$AS$1005,1,MATCH(COLUMNS($AC$1006:AR1006),$AC$1006:$AS$1006,0))&gt;=100000), " ",IF(INDEX($AC$2:$AS$1001,MATCH(ROWS($V$2:V231),$V$2:$V$1001,0),MATCH(COLUMNS($AC$1006:AR1006),$AC$1006:$AS$1006,0)), HYPERLINK("#",""), HYPERLINK(CONCATENATE("#Metadata!", ADDRESS(INDEX($X$2:$X$1001,MATCH(ROWS($V$2:V231),$V$2:$V$1001,0),0), INDEX($AC$1004:$AS$1004,1,MATCH(COLUMNS($AC$1006:AR1006),$AC$1006:$AS$1006,0)))),"Fix")))</f>
        <v>0</v>
      </c>
      <c r="R231" s="5">
        <f>IF(OR(INDEX($W$2:$W$1001,MATCH(ROWS($V$2:V231),$V$2:$V$1001,0),1)&gt;=100000,INDEX($AC$1005:$AS$1005,1,MATCH(COLUMNS($AC$1006:AS1006),$AC$1006:$AS$1006,0))&gt;=100000), " ",IF(INDEX($AC$2:$AS$1001,MATCH(ROWS($V$2:V231),$V$2:$V$1001,0),MATCH(COLUMNS($AC$1006:AS1006),$AC$1006:$AS$1006,0)), HYPERLINK("#",""), HYPERLINK(CONCATENATE("#Metadata!", ADDRESS(INDEX($X$2:$X$1001,MATCH(ROWS($V$2:V231),$V$2:$V$1001,0),0), INDEX($AC$1004:$AS$1004,1,MATCH(COLUMNS($AC$1006:AS1006),$AC$1006:$AS$1006,0)))),"Fix")))</f>
        <v>0</v>
      </c>
      <c r="V231">
        <v>0</v>
      </c>
      <c r="W231">
        <v>0</v>
      </c>
      <c r="X231">
        <v>0</v>
      </c>
      <c r="Y231">
        <f>IF(Z231,TRUE,AND(AC231:AS231))</f>
        <v>0</v>
      </c>
      <c r="Z231">
        <f>COUNTBLANK(Metadata!B231:R231)=COLUMNS(Metadata!B231:R231)</f>
        <v>0</v>
      </c>
      <c r="AA231">
        <v>0</v>
      </c>
      <c r="AC231">
        <f>AND(IF(Metadata!B231="",FALSE,TRUE),COUNTIF(Metadata!B:B, Metadata!B231) = 1,NOT(ISERROR(SUMPRODUCT(SEARCH(MID(Metadata!B231,ROW(INDIRECT("1:"&amp;LEN(Metadata!B231))), 1),"0123456789abcdefghijklmnopqrstuvwxyzABCDEFGHIJKLMNOPQRSTUVWXYZ.")))))</f>
        <v>0</v>
      </c>
      <c r="AD231">
        <f>AND(IF(Metadata!C231="",FALSE,TRUE),exact(Metadata!C231,"Host-associated"))</f>
        <v>0</v>
      </c>
      <c r="AE231">
        <f>AND(IF(Metadata!D231="",FALSE,TRUE),OR(exact(Metadata!D231,"Animal"),exact(Metadata!D231,"Fungus"),exact(Metadata!D231,"Plant")))</f>
        <v>0</v>
      </c>
      <c r="AF231">
        <f>AND(IF(Metadata!E231="",FALSE,TRUE),OR(exact(Metadata!E231,"Plant secretion"),exact(Metadata!E231,"Plant rhizosphere"),exact(Metadata!E231,"Plant surface"),exact(Metadata!E231,"Plant corpus"),exact(Metadata!E231,"Fungus surface"),exact(Metadata!E231,"Fungus corpus"),exact(Metadata!E231,"Animal surface"),exact(Metadata!E231,"Animal proximal gut"),exact(Metadata!E231,"Animal corpus"),exact(Metadata!E231,"Animal distal gut"),exact(Metadata!E231,"Animal secretion")))</f>
        <v>0</v>
      </c>
      <c r="AG231">
        <f>OR(AND(IF(Metadata!F231="",FALSE,TRUE),OR(exact(Metadata!F231,"not collected"),exact(Metadata!F231,"not provided"),exact(Metadata!F231,"restricted access"))),AND(IF(Metadata!F231="",FALSE,TRUE),OR(exact(Metadata!F231,"organism-associated habitat"),exact(Metadata!F231,"plant-associated habitat"),exact(Metadata!F231,"animal-associated habitat"),exact(Metadata!F231,"insecta-associated habitat"),exact(Metadata!F231,"mammalia-associated habitat"),exact(Metadata!F231,"human-associated habitat"),exact(Metadata!F231,"livestock-associated habitat"))))</f>
        <v>0</v>
      </c>
      <c r="AH231">
        <f>AND(IF(Metadata!G231="",FALSE,TRUE),exact(Metadata!G231,"host-associated"))</f>
        <v>0</v>
      </c>
      <c r="AI231">
        <f>OR(AND(IF(Metadata!H231="",FALSE,TRUE),OR(exact(Metadata!H231,"not collected"),exact(Metadata!H231,"not provided"))),AND(IF(Metadata!H231="",FALSE,ISNUMBER(VALUE(Metadata!H231))),Metadata!H231&gt;0))</f>
        <v>0</v>
      </c>
      <c r="AJ231">
        <f>AND(IF(Metadata!I231="",FALSE,TRUE),exact(Metadata!I231,"years"))</f>
        <v>0</v>
      </c>
      <c r="AK231">
        <f>IF(Metadata!J231="",FALSE,TRUE)</f>
        <v>0</v>
      </c>
      <c r="AL231">
        <f>OR(AND(IF(Metadata!K231="",FALSE,TRUE),OR(exact(Metadata!K231,"not collected"),exact(Metadata!K231,"not provided"))),AND(IF(Metadata!K231="",FALSE,ISNUMBER(VALUE(Metadata!K231))),Metadata!K231&gt;0))</f>
        <v>0</v>
      </c>
      <c r="AM231">
        <f>AND(IF(Metadata!L231="",FALSE,TRUE),exact(Metadata!L231,"cm"))</f>
        <v>0</v>
      </c>
      <c r="AN231">
        <f>IF(Metadata!M231="",FALSE,TRUE)</f>
        <v>0</v>
      </c>
      <c r="AO231">
        <f>OR(AND(IF(Metadata!N231="",FALSE,TRUE),OR(exact(Metadata!N231,"not applicable"),exact(Metadata!N231,"not collected"),exact(Metadata!N231,"not provided"))),AND(IF(Metadata!N231="",FALSE,IF(ISERROR(INT(Metadata!N231)),FALSE,INT(Metadata!N231)=Metadata!N231)),Metadata!N231&gt;0))</f>
        <v>0</v>
      </c>
      <c r="AP231">
        <f>OR(AND(IF(Metadata!O231="",FALSE,TRUE),OR(exact(Metadata!O231,"not collected"),exact(Metadata!O231,"not provided"))),AND(IF(Metadata!O231="",FALSE,ISNUMBER(VALUE(Metadata!O231))),Metadata!O231&gt;0))</f>
        <v>0</v>
      </c>
      <c r="AQ231">
        <f>AND(IF(Metadata!P231="",FALSE,TRUE),exact(Metadata!P231,"kg"))</f>
        <v>0</v>
      </c>
      <c r="AR231">
        <f>OR(AND(IF(Metadata!Q231="",FALSE,TRUE),OR(exact(Metadata!Q231,"not applicable"),exact(Metadata!Q231,"not collected"),exact(Metadata!Q231,"not provided"),exact(Metadata!Q231,"restricted access"))),IF(Metadata!Q231="",FALSE,IF(ISERROR(INT(Metadata!Q231)),FALSE,INT(Metadata!Q231)=Metadata!Q231)))</f>
        <v>0</v>
      </c>
      <c r="AS231">
        <f>AND(IF(Metadata!R231="",FALSE,TRUE),exact(Metadata!R231,"Not applicable"))</f>
        <v>0</v>
      </c>
    </row>
    <row r="232" spans="1:45">
      <c r="A232" s="4">
        <f>IF(B232=" "," ",HYPERLINK(CONCATENATE("#metadata!",ADDRESS(INDEX($X$2:$X$1001,MATCH(ROWS($V$2:V232),$V$2:$V$1001,0),0),2)),INDEX($AA$2:$AA$1001,MATCH(ROWS($V$2:V232),$V$2:$V$1001,0),0)))</f>
        <v>0</v>
      </c>
      <c r="B232" s="5">
        <f>IF(OR(INDEX($W$2:$W$1001,MATCH(ROWS($V$2:V232),$V$2:$V$1001,0),1)&gt;=100000,INDEX($AC$1005:$AS$1005,1,MATCH(COLUMNS($AC$1006:AC1006),$AC$1006:$AS$1006,0))&gt;=100000), " ",IF(INDEX($AC$2:$AS$1001,MATCH(ROWS($V$2:V232),$V$2:$V$1001,0),MATCH(COLUMNS($AC$1006:AC1006),$AC$1006:$AS$1006,0)), HYPERLINK("#",""), HYPERLINK(CONCATENATE("#Metadata!", ADDRESS(INDEX($X$2:$X$1001,MATCH(ROWS($V$2:V232),$V$2:$V$1001,0),0), INDEX($AC$1004:$AS$1004,1,MATCH(COLUMNS($AC$1006:AC1006),$AC$1006:$AS$1006,0)))),"Fix")))</f>
        <v>0</v>
      </c>
      <c r="C232" s="5">
        <f>IF(OR(INDEX($W$2:$W$1001,MATCH(ROWS($V$2:V232),$V$2:$V$1001,0),1)&gt;=100000,INDEX($AC$1005:$AS$1005,1,MATCH(COLUMNS($AC$1006:AD1006),$AC$1006:$AS$1006,0))&gt;=100000), " ",IF(INDEX($AC$2:$AS$1001,MATCH(ROWS($V$2:V232),$V$2:$V$1001,0),MATCH(COLUMNS($AC$1006:AD1006),$AC$1006:$AS$1006,0)), HYPERLINK("#",""), HYPERLINK(CONCATENATE("#Metadata!", ADDRESS(INDEX($X$2:$X$1001,MATCH(ROWS($V$2:V232),$V$2:$V$1001,0),0), INDEX($AC$1004:$AS$1004,1,MATCH(COLUMNS($AC$1006:AD1006),$AC$1006:$AS$1006,0)))),"Fix")))</f>
        <v>0</v>
      </c>
      <c r="D232" s="5">
        <f>IF(OR(INDEX($W$2:$W$1001,MATCH(ROWS($V$2:V232),$V$2:$V$1001,0),1)&gt;=100000,INDEX($AC$1005:$AS$1005,1,MATCH(COLUMNS($AC$1006:AE1006),$AC$1006:$AS$1006,0))&gt;=100000), " ",IF(INDEX($AC$2:$AS$1001,MATCH(ROWS($V$2:V232),$V$2:$V$1001,0),MATCH(COLUMNS($AC$1006:AE1006),$AC$1006:$AS$1006,0)), HYPERLINK("#",""), HYPERLINK(CONCATENATE("#Metadata!", ADDRESS(INDEX($X$2:$X$1001,MATCH(ROWS($V$2:V232),$V$2:$V$1001,0),0), INDEX($AC$1004:$AS$1004,1,MATCH(COLUMNS($AC$1006:AE1006),$AC$1006:$AS$1006,0)))),"Fix")))</f>
        <v>0</v>
      </c>
      <c r="E232" s="5">
        <f>IF(OR(INDEX($W$2:$W$1001,MATCH(ROWS($V$2:V232),$V$2:$V$1001,0),1)&gt;=100000,INDEX($AC$1005:$AS$1005,1,MATCH(COLUMNS($AC$1006:AF1006),$AC$1006:$AS$1006,0))&gt;=100000), " ",IF(INDEX($AC$2:$AS$1001,MATCH(ROWS($V$2:V232),$V$2:$V$1001,0),MATCH(COLUMNS($AC$1006:AF1006),$AC$1006:$AS$1006,0)), HYPERLINK("#",""), HYPERLINK(CONCATENATE("#Metadata!", ADDRESS(INDEX($X$2:$X$1001,MATCH(ROWS($V$2:V232),$V$2:$V$1001,0),0), INDEX($AC$1004:$AS$1004,1,MATCH(COLUMNS($AC$1006:AF1006),$AC$1006:$AS$1006,0)))),"Fix")))</f>
        <v>0</v>
      </c>
      <c r="F232" s="5">
        <f>IF(OR(INDEX($W$2:$W$1001,MATCH(ROWS($V$2:V232),$V$2:$V$1001,0),1)&gt;=100000,INDEX($AC$1005:$AS$1005,1,MATCH(COLUMNS($AC$1006:AG1006),$AC$1006:$AS$1006,0))&gt;=100000), " ",IF(INDEX($AC$2:$AS$1001,MATCH(ROWS($V$2:V232),$V$2:$V$1001,0),MATCH(COLUMNS($AC$1006:AG1006),$AC$1006:$AS$1006,0)), HYPERLINK("#",""), HYPERLINK(CONCATENATE("#Metadata!", ADDRESS(INDEX($X$2:$X$1001,MATCH(ROWS($V$2:V232),$V$2:$V$1001,0),0), INDEX($AC$1004:$AS$1004,1,MATCH(COLUMNS($AC$1006:AG1006),$AC$1006:$AS$1006,0)))),"Fix")))</f>
        <v>0</v>
      </c>
      <c r="G232" s="5">
        <f>IF(OR(INDEX($W$2:$W$1001,MATCH(ROWS($V$2:V232),$V$2:$V$1001,0),1)&gt;=100000,INDEX($AC$1005:$AS$1005,1,MATCH(COLUMNS($AC$1006:AH1006),$AC$1006:$AS$1006,0))&gt;=100000), " ",IF(INDEX($AC$2:$AS$1001,MATCH(ROWS($V$2:V232),$V$2:$V$1001,0),MATCH(COLUMNS($AC$1006:AH1006),$AC$1006:$AS$1006,0)), HYPERLINK("#",""), HYPERLINK(CONCATENATE("#Metadata!", ADDRESS(INDEX($X$2:$X$1001,MATCH(ROWS($V$2:V232),$V$2:$V$1001,0),0), INDEX($AC$1004:$AS$1004,1,MATCH(COLUMNS($AC$1006:AH1006),$AC$1006:$AS$1006,0)))),"Fix")))</f>
        <v>0</v>
      </c>
      <c r="H232" s="5">
        <f>IF(OR(INDEX($W$2:$W$1001,MATCH(ROWS($V$2:V232),$V$2:$V$1001,0),1)&gt;=100000,INDEX($AC$1005:$AS$1005,1,MATCH(COLUMNS($AC$1006:AI1006),$AC$1006:$AS$1006,0))&gt;=100000), " ",IF(INDEX($AC$2:$AS$1001,MATCH(ROWS($V$2:V232),$V$2:$V$1001,0),MATCH(COLUMNS($AC$1006:AI1006),$AC$1006:$AS$1006,0)), HYPERLINK("#",""), HYPERLINK(CONCATENATE("#Metadata!", ADDRESS(INDEX($X$2:$X$1001,MATCH(ROWS($V$2:V232),$V$2:$V$1001,0),0), INDEX($AC$1004:$AS$1004,1,MATCH(COLUMNS($AC$1006:AI1006),$AC$1006:$AS$1006,0)))),"Fix")))</f>
        <v>0</v>
      </c>
      <c r="I232" s="5">
        <f>IF(OR(INDEX($W$2:$W$1001,MATCH(ROWS($V$2:V232),$V$2:$V$1001,0),1)&gt;=100000,INDEX($AC$1005:$AS$1005,1,MATCH(COLUMNS($AC$1006:AJ1006),$AC$1006:$AS$1006,0))&gt;=100000), " ",IF(INDEX($AC$2:$AS$1001,MATCH(ROWS($V$2:V232),$V$2:$V$1001,0),MATCH(COLUMNS($AC$1006:AJ1006),$AC$1006:$AS$1006,0)), HYPERLINK("#",""), HYPERLINK(CONCATENATE("#Metadata!", ADDRESS(INDEX($X$2:$X$1001,MATCH(ROWS($V$2:V232),$V$2:$V$1001,0),0), INDEX($AC$1004:$AS$1004,1,MATCH(COLUMNS($AC$1006:AJ1006),$AC$1006:$AS$1006,0)))),"Fix")))</f>
        <v>0</v>
      </c>
      <c r="J232" s="5">
        <f>IF(OR(INDEX($W$2:$W$1001,MATCH(ROWS($V$2:V232),$V$2:$V$1001,0),1)&gt;=100000,INDEX($AC$1005:$AS$1005,1,MATCH(COLUMNS($AC$1006:AK1006),$AC$1006:$AS$1006,0))&gt;=100000), " ",IF(INDEX($AC$2:$AS$1001,MATCH(ROWS($V$2:V232),$V$2:$V$1001,0),MATCH(COLUMNS($AC$1006:AK1006),$AC$1006:$AS$1006,0)), HYPERLINK("#",""), HYPERLINK(CONCATENATE("#Metadata!", ADDRESS(INDEX($X$2:$X$1001,MATCH(ROWS($V$2:V232),$V$2:$V$1001,0),0), INDEX($AC$1004:$AS$1004,1,MATCH(COLUMNS($AC$1006:AK1006),$AC$1006:$AS$1006,0)))),"Fix")))</f>
        <v>0</v>
      </c>
      <c r="K232" s="5">
        <f>IF(OR(INDEX($W$2:$W$1001,MATCH(ROWS($V$2:V232),$V$2:$V$1001,0),1)&gt;=100000,INDEX($AC$1005:$AS$1005,1,MATCH(COLUMNS($AC$1006:AL1006),$AC$1006:$AS$1006,0))&gt;=100000), " ",IF(INDEX($AC$2:$AS$1001,MATCH(ROWS($V$2:V232),$V$2:$V$1001,0),MATCH(COLUMNS($AC$1006:AL1006),$AC$1006:$AS$1006,0)), HYPERLINK("#",""), HYPERLINK(CONCATENATE("#Metadata!", ADDRESS(INDEX($X$2:$X$1001,MATCH(ROWS($V$2:V232),$V$2:$V$1001,0),0), INDEX($AC$1004:$AS$1004,1,MATCH(COLUMNS($AC$1006:AL1006),$AC$1006:$AS$1006,0)))),"Fix")))</f>
        <v>0</v>
      </c>
      <c r="L232" s="5">
        <f>IF(OR(INDEX($W$2:$W$1001,MATCH(ROWS($V$2:V232),$V$2:$V$1001,0),1)&gt;=100000,INDEX($AC$1005:$AS$1005,1,MATCH(COLUMNS($AC$1006:AM1006),$AC$1006:$AS$1006,0))&gt;=100000), " ",IF(INDEX($AC$2:$AS$1001,MATCH(ROWS($V$2:V232),$V$2:$V$1001,0),MATCH(COLUMNS($AC$1006:AM1006),$AC$1006:$AS$1006,0)), HYPERLINK("#",""), HYPERLINK(CONCATENATE("#Metadata!", ADDRESS(INDEX($X$2:$X$1001,MATCH(ROWS($V$2:V232),$V$2:$V$1001,0),0), INDEX($AC$1004:$AS$1004,1,MATCH(COLUMNS($AC$1006:AM1006),$AC$1006:$AS$1006,0)))),"Fix")))</f>
        <v>0</v>
      </c>
      <c r="M232" s="5">
        <f>IF(OR(INDEX($W$2:$W$1001,MATCH(ROWS($V$2:V232),$V$2:$V$1001,0),1)&gt;=100000,INDEX($AC$1005:$AS$1005,1,MATCH(COLUMNS($AC$1006:AN1006),$AC$1006:$AS$1006,0))&gt;=100000), " ",IF(INDEX($AC$2:$AS$1001,MATCH(ROWS($V$2:V232),$V$2:$V$1001,0),MATCH(COLUMNS($AC$1006:AN1006),$AC$1006:$AS$1006,0)), HYPERLINK("#",""), HYPERLINK(CONCATENATE("#Metadata!", ADDRESS(INDEX($X$2:$X$1001,MATCH(ROWS($V$2:V232),$V$2:$V$1001,0),0), INDEX($AC$1004:$AS$1004,1,MATCH(COLUMNS($AC$1006:AN1006),$AC$1006:$AS$1006,0)))),"Fix")))</f>
        <v>0</v>
      </c>
      <c r="N232" s="5">
        <f>IF(OR(INDEX($W$2:$W$1001,MATCH(ROWS($V$2:V232),$V$2:$V$1001,0),1)&gt;=100000,INDEX($AC$1005:$AS$1005,1,MATCH(COLUMNS($AC$1006:AO1006),$AC$1006:$AS$1006,0))&gt;=100000), " ",IF(INDEX($AC$2:$AS$1001,MATCH(ROWS($V$2:V232),$V$2:$V$1001,0),MATCH(COLUMNS($AC$1006:AO1006),$AC$1006:$AS$1006,0)), HYPERLINK("#",""), HYPERLINK(CONCATENATE("#Metadata!", ADDRESS(INDEX($X$2:$X$1001,MATCH(ROWS($V$2:V232),$V$2:$V$1001,0),0), INDEX($AC$1004:$AS$1004,1,MATCH(COLUMNS($AC$1006:AO1006),$AC$1006:$AS$1006,0)))),"Fix")))</f>
        <v>0</v>
      </c>
      <c r="O232" s="5">
        <f>IF(OR(INDEX($W$2:$W$1001,MATCH(ROWS($V$2:V232),$V$2:$V$1001,0),1)&gt;=100000,INDEX($AC$1005:$AS$1005,1,MATCH(COLUMNS($AC$1006:AP1006),$AC$1006:$AS$1006,0))&gt;=100000), " ",IF(INDEX($AC$2:$AS$1001,MATCH(ROWS($V$2:V232),$V$2:$V$1001,0),MATCH(COLUMNS($AC$1006:AP1006),$AC$1006:$AS$1006,0)), HYPERLINK("#",""), HYPERLINK(CONCATENATE("#Metadata!", ADDRESS(INDEX($X$2:$X$1001,MATCH(ROWS($V$2:V232),$V$2:$V$1001,0),0), INDEX($AC$1004:$AS$1004,1,MATCH(COLUMNS($AC$1006:AP1006),$AC$1006:$AS$1006,0)))),"Fix")))</f>
        <v>0</v>
      </c>
      <c r="P232" s="5">
        <f>IF(OR(INDEX($W$2:$W$1001,MATCH(ROWS($V$2:V232),$V$2:$V$1001,0),1)&gt;=100000,INDEX($AC$1005:$AS$1005,1,MATCH(COLUMNS($AC$1006:AQ1006),$AC$1006:$AS$1006,0))&gt;=100000), " ",IF(INDEX($AC$2:$AS$1001,MATCH(ROWS($V$2:V232),$V$2:$V$1001,0),MATCH(COLUMNS($AC$1006:AQ1006),$AC$1006:$AS$1006,0)), HYPERLINK("#",""), HYPERLINK(CONCATENATE("#Metadata!", ADDRESS(INDEX($X$2:$X$1001,MATCH(ROWS($V$2:V232),$V$2:$V$1001,0),0), INDEX($AC$1004:$AS$1004,1,MATCH(COLUMNS($AC$1006:AQ1006),$AC$1006:$AS$1006,0)))),"Fix")))</f>
        <v>0</v>
      </c>
      <c r="Q232" s="5">
        <f>IF(OR(INDEX($W$2:$W$1001,MATCH(ROWS($V$2:V232),$V$2:$V$1001,0),1)&gt;=100000,INDEX($AC$1005:$AS$1005,1,MATCH(COLUMNS($AC$1006:AR1006),$AC$1006:$AS$1006,0))&gt;=100000), " ",IF(INDEX($AC$2:$AS$1001,MATCH(ROWS($V$2:V232),$V$2:$V$1001,0),MATCH(COLUMNS($AC$1006:AR1006),$AC$1006:$AS$1006,0)), HYPERLINK("#",""), HYPERLINK(CONCATENATE("#Metadata!", ADDRESS(INDEX($X$2:$X$1001,MATCH(ROWS($V$2:V232),$V$2:$V$1001,0),0), INDEX($AC$1004:$AS$1004,1,MATCH(COLUMNS($AC$1006:AR1006),$AC$1006:$AS$1006,0)))),"Fix")))</f>
        <v>0</v>
      </c>
      <c r="R232" s="5">
        <f>IF(OR(INDEX($W$2:$W$1001,MATCH(ROWS($V$2:V232),$V$2:$V$1001,0),1)&gt;=100000,INDEX($AC$1005:$AS$1005,1,MATCH(COLUMNS($AC$1006:AS1006),$AC$1006:$AS$1006,0))&gt;=100000), " ",IF(INDEX($AC$2:$AS$1001,MATCH(ROWS($V$2:V232),$V$2:$V$1001,0),MATCH(COLUMNS($AC$1006:AS1006),$AC$1006:$AS$1006,0)), HYPERLINK("#",""), HYPERLINK(CONCATENATE("#Metadata!", ADDRESS(INDEX($X$2:$X$1001,MATCH(ROWS($V$2:V232),$V$2:$V$1001,0),0), INDEX($AC$1004:$AS$1004,1,MATCH(COLUMNS($AC$1006:AS1006),$AC$1006:$AS$1006,0)))),"Fix")))</f>
        <v>0</v>
      </c>
      <c r="V232">
        <v>0</v>
      </c>
      <c r="W232">
        <v>0</v>
      </c>
      <c r="X232">
        <v>0</v>
      </c>
      <c r="Y232">
        <f>IF(Z232,TRUE,AND(AC232:AS232))</f>
        <v>0</v>
      </c>
      <c r="Z232">
        <f>COUNTBLANK(Metadata!B232:R232)=COLUMNS(Metadata!B232:R232)</f>
        <v>0</v>
      </c>
      <c r="AA232">
        <v>0</v>
      </c>
      <c r="AC232">
        <f>AND(IF(Metadata!B232="",FALSE,TRUE),COUNTIF(Metadata!B:B, Metadata!B232) = 1,NOT(ISERROR(SUMPRODUCT(SEARCH(MID(Metadata!B232,ROW(INDIRECT("1:"&amp;LEN(Metadata!B232))), 1),"0123456789abcdefghijklmnopqrstuvwxyzABCDEFGHIJKLMNOPQRSTUVWXYZ.")))))</f>
        <v>0</v>
      </c>
      <c r="AD232">
        <f>AND(IF(Metadata!C232="",FALSE,TRUE),exact(Metadata!C232,"Host-associated"))</f>
        <v>0</v>
      </c>
      <c r="AE232">
        <f>AND(IF(Metadata!D232="",FALSE,TRUE),OR(exact(Metadata!D232,"Animal"),exact(Metadata!D232,"Fungus"),exact(Metadata!D232,"Plant")))</f>
        <v>0</v>
      </c>
      <c r="AF232">
        <f>AND(IF(Metadata!E232="",FALSE,TRUE),OR(exact(Metadata!E232,"Plant secretion"),exact(Metadata!E232,"Plant rhizosphere"),exact(Metadata!E232,"Plant surface"),exact(Metadata!E232,"Plant corpus"),exact(Metadata!E232,"Fungus surface"),exact(Metadata!E232,"Fungus corpus"),exact(Metadata!E232,"Animal surface"),exact(Metadata!E232,"Animal proximal gut"),exact(Metadata!E232,"Animal corpus"),exact(Metadata!E232,"Animal distal gut"),exact(Metadata!E232,"Animal secretion")))</f>
        <v>0</v>
      </c>
      <c r="AG232">
        <f>OR(AND(IF(Metadata!F232="",FALSE,TRUE),OR(exact(Metadata!F232,"not collected"),exact(Metadata!F232,"not provided"),exact(Metadata!F232,"restricted access"))),AND(IF(Metadata!F232="",FALSE,TRUE),OR(exact(Metadata!F232,"organism-associated habitat"),exact(Metadata!F232,"plant-associated habitat"),exact(Metadata!F232,"animal-associated habitat"),exact(Metadata!F232,"insecta-associated habitat"),exact(Metadata!F232,"mammalia-associated habitat"),exact(Metadata!F232,"human-associated habitat"),exact(Metadata!F232,"livestock-associated habitat"))))</f>
        <v>0</v>
      </c>
      <c r="AH232">
        <f>AND(IF(Metadata!G232="",FALSE,TRUE),exact(Metadata!G232,"host-associated"))</f>
        <v>0</v>
      </c>
      <c r="AI232">
        <f>OR(AND(IF(Metadata!H232="",FALSE,TRUE),OR(exact(Metadata!H232,"not collected"),exact(Metadata!H232,"not provided"))),AND(IF(Metadata!H232="",FALSE,ISNUMBER(VALUE(Metadata!H232))),Metadata!H232&gt;0))</f>
        <v>0</v>
      </c>
      <c r="AJ232">
        <f>AND(IF(Metadata!I232="",FALSE,TRUE),exact(Metadata!I232,"years"))</f>
        <v>0</v>
      </c>
      <c r="AK232">
        <f>IF(Metadata!J232="",FALSE,TRUE)</f>
        <v>0</v>
      </c>
      <c r="AL232">
        <f>OR(AND(IF(Metadata!K232="",FALSE,TRUE),OR(exact(Metadata!K232,"not collected"),exact(Metadata!K232,"not provided"))),AND(IF(Metadata!K232="",FALSE,ISNUMBER(VALUE(Metadata!K232))),Metadata!K232&gt;0))</f>
        <v>0</v>
      </c>
      <c r="AM232">
        <f>AND(IF(Metadata!L232="",FALSE,TRUE),exact(Metadata!L232,"cm"))</f>
        <v>0</v>
      </c>
      <c r="AN232">
        <f>IF(Metadata!M232="",FALSE,TRUE)</f>
        <v>0</v>
      </c>
      <c r="AO232">
        <f>OR(AND(IF(Metadata!N232="",FALSE,TRUE),OR(exact(Metadata!N232,"not applicable"),exact(Metadata!N232,"not collected"),exact(Metadata!N232,"not provided"))),AND(IF(Metadata!N232="",FALSE,IF(ISERROR(INT(Metadata!N232)),FALSE,INT(Metadata!N232)=Metadata!N232)),Metadata!N232&gt;0))</f>
        <v>0</v>
      </c>
      <c r="AP232">
        <f>OR(AND(IF(Metadata!O232="",FALSE,TRUE),OR(exact(Metadata!O232,"not collected"),exact(Metadata!O232,"not provided"))),AND(IF(Metadata!O232="",FALSE,ISNUMBER(VALUE(Metadata!O232))),Metadata!O232&gt;0))</f>
        <v>0</v>
      </c>
      <c r="AQ232">
        <f>AND(IF(Metadata!P232="",FALSE,TRUE),exact(Metadata!P232,"kg"))</f>
        <v>0</v>
      </c>
      <c r="AR232">
        <f>OR(AND(IF(Metadata!Q232="",FALSE,TRUE),OR(exact(Metadata!Q232,"not applicable"),exact(Metadata!Q232,"not collected"),exact(Metadata!Q232,"not provided"),exact(Metadata!Q232,"restricted access"))),IF(Metadata!Q232="",FALSE,IF(ISERROR(INT(Metadata!Q232)),FALSE,INT(Metadata!Q232)=Metadata!Q232)))</f>
        <v>0</v>
      </c>
      <c r="AS232">
        <f>AND(IF(Metadata!R232="",FALSE,TRUE),exact(Metadata!R232,"Not applicable"))</f>
        <v>0</v>
      </c>
    </row>
    <row r="233" spans="1:45">
      <c r="A233" s="4">
        <f>IF(B233=" "," ",HYPERLINK(CONCATENATE("#metadata!",ADDRESS(INDEX($X$2:$X$1001,MATCH(ROWS($V$2:V233),$V$2:$V$1001,0),0),2)),INDEX($AA$2:$AA$1001,MATCH(ROWS($V$2:V233),$V$2:$V$1001,0),0)))</f>
        <v>0</v>
      </c>
      <c r="B233" s="5">
        <f>IF(OR(INDEX($W$2:$W$1001,MATCH(ROWS($V$2:V233),$V$2:$V$1001,0),1)&gt;=100000,INDEX($AC$1005:$AS$1005,1,MATCH(COLUMNS($AC$1006:AC1006),$AC$1006:$AS$1006,0))&gt;=100000), " ",IF(INDEX($AC$2:$AS$1001,MATCH(ROWS($V$2:V233),$V$2:$V$1001,0),MATCH(COLUMNS($AC$1006:AC1006),$AC$1006:$AS$1006,0)), HYPERLINK("#",""), HYPERLINK(CONCATENATE("#Metadata!", ADDRESS(INDEX($X$2:$X$1001,MATCH(ROWS($V$2:V233),$V$2:$V$1001,0),0), INDEX($AC$1004:$AS$1004,1,MATCH(COLUMNS($AC$1006:AC1006),$AC$1006:$AS$1006,0)))),"Fix")))</f>
        <v>0</v>
      </c>
      <c r="C233" s="5">
        <f>IF(OR(INDEX($W$2:$W$1001,MATCH(ROWS($V$2:V233),$V$2:$V$1001,0),1)&gt;=100000,INDEX($AC$1005:$AS$1005,1,MATCH(COLUMNS($AC$1006:AD1006),$AC$1006:$AS$1006,0))&gt;=100000), " ",IF(INDEX($AC$2:$AS$1001,MATCH(ROWS($V$2:V233),$V$2:$V$1001,0),MATCH(COLUMNS($AC$1006:AD1006),$AC$1006:$AS$1006,0)), HYPERLINK("#",""), HYPERLINK(CONCATENATE("#Metadata!", ADDRESS(INDEX($X$2:$X$1001,MATCH(ROWS($V$2:V233),$V$2:$V$1001,0),0), INDEX($AC$1004:$AS$1004,1,MATCH(COLUMNS($AC$1006:AD1006),$AC$1006:$AS$1006,0)))),"Fix")))</f>
        <v>0</v>
      </c>
      <c r="D233" s="5">
        <f>IF(OR(INDEX($W$2:$W$1001,MATCH(ROWS($V$2:V233),$V$2:$V$1001,0),1)&gt;=100000,INDEX($AC$1005:$AS$1005,1,MATCH(COLUMNS($AC$1006:AE1006),$AC$1006:$AS$1006,0))&gt;=100000), " ",IF(INDEX($AC$2:$AS$1001,MATCH(ROWS($V$2:V233),$V$2:$V$1001,0),MATCH(COLUMNS($AC$1006:AE1006),$AC$1006:$AS$1006,0)), HYPERLINK("#",""), HYPERLINK(CONCATENATE("#Metadata!", ADDRESS(INDEX($X$2:$X$1001,MATCH(ROWS($V$2:V233),$V$2:$V$1001,0),0), INDEX($AC$1004:$AS$1004,1,MATCH(COLUMNS($AC$1006:AE1006),$AC$1006:$AS$1006,0)))),"Fix")))</f>
        <v>0</v>
      </c>
      <c r="E233" s="5">
        <f>IF(OR(INDEX($W$2:$W$1001,MATCH(ROWS($V$2:V233),$V$2:$V$1001,0),1)&gt;=100000,INDEX($AC$1005:$AS$1005,1,MATCH(COLUMNS($AC$1006:AF1006),$AC$1006:$AS$1006,0))&gt;=100000), " ",IF(INDEX($AC$2:$AS$1001,MATCH(ROWS($V$2:V233),$V$2:$V$1001,0),MATCH(COLUMNS($AC$1006:AF1006),$AC$1006:$AS$1006,0)), HYPERLINK("#",""), HYPERLINK(CONCATENATE("#Metadata!", ADDRESS(INDEX($X$2:$X$1001,MATCH(ROWS($V$2:V233),$V$2:$V$1001,0),0), INDEX($AC$1004:$AS$1004,1,MATCH(COLUMNS($AC$1006:AF1006),$AC$1006:$AS$1006,0)))),"Fix")))</f>
        <v>0</v>
      </c>
      <c r="F233" s="5">
        <f>IF(OR(INDEX($W$2:$W$1001,MATCH(ROWS($V$2:V233),$V$2:$V$1001,0),1)&gt;=100000,INDEX($AC$1005:$AS$1005,1,MATCH(COLUMNS($AC$1006:AG1006),$AC$1006:$AS$1006,0))&gt;=100000), " ",IF(INDEX($AC$2:$AS$1001,MATCH(ROWS($V$2:V233),$V$2:$V$1001,0),MATCH(COLUMNS($AC$1006:AG1006),$AC$1006:$AS$1006,0)), HYPERLINK("#",""), HYPERLINK(CONCATENATE("#Metadata!", ADDRESS(INDEX($X$2:$X$1001,MATCH(ROWS($V$2:V233),$V$2:$V$1001,0),0), INDEX($AC$1004:$AS$1004,1,MATCH(COLUMNS($AC$1006:AG1006),$AC$1006:$AS$1006,0)))),"Fix")))</f>
        <v>0</v>
      </c>
      <c r="G233" s="5">
        <f>IF(OR(INDEX($W$2:$W$1001,MATCH(ROWS($V$2:V233),$V$2:$V$1001,0),1)&gt;=100000,INDEX($AC$1005:$AS$1005,1,MATCH(COLUMNS($AC$1006:AH1006),$AC$1006:$AS$1006,0))&gt;=100000), " ",IF(INDEX($AC$2:$AS$1001,MATCH(ROWS($V$2:V233),$V$2:$V$1001,0),MATCH(COLUMNS($AC$1006:AH1006),$AC$1006:$AS$1006,0)), HYPERLINK("#",""), HYPERLINK(CONCATENATE("#Metadata!", ADDRESS(INDEX($X$2:$X$1001,MATCH(ROWS($V$2:V233),$V$2:$V$1001,0),0), INDEX($AC$1004:$AS$1004,1,MATCH(COLUMNS($AC$1006:AH1006),$AC$1006:$AS$1006,0)))),"Fix")))</f>
        <v>0</v>
      </c>
      <c r="H233" s="5">
        <f>IF(OR(INDEX($W$2:$W$1001,MATCH(ROWS($V$2:V233),$V$2:$V$1001,0),1)&gt;=100000,INDEX($AC$1005:$AS$1005,1,MATCH(COLUMNS($AC$1006:AI1006),$AC$1006:$AS$1006,0))&gt;=100000), " ",IF(INDEX($AC$2:$AS$1001,MATCH(ROWS($V$2:V233),$V$2:$V$1001,0),MATCH(COLUMNS($AC$1006:AI1006),$AC$1006:$AS$1006,0)), HYPERLINK("#",""), HYPERLINK(CONCATENATE("#Metadata!", ADDRESS(INDEX($X$2:$X$1001,MATCH(ROWS($V$2:V233),$V$2:$V$1001,0),0), INDEX($AC$1004:$AS$1004,1,MATCH(COLUMNS($AC$1006:AI1006),$AC$1006:$AS$1006,0)))),"Fix")))</f>
        <v>0</v>
      </c>
      <c r="I233" s="5">
        <f>IF(OR(INDEX($W$2:$W$1001,MATCH(ROWS($V$2:V233),$V$2:$V$1001,0),1)&gt;=100000,INDEX($AC$1005:$AS$1005,1,MATCH(COLUMNS($AC$1006:AJ1006),$AC$1006:$AS$1006,0))&gt;=100000), " ",IF(INDEX($AC$2:$AS$1001,MATCH(ROWS($V$2:V233),$V$2:$V$1001,0),MATCH(COLUMNS($AC$1006:AJ1006),$AC$1006:$AS$1006,0)), HYPERLINK("#",""), HYPERLINK(CONCATENATE("#Metadata!", ADDRESS(INDEX($X$2:$X$1001,MATCH(ROWS($V$2:V233),$V$2:$V$1001,0),0), INDEX($AC$1004:$AS$1004,1,MATCH(COLUMNS($AC$1006:AJ1006),$AC$1006:$AS$1006,0)))),"Fix")))</f>
        <v>0</v>
      </c>
      <c r="J233" s="5">
        <f>IF(OR(INDEX($W$2:$W$1001,MATCH(ROWS($V$2:V233),$V$2:$V$1001,0),1)&gt;=100000,INDEX($AC$1005:$AS$1005,1,MATCH(COLUMNS($AC$1006:AK1006),$AC$1006:$AS$1006,0))&gt;=100000), " ",IF(INDEX($AC$2:$AS$1001,MATCH(ROWS($V$2:V233),$V$2:$V$1001,0),MATCH(COLUMNS($AC$1006:AK1006),$AC$1006:$AS$1006,0)), HYPERLINK("#",""), HYPERLINK(CONCATENATE("#Metadata!", ADDRESS(INDEX($X$2:$X$1001,MATCH(ROWS($V$2:V233),$V$2:$V$1001,0),0), INDEX($AC$1004:$AS$1004,1,MATCH(COLUMNS($AC$1006:AK1006),$AC$1006:$AS$1006,0)))),"Fix")))</f>
        <v>0</v>
      </c>
      <c r="K233" s="5">
        <f>IF(OR(INDEX($W$2:$W$1001,MATCH(ROWS($V$2:V233),$V$2:$V$1001,0),1)&gt;=100000,INDEX($AC$1005:$AS$1005,1,MATCH(COLUMNS($AC$1006:AL1006),$AC$1006:$AS$1006,0))&gt;=100000), " ",IF(INDEX($AC$2:$AS$1001,MATCH(ROWS($V$2:V233),$V$2:$V$1001,0),MATCH(COLUMNS($AC$1006:AL1006),$AC$1006:$AS$1006,0)), HYPERLINK("#",""), HYPERLINK(CONCATENATE("#Metadata!", ADDRESS(INDEX($X$2:$X$1001,MATCH(ROWS($V$2:V233),$V$2:$V$1001,0),0), INDEX($AC$1004:$AS$1004,1,MATCH(COLUMNS($AC$1006:AL1006),$AC$1006:$AS$1006,0)))),"Fix")))</f>
        <v>0</v>
      </c>
      <c r="L233" s="5">
        <f>IF(OR(INDEX($W$2:$W$1001,MATCH(ROWS($V$2:V233),$V$2:$V$1001,0),1)&gt;=100000,INDEX($AC$1005:$AS$1005,1,MATCH(COLUMNS($AC$1006:AM1006),$AC$1006:$AS$1006,0))&gt;=100000), " ",IF(INDEX($AC$2:$AS$1001,MATCH(ROWS($V$2:V233),$V$2:$V$1001,0),MATCH(COLUMNS($AC$1006:AM1006),$AC$1006:$AS$1006,0)), HYPERLINK("#",""), HYPERLINK(CONCATENATE("#Metadata!", ADDRESS(INDEX($X$2:$X$1001,MATCH(ROWS($V$2:V233),$V$2:$V$1001,0),0), INDEX($AC$1004:$AS$1004,1,MATCH(COLUMNS($AC$1006:AM1006),$AC$1006:$AS$1006,0)))),"Fix")))</f>
        <v>0</v>
      </c>
      <c r="M233" s="5">
        <f>IF(OR(INDEX($W$2:$W$1001,MATCH(ROWS($V$2:V233),$V$2:$V$1001,0),1)&gt;=100000,INDEX($AC$1005:$AS$1005,1,MATCH(COLUMNS($AC$1006:AN1006),$AC$1006:$AS$1006,0))&gt;=100000), " ",IF(INDEX($AC$2:$AS$1001,MATCH(ROWS($V$2:V233),$V$2:$V$1001,0),MATCH(COLUMNS($AC$1006:AN1006),$AC$1006:$AS$1006,0)), HYPERLINK("#",""), HYPERLINK(CONCATENATE("#Metadata!", ADDRESS(INDEX($X$2:$X$1001,MATCH(ROWS($V$2:V233),$V$2:$V$1001,0),0), INDEX($AC$1004:$AS$1004,1,MATCH(COLUMNS($AC$1006:AN1006),$AC$1006:$AS$1006,0)))),"Fix")))</f>
        <v>0</v>
      </c>
      <c r="N233" s="5">
        <f>IF(OR(INDEX($W$2:$W$1001,MATCH(ROWS($V$2:V233),$V$2:$V$1001,0),1)&gt;=100000,INDEX($AC$1005:$AS$1005,1,MATCH(COLUMNS($AC$1006:AO1006),$AC$1006:$AS$1006,0))&gt;=100000), " ",IF(INDEX($AC$2:$AS$1001,MATCH(ROWS($V$2:V233),$V$2:$V$1001,0),MATCH(COLUMNS($AC$1006:AO1006),$AC$1006:$AS$1006,0)), HYPERLINK("#",""), HYPERLINK(CONCATENATE("#Metadata!", ADDRESS(INDEX($X$2:$X$1001,MATCH(ROWS($V$2:V233),$V$2:$V$1001,0),0), INDEX($AC$1004:$AS$1004,1,MATCH(COLUMNS($AC$1006:AO1006),$AC$1006:$AS$1006,0)))),"Fix")))</f>
        <v>0</v>
      </c>
      <c r="O233" s="5">
        <f>IF(OR(INDEX($W$2:$W$1001,MATCH(ROWS($V$2:V233),$V$2:$V$1001,0),1)&gt;=100000,INDEX($AC$1005:$AS$1005,1,MATCH(COLUMNS($AC$1006:AP1006),$AC$1006:$AS$1006,0))&gt;=100000), " ",IF(INDEX($AC$2:$AS$1001,MATCH(ROWS($V$2:V233),$V$2:$V$1001,0),MATCH(COLUMNS($AC$1006:AP1006),$AC$1006:$AS$1006,0)), HYPERLINK("#",""), HYPERLINK(CONCATENATE("#Metadata!", ADDRESS(INDEX($X$2:$X$1001,MATCH(ROWS($V$2:V233),$V$2:$V$1001,0),0), INDEX($AC$1004:$AS$1004,1,MATCH(COLUMNS($AC$1006:AP1006),$AC$1006:$AS$1006,0)))),"Fix")))</f>
        <v>0</v>
      </c>
      <c r="P233" s="5">
        <f>IF(OR(INDEX($W$2:$W$1001,MATCH(ROWS($V$2:V233),$V$2:$V$1001,0),1)&gt;=100000,INDEX($AC$1005:$AS$1005,1,MATCH(COLUMNS($AC$1006:AQ1006),$AC$1006:$AS$1006,0))&gt;=100000), " ",IF(INDEX($AC$2:$AS$1001,MATCH(ROWS($V$2:V233),$V$2:$V$1001,0),MATCH(COLUMNS($AC$1006:AQ1006),$AC$1006:$AS$1006,0)), HYPERLINK("#",""), HYPERLINK(CONCATENATE("#Metadata!", ADDRESS(INDEX($X$2:$X$1001,MATCH(ROWS($V$2:V233),$V$2:$V$1001,0),0), INDEX($AC$1004:$AS$1004,1,MATCH(COLUMNS($AC$1006:AQ1006),$AC$1006:$AS$1006,0)))),"Fix")))</f>
        <v>0</v>
      </c>
      <c r="Q233" s="5">
        <f>IF(OR(INDEX($W$2:$W$1001,MATCH(ROWS($V$2:V233),$V$2:$V$1001,0),1)&gt;=100000,INDEX($AC$1005:$AS$1005,1,MATCH(COLUMNS($AC$1006:AR1006),$AC$1006:$AS$1006,0))&gt;=100000), " ",IF(INDEX($AC$2:$AS$1001,MATCH(ROWS($V$2:V233),$V$2:$V$1001,0),MATCH(COLUMNS($AC$1006:AR1006),$AC$1006:$AS$1006,0)), HYPERLINK("#",""), HYPERLINK(CONCATENATE("#Metadata!", ADDRESS(INDEX($X$2:$X$1001,MATCH(ROWS($V$2:V233),$V$2:$V$1001,0),0), INDEX($AC$1004:$AS$1004,1,MATCH(COLUMNS($AC$1006:AR1006),$AC$1006:$AS$1006,0)))),"Fix")))</f>
        <v>0</v>
      </c>
      <c r="R233" s="5">
        <f>IF(OR(INDEX($W$2:$W$1001,MATCH(ROWS($V$2:V233),$V$2:$V$1001,0),1)&gt;=100000,INDEX($AC$1005:$AS$1005,1,MATCH(COLUMNS($AC$1006:AS1006),$AC$1006:$AS$1006,0))&gt;=100000), " ",IF(INDEX($AC$2:$AS$1001,MATCH(ROWS($V$2:V233),$V$2:$V$1001,0),MATCH(COLUMNS($AC$1006:AS1006),$AC$1006:$AS$1006,0)), HYPERLINK("#",""), HYPERLINK(CONCATENATE("#Metadata!", ADDRESS(INDEX($X$2:$X$1001,MATCH(ROWS($V$2:V233),$V$2:$V$1001,0),0), INDEX($AC$1004:$AS$1004,1,MATCH(COLUMNS($AC$1006:AS1006),$AC$1006:$AS$1006,0)))),"Fix")))</f>
        <v>0</v>
      </c>
      <c r="V233">
        <v>0</v>
      </c>
      <c r="W233">
        <v>0</v>
      </c>
      <c r="X233">
        <v>0</v>
      </c>
      <c r="Y233">
        <f>IF(Z233,TRUE,AND(AC233:AS233))</f>
        <v>0</v>
      </c>
      <c r="Z233">
        <f>COUNTBLANK(Metadata!B233:R233)=COLUMNS(Metadata!B233:R233)</f>
        <v>0</v>
      </c>
      <c r="AA233">
        <v>0</v>
      </c>
      <c r="AC233">
        <f>AND(IF(Metadata!B233="",FALSE,TRUE),COUNTIF(Metadata!B:B, Metadata!B233) = 1,NOT(ISERROR(SUMPRODUCT(SEARCH(MID(Metadata!B233,ROW(INDIRECT("1:"&amp;LEN(Metadata!B233))), 1),"0123456789abcdefghijklmnopqrstuvwxyzABCDEFGHIJKLMNOPQRSTUVWXYZ.")))))</f>
        <v>0</v>
      </c>
      <c r="AD233">
        <f>AND(IF(Metadata!C233="",FALSE,TRUE),exact(Metadata!C233,"Host-associated"))</f>
        <v>0</v>
      </c>
      <c r="AE233">
        <f>AND(IF(Metadata!D233="",FALSE,TRUE),OR(exact(Metadata!D233,"Animal"),exact(Metadata!D233,"Fungus"),exact(Metadata!D233,"Plant")))</f>
        <v>0</v>
      </c>
      <c r="AF233">
        <f>AND(IF(Metadata!E233="",FALSE,TRUE),OR(exact(Metadata!E233,"Plant secretion"),exact(Metadata!E233,"Plant rhizosphere"),exact(Metadata!E233,"Plant surface"),exact(Metadata!E233,"Plant corpus"),exact(Metadata!E233,"Fungus surface"),exact(Metadata!E233,"Fungus corpus"),exact(Metadata!E233,"Animal surface"),exact(Metadata!E233,"Animal proximal gut"),exact(Metadata!E233,"Animal corpus"),exact(Metadata!E233,"Animal distal gut"),exact(Metadata!E233,"Animal secretion")))</f>
        <v>0</v>
      </c>
      <c r="AG233">
        <f>OR(AND(IF(Metadata!F233="",FALSE,TRUE),OR(exact(Metadata!F233,"not collected"),exact(Metadata!F233,"not provided"),exact(Metadata!F233,"restricted access"))),AND(IF(Metadata!F233="",FALSE,TRUE),OR(exact(Metadata!F233,"organism-associated habitat"),exact(Metadata!F233,"plant-associated habitat"),exact(Metadata!F233,"animal-associated habitat"),exact(Metadata!F233,"insecta-associated habitat"),exact(Metadata!F233,"mammalia-associated habitat"),exact(Metadata!F233,"human-associated habitat"),exact(Metadata!F233,"livestock-associated habitat"))))</f>
        <v>0</v>
      </c>
      <c r="AH233">
        <f>AND(IF(Metadata!G233="",FALSE,TRUE),exact(Metadata!G233,"host-associated"))</f>
        <v>0</v>
      </c>
      <c r="AI233">
        <f>OR(AND(IF(Metadata!H233="",FALSE,TRUE),OR(exact(Metadata!H233,"not collected"),exact(Metadata!H233,"not provided"))),AND(IF(Metadata!H233="",FALSE,ISNUMBER(VALUE(Metadata!H233))),Metadata!H233&gt;0))</f>
        <v>0</v>
      </c>
      <c r="AJ233">
        <f>AND(IF(Metadata!I233="",FALSE,TRUE),exact(Metadata!I233,"years"))</f>
        <v>0</v>
      </c>
      <c r="AK233">
        <f>IF(Metadata!J233="",FALSE,TRUE)</f>
        <v>0</v>
      </c>
      <c r="AL233">
        <f>OR(AND(IF(Metadata!K233="",FALSE,TRUE),OR(exact(Metadata!K233,"not collected"),exact(Metadata!K233,"not provided"))),AND(IF(Metadata!K233="",FALSE,ISNUMBER(VALUE(Metadata!K233))),Metadata!K233&gt;0))</f>
        <v>0</v>
      </c>
      <c r="AM233">
        <f>AND(IF(Metadata!L233="",FALSE,TRUE),exact(Metadata!L233,"cm"))</f>
        <v>0</v>
      </c>
      <c r="AN233">
        <f>IF(Metadata!M233="",FALSE,TRUE)</f>
        <v>0</v>
      </c>
      <c r="AO233">
        <f>OR(AND(IF(Metadata!N233="",FALSE,TRUE),OR(exact(Metadata!N233,"not applicable"),exact(Metadata!N233,"not collected"),exact(Metadata!N233,"not provided"))),AND(IF(Metadata!N233="",FALSE,IF(ISERROR(INT(Metadata!N233)),FALSE,INT(Metadata!N233)=Metadata!N233)),Metadata!N233&gt;0))</f>
        <v>0</v>
      </c>
      <c r="AP233">
        <f>OR(AND(IF(Metadata!O233="",FALSE,TRUE),OR(exact(Metadata!O233,"not collected"),exact(Metadata!O233,"not provided"))),AND(IF(Metadata!O233="",FALSE,ISNUMBER(VALUE(Metadata!O233))),Metadata!O233&gt;0))</f>
        <v>0</v>
      </c>
      <c r="AQ233">
        <f>AND(IF(Metadata!P233="",FALSE,TRUE),exact(Metadata!P233,"kg"))</f>
        <v>0</v>
      </c>
      <c r="AR233">
        <f>OR(AND(IF(Metadata!Q233="",FALSE,TRUE),OR(exact(Metadata!Q233,"not applicable"),exact(Metadata!Q233,"not collected"),exact(Metadata!Q233,"not provided"),exact(Metadata!Q233,"restricted access"))),IF(Metadata!Q233="",FALSE,IF(ISERROR(INT(Metadata!Q233)),FALSE,INT(Metadata!Q233)=Metadata!Q233)))</f>
        <v>0</v>
      </c>
      <c r="AS233">
        <f>AND(IF(Metadata!R233="",FALSE,TRUE),exact(Metadata!R233,"Not applicable"))</f>
        <v>0</v>
      </c>
    </row>
    <row r="234" spans="1:45">
      <c r="A234" s="4">
        <f>IF(B234=" "," ",HYPERLINK(CONCATENATE("#metadata!",ADDRESS(INDEX($X$2:$X$1001,MATCH(ROWS($V$2:V234),$V$2:$V$1001,0),0),2)),INDEX($AA$2:$AA$1001,MATCH(ROWS($V$2:V234),$V$2:$V$1001,0),0)))</f>
        <v>0</v>
      </c>
      <c r="B234" s="5">
        <f>IF(OR(INDEX($W$2:$W$1001,MATCH(ROWS($V$2:V234),$V$2:$V$1001,0),1)&gt;=100000,INDEX($AC$1005:$AS$1005,1,MATCH(COLUMNS($AC$1006:AC1006),$AC$1006:$AS$1006,0))&gt;=100000), " ",IF(INDEX($AC$2:$AS$1001,MATCH(ROWS($V$2:V234),$V$2:$V$1001,0),MATCH(COLUMNS($AC$1006:AC1006),$AC$1006:$AS$1006,0)), HYPERLINK("#",""), HYPERLINK(CONCATENATE("#Metadata!", ADDRESS(INDEX($X$2:$X$1001,MATCH(ROWS($V$2:V234),$V$2:$V$1001,0),0), INDEX($AC$1004:$AS$1004,1,MATCH(COLUMNS($AC$1006:AC1006),$AC$1006:$AS$1006,0)))),"Fix")))</f>
        <v>0</v>
      </c>
      <c r="C234" s="5">
        <f>IF(OR(INDEX($W$2:$W$1001,MATCH(ROWS($V$2:V234),$V$2:$V$1001,0),1)&gt;=100000,INDEX($AC$1005:$AS$1005,1,MATCH(COLUMNS($AC$1006:AD1006),$AC$1006:$AS$1006,0))&gt;=100000), " ",IF(INDEX($AC$2:$AS$1001,MATCH(ROWS($V$2:V234),$V$2:$V$1001,0),MATCH(COLUMNS($AC$1006:AD1006),$AC$1006:$AS$1006,0)), HYPERLINK("#",""), HYPERLINK(CONCATENATE("#Metadata!", ADDRESS(INDEX($X$2:$X$1001,MATCH(ROWS($V$2:V234),$V$2:$V$1001,0),0), INDEX($AC$1004:$AS$1004,1,MATCH(COLUMNS($AC$1006:AD1006),$AC$1006:$AS$1006,0)))),"Fix")))</f>
        <v>0</v>
      </c>
      <c r="D234" s="5">
        <f>IF(OR(INDEX($W$2:$W$1001,MATCH(ROWS($V$2:V234),$V$2:$V$1001,0),1)&gt;=100000,INDEX($AC$1005:$AS$1005,1,MATCH(COLUMNS($AC$1006:AE1006),$AC$1006:$AS$1006,0))&gt;=100000), " ",IF(INDEX($AC$2:$AS$1001,MATCH(ROWS($V$2:V234),$V$2:$V$1001,0),MATCH(COLUMNS($AC$1006:AE1006),$AC$1006:$AS$1006,0)), HYPERLINK("#",""), HYPERLINK(CONCATENATE("#Metadata!", ADDRESS(INDEX($X$2:$X$1001,MATCH(ROWS($V$2:V234),$V$2:$V$1001,0),0), INDEX($AC$1004:$AS$1004,1,MATCH(COLUMNS($AC$1006:AE1006),$AC$1006:$AS$1006,0)))),"Fix")))</f>
        <v>0</v>
      </c>
      <c r="E234" s="5">
        <f>IF(OR(INDEX($W$2:$W$1001,MATCH(ROWS($V$2:V234),$V$2:$V$1001,0),1)&gt;=100000,INDEX($AC$1005:$AS$1005,1,MATCH(COLUMNS($AC$1006:AF1006),$AC$1006:$AS$1006,0))&gt;=100000), " ",IF(INDEX($AC$2:$AS$1001,MATCH(ROWS($V$2:V234),$V$2:$V$1001,0),MATCH(COLUMNS($AC$1006:AF1006),$AC$1006:$AS$1006,0)), HYPERLINK("#",""), HYPERLINK(CONCATENATE("#Metadata!", ADDRESS(INDEX($X$2:$X$1001,MATCH(ROWS($V$2:V234),$V$2:$V$1001,0),0), INDEX($AC$1004:$AS$1004,1,MATCH(COLUMNS($AC$1006:AF1006),$AC$1006:$AS$1006,0)))),"Fix")))</f>
        <v>0</v>
      </c>
      <c r="F234" s="5">
        <f>IF(OR(INDEX($W$2:$W$1001,MATCH(ROWS($V$2:V234),$V$2:$V$1001,0),1)&gt;=100000,INDEX($AC$1005:$AS$1005,1,MATCH(COLUMNS($AC$1006:AG1006),$AC$1006:$AS$1006,0))&gt;=100000), " ",IF(INDEX($AC$2:$AS$1001,MATCH(ROWS($V$2:V234),$V$2:$V$1001,0),MATCH(COLUMNS($AC$1006:AG1006),$AC$1006:$AS$1006,0)), HYPERLINK("#",""), HYPERLINK(CONCATENATE("#Metadata!", ADDRESS(INDEX($X$2:$X$1001,MATCH(ROWS($V$2:V234),$V$2:$V$1001,0),0), INDEX($AC$1004:$AS$1004,1,MATCH(COLUMNS($AC$1006:AG1006),$AC$1006:$AS$1006,0)))),"Fix")))</f>
        <v>0</v>
      </c>
      <c r="G234" s="5">
        <f>IF(OR(INDEX($W$2:$W$1001,MATCH(ROWS($V$2:V234),$V$2:$V$1001,0),1)&gt;=100000,INDEX($AC$1005:$AS$1005,1,MATCH(COLUMNS($AC$1006:AH1006),$AC$1006:$AS$1006,0))&gt;=100000), " ",IF(INDEX($AC$2:$AS$1001,MATCH(ROWS($V$2:V234),$V$2:$V$1001,0),MATCH(COLUMNS($AC$1006:AH1006),$AC$1006:$AS$1006,0)), HYPERLINK("#",""), HYPERLINK(CONCATENATE("#Metadata!", ADDRESS(INDEX($X$2:$X$1001,MATCH(ROWS($V$2:V234),$V$2:$V$1001,0),0), INDEX($AC$1004:$AS$1004,1,MATCH(COLUMNS($AC$1006:AH1006),$AC$1006:$AS$1006,0)))),"Fix")))</f>
        <v>0</v>
      </c>
      <c r="H234" s="5">
        <f>IF(OR(INDEX($W$2:$W$1001,MATCH(ROWS($V$2:V234),$V$2:$V$1001,0),1)&gt;=100000,INDEX($AC$1005:$AS$1005,1,MATCH(COLUMNS($AC$1006:AI1006),$AC$1006:$AS$1006,0))&gt;=100000), " ",IF(INDEX($AC$2:$AS$1001,MATCH(ROWS($V$2:V234),$V$2:$V$1001,0),MATCH(COLUMNS($AC$1006:AI1006),$AC$1006:$AS$1006,0)), HYPERLINK("#",""), HYPERLINK(CONCATENATE("#Metadata!", ADDRESS(INDEX($X$2:$X$1001,MATCH(ROWS($V$2:V234),$V$2:$V$1001,0),0), INDEX($AC$1004:$AS$1004,1,MATCH(COLUMNS($AC$1006:AI1006),$AC$1006:$AS$1006,0)))),"Fix")))</f>
        <v>0</v>
      </c>
      <c r="I234" s="5">
        <f>IF(OR(INDEX($W$2:$W$1001,MATCH(ROWS($V$2:V234),$V$2:$V$1001,0),1)&gt;=100000,INDEX($AC$1005:$AS$1005,1,MATCH(COLUMNS($AC$1006:AJ1006),$AC$1006:$AS$1006,0))&gt;=100000), " ",IF(INDEX($AC$2:$AS$1001,MATCH(ROWS($V$2:V234),$V$2:$V$1001,0),MATCH(COLUMNS($AC$1006:AJ1006),$AC$1006:$AS$1006,0)), HYPERLINK("#",""), HYPERLINK(CONCATENATE("#Metadata!", ADDRESS(INDEX($X$2:$X$1001,MATCH(ROWS($V$2:V234),$V$2:$V$1001,0),0), INDEX($AC$1004:$AS$1004,1,MATCH(COLUMNS($AC$1006:AJ1006),$AC$1006:$AS$1006,0)))),"Fix")))</f>
        <v>0</v>
      </c>
      <c r="J234" s="5">
        <f>IF(OR(INDEX($W$2:$W$1001,MATCH(ROWS($V$2:V234),$V$2:$V$1001,0),1)&gt;=100000,INDEX($AC$1005:$AS$1005,1,MATCH(COLUMNS($AC$1006:AK1006),$AC$1006:$AS$1006,0))&gt;=100000), " ",IF(INDEX($AC$2:$AS$1001,MATCH(ROWS($V$2:V234),$V$2:$V$1001,0),MATCH(COLUMNS($AC$1006:AK1006),$AC$1006:$AS$1006,0)), HYPERLINK("#",""), HYPERLINK(CONCATENATE("#Metadata!", ADDRESS(INDEX($X$2:$X$1001,MATCH(ROWS($V$2:V234),$V$2:$V$1001,0),0), INDEX($AC$1004:$AS$1004,1,MATCH(COLUMNS($AC$1006:AK1006),$AC$1006:$AS$1006,0)))),"Fix")))</f>
        <v>0</v>
      </c>
      <c r="K234" s="5">
        <f>IF(OR(INDEX($W$2:$W$1001,MATCH(ROWS($V$2:V234),$V$2:$V$1001,0),1)&gt;=100000,INDEX($AC$1005:$AS$1005,1,MATCH(COLUMNS($AC$1006:AL1006),$AC$1006:$AS$1006,0))&gt;=100000), " ",IF(INDEX($AC$2:$AS$1001,MATCH(ROWS($V$2:V234),$V$2:$V$1001,0),MATCH(COLUMNS($AC$1006:AL1006),$AC$1006:$AS$1006,0)), HYPERLINK("#",""), HYPERLINK(CONCATENATE("#Metadata!", ADDRESS(INDEX($X$2:$X$1001,MATCH(ROWS($V$2:V234),$V$2:$V$1001,0),0), INDEX($AC$1004:$AS$1004,1,MATCH(COLUMNS($AC$1006:AL1006),$AC$1006:$AS$1006,0)))),"Fix")))</f>
        <v>0</v>
      </c>
      <c r="L234" s="5">
        <f>IF(OR(INDEX($W$2:$W$1001,MATCH(ROWS($V$2:V234),$V$2:$V$1001,0),1)&gt;=100000,INDEX($AC$1005:$AS$1005,1,MATCH(COLUMNS($AC$1006:AM1006),$AC$1006:$AS$1006,0))&gt;=100000), " ",IF(INDEX($AC$2:$AS$1001,MATCH(ROWS($V$2:V234),$V$2:$V$1001,0),MATCH(COLUMNS($AC$1006:AM1006),$AC$1006:$AS$1006,0)), HYPERLINK("#",""), HYPERLINK(CONCATENATE("#Metadata!", ADDRESS(INDEX($X$2:$X$1001,MATCH(ROWS($V$2:V234),$V$2:$V$1001,0),0), INDEX($AC$1004:$AS$1004,1,MATCH(COLUMNS($AC$1006:AM1006),$AC$1006:$AS$1006,0)))),"Fix")))</f>
        <v>0</v>
      </c>
      <c r="M234" s="5">
        <f>IF(OR(INDEX($W$2:$W$1001,MATCH(ROWS($V$2:V234),$V$2:$V$1001,0),1)&gt;=100000,INDEX($AC$1005:$AS$1005,1,MATCH(COLUMNS($AC$1006:AN1006),$AC$1006:$AS$1006,0))&gt;=100000), " ",IF(INDEX($AC$2:$AS$1001,MATCH(ROWS($V$2:V234),$V$2:$V$1001,0),MATCH(COLUMNS($AC$1006:AN1006),$AC$1006:$AS$1006,0)), HYPERLINK("#",""), HYPERLINK(CONCATENATE("#Metadata!", ADDRESS(INDEX($X$2:$X$1001,MATCH(ROWS($V$2:V234),$V$2:$V$1001,0),0), INDEX($AC$1004:$AS$1004,1,MATCH(COLUMNS($AC$1006:AN1006),$AC$1006:$AS$1006,0)))),"Fix")))</f>
        <v>0</v>
      </c>
      <c r="N234" s="5">
        <f>IF(OR(INDEX($W$2:$W$1001,MATCH(ROWS($V$2:V234),$V$2:$V$1001,0),1)&gt;=100000,INDEX($AC$1005:$AS$1005,1,MATCH(COLUMNS($AC$1006:AO1006),$AC$1006:$AS$1006,0))&gt;=100000), " ",IF(INDEX($AC$2:$AS$1001,MATCH(ROWS($V$2:V234),$V$2:$V$1001,0),MATCH(COLUMNS($AC$1006:AO1006),$AC$1006:$AS$1006,0)), HYPERLINK("#",""), HYPERLINK(CONCATENATE("#Metadata!", ADDRESS(INDEX($X$2:$X$1001,MATCH(ROWS($V$2:V234),$V$2:$V$1001,0),0), INDEX($AC$1004:$AS$1004,1,MATCH(COLUMNS($AC$1006:AO1006),$AC$1006:$AS$1006,0)))),"Fix")))</f>
        <v>0</v>
      </c>
      <c r="O234" s="5">
        <f>IF(OR(INDEX($W$2:$W$1001,MATCH(ROWS($V$2:V234),$V$2:$V$1001,0),1)&gt;=100000,INDEX($AC$1005:$AS$1005,1,MATCH(COLUMNS($AC$1006:AP1006),$AC$1006:$AS$1006,0))&gt;=100000), " ",IF(INDEX($AC$2:$AS$1001,MATCH(ROWS($V$2:V234),$V$2:$V$1001,0),MATCH(COLUMNS($AC$1006:AP1006),$AC$1006:$AS$1006,0)), HYPERLINK("#",""), HYPERLINK(CONCATENATE("#Metadata!", ADDRESS(INDEX($X$2:$X$1001,MATCH(ROWS($V$2:V234),$V$2:$V$1001,0),0), INDEX($AC$1004:$AS$1004,1,MATCH(COLUMNS($AC$1006:AP1006),$AC$1006:$AS$1006,0)))),"Fix")))</f>
        <v>0</v>
      </c>
      <c r="P234" s="5">
        <f>IF(OR(INDEX($W$2:$W$1001,MATCH(ROWS($V$2:V234),$V$2:$V$1001,0),1)&gt;=100000,INDEX($AC$1005:$AS$1005,1,MATCH(COLUMNS($AC$1006:AQ1006),$AC$1006:$AS$1006,0))&gt;=100000), " ",IF(INDEX($AC$2:$AS$1001,MATCH(ROWS($V$2:V234),$V$2:$V$1001,0),MATCH(COLUMNS($AC$1006:AQ1006),$AC$1006:$AS$1006,0)), HYPERLINK("#",""), HYPERLINK(CONCATENATE("#Metadata!", ADDRESS(INDEX($X$2:$X$1001,MATCH(ROWS($V$2:V234),$V$2:$V$1001,0),0), INDEX($AC$1004:$AS$1004,1,MATCH(COLUMNS($AC$1006:AQ1006),$AC$1006:$AS$1006,0)))),"Fix")))</f>
        <v>0</v>
      </c>
      <c r="Q234" s="5">
        <f>IF(OR(INDEX($W$2:$W$1001,MATCH(ROWS($V$2:V234),$V$2:$V$1001,0),1)&gt;=100000,INDEX($AC$1005:$AS$1005,1,MATCH(COLUMNS($AC$1006:AR1006),$AC$1006:$AS$1006,0))&gt;=100000), " ",IF(INDEX($AC$2:$AS$1001,MATCH(ROWS($V$2:V234),$V$2:$V$1001,0),MATCH(COLUMNS($AC$1006:AR1006),$AC$1006:$AS$1006,0)), HYPERLINK("#",""), HYPERLINK(CONCATENATE("#Metadata!", ADDRESS(INDEX($X$2:$X$1001,MATCH(ROWS($V$2:V234),$V$2:$V$1001,0),0), INDEX($AC$1004:$AS$1004,1,MATCH(COLUMNS($AC$1006:AR1006),$AC$1006:$AS$1006,0)))),"Fix")))</f>
        <v>0</v>
      </c>
      <c r="R234" s="5">
        <f>IF(OR(INDEX($W$2:$W$1001,MATCH(ROWS($V$2:V234),$V$2:$V$1001,0),1)&gt;=100000,INDEX($AC$1005:$AS$1005,1,MATCH(COLUMNS($AC$1006:AS1006),$AC$1006:$AS$1006,0))&gt;=100000), " ",IF(INDEX($AC$2:$AS$1001,MATCH(ROWS($V$2:V234),$V$2:$V$1001,0),MATCH(COLUMNS($AC$1006:AS1006),$AC$1006:$AS$1006,0)), HYPERLINK("#",""), HYPERLINK(CONCATENATE("#Metadata!", ADDRESS(INDEX($X$2:$X$1001,MATCH(ROWS($V$2:V234),$V$2:$V$1001,0),0), INDEX($AC$1004:$AS$1004,1,MATCH(COLUMNS($AC$1006:AS1006),$AC$1006:$AS$1006,0)))),"Fix")))</f>
        <v>0</v>
      </c>
      <c r="V234">
        <v>0</v>
      </c>
      <c r="W234">
        <v>0</v>
      </c>
      <c r="X234">
        <v>0</v>
      </c>
      <c r="Y234">
        <f>IF(Z234,TRUE,AND(AC234:AS234))</f>
        <v>0</v>
      </c>
      <c r="Z234">
        <f>COUNTBLANK(Metadata!B234:R234)=COLUMNS(Metadata!B234:R234)</f>
        <v>0</v>
      </c>
      <c r="AA234">
        <v>0</v>
      </c>
      <c r="AC234">
        <f>AND(IF(Metadata!B234="",FALSE,TRUE),COUNTIF(Metadata!B:B, Metadata!B234) = 1,NOT(ISERROR(SUMPRODUCT(SEARCH(MID(Metadata!B234,ROW(INDIRECT("1:"&amp;LEN(Metadata!B234))), 1),"0123456789abcdefghijklmnopqrstuvwxyzABCDEFGHIJKLMNOPQRSTUVWXYZ.")))))</f>
        <v>0</v>
      </c>
      <c r="AD234">
        <f>AND(IF(Metadata!C234="",FALSE,TRUE),exact(Metadata!C234,"Host-associated"))</f>
        <v>0</v>
      </c>
      <c r="AE234">
        <f>AND(IF(Metadata!D234="",FALSE,TRUE),OR(exact(Metadata!D234,"Animal"),exact(Metadata!D234,"Fungus"),exact(Metadata!D234,"Plant")))</f>
        <v>0</v>
      </c>
      <c r="AF234">
        <f>AND(IF(Metadata!E234="",FALSE,TRUE),OR(exact(Metadata!E234,"Plant secretion"),exact(Metadata!E234,"Plant rhizosphere"),exact(Metadata!E234,"Plant surface"),exact(Metadata!E234,"Plant corpus"),exact(Metadata!E234,"Fungus surface"),exact(Metadata!E234,"Fungus corpus"),exact(Metadata!E234,"Animal surface"),exact(Metadata!E234,"Animal proximal gut"),exact(Metadata!E234,"Animal corpus"),exact(Metadata!E234,"Animal distal gut"),exact(Metadata!E234,"Animal secretion")))</f>
        <v>0</v>
      </c>
      <c r="AG234">
        <f>OR(AND(IF(Metadata!F234="",FALSE,TRUE),OR(exact(Metadata!F234,"not collected"),exact(Metadata!F234,"not provided"),exact(Metadata!F234,"restricted access"))),AND(IF(Metadata!F234="",FALSE,TRUE),OR(exact(Metadata!F234,"organism-associated habitat"),exact(Metadata!F234,"plant-associated habitat"),exact(Metadata!F234,"animal-associated habitat"),exact(Metadata!F234,"insecta-associated habitat"),exact(Metadata!F234,"mammalia-associated habitat"),exact(Metadata!F234,"human-associated habitat"),exact(Metadata!F234,"livestock-associated habitat"))))</f>
        <v>0</v>
      </c>
      <c r="AH234">
        <f>AND(IF(Metadata!G234="",FALSE,TRUE),exact(Metadata!G234,"host-associated"))</f>
        <v>0</v>
      </c>
      <c r="AI234">
        <f>OR(AND(IF(Metadata!H234="",FALSE,TRUE),OR(exact(Metadata!H234,"not collected"),exact(Metadata!H234,"not provided"))),AND(IF(Metadata!H234="",FALSE,ISNUMBER(VALUE(Metadata!H234))),Metadata!H234&gt;0))</f>
        <v>0</v>
      </c>
      <c r="AJ234">
        <f>AND(IF(Metadata!I234="",FALSE,TRUE),exact(Metadata!I234,"years"))</f>
        <v>0</v>
      </c>
      <c r="AK234">
        <f>IF(Metadata!J234="",FALSE,TRUE)</f>
        <v>0</v>
      </c>
      <c r="AL234">
        <f>OR(AND(IF(Metadata!K234="",FALSE,TRUE),OR(exact(Metadata!K234,"not collected"),exact(Metadata!K234,"not provided"))),AND(IF(Metadata!K234="",FALSE,ISNUMBER(VALUE(Metadata!K234))),Metadata!K234&gt;0))</f>
        <v>0</v>
      </c>
      <c r="AM234">
        <f>AND(IF(Metadata!L234="",FALSE,TRUE),exact(Metadata!L234,"cm"))</f>
        <v>0</v>
      </c>
      <c r="AN234">
        <f>IF(Metadata!M234="",FALSE,TRUE)</f>
        <v>0</v>
      </c>
      <c r="AO234">
        <f>OR(AND(IF(Metadata!N234="",FALSE,TRUE),OR(exact(Metadata!N234,"not applicable"),exact(Metadata!N234,"not collected"),exact(Metadata!N234,"not provided"))),AND(IF(Metadata!N234="",FALSE,IF(ISERROR(INT(Metadata!N234)),FALSE,INT(Metadata!N234)=Metadata!N234)),Metadata!N234&gt;0))</f>
        <v>0</v>
      </c>
      <c r="AP234">
        <f>OR(AND(IF(Metadata!O234="",FALSE,TRUE),OR(exact(Metadata!O234,"not collected"),exact(Metadata!O234,"not provided"))),AND(IF(Metadata!O234="",FALSE,ISNUMBER(VALUE(Metadata!O234))),Metadata!O234&gt;0))</f>
        <v>0</v>
      </c>
      <c r="AQ234">
        <f>AND(IF(Metadata!P234="",FALSE,TRUE),exact(Metadata!P234,"kg"))</f>
        <v>0</v>
      </c>
      <c r="AR234">
        <f>OR(AND(IF(Metadata!Q234="",FALSE,TRUE),OR(exact(Metadata!Q234,"not applicable"),exact(Metadata!Q234,"not collected"),exact(Metadata!Q234,"not provided"),exact(Metadata!Q234,"restricted access"))),IF(Metadata!Q234="",FALSE,IF(ISERROR(INT(Metadata!Q234)),FALSE,INT(Metadata!Q234)=Metadata!Q234)))</f>
        <v>0</v>
      </c>
      <c r="AS234">
        <f>AND(IF(Metadata!R234="",FALSE,TRUE),exact(Metadata!R234,"Not applicable"))</f>
        <v>0</v>
      </c>
    </row>
    <row r="235" spans="1:45">
      <c r="A235" s="4">
        <f>IF(B235=" "," ",HYPERLINK(CONCATENATE("#metadata!",ADDRESS(INDEX($X$2:$X$1001,MATCH(ROWS($V$2:V235),$V$2:$V$1001,0),0),2)),INDEX($AA$2:$AA$1001,MATCH(ROWS($V$2:V235),$V$2:$V$1001,0),0)))</f>
        <v>0</v>
      </c>
      <c r="B235" s="5">
        <f>IF(OR(INDEX($W$2:$W$1001,MATCH(ROWS($V$2:V235),$V$2:$V$1001,0),1)&gt;=100000,INDEX($AC$1005:$AS$1005,1,MATCH(COLUMNS($AC$1006:AC1006),$AC$1006:$AS$1006,0))&gt;=100000), " ",IF(INDEX($AC$2:$AS$1001,MATCH(ROWS($V$2:V235),$V$2:$V$1001,0),MATCH(COLUMNS($AC$1006:AC1006),$AC$1006:$AS$1006,0)), HYPERLINK("#",""), HYPERLINK(CONCATENATE("#Metadata!", ADDRESS(INDEX($X$2:$X$1001,MATCH(ROWS($V$2:V235),$V$2:$V$1001,0),0), INDEX($AC$1004:$AS$1004,1,MATCH(COLUMNS($AC$1006:AC1006),$AC$1006:$AS$1006,0)))),"Fix")))</f>
        <v>0</v>
      </c>
      <c r="C235" s="5">
        <f>IF(OR(INDEX($W$2:$W$1001,MATCH(ROWS($V$2:V235),$V$2:$V$1001,0),1)&gt;=100000,INDEX($AC$1005:$AS$1005,1,MATCH(COLUMNS($AC$1006:AD1006),$AC$1006:$AS$1006,0))&gt;=100000), " ",IF(INDEX($AC$2:$AS$1001,MATCH(ROWS($V$2:V235),$V$2:$V$1001,0),MATCH(COLUMNS($AC$1006:AD1006),$AC$1006:$AS$1006,0)), HYPERLINK("#",""), HYPERLINK(CONCATENATE("#Metadata!", ADDRESS(INDEX($X$2:$X$1001,MATCH(ROWS($V$2:V235),$V$2:$V$1001,0),0), INDEX($AC$1004:$AS$1004,1,MATCH(COLUMNS($AC$1006:AD1006),$AC$1006:$AS$1006,0)))),"Fix")))</f>
        <v>0</v>
      </c>
      <c r="D235" s="5">
        <f>IF(OR(INDEX($W$2:$W$1001,MATCH(ROWS($V$2:V235),$V$2:$V$1001,0),1)&gt;=100000,INDEX($AC$1005:$AS$1005,1,MATCH(COLUMNS($AC$1006:AE1006),$AC$1006:$AS$1006,0))&gt;=100000), " ",IF(INDEX($AC$2:$AS$1001,MATCH(ROWS($V$2:V235),$V$2:$V$1001,0),MATCH(COLUMNS($AC$1006:AE1006),$AC$1006:$AS$1006,0)), HYPERLINK("#",""), HYPERLINK(CONCATENATE("#Metadata!", ADDRESS(INDEX($X$2:$X$1001,MATCH(ROWS($V$2:V235),$V$2:$V$1001,0),0), INDEX($AC$1004:$AS$1004,1,MATCH(COLUMNS($AC$1006:AE1006),$AC$1006:$AS$1006,0)))),"Fix")))</f>
        <v>0</v>
      </c>
      <c r="E235" s="5">
        <f>IF(OR(INDEX($W$2:$W$1001,MATCH(ROWS($V$2:V235),$V$2:$V$1001,0),1)&gt;=100000,INDEX($AC$1005:$AS$1005,1,MATCH(COLUMNS($AC$1006:AF1006),$AC$1006:$AS$1006,0))&gt;=100000), " ",IF(INDEX($AC$2:$AS$1001,MATCH(ROWS($V$2:V235),$V$2:$V$1001,0),MATCH(COLUMNS($AC$1006:AF1006),$AC$1006:$AS$1006,0)), HYPERLINK("#",""), HYPERLINK(CONCATENATE("#Metadata!", ADDRESS(INDEX($X$2:$X$1001,MATCH(ROWS($V$2:V235),$V$2:$V$1001,0),0), INDEX($AC$1004:$AS$1004,1,MATCH(COLUMNS($AC$1006:AF1006),$AC$1006:$AS$1006,0)))),"Fix")))</f>
        <v>0</v>
      </c>
      <c r="F235" s="5">
        <f>IF(OR(INDEX($W$2:$W$1001,MATCH(ROWS($V$2:V235),$V$2:$V$1001,0),1)&gt;=100000,INDEX($AC$1005:$AS$1005,1,MATCH(COLUMNS($AC$1006:AG1006),$AC$1006:$AS$1006,0))&gt;=100000), " ",IF(INDEX($AC$2:$AS$1001,MATCH(ROWS($V$2:V235),$V$2:$V$1001,0),MATCH(COLUMNS($AC$1006:AG1006),$AC$1006:$AS$1006,0)), HYPERLINK("#",""), HYPERLINK(CONCATENATE("#Metadata!", ADDRESS(INDEX($X$2:$X$1001,MATCH(ROWS($V$2:V235),$V$2:$V$1001,0),0), INDEX($AC$1004:$AS$1004,1,MATCH(COLUMNS($AC$1006:AG1006),$AC$1006:$AS$1006,0)))),"Fix")))</f>
        <v>0</v>
      </c>
      <c r="G235" s="5">
        <f>IF(OR(INDEX($W$2:$W$1001,MATCH(ROWS($V$2:V235),$V$2:$V$1001,0),1)&gt;=100000,INDEX($AC$1005:$AS$1005,1,MATCH(COLUMNS($AC$1006:AH1006),$AC$1006:$AS$1006,0))&gt;=100000), " ",IF(INDEX($AC$2:$AS$1001,MATCH(ROWS($V$2:V235),$V$2:$V$1001,0),MATCH(COLUMNS($AC$1006:AH1006),$AC$1006:$AS$1006,0)), HYPERLINK("#",""), HYPERLINK(CONCATENATE("#Metadata!", ADDRESS(INDEX($X$2:$X$1001,MATCH(ROWS($V$2:V235),$V$2:$V$1001,0),0), INDEX($AC$1004:$AS$1004,1,MATCH(COLUMNS($AC$1006:AH1006),$AC$1006:$AS$1006,0)))),"Fix")))</f>
        <v>0</v>
      </c>
      <c r="H235" s="5">
        <f>IF(OR(INDEX($W$2:$W$1001,MATCH(ROWS($V$2:V235),$V$2:$V$1001,0),1)&gt;=100000,INDEX($AC$1005:$AS$1005,1,MATCH(COLUMNS($AC$1006:AI1006),$AC$1006:$AS$1006,0))&gt;=100000), " ",IF(INDEX($AC$2:$AS$1001,MATCH(ROWS($V$2:V235),$V$2:$V$1001,0),MATCH(COLUMNS($AC$1006:AI1006),$AC$1006:$AS$1006,0)), HYPERLINK("#",""), HYPERLINK(CONCATENATE("#Metadata!", ADDRESS(INDEX($X$2:$X$1001,MATCH(ROWS($V$2:V235),$V$2:$V$1001,0),0), INDEX($AC$1004:$AS$1004,1,MATCH(COLUMNS($AC$1006:AI1006),$AC$1006:$AS$1006,0)))),"Fix")))</f>
        <v>0</v>
      </c>
      <c r="I235" s="5">
        <f>IF(OR(INDEX($W$2:$W$1001,MATCH(ROWS($V$2:V235),$V$2:$V$1001,0),1)&gt;=100000,INDEX($AC$1005:$AS$1005,1,MATCH(COLUMNS($AC$1006:AJ1006),$AC$1006:$AS$1006,0))&gt;=100000), " ",IF(INDEX($AC$2:$AS$1001,MATCH(ROWS($V$2:V235),$V$2:$V$1001,0),MATCH(COLUMNS($AC$1006:AJ1006),$AC$1006:$AS$1006,0)), HYPERLINK("#",""), HYPERLINK(CONCATENATE("#Metadata!", ADDRESS(INDEX($X$2:$X$1001,MATCH(ROWS($V$2:V235),$V$2:$V$1001,0),0), INDEX($AC$1004:$AS$1004,1,MATCH(COLUMNS($AC$1006:AJ1006),$AC$1006:$AS$1006,0)))),"Fix")))</f>
        <v>0</v>
      </c>
      <c r="J235" s="5">
        <f>IF(OR(INDEX($W$2:$W$1001,MATCH(ROWS($V$2:V235),$V$2:$V$1001,0),1)&gt;=100000,INDEX($AC$1005:$AS$1005,1,MATCH(COLUMNS($AC$1006:AK1006),$AC$1006:$AS$1006,0))&gt;=100000), " ",IF(INDEX($AC$2:$AS$1001,MATCH(ROWS($V$2:V235),$V$2:$V$1001,0),MATCH(COLUMNS($AC$1006:AK1006),$AC$1006:$AS$1006,0)), HYPERLINK("#",""), HYPERLINK(CONCATENATE("#Metadata!", ADDRESS(INDEX($X$2:$X$1001,MATCH(ROWS($V$2:V235),$V$2:$V$1001,0),0), INDEX($AC$1004:$AS$1004,1,MATCH(COLUMNS($AC$1006:AK1006),$AC$1006:$AS$1006,0)))),"Fix")))</f>
        <v>0</v>
      </c>
      <c r="K235" s="5">
        <f>IF(OR(INDEX($W$2:$W$1001,MATCH(ROWS($V$2:V235),$V$2:$V$1001,0),1)&gt;=100000,INDEX($AC$1005:$AS$1005,1,MATCH(COLUMNS($AC$1006:AL1006),$AC$1006:$AS$1006,0))&gt;=100000), " ",IF(INDEX($AC$2:$AS$1001,MATCH(ROWS($V$2:V235),$V$2:$V$1001,0),MATCH(COLUMNS($AC$1006:AL1006),$AC$1006:$AS$1006,0)), HYPERLINK("#",""), HYPERLINK(CONCATENATE("#Metadata!", ADDRESS(INDEX($X$2:$X$1001,MATCH(ROWS($V$2:V235),$V$2:$V$1001,0),0), INDEX($AC$1004:$AS$1004,1,MATCH(COLUMNS($AC$1006:AL1006),$AC$1006:$AS$1006,0)))),"Fix")))</f>
        <v>0</v>
      </c>
      <c r="L235" s="5">
        <f>IF(OR(INDEX($W$2:$W$1001,MATCH(ROWS($V$2:V235),$V$2:$V$1001,0),1)&gt;=100000,INDEX($AC$1005:$AS$1005,1,MATCH(COLUMNS($AC$1006:AM1006),$AC$1006:$AS$1006,0))&gt;=100000), " ",IF(INDEX($AC$2:$AS$1001,MATCH(ROWS($V$2:V235),$V$2:$V$1001,0),MATCH(COLUMNS($AC$1006:AM1006),$AC$1006:$AS$1006,0)), HYPERLINK("#",""), HYPERLINK(CONCATENATE("#Metadata!", ADDRESS(INDEX($X$2:$X$1001,MATCH(ROWS($V$2:V235),$V$2:$V$1001,0),0), INDEX($AC$1004:$AS$1004,1,MATCH(COLUMNS($AC$1006:AM1006),$AC$1006:$AS$1006,0)))),"Fix")))</f>
        <v>0</v>
      </c>
      <c r="M235" s="5">
        <f>IF(OR(INDEX($W$2:$W$1001,MATCH(ROWS($V$2:V235),$V$2:$V$1001,0),1)&gt;=100000,INDEX($AC$1005:$AS$1005,1,MATCH(COLUMNS($AC$1006:AN1006),$AC$1006:$AS$1006,0))&gt;=100000), " ",IF(INDEX($AC$2:$AS$1001,MATCH(ROWS($V$2:V235),$V$2:$V$1001,0),MATCH(COLUMNS($AC$1006:AN1006),$AC$1006:$AS$1006,0)), HYPERLINK("#",""), HYPERLINK(CONCATENATE("#Metadata!", ADDRESS(INDEX($X$2:$X$1001,MATCH(ROWS($V$2:V235),$V$2:$V$1001,0),0), INDEX($AC$1004:$AS$1004,1,MATCH(COLUMNS($AC$1006:AN1006),$AC$1006:$AS$1006,0)))),"Fix")))</f>
        <v>0</v>
      </c>
      <c r="N235" s="5">
        <f>IF(OR(INDEX($W$2:$W$1001,MATCH(ROWS($V$2:V235),$V$2:$V$1001,0),1)&gt;=100000,INDEX($AC$1005:$AS$1005,1,MATCH(COLUMNS($AC$1006:AO1006),$AC$1006:$AS$1006,0))&gt;=100000), " ",IF(INDEX($AC$2:$AS$1001,MATCH(ROWS($V$2:V235),$V$2:$V$1001,0),MATCH(COLUMNS($AC$1006:AO1006),$AC$1006:$AS$1006,0)), HYPERLINK("#",""), HYPERLINK(CONCATENATE("#Metadata!", ADDRESS(INDEX($X$2:$X$1001,MATCH(ROWS($V$2:V235),$V$2:$V$1001,0),0), INDEX($AC$1004:$AS$1004,1,MATCH(COLUMNS($AC$1006:AO1006),$AC$1006:$AS$1006,0)))),"Fix")))</f>
        <v>0</v>
      </c>
      <c r="O235" s="5">
        <f>IF(OR(INDEX($W$2:$W$1001,MATCH(ROWS($V$2:V235),$V$2:$V$1001,0),1)&gt;=100000,INDEX($AC$1005:$AS$1005,1,MATCH(COLUMNS($AC$1006:AP1006),$AC$1006:$AS$1006,0))&gt;=100000), " ",IF(INDEX($AC$2:$AS$1001,MATCH(ROWS($V$2:V235),$V$2:$V$1001,0),MATCH(COLUMNS($AC$1006:AP1006),$AC$1006:$AS$1006,0)), HYPERLINK("#",""), HYPERLINK(CONCATENATE("#Metadata!", ADDRESS(INDEX($X$2:$X$1001,MATCH(ROWS($V$2:V235),$V$2:$V$1001,0),0), INDEX($AC$1004:$AS$1004,1,MATCH(COLUMNS($AC$1006:AP1006),$AC$1006:$AS$1006,0)))),"Fix")))</f>
        <v>0</v>
      </c>
      <c r="P235" s="5">
        <f>IF(OR(INDEX($W$2:$W$1001,MATCH(ROWS($V$2:V235),$V$2:$V$1001,0),1)&gt;=100000,INDEX($AC$1005:$AS$1005,1,MATCH(COLUMNS($AC$1006:AQ1006),$AC$1006:$AS$1006,0))&gt;=100000), " ",IF(INDEX($AC$2:$AS$1001,MATCH(ROWS($V$2:V235),$V$2:$V$1001,0),MATCH(COLUMNS($AC$1006:AQ1006),$AC$1006:$AS$1006,0)), HYPERLINK("#",""), HYPERLINK(CONCATENATE("#Metadata!", ADDRESS(INDEX($X$2:$X$1001,MATCH(ROWS($V$2:V235),$V$2:$V$1001,0),0), INDEX($AC$1004:$AS$1004,1,MATCH(COLUMNS($AC$1006:AQ1006),$AC$1006:$AS$1006,0)))),"Fix")))</f>
        <v>0</v>
      </c>
      <c r="Q235" s="5">
        <f>IF(OR(INDEX($W$2:$W$1001,MATCH(ROWS($V$2:V235),$V$2:$V$1001,0),1)&gt;=100000,INDEX($AC$1005:$AS$1005,1,MATCH(COLUMNS($AC$1006:AR1006),$AC$1006:$AS$1006,0))&gt;=100000), " ",IF(INDEX($AC$2:$AS$1001,MATCH(ROWS($V$2:V235),$V$2:$V$1001,0),MATCH(COLUMNS($AC$1006:AR1006),$AC$1006:$AS$1006,0)), HYPERLINK("#",""), HYPERLINK(CONCATENATE("#Metadata!", ADDRESS(INDEX($X$2:$X$1001,MATCH(ROWS($V$2:V235),$V$2:$V$1001,0),0), INDEX($AC$1004:$AS$1004,1,MATCH(COLUMNS($AC$1006:AR1006),$AC$1006:$AS$1006,0)))),"Fix")))</f>
        <v>0</v>
      </c>
      <c r="R235" s="5">
        <f>IF(OR(INDEX($W$2:$W$1001,MATCH(ROWS($V$2:V235),$V$2:$V$1001,0),1)&gt;=100000,INDEX($AC$1005:$AS$1005,1,MATCH(COLUMNS($AC$1006:AS1006),$AC$1006:$AS$1006,0))&gt;=100000), " ",IF(INDEX($AC$2:$AS$1001,MATCH(ROWS($V$2:V235),$V$2:$V$1001,0),MATCH(COLUMNS($AC$1006:AS1006),$AC$1006:$AS$1006,0)), HYPERLINK("#",""), HYPERLINK(CONCATENATE("#Metadata!", ADDRESS(INDEX($X$2:$X$1001,MATCH(ROWS($V$2:V235),$V$2:$V$1001,0),0), INDEX($AC$1004:$AS$1004,1,MATCH(COLUMNS($AC$1006:AS1006),$AC$1006:$AS$1006,0)))),"Fix")))</f>
        <v>0</v>
      </c>
      <c r="V235">
        <v>0</v>
      </c>
      <c r="W235">
        <v>0</v>
      </c>
      <c r="X235">
        <v>0</v>
      </c>
      <c r="Y235">
        <f>IF(Z235,TRUE,AND(AC235:AS235))</f>
        <v>0</v>
      </c>
      <c r="Z235">
        <f>COUNTBLANK(Metadata!B235:R235)=COLUMNS(Metadata!B235:R235)</f>
        <v>0</v>
      </c>
      <c r="AA235">
        <v>0</v>
      </c>
      <c r="AC235">
        <f>AND(IF(Metadata!B235="",FALSE,TRUE),COUNTIF(Metadata!B:B, Metadata!B235) = 1,NOT(ISERROR(SUMPRODUCT(SEARCH(MID(Metadata!B235,ROW(INDIRECT("1:"&amp;LEN(Metadata!B235))), 1),"0123456789abcdefghijklmnopqrstuvwxyzABCDEFGHIJKLMNOPQRSTUVWXYZ.")))))</f>
        <v>0</v>
      </c>
      <c r="AD235">
        <f>AND(IF(Metadata!C235="",FALSE,TRUE),exact(Metadata!C235,"Host-associated"))</f>
        <v>0</v>
      </c>
      <c r="AE235">
        <f>AND(IF(Metadata!D235="",FALSE,TRUE),OR(exact(Metadata!D235,"Animal"),exact(Metadata!D235,"Fungus"),exact(Metadata!D235,"Plant")))</f>
        <v>0</v>
      </c>
      <c r="AF235">
        <f>AND(IF(Metadata!E235="",FALSE,TRUE),OR(exact(Metadata!E235,"Plant secretion"),exact(Metadata!E235,"Plant rhizosphere"),exact(Metadata!E235,"Plant surface"),exact(Metadata!E235,"Plant corpus"),exact(Metadata!E235,"Fungus surface"),exact(Metadata!E235,"Fungus corpus"),exact(Metadata!E235,"Animal surface"),exact(Metadata!E235,"Animal proximal gut"),exact(Metadata!E235,"Animal corpus"),exact(Metadata!E235,"Animal distal gut"),exact(Metadata!E235,"Animal secretion")))</f>
        <v>0</v>
      </c>
      <c r="AG235">
        <f>OR(AND(IF(Metadata!F235="",FALSE,TRUE),OR(exact(Metadata!F235,"not collected"),exact(Metadata!F235,"not provided"),exact(Metadata!F235,"restricted access"))),AND(IF(Metadata!F235="",FALSE,TRUE),OR(exact(Metadata!F235,"organism-associated habitat"),exact(Metadata!F235,"plant-associated habitat"),exact(Metadata!F235,"animal-associated habitat"),exact(Metadata!F235,"insecta-associated habitat"),exact(Metadata!F235,"mammalia-associated habitat"),exact(Metadata!F235,"human-associated habitat"),exact(Metadata!F235,"livestock-associated habitat"))))</f>
        <v>0</v>
      </c>
      <c r="AH235">
        <f>AND(IF(Metadata!G235="",FALSE,TRUE),exact(Metadata!G235,"host-associated"))</f>
        <v>0</v>
      </c>
      <c r="AI235">
        <f>OR(AND(IF(Metadata!H235="",FALSE,TRUE),OR(exact(Metadata!H235,"not collected"),exact(Metadata!H235,"not provided"))),AND(IF(Metadata!H235="",FALSE,ISNUMBER(VALUE(Metadata!H235))),Metadata!H235&gt;0))</f>
        <v>0</v>
      </c>
      <c r="AJ235">
        <f>AND(IF(Metadata!I235="",FALSE,TRUE),exact(Metadata!I235,"years"))</f>
        <v>0</v>
      </c>
      <c r="AK235">
        <f>IF(Metadata!J235="",FALSE,TRUE)</f>
        <v>0</v>
      </c>
      <c r="AL235">
        <f>OR(AND(IF(Metadata!K235="",FALSE,TRUE),OR(exact(Metadata!K235,"not collected"),exact(Metadata!K235,"not provided"))),AND(IF(Metadata!K235="",FALSE,ISNUMBER(VALUE(Metadata!K235))),Metadata!K235&gt;0))</f>
        <v>0</v>
      </c>
      <c r="AM235">
        <f>AND(IF(Metadata!L235="",FALSE,TRUE),exact(Metadata!L235,"cm"))</f>
        <v>0</v>
      </c>
      <c r="AN235">
        <f>IF(Metadata!M235="",FALSE,TRUE)</f>
        <v>0</v>
      </c>
      <c r="AO235">
        <f>OR(AND(IF(Metadata!N235="",FALSE,TRUE),OR(exact(Metadata!N235,"not applicable"),exact(Metadata!N235,"not collected"),exact(Metadata!N235,"not provided"))),AND(IF(Metadata!N235="",FALSE,IF(ISERROR(INT(Metadata!N235)),FALSE,INT(Metadata!N235)=Metadata!N235)),Metadata!N235&gt;0))</f>
        <v>0</v>
      </c>
      <c r="AP235">
        <f>OR(AND(IF(Metadata!O235="",FALSE,TRUE),OR(exact(Metadata!O235,"not collected"),exact(Metadata!O235,"not provided"))),AND(IF(Metadata!O235="",FALSE,ISNUMBER(VALUE(Metadata!O235))),Metadata!O235&gt;0))</f>
        <v>0</v>
      </c>
      <c r="AQ235">
        <f>AND(IF(Metadata!P235="",FALSE,TRUE),exact(Metadata!P235,"kg"))</f>
        <v>0</v>
      </c>
      <c r="AR235">
        <f>OR(AND(IF(Metadata!Q235="",FALSE,TRUE),OR(exact(Metadata!Q235,"not applicable"),exact(Metadata!Q235,"not collected"),exact(Metadata!Q235,"not provided"),exact(Metadata!Q235,"restricted access"))),IF(Metadata!Q235="",FALSE,IF(ISERROR(INT(Metadata!Q235)),FALSE,INT(Metadata!Q235)=Metadata!Q235)))</f>
        <v>0</v>
      </c>
      <c r="AS235">
        <f>AND(IF(Metadata!R235="",FALSE,TRUE),exact(Metadata!R235,"Not applicable"))</f>
        <v>0</v>
      </c>
    </row>
    <row r="236" spans="1:45">
      <c r="A236" s="4">
        <f>IF(B236=" "," ",HYPERLINK(CONCATENATE("#metadata!",ADDRESS(INDEX($X$2:$X$1001,MATCH(ROWS($V$2:V236),$V$2:$V$1001,0),0),2)),INDEX($AA$2:$AA$1001,MATCH(ROWS($V$2:V236),$V$2:$V$1001,0),0)))</f>
        <v>0</v>
      </c>
      <c r="B236" s="5">
        <f>IF(OR(INDEX($W$2:$W$1001,MATCH(ROWS($V$2:V236),$V$2:$V$1001,0),1)&gt;=100000,INDEX($AC$1005:$AS$1005,1,MATCH(COLUMNS($AC$1006:AC1006),$AC$1006:$AS$1006,0))&gt;=100000), " ",IF(INDEX($AC$2:$AS$1001,MATCH(ROWS($V$2:V236),$V$2:$V$1001,0),MATCH(COLUMNS($AC$1006:AC1006),$AC$1006:$AS$1006,0)), HYPERLINK("#",""), HYPERLINK(CONCATENATE("#Metadata!", ADDRESS(INDEX($X$2:$X$1001,MATCH(ROWS($V$2:V236),$V$2:$V$1001,0),0), INDEX($AC$1004:$AS$1004,1,MATCH(COLUMNS($AC$1006:AC1006),$AC$1006:$AS$1006,0)))),"Fix")))</f>
        <v>0</v>
      </c>
      <c r="C236" s="5">
        <f>IF(OR(INDEX($W$2:$W$1001,MATCH(ROWS($V$2:V236),$V$2:$V$1001,0),1)&gt;=100000,INDEX($AC$1005:$AS$1005,1,MATCH(COLUMNS($AC$1006:AD1006),$AC$1006:$AS$1006,0))&gt;=100000), " ",IF(INDEX($AC$2:$AS$1001,MATCH(ROWS($V$2:V236),$V$2:$V$1001,0),MATCH(COLUMNS($AC$1006:AD1006),$AC$1006:$AS$1006,0)), HYPERLINK("#",""), HYPERLINK(CONCATENATE("#Metadata!", ADDRESS(INDEX($X$2:$X$1001,MATCH(ROWS($V$2:V236),$V$2:$V$1001,0),0), INDEX($AC$1004:$AS$1004,1,MATCH(COLUMNS($AC$1006:AD1006),$AC$1006:$AS$1006,0)))),"Fix")))</f>
        <v>0</v>
      </c>
      <c r="D236" s="5">
        <f>IF(OR(INDEX($W$2:$W$1001,MATCH(ROWS($V$2:V236),$V$2:$V$1001,0),1)&gt;=100000,INDEX($AC$1005:$AS$1005,1,MATCH(COLUMNS($AC$1006:AE1006),$AC$1006:$AS$1006,0))&gt;=100000), " ",IF(INDEX($AC$2:$AS$1001,MATCH(ROWS($V$2:V236),$V$2:$V$1001,0),MATCH(COLUMNS($AC$1006:AE1006),$AC$1006:$AS$1006,0)), HYPERLINK("#",""), HYPERLINK(CONCATENATE("#Metadata!", ADDRESS(INDEX($X$2:$X$1001,MATCH(ROWS($V$2:V236),$V$2:$V$1001,0),0), INDEX($AC$1004:$AS$1004,1,MATCH(COLUMNS($AC$1006:AE1006),$AC$1006:$AS$1006,0)))),"Fix")))</f>
        <v>0</v>
      </c>
      <c r="E236" s="5">
        <f>IF(OR(INDEX($W$2:$W$1001,MATCH(ROWS($V$2:V236),$V$2:$V$1001,0),1)&gt;=100000,INDEX($AC$1005:$AS$1005,1,MATCH(COLUMNS($AC$1006:AF1006),$AC$1006:$AS$1006,0))&gt;=100000), " ",IF(INDEX($AC$2:$AS$1001,MATCH(ROWS($V$2:V236),$V$2:$V$1001,0),MATCH(COLUMNS($AC$1006:AF1006),$AC$1006:$AS$1006,0)), HYPERLINK("#",""), HYPERLINK(CONCATENATE("#Metadata!", ADDRESS(INDEX($X$2:$X$1001,MATCH(ROWS($V$2:V236),$V$2:$V$1001,0),0), INDEX($AC$1004:$AS$1004,1,MATCH(COLUMNS($AC$1006:AF1006),$AC$1006:$AS$1006,0)))),"Fix")))</f>
        <v>0</v>
      </c>
      <c r="F236" s="5">
        <f>IF(OR(INDEX($W$2:$W$1001,MATCH(ROWS($V$2:V236),$V$2:$V$1001,0),1)&gt;=100000,INDEX($AC$1005:$AS$1005,1,MATCH(COLUMNS($AC$1006:AG1006),$AC$1006:$AS$1006,0))&gt;=100000), " ",IF(INDEX($AC$2:$AS$1001,MATCH(ROWS($V$2:V236),$V$2:$V$1001,0),MATCH(COLUMNS($AC$1006:AG1006),$AC$1006:$AS$1006,0)), HYPERLINK("#",""), HYPERLINK(CONCATENATE("#Metadata!", ADDRESS(INDEX($X$2:$X$1001,MATCH(ROWS($V$2:V236),$V$2:$V$1001,0),0), INDEX($AC$1004:$AS$1004,1,MATCH(COLUMNS($AC$1006:AG1006),$AC$1006:$AS$1006,0)))),"Fix")))</f>
        <v>0</v>
      </c>
      <c r="G236" s="5">
        <f>IF(OR(INDEX($W$2:$W$1001,MATCH(ROWS($V$2:V236),$V$2:$V$1001,0),1)&gt;=100000,INDEX($AC$1005:$AS$1005,1,MATCH(COLUMNS($AC$1006:AH1006),$AC$1006:$AS$1006,0))&gt;=100000), " ",IF(INDEX($AC$2:$AS$1001,MATCH(ROWS($V$2:V236),$V$2:$V$1001,0),MATCH(COLUMNS($AC$1006:AH1006),$AC$1006:$AS$1006,0)), HYPERLINK("#",""), HYPERLINK(CONCATENATE("#Metadata!", ADDRESS(INDEX($X$2:$X$1001,MATCH(ROWS($V$2:V236),$V$2:$V$1001,0),0), INDEX($AC$1004:$AS$1004,1,MATCH(COLUMNS($AC$1006:AH1006),$AC$1006:$AS$1006,0)))),"Fix")))</f>
        <v>0</v>
      </c>
      <c r="H236" s="5">
        <f>IF(OR(INDEX($W$2:$W$1001,MATCH(ROWS($V$2:V236),$V$2:$V$1001,0),1)&gt;=100000,INDEX($AC$1005:$AS$1005,1,MATCH(COLUMNS($AC$1006:AI1006),$AC$1006:$AS$1006,0))&gt;=100000), " ",IF(INDEX($AC$2:$AS$1001,MATCH(ROWS($V$2:V236),$V$2:$V$1001,0),MATCH(COLUMNS($AC$1006:AI1006),$AC$1006:$AS$1006,0)), HYPERLINK("#",""), HYPERLINK(CONCATENATE("#Metadata!", ADDRESS(INDEX($X$2:$X$1001,MATCH(ROWS($V$2:V236),$V$2:$V$1001,0),0), INDEX($AC$1004:$AS$1004,1,MATCH(COLUMNS($AC$1006:AI1006),$AC$1006:$AS$1006,0)))),"Fix")))</f>
        <v>0</v>
      </c>
      <c r="I236" s="5">
        <f>IF(OR(INDEX($W$2:$W$1001,MATCH(ROWS($V$2:V236),$V$2:$V$1001,0),1)&gt;=100000,INDEX($AC$1005:$AS$1005,1,MATCH(COLUMNS($AC$1006:AJ1006),$AC$1006:$AS$1006,0))&gt;=100000), " ",IF(INDEX($AC$2:$AS$1001,MATCH(ROWS($V$2:V236),$V$2:$V$1001,0),MATCH(COLUMNS($AC$1006:AJ1006),$AC$1006:$AS$1006,0)), HYPERLINK("#",""), HYPERLINK(CONCATENATE("#Metadata!", ADDRESS(INDEX($X$2:$X$1001,MATCH(ROWS($V$2:V236),$V$2:$V$1001,0),0), INDEX($AC$1004:$AS$1004,1,MATCH(COLUMNS($AC$1006:AJ1006),$AC$1006:$AS$1006,0)))),"Fix")))</f>
        <v>0</v>
      </c>
      <c r="J236" s="5">
        <f>IF(OR(INDEX($W$2:$W$1001,MATCH(ROWS($V$2:V236),$V$2:$V$1001,0),1)&gt;=100000,INDEX($AC$1005:$AS$1005,1,MATCH(COLUMNS($AC$1006:AK1006),$AC$1006:$AS$1006,0))&gt;=100000), " ",IF(INDEX($AC$2:$AS$1001,MATCH(ROWS($V$2:V236),$V$2:$V$1001,0),MATCH(COLUMNS($AC$1006:AK1006),$AC$1006:$AS$1006,0)), HYPERLINK("#",""), HYPERLINK(CONCATENATE("#Metadata!", ADDRESS(INDEX($X$2:$X$1001,MATCH(ROWS($V$2:V236),$V$2:$V$1001,0),0), INDEX($AC$1004:$AS$1004,1,MATCH(COLUMNS($AC$1006:AK1006),$AC$1006:$AS$1006,0)))),"Fix")))</f>
        <v>0</v>
      </c>
      <c r="K236" s="5">
        <f>IF(OR(INDEX($W$2:$W$1001,MATCH(ROWS($V$2:V236),$V$2:$V$1001,0),1)&gt;=100000,INDEX($AC$1005:$AS$1005,1,MATCH(COLUMNS($AC$1006:AL1006),$AC$1006:$AS$1006,0))&gt;=100000), " ",IF(INDEX($AC$2:$AS$1001,MATCH(ROWS($V$2:V236),$V$2:$V$1001,0),MATCH(COLUMNS($AC$1006:AL1006),$AC$1006:$AS$1006,0)), HYPERLINK("#",""), HYPERLINK(CONCATENATE("#Metadata!", ADDRESS(INDEX($X$2:$X$1001,MATCH(ROWS($V$2:V236),$V$2:$V$1001,0),0), INDEX($AC$1004:$AS$1004,1,MATCH(COLUMNS($AC$1006:AL1006),$AC$1006:$AS$1006,0)))),"Fix")))</f>
        <v>0</v>
      </c>
      <c r="L236" s="5">
        <f>IF(OR(INDEX($W$2:$W$1001,MATCH(ROWS($V$2:V236),$V$2:$V$1001,0),1)&gt;=100000,INDEX($AC$1005:$AS$1005,1,MATCH(COLUMNS($AC$1006:AM1006),$AC$1006:$AS$1006,0))&gt;=100000), " ",IF(INDEX($AC$2:$AS$1001,MATCH(ROWS($V$2:V236),$V$2:$V$1001,0),MATCH(COLUMNS($AC$1006:AM1006),$AC$1006:$AS$1006,0)), HYPERLINK("#",""), HYPERLINK(CONCATENATE("#Metadata!", ADDRESS(INDEX($X$2:$X$1001,MATCH(ROWS($V$2:V236),$V$2:$V$1001,0),0), INDEX($AC$1004:$AS$1004,1,MATCH(COLUMNS($AC$1006:AM1006),$AC$1006:$AS$1006,0)))),"Fix")))</f>
        <v>0</v>
      </c>
      <c r="M236" s="5">
        <f>IF(OR(INDEX($W$2:$W$1001,MATCH(ROWS($V$2:V236),$V$2:$V$1001,0),1)&gt;=100000,INDEX($AC$1005:$AS$1005,1,MATCH(COLUMNS($AC$1006:AN1006),$AC$1006:$AS$1006,0))&gt;=100000), " ",IF(INDEX($AC$2:$AS$1001,MATCH(ROWS($V$2:V236),$V$2:$V$1001,0),MATCH(COLUMNS($AC$1006:AN1006),$AC$1006:$AS$1006,0)), HYPERLINK("#",""), HYPERLINK(CONCATENATE("#Metadata!", ADDRESS(INDEX($X$2:$X$1001,MATCH(ROWS($V$2:V236),$V$2:$V$1001,0),0), INDEX($AC$1004:$AS$1004,1,MATCH(COLUMNS($AC$1006:AN1006),$AC$1006:$AS$1006,0)))),"Fix")))</f>
        <v>0</v>
      </c>
      <c r="N236" s="5">
        <f>IF(OR(INDEX($W$2:$W$1001,MATCH(ROWS($V$2:V236),$V$2:$V$1001,0),1)&gt;=100000,INDEX($AC$1005:$AS$1005,1,MATCH(COLUMNS($AC$1006:AO1006),$AC$1006:$AS$1006,0))&gt;=100000), " ",IF(INDEX($AC$2:$AS$1001,MATCH(ROWS($V$2:V236),$V$2:$V$1001,0),MATCH(COLUMNS($AC$1006:AO1006),$AC$1006:$AS$1006,0)), HYPERLINK("#",""), HYPERLINK(CONCATENATE("#Metadata!", ADDRESS(INDEX($X$2:$X$1001,MATCH(ROWS($V$2:V236),$V$2:$V$1001,0),0), INDEX($AC$1004:$AS$1004,1,MATCH(COLUMNS($AC$1006:AO1006),$AC$1006:$AS$1006,0)))),"Fix")))</f>
        <v>0</v>
      </c>
      <c r="O236" s="5">
        <f>IF(OR(INDEX($W$2:$W$1001,MATCH(ROWS($V$2:V236),$V$2:$V$1001,0),1)&gt;=100000,INDEX($AC$1005:$AS$1005,1,MATCH(COLUMNS($AC$1006:AP1006),$AC$1006:$AS$1006,0))&gt;=100000), " ",IF(INDEX($AC$2:$AS$1001,MATCH(ROWS($V$2:V236),$V$2:$V$1001,0),MATCH(COLUMNS($AC$1006:AP1006),$AC$1006:$AS$1006,0)), HYPERLINK("#",""), HYPERLINK(CONCATENATE("#Metadata!", ADDRESS(INDEX($X$2:$X$1001,MATCH(ROWS($V$2:V236),$V$2:$V$1001,0),0), INDEX($AC$1004:$AS$1004,1,MATCH(COLUMNS($AC$1006:AP1006),$AC$1006:$AS$1006,0)))),"Fix")))</f>
        <v>0</v>
      </c>
      <c r="P236" s="5">
        <f>IF(OR(INDEX($W$2:$W$1001,MATCH(ROWS($V$2:V236),$V$2:$V$1001,0),1)&gt;=100000,INDEX($AC$1005:$AS$1005,1,MATCH(COLUMNS($AC$1006:AQ1006),$AC$1006:$AS$1006,0))&gt;=100000), " ",IF(INDEX($AC$2:$AS$1001,MATCH(ROWS($V$2:V236),$V$2:$V$1001,0),MATCH(COLUMNS($AC$1006:AQ1006),$AC$1006:$AS$1006,0)), HYPERLINK("#",""), HYPERLINK(CONCATENATE("#Metadata!", ADDRESS(INDEX($X$2:$X$1001,MATCH(ROWS($V$2:V236),$V$2:$V$1001,0),0), INDEX($AC$1004:$AS$1004,1,MATCH(COLUMNS($AC$1006:AQ1006),$AC$1006:$AS$1006,0)))),"Fix")))</f>
        <v>0</v>
      </c>
      <c r="Q236" s="5">
        <f>IF(OR(INDEX($W$2:$W$1001,MATCH(ROWS($V$2:V236),$V$2:$V$1001,0),1)&gt;=100000,INDEX($AC$1005:$AS$1005,1,MATCH(COLUMNS($AC$1006:AR1006),$AC$1006:$AS$1006,0))&gt;=100000), " ",IF(INDEX($AC$2:$AS$1001,MATCH(ROWS($V$2:V236),$V$2:$V$1001,0),MATCH(COLUMNS($AC$1006:AR1006),$AC$1006:$AS$1006,0)), HYPERLINK("#",""), HYPERLINK(CONCATENATE("#Metadata!", ADDRESS(INDEX($X$2:$X$1001,MATCH(ROWS($V$2:V236),$V$2:$V$1001,0),0), INDEX($AC$1004:$AS$1004,1,MATCH(COLUMNS($AC$1006:AR1006),$AC$1006:$AS$1006,0)))),"Fix")))</f>
        <v>0</v>
      </c>
      <c r="R236" s="5">
        <f>IF(OR(INDEX($W$2:$W$1001,MATCH(ROWS($V$2:V236),$V$2:$V$1001,0),1)&gt;=100000,INDEX($AC$1005:$AS$1005,1,MATCH(COLUMNS($AC$1006:AS1006),$AC$1006:$AS$1006,0))&gt;=100000), " ",IF(INDEX($AC$2:$AS$1001,MATCH(ROWS($V$2:V236),$V$2:$V$1001,0),MATCH(COLUMNS($AC$1006:AS1006),$AC$1006:$AS$1006,0)), HYPERLINK("#",""), HYPERLINK(CONCATENATE("#Metadata!", ADDRESS(INDEX($X$2:$X$1001,MATCH(ROWS($V$2:V236),$V$2:$V$1001,0),0), INDEX($AC$1004:$AS$1004,1,MATCH(COLUMNS($AC$1006:AS1006),$AC$1006:$AS$1006,0)))),"Fix")))</f>
        <v>0</v>
      </c>
      <c r="V236">
        <v>0</v>
      </c>
      <c r="W236">
        <v>0</v>
      </c>
      <c r="X236">
        <v>0</v>
      </c>
      <c r="Y236">
        <f>IF(Z236,TRUE,AND(AC236:AS236))</f>
        <v>0</v>
      </c>
      <c r="Z236">
        <f>COUNTBLANK(Metadata!B236:R236)=COLUMNS(Metadata!B236:R236)</f>
        <v>0</v>
      </c>
      <c r="AA236">
        <v>0</v>
      </c>
      <c r="AC236">
        <f>AND(IF(Metadata!B236="",FALSE,TRUE),COUNTIF(Metadata!B:B, Metadata!B236) = 1,NOT(ISERROR(SUMPRODUCT(SEARCH(MID(Metadata!B236,ROW(INDIRECT("1:"&amp;LEN(Metadata!B236))), 1),"0123456789abcdefghijklmnopqrstuvwxyzABCDEFGHIJKLMNOPQRSTUVWXYZ.")))))</f>
        <v>0</v>
      </c>
      <c r="AD236">
        <f>AND(IF(Metadata!C236="",FALSE,TRUE),exact(Metadata!C236,"Host-associated"))</f>
        <v>0</v>
      </c>
      <c r="AE236">
        <f>AND(IF(Metadata!D236="",FALSE,TRUE),OR(exact(Metadata!D236,"Animal"),exact(Metadata!D236,"Fungus"),exact(Metadata!D236,"Plant")))</f>
        <v>0</v>
      </c>
      <c r="AF236">
        <f>AND(IF(Metadata!E236="",FALSE,TRUE),OR(exact(Metadata!E236,"Plant secretion"),exact(Metadata!E236,"Plant rhizosphere"),exact(Metadata!E236,"Plant surface"),exact(Metadata!E236,"Plant corpus"),exact(Metadata!E236,"Fungus surface"),exact(Metadata!E236,"Fungus corpus"),exact(Metadata!E236,"Animal surface"),exact(Metadata!E236,"Animal proximal gut"),exact(Metadata!E236,"Animal corpus"),exact(Metadata!E236,"Animal distal gut"),exact(Metadata!E236,"Animal secretion")))</f>
        <v>0</v>
      </c>
      <c r="AG236">
        <f>OR(AND(IF(Metadata!F236="",FALSE,TRUE),OR(exact(Metadata!F236,"not collected"),exact(Metadata!F236,"not provided"),exact(Metadata!F236,"restricted access"))),AND(IF(Metadata!F236="",FALSE,TRUE),OR(exact(Metadata!F236,"organism-associated habitat"),exact(Metadata!F236,"plant-associated habitat"),exact(Metadata!F236,"animal-associated habitat"),exact(Metadata!F236,"insecta-associated habitat"),exact(Metadata!F236,"mammalia-associated habitat"),exact(Metadata!F236,"human-associated habitat"),exact(Metadata!F236,"livestock-associated habitat"))))</f>
        <v>0</v>
      </c>
      <c r="AH236">
        <f>AND(IF(Metadata!G236="",FALSE,TRUE),exact(Metadata!G236,"host-associated"))</f>
        <v>0</v>
      </c>
      <c r="AI236">
        <f>OR(AND(IF(Metadata!H236="",FALSE,TRUE),OR(exact(Metadata!H236,"not collected"),exact(Metadata!H236,"not provided"))),AND(IF(Metadata!H236="",FALSE,ISNUMBER(VALUE(Metadata!H236))),Metadata!H236&gt;0))</f>
        <v>0</v>
      </c>
      <c r="AJ236">
        <f>AND(IF(Metadata!I236="",FALSE,TRUE),exact(Metadata!I236,"years"))</f>
        <v>0</v>
      </c>
      <c r="AK236">
        <f>IF(Metadata!J236="",FALSE,TRUE)</f>
        <v>0</v>
      </c>
      <c r="AL236">
        <f>OR(AND(IF(Metadata!K236="",FALSE,TRUE),OR(exact(Metadata!K236,"not collected"),exact(Metadata!K236,"not provided"))),AND(IF(Metadata!K236="",FALSE,ISNUMBER(VALUE(Metadata!K236))),Metadata!K236&gt;0))</f>
        <v>0</v>
      </c>
      <c r="AM236">
        <f>AND(IF(Metadata!L236="",FALSE,TRUE),exact(Metadata!L236,"cm"))</f>
        <v>0</v>
      </c>
      <c r="AN236">
        <f>IF(Metadata!M236="",FALSE,TRUE)</f>
        <v>0</v>
      </c>
      <c r="AO236">
        <f>OR(AND(IF(Metadata!N236="",FALSE,TRUE),OR(exact(Metadata!N236,"not applicable"),exact(Metadata!N236,"not collected"),exact(Metadata!N236,"not provided"))),AND(IF(Metadata!N236="",FALSE,IF(ISERROR(INT(Metadata!N236)),FALSE,INT(Metadata!N236)=Metadata!N236)),Metadata!N236&gt;0))</f>
        <v>0</v>
      </c>
      <c r="AP236">
        <f>OR(AND(IF(Metadata!O236="",FALSE,TRUE),OR(exact(Metadata!O236,"not collected"),exact(Metadata!O236,"not provided"))),AND(IF(Metadata!O236="",FALSE,ISNUMBER(VALUE(Metadata!O236))),Metadata!O236&gt;0))</f>
        <v>0</v>
      </c>
      <c r="AQ236">
        <f>AND(IF(Metadata!P236="",FALSE,TRUE),exact(Metadata!P236,"kg"))</f>
        <v>0</v>
      </c>
      <c r="AR236">
        <f>OR(AND(IF(Metadata!Q236="",FALSE,TRUE),OR(exact(Metadata!Q236,"not applicable"),exact(Metadata!Q236,"not collected"),exact(Metadata!Q236,"not provided"),exact(Metadata!Q236,"restricted access"))),IF(Metadata!Q236="",FALSE,IF(ISERROR(INT(Metadata!Q236)),FALSE,INT(Metadata!Q236)=Metadata!Q236)))</f>
        <v>0</v>
      </c>
      <c r="AS236">
        <f>AND(IF(Metadata!R236="",FALSE,TRUE),exact(Metadata!R236,"Not applicable"))</f>
        <v>0</v>
      </c>
    </row>
    <row r="237" spans="1:45">
      <c r="A237" s="4">
        <f>IF(B237=" "," ",HYPERLINK(CONCATENATE("#metadata!",ADDRESS(INDEX($X$2:$X$1001,MATCH(ROWS($V$2:V237),$V$2:$V$1001,0),0),2)),INDEX($AA$2:$AA$1001,MATCH(ROWS($V$2:V237),$V$2:$V$1001,0),0)))</f>
        <v>0</v>
      </c>
      <c r="B237" s="5">
        <f>IF(OR(INDEX($W$2:$W$1001,MATCH(ROWS($V$2:V237),$V$2:$V$1001,0),1)&gt;=100000,INDEX($AC$1005:$AS$1005,1,MATCH(COLUMNS($AC$1006:AC1006),$AC$1006:$AS$1006,0))&gt;=100000), " ",IF(INDEX($AC$2:$AS$1001,MATCH(ROWS($V$2:V237),$V$2:$V$1001,0),MATCH(COLUMNS($AC$1006:AC1006),$AC$1006:$AS$1006,0)), HYPERLINK("#",""), HYPERLINK(CONCATENATE("#Metadata!", ADDRESS(INDEX($X$2:$X$1001,MATCH(ROWS($V$2:V237),$V$2:$V$1001,0),0), INDEX($AC$1004:$AS$1004,1,MATCH(COLUMNS($AC$1006:AC1006),$AC$1006:$AS$1006,0)))),"Fix")))</f>
        <v>0</v>
      </c>
      <c r="C237" s="5">
        <f>IF(OR(INDEX($W$2:$W$1001,MATCH(ROWS($V$2:V237),$V$2:$V$1001,0),1)&gt;=100000,INDEX($AC$1005:$AS$1005,1,MATCH(COLUMNS($AC$1006:AD1006),$AC$1006:$AS$1006,0))&gt;=100000), " ",IF(INDEX($AC$2:$AS$1001,MATCH(ROWS($V$2:V237),$V$2:$V$1001,0),MATCH(COLUMNS($AC$1006:AD1006),$AC$1006:$AS$1006,0)), HYPERLINK("#",""), HYPERLINK(CONCATENATE("#Metadata!", ADDRESS(INDEX($X$2:$X$1001,MATCH(ROWS($V$2:V237),$V$2:$V$1001,0),0), INDEX($AC$1004:$AS$1004,1,MATCH(COLUMNS($AC$1006:AD1006),$AC$1006:$AS$1006,0)))),"Fix")))</f>
        <v>0</v>
      </c>
      <c r="D237" s="5">
        <f>IF(OR(INDEX($W$2:$W$1001,MATCH(ROWS($V$2:V237),$V$2:$V$1001,0),1)&gt;=100000,INDEX($AC$1005:$AS$1005,1,MATCH(COLUMNS($AC$1006:AE1006),$AC$1006:$AS$1006,0))&gt;=100000), " ",IF(INDEX($AC$2:$AS$1001,MATCH(ROWS($V$2:V237),$V$2:$V$1001,0),MATCH(COLUMNS($AC$1006:AE1006),$AC$1006:$AS$1006,0)), HYPERLINK("#",""), HYPERLINK(CONCATENATE("#Metadata!", ADDRESS(INDEX($X$2:$X$1001,MATCH(ROWS($V$2:V237),$V$2:$V$1001,0),0), INDEX($AC$1004:$AS$1004,1,MATCH(COLUMNS($AC$1006:AE1006),$AC$1006:$AS$1006,0)))),"Fix")))</f>
        <v>0</v>
      </c>
      <c r="E237" s="5">
        <f>IF(OR(INDEX($W$2:$W$1001,MATCH(ROWS($V$2:V237),$V$2:$V$1001,0),1)&gt;=100000,INDEX($AC$1005:$AS$1005,1,MATCH(COLUMNS($AC$1006:AF1006),$AC$1006:$AS$1006,0))&gt;=100000), " ",IF(INDEX($AC$2:$AS$1001,MATCH(ROWS($V$2:V237),$V$2:$V$1001,0),MATCH(COLUMNS($AC$1006:AF1006),$AC$1006:$AS$1006,0)), HYPERLINK("#",""), HYPERLINK(CONCATENATE("#Metadata!", ADDRESS(INDEX($X$2:$X$1001,MATCH(ROWS($V$2:V237),$V$2:$V$1001,0),0), INDEX($AC$1004:$AS$1004,1,MATCH(COLUMNS($AC$1006:AF1006),$AC$1006:$AS$1006,0)))),"Fix")))</f>
        <v>0</v>
      </c>
      <c r="F237" s="5">
        <f>IF(OR(INDEX($W$2:$W$1001,MATCH(ROWS($V$2:V237),$V$2:$V$1001,0),1)&gt;=100000,INDEX($AC$1005:$AS$1005,1,MATCH(COLUMNS($AC$1006:AG1006),$AC$1006:$AS$1006,0))&gt;=100000), " ",IF(INDEX($AC$2:$AS$1001,MATCH(ROWS($V$2:V237),$V$2:$V$1001,0),MATCH(COLUMNS($AC$1006:AG1006),$AC$1006:$AS$1006,0)), HYPERLINK("#",""), HYPERLINK(CONCATENATE("#Metadata!", ADDRESS(INDEX($X$2:$X$1001,MATCH(ROWS($V$2:V237),$V$2:$V$1001,0),0), INDEX($AC$1004:$AS$1004,1,MATCH(COLUMNS($AC$1006:AG1006),$AC$1006:$AS$1006,0)))),"Fix")))</f>
        <v>0</v>
      </c>
      <c r="G237" s="5">
        <f>IF(OR(INDEX($W$2:$W$1001,MATCH(ROWS($V$2:V237),$V$2:$V$1001,0),1)&gt;=100000,INDEX($AC$1005:$AS$1005,1,MATCH(COLUMNS($AC$1006:AH1006),$AC$1006:$AS$1006,0))&gt;=100000), " ",IF(INDEX($AC$2:$AS$1001,MATCH(ROWS($V$2:V237),$V$2:$V$1001,0),MATCH(COLUMNS($AC$1006:AH1006),$AC$1006:$AS$1006,0)), HYPERLINK("#",""), HYPERLINK(CONCATENATE("#Metadata!", ADDRESS(INDEX($X$2:$X$1001,MATCH(ROWS($V$2:V237),$V$2:$V$1001,0),0), INDEX($AC$1004:$AS$1004,1,MATCH(COLUMNS($AC$1006:AH1006),$AC$1006:$AS$1006,0)))),"Fix")))</f>
        <v>0</v>
      </c>
      <c r="H237" s="5">
        <f>IF(OR(INDEX($W$2:$W$1001,MATCH(ROWS($V$2:V237),$V$2:$V$1001,0),1)&gt;=100000,INDEX($AC$1005:$AS$1005,1,MATCH(COLUMNS($AC$1006:AI1006),$AC$1006:$AS$1006,0))&gt;=100000), " ",IF(INDEX($AC$2:$AS$1001,MATCH(ROWS($V$2:V237),$V$2:$V$1001,0),MATCH(COLUMNS($AC$1006:AI1006),$AC$1006:$AS$1006,0)), HYPERLINK("#",""), HYPERLINK(CONCATENATE("#Metadata!", ADDRESS(INDEX($X$2:$X$1001,MATCH(ROWS($V$2:V237),$V$2:$V$1001,0),0), INDEX($AC$1004:$AS$1004,1,MATCH(COLUMNS($AC$1006:AI1006),$AC$1006:$AS$1006,0)))),"Fix")))</f>
        <v>0</v>
      </c>
      <c r="I237" s="5">
        <f>IF(OR(INDEX($W$2:$W$1001,MATCH(ROWS($V$2:V237),$V$2:$V$1001,0),1)&gt;=100000,INDEX($AC$1005:$AS$1005,1,MATCH(COLUMNS($AC$1006:AJ1006),$AC$1006:$AS$1006,0))&gt;=100000), " ",IF(INDEX($AC$2:$AS$1001,MATCH(ROWS($V$2:V237),$V$2:$V$1001,0),MATCH(COLUMNS($AC$1006:AJ1006),$AC$1006:$AS$1006,0)), HYPERLINK("#",""), HYPERLINK(CONCATENATE("#Metadata!", ADDRESS(INDEX($X$2:$X$1001,MATCH(ROWS($V$2:V237),$V$2:$V$1001,0),0), INDEX($AC$1004:$AS$1004,1,MATCH(COLUMNS($AC$1006:AJ1006),$AC$1006:$AS$1006,0)))),"Fix")))</f>
        <v>0</v>
      </c>
      <c r="J237" s="5">
        <f>IF(OR(INDEX($W$2:$W$1001,MATCH(ROWS($V$2:V237),$V$2:$V$1001,0),1)&gt;=100000,INDEX($AC$1005:$AS$1005,1,MATCH(COLUMNS($AC$1006:AK1006),$AC$1006:$AS$1006,0))&gt;=100000), " ",IF(INDEX($AC$2:$AS$1001,MATCH(ROWS($V$2:V237),$V$2:$V$1001,0),MATCH(COLUMNS($AC$1006:AK1006),$AC$1006:$AS$1006,0)), HYPERLINK("#",""), HYPERLINK(CONCATENATE("#Metadata!", ADDRESS(INDEX($X$2:$X$1001,MATCH(ROWS($V$2:V237),$V$2:$V$1001,0),0), INDEX($AC$1004:$AS$1004,1,MATCH(COLUMNS($AC$1006:AK1006),$AC$1006:$AS$1006,0)))),"Fix")))</f>
        <v>0</v>
      </c>
      <c r="K237" s="5">
        <f>IF(OR(INDEX($W$2:$W$1001,MATCH(ROWS($V$2:V237),$V$2:$V$1001,0),1)&gt;=100000,INDEX($AC$1005:$AS$1005,1,MATCH(COLUMNS($AC$1006:AL1006),$AC$1006:$AS$1006,0))&gt;=100000), " ",IF(INDEX($AC$2:$AS$1001,MATCH(ROWS($V$2:V237),$V$2:$V$1001,0),MATCH(COLUMNS($AC$1006:AL1006),$AC$1006:$AS$1006,0)), HYPERLINK("#",""), HYPERLINK(CONCATENATE("#Metadata!", ADDRESS(INDEX($X$2:$X$1001,MATCH(ROWS($V$2:V237),$V$2:$V$1001,0),0), INDEX($AC$1004:$AS$1004,1,MATCH(COLUMNS($AC$1006:AL1006),$AC$1006:$AS$1006,0)))),"Fix")))</f>
        <v>0</v>
      </c>
      <c r="L237" s="5">
        <f>IF(OR(INDEX($W$2:$W$1001,MATCH(ROWS($V$2:V237),$V$2:$V$1001,0),1)&gt;=100000,INDEX($AC$1005:$AS$1005,1,MATCH(COLUMNS($AC$1006:AM1006),$AC$1006:$AS$1006,0))&gt;=100000), " ",IF(INDEX($AC$2:$AS$1001,MATCH(ROWS($V$2:V237),$V$2:$V$1001,0),MATCH(COLUMNS($AC$1006:AM1006),$AC$1006:$AS$1006,0)), HYPERLINK("#",""), HYPERLINK(CONCATENATE("#Metadata!", ADDRESS(INDEX($X$2:$X$1001,MATCH(ROWS($V$2:V237),$V$2:$V$1001,0),0), INDEX($AC$1004:$AS$1004,1,MATCH(COLUMNS($AC$1006:AM1006),$AC$1006:$AS$1006,0)))),"Fix")))</f>
        <v>0</v>
      </c>
      <c r="M237" s="5">
        <f>IF(OR(INDEX($W$2:$W$1001,MATCH(ROWS($V$2:V237),$V$2:$V$1001,0),1)&gt;=100000,INDEX($AC$1005:$AS$1005,1,MATCH(COLUMNS($AC$1006:AN1006),$AC$1006:$AS$1006,0))&gt;=100000), " ",IF(INDEX($AC$2:$AS$1001,MATCH(ROWS($V$2:V237),$V$2:$V$1001,0),MATCH(COLUMNS($AC$1006:AN1006),$AC$1006:$AS$1006,0)), HYPERLINK("#",""), HYPERLINK(CONCATENATE("#Metadata!", ADDRESS(INDEX($X$2:$X$1001,MATCH(ROWS($V$2:V237),$V$2:$V$1001,0),0), INDEX($AC$1004:$AS$1004,1,MATCH(COLUMNS($AC$1006:AN1006),$AC$1006:$AS$1006,0)))),"Fix")))</f>
        <v>0</v>
      </c>
      <c r="N237" s="5">
        <f>IF(OR(INDEX($W$2:$W$1001,MATCH(ROWS($V$2:V237),$V$2:$V$1001,0),1)&gt;=100000,INDEX($AC$1005:$AS$1005,1,MATCH(COLUMNS($AC$1006:AO1006),$AC$1006:$AS$1006,0))&gt;=100000), " ",IF(INDEX($AC$2:$AS$1001,MATCH(ROWS($V$2:V237),$V$2:$V$1001,0),MATCH(COLUMNS($AC$1006:AO1006),$AC$1006:$AS$1006,0)), HYPERLINK("#",""), HYPERLINK(CONCATENATE("#Metadata!", ADDRESS(INDEX($X$2:$X$1001,MATCH(ROWS($V$2:V237),$V$2:$V$1001,0),0), INDEX($AC$1004:$AS$1004,1,MATCH(COLUMNS($AC$1006:AO1006),$AC$1006:$AS$1006,0)))),"Fix")))</f>
        <v>0</v>
      </c>
      <c r="O237" s="5">
        <f>IF(OR(INDEX($W$2:$W$1001,MATCH(ROWS($V$2:V237),$V$2:$V$1001,0),1)&gt;=100000,INDEX($AC$1005:$AS$1005,1,MATCH(COLUMNS($AC$1006:AP1006),$AC$1006:$AS$1006,0))&gt;=100000), " ",IF(INDEX($AC$2:$AS$1001,MATCH(ROWS($V$2:V237),$V$2:$V$1001,0),MATCH(COLUMNS($AC$1006:AP1006),$AC$1006:$AS$1006,0)), HYPERLINK("#",""), HYPERLINK(CONCATENATE("#Metadata!", ADDRESS(INDEX($X$2:$X$1001,MATCH(ROWS($V$2:V237),$V$2:$V$1001,0),0), INDEX($AC$1004:$AS$1004,1,MATCH(COLUMNS($AC$1006:AP1006),$AC$1006:$AS$1006,0)))),"Fix")))</f>
        <v>0</v>
      </c>
      <c r="P237" s="5">
        <f>IF(OR(INDEX($W$2:$W$1001,MATCH(ROWS($V$2:V237),$V$2:$V$1001,0),1)&gt;=100000,INDEX($AC$1005:$AS$1005,1,MATCH(COLUMNS($AC$1006:AQ1006),$AC$1006:$AS$1006,0))&gt;=100000), " ",IF(INDEX($AC$2:$AS$1001,MATCH(ROWS($V$2:V237),$V$2:$V$1001,0),MATCH(COLUMNS($AC$1006:AQ1006),$AC$1006:$AS$1006,0)), HYPERLINK("#",""), HYPERLINK(CONCATENATE("#Metadata!", ADDRESS(INDEX($X$2:$X$1001,MATCH(ROWS($V$2:V237),$V$2:$V$1001,0),0), INDEX($AC$1004:$AS$1004,1,MATCH(COLUMNS($AC$1006:AQ1006),$AC$1006:$AS$1006,0)))),"Fix")))</f>
        <v>0</v>
      </c>
      <c r="Q237" s="5">
        <f>IF(OR(INDEX($W$2:$W$1001,MATCH(ROWS($V$2:V237),$V$2:$V$1001,0),1)&gt;=100000,INDEX($AC$1005:$AS$1005,1,MATCH(COLUMNS($AC$1006:AR1006),$AC$1006:$AS$1006,0))&gt;=100000), " ",IF(INDEX($AC$2:$AS$1001,MATCH(ROWS($V$2:V237),$V$2:$V$1001,0),MATCH(COLUMNS($AC$1006:AR1006),$AC$1006:$AS$1006,0)), HYPERLINK("#",""), HYPERLINK(CONCATENATE("#Metadata!", ADDRESS(INDEX($X$2:$X$1001,MATCH(ROWS($V$2:V237),$V$2:$V$1001,0),0), INDEX($AC$1004:$AS$1004,1,MATCH(COLUMNS($AC$1006:AR1006),$AC$1006:$AS$1006,0)))),"Fix")))</f>
        <v>0</v>
      </c>
      <c r="R237" s="5">
        <f>IF(OR(INDEX($W$2:$W$1001,MATCH(ROWS($V$2:V237),$V$2:$V$1001,0),1)&gt;=100000,INDEX($AC$1005:$AS$1005,1,MATCH(COLUMNS($AC$1006:AS1006),$AC$1006:$AS$1006,0))&gt;=100000), " ",IF(INDEX($AC$2:$AS$1001,MATCH(ROWS($V$2:V237),$V$2:$V$1001,0),MATCH(COLUMNS($AC$1006:AS1006),$AC$1006:$AS$1006,0)), HYPERLINK("#",""), HYPERLINK(CONCATENATE("#Metadata!", ADDRESS(INDEX($X$2:$X$1001,MATCH(ROWS($V$2:V237),$V$2:$V$1001,0),0), INDEX($AC$1004:$AS$1004,1,MATCH(COLUMNS($AC$1006:AS1006),$AC$1006:$AS$1006,0)))),"Fix")))</f>
        <v>0</v>
      </c>
      <c r="V237">
        <v>0</v>
      </c>
      <c r="W237">
        <v>0</v>
      </c>
      <c r="X237">
        <v>0</v>
      </c>
      <c r="Y237">
        <f>IF(Z237,TRUE,AND(AC237:AS237))</f>
        <v>0</v>
      </c>
      <c r="Z237">
        <f>COUNTBLANK(Metadata!B237:R237)=COLUMNS(Metadata!B237:R237)</f>
        <v>0</v>
      </c>
      <c r="AA237">
        <v>0</v>
      </c>
      <c r="AC237">
        <f>AND(IF(Metadata!B237="",FALSE,TRUE),COUNTIF(Metadata!B:B, Metadata!B237) = 1,NOT(ISERROR(SUMPRODUCT(SEARCH(MID(Metadata!B237,ROW(INDIRECT("1:"&amp;LEN(Metadata!B237))), 1),"0123456789abcdefghijklmnopqrstuvwxyzABCDEFGHIJKLMNOPQRSTUVWXYZ.")))))</f>
        <v>0</v>
      </c>
      <c r="AD237">
        <f>AND(IF(Metadata!C237="",FALSE,TRUE),exact(Metadata!C237,"Host-associated"))</f>
        <v>0</v>
      </c>
      <c r="AE237">
        <f>AND(IF(Metadata!D237="",FALSE,TRUE),OR(exact(Metadata!D237,"Animal"),exact(Metadata!D237,"Fungus"),exact(Metadata!D237,"Plant")))</f>
        <v>0</v>
      </c>
      <c r="AF237">
        <f>AND(IF(Metadata!E237="",FALSE,TRUE),OR(exact(Metadata!E237,"Plant secretion"),exact(Metadata!E237,"Plant rhizosphere"),exact(Metadata!E237,"Plant surface"),exact(Metadata!E237,"Plant corpus"),exact(Metadata!E237,"Fungus surface"),exact(Metadata!E237,"Fungus corpus"),exact(Metadata!E237,"Animal surface"),exact(Metadata!E237,"Animal proximal gut"),exact(Metadata!E237,"Animal corpus"),exact(Metadata!E237,"Animal distal gut"),exact(Metadata!E237,"Animal secretion")))</f>
        <v>0</v>
      </c>
      <c r="AG237">
        <f>OR(AND(IF(Metadata!F237="",FALSE,TRUE),OR(exact(Metadata!F237,"not collected"),exact(Metadata!F237,"not provided"),exact(Metadata!F237,"restricted access"))),AND(IF(Metadata!F237="",FALSE,TRUE),OR(exact(Metadata!F237,"organism-associated habitat"),exact(Metadata!F237,"plant-associated habitat"),exact(Metadata!F237,"animal-associated habitat"),exact(Metadata!F237,"insecta-associated habitat"),exact(Metadata!F237,"mammalia-associated habitat"),exact(Metadata!F237,"human-associated habitat"),exact(Metadata!F237,"livestock-associated habitat"))))</f>
        <v>0</v>
      </c>
      <c r="AH237">
        <f>AND(IF(Metadata!G237="",FALSE,TRUE),exact(Metadata!G237,"host-associated"))</f>
        <v>0</v>
      </c>
      <c r="AI237">
        <f>OR(AND(IF(Metadata!H237="",FALSE,TRUE),OR(exact(Metadata!H237,"not collected"),exact(Metadata!H237,"not provided"))),AND(IF(Metadata!H237="",FALSE,ISNUMBER(VALUE(Metadata!H237))),Metadata!H237&gt;0))</f>
        <v>0</v>
      </c>
      <c r="AJ237">
        <f>AND(IF(Metadata!I237="",FALSE,TRUE),exact(Metadata!I237,"years"))</f>
        <v>0</v>
      </c>
      <c r="AK237">
        <f>IF(Metadata!J237="",FALSE,TRUE)</f>
        <v>0</v>
      </c>
      <c r="AL237">
        <f>OR(AND(IF(Metadata!K237="",FALSE,TRUE),OR(exact(Metadata!K237,"not collected"),exact(Metadata!K237,"not provided"))),AND(IF(Metadata!K237="",FALSE,ISNUMBER(VALUE(Metadata!K237))),Metadata!K237&gt;0))</f>
        <v>0</v>
      </c>
      <c r="AM237">
        <f>AND(IF(Metadata!L237="",FALSE,TRUE),exact(Metadata!L237,"cm"))</f>
        <v>0</v>
      </c>
      <c r="AN237">
        <f>IF(Metadata!M237="",FALSE,TRUE)</f>
        <v>0</v>
      </c>
      <c r="AO237">
        <f>OR(AND(IF(Metadata!N237="",FALSE,TRUE),OR(exact(Metadata!N237,"not applicable"),exact(Metadata!N237,"not collected"),exact(Metadata!N237,"not provided"))),AND(IF(Metadata!N237="",FALSE,IF(ISERROR(INT(Metadata!N237)),FALSE,INT(Metadata!N237)=Metadata!N237)),Metadata!N237&gt;0))</f>
        <v>0</v>
      </c>
      <c r="AP237">
        <f>OR(AND(IF(Metadata!O237="",FALSE,TRUE),OR(exact(Metadata!O237,"not collected"),exact(Metadata!O237,"not provided"))),AND(IF(Metadata!O237="",FALSE,ISNUMBER(VALUE(Metadata!O237))),Metadata!O237&gt;0))</f>
        <v>0</v>
      </c>
      <c r="AQ237">
        <f>AND(IF(Metadata!P237="",FALSE,TRUE),exact(Metadata!P237,"kg"))</f>
        <v>0</v>
      </c>
      <c r="AR237">
        <f>OR(AND(IF(Metadata!Q237="",FALSE,TRUE),OR(exact(Metadata!Q237,"not applicable"),exact(Metadata!Q237,"not collected"),exact(Metadata!Q237,"not provided"),exact(Metadata!Q237,"restricted access"))),IF(Metadata!Q237="",FALSE,IF(ISERROR(INT(Metadata!Q237)),FALSE,INT(Metadata!Q237)=Metadata!Q237)))</f>
        <v>0</v>
      </c>
      <c r="AS237">
        <f>AND(IF(Metadata!R237="",FALSE,TRUE),exact(Metadata!R237,"Not applicable"))</f>
        <v>0</v>
      </c>
    </row>
    <row r="238" spans="1:45">
      <c r="A238" s="4">
        <f>IF(B238=" "," ",HYPERLINK(CONCATENATE("#metadata!",ADDRESS(INDEX($X$2:$X$1001,MATCH(ROWS($V$2:V238),$V$2:$V$1001,0),0),2)),INDEX($AA$2:$AA$1001,MATCH(ROWS($V$2:V238),$V$2:$V$1001,0),0)))</f>
        <v>0</v>
      </c>
      <c r="B238" s="5">
        <f>IF(OR(INDEX($W$2:$W$1001,MATCH(ROWS($V$2:V238),$V$2:$V$1001,0),1)&gt;=100000,INDEX($AC$1005:$AS$1005,1,MATCH(COLUMNS($AC$1006:AC1006),$AC$1006:$AS$1006,0))&gt;=100000), " ",IF(INDEX($AC$2:$AS$1001,MATCH(ROWS($V$2:V238),$V$2:$V$1001,0),MATCH(COLUMNS($AC$1006:AC1006),$AC$1006:$AS$1006,0)), HYPERLINK("#",""), HYPERLINK(CONCATENATE("#Metadata!", ADDRESS(INDEX($X$2:$X$1001,MATCH(ROWS($V$2:V238),$V$2:$V$1001,0),0), INDEX($AC$1004:$AS$1004,1,MATCH(COLUMNS($AC$1006:AC1006),$AC$1006:$AS$1006,0)))),"Fix")))</f>
        <v>0</v>
      </c>
      <c r="C238" s="5">
        <f>IF(OR(INDEX($W$2:$W$1001,MATCH(ROWS($V$2:V238),$V$2:$V$1001,0),1)&gt;=100000,INDEX($AC$1005:$AS$1005,1,MATCH(COLUMNS($AC$1006:AD1006),$AC$1006:$AS$1006,0))&gt;=100000), " ",IF(INDEX($AC$2:$AS$1001,MATCH(ROWS($V$2:V238),$V$2:$V$1001,0),MATCH(COLUMNS($AC$1006:AD1006),$AC$1006:$AS$1006,0)), HYPERLINK("#",""), HYPERLINK(CONCATENATE("#Metadata!", ADDRESS(INDEX($X$2:$X$1001,MATCH(ROWS($V$2:V238),$V$2:$V$1001,0),0), INDEX($AC$1004:$AS$1004,1,MATCH(COLUMNS($AC$1006:AD1006),$AC$1006:$AS$1006,0)))),"Fix")))</f>
        <v>0</v>
      </c>
      <c r="D238" s="5">
        <f>IF(OR(INDEX($W$2:$W$1001,MATCH(ROWS($V$2:V238),$V$2:$V$1001,0),1)&gt;=100000,INDEX($AC$1005:$AS$1005,1,MATCH(COLUMNS($AC$1006:AE1006),$AC$1006:$AS$1006,0))&gt;=100000), " ",IF(INDEX($AC$2:$AS$1001,MATCH(ROWS($V$2:V238),$V$2:$V$1001,0),MATCH(COLUMNS($AC$1006:AE1006),$AC$1006:$AS$1006,0)), HYPERLINK("#",""), HYPERLINK(CONCATENATE("#Metadata!", ADDRESS(INDEX($X$2:$X$1001,MATCH(ROWS($V$2:V238),$V$2:$V$1001,0),0), INDEX($AC$1004:$AS$1004,1,MATCH(COLUMNS($AC$1006:AE1006),$AC$1006:$AS$1006,0)))),"Fix")))</f>
        <v>0</v>
      </c>
      <c r="E238" s="5">
        <f>IF(OR(INDEX($W$2:$W$1001,MATCH(ROWS($V$2:V238),$V$2:$V$1001,0),1)&gt;=100000,INDEX($AC$1005:$AS$1005,1,MATCH(COLUMNS($AC$1006:AF1006),$AC$1006:$AS$1006,0))&gt;=100000), " ",IF(INDEX($AC$2:$AS$1001,MATCH(ROWS($V$2:V238),$V$2:$V$1001,0),MATCH(COLUMNS($AC$1006:AF1006),$AC$1006:$AS$1006,0)), HYPERLINK("#",""), HYPERLINK(CONCATENATE("#Metadata!", ADDRESS(INDEX($X$2:$X$1001,MATCH(ROWS($V$2:V238),$V$2:$V$1001,0),0), INDEX($AC$1004:$AS$1004,1,MATCH(COLUMNS($AC$1006:AF1006),$AC$1006:$AS$1006,0)))),"Fix")))</f>
        <v>0</v>
      </c>
      <c r="F238" s="5">
        <f>IF(OR(INDEX($W$2:$W$1001,MATCH(ROWS($V$2:V238),$V$2:$V$1001,0),1)&gt;=100000,INDEX($AC$1005:$AS$1005,1,MATCH(COLUMNS($AC$1006:AG1006),$AC$1006:$AS$1006,0))&gt;=100000), " ",IF(INDEX($AC$2:$AS$1001,MATCH(ROWS($V$2:V238),$V$2:$V$1001,0),MATCH(COLUMNS($AC$1006:AG1006),$AC$1006:$AS$1006,0)), HYPERLINK("#",""), HYPERLINK(CONCATENATE("#Metadata!", ADDRESS(INDEX($X$2:$X$1001,MATCH(ROWS($V$2:V238),$V$2:$V$1001,0),0), INDEX($AC$1004:$AS$1004,1,MATCH(COLUMNS($AC$1006:AG1006),$AC$1006:$AS$1006,0)))),"Fix")))</f>
        <v>0</v>
      </c>
      <c r="G238" s="5">
        <f>IF(OR(INDEX($W$2:$W$1001,MATCH(ROWS($V$2:V238),$V$2:$V$1001,0),1)&gt;=100000,INDEX($AC$1005:$AS$1005,1,MATCH(COLUMNS($AC$1006:AH1006),$AC$1006:$AS$1006,0))&gt;=100000), " ",IF(INDEX($AC$2:$AS$1001,MATCH(ROWS($V$2:V238),$V$2:$V$1001,0),MATCH(COLUMNS($AC$1006:AH1006),$AC$1006:$AS$1006,0)), HYPERLINK("#",""), HYPERLINK(CONCATENATE("#Metadata!", ADDRESS(INDEX($X$2:$X$1001,MATCH(ROWS($V$2:V238),$V$2:$V$1001,0),0), INDEX($AC$1004:$AS$1004,1,MATCH(COLUMNS($AC$1006:AH1006),$AC$1006:$AS$1006,0)))),"Fix")))</f>
        <v>0</v>
      </c>
      <c r="H238" s="5">
        <f>IF(OR(INDEX($W$2:$W$1001,MATCH(ROWS($V$2:V238),$V$2:$V$1001,0),1)&gt;=100000,INDEX($AC$1005:$AS$1005,1,MATCH(COLUMNS($AC$1006:AI1006),$AC$1006:$AS$1006,0))&gt;=100000), " ",IF(INDEX($AC$2:$AS$1001,MATCH(ROWS($V$2:V238),$V$2:$V$1001,0),MATCH(COLUMNS($AC$1006:AI1006),$AC$1006:$AS$1006,0)), HYPERLINK("#",""), HYPERLINK(CONCATENATE("#Metadata!", ADDRESS(INDEX($X$2:$X$1001,MATCH(ROWS($V$2:V238),$V$2:$V$1001,0),0), INDEX($AC$1004:$AS$1004,1,MATCH(COLUMNS($AC$1006:AI1006),$AC$1006:$AS$1006,0)))),"Fix")))</f>
        <v>0</v>
      </c>
      <c r="I238" s="5">
        <f>IF(OR(INDEX($W$2:$W$1001,MATCH(ROWS($V$2:V238),$V$2:$V$1001,0),1)&gt;=100000,INDEX($AC$1005:$AS$1005,1,MATCH(COLUMNS($AC$1006:AJ1006),$AC$1006:$AS$1006,0))&gt;=100000), " ",IF(INDEX($AC$2:$AS$1001,MATCH(ROWS($V$2:V238),$V$2:$V$1001,0),MATCH(COLUMNS($AC$1006:AJ1006),$AC$1006:$AS$1006,0)), HYPERLINK("#",""), HYPERLINK(CONCATENATE("#Metadata!", ADDRESS(INDEX($X$2:$X$1001,MATCH(ROWS($V$2:V238),$V$2:$V$1001,0),0), INDEX($AC$1004:$AS$1004,1,MATCH(COLUMNS($AC$1006:AJ1006),$AC$1006:$AS$1006,0)))),"Fix")))</f>
        <v>0</v>
      </c>
      <c r="J238" s="5">
        <f>IF(OR(INDEX($W$2:$W$1001,MATCH(ROWS($V$2:V238),$V$2:$V$1001,0),1)&gt;=100000,INDEX($AC$1005:$AS$1005,1,MATCH(COLUMNS($AC$1006:AK1006),$AC$1006:$AS$1006,0))&gt;=100000), " ",IF(INDEX($AC$2:$AS$1001,MATCH(ROWS($V$2:V238),$V$2:$V$1001,0),MATCH(COLUMNS($AC$1006:AK1006),$AC$1006:$AS$1006,0)), HYPERLINK("#",""), HYPERLINK(CONCATENATE("#Metadata!", ADDRESS(INDEX($X$2:$X$1001,MATCH(ROWS($V$2:V238),$V$2:$V$1001,0),0), INDEX($AC$1004:$AS$1004,1,MATCH(COLUMNS($AC$1006:AK1006),$AC$1006:$AS$1006,0)))),"Fix")))</f>
        <v>0</v>
      </c>
      <c r="K238" s="5">
        <f>IF(OR(INDEX($W$2:$W$1001,MATCH(ROWS($V$2:V238),$V$2:$V$1001,0),1)&gt;=100000,INDEX($AC$1005:$AS$1005,1,MATCH(COLUMNS($AC$1006:AL1006),$AC$1006:$AS$1006,0))&gt;=100000), " ",IF(INDEX($AC$2:$AS$1001,MATCH(ROWS($V$2:V238),$V$2:$V$1001,0),MATCH(COLUMNS($AC$1006:AL1006),$AC$1006:$AS$1006,0)), HYPERLINK("#",""), HYPERLINK(CONCATENATE("#Metadata!", ADDRESS(INDEX($X$2:$X$1001,MATCH(ROWS($V$2:V238),$V$2:$V$1001,0),0), INDEX($AC$1004:$AS$1004,1,MATCH(COLUMNS($AC$1006:AL1006),$AC$1006:$AS$1006,0)))),"Fix")))</f>
        <v>0</v>
      </c>
      <c r="L238" s="5">
        <f>IF(OR(INDEX($W$2:$W$1001,MATCH(ROWS($V$2:V238),$V$2:$V$1001,0),1)&gt;=100000,INDEX($AC$1005:$AS$1005,1,MATCH(COLUMNS($AC$1006:AM1006),$AC$1006:$AS$1006,0))&gt;=100000), " ",IF(INDEX($AC$2:$AS$1001,MATCH(ROWS($V$2:V238),$V$2:$V$1001,0),MATCH(COLUMNS($AC$1006:AM1006),$AC$1006:$AS$1006,0)), HYPERLINK("#",""), HYPERLINK(CONCATENATE("#Metadata!", ADDRESS(INDEX($X$2:$X$1001,MATCH(ROWS($V$2:V238),$V$2:$V$1001,0),0), INDEX($AC$1004:$AS$1004,1,MATCH(COLUMNS($AC$1006:AM1006),$AC$1006:$AS$1006,0)))),"Fix")))</f>
        <v>0</v>
      </c>
      <c r="M238" s="5">
        <f>IF(OR(INDEX($W$2:$W$1001,MATCH(ROWS($V$2:V238),$V$2:$V$1001,0),1)&gt;=100000,INDEX($AC$1005:$AS$1005,1,MATCH(COLUMNS($AC$1006:AN1006),$AC$1006:$AS$1006,0))&gt;=100000), " ",IF(INDEX($AC$2:$AS$1001,MATCH(ROWS($V$2:V238),$V$2:$V$1001,0),MATCH(COLUMNS($AC$1006:AN1006),$AC$1006:$AS$1006,0)), HYPERLINK("#",""), HYPERLINK(CONCATENATE("#Metadata!", ADDRESS(INDEX($X$2:$X$1001,MATCH(ROWS($V$2:V238),$V$2:$V$1001,0),0), INDEX($AC$1004:$AS$1004,1,MATCH(COLUMNS($AC$1006:AN1006),$AC$1006:$AS$1006,0)))),"Fix")))</f>
        <v>0</v>
      </c>
      <c r="N238" s="5">
        <f>IF(OR(INDEX($W$2:$W$1001,MATCH(ROWS($V$2:V238),$V$2:$V$1001,0),1)&gt;=100000,INDEX($AC$1005:$AS$1005,1,MATCH(COLUMNS($AC$1006:AO1006),$AC$1006:$AS$1006,0))&gt;=100000), " ",IF(INDEX($AC$2:$AS$1001,MATCH(ROWS($V$2:V238),$V$2:$V$1001,0),MATCH(COLUMNS($AC$1006:AO1006),$AC$1006:$AS$1006,0)), HYPERLINK("#",""), HYPERLINK(CONCATENATE("#Metadata!", ADDRESS(INDEX($X$2:$X$1001,MATCH(ROWS($V$2:V238),$V$2:$V$1001,0),0), INDEX($AC$1004:$AS$1004,1,MATCH(COLUMNS($AC$1006:AO1006),$AC$1006:$AS$1006,0)))),"Fix")))</f>
        <v>0</v>
      </c>
      <c r="O238" s="5">
        <f>IF(OR(INDEX($W$2:$W$1001,MATCH(ROWS($V$2:V238),$V$2:$V$1001,0),1)&gt;=100000,INDEX($AC$1005:$AS$1005,1,MATCH(COLUMNS($AC$1006:AP1006),$AC$1006:$AS$1006,0))&gt;=100000), " ",IF(INDEX($AC$2:$AS$1001,MATCH(ROWS($V$2:V238),$V$2:$V$1001,0),MATCH(COLUMNS($AC$1006:AP1006),$AC$1006:$AS$1006,0)), HYPERLINK("#",""), HYPERLINK(CONCATENATE("#Metadata!", ADDRESS(INDEX($X$2:$X$1001,MATCH(ROWS($V$2:V238),$V$2:$V$1001,0),0), INDEX($AC$1004:$AS$1004,1,MATCH(COLUMNS($AC$1006:AP1006),$AC$1006:$AS$1006,0)))),"Fix")))</f>
        <v>0</v>
      </c>
      <c r="P238" s="5">
        <f>IF(OR(INDEX($W$2:$W$1001,MATCH(ROWS($V$2:V238),$V$2:$V$1001,0),1)&gt;=100000,INDEX($AC$1005:$AS$1005,1,MATCH(COLUMNS($AC$1006:AQ1006),$AC$1006:$AS$1006,0))&gt;=100000), " ",IF(INDEX($AC$2:$AS$1001,MATCH(ROWS($V$2:V238),$V$2:$V$1001,0),MATCH(COLUMNS($AC$1006:AQ1006),$AC$1006:$AS$1006,0)), HYPERLINK("#",""), HYPERLINK(CONCATENATE("#Metadata!", ADDRESS(INDEX($X$2:$X$1001,MATCH(ROWS($V$2:V238),$V$2:$V$1001,0),0), INDEX($AC$1004:$AS$1004,1,MATCH(COLUMNS($AC$1006:AQ1006),$AC$1006:$AS$1006,0)))),"Fix")))</f>
        <v>0</v>
      </c>
      <c r="Q238" s="5">
        <f>IF(OR(INDEX($W$2:$W$1001,MATCH(ROWS($V$2:V238),$V$2:$V$1001,0),1)&gt;=100000,INDEX($AC$1005:$AS$1005,1,MATCH(COLUMNS($AC$1006:AR1006),$AC$1006:$AS$1006,0))&gt;=100000), " ",IF(INDEX($AC$2:$AS$1001,MATCH(ROWS($V$2:V238),$V$2:$V$1001,0),MATCH(COLUMNS($AC$1006:AR1006),$AC$1006:$AS$1006,0)), HYPERLINK("#",""), HYPERLINK(CONCATENATE("#Metadata!", ADDRESS(INDEX($X$2:$X$1001,MATCH(ROWS($V$2:V238),$V$2:$V$1001,0),0), INDEX($AC$1004:$AS$1004,1,MATCH(COLUMNS($AC$1006:AR1006),$AC$1006:$AS$1006,0)))),"Fix")))</f>
        <v>0</v>
      </c>
      <c r="R238" s="5">
        <f>IF(OR(INDEX($W$2:$W$1001,MATCH(ROWS($V$2:V238),$V$2:$V$1001,0),1)&gt;=100000,INDEX($AC$1005:$AS$1005,1,MATCH(COLUMNS($AC$1006:AS1006),$AC$1006:$AS$1006,0))&gt;=100000), " ",IF(INDEX($AC$2:$AS$1001,MATCH(ROWS($V$2:V238),$V$2:$V$1001,0),MATCH(COLUMNS($AC$1006:AS1006),$AC$1006:$AS$1006,0)), HYPERLINK("#",""), HYPERLINK(CONCATENATE("#Metadata!", ADDRESS(INDEX($X$2:$X$1001,MATCH(ROWS($V$2:V238),$V$2:$V$1001,0),0), INDEX($AC$1004:$AS$1004,1,MATCH(COLUMNS($AC$1006:AS1006),$AC$1006:$AS$1006,0)))),"Fix")))</f>
        <v>0</v>
      </c>
      <c r="V238">
        <v>0</v>
      </c>
      <c r="W238">
        <v>0</v>
      </c>
      <c r="X238">
        <v>0</v>
      </c>
      <c r="Y238">
        <f>IF(Z238,TRUE,AND(AC238:AS238))</f>
        <v>0</v>
      </c>
      <c r="Z238">
        <f>COUNTBLANK(Metadata!B238:R238)=COLUMNS(Metadata!B238:R238)</f>
        <v>0</v>
      </c>
      <c r="AA238">
        <v>0</v>
      </c>
      <c r="AC238">
        <f>AND(IF(Metadata!B238="",FALSE,TRUE),COUNTIF(Metadata!B:B, Metadata!B238) = 1,NOT(ISERROR(SUMPRODUCT(SEARCH(MID(Metadata!B238,ROW(INDIRECT("1:"&amp;LEN(Metadata!B238))), 1),"0123456789abcdefghijklmnopqrstuvwxyzABCDEFGHIJKLMNOPQRSTUVWXYZ.")))))</f>
        <v>0</v>
      </c>
      <c r="AD238">
        <f>AND(IF(Metadata!C238="",FALSE,TRUE),exact(Metadata!C238,"Host-associated"))</f>
        <v>0</v>
      </c>
      <c r="AE238">
        <f>AND(IF(Metadata!D238="",FALSE,TRUE),OR(exact(Metadata!D238,"Animal"),exact(Metadata!D238,"Fungus"),exact(Metadata!D238,"Plant")))</f>
        <v>0</v>
      </c>
      <c r="AF238">
        <f>AND(IF(Metadata!E238="",FALSE,TRUE),OR(exact(Metadata!E238,"Plant secretion"),exact(Metadata!E238,"Plant rhizosphere"),exact(Metadata!E238,"Plant surface"),exact(Metadata!E238,"Plant corpus"),exact(Metadata!E238,"Fungus surface"),exact(Metadata!E238,"Fungus corpus"),exact(Metadata!E238,"Animal surface"),exact(Metadata!E238,"Animal proximal gut"),exact(Metadata!E238,"Animal corpus"),exact(Metadata!E238,"Animal distal gut"),exact(Metadata!E238,"Animal secretion")))</f>
        <v>0</v>
      </c>
      <c r="AG238">
        <f>OR(AND(IF(Metadata!F238="",FALSE,TRUE),OR(exact(Metadata!F238,"not collected"),exact(Metadata!F238,"not provided"),exact(Metadata!F238,"restricted access"))),AND(IF(Metadata!F238="",FALSE,TRUE),OR(exact(Metadata!F238,"organism-associated habitat"),exact(Metadata!F238,"plant-associated habitat"),exact(Metadata!F238,"animal-associated habitat"),exact(Metadata!F238,"insecta-associated habitat"),exact(Metadata!F238,"mammalia-associated habitat"),exact(Metadata!F238,"human-associated habitat"),exact(Metadata!F238,"livestock-associated habitat"))))</f>
        <v>0</v>
      </c>
      <c r="AH238">
        <f>AND(IF(Metadata!G238="",FALSE,TRUE),exact(Metadata!G238,"host-associated"))</f>
        <v>0</v>
      </c>
      <c r="AI238">
        <f>OR(AND(IF(Metadata!H238="",FALSE,TRUE),OR(exact(Metadata!H238,"not collected"),exact(Metadata!H238,"not provided"))),AND(IF(Metadata!H238="",FALSE,ISNUMBER(VALUE(Metadata!H238))),Metadata!H238&gt;0))</f>
        <v>0</v>
      </c>
      <c r="AJ238">
        <f>AND(IF(Metadata!I238="",FALSE,TRUE),exact(Metadata!I238,"years"))</f>
        <v>0</v>
      </c>
      <c r="AK238">
        <f>IF(Metadata!J238="",FALSE,TRUE)</f>
        <v>0</v>
      </c>
      <c r="AL238">
        <f>OR(AND(IF(Metadata!K238="",FALSE,TRUE),OR(exact(Metadata!K238,"not collected"),exact(Metadata!K238,"not provided"))),AND(IF(Metadata!K238="",FALSE,ISNUMBER(VALUE(Metadata!K238))),Metadata!K238&gt;0))</f>
        <v>0</v>
      </c>
      <c r="AM238">
        <f>AND(IF(Metadata!L238="",FALSE,TRUE),exact(Metadata!L238,"cm"))</f>
        <v>0</v>
      </c>
      <c r="AN238">
        <f>IF(Metadata!M238="",FALSE,TRUE)</f>
        <v>0</v>
      </c>
      <c r="AO238">
        <f>OR(AND(IF(Metadata!N238="",FALSE,TRUE),OR(exact(Metadata!N238,"not applicable"),exact(Metadata!N238,"not collected"),exact(Metadata!N238,"not provided"))),AND(IF(Metadata!N238="",FALSE,IF(ISERROR(INT(Metadata!N238)),FALSE,INT(Metadata!N238)=Metadata!N238)),Metadata!N238&gt;0))</f>
        <v>0</v>
      </c>
      <c r="AP238">
        <f>OR(AND(IF(Metadata!O238="",FALSE,TRUE),OR(exact(Metadata!O238,"not collected"),exact(Metadata!O238,"not provided"))),AND(IF(Metadata!O238="",FALSE,ISNUMBER(VALUE(Metadata!O238))),Metadata!O238&gt;0))</f>
        <v>0</v>
      </c>
      <c r="AQ238">
        <f>AND(IF(Metadata!P238="",FALSE,TRUE),exact(Metadata!P238,"kg"))</f>
        <v>0</v>
      </c>
      <c r="AR238">
        <f>OR(AND(IF(Metadata!Q238="",FALSE,TRUE),OR(exact(Metadata!Q238,"not applicable"),exact(Metadata!Q238,"not collected"),exact(Metadata!Q238,"not provided"),exact(Metadata!Q238,"restricted access"))),IF(Metadata!Q238="",FALSE,IF(ISERROR(INT(Metadata!Q238)),FALSE,INT(Metadata!Q238)=Metadata!Q238)))</f>
        <v>0</v>
      </c>
      <c r="AS238">
        <f>AND(IF(Metadata!R238="",FALSE,TRUE),exact(Metadata!R238,"Not applicable"))</f>
        <v>0</v>
      </c>
    </row>
    <row r="239" spans="1:45">
      <c r="A239" s="4">
        <f>IF(B239=" "," ",HYPERLINK(CONCATENATE("#metadata!",ADDRESS(INDEX($X$2:$X$1001,MATCH(ROWS($V$2:V239),$V$2:$V$1001,0),0),2)),INDEX($AA$2:$AA$1001,MATCH(ROWS($V$2:V239),$V$2:$V$1001,0),0)))</f>
        <v>0</v>
      </c>
      <c r="B239" s="5">
        <f>IF(OR(INDEX($W$2:$W$1001,MATCH(ROWS($V$2:V239),$V$2:$V$1001,0),1)&gt;=100000,INDEX($AC$1005:$AS$1005,1,MATCH(COLUMNS($AC$1006:AC1006),$AC$1006:$AS$1006,0))&gt;=100000), " ",IF(INDEX($AC$2:$AS$1001,MATCH(ROWS($V$2:V239),$V$2:$V$1001,0),MATCH(COLUMNS($AC$1006:AC1006),$AC$1006:$AS$1006,0)), HYPERLINK("#",""), HYPERLINK(CONCATENATE("#Metadata!", ADDRESS(INDEX($X$2:$X$1001,MATCH(ROWS($V$2:V239),$V$2:$V$1001,0),0), INDEX($AC$1004:$AS$1004,1,MATCH(COLUMNS($AC$1006:AC1006),$AC$1006:$AS$1006,0)))),"Fix")))</f>
        <v>0</v>
      </c>
      <c r="C239" s="5">
        <f>IF(OR(INDEX($W$2:$W$1001,MATCH(ROWS($V$2:V239),$V$2:$V$1001,0),1)&gt;=100000,INDEX($AC$1005:$AS$1005,1,MATCH(COLUMNS($AC$1006:AD1006),$AC$1006:$AS$1006,0))&gt;=100000), " ",IF(INDEX($AC$2:$AS$1001,MATCH(ROWS($V$2:V239),$V$2:$V$1001,0),MATCH(COLUMNS($AC$1006:AD1006),$AC$1006:$AS$1006,0)), HYPERLINK("#",""), HYPERLINK(CONCATENATE("#Metadata!", ADDRESS(INDEX($X$2:$X$1001,MATCH(ROWS($V$2:V239),$V$2:$V$1001,0),0), INDEX($AC$1004:$AS$1004,1,MATCH(COLUMNS($AC$1006:AD1006),$AC$1006:$AS$1006,0)))),"Fix")))</f>
        <v>0</v>
      </c>
      <c r="D239" s="5">
        <f>IF(OR(INDEX($W$2:$W$1001,MATCH(ROWS($V$2:V239),$V$2:$V$1001,0),1)&gt;=100000,INDEX($AC$1005:$AS$1005,1,MATCH(COLUMNS($AC$1006:AE1006),$AC$1006:$AS$1006,0))&gt;=100000), " ",IF(INDEX($AC$2:$AS$1001,MATCH(ROWS($V$2:V239),$V$2:$V$1001,0),MATCH(COLUMNS($AC$1006:AE1006),$AC$1006:$AS$1006,0)), HYPERLINK("#",""), HYPERLINK(CONCATENATE("#Metadata!", ADDRESS(INDEX($X$2:$X$1001,MATCH(ROWS($V$2:V239),$V$2:$V$1001,0),0), INDEX($AC$1004:$AS$1004,1,MATCH(COLUMNS($AC$1006:AE1006),$AC$1006:$AS$1006,0)))),"Fix")))</f>
        <v>0</v>
      </c>
      <c r="E239" s="5">
        <f>IF(OR(INDEX($W$2:$W$1001,MATCH(ROWS($V$2:V239),$V$2:$V$1001,0),1)&gt;=100000,INDEX($AC$1005:$AS$1005,1,MATCH(COLUMNS($AC$1006:AF1006),$AC$1006:$AS$1006,0))&gt;=100000), " ",IF(INDEX($AC$2:$AS$1001,MATCH(ROWS($V$2:V239),$V$2:$V$1001,0),MATCH(COLUMNS($AC$1006:AF1006),$AC$1006:$AS$1006,0)), HYPERLINK("#",""), HYPERLINK(CONCATENATE("#Metadata!", ADDRESS(INDEX($X$2:$X$1001,MATCH(ROWS($V$2:V239),$V$2:$V$1001,0),0), INDEX($AC$1004:$AS$1004,1,MATCH(COLUMNS($AC$1006:AF1006),$AC$1006:$AS$1006,0)))),"Fix")))</f>
        <v>0</v>
      </c>
      <c r="F239" s="5">
        <f>IF(OR(INDEX($W$2:$W$1001,MATCH(ROWS($V$2:V239),$V$2:$V$1001,0),1)&gt;=100000,INDEX($AC$1005:$AS$1005,1,MATCH(COLUMNS($AC$1006:AG1006),$AC$1006:$AS$1006,0))&gt;=100000), " ",IF(INDEX($AC$2:$AS$1001,MATCH(ROWS($V$2:V239),$V$2:$V$1001,0),MATCH(COLUMNS($AC$1006:AG1006),$AC$1006:$AS$1006,0)), HYPERLINK("#",""), HYPERLINK(CONCATENATE("#Metadata!", ADDRESS(INDEX($X$2:$X$1001,MATCH(ROWS($V$2:V239),$V$2:$V$1001,0),0), INDEX($AC$1004:$AS$1004,1,MATCH(COLUMNS($AC$1006:AG1006),$AC$1006:$AS$1006,0)))),"Fix")))</f>
        <v>0</v>
      </c>
      <c r="G239" s="5">
        <f>IF(OR(INDEX($W$2:$W$1001,MATCH(ROWS($V$2:V239),$V$2:$V$1001,0),1)&gt;=100000,INDEX($AC$1005:$AS$1005,1,MATCH(COLUMNS($AC$1006:AH1006),$AC$1006:$AS$1006,0))&gt;=100000), " ",IF(INDEX($AC$2:$AS$1001,MATCH(ROWS($V$2:V239),$V$2:$V$1001,0),MATCH(COLUMNS($AC$1006:AH1006),$AC$1006:$AS$1006,0)), HYPERLINK("#",""), HYPERLINK(CONCATENATE("#Metadata!", ADDRESS(INDEX($X$2:$X$1001,MATCH(ROWS($V$2:V239),$V$2:$V$1001,0),0), INDEX($AC$1004:$AS$1004,1,MATCH(COLUMNS($AC$1006:AH1006),$AC$1006:$AS$1006,0)))),"Fix")))</f>
        <v>0</v>
      </c>
      <c r="H239" s="5">
        <f>IF(OR(INDEX($W$2:$W$1001,MATCH(ROWS($V$2:V239),$V$2:$V$1001,0),1)&gt;=100000,INDEX($AC$1005:$AS$1005,1,MATCH(COLUMNS($AC$1006:AI1006),$AC$1006:$AS$1006,0))&gt;=100000), " ",IF(INDEX($AC$2:$AS$1001,MATCH(ROWS($V$2:V239),$V$2:$V$1001,0),MATCH(COLUMNS($AC$1006:AI1006),$AC$1006:$AS$1006,0)), HYPERLINK("#",""), HYPERLINK(CONCATENATE("#Metadata!", ADDRESS(INDEX($X$2:$X$1001,MATCH(ROWS($V$2:V239),$V$2:$V$1001,0),0), INDEX($AC$1004:$AS$1004,1,MATCH(COLUMNS($AC$1006:AI1006),$AC$1006:$AS$1006,0)))),"Fix")))</f>
        <v>0</v>
      </c>
      <c r="I239" s="5">
        <f>IF(OR(INDEX($W$2:$W$1001,MATCH(ROWS($V$2:V239),$V$2:$V$1001,0),1)&gt;=100000,INDEX($AC$1005:$AS$1005,1,MATCH(COLUMNS($AC$1006:AJ1006),$AC$1006:$AS$1006,0))&gt;=100000), " ",IF(INDEX($AC$2:$AS$1001,MATCH(ROWS($V$2:V239),$V$2:$V$1001,0),MATCH(COLUMNS($AC$1006:AJ1006),$AC$1006:$AS$1006,0)), HYPERLINK("#",""), HYPERLINK(CONCATENATE("#Metadata!", ADDRESS(INDEX($X$2:$X$1001,MATCH(ROWS($V$2:V239),$V$2:$V$1001,0),0), INDEX($AC$1004:$AS$1004,1,MATCH(COLUMNS($AC$1006:AJ1006),$AC$1006:$AS$1006,0)))),"Fix")))</f>
        <v>0</v>
      </c>
      <c r="J239" s="5">
        <f>IF(OR(INDEX($W$2:$W$1001,MATCH(ROWS($V$2:V239),$V$2:$V$1001,0),1)&gt;=100000,INDEX($AC$1005:$AS$1005,1,MATCH(COLUMNS($AC$1006:AK1006),$AC$1006:$AS$1006,0))&gt;=100000), " ",IF(INDEX($AC$2:$AS$1001,MATCH(ROWS($V$2:V239),$V$2:$V$1001,0),MATCH(COLUMNS($AC$1006:AK1006),$AC$1006:$AS$1006,0)), HYPERLINK("#",""), HYPERLINK(CONCATENATE("#Metadata!", ADDRESS(INDEX($X$2:$X$1001,MATCH(ROWS($V$2:V239),$V$2:$V$1001,0),0), INDEX($AC$1004:$AS$1004,1,MATCH(COLUMNS($AC$1006:AK1006),$AC$1006:$AS$1006,0)))),"Fix")))</f>
        <v>0</v>
      </c>
      <c r="K239" s="5">
        <f>IF(OR(INDEX($W$2:$W$1001,MATCH(ROWS($V$2:V239),$V$2:$V$1001,0),1)&gt;=100000,INDEX($AC$1005:$AS$1005,1,MATCH(COLUMNS($AC$1006:AL1006),$AC$1006:$AS$1006,0))&gt;=100000), " ",IF(INDEX($AC$2:$AS$1001,MATCH(ROWS($V$2:V239),$V$2:$V$1001,0),MATCH(COLUMNS($AC$1006:AL1006),$AC$1006:$AS$1006,0)), HYPERLINK("#",""), HYPERLINK(CONCATENATE("#Metadata!", ADDRESS(INDEX($X$2:$X$1001,MATCH(ROWS($V$2:V239),$V$2:$V$1001,0),0), INDEX($AC$1004:$AS$1004,1,MATCH(COLUMNS($AC$1006:AL1006),$AC$1006:$AS$1006,0)))),"Fix")))</f>
        <v>0</v>
      </c>
      <c r="L239" s="5">
        <f>IF(OR(INDEX($W$2:$W$1001,MATCH(ROWS($V$2:V239),$V$2:$V$1001,0),1)&gt;=100000,INDEX($AC$1005:$AS$1005,1,MATCH(COLUMNS($AC$1006:AM1006),$AC$1006:$AS$1006,0))&gt;=100000), " ",IF(INDEX($AC$2:$AS$1001,MATCH(ROWS($V$2:V239),$V$2:$V$1001,0),MATCH(COLUMNS($AC$1006:AM1006),$AC$1006:$AS$1006,0)), HYPERLINK("#",""), HYPERLINK(CONCATENATE("#Metadata!", ADDRESS(INDEX($X$2:$X$1001,MATCH(ROWS($V$2:V239),$V$2:$V$1001,0),0), INDEX($AC$1004:$AS$1004,1,MATCH(COLUMNS($AC$1006:AM1006),$AC$1006:$AS$1006,0)))),"Fix")))</f>
        <v>0</v>
      </c>
      <c r="M239" s="5">
        <f>IF(OR(INDEX($W$2:$W$1001,MATCH(ROWS($V$2:V239),$V$2:$V$1001,0),1)&gt;=100000,INDEX($AC$1005:$AS$1005,1,MATCH(COLUMNS($AC$1006:AN1006),$AC$1006:$AS$1006,0))&gt;=100000), " ",IF(INDEX($AC$2:$AS$1001,MATCH(ROWS($V$2:V239),$V$2:$V$1001,0),MATCH(COLUMNS($AC$1006:AN1006),$AC$1006:$AS$1006,0)), HYPERLINK("#",""), HYPERLINK(CONCATENATE("#Metadata!", ADDRESS(INDEX($X$2:$X$1001,MATCH(ROWS($V$2:V239),$V$2:$V$1001,0),0), INDEX($AC$1004:$AS$1004,1,MATCH(COLUMNS($AC$1006:AN1006),$AC$1006:$AS$1006,0)))),"Fix")))</f>
        <v>0</v>
      </c>
      <c r="N239" s="5">
        <f>IF(OR(INDEX($W$2:$W$1001,MATCH(ROWS($V$2:V239),$V$2:$V$1001,0),1)&gt;=100000,INDEX($AC$1005:$AS$1005,1,MATCH(COLUMNS($AC$1006:AO1006),$AC$1006:$AS$1006,0))&gt;=100000), " ",IF(INDEX($AC$2:$AS$1001,MATCH(ROWS($V$2:V239),$V$2:$V$1001,0),MATCH(COLUMNS($AC$1006:AO1006),$AC$1006:$AS$1006,0)), HYPERLINK("#",""), HYPERLINK(CONCATENATE("#Metadata!", ADDRESS(INDEX($X$2:$X$1001,MATCH(ROWS($V$2:V239),$V$2:$V$1001,0),0), INDEX($AC$1004:$AS$1004,1,MATCH(COLUMNS($AC$1006:AO1006),$AC$1006:$AS$1006,0)))),"Fix")))</f>
        <v>0</v>
      </c>
      <c r="O239" s="5">
        <f>IF(OR(INDEX($W$2:$W$1001,MATCH(ROWS($V$2:V239),$V$2:$V$1001,0),1)&gt;=100000,INDEX($AC$1005:$AS$1005,1,MATCH(COLUMNS($AC$1006:AP1006),$AC$1006:$AS$1006,0))&gt;=100000), " ",IF(INDEX($AC$2:$AS$1001,MATCH(ROWS($V$2:V239),$V$2:$V$1001,0),MATCH(COLUMNS($AC$1006:AP1006),$AC$1006:$AS$1006,0)), HYPERLINK("#",""), HYPERLINK(CONCATENATE("#Metadata!", ADDRESS(INDEX($X$2:$X$1001,MATCH(ROWS($V$2:V239),$V$2:$V$1001,0),0), INDEX($AC$1004:$AS$1004,1,MATCH(COLUMNS($AC$1006:AP1006),$AC$1006:$AS$1006,0)))),"Fix")))</f>
        <v>0</v>
      </c>
      <c r="P239" s="5">
        <f>IF(OR(INDEX($W$2:$W$1001,MATCH(ROWS($V$2:V239),$V$2:$V$1001,0),1)&gt;=100000,INDEX($AC$1005:$AS$1005,1,MATCH(COLUMNS($AC$1006:AQ1006),$AC$1006:$AS$1006,0))&gt;=100000), " ",IF(INDEX($AC$2:$AS$1001,MATCH(ROWS($V$2:V239),$V$2:$V$1001,0),MATCH(COLUMNS($AC$1006:AQ1006),$AC$1006:$AS$1006,0)), HYPERLINK("#",""), HYPERLINK(CONCATENATE("#Metadata!", ADDRESS(INDEX($X$2:$X$1001,MATCH(ROWS($V$2:V239),$V$2:$V$1001,0),0), INDEX($AC$1004:$AS$1004,1,MATCH(COLUMNS($AC$1006:AQ1006),$AC$1006:$AS$1006,0)))),"Fix")))</f>
        <v>0</v>
      </c>
      <c r="Q239" s="5">
        <f>IF(OR(INDEX($W$2:$W$1001,MATCH(ROWS($V$2:V239),$V$2:$V$1001,0),1)&gt;=100000,INDEX($AC$1005:$AS$1005,1,MATCH(COLUMNS($AC$1006:AR1006),$AC$1006:$AS$1006,0))&gt;=100000), " ",IF(INDEX($AC$2:$AS$1001,MATCH(ROWS($V$2:V239),$V$2:$V$1001,0),MATCH(COLUMNS($AC$1006:AR1006),$AC$1006:$AS$1006,0)), HYPERLINK("#",""), HYPERLINK(CONCATENATE("#Metadata!", ADDRESS(INDEX($X$2:$X$1001,MATCH(ROWS($V$2:V239),$V$2:$V$1001,0),0), INDEX($AC$1004:$AS$1004,1,MATCH(COLUMNS($AC$1006:AR1006),$AC$1006:$AS$1006,0)))),"Fix")))</f>
        <v>0</v>
      </c>
      <c r="R239" s="5">
        <f>IF(OR(INDEX($W$2:$W$1001,MATCH(ROWS($V$2:V239),$V$2:$V$1001,0),1)&gt;=100000,INDEX($AC$1005:$AS$1005,1,MATCH(COLUMNS($AC$1006:AS1006),$AC$1006:$AS$1006,0))&gt;=100000), " ",IF(INDEX($AC$2:$AS$1001,MATCH(ROWS($V$2:V239),$V$2:$V$1001,0),MATCH(COLUMNS($AC$1006:AS1006),$AC$1006:$AS$1006,0)), HYPERLINK("#",""), HYPERLINK(CONCATENATE("#Metadata!", ADDRESS(INDEX($X$2:$X$1001,MATCH(ROWS($V$2:V239),$V$2:$V$1001,0),0), INDEX($AC$1004:$AS$1004,1,MATCH(COLUMNS($AC$1006:AS1006),$AC$1006:$AS$1006,0)))),"Fix")))</f>
        <v>0</v>
      </c>
      <c r="V239">
        <v>0</v>
      </c>
      <c r="W239">
        <v>0</v>
      </c>
      <c r="X239">
        <v>0</v>
      </c>
      <c r="Y239">
        <f>IF(Z239,TRUE,AND(AC239:AS239))</f>
        <v>0</v>
      </c>
      <c r="Z239">
        <f>COUNTBLANK(Metadata!B239:R239)=COLUMNS(Metadata!B239:R239)</f>
        <v>0</v>
      </c>
      <c r="AA239">
        <v>0</v>
      </c>
      <c r="AC239">
        <f>AND(IF(Metadata!B239="",FALSE,TRUE),COUNTIF(Metadata!B:B, Metadata!B239) = 1,NOT(ISERROR(SUMPRODUCT(SEARCH(MID(Metadata!B239,ROW(INDIRECT("1:"&amp;LEN(Metadata!B239))), 1),"0123456789abcdefghijklmnopqrstuvwxyzABCDEFGHIJKLMNOPQRSTUVWXYZ.")))))</f>
        <v>0</v>
      </c>
      <c r="AD239">
        <f>AND(IF(Metadata!C239="",FALSE,TRUE),exact(Metadata!C239,"Host-associated"))</f>
        <v>0</v>
      </c>
      <c r="AE239">
        <f>AND(IF(Metadata!D239="",FALSE,TRUE),OR(exact(Metadata!D239,"Animal"),exact(Metadata!D239,"Fungus"),exact(Metadata!D239,"Plant")))</f>
        <v>0</v>
      </c>
      <c r="AF239">
        <f>AND(IF(Metadata!E239="",FALSE,TRUE),OR(exact(Metadata!E239,"Plant secretion"),exact(Metadata!E239,"Plant rhizosphere"),exact(Metadata!E239,"Plant surface"),exact(Metadata!E239,"Plant corpus"),exact(Metadata!E239,"Fungus surface"),exact(Metadata!E239,"Fungus corpus"),exact(Metadata!E239,"Animal surface"),exact(Metadata!E239,"Animal proximal gut"),exact(Metadata!E239,"Animal corpus"),exact(Metadata!E239,"Animal distal gut"),exact(Metadata!E239,"Animal secretion")))</f>
        <v>0</v>
      </c>
      <c r="AG239">
        <f>OR(AND(IF(Metadata!F239="",FALSE,TRUE),OR(exact(Metadata!F239,"not collected"),exact(Metadata!F239,"not provided"),exact(Metadata!F239,"restricted access"))),AND(IF(Metadata!F239="",FALSE,TRUE),OR(exact(Metadata!F239,"organism-associated habitat"),exact(Metadata!F239,"plant-associated habitat"),exact(Metadata!F239,"animal-associated habitat"),exact(Metadata!F239,"insecta-associated habitat"),exact(Metadata!F239,"mammalia-associated habitat"),exact(Metadata!F239,"human-associated habitat"),exact(Metadata!F239,"livestock-associated habitat"))))</f>
        <v>0</v>
      </c>
      <c r="AH239">
        <f>AND(IF(Metadata!G239="",FALSE,TRUE),exact(Metadata!G239,"host-associated"))</f>
        <v>0</v>
      </c>
      <c r="AI239">
        <f>OR(AND(IF(Metadata!H239="",FALSE,TRUE),OR(exact(Metadata!H239,"not collected"),exact(Metadata!H239,"not provided"))),AND(IF(Metadata!H239="",FALSE,ISNUMBER(VALUE(Metadata!H239))),Metadata!H239&gt;0))</f>
        <v>0</v>
      </c>
      <c r="AJ239">
        <f>AND(IF(Metadata!I239="",FALSE,TRUE),exact(Metadata!I239,"years"))</f>
        <v>0</v>
      </c>
      <c r="AK239">
        <f>IF(Metadata!J239="",FALSE,TRUE)</f>
        <v>0</v>
      </c>
      <c r="AL239">
        <f>OR(AND(IF(Metadata!K239="",FALSE,TRUE),OR(exact(Metadata!K239,"not collected"),exact(Metadata!K239,"not provided"))),AND(IF(Metadata!K239="",FALSE,ISNUMBER(VALUE(Metadata!K239))),Metadata!K239&gt;0))</f>
        <v>0</v>
      </c>
      <c r="AM239">
        <f>AND(IF(Metadata!L239="",FALSE,TRUE),exact(Metadata!L239,"cm"))</f>
        <v>0</v>
      </c>
      <c r="AN239">
        <f>IF(Metadata!M239="",FALSE,TRUE)</f>
        <v>0</v>
      </c>
      <c r="AO239">
        <f>OR(AND(IF(Metadata!N239="",FALSE,TRUE),OR(exact(Metadata!N239,"not applicable"),exact(Metadata!N239,"not collected"),exact(Metadata!N239,"not provided"))),AND(IF(Metadata!N239="",FALSE,IF(ISERROR(INT(Metadata!N239)),FALSE,INT(Metadata!N239)=Metadata!N239)),Metadata!N239&gt;0))</f>
        <v>0</v>
      </c>
      <c r="AP239">
        <f>OR(AND(IF(Metadata!O239="",FALSE,TRUE),OR(exact(Metadata!O239,"not collected"),exact(Metadata!O239,"not provided"))),AND(IF(Metadata!O239="",FALSE,ISNUMBER(VALUE(Metadata!O239))),Metadata!O239&gt;0))</f>
        <v>0</v>
      </c>
      <c r="AQ239">
        <f>AND(IF(Metadata!P239="",FALSE,TRUE),exact(Metadata!P239,"kg"))</f>
        <v>0</v>
      </c>
      <c r="AR239">
        <f>OR(AND(IF(Metadata!Q239="",FALSE,TRUE),OR(exact(Metadata!Q239,"not applicable"),exact(Metadata!Q239,"not collected"),exact(Metadata!Q239,"not provided"),exact(Metadata!Q239,"restricted access"))),IF(Metadata!Q239="",FALSE,IF(ISERROR(INT(Metadata!Q239)),FALSE,INT(Metadata!Q239)=Metadata!Q239)))</f>
        <v>0</v>
      </c>
      <c r="AS239">
        <f>AND(IF(Metadata!R239="",FALSE,TRUE),exact(Metadata!R239,"Not applicable"))</f>
        <v>0</v>
      </c>
    </row>
    <row r="240" spans="1:45">
      <c r="A240" s="4">
        <f>IF(B240=" "," ",HYPERLINK(CONCATENATE("#metadata!",ADDRESS(INDEX($X$2:$X$1001,MATCH(ROWS($V$2:V240),$V$2:$V$1001,0),0),2)),INDEX($AA$2:$AA$1001,MATCH(ROWS($V$2:V240),$V$2:$V$1001,0),0)))</f>
        <v>0</v>
      </c>
      <c r="B240" s="5">
        <f>IF(OR(INDEX($W$2:$W$1001,MATCH(ROWS($V$2:V240),$V$2:$V$1001,0),1)&gt;=100000,INDEX($AC$1005:$AS$1005,1,MATCH(COLUMNS($AC$1006:AC1006),$AC$1006:$AS$1006,0))&gt;=100000), " ",IF(INDEX($AC$2:$AS$1001,MATCH(ROWS($V$2:V240),$V$2:$V$1001,0),MATCH(COLUMNS($AC$1006:AC1006),$AC$1006:$AS$1006,0)), HYPERLINK("#",""), HYPERLINK(CONCATENATE("#Metadata!", ADDRESS(INDEX($X$2:$X$1001,MATCH(ROWS($V$2:V240),$V$2:$V$1001,0),0), INDEX($AC$1004:$AS$1004,1,MATCH(COLUMNS($AC$1006:AC1006),$AC$1006:$AS$1006,0)))),"Fix")))</f>
        <v>0</v>
      </c>
      <c r="C240" s="5">
        <f>IF(OR(INDEX($W$2:$W$1001,MATCH(ROWS($V$2:V240),$V$2:$V$1001,0),1)&gt;=100000,INDEX($AC$1005:$AS$1005,1,MATCH(COLUMNS($AC$1006:AD1006),$AC$1006:$AS$1006,0))&gt;=100000), " ",IF(INDEX($AC$2:$AS$1001,MATCH(ROWS($V$2:V240),$V$2:$V$1001,0),MATCH(COLUMNS($AC$1006:AD1006),$AC$1006:$AS$1006,0)), HYPERLINK("#",""), HYPERLINK(CONCATENATE("#Metadata!", ADDRESS(INDEX($X$2:$X$1001,MATCH(ROWS($V$2:V240),$V$2:$V$1001,0),0), INDEX($AC$1004:$AS$1004,1,MATCH(COLUMNS($AC$1006:AD1006),$AC$1006:$AS$1006,0)))),"Fix")))</f>
        <v>0</v>
      </c>
      <c r="D240" s="5">
        <f>IF(OR(INDEX($W$2:$W$1001,MATCH(ROWS($V$2:V240),$V$2:$V$1001,0),1)&gt;=100000,INDEX($AC$1005:$AS$1005,1,MATCH(COLUMNS($AC$1006:AE1006),$AC$1006:$AS$1006,0))&gt;=100000), " ",IF(INDEX($AC$2:$AS$1001,MATCH(ROWS($V$2:V240),$V$2:$V$1001,0),MATCH(COLUMNS($AC$1006:AE1006),$AC$1006:$AS$1006,0)), HYPERLINK("#",""), HYPERLINK(CONCATENATE("#Metadata!", ADDRESS(INDEX($X$2:$X$1001,MATCH(ROWS($V$2:V240),$V$2:$V$1001,0),0), INDEX($AC$1004:$AS$1004,1,MATCH(COLUMNS($AC$1006:AE1006),$AC$1006:$AS$1006,0)))),"Fix")))</f>
        <v>0</v>
      </c>
      <c r="E240" s="5">
        <f>IF(OR(INDEX($W$2:$W$1001,MATCH(ROWS($V$2:V240),$V$2:$V$1001,0),1)&gt;=100000,INDEX($AC$1005:$AS$1005,1,MATCH(COLUMNS($AC$1006:AF1006),$AC$1006:$AS$1006,0))&gt;=100000), " ",IF(INDEX($AC$2:$AS$1001,MATCH(ROWS($V$2:V240),$V$2:$V$1001,0),MATCH(COLUMNS($AC$1006:AF1006),$AC$1006:$AS$1006,0)), HYPERLINK("#",""), HYPERLINK(CONCATENATE("#Metadata!", ADDRESS(INDEX($X$2:$X$1001,MATCH(ROWS($V$2:V240),$V$2:$V$1001,0),0), INDEX($AC$1004:$AS$1004,1,MATCH(COLUMNS($AC$1006:AF1006),$AC$1006:$AS$1006,0)))),"Fix")))</f>
        <v>0</v>
      </c>
      <c r="F240" s="5">
        <f>IF(OR(INDEX($W$2:$W$1001,MATCH(ROWS($V$2:V240),$V$2:$V$1001,0),1)&gt;=100000,INDEX($AC$1005:$AS$1005,1,MATCH(COLUMNS($AC$1006:AG1006),$AC$1006:$AS$1006,0))&gt;=100000), " ",IF(INDEX($AC$2:$AS$1001,MATCH(ROWS($V$2:V240),$V$2:$V$1001,0),MATCH(COLUMNS($AC$1006:AG1006),$AC$1006:$AS$1006,0)), HYPERLINK("#",""), HYPERLINK(CONCATENATE("#Metadata!", ADDRESS(INDEX($X$2:$X$1001,MATCH(ROWS($V$2:V240),$V$2:$V$1001,0),0), INDEX($AC$1004:$AS$1004,1,MATCH(COLUMNS($AC$1006:AG1006),$AC$1006:$AS$1006,0)))),"Fix")))</f>
        <v>0</v>
      </c>
      <c r="G240" s="5">
        <f>IF(OR(INDEX($W$2:$W$1001,MATCH(ROWS($V$2:V240),$V$2:$V$1001,0),1)&gt;=100000,INDEX($AC$1005:$AS$1005,1,MATCH(COLUMNS($AC$1006:AH1006),$AC$1006:$AS$1006,0))&gt;=100000), " ",IF(INDEX($AC$2:$AS$1001,MATCH(ROWS($V$2:V240),$V$2:$V$1001,0),MATCH(COLUMNS($AC$1006:AH1006),$AC$1006:$AS$1006,0)), HYPERLINK("#",""), HYPERLINK(CONCATENATE("#Metadata!", ADDRESS(INDEX($X$2:$X$1001,MATCH(ROWS($V$2:V240),$V$2:$V$1001,0),0), INDEX($AC$1004:$AS$1004,1,MATCH(COLUMNS($AC$1006:AH1006),$AC$1006:$AS$1006,0)))),"Fix")))</f>
        <v>0</v>
      </c>
      <c r="H240" s="5">
        <f>IF(OR(INDEX($W$2:$W$1001,MATCH(ROWS($V$2:V240),$V$2:$V$1001,0),1)&gt;=100000,INDEX($AC$1005:$AS$1005,1,MATCH(COLUMNS($AC$1006:AI1006),$AC$1006:$AS$1006,0))&gt;=100000), " ",IF(INDEX($AC$2:$AS$1001,MATCH(ROWS($V$2:V240),$V$2:$V$1001,0),MATCH(COLUMNS($AC$1006:AI1006),$AC$1006:$AS$1006,0)), HYPERLINK("#",""), HYPERLINK(CONCATENATE("#Metadata!", ADDRESS(INDEX($X$2:$X$1001,MATCH(ROWS($V$2:V240),$V$2:$V$1001,0),0), INDEX($AC$1004:$AS$1004,1,MATCH(COLUMNS($AC$1006:AI1006),$AC$1006:$AS$1006,0)))),"Fix")))</f>
        <v>0</v>
      </c>
      <c r="I240" s="5">
        <f>IF(OR(INDEX($W$2:$W$1001,MATCH(ROWS($V$2:V240),$V$2:$V$1001,0),1)&gt;=100000,INDEX($AC$1005:$AS$1005,1,MATCH(COLUMNS($AC$1006:AJ1006),$AC$1006:$AS$1006,0))&gt;=100000), " ",IF(INDEX($AC$2:$AS$1001,MATCH(ROWS($V$2:V240),$V$2:$V$1001,0),MATCH(COLUMNS($AC$1006:AJ1006),$AC$1006:$AS$1006,0)), HYPERLINK("#",""), HYPERLINK(CONCATENATE("#Metadata!", ADDRESS(INDEX($X$2:$X$1001,MATCH(ROWS($V$2:V240),$V$2:$V$1001,0),0), INDEX($AC$1004:$AS$1004,1,MATCH(COLUMNS($AC$1006:AJ1006),$AC$1006:$AS$1006,0)))),"Fix")))</f>
        <v>0</v>
      </c>
      <c r="J240" s="5">
        <f>IF(OR(INDEX($W$2:$W$1001,MATCH(ROWS($V$2:V240),$V$2:$V$1001,0),1)&gt;=100000,INDEX($AC$1005:$AS$1005,1,MATCH(COLUMNS($AC$1006:AK1006),$AC$1006:$AS$1006,0))&gt;=100000), " ",IF(INDEX($AC$2:$AS$1001,MATCH(ROWS($V$2:V240),$V$2:$V$1001,0),MATCH(COLUMNS($AC$1006:AK1006),$AC$1006:$AS$1006,0)), HYPERLINK("#",""), HYPERLINK(CONCATENATE("#Metadata!", ADDRESS(INDEX($X$2:$X$1001,MATCH(ROWS($V$2:V240),$V$2:$V$1001,0),0), INDEX($AC$1004:$AS$1004,1,MATCH(COLUMNS($AC$1006:AK1006),$AC$1006:$AS$1006,0)))),"Fix")))</f>
        <v>0</v>
      </c>
      <c r="K240" s="5">
        <f>IF(OR(INDEX($W$2:$W$1001,MATCH(ROWS($V$2:V240),$V$2:$V$1001,0),1)&gt;=100000,INDEX($AC$1005:$AS$1005,1,MATCH(COLUMNS($AC$1006:AL1006),$AC$1006:$AS$1006,0))&gt;=100000), " ",IF(INDEX($AC$2:$AS$1001,MATCH(ROWS($V$2:V240),$V$2:$V$1001,0),MATCH(COLUMNS($AC$1006:AL1006),$AC$1006:$AS$1006,0)), HYPERLINK("#",""), HYPERLINK(CONCATENATE("#Metadata!", ADDRESS(INDEX($X$2:$X$1001,MATCH(ROWS($V$2:V240),$V$2:$V$1001,0),0), INDEX($AC$1004:$AS$1004,1,MATCH(COLUMNS($AC$1006:AL1006),$AC$1006:$AS$1006,0)))),"Fix")))</f>
        <v>0</v>
      </c>
      <c r="L240" s="5">
        <f>IF(OR(INDEX($W$2:$W$1001,MATCH(ROWS($V$2:V240),$V$2:$V$1001,0),1)&gt;=100000,INDEX($AC$1005:$AS$1005,1,MATCH(COLUMNS($AC$1006:AM1006),$AC$1006:$AS$1006,0))&gt;=100000), " ",IF(INDEX($AC$2:$AS$1001,MATCH(ROWS($V$2:V240),$V$2:$V$1001,0),MATCH(COLUMNS($AC$1006:AM1006),$AC$1006:$AS$1006,0)), HYPERLINK("#",""), HYPERLINK(CONCATENATE("#Metadata!", ADDRESS(INDEX($X$2:$X$1001,MATCH(ROWS($V$2:V240),$V$2:$V$1001,0),0), INDEX($AC$1004:$AS$1004,1,MATCH(COLUMNS($AC$1006:AM1006),$AC$1006:$AS$1006,0)))),"Fix")))</f>
        <v>0</v>
      </c>
      <c r="M240" s="5">
        <f>IF(OR(INDEX($W$2:$W$1001,MATCH(ROWS($V$2:V240),$V$2:$V$1001,0),1)&gt;=100000,INDEX($AC$1005:$AS$1005,1,MATCH(COLUMNS($AC$1006:AN1006),$AC$1006:$AS$1006,0))&gt;=100000), " ",IF(INDEX($AC$2:$AS$1001,MATCH(ROWS($V$2:V240),$V$2:$V$1001,0),MATCH(COLUMNS($AC$1006:AN1006),$AC$1006:$AS$1006,0)), HYPERLINK("#",""), HYPERLINK(CONCATENATE("#Metadata!", ADDRESS(INDEX($X$2:$X$1001,MATCH(ROWS($V$2:V240),$V$2:$V$1001,0),0), INDEX($AC$1004:$AS$1004,1,MATCH(COLUMNS($AC$1006:AN1006),$AC$1006:$AS$1006,0)))),"Fix")))</f>
        <v>0</v>
      </c>
      <c r="N240" s="5">
        <f>IF(OR(INDEX($W$2:$W$1001,MATCH(ROWS($V$2:V240),$V$2:$V$1001,0),1)&gt;=100000,INDEX($AC$1005:$AS$1005,1,MATCH(COLUMNS($AC$1006:AO1006),$AC$1006:$AS$1006,0))&gt;=100000), " ",IF(INDEX($AC$2:$AS$1001,MATCH(ROWS($V$2:V240),$V$2:$V$1001,0),MATCH(COLUMNS($AC$1006:AO1006),$AC$1006:$AS$1006,0)), HYPERLINK("#",""), HYPERLINK(CONCATENATE("#Metadata!", ADDRESS(INDEX($X$2:$X$1001,MATCH(ROWS($V$2:V240),$V$2:$V$1001,0),0), INDEX($AC$1004:$AS$1004,1,MATCH(COLUMNS($AC$1006:AO1006),$AC$1006:$AS$1006,0)))),"Fix")))</f>
        <v>0</v>
      </c>
      <c r="O240" s="5">
        <f>IF(OR(INDEX($W$2:$W$1001,MATCH(ROWS($V$2:V240),$V$2:$V$1001,0),1)&gt;=100000,INDEX($AC$1005:$AS$1005,1,MATCH(COLUMNS($AC$1006:AP1006),$AC$1006:$AS$1006,0))&gt;=100000), " ",IF(INDEX($AC$2:$AS$1001,MATCH(ROWS($V$2:V240),$V$2:$V$1001,0),MATCH(COLUMNS($AC$1006:AP1006),$AC$1006:$AS$1006,0)), HYPERLINK("#",""), HYPERLINK(CONCATENATE("#Metadata!", ADDRESS(INDEX($X$2:$X$1001,MATCH(ROWS($V$2:V240),$V$2:$V$1001,0),0), INDEX($AC$1004:$AS$1004,1,MATCH(COLUMNS($AC$1006:AP1006),$AC$1006:$AS$1006,0)))),"Fix")))</f>
        <v>0</v>
      </c>
      <c r="P240" s="5">
        <f>IF(OR(INDEX($W$2:$W$1001,MATCH(ROWS($V$2:V240),$V$2:$V$1001,0),1)&gt;=100000,INDEX($AC$1005:$AS$1005,1,MATCH(COLUMNS($AC$1006:AQ1006),$AC$1006:$AS$1006,0))&gt;=100000), " ",IF(INDEX($AC$2:$AS$1001,MATCH(ROWS($V$2:V240),$V$2:$V$1001,0),MATCH(COLUMNS($AC$1006:AQ1006),$AC$1006:$AS$1006,0)), HYPERLINK("#",""), HYPERLINK(CONCATENATE("#Metadata!", ADDRESS(INDEX($X$2:$X$1001,MATCH(ROWS($V$2:V240),$V$2:$V$1001,0),0), INDEX($AC$1004:$AS$1004,1,MATCH(COLUMNS($AC$1006:AQ1006),$AC$1006:$AS$1006,0)))),"Fix")))</f>
        <v>0</v>
      </c>
      <c r="Q240" s="5">
        <f>IF(OR(INDEX($W$2:$W$1001,MATCH(ROWS($V$2:V240),$V$2:$V$1001,0),1)&gt;=100000,INDEX($AC$1005:$AS$1005,1,MATCH(COLUMNS($AC$1006:AR1006),$AC$1006:$AS$1006,0))&gt;=100000), " ",IF(INDEX($AC$2:$AS$1001,MATCH(ROWS($V$2:V240),$V$2:$V$1001,0),MATCH(COLUMNS($AC$1006:AR1006),$AC$1006:$AS$1006,0)), HYPERLINK("#",""), HYPERLINK(CONCATENATE("#Metadata!", ADDRESS(INDEX($X$2:$X$1001,MATCH(ROWS($V$2:V240),$V$2:$V$1001,0),0), INDEX($AC$1004:$AS$1004,1,MATCH(COLUMNS($AC$1006:AR1006),$AC$1006:$AS$1006,0)))),"Fix")))</f>
        <v>0</v>
      </c>
      <c r="R240" s="5">
        <f>IF(OR(INDEX($W$2:$W$1001,MATCH(ROWS($V$2:V240),$V$2:$V$1001,0),1)&gt;=100000,INDEX($AC$1005:$AS$1005,1,MATCH(COLUMNS($AC$1006:AS1006),$AC$1006:$AS$1006,0))&gt;=100000), " ",IF(INDEX($AC$2:$AS$1001,MATCH(ROWS($V$2:V240),$V$2:$V$1001,0),MATCH(COLUMNS($AC$1006:AS1006),$AC$1006:$AS$1006,0)), HYPERLINK("#",""), HYPERLINK(CONCATENATE("#Metadata!", ADDRESS(INDEX($X$2:$X$1001,MATCH(ROWS($V$2:V240),$V$2:$V$1001,0),0), INDEX($AC$1004:$AS$1004,1,MATCH(COLUMNS($AC$1006:AS1006),$AC$1006:$AS$1006,0)))),"Fix")))</f>
        <v>0</v>
      </c>
      <c r="V240">
        <v>0</v>
      </c>
      <c r="W240">
        <v>0</v>
      </c>
      <c r="X240">
        <v>0</v>
      </c>
      <c r="Y240">
        <f>IF(Z240,TRUE,AND(AC240:AS240))</f>
        <v>0</v>
      </c>
      <c r="Z240">
        <f>COUNTBLANK(Metadata!B240:R240)=COLUMNS(Metadata!B240:R240)</f>
        <v>0</v>
      </c>
      <c r="AA240">
        <v>0</v>
      </c>
      <c r="AC240">
        <f>AND(IF(Metadata!B240="",FALSE,TRUE),COUNTIF(Metadata!B:B, Metadata!B240) = 1,NOT(ISERROR(SUMPRODUCT(SEARCH(MID(Metadata!B240,ROW(INDIRECT("1:"&amp;LEN(Metadata!B240))), 1),"0123456789abcdefghijklmnopqrstuvwxyzABCDEFGHIJKLMNOPQRSTUVWXYZ.")))))</f>
        <v>0</v>
      </c>
      <c r="AD240">
        <f>AND(IF(Metadata!C240="",FALSE,TRUE),exact(Metadata!C240,"Host-associated"))</f>
        <v>0</v>
      </c>
      <c r="AE240">
        <f>AND(IF(Metadata!D240="",FALSE,TRUE),OR(exact(Metadata!D240,"Animal"),exact(Metadata!D240,"Fungus"),exact(Metadata!D240,"Plant")))</f>
        <v>0</v>
      </c>
      <c r="AF240">
        <f>AND(IF(Metadata!E240="",FALSE,TRUE),OR(exact(Metadata!E240,"Plant secretion"),exact(Metadata!E240,"Plant rhizosphere"),exact(Metadata!E240,"Plant surface"),exact(Metadata!E240,"Plant corpus"),exact(Metadata!E240,"Fungus surface"),exact(Metadata!E240,"Fungus corpus"),exact(Metadata!E240,"Animal surface"),exact(Metadata!E240,"Animal proximal gut"),exact(Metadata!E240,"Animal corpus"),exact(Metadata!E240,"Animal distal gut"),exact(Metadata!E240,"Animal secretion")))</f>
        <v>0</v>
      </c>
      <c r="AG240">
        <f>OR(AND(IF(Metadata!F240="",FALSE,TRUE),OR(exact(Metadata!F240,"not collected"),exact(Metadata!F240,"not provided"),exact(Metadata!F240,"restricted access"))),AND(IF(Metadata!F240="",FALSE,TRUE),OR(exact(Metadata!F240,"organism-associated habitat"),exact(Metadata!F240,"plant-associated habitat"),exact(Metadata!F240,"animal-associated habitat"),exact(Metadata!F240,"insecta-associated habitat"),exact(Metadata!F240,"mammalia-associated habitat"),exact(Metadata!F240,"human-associated habitat"),exact(Metadata!F240,"livestock-associated habitat"))))</f>
        <v>0</v>
      </c>
      <c r="AH240">
        <f>AND(IF(Metadata!G240="",FALSE,TRUE),exact(Metadata!G240,"host-associated"))</f>
        <v>0</v>
      </c>
      <c r="AI240">
        <f>OR(AND(IF(Metadata!H240="",FALSE,TRUE),OR(exact(Metadata!H240,"not collected"),exact(Metadata!H240,"not provided"))),AND(IF(Metadata!H240="",FALSE,ISNUMBER(VALUE(Metadata!H240))),Metadata!H240&gt;0))</f>
        <v>0</v>
      </c>
      <c r="AJ240">
        <f>AND(IF(Metadata!I240="",FALSE,TRUE),exact(Metadata!I240,"years"))</f>
        <v>0</v>
      </c>
      <c r="AK240">
        <f>IF(Metadata!J240="",FALSE,TRUE)</f>
        <v>0</v>
      </c>
      <c r="AL240">
        <f>OR(AND(IF(Metadata!K240="",FALSE,TRUE),OR(exact(Metadata!K240,"not collected"),exact(Metadata!K240,"not provided"))),AND(IF(Metadata!K240="",FALSE,ISNUMBER(VALUE(Metadata!K240))),Metadata!K240&gt;0))</f>
        <v>0</v>
      </c>
      <c r="AM240">
        <f>AND(IF(Metadata!L240="",FALSE,TRUE),exact(Metadata!L240,"cm"))</f>
        <v>0</v>
      </c>
      <c r="AN240">
        <f>IF(Metadata!M240="",FALSE,TRUE)</f>
        <v>0</v>
      </c>
      <c r="AO240">
        <f>OR(AND(IF(Metadata!N240="",FALSE,TRUE),OR(exact(Metadata!N240,"not applicable"),exact(Metadata!N240,"not collected"),exact(Metadata!N240,"not provided"))),AND(IF(Metadata!N240="",FALSE,IF(ISERROR(INT(Metadata!N240)),FALSE,INT(Metadata!N240)=Metadata!N240)),Metadata!N240&gt;0))</f>
        <v>0</v>
      </c>
      <c r="AP240">
        <f>OR(AND(IF(Metadata!O240="",FALSE,TRUE),OR(exact(Metadata!O240,"not collected"),exact(Metadata!O240,"not provided"))),AND(IF(Metadata!O240="",FALSE,ISNUMBER(VALUE(Metadata!O240))),Metadata!O240&gt;0))</f>
        <v>0</v>
      </c>
      <c r="AQ240">
        <f>AND(IF(Metadata!P240="",FALSE,TRUE),exact(Metadata!P240,"kg"))</f>
        <v>0</v>
      </c>
      <c r="AR240">
        <f>OR(AND(IF(Metadata!Q240="",FALSE,TRUE),OR(exact(Metadata!Q240,"not applicable"),exact(Metadata!Q240,"not collected"),exact(Metadata!Q240,"not provided"),exact(Metadata!Q240,"restricted access"))),IF(Metadata!Q240="",FALSE,IF(ISERROR(INT(Metadata!Q240)),FALSE,INT(Metadata!Q240)=Metadata!Q240)))</f>
        <v>0</v>
      </c>
      <c r="AS240">
        <f>AND(IF(Metadata!R240="",FALSE,TRUE),exact(Metadata!R240,"Not applicable"))</f>
        <v>0</v>
      </c>
    </row>
    <row r="241" spans="1:45">
      <c r="A241" s="4">
        <f>IF(B241=" "," ",HYPERLINK(CONCATENATE("#metadata!",ADDRESS(INDEX($X$2:$X$1001,MATCH(ROWS($V$2:V241),$V$2:$V$1001,0),0),2)),INDEX($AA$2:$AA$1001,MATCH(ROWS($V$2:V241),$V$2:$V$1001,0),0)))</f>
        <v>0</v>
      </c>
      <c r="B241" s="5">
        <f>IF(OR(INDEX($W$2:$W$1001,MATCH(ROWS($V$2:V241),$V$2:$V$1001,0),1)&gt;=100000,INDEX($AC$1005:$AS$1005,1,MATCH(COLUMNS($AC$1006:AC1006),$AC$1006:$AS$1006,0))&gt;=100000), " ",IF(INDEX($AC$2:$AS$1001,MATCH(ROWS($V$2:V241),$V$2:$V$1001,0),MATCH(COLUMNS($AC$1006:AC1006),$AC$1006:$AS$1006,0)), HYPERLINK("#",""), HYPERLINK(CONCATENATE("#Metadata!", ADDRESS(INDEX($X$2:$X$1001,MATCH(ROWS($V$2:V241),$V$2:$V$1001,0),0), INDEX($AC$1004:$AS$1004,1,MATCH(COLUMNS($AC$1006:AC1006),$AC$1006:$AS$1006,0)))),"Fix")))</f>
        <v>0</v>
      </c>
      <c r="C241" s="5">
        <f>IF(OR(INDEX($W$2:$W$1001,MATCH(ROWS($V$2:V241),$V$2:$V$1001,0),1)&gt;=100000,INDEX($AC$1005:$AS$1005,1,MATCH(COLUMNS($AC$1006:AD1006),$AC$1006:$AS$1006,0))&gt;=100000), " ",IF(INDEX($AC$2:$AS$1001,MATCH(ROWS($V$2:V241),$V$2:$V$1001,0),MATCH(COLUMNS($AC$1006:AD1006),$AC$1006:$AS$1006,0)), HYPERLINK("#",""), HYPERLINK(CONCATENATE("#Metadata!", ADDRESS(INDEX($X$2:$X$1001,MATCH(ROWS($V$2:V241),$V$2:$V$1001,0),0), INDEX($AC$1004:$AS$1004,1,MATCH(COLUMNS($AC$1006:AD1006),$AC$1006:$AS$1006,0)))),"Fix")))</f>
        <v>0</v>
      </c>
      <c r="D241" s="5">
        <f>IF(OR(INDEX($W$2:$W$1001,MATCH(ROWS($V$2:V241),$V$2:$V$1001,0),1)&gt;=100000,INDEX($AC$1005:$AS$1005,1,MATCH(COLUMNS($AC$1006:AE1006),$AC$1006:$AS$1006,0))&gt;=100000), " ",IF(INDEX($AC$2:$AS$1001,MATCH(ROWS($V$2:V241),$V$2:$V$1001,0),MATCH(COLUMNS($AC$1006:AE1006),$AC$1006:$AS$1006,0)), HYPERLINK("#",""), HYPERLINK(CONCATENATE("#Metadata!", ADDRESS(INDEX($X$2:$X$1001,MATCH(ROWS($V$2:V241),$V$2:$V$1001,0),0), INDEX($AC$1004:$AS$1004,1,MATCH(COLUMNS($AC$1006:AE1006),$AC$1006:$AS$1006,0)))),"Fix")))</f>
        <v>0</v>
      </c>
      <c r="E241" s="5">
        <f>IF(OR(INDEX($W$2:$W$1001,MATCH(ROWS($V$2:V241),$V$2:$V$1001,0),1)&gt;=100000,INDEX($AC$1005:$AS$1005,1,MATCH(COLUMNS($AC$1006:AF1006),$AC$1006:$AS$1006,0))&gt;=100000), " ",IF(INDEX($AC$2:$AS$1001,MATCH(ROWS($V$2:V241),$V$2:$V$1001,0),MATCH(COLUMNS($AC$1006:AF1006),$AC$1006:$AS$1006,0)), HYPERLINK("#",""), HYPERLINK(CONCATENATE("#Metadata!", ADDRESS(INDEX($X$2:$X$1001,MATCH(ROWS($V$2:V241),$V$2:$V$1001,0),0), INDEX($AC$1004:$AS$1004,1,MATCH(COLUMNS($AC$1006:AF1006),$AC$1006:$AS$1006,0)))),"Fix")))</f>
        <v>0</v>
      </c>
      <c r="F241" s="5">
        <f>IF(OR(INDEX($W$2:$W$1001,MATCH(ROWS($V$2:V241),$V$2:$V$1001,0),1)&gt;=100000,INDEX($AC$1005:$AS$1005,1,MATCH(COLUMNS($AC$1006:AG1006),$AC$1006:$AS$1006,0))&gt;=100000), " ",IF(INDEX($AC$2:$AS$1001,MATCH(ROWS($V$2:V241),$V$2:$V$1001,0),MATCH(COLUMNS($AC$1006:AG1006),$AC$1006:$AS$1006,0)), HYPERLINK("#",""), HYPERLINK(CONCATENATE("#Metadata!", ADDRESS(INDEX($X$2:$X$1001,MATCH(ROWS($V$2:V241),$V$2:$V$1001,0),0), INDEX($AC$1004:$AS$1004,1,MATCH(COLUMNS($AC$1006:AG1006),$AC$1006:$AS$1006,0)))),"Fix")))</f>
        <v>0</v>
      </c>
      <c r="G241" s="5">
        <f>IF(OR(INDEX($W$2:$W$1001,MATCH(ROWS($V$2:V241),$V$2:$V$1001,0),1)&gt;=100000,INDEX($AC$1005:$AS$1005,1,MATCH(COLUMNS($AC$1006:AH1006),$AC$1006:$AS$1006,0))&gt;=100000), " ",IF(INDEX($AC$2:$AS$1001,MATCH(ROWS($V$2:V241),$V$2:$V$1001,0),MATCH(COLUMNS($AC$1006:AH1006),$AC$1006:$AS$1006,0)), HYPERLINK("#",""), HYPERLINK(CONCATENATE("#Metadata!", ADDRESS(INDEX($X$2:$X$1001,MATCH(ROWS($V$2:V241),$V$2:$V$1001,0),0), INDEX($AC$1004:$AS$1004,1,MATCH(COLUMNS($AC$1006:AH1006),$AC$1006:$AS$1006,0)))),"Fix")))</f>
        <v>0</v>
      </c>
      <c r="H241" s="5">
        <f>IF(OR(INDEX($W$2:$W$1001,MATCH(ROWS($V$2:V241),$V$2:$V$1001,0),1)&gt;=100000,INDEX($AC$1005:$AS$1005,1,MATCH(COLUMNS($AC$1006:AI1006),$AC$1006:$AS$1006,0))&gt;=100000), " ",IF(INDEX($AC$2:$AS$1001,MATCH(ROWS($V$2:V241),$V$2:$V$1001,0),MATCH(COLUMNS($AC$1006:AI1006),$AC$1006:$AS$1006,0)), HYPERLINK("#",""), HYPERLINK(CONCATENATE("#Metadata!", ADDRESS(INDEX($X$2:$X$1001,MATCH(ROWS($V$2:V241),$V$2:$V$1001,0),0), INDEX($AC$1004:$AS$1004,1,MATCH(COLUMNS($AC$1006:AI1006),$AC$1006:$AS$1006,0)))),"Fix")))</f>
        <v>0</v>
      </c>
      <c r="I241" s="5">
        <f>IF(OR(INDEX($W$2:$W$1001,MATCH(ROWS($V$2:V241),$V$2:$V$1001,0),1)&gt;=100000,INDEX($AC$1005:$AS$1005,1,MATCH(COLUMNS($AC$1006:AJ1006),$AC$1006:$AS$1006,0))&gt;=100000), " ",IF(INDEX($AC$2:$AS$1001,MATCH(ROWS($V$2:V241),$V$2:$V$1001,0),MATCH(COLUMNS($AC$1006:AJ1006),$AC$1006:$AS$1006,0)), HYPERLINK("#",""), HYPERLINK(CONCATENATE("#Metadata!", ADDRESS(INDEX($X$2:$X$1001,MATCH(ROWS($V$2:V241),$V$2:$V$1001,0),0), INDEX($AC$1004:$AS$1004,1,MATCH(COLUMNS($AC$1006:AJ1006),$AC$1006:$AS$1006,0)))),"Fix")))</f>
        <v>0</v>
      </c>
      <c r="J241" s="5">
        <f>IF(OR(INDEX($W$2:$W$1001,MATCH(ROWS($V$2:V241),$V$2:$V$1001,0),1)&gt;=100000,INDEX($AC$1005:$AS$1005,1,MATCH(COLUMNS($AC$1006:AK1006),$AC$1006:$AS$1006,0))&gt;=100000), " ",IF(INDEX($AC$2:$AS$1001,MATCH(ROWS($V$2:V241),$V$2:$V$1001,0),MATCH(COLUMNS($AC$1006:AK1006),$AC$1006:$AS$1006,0)), HYPERLINK("#",""), HYPERLINK(CONCATENATE("#Metadata!", ADDRESS(INDEX($X$2:$X$1001,MATCH(ROWS($V$2:V241),$V$2:$V$1001,0),0), INDEX($AC$1004:$AS$1004,1,MATCH(COLUMNS($AC$1006:AK1006),$AC$1006:$AS$1006,0)))),"Fix")))</f>
        <v>0</v>
      </c>
      <c r="K241" s="5">
        <f>IF(OR(INDEX($W$2:$W$1001,MATCH(ROWS($V$2:V241),$V$2:$V$1001,0),1)&gt;=100000,INDEX($AC$1005:$AS$1005,1,MATCH(COLUMNS($AC$1006:AL1006),$AC$1006:$AS$1006,0))&gt;=100000), " ",IF(INDEX($AC$2:$AS$1001,MATCH(ROWS($V$2:V241),$V$2:$V$1001,0),MATCH(COLUMNS($AC$1006:AL1006),$AC$1006:$AS$1006,0)), HYPERLINK("#",""), HYPERLINK(CONCATENATE("#Metadata!", ADDRESS(INDEX($X$2:$X$1001,MATCH(ROWS($V$2:V241),$V$2:$V$1001,0),0), INDEX($AC$1004:$AS$1004,1,MATCH(COLUMNS($AC$1006:AL1006),$AC$1006:$AS$1006,0)))),"Fix")))</f>
        <v>0</v>
      </c>
      <c r="L241" s="5">
        <f>IF(OR(INDEX($W$2:$W$1001,MATCH(ROWS($V$2:V241),$V$2:$V$1001,0),1)&gt;=100000,INDEX($AC$1005:$AS$1005,1,MATCH(COLUMNS($AC$1006:AM1006),$AC$1006:$AS$1006,0))&gt;=100000), " ",IF(INDEX($AC$2:$AS$1001,MATCH(ROWS($V$2:V241),$V$2:$V$1001,0),MATCH(COLUMNS($AC$1006:AM1006),$AC$1006:$AS$1006,0)), HYPERLINK("#",""), HYPERLINK(CONCATENATE("#Metadata!", ADDRESS(INDEX($X$2:$X$1001,MATCH(ROWS($V$2:V241),$V$2:$V$1001,0),0), INDEX($AC$1004:$AS$1004,1,MATCH(COLUMNS($AC$1006:AM1006),$AC$1006:$AS$1006,0)))),"Fix")))</f>
        <v>0</v>
      </c>
      <c r="M241" s="5">
        <f>IF(OR(INDEX($W$2:$W$1001,MATCH(ROWS($V$2:V241),$V$2:$V$1001,0),1)&gt;=100000,INDEX($AC$1005:$AS$1005,1,MATCH(COLUMNS($AC$1006:AN1006),$AC$1006:$AS$1006,0))&gt;=100000), " ",IF(INDEX($AC$2:$AS$1001,MATCH(ROWS($V$2:V241),$V$2:$V$1001,0),MATCH(COLUMNS($AC$1006:AN1006),$AC$1006:$AS$1006,0)), HYPERLINK("#",""), HYPERLINK(CONCATENATE("#Metadata!", ADDRESS(INDEX($X$2:$X$1001,MATCH(ROWS($V$2:V241),$V$2:$V$1001,0),0), INDEX($AC$1004:$AS$1004,1,MATCH(COLUMNS($AC$1006:AN1006),$AC$1006:$AS$1006,0)))),"Fix")))</f>
        <v>0</v>
      </c>
      <c r="N241" s="5">
        <f>IF(OR(INDEX($W$2:$W$1001,MATCH(ROWS($V$2:V241),$V$2:$V$1001,0),1)&gt;=100000,INDEX($AC$1005:$AS$1005,1,MATCH(COLUMNS($AC$1006:AO1006),$AC$1006:$AS$1006,0))&gt;=100000), " ",IF(INDEX($AC$2:$AS$1001,MATCH(ROWS($V$2:V241),$V$2:$V$1001,0),MATCH(COLUMNS($AC$1006:AO1006),$AC$1006:$AS$1006,0)), HYPERLINK("#",""), HYPERLINK(CONCATENATE("#Metadata!", ADDRESS(INDEX($X$2:$X$1001,MATCH(ROWS($V$2:V241),$V$2:$V$1001,0),0), INDEX($AC$1004:$AS$1004,1,MATCH(COLUMNS($AC$1006:AO1006),$AC$1006:$AS$1006,0)))),"Fix")))</f>
        <v>0</v>
      </c>
      <c r="O241" s="5">
        <f>IF(OR(INDEX($W$2:$W$1001,MATCH(ROWS($V$2:V241),$V$2:$V$1001,0),1)&gt;=100000,INDEX($AC$1005:$AS$1005,1,MATCH(COLUMNS($AC$1006:AP1006),$AC$1006:$AS$1006,0))&gt;=100000), " ",IF(INDEX($AC$2:$AS$1001,MATCH(ROWS($V$2:V241),$V$2:$V$1001,0),MATCH(COLUMNS($AC$1006:AP1006),$AC$1006:$AS$1006,0)), HYPERLINK("#",""), HYPERLINK(CONCATENATE("#Metadata!", ADDRESS(INDEX($X$2:$X$1001,MATCH(ROWS($V$2:V241),$V$2:$V$1001,0),0), INDEX($AC$1004:$AS$1004,1,MATCH(COLUMNS($AC$1006:AP1006),$AC$1006:$AS$1006,0)))),"Fix")))</f>
        <v>0</v>
      </c>
      <c r="P241" s="5">
        <f>IF(OR(INDEX($W$2:$W$1001,MATCH(ROWS($V$2:V241),$V$2:$V$1001,0),1)&gt;=100000,INDEX($AC$1005:$AS$1005,1,MATCH(COLUMNS($AC$1006:AQ1006),$AC$1006:$AS$1006,0))&gt;=100000), " ",IF(INDEX($AC$2:$AS$1001,MATCH(ROWS($V$2:V241),$V$2:$V$1001,0),MATCH(COLUMNS($AC$1006:AQ1006),$AC$1006:$AS$1006,0)), HYPERLINK("#",""), HYPERLINK(CONCATENATE("#Metadata!", ADDRESS(INDEX($X$2:$X$1001,MATCH(ROWS($V$2:V241),$V$2:$V$1001,0),0), INDEX($AC$1004:$AS$1004,1,MATCH(COLUMNS($AC$1006:AQ1006),$AC$1006:$AS$1006,0)))),"Fix")))</f>
        <v>0</v>
      </c>
      <c r="Q241" s="5">
        <f>IF(OR(INDEX($W$2:$W$1001,MATCH(ROWS($V$2:V241),$V$2:$V$1001,0),1)&gt;=100000,INDEX($AC$1005:$AS$1005,1,MATCH(COLUMNS($AC$1006:AR1006),$AC$1006:$AS$1006,0))&gt;=100000), " ",IF(INDEX($AC$2:$AS$1001,MATCH(ROWS($V$2:V241),$V$2:$V$1001,0),MATCH(COLUMNS($AC$1006:AR1006),$AC$1006:$AS$1006,0)), HYPERLINK("#",""), HYPERLINK(CONCATENATE("#Metadata!", ADDRESS(INDEX($X$2:$X$1001,MATCH(ROWS($V$2:V241),$V$2:$V$1001,0),0), INDEX($AC$1004:$AS$1004,1,MATCH(COLUMNS($AC$1006:AR1006),$AC$1006:$AS$1006,0)))),"Fix")))</f>
        <v>0</v>
      </c>
      <c r="R241" s="5">
        <f>IF(OR(INDEX($W$2:$W$1001,MATCH(ROWS($V$2:V241),$V$2:$V$1001,0),1)&gt;=100000,INDEX($AC$1005:$AS$1005,1,MATCH(COLUMNS($AC$1006:AS1006),$AC$1006:$AS$1006,0))&gt;=100000), " ",IF(INDEX($AC$2:$AS$1001,MATCH(ROWS($V$2:V241),$V$2:$V$1001,0),MATCH(COLUMNS($AC$1006:AS1006),$AC$1006:$AS$1006,0)), HYPERLINK("#",""), HYPERLINK(CONCATENATE("#Metadata!", ADDRESS(INDEX($X$2:$X$1001,MATCH(ROWS($V$2:V241),$V$2:$V$1001,0),0), INDEX($AC$1004:$AS$1004,1,MATCH(COLUMNS($AC$1006:AS1006),$AC$1006:$AS$1006,0)))),"Fix")))</f>
        <v>0</v>
      </c>
      <c r="V241">
        <v>0</v>
      </c>
      <c r="W241">
        <v>0</v>
      </c>
      <c r="X241">
        <v>0</v>
      </c>
      <c r="Y241">
        <f>IF(Z241,TRUE,AND(AC241:AS241))</f>
        <v>0</v>
      </c>
      <c r="Z241">
        <f>COUNTBLANK(Metadata!B241:R241)=COLUMNS(Metadata!B241:R241)</f>
        <v>0</v>
      </c>
      <c r="AA241">
        <v>0</v>
      </c>
      <c r="AC241">
        <f>AND(IF(Metadata!B241="",FALSE,TRUE),COUNTIF(Metadata!B:B, Metadata!B241) = 1,NOT(ISERROR(SUMPRODUCT(SEARCH(MID(Metadata!B241,ROW(INDIRECT("1:"&amp;LEN(Metadata!B241))), 1),"0123456789abcdefghijklmnopqrstuvwxyzABCDEFGHIJKLMNOPQRSTUVWXYZ.")))))</f>
        <v>0</v>
      </c>
      <c r="AD241">
        <f>AND(IF(Metadata!C241="",FALSE,TRUE),exact(Metadata!C241,"Host-associated"))</f>
        <v>0</v>
      </c>
      <c r="AE241">
        <f>AND(IF(Metadata!D241="",FALSE,TRUE),OR(exact(Metadata!D241,"Animal"),exact(Metadata!D241,"Fungus"),exact(Metadata!D241,"Plant")))</f>
        <v>0</v>
      </c>
      <c r="AF241">
        <f>AND(IF(Metadata!E241="",FALSE,TRUE),OR(exact(Metadata!E241,"Plant secretion"),exact(Metadata!E241,"Plant rhizosphere"),exact(Metadata!E241,"Plant surface"),exact(Metadata!E241,"Plant corpus"),exact(Metadata!E241,"Fungus surface"),exact(Metadata!E241,"Fungus corpus"),exact(Metadata!E241,"Animal surface"),exact(Metadata!E241,"Animal proximal gut"),exact(Metadata!E241,"Animal corpus"),exact(Metadata!E241,"Animal distal gut"),exact(Metadata!E241,"Animal secretion")))</f>
        <v>0</v>
      </c>
      <c r="AG241">
        <f>OR(AND(IF(Metadata!F241="",FALSE,TRUE),OR(exact(Metadata!F241,"not collected"),exact(Metadata!F241,"not provided"),exact(Metadata!F241,"restricted access"))),AND(IF(Metadata!F241="",FALSE,TRUE),OR(exact(Metadata!F241,"organism-associated habitat"),exact(Metadata!F241,"plant-associated habitat"),exact(Metadata!F241,"animal-associated habitat"),exact(Metadata!F241,"insecta-associated habitat"),exact(Metadata!F241,"mammalia-associated habitat"),exact(Metadata!F241,"human-associated habitat"),exact(Metadata!F241,"livestock-associated habitat"))))</f>
        <v>0</v>
      </c>
      <c r="AH241">
        <f>AND(IF(Metadata!G241="",FALSE,TRUE),exact(Metadata!G241,"host-associated"))</f>
        <v>0</v>
      </c>
      <c r="AI241">
        <f>OR(AND(IF(Metadata!H241="",FALSE,TRUE),OR(exact(Metadata!H241,"not collected"),exact(Metadata!H241,"not provided"))),AND(IF(Metadata!H241="",FALSE,ISNUMBER(VALUE(Metadata!H241))),Metadata!H241&gt;0))</f>
        <v>0</v>
      </c>
      <c r="AJ241">
        <f>AND(IF(Metadata!I241="",FALSE,TRUE),exact(Metadata!I241,"years"))</f>
        <v>0</v>
      </c>
      <c r="AK241">
        <f>IF(Metadata!J241="",FALSE,TRUE)</f>
        <v>0</v>
      </c>
      <c r="AL241">
        <f>OR(AND(IF(Metadata!K241="",FALSE,TRUE),OR(exact(Metadata!K241,"not collected"),exact(Metadata!K241,"not provided"))),AND(IF(Metadata!K241="",FALSE,ISNUMBER(VALUE(Metadata!K241))),Metadata!K241&gt;0))</f>
        <v>0</v>
      </c>
      <c r="AM241">
        <f>AND(IF(Metadata!L241="",FALSE,TRUE),exact(Metadata!L241,"cm"))</f>
        <v>0</v>
      </c>
      <c r="AN241">
        <f>IF(Metadata!M241="",FALSE,TRUE)</f>
        <v>0</v>
      </c>
      <c r="AO241">
        <f>OR(AND(IF(Metadata!N241="",FALSE,TRUE),OR(exact(Metadata!N241,"not applicable"),exact(Metadata!N241,"not collected"),exact(Metadata!N241,"not provided"))),AND(IF(Metadata!N241="",FALSE,IF(ISERROR(INT(Metadata!N241)),FALSE,INT(Metadata!N241)=Metadata!N241)),Metadata!N241&gt;0))</f>
        <v>0</v>
      </c>
      <c r="AP241">
        <f>OR(AND(IF(Metadata!O241="",FALSE,TRUE),OR(exact(Metadata!O241,"not collected"),exact(Metadata!O241,"not provided"))),AND(IF(Metadata!O241="",FALSE,ISNUMBER(VALUE(Metadata!O241))),Metadata!O241&gt;0))</f>
        <v>0</v>
      </c>
      <c r="AQ241">
        <f>AND(IF(Metadata!P241="",FALSE,TRUE),exact(Metadata!P241,"kg"))</f>
        <v>0</v>
      </c>
      <c r="AR241">
        <f>OR(AND(IF(Metadata!Q241="",FALSE,TRUE),OR(exact(Metadata!Q241,"not applicable"),exact(Metadata!Q241,"not collected"),exact(Metadata!Q241,"not provided"),exact(Metadata!Q241,"restricted access"))),IF(Metadata!Q241="",FALSE,IF(ISERROR(INT(Metadata!Q241)),FALSE,INT(Metadata!Q241)=Metadata!Q241)))</f>
        <v>0</v>
      </c>
      <c r="AS241">
        <f>AND(IF(Metadata!R241="",FALSE,TRUE),exact(Metadata!R241,"Not applicable"))</f>
        <v>0</v>
      </c>
    </row>
    <row r="242" spans="1:45">
      <c r="A242" s="4">
        <f>IF(B242=" "," ",HYPERLINK(CONCATENATE("#metadata!",ADDRESS(INDEX($X$2:$X$1001,MATCH(ROWS($V$2:V242),$V$2:$V$1001,0),0),2)),INDEX($AA$2:$AA$1001,MATCH(ROWS($V$2:V242),$V$2:$V$1001,0),0)))</f>
        <v>0</v>
      </c>
      <c r="B242" s="5">
        <f>IF(OR(INDEX($W$2:$W$1001,MATCH(ROWS($V$2:V242),$V$2:$V$1001,0),1)&gt;=100000,INDEX($AC$1005:$AS$1005,1,MATCH(COLUMNS($AC$1006:AC1006),$AC$1006:$AS$1006,0))&gt;=100000), " ",IF(INDEX($AC$2:$AS$1001,MATCH(ROWS($V$2:V242),$V$2:$V$1001,0),MATCH(COLUMNS($AC$1006:AC1006),$AC$1006:$AS$1006,0)), HYPERLINK("#",""), HYPERLINK(CONCATENATE("#Metadata!", ADDRESS(INDEX($X$2:$X$1001,MATCH(ROWS($V$2:V242),$V$2:$V$1001,0),0), INDEX($AC$1004:$AS$1004,1,MATCH(COLUMNS($AC$1006:AC1006),$AC$1006:$AS$1006,0)))),"Fix")))</f>
        <v>0</v>
      </c>
      <c r="C242" s="5">
        <f>IF(OR(INDEX($W$2:$W$1001,MATCH(ROWS($V$2:V242),$V$2:$V$1001,0),1)&gt;=100000,INDEX($AC$1005:$AS$1005,1,MATCH(COLUMNS($AC$1006:AD1006),$AC$1006:$AS$1006,0))&gt;=100000), " ",IF(INDEX($AC$2:$AS$1001,MATCH(ROWS($V$2:V242),$V$2:$V$1001,0),MATCH(COLUMNS($AC$1006:AD1006),$AC$1006:$AS$1006,0)), HYPERLINK("#",""), HYPERLINK(CONCATENATE("#Metadata!", ADDRESS(INDEX($X$2:$X$1001,MATCH(ROWS($V$2:V242),$V$2:$V$1001,0),0), INDEX($AC$1004:$AS$1004,1,MATCH(COLUMNS($AC$1006:AD1006),$AC$1006:$AS$1006,0)))),"Fix")))</f>
        <v>0</v>
      </c>
      <c r="D242" s="5">
        <f>IF(OR(INDEX($W$2:$W$1001,MATCH(ROWS($V$2:V242),$V$2:$V$1001,0),1)&gt;=100000,INDEX($AC$1005:$AS$1005,1,MATCH(COLUMNS($AC$1006:AE1006),$AC$1006:$AS$1006,0))&gt;=100000), " ",IF(INDEX($AC$2:$AS$1001,MATCH(ROWS($V$2:V242),$V$2:$V$1001,0),MATCH(COLUMNS($AC$1006:AE1006),$AC$1006:$AS$1006,0)), HYPERLINK("#",""), HYPERLINK(CONCATENATE("#Metadata!", ADDRESS(INDEX($X$2:$X$1001,MATCH(ROWS($V$2:V242),$V$2:$V$1001,0),0), INDEX($AC$1004:$AS$1004,1,MATCH(COLUMNS($AC$1006:AE1006),$AC$1006:$AS$1006,0)))),"Fix")))</f>
        <v>0</v>
      </c>
      <c r="E242" s="5">
        <f>IF(OR(INDEX($W$2:$W$1001,MATCH(ROWS($V$2:V242),$V$2:$V$1001,0),1)&gt;=100000,INDEX($AC$1005:$AS$1005,1,MATCH(COLUMNS($AC$1006:AF1006),$AC$1006:$AS$1006,0))&gt;=100000), " ",IF(INDEX($AC$2:$AS$1001,MATCH(ROWS($V$2:V242),$V$2:$V$1001,0),MATCH(COLUMNS($AC$1006:AF1006),$AC$1006:$AS$1006,0)), HYPERLINK("#",""), HYPERLINK(CONCATENATE("#Metadata!", ADDRESS(INDEX($X$2:$X$1001,MATCH(ROWS($V$2:V242),$V$2:$V$1001,0),0), INDEX($AC$1004:$AS$1004,1,MATCH(COLUMNS($AC$1006:AF1006),$AC$1006:$AS$1006,0)))),"Fix")))</f>
        <v>0</v>
      </c>
      <c r="F242" s="5">
        <f>IF(OR(INDEX($W$2:$W$1001,MATCH(ROWS($V$2:V242),$V$2:$V$1001,0),1)&gt;=100000,INDEX($AC$1005:$AS$1005,1,MATCH(COLUMNS($AC$1006:AG1006),$AC$1006:$AS$1006,0))&gt;=100000), " ",IF(INDEX($AC$2:$AS$1001,MATCH(ROWS($V$2:V242),$V$2:$V$1001,0),MATCH(COLUMNS($AC$1006:AG1006),$AC$1006:$AS$1006,0)), HYPERLINK("#",""), HYPERLINK(CONCATENATE("#Metadata!", ADDRESS(INDEX($X$2:$X$1001,MATCH(ROWS($V$2:V242),$V$2:$V$1001,0),0), INDEX($AC$1004:$AS$1004,1,MATCH(COLUMNS($AC$1006:AG1006),$AC$1006:$AS$1006,0)))),"Fix")))</f>
        <v>0</v>
      </c>
      <c r="G242" s="5">
        <f>IF(OR(INDEX($W$2:$W$1001,MATCH(ROWS($V$2:V242),$V$2:$V$1001,0),1)&gt;=100000,INDEX($AC$1005:$AS$1005,1,MATCH(COLUMNS($AC$1006:AH1006),$AC$1006:$AS$1006,0))&gt;=100000), " ",IF(INDEX($AC$2:$AS$1001,MATCH(ROWS($V$2:V242),$V$2:$V$1001,0),MATCH(COLUMNS($AC$1006:AH1006),$AC$1006:$AS$1006,0)), HYPERLINK("#",""), HYPERLINK(CONCATENATE("#Metadata!", ADDRESS(INDEX($X$2:$X$1001,MATCH(ROWS($V$2:V242),$V$2:$V$1001,0),0), INDEX($AC$1004:$AS$1004,1,MATCH(COLUMNS($AC$1006:AH1006),$AC$1006:$AS$1006,0)))),"Fix")))</f>
        <v>0</v>
      </c>
      <c r="H242" s="5">
        <f>IF(OR(INDEX($W$2:$W$1001,MATCH(ROWS($V$2:V242),$V$2:$V$1001,0),1)&gt;=100000,INDEX($AC$1005:$AS$1005,1,MATCH(COLUMNS($AC$1006:AI1006),$AC$1006:$AS$1006,0))&gt;=100000), " ",IF(INDEX($AC$2:$AS$1001,MATCH(ROWS($V$2:V242),$V$2:$V$1001,0),MATCH(COLUMNS($AC$1006:AI1006),$AC$1006:$AS$1006,0)), HYPERLINK("#",""), HYPERLINK(CONCATENATE("#Metadata!", ADDRESS(INDEX($X$2:$X$1001,MATCH(ROWS($V$2:V242),$V$2:$V$1001,0),0), INDEX($AC$1004:$AS$1004,1,MATCH(COLUMNS($AC$1006:AI1006),$AC$1006:$AS$1006,0)))),"Fix")))</f>
        <v>0</v>
      </c>
      <c r="I242" s="5">
        <f>IF(OR(INDEX($W$2:$W$1001,MATCH(ROWS($V$2:V242),$V$2:$V$1001,0),1)&gt;=100000,INDEX($AC$1005:$AS$1005,1,MATCH(COLUMNS($AC$1006:AJ1006),$AC$1006:$AS$1006,0))&gt;=100000), " ",IF(INDEX($AC$2:$AS$1001,MATCH(ROWS($V$2:V242),$V$2:$V$1001,0),MATCH(COLUMNS($AC$1006:AJ1006),$AC$1006:$AS$1006,0)), HYPERLINK("#",""), HYPERLINK(CONCATENATE("#Metadata!", ADDRESS(INDEX($X$2:$X$1001,MATCH(ROWS($V$2:V242),$V$2:$V$1001,0),0), INDEX($AC$1004:$AS$1004,1,MATCH(COLUMNS($AC$1006:AJ1006),$AC$1006:$AS$1006,0)))),"Fix")))</f>
        <v>0</v>
      </c>
      <c r="J242" s="5">
        <f>IF(OR(INDEX($W$2:$W$1001,MATCH(ROWS($V$2:V242),$V$2:$V$1001,0),1)&gt;=100000,INDEX($AC$1005:$AS$1005,1,MATCH(COLUMNS($AC$1006:AK1006),$AC$1006:$AS$1006,0))&gt;=100000), " ",IF(INDEX($AC$2:$AS$1001,MATCH(ROWS($V$2:V242),$V$2:$V$1001,0),MATCH(COLUMNS($AC$1006:AK1006),$AC$1006:$AS$1006,0)), HYPERLINK("#",""), HYPERLINK(CONCATENATE("#Metadata!", ADDRESS(INDEX($X$2:$X$1001,MATCH(ROWS($V$2:V242),$V$2:$V$1001,0),0), INDEX($AC$1004:$AS$1004,1,MATCH(COLUMNS($AC$1006:AK1006),$AC$1006:$AS$1006,0)))),"Fix")))</f>
        <v>0</v>
      </c>
      <c r="K242" s="5">
        <f>IF(OR(INDEX($W$2:$W$1001,MATCH(ROWS($V$2:V242),$V$2:$V$1001,0),1)&gt;=100000,INDEX($AC$1005:$AS$1005,1,MATCH(COLUMNS($AC$1006:AL1006),$AC$1006:$AS$1006,0))&gt;=100000), " ",IF(INDEX($AC$2:$AS$1001,MATCH(ROWS($V$2:V242),$V$2:$V$1001,0),MATCH(COLUMNS($AC$1006:AL1006),$AC$1006:$AS$1006,0)), HYPERLINK("#",""), HYPERLINK(CONCATENATE("#Metadata!", ADDRESS(INDEX($X$2:$X$1001,MATCH(ROWS($V$2:V242),$V$2:$V$1001,0),0), INDEX($AC$1004:$AS$1004,1,MATCH(COLUMNS($AC$1006:AL1006),$AC$1006:$AS$1006,0)))),"Fix")))</f>
        <v>0</v>
      </c>
      <c r="L242" s="5">
        <f>IF(OR(INDEX($W$2:$W$1001,MATCH(ROWS($V$2:V242),$V$2:$V$1001,0),1)&gt;=100000,INDEX($AC$1005:$AS$1005,1,MATCH(COLUMNS($AC$1006:AM1006),$AC$1006:$AS$1006,0))&gt;=100000), " ",IF(INDEX($AC$2:$AS$1001,MATCH(ROWS($V$2:V242),$V$2:$V$1001,0),MATCH(COLUMNS($AC$1006:AM1006),$AC$1006:$AS$1006,0)), HYPERLINK("#",""), HYPERLINK(CONCATENATE("#Metadata!", ADDRESS(INDEX($X$2:$X$1001,MATCH(ROWS($V$2:V242),$V$2:$V$1001,0),0), INDEX($AC$1004:$AS$1004,1,MATCH(COLUMNS($AC$1006:AM1006),$AC$1006:$AS$1006,0)))),"Fix")))</f>
        <v>0</v>
      </c>
      <c r="M242" s="5">
        <f>IF(OR(INDEX($W$2:$W$1001,MATCH(ROWS($V$2:V242),$V$2:$V$1001,0),1)&gt;=100000,INDEX($AC$1005:$AS$1005,1,MATCH(COLUMNS($AC$1006:AN1006),$AC$1006:$AS$1006,0))&gt;=100000), " ",IF(INDEX($AC$2:$AS$1001,MATCH(ROWS($V$2:V242),$V$2:$V$1001,0),MATCH(COLUMNS($AC$1006:AN1006),$AC$1006:$AS$1006,0)), HYPERLINK("#",""), HYPERLINK(CONCATENATE("#Metadata!", ADDRESS(INDEX($X$2:$X$1001,MATCH(ROWS($V$2:V242),$V$2:$V$1001,0),0), INDEX($AC$1004:$AS$1004,1,MATCH(COLUMNS($AC$1006:AN1006),$AC$1006:$AS$1006,0)))),"Fix")))</f>
        <v>0</v>
      </c>
      <c r="N242" s="5">
        <f>IF(OR(INDEX($W$2:$W$1001,MATCH(ROWS($V$2:V242),$V$2:$V$1001,0),1)&gt;=100000,INDEX($AC$1005:$AS$1005,1,MATCH(COLUMNS($AC$1006:AO1006),$AC$1006:$AS$1006,0))&gt;=100000), " ",IF(INDEX($AC$2:$AS$1001,MATCH(ROWS($V$2:V242),$V$2:$V$1001,0),MATCH(COLUMNS($AC$1006:AO1006),$AC$1006:$AS$1006,0)), HYPERLINK("#",""), HYPERLINK(CONCATENATE("#Metadata!", ADDRESS(INDEX($X$2:$X$1001,MATCH(ROWS($V$2:V242),$V$2:$V$1001,0),0), INDEX($AC$1004:$AS$1004,1,MATCH(COLUMNS($AC$1006:AO1006),$AC$1006:$AS$1006,0)))),"Fix")))</f>
        <v>0</v>
      </c>
      <c r="O242" s="5">
        <f>IF(OR(INDEX($W$2:$W$1001,MATCH(ROWS($V$2:V242),$V$2:$V$1001,0),1)&gt;=100000,INDEX($AC$1005:$AS$1005,1,MATCH(COLUMNS($AC$1006:AP1006),$AC$1006:$AS$1006,0))&gt;=100000), " ",IF(INDEX($AC$2:$AS$1001,MATCH(ROWS($V$2:V242),$V$2:$V$1001,0),MATCH(COLUMNS($AC$1006:AP1006),$AC$1006:$AS$1006,0)), HYPERLINK("#",""), HYPERLINK(CONCATENATE("#Metadata!", ADDRESS(INDEX($X$2:$X$1001,MATCH(ROWS($V$2:V242),$V$2:$V$1001,0),0), INDEX($AC$1004:$AS$1004,1,MATCH(COLUMNS($AC$1006:AP1006),$AC$1006:$AS$1006,0)))),"Fix")))</f>
        <v>0</v>
      </c>
      <c r="P242" s="5">
        <f>IF(OR(INDEX($W$2:$W$1001,MATCH(ROWS($V$2:V242),$V$2:$V$1001,0),1)&gt;=100000,INDEX($AC$1005:$AS$1005,1,MATCH(COLUMNS($AC$1006:AQ1006),$AC$1006:$AS$1006,0))&gt;=100000), " ",IF(INDEX($AC$2:$AS$1001,MATCH(ROWS($V$2:V242),$V$2:$V$1001,0),MATCH(COLUMNS($AC$1006:AQ1006),$AC$1006:$AS$1006,0)), HYPERLINK("#",""), HYPERLINK(CONCATENATE("#Metadata!", ADDRESS(INDEX($X$2:$X$1001,MATCH(ROWS($V$2:V242),$V$2:$V$1001,0),0), INDEX($AC$1004:$AS$1004,1,MATCH(COLUMNS($AC$1006:AQ1006),$AC$1006:$AS$1006,0)))),"Fix")))</f>
        <v>0</v>
      </c>
      <c r="Q242" s="5">
        <f>IF(OR(INDEX($W$2:$W$1001,MATCH(ROWS($V$2:V242),$V$2:$V$1001,0),1)&gt;=100000,INDEX($AC$1005:$AS$1005,1,MATCH(COLUMNS($AC$1006:AR1006),$AC$1006:$AS$1006,0))&gt;=100000), " ",IF(INDEX($AC$2:$AS$1001,MATCH(ROWS($V$2:V242),$V$2:$V$1001,0),MATCH(COLUMNS($AC$1006:AR1006),$AC$1006:$AS$1006,0)), HYPERLINK("#",""), HYPERLINK(CONCATENATE("#Metadata!", ADDRESS(INDEX($X$2:$X$1001,MATCH(ROWS($V$2:V242),$V$2:$V$1001,0),0), INDEX($AC$1004:$AS$1004,1,MATCH(COLUMNS($AC$1006:AR1006),$AC$1006:$AS$1006,0)))),"Fix")))</f>
        <v>0</v>
      </c>
      <c r="R242" s="5">
        <f>IF(OR(INDEX($W$2:$W$1001,MATCH(ROWS($V$2:V242),$V$2:$V$1001,0),1)&gt;=100000,INDEX($AC$1005:$AS$1005,1,MATCH(COLUMNS($AC$1006:AS1006),$AC$1006:$AS$1006,0))&gt;=100000), " ",IF(INDEX($AC$2:$AS$1001,MATCH(ROWS($V$2:V242),$V$2:$V$1001,0),MATCH(COLUMNS($AC$1006:AS1006),$AC$1006:$AS$1006,0)), HYPERLINK("#",""), HYPERLINK(CONCATENATE("#Metadata!", ADDRESS(INDEX($X$2:$X$1001,MATCH(ROWS($V$2:V242),$V$2:$V$1001,0),0), INDEX($AC$1004:$AS$1004,1,MATCH(COLUMNS($AC$1006:AS1006),$AC$1006:$AS$1006,0)))),"Fix")))</f>
        <v>0</v>
      </c>
      <c r="V242">
        <v>0</v>
      </c>
      <c r="W242">
        <v>0</v>
      </c>
      <c r="X242">
        <v>0</v>
      </c>
      <c r="Y242">
        <f>IF(Z242,TRUE,AND(AC242:AS242))</f>
        <v>0</v>
      </c>
      <c r="Z242">
        <f>COUNTBLANK(Metadata!B242:R242)=COLUMNS(Metadata!B242:R242)</f>
        <v>0</v>
      </c>
      <c r="AA242">
        <v>0</v>
      </c>
      <c r="AC242">
        <f>AND(IF(Metadata!B242="",FALSE,TRUE),COUNTIF(Metadata!B:B, Metadata!B242) = 1,NOT(ISERROR(SUMPRODUCT(SEARCH(MID(Metadata!B242,ROW(INDIRECT("1:"&amp;LEN(Metadata!B242))), 1),"0123456789abcdefghijklmnopqrstuvwxyzABCDEFGHIJKLMNOPQRSTUVWXYZ.")))))</f>
        <v>0</v>
      </c>
      <c r="AD242">
        <f>AND(IF(Metadata!C242="",FALSE,TRUE),exact(Metadata!C242,"Host-associated"))</f>
        <v>0</v>
      </c>
      <c r="AE242">
        <f>AND(IF(Metadata!D242="",FALSE,TRUE),OR(exact(Metadata!D242,"Animal"),exact(Metadata!D242,"Fungus"),exact(Metadata!D242,"Plant")))</f>
        <v>0</v>
      </c>
      <c r="AF242">
        <f>AND(IF(Metadata!E242="",FALSE,TRUE),OR(exact(Metadata!E242,"Plant secretion"),exact(Metadata!E242,"Plant rhizosphere"),exact(Metadata!E242,"Plant surface"),exact(Metadata!E242,"Plant corpus"),exact(Metadata!E242,"Fungus surface"),exact(Metadata!E242,"Fungus corpus"),exact(Metadata!E242,"Animal surface"),exact(Metadata!E242,"Animal proximal gut"),exact(Metadata!E242,"Animal corpus"),exact(Metadata!E242,"Animal distal gut"),exact(Metadata!E242,"Animal secretion")))</f>
        <v>0</v>
      </c>
      <c r="AG242">
        <f>OR(AND(IF(Metadata!F242="",FALSE,TRUE),OR(exact(Metadata!F242,"not collected"),exact(Metadata!F242,"not provided"),exact(Metadata!F242,"restricted access"))),AND(IF(Metadata!F242="",FALSE,TRUE),OR(exact(Metadata!F242,"organism-associated habitat"),exact(Metadata!F242,"plant-associated habitat"),exact(Metadata!F242,"animal-associated habitat"),exact(Metadata!F242,"insecta-associated habitat"),exact(Metadata!F242,"mammalia-associated habitat"),exact(Metadata!F242,"human-associated habitat"),exact(Metadata!F242,"livestock-associated habitat"))))</f>
        <v>0</v>
      </c>
      <c r="AH242">
        <f>AND(IF(Metadata!G242="",FALSE,TRUE),exact(Metadata!G242,"host-associated"))</f>
        <v>0</v>
      </c>
      <c r="AI242">
        <f>OR(AND(IF(Metadata!H242="",FALSE,TRUE),OR(exact(Metadata!H242,"not collected"),exact(Metadata!H242,"not provided"))),AND(IF(Metadata!H242="",FALSE,ISNUMBER(VALUE(Metadata!H242))),Metadata!H242&gt;0))</f>
        <v>0</v>
      </c>
      <c r="AJ242">
        <f>AND(IF(Metadata!I242="",FALSE,TRUE),exact(Metadata!I242,"years"))</f>
        <v>0</v>
      </c>
      <c r="AK242">
        <f>IF(Metadata!J242="",FALSE,TRUE)</f>
        <v>0</v>
      </c>
      <c r="AL242">
        <f>OR(AND(IF(Metadata!K242="",FALSE,TRUE),OR(exact(Metadata!K242,"not collected"),exact(Metadata!K242,"not provided"))),AND(IF(Metadata!K242="",FALSE,ISNUMBER(VALUE(Metadata!K242))),Metadata!K242&gt;0))</f>
        <v>0</v>
      </c>
      <c r="AM242">
        <f>AND(IF(Metadata!L242="",FALSE,TRUE),exact(Metadata!L242,"cm"))</f>
        <v>0</v>
      </c>
      <c r="AN242">
        <f>IF(Metadata!M242="",FALSE,TRUE)</f>
        <v>0</v>
      </c>
      <c r="AO242">
        <f>OR(AND(IF(Metadata!N242="",FALSE,TRUE),OR(exact(Metadata!N242,"not applicable"),exact(Metadata!N242,"not collected"),exact(Metadata!N242,"not provided"))),AND(IF(Metadata!N242="",FALSE,IF(ISERROR(INT(Metadata!N242)),FALSE,INT(Metadata!N242)=Metadata!N242)),Metadata!N242&gt;0))</f>
        <v>0</v>
      </c>
      <c r="AP242">
        <f>OR(AND(IF(Metadata!O242="",FALSE,TRUE),OR(exact(Metadata!O242,"not collected"),exact(Metadata!O242,"not provided"))),AND(IF(Metadata!O242="",FALSE,ISNUMBER(VALUE(Metadata!O242))),Metadata!O242&gt;0))</f>
        <v>0</v>
      </c>
      <c r="AQ242">
        <f>AND(IF(Metadata!P242="",FALSE,TRUE),exact(Metadata!P242,"kg"))</f>
        <v>0</v>
      </c>
      <c r="AR242">
        <f>OR(AND(IF(Metadata!Q242="",FALSE,TRUE),OR(exact(Metadata!Q242,"not applicable"),exact(Metadata!Q242,"not collected"),exact(Metadata!Q242,"not provided"),exact(Metadata!Q242,"restricted access"))),IF(Metadata!Q242="",FALSE,IF(ISERROR(INT(Metadata!Q242)),FALSE,INT(Metadata!Q242)=Metadata!Q242)))</f>
        <v>0</v>
      </c>
      <c r="AS242">
        <f>AND(IF(Metadata!R242="",FALSE,TRUE),exact(Metadata!R242,"Not applicable"))</f>
        <v>0</v>
      </c>
    </row>
    <row r="243" spans="1:45">
      <c r="A243" s="4">
        <f>IF(B243=" "," ",HYPERLINK(CONCATENATE("#metadata!",ADDRESS(INDEX($X$2:$X$1001,MATCH(ROWS($V$2:V243),$V$2:$V$1001,0),0),2)),INDEX($AA$2:$AA$1001,MATCH(ROWS($V$2:V243),$V$2:$V$1001,0),0)))</f>
        <v>0</v>
      </c>
      <c r="B243" s="5">
        <f>IF(OR(INDEX($W$2:$W$1001,MATCH(ROWS($V$2:V243),$V$2:$V$1001,0),1)&gt;=100000,INDEX($AC$1005:$AS$1005,1,MATCH(COLUMNS($AC$1006:AC1006),$AC$1006:$AS$1006,0))&gt;=100000), " ",IF(INDEX($AC$2:$AS$1001,MATCH(ROWS($V$2:V243),$V$2:$V$1001,0),MATCH(COLUMNS($AC$1006:AC1006),$AC$1006:$AS$1006,0)), HYPERLINK("#",""), HYPERLINK(CONCATENATE("#Metadata!", ADDRESS(INDEX($X$2:$X$1001,MATCH(ROWS($V$2:V243),$V$2:$V$1001,0),0), INDEX($AC$1004:$AS$1004,1,MATCH(COLUMNS($AC$1006:AC1006),$AC$1006:$AS$1006,0)))),"Fix")))</f>
        <v>0</v>
      </c>
      <c r="C243" s="5">
        <f>IF(OR(INDEX($W$2:$W$1001,MATCH(ROWS($V$2:V243),$V$2:$V$1001,0),1)&gt;=100000,INDEX($AC$1005:$AS$1005,1,MATCH(COLUMNS($AC$1006:AD1006),$AC$1006:$AS$1006,0))&gt;=100000), " ",IF(INDEX($AC$2:$AS$1001,MATCH(ROWS($V$2:V243),$V$2:$V$1001,0),MATCH(COLUMNS($AC$1006:AD1006),$AC$1006:$AS$1006,0)), HYPERLINK("#",""), HYPERLINK(CONCATENATE("#Metadata!", ADDRESS(INDEX($X$2:$X$1001,MATCH(ROWS($V$2:V243),$V$2:$V$1001,0),0), INDEX($AC$1004:$AS$1004,1,MATCH(COLUMNS($AC$1006:AD1006),$AC$1006:$AS$1006,0)))),"Fix")))</f>
        <v>0</v>
      </c>
      <c r="D243" s="5">
        <f>IF(OR(INDEX($W$2:$W$1001,MATCH(ROWS($V$2:V243),$V$2:$V$1001,0),1)&gt;=100000,INDEX($AC$1005:$AS$1005,1,MATCH(COLUMNS($AC$1006:AE1006),$AC$1006:$AS$1006,0))&gt;=100000), " ",IF(INDEX($AC$2:$AS$1001,MATCH(ROWS($V$2:V243),$V$2:$V$1001,0),MATCH(COLUMNS($AC$1006:AE1006),$AC$1006:$AS$1006,0)), HYPERLINK("#",""), HYPERLINK(CONCATENATE("#Metadata!", ADDRESS(INDEX($X$2:$X$1001,MATCH(ROWS($V$2:V243),$V$2:$V$1001,0),0), INDEX($AC$1004:$AS$1004,1,MATCH(COLUMNS($AC$1006:AE1006),$AC$1006:$AS$1006,0)))),"Fix")))</f>
        <v>0</v>
      </c>
      <c r="E243" s="5">
        <f>IF(OR(INDEX($W$2:$W$1001,MATCH(ROWS($V$2:V243),$V$2:$V$1001,0),1)&gt;=100000,INDEX($AC$1005:$AS$1005,1,MATCH(COLUMNS($AC$1006:AF1006),$AC$1006:$AS$1006,0))&gt;=100000), " ",IF(INDEX($AC$2:$AS$1001,MATCH(ROWS($V$2:V243),$V$2:$V$1001,0),MATCH(COLUMNS($AC$1006:AF1006),$AC$1006:$AS$1006,0)), HYPERLINK("#",""), HYPERLINK(CONCATENATE("#Metadata!", ADDRESS(INDEX($X$2:$X$1001,MATCH(ROWS($V$2:V243),$V$2:$V$1001,0),0), INDEX($AC$1004:$AS$1004,1,MATCH(COLUMNS($AC$1006:AF1006),$AC$1006:$AS$1006,0)))),"Fix")))</f>
        <v>0</v>
      </c>
      <c r="F243" s="5">
        <f>IF(OR(INDEX($W$2:$W$1001,MATCH(ROWS($V$2:V243),$V$2:$V$1001,0),1)&gt;=100000,INDEX($AC$1005:$AS$1005,1,MATCH(COLUMNS($AC$1006:AG1006),$AC$1006:$AS$1006,0))&gt;=100000), " ",IF(INDEX($AC$2:$AS$1001,MATCH(ROWS($V$2:V243),$V$2:$V$1001,0),MATCH(COLUMNS($AC$1006:AG1006),$AC$1006:$AS$1006,0)), HYPERLINK("#",""), HYPERLINK(CONCATENATE("#Metadata!", ADDRESS(INDEX($X$2:$X$1001,MATCH(ROWS($V$2:V243),$V$2:$V$1001,0),0), INDEX($AC$1004:$AS$1004,1,MATCH(COLUMNS($AC$1006:AG1006),$AC$1006:$AS$1006,0)))),"Fix")))</f>
        <v>0</v>
      </c>
      <c r="G243" s="5">
        <f>IF(OR(INDEX($W$2:$W$1001,MATCH(ROWS($V$2:V243),$V$2:$V$1001,0),1)&gt;=100000,INDEX($AC$1005:$AS$1005,1,MATCH(COLUMNS($AC$1006:AH1006),$AC$1006:$AS$1006,0))&gt;=100000), " ",IF(INDEX($AC$2:$AS$1001,MATCH(ROWS($V$2:V243),$V$2:$V$1001,0),MATCH(COLUMNS($AC$1006:AH1006),$AC$1006:$AS$1006,0)), HYPERLINK("#",""), HYPERLINK(CONCATENATE("#Metadata!", ADDRESS(INDEX($X$2:$X$1001,MATCH(ROWS($V$2:V243),$V$2:$V$1001,0),0), INDEX($AC$1004:$AS$1004,1,MATCH(COLUMNS($AC$1006:AH1006),$AC$1006:$AS$1006,0)))),"Fix")))</f>
        <v>0</v>
      </c>
      <c r="H243" s="5">
        <f>IF(OR(INDEX($W$2:$W$1001,MATCH(ROWS($V$2:V243),$V$2:$V$1001,0),1)&gt;=100000,INDEX($AC$1005:$AS$1005,1,MATCH(COLUMNS($AC$1006:AI1006),$AC$1006:$AS$1006,0))&gt;=100000), " ",IF(INDEX($AC$2:$AS$1001,MATCH(ROWS($V$2:V243),$V$2:$V$1001,0),MATCH(COLUMNS($AC$1006:AI1006),$AC$1006:$AS$1006,0)), HYPERLINK("#",""), HYPERLINK(CONCATENATE("#Metadata!", ADDRESS(INDEX($X$2:$X$1001,MATCH(ROWS($V$2:V243),$V$2:$V$1001,0),0), INDEX($AC$1004:$AS$1004,1,MATCH(COLUMNS($AC$1006:AI1006),$AC$1006:$AS$1006,0)))),"Fix")))</f>
        <v>0</v>
      </c>
      <c r="I243" s="5">
        <f>IF(OR(INDEX($W$2:$W$1001,MATCH(ROWS($V$2:V243),$V$2:$V$1001,0),1)&gt;=100000,INDEX($AC$1005:$AS$1005,1,MATCH(COLUMNS($AC$1006:AJ1006),$AC$1006:$AS$1006,0))&gt;=100000), " ",IF(INDEX($AC$2:$AS$1001,MATCH(ROWS($V$2:V243),$V$2:$V$1001,0),MATCH(COLUMNS($AC$1006:AJ1006),$AC$1006:$AS$1006,0)), HYPERLINK("#",""), HYPERLINK(CONCATENATE("#Metadata!", ADDRESS(INDEX($X$2:$X$1001,MATCH(ROWS($V$2:V243),$V$2:$V$1001,0),0), INDEX($AC$1004:$AS$1004,1,MATCH(COLUMNS($AC$1006:AJ1006),$AC$1006:$AS$1006,0)))),"Fix")))</f>
        <v>0</v>
      </c>
      <c r="J243" s="5">
        <f>IF(OR(INDEX($W$2:$W$1001,MATCH(ROWS($V$2:V243),$V$2:$V$1001,0),1)&gt;=100000,INDEX($AC$1005:$AS$1005,1,MATCH(COLUMNS($AC$1006:AK1006),$AC$1006:$AS$1006,0))&gt;=100000), " ",IF(INDEX($AC$2:$AS$1001,MATCH(ROWS($V$2:V243),$V$2:$V$1001,0),MATCH(COLUMNS($AC$1006:AK1006),$AC$1006:$AS$1006,0)), HYPERLINK("#",""), HYPERLINK(CONCATENATE("#Metadata!", ADDRESS(INDEX($X$2:$X$1001,MATCH(ROWS($V$2:V243),$V$2:$V$1001,0),0), INDEX($AC$1004:$AS$1004,1,MATCH(COLUMNS($AC$1006:AK1006),$AC$1006:$AS$1006,0)))),"Fix")))</f>
        <v>0</v>
      </c>
      <c r="K243" s="5">
        <f>IF(OR(INDEX($W$2:$W$1001,MATCH(ROWS($V$2:V243),$V$2:$V$1001,0),1)&gt;=100000,INDEX($AC$1005:$AS$1005,1,MATCH(COLUMNS($AC$1006:AL1006),$AC$1006:$AS$1006,0))&gt;=100000), " ",IF(INDEX($AC$2:$AS$1001,MATCH(ROWS($V$2:V243),$V$2:$V$1001,0),MATCH(COLUMNS($AC$1006:AL1006),$AC$1006:$AS$1006,0)), HYPERLINK("#",""), HYPERLINK(CONCATENATE("#Metadata!", ADDRESS(INDEX($X$2:$X$1001,MATCH(ROWS($V$2:V243),$V$2:$V$1001,0),0), INDEX($AC$1004:$AS$1004,1,MATCH(COLUMNS($AC$1006:AL1006),$AC$1006:$AS$1006,0)))),"Fix")))</f>
        <v>0</v>
      </c>
      <c r="L243" s="5">
        <f>IF(OR(INDEX($W$2:$W$1001,MATCH(ROWS($V$2:V243),$V$2:$V$1001,0),1)&gt;=100000,INDEX($AC$1005:$AS$1005,1,MATCH(COLUMNS($AC$1006:AM1006),$AC$1006:$AS$1006,0))&gt;=100000), " ",IF(INDEX($AC$2:$AS$1001,MATCH(ROWS($V$2:V243),$V$2:$V$1001,0),MATCH(COLUMNS($AC$1006:AM1006),$AC$1006:$AS$1006,0)), HYPERLINK("#",""), HYPERLINK(CONCATENATE("#Metadata!", ADDRESS(INDEX($X$2:$X$1001,MATCH(ROWS($V$2:V243),$V$2:$V$1001,0),0), INDEX($AC$1004:$AS$1004,1,MATCH(COLUMNS($AC$1006:AM1006),$AC$1006:$AS$1006,0)))),"Fix")))</f>
        <v>0</v>
      </c>
      <c r="M243" s="5">
        <f>IF(OR(INDEX($W$2:$W$1001,MATCH(ROWS($V$2:V243),$V$2:$V$1001,0),1)&gt;=100000,INDEX($AC$1005:$AS$1005,1,MATCH(COLUMNS($AC$1006:AN1006),$AC$1006:$AS$1006,0))&gt;=100000), " ",IF(INDEX($AC$2:$AS$1001,MATCH(ROWS($V$2:V243),$V$2:$V$1001,0),MATCH(COLUMNS($AC$1006:AN1006),$AC$1006:$AS$1006,0)), HYPERLINK("#",""), HYPERLINK(CONCATENATE("#Metadata!", ADDRESS(INDEX($X$2:$X$1001,MATCH(ROWS($V$2:V243),$V$2:$V$1001,0),0), INDEX($AC$1004:$AS$1004,1,MATCH(COLUMNS($AC$1006:AN1006),$AC$1006:$AS$1006,0)))),"Fix")))</f>
        <v>0</v>
      </c>
      <c r="N243" s="5">
        <f>IF(OR(INDEX($W$2:$W$1001,MATCH(ROWS($V$2:V243),$V$2:$V$1001,0),1)&gt;=100000,INDEX($AC$1005:$AS$1005,1,MATCH(COLUMNS($AC$1006:AO1006),$AC$1006:$AS$1006,0))&gt;=100000), " ",IF(INDEX($AC$2:$AS$1001,MATCH(ROWS($V$2:V243),$V$2:$V$1001,0),MATCH(COLUMNS($AC$1006:AO1006),$AC$1006:$AS$1006,0)), HYPERLINK("#",""), HYPERLINK(CONCATENATE("#Metadata!", ADDRESS(INDEX($X$2:$X$1001,MATCH(ROWS($V$2:V243),$V$2:$V$1001,0),0), INDEX($AC$1004:$AS$1004,1,MATCH(COLUMNS($AC$1006:AO1006),$AC$1006:$AS$1006,0)))),"Fix")))</f>
        <v>0</v>
      </c>
      <c r="O243" s="5">
        <f>IF(OR(INDEX($W$2:$W$1001,MATCH(ROWS($V$2:V243),$V$2:$V$1001,0),1)&gt;=100000,INDEX($AC$1005:$AS$1005,1,MATCH(COLUMNS($AC$1006:AP1006),$AC$1006:$AS$1006,0))&gt;=100000), " ",IF(INDEX($AC$2:$AS$1001,MATCH(ROWS($V$2:V243),$V$2:$V$1001,0),MATCH(COLUMNS($AC$1006:AP1006),$AC$1006:$AS$1006,0)), HYPERLINK("#",""), HYPERLINK(CONCATENATE("#Metadata!", ADDRESS(INDEX($X$2:$X$1001,MATCH(ROWS($V$2:V243),$V$2:$V$1001,0),0), INDEX($AC$1004:$AS$1004,1,MATCH(COLUMNS($AC$1006:AP1006),$AC$1006:$AS$1006,0)))),"Fix")))</f>
        <v>0</v>
      </c>
      <c r="P243" s="5">
        <f>IF(OR(INDEX($W$2:$W$1001,MATCH(ROWS($V$2:V243),$V$2:$V$1001,0),1)&gt;=100000,INDEX($AC$1005:$AS$1005,1,MATCH(COLUMNS($AC$1006:AQ1006),$AC$1006:$AS$1006,0))&gt;=100000), " ",IF(INDEX($AC$2:$AS$1001,MATCH(ROWS($V$2:V243),$V$2:$V$1001,0),MATCH(COLUMNS($AC$1006:AQ1006),$AC$1006:$AS$1006,0)), HYPERLINK("#",""), HYPERLINK(CONCATENATE("#Metadata!", ADDRESS(INDEX($X$2:$X$1001,MATCH(ROWS($V$2:V243),$V$2:$V$1001,0),0), INDEX($AC$1004:$AS$1004,1,MATCH(COLUMNS($AC$1006:AQ1006),$AC$1006:$AS$1006,0)))),"Fix")))</f>
        <v>0</v>
      </c>
      <c r="Q243" s="5">
        <f>IF(OR(INDEX($W$2:$W$1001,MATCH(ROWS($V$2:V243),$V$2:$V$1001,0),1)&gt;=100000,INDEX($AC$1005:$AS$1005,1,MATCH(COLUMNS($AC$1006:AR1006),$AC$1006:$AS$1006,0))&gt;=100000), " ",IF(INDEX($AC$2:$AS$1001,MATCH(ROWS($V$2:V243),$V$2:$V$1001,0),MATCH(COLUMNS($AC$1006:AR1006),$AC$1006:$AS$1006,0)), HYPERLINK("#",""), HYPERLINK(CONCATENATE("#Metadata!", ADDRESS(INDEX($X$2:$X$1001,MATCH(ROWS($V$2:V243),$V$2:$V$1001,0),0), INDEX($AC$1004:$AS$1004,1,MATCH(COLUMNS($AC$1006:AR1006),$AC$1006:$AS$1006,0)))),"Fix")))</f>
        <v>0</v>
      </c>
      <c r="R243" s="5">
        <f>IF(OR(INDEX($W$2:$W$1001,MATCH(ROWS($V$2:V243),$V$2:$V$1001,0),1)&gt;=100000,INDEX($AC$1005:$AS$1005,1,MATCH(COLUMNS($AC$1006:AS1006),$AC$1006:$AS$1006,0))&gt;=100000), " ",IF(INDEX($AC$2:$AS$1001,MATCH(ROWS($V$2:V243),$V$2:$V$1001,0),MATCH(COLUMNS($AC$1006:AS1006),$AC$1006:$AS$1006,0)), HYPERLINK("#",""), HYPERLINK(CONCATENATE("#Metadata!", ADDRESS(INDEX($X$2:$X$1001,MATCH(ROWS($V$2:V243),$V$2:$V$1001,0),0), INDEX($AC$1004:$AS$1004,1,MATCH(COLUMNS($AC$1006:AS1006),$AC$1006:$AS$1006,0)))),"Fix")))</f>
        <v>0</v>
      </c>
      <c r="V243">
        <v>0</v>
      </c>
      <c r="W243">
        <v>0</v>
      </c>
      <c r="X243">
        <v>0</v>
      </c>
      <c r="Y243">
        <f>IF(Z243,TRUE,AND(AC243:AS243))</f>
        <v>0</v>
      </c>
      <c r="Z243">
        <f>COUNTBLANK(Metadata!B243:R243)=COLUMNS(Metadata!B243:R243)</f>
        <v>0</v>
      </c>
      <c r="AA243">
        <v>0</v>
      </c>
      <c r="AC243">
        <f>AND(IF(Metadata!B243="",FALSE,TRUE),COUNTIF(Metadata!B:B, Metadata!B243) = 1,NOT(ISERROR(SUMPRODUCT(SEARCH(MID(Metadata!B243,ROW(INDIRECT("1:"&amp;LEN(Metadata!B243))), 1),"0123456789abcdefghijklmnopqrstuvwxyzABCDEFGHIJKLMNOPQRSTUVWXYZ.")))))</f>
        <v>0</v>
      </c>
      <c r="AD243">
        <f>AND(IF(Metadata!C243="",FALSE,TRUE),exact(Metadata!C243,"Host-associated"))</f>
        <v>0</v>
      </c>
      <c r="AE243">
        <f>AND(IF(Metadata!D243="",FALSE,TRUE),OR(exact(Metadata!D243,"Animal"),exact(Metadata!D243,"Fungus"),exact(Metadata!D243,"Plant")))</f>
        <v>0</v>
      </c>
      <c r="AF243">
        <f>AND(IF(Metadata!E243="",FALSE,TRUE),OR(exact(Metadata!E243,"Plant secretion"),exact(Metadata!E243,"Plant rhizosphere"),exact(Metadata!E243,"Plant surface"),exact(Metadata!E243,"Plant corpus"),exact(Metadata!E243,"Fungus surface"),exact(Metadata!E243,"Fungus corpus"),exact(Metadata!E243,"Animal surface"),exact(Metadata!E243,"Animal proximal gut"),exact(Metadata!E243,"Animal corpus"),exact(Metadata!E243,"Animal distal gut"),exact(Metadata!E243,"Animal secretion")))</f>
        <v>0</v>
      </c>
      <c r="AG243">
        <f>OR(AND(IF(Metadata!F243="",FALSE,TRUE),OR(exact(Metadata!F243,"not collected"),exact(Metadata!F243,"not provided"),exact(Metadata!F243,"restricted access"))),AND(IF(Metadata!F243="",FALSE,TRUE),OR(exact(Metadata!F243,"organism-associated habitat"),exact(Metadata!F243,"plant-associated habitat"),exact(Metadata!F243,"animal-associated habitat"),exact(Metadata!F243,"insecta-associated habitat"),exact(Metadata!F243,"mammalia-associated habitat"),exact(Metadata!F243,"human-associated habitat"),exact(Metadata!F243,"livestock-associated habitat"))))</f>
        <v>0</v>
      </c>
      <c r="AH243">
        <f>AND(IF(Metadata!G243="",FALSE,TRUE),exact(Metadata!G243,"host-associated"))</f>
        <v>0</v>
      </c>
      <c r="AI243">
        <f>OR(AND(IF(Metadata!H243="",FALSE,TRUE),OR(exact(Metadata!H243,"not collected"),exact(Metadata!H243,"not provided"))),AND(IF(Metadata!H243="",FALSE,ISNUMBER(VALUE(Metadata!H243))),Metadata!H243&gt;0))</f>
        <v>0</v>
      </c>
      <c r="AJ243">
        <f>AND(IF(Metadata!I243="",FALSE,TRUE),exact(Metadata!I243,"years"))</f>
        <v>0</v>
      </c>
      <c r="AK243">
        <f>IF(Metadata!J243="",FALSE,TRUE)</f>
        <v>0</v>
      </c>
      <c r="AL243">
        <f>OR(AND(IF(Metadata!K243="",FALSE,TRUE),OR(exact(Metadata!K243,"not collected"),exact(Metadata!K243,"not provided"))),AND(IF(Metadata!K243="",FALSE,ISNUMBER(VALUE(Metadata!K243))),Metadata!K243&gt;0))</f>
        <v>0</v>
      </c>
      <c r="AM243">
        <f>AND(IF(Metadata!L243="",FALSE,TRUE),exact(Metadata!L243,"cm"))</f>
        <v>0</v>
      </c>
      <c r="AN243">
        <f>IF(Metadata!M243="",FALSE,TRUE)</f>
        <v>0</v>
      </c>
      <c r="AO243">
        <f>OR(AND(IF(Metadata!N243="",FALSE,TRUE),OR(exact(Metadata!N243,"not applicable"),exact(Metadata!N243,"not collected"),exact(Metadata!N243,"not provided"))),AND(IF(Metadata!N243="",FALSE,IF(ISERROR(INT(Metadata!N243)),FALSE,INT(Metadata!N243)=Metadata!N243)),Metadata!N243&gt;0))</f>
        <v>0</v>
      </c>
      <c r="AP243">
        <f>OR(AND(IF(Metadata!O243="",FALSE,TRUE),OR(exact(Metadata!O243,"not collected"),exact(Metadata!O243,"not provided"))),AND(IF(Metadata!O243="",FALSE,ISNUMBER(VALUE(Metadata!O243))),Metadata!O243&gt;0))</f>
        <v>0</v>
      </c>
      <c r="AQ243">
        <f>AND(IF(Metadata!P243="",FALSE,TRUE),exact(Metadata!P243,"kg"))</f>
        <v>0</v>
      </c>
      <c r="AR243">
        <f>OR(AND(IF(Metadata!Q243="",FALSE,TRUE),OR(exact(Metadata!Q243,"not applicable"),exact(Metadata!Q243,"not collected"),exact(Metadata!Q243,"not provided"),exact(Metadata!Q243,"restricted access"))),IF(Metadata!Q243="",FALSE,IF(ISERROR(INT(Metadata!Q243)),FALSE,INT(Metadata!Q243)=Metadata!Q243)))</f>
        <v>0</v>
      </c>
      <c r="AS243">
        <f>AND(IF(Metadata!R243="",FALSE,TRUE),exact(Metadata!R243,"Not applicable"))</f>
        <v>0</v>
      </c>
    </row>
    <row r="244" spans="1:45">
      <c r="A244" s="4">
        <f>IF(B244=" "," ",HYPERLINK(CONCATENATE("#metadata!",ADDRESS(INDEX($X$2:$X$1001,MATCH(ROWS($V$2:V244),$V$2:$V$1001,0),0),2)),INDEX($AA$2:$AA$1001,MATCH(ROWS($V$2:V244),$V$2:$V$1001,0),0)))</f>
        <v>0</v>
      </c>
      <c r="B244" s="5">
        <f>IF(OR(INDEX($W$2:$W$1001,MATCH(ROWS($V$2:V244),$V$2:$V$1001,0),1)&gt;=100000,INDEX($AC$1005:$AS$1005,1,MATCH(COLUMNS($AC$1006:AC1006),$AC$1006:$AS$1006,0))&gt;=100000), " ",IF(INDEX($AC$2:$AS$1001,MATCH(ROWS($V$2:V244),$V$2:$V$1001,0),MATCH(COLUMNS($AC$1006:AC1006),$AC$1006:$AS$1006,0)), HYPERLINK("#",""), HYPERLINK(CONCATENATE("#Metadata!", ADDRESS(INDEX($X$2:$X$1001,MATCH(ROWS($V$2:V244),$V$2:$V$1001,0),0), INDEX($AC$1004:$AS$1004,1,MATCH(COLUMNS($AC$1006:AC1006),$AC$1006:$AS$1006,0)))),"Fix")))</f>
        <v>0</v>
      </c>
      <c r="C244" s="5">
        <f>IF(OR(INDEX($W$2:$W$1001,MATCH(ROWS($V$2:V244),$V$2:$V$1001,0),1)&gt;=100000,INDEX($AC$1005:$AS$1005,1,MATCH(COLUMNS($AC$1006:AD1006),$AC$1006:$AS$1006,0))&gt;=100000), " ",IF(INDEX($AC$2:$AS$1001,MATCH(ROWS($V$2:V244),$V$2:$V$1001,0),MATCH(COLUMNS($AC$1006:AD1006),$AC$1006:$AS$1006,0)), HYPERLINK("#",""), HYPERLINK(CONCATENATE("#Metadata!", ADDRESS(INDEX($X$2:$X$1001,MATCH(ROWS($V$2:V244),$V$2:$V$1001,0),0), INDEX($AC$1004:$AS$1004,1,MATCH(COLUMNS($AC$1006:AD1006),$AC$1006:$AS$1006,0)))),"Fix")))</f>
        <v>0</v>
      </c>
      <c r="D244" s="5">
        <f>IF(OR(INDEX($W$2:$W$1001,MATCH(ROWS($V$2:V244),$V$2:$V$1001,0),1)&gt;=100000,INDEX($AC$1005:$AS$1005,1,MATCH(COLUMNS($AC$1006:AE1006),$AC$1006:$AS$1006,0))&gt;=100000), " ",IF(INDEX($AC$2:$AS$1001,MATCH(ROWS($V$2:V244),$V$2:$V$1001,0),MATCH(COLUMNS($AC$1006:AE1006),$AC$1006:$AS$1006,0)), HYPERLINK("#",""), HYPERLINK(CONCATENATE("#Metadata!", ADDRESS(INDEX($X$2:$X$1001,MATCH(ROWS($V$2:V244),$V$2:$V$1001,0),0), INDEX($AC$1004:$AS$1004,1,MATCH(COLUMNS($AC$1006:AE1006),$AC$1006:$AS$1006,0)))),"Fix")))</f>
        <v>0</v>
      </c>
      <c r="E244" s="5">
        <f>IF(OR(INDEX($W$2:$W$1001,MATCH(ROWS($V$2:V244),$V$2:$V$1001,0),1)&gt;=100000,INDEX($AC$1005:$AS$1005,1,MATCH(COLUMNS($AC$1006:AF1006),$AC$1006:$AS$1006,0))&gt;=100000), " ",IF(INDEX($AC$2:$AS$1001,MATCH(ROWS($V$2:V244),$V$2:$V$1001,0),MATCH(COLUMNS($AC$1006:AF1006),$AC$1006:$AS$1006,0)), HYPERLINK("#",""), HYPERLINK(CONCATENATE("#Metadata!", ADDRESS(INDEX($X$2:$X$1001,MATCH(ROWS($V$2:V244),$V$2:$V$1001,0),0), INDEX($AC$1004:$AS$1004,1,MATCH(COLUMNS($AC$1006:AF1006),$AC$1006:$AS$1006,0)))),"Fix")))</f>
        <v>0</v>
      </c>
      <c r="F244" s="5">
        <f>IF(OR(INDEX($W$2:$W$1001,MATCH(ROWS($V$2:V244),$V$2:$V$1001,0),1)&gt;=100000,INDEX($AC$1005:$AS$1005,1,MATCH(COLUMNS($AC$1006:AG1006),$AC$1006:$AS$1006,0))&gt;=100000), " ",IF(INDEX($AC$2:$AS$1001,MATCH(ROWS($V$2:V244),$V$2:$V$1001,0),MATCH(COLUMNS($AC$1006:AG1006),$AC$1006:$AS$1006,0)), HYPERLINK("#",""), HYPERLINK(CONCATENATE("#Metadata!", ADDRESS(INDEX($X$2:$X$1001,MATCH(ROWS($V$2:V244),$V$2:$V$1001,0),0), INDEX($AC$1004:$AS$1004,1,MATCH(COLUMNS($AC$1006:AG1006),$AC$1006:$AS$1006,0)))),"Fix")))</f>
        <v>0</v>
      </c>
      <c r="G244" s="5">
        <f>IF(OR(INDEX($W$2:$W$1001,MATCH(ROWS($V$2:V244),$V$2:$V$1001,0),1)&gt;=100000,INDEX($AC$1005:$AS$1005,1,MATCH(COLUMNS($AC$1006:AH1006),$AC$1006:$AS$1006,0))&gt;=100000), " ",IF(INDEX($AC$2:$AS$1001,MATCH(ROWS($V$2:V244),$V$2:$V$1001,0),MATCH(COLUMNS($AC$1006:AH1006),$AC$1006:$AS$1006,0)), HYPERLINK("#",""), HYPERLINK(CONCATENATE("#Metadata!", ADDRESS(INDEX($X$2:$X$1001,MATCH(ROWS($V$2:V244),$V$2:$V$1001,0),0), INDEX($AC$1004:$AS$1004,1,MATCH(COLUMNS($AC$1006:AH1006),$AC$1006:$AS$1006,0)))),"Fix")))</f>
        <v>0</v>
      </c>
      <c r="H244" s="5">
        <f>IF(OR(INDEX($W$2:$W$1001,MATCH(ROWS($V$2:V244),$V$2:$V$1001,0),1)&gt;=100000,INDEX($AC$1005:$AS$1005,1,MATCH(COLUMNS($AC$1006:AI1006),$AC$1006:$AS$1006,0))&gt;=100000), " ",IF(INDEX($AC$2:$AS$1001,MATCH(ROWS($V$2:V244),$V$2:$V$1001,0),MATCH(COLUMNS($AC$1006:AI1006),$AC$1006:$AS$1006,0)), HYPERLINK("#",""), HYPERLINK(CONCATENATE("#Metadata!", ADDRESS(INDEX($X$2:$X$1001,MATCH(ROWS($V$2:V244),$V$2:$V$1001,0),0), INDEX($AC$1004:$AS$1004,1,MATCH(COLUMNS($AC$1006:AI1006),$AC$1006:$AS$1006,0)))),"Fix")))</f>
        <v>0</v>
      </c>
      <c r="I244" s="5">
        <f>IF(OR(INDEX($W$2:$W$1001,MATCH(ROWS($V$2:V244),$V$2:$V$1001,0),1)&gt;=100000,INDEX($AC$1005:$AS$1005,1,MATCH(COLUMNS($AC$1006:AJ1006),$AC$1006:$AS$1006,0))&gt;=100000), " ",IF(INDEX($AC$2:$AS$1001,MATCH(ROWS($V$2:V244),$V$2:$V$1001,0),MATCH(COLUMNS($AC$1006:AJ1006),$AC$1006:$AS$1006,0)), HYPERLINK("#",""), HYPERLINK(CONCATENATE("#Metadata!", ADDRESS(INDEX($X$2:$X$1001,MATCH(ROWS($V$2:V244),$V$2:$V$1001,0),0), INDEX($AC$1004:$AS$1004,1,MATCH(COLUMNS($AC$1006:AJ1006),$AC$1006:$AS$1006,0)))),"Fix")))</f>
        <v>0</v>
      </c>
      <c r="J244" s="5">
        <f>IF(OR(INDEX($W$2:$W$1001,MATCH(ROWS($V$2:V244),$V$2:$V$1001,0),1)&gt;=100000,INDEX($AC$1005:$AS$1005,1,MATCH(COLUMNS($AC$1006:AK1006),$AC$1006:$AS$1006,0))&gt;=100000), " ",IF(INDEX($AC$2:$AS$1001,MATCH(ROWS($V$2:V244),$V$2:$V$1001,0),MATCH(COLUMNS($AC$1006:AK1006),$AC$1006:$AS$1006,0)), HYPERLINK("#",""), HYPERLINK(CONCATENATE("#Metadata!", ADDRESS(INDEX($X$2:$X$1001,MATCH(ROWS($V$2:V244),$V$2:$V$1001,0),0), INDEX($AC$1004:$AS$1004,1,MATCH(COLUMNS($AC$1006:AK1006),$AC$1006:$AS$1006,0)))),"Fix")))</f>
        <v>0</v>
      </c>
      <c r="K244" s="5">
        <f>IF(OR(INDEX($W$2:$W$1001,MATCH(ROWS($V$2:V244),$V$2:$V$1001,0),1)&gt;=100000,INDEX($AC$1005:$AS$1005,1,MATCH(COLUMNS($AC$1006:AL1006),$AC$1006:$AS$1006,0))&gt;=100000), " ",IF(INDEX($AC$2:$AS$1001,MATCH(ROWS($V$2:V244),$V$2:$V$1001,0),MATCH(COLUMNS($AC$1006:AL1006),$AC$1006:$AS$1006,0)), HYPERLINK("#",""), HYPERLINK(CONCATENATE("#Metadata!", ADDRESS(INDEX($X$2:$X$1001,MATCH(ROWS($V$2:V244),$V$2:$V$1001,0),0), INDEX($AC$1004:$AS$1004,1,MATCH(COLUMNS($AC$1006:AL1006),$AC$1006:$AS$1006,0)))),"Fix")))</f>
        <v>0</v>
      </c>
      <c r="L244" s="5">
        <f>IF(OR(INDEX($W$2:$W$1001,MATCH(ROWS($V$2:V244),$V$2:$V$1001,0),1)&gt;=100000,INDEX($AC$1005:$AS$1005,1,MATCH(COLUMNS($AC$1006:AM1006),$AC$1006:$AS$1006,0))&gt;=100000), " ",IF(INDEX($AC$2:$AS$1001,MATCH(ROWS($V$2:V244),$V$2:$V$1001,0),MATCH(COLUMNS($AC$1006:AM1006),$AC$1006:$AS$1006,0)), HYPERLINK("#",""), HYPERLINK(CONCATENATE("#Metadata!", ADDRESS(INDEX($X$2:$X$1001,MATCH(ROWS($V$2:V244),$V$2:$V$1001,0),0), INDEX($AC$1004:$AS$1004,1,MATCH(COLUMNS($AC$1006:AM1006),$AC$1006:$AS$1006,0)))),"Fix")))</f>
        <v>0</v>
      </c>
      <c r="M244" s="5">
        <f>IF(OR(INDEX($W$2:$W$1001,MATCH(ROWS($V$2:V244),$V$2:$V$1001,0),1)&gt;=100000,INDEX($AC$1005:$AS$1005,1,MATCH(COLUMNS($AC$1006:AN1006),$AC$1006:$AS$1006,0))&gt;=100000), " ",IF(INDEX($AC$2:$AS$1001,MATCH(ROWS($V$2:V244),$V$2:$V$1001,0),MATCH(COLUMNS($AC$1006:AN1006),$AC$1006:$AS$1006,0)), HYPERLINK("#",""), HYPERLINK(CONCATENATE("#Metadata!", ADDRESS(INDEX($X$2:$X$1001,MATCH(ROWS($V$2:V244),$V$2:$V$1001,0),0), INDEX($AC$1004:$AS$1004,1,MATCH(COLUMNS($AC$1006:AN1006),$AC$1006:$AS$1006,0)))),"Fix")))</f>
        <v>0</v>
      </c>
      <c r="N244" s="5">
        <f>IF(OR(INDEX($W$2:$W$1001,MATCH(ROWS($V$2:V244),$V$2:$V$1001,0),1)&gt;=100000,INDEX($AC$1005:$AS$1005,1,MATCH(COLUMNS($AC$1006:AO1006),$AC$1006:$AS$1006,0))&gt;=100000), " ",IF(INDEX($AC$2:$AS$1001,MATCH(ROWS($V$2:V244),$V$2:$V$1001,0),MATCH(COLUMNS($AC$1006:AO1006),$AC$1006:$AS$1006,0)), HYPERLINK("#",""), HYPERLINK(CONCATENATE("#Metadata!", ADDRESS(INDEX($X$2:$X$1001,MATCH(ROWS($V$2:V244),$V$2:$V$1001,0),0), INDEX($AC$1004:$AS$1004,1,MATCH(COLUMNS($AC$1006:AO1006),$AC$1006:$AS$1006,0)))),"Fix")))</f>
        <v>0</v>
      </c>
      <c r="O244" s="5">
        <f>IF(OR(INDEX($W$2:$W$1001,MATCH(ROWS($V$2:V244),$V$2:$V$1001,0),1)&gt;=100000,INDEX($AC$1005:$AS$1005,1,MATCH(COLUMNS($AC$1006:AP1006),$AC$1006:$AS$1006,0))&gt;=100000), " ",IF(INDEX($AC$2:$AS$1001,MATCH(ROWS($V$2:V244),$V$2:$V$1001,0),MATCH(COLUMNS($AC$1006:AP1006),$AC$1006:$AS$1006,0)), HYPERLINK("#",""), HYPERLINK(CONCATENATE("#Metadata!", ADDRESS(INDEX($X$2:$X$1001,MATCH(ROWS($V$2:V244),$V$2:$V$1001,0),0), INDEX($AC$1004:$AS$1004,1,MATCH(COLUMNS($AC$1006:AP1006),$AC$1006:$AS$1006,0)))),"Fix")))</f>
        <v>0</v>
      </c>
      <c r="P244" s="5">
        <f>IF(OR(INDEX($W$2:$W$1001,MATCH(ROWS($V$2:V244),$V$2:$V$1001,0),1)&gt;=100000,INDEX($AC$1005:$AS$1005,1,MATCH(COLUMNS($AC$1006:AQ1006),$AC$1006:$AS$1006,0))&gt;=100000), " ",IF(INDEX($AC$2:$AS$1001,MATCH(ROWS($V$2:V244),$V$2:$V$1001,0),MATCH(COLUMNS($AC$1006:AQ1006),$AC$1006:$AS$1006,0)), HYPERLINK("#",""), HYPERLINK(CONCATENATE("#Metadata!", ADDRESS(INDEX($X$2:$X$1001,MATCH(ROWS($V$2:V244),$V$2:$V$1001,0),0), INDEX($AC$1004:$AS$1004,1,MATCH(COLUMNS($AC$1006:AQ1006),$AC$1006:$AS$1006,0)))),"Fix")))</f>
        <v>0</v>
      </c>
      <c r="Q244" s="5">
        <f>IF(OR(INDEX($W$2:$W$1001,MATCH(ROWS($V$2:V244),$V$2:$V$1001,0),1)&gt;=100000,INDEX($AC$1005:$AS$1005,1,MATCH(COLUMNS($AC$1006:AR1006),$AC$1006:$AS$1006,0))&gt;=100000), " ",IF(INDEX($AC$2:$AS$1001,MATCH(ROWS($V$2:V244),$V$2:$V$1001,0),MATCH(COLUMNS($AC$1006:AR1006),$AC$1006:$AS$1006,0)), HYPERLINK("#",""), HYPERLINK(CONCATENATE("#Metadata!", ADDRESS(INDEX($X$2:$X$1001,MATCH(ROWS($V$2:V244),$V$2:$V$1001,0),0), INDEX($AC$1004:$AS$1004,1,MATCH(COLUMNS($AC$1006:AR1006),$AC$1006:$AS$1006,0)))),"Fix")))</f>
        <v>0</v>
      </c>
      <c r="R244" s="5">
        <f>IF(OR(INDEX($W$2:$W$1001,MATCH(ROWS($V$2:V244),$V$2:$V$1001,0),1)&gt;=100000,INDEX($AC$1005:$AS$1005,1,MATCH(COLUMNS($AC$1006:AS1006),$AC$1006:$AS$1006,0))&gt;=100000), " ",IF(INDEX($AC$2:$AS$1001,MATCH(ROWS($V$2:V244),$V$2:$V$1001,0),MATCH(COLUMNS($AC$1006:AS1006),$AC$1006:$AS$1006,0)), HYPERLINK("#",""), HYPERLINK(CONCATENATE("#Metadata!", ADDRESS(INDEX($X$2:$X$1001,MATCH(ROWS($V$2:V244),$V$2:$V$1001,0),0), INDEX($AC$1004:$AS$1004,1,MATCH(COLUMNS($AC$1006:AS1006),$AC$1006:$AS$1006,0)))),"Fix")))</f>
        <v>0</v>
      </c>
      <c r="V244">
        <v>0</v>
      </c>
      <c r="W244">
        <v>0</v>
      </c>
      <c r="X244">
        <v>0</v>
      </c>
      <c r="Y244">
        <f>IF(Z244,TRUE,AND(AC244:AS244))</f>
        <v>0</v>
      </c>
      <c r="Z244">
        <f>COUNTBLANK(Metadata!B244:R244)=COLUMNS(Metadata!B244:R244)</f>
        <v>0</v>
      </c>
      <c r="AA244">
        <v>0</v>
      </c>
      <c r="AC244">
        <f>AND(IF(Metadata!B244="",FALSE,TRUE),COUNTIF(Metadata!B:B, Metadata!B244) = 1,NOT(ISERROR(SUMPRODUCT(SEARCH(MID(Metadata!B244,ROW(INDIRECT("1:"&amp;LEN(Metadata!B244))), 1),"0123456789abcdefghijklmnopqrstuvwxyzABCDEFGHIJKLMNOPQRSTUVWXYZ.")))))</f>
        <v>0</v>
      </c>
      <c r="AD244">
        <f>AND(IF(Metadata!C244="",FALSE,TRUE),exact(Metadata!C244,"Host-associated"))</f>
        <v>0</v>
      </c>
      <c r="AE244">
        <f>AND(IF(Metadata!D244="",FALSE,TRUE),OR(exact(Metadata!D244,"Animal"),exact(Metadata!D244,"Fungus"),exact(Metadata!D244,"Plant")))</f>
        <v>0</v>
      </c>
      <c r="AF244">
        <f>AND(IF(Metadata!E244="",FALSE,TRUE),OR(exact(Metadata!E244,"Plant secretion"),exact(Metadata!E244,"Plant rhizosphere"),exact(Metadata!E244,"Plant surface"),exact(Metadata!E244,"Plant corpus"),exact(Metadata!E244,"Fungus surface"),exact(Metadata!E244,"Fungus corpus"),exact(Metadata!E244,"Animal surface"),exact(Metadata!E244,"Animal proximal gut"),exact(Metadata!E244,"Animal corpus"),exact(Metadata!E244,"Animal distal gut"),exact(Metadata!E244,"Animal secretion")))</f>
        <v>0</v>
      </c>
      <c r="AG244">
        <f>OR(AND(IF(Metadata!F244="",FALSE,TRUE),OR(exact(Metadata!F244,"not collected"),exact(Metadata!F244,"not provided"),exact(Metadata!F244,"restricted access"))),AND(IF(Metadata!F244="",FALSE,TRUE),OR(exact(Metadata!F244,"organism-associated habitat"),exact(Metadata!F244,"plant-associated habitat"),exact(Metadata!F244,"animal-associated habitat"),exact(Metadata!F244,"insecta-associated habitat"),exact(Metadata!F244,"mammalia-associated habitat"),exact(Metadata!F244,"human-associated habitat"),exact(Metadata!F244,"livestock-associated habitat"))))</f>
        <v>0</v>
      </c>
      <c r="AH244">
        <f>AND(IF(Metadata!G244="",FALSE,TRUE),exact(Metadata!G244,"host-associated"))</f>
        <v>0</v>
      </c>
      <c r="AI244">
        <f>OR(AND(IF(Metadata!H244="",FALSE,TRUE),OR(exact(Metadata!H244,"not collected"),exact(Metadata!H244,"not provided"))),AND(IF(Metadata!H244="",FALSE,ISNUMBER(VALUE(Metadata!H244))),Metadata!H244&gt;0))</f>
        <v>0</v>
      </c>
      <c r="AJ244">
        <f>AND(IF(Metadata!I244="",FALSE,TRUE),exact(Metadata!I244,"years"))</f>
        <v>0</v>
      </c>
      <c r="AK244">
        <f>IF(Metadata!J244="",FALSE,TRUE)</f>
        <v>0</v>
      </c>
      <c r="AL244">
        <f>OR(AND(IF(Metadata!K244="",FALSE,TRUE),OR(exact(Metadata!K244,"not collected"),exact(Metadata!K244,"not provided"))),AND(IF(Metadata!K244="",FALSE,ISNUMBER(VALUE(Metadata!K244))),Metadata!K244&gt;0))</f>
        <v>0</v>
      </c>
      <c r="AM244">
        <f>AND(IF(Metadata!L244="",FALSE,TRUE),exact(Metadata!L244,"cm"))</f>
        <v>0</v>
      </c>
      <c r="AN244">
        <f>IF(Metadata!M244="",FALSE,TRUE)</f>
        <v>0</v>
      </c>
      <c r="AO244">
        <f>OR(AND(IF(Metadata!N244="",FALSE,TRUE),OR(exact(Metadata!N244,"not applicable"),exact(Metadata!N244,"not collected"),exact(Metadata!N244,"not provided"))),AND(IF(Metadata!N244="",FALSE,IF(ISERROR(INT(Metadata!N244)),FALSE,INT(Metadata!N244)=Metadata!N244)),Metadata!N244&gt;0))</f>
        <v>0</v>
      </c>
      <c r="AP244">
        <f>OR(AND(IF(Metadata!O244="",FALSE,TRUE),OR(exact(Metadata!O244,"not collected"),exact(Metadata!O244,"not provided"))),AND(IF(Metadata!O244="",FALSE,ISNUMBER(VALUE(Metadata!O244))),Metadata!O244&gt;0))</f>
        <v>0</v>
      </c>
      <c r="AQ244">
        <f>AND(IF(Metadata!P244="",FALSE,TRUE),exact(Metadata!P244,"kg"))</f>
        <v>0</v>
      </c>
      <c r="AR244">
        <f>OR(AND(IF(Metadata!Q244="",FALSE,TRUE),OR(exact(Metadata!Q244,"not applicable"),exact(Metadata!Q244,"not collected"),exact(Metadata!Q244,"not provided"),exact(Metadata!Q244,"restricted access"))),IF(Metadata!Q244="",FALSE,IF(ISERROR(INT(Metadata!Q244)),FALSE,INT(Metadata!Q244)=Metadata!Q244)))</f>
        <v>0</v>
      </c>
      <c r="AS244">
        <f>AND(IF(Metadata!R244="",FALSE,TRUE),exact(Metadata!R244,"Not applicable"))</f>
        <v>0</v>
      </c>
    </row>
    <row r="245" spans="1:45">
      <c r="A245" s="4">
        <f>IF(B245=" "," ",HYPERLINK(CONCATENATE("#metadata!",ADDRESS(INDEX($X$2:$X$1001,MATCH(ROWS($V$2:V245),$V$2:$V$1001,0),0),2)),INDEX($AA$2:$AA$1001,MATCH(ROWS($V$2:V245),$V$2:$V$1001,0),0)))</f>
        <v>0</v>
      </c>
      <c r="B245" s="5">
        <f>IF(OR(INDEX($W$2:$W$1001,MATCH(ROWS($V$2:V245),$V$2:$V$1001,0),1)&gt;=100000,INDEX($AC$1005:$AS$1005,1,MATCH(COLUMNS($AC$1006:AC1006),$AC$1006:$AS$1006,0))&gt;=100000), " ",IF(INDEX($AC$2:$AS$1001,MATCH(ROWS($V$2:V245),$V$2:$V$1001,0),MATCH(COLUMNS($AC$1006:AC1006),$AC$1006:$AS$1006,0)), HYPERLINK("#",""), HYPERLINK(CONCATENATE("#Metadata!", ADDRESS(INDEX($X$2:$X$1001,MATCH(ROWS($V$2:V245),$V$2:$V$1001,0),0), INDEX($AC$1004:$AS$1004,1,MATCH(COLUMNS($AC$1006:AC1006),$AC$1006:$AS$1006,0)))),"Fix")))</f>
        <v>0</v>
      </c>
      <c r="C245" s="5">
        <f>IF(OR(INDEX($W$2:$W$1001,MATCH(ROWS($V$2:V245),$V$2:$V$1001,0),1)&gt;=100000,INDEX($AC$1005:$AS$1005,1,MATCH(COLUMNS($AC$1006:AD1006),$AC$1006:$AS$1006,0))&gt;=100000), " ",IF(INDEX($AC$2:$AS$1001,MATCH(ROWS($V$2:V245),$V$2:$V$1001,0),MATCH(COLUMNS($AC$1006:AD1006),$AC$1006:$AS$1006,0)), HYPERLINK("#",""), HYPERLINK(CONCATENATE("#Metadata!", ADDRESS(INDEX($X$2:$X$1001,MATCH(ROWS($V$2:V245),$V$2:$V$1001,0),0), INDEX($AC$1004:$AS$1004,1,MATCH(COLUMNS($AC$1006:AD1006),$AC$1006:$AS$1006,0)))),"Fix")))</f>
        <v>0</v>
      </c>
      <c r="D245" s="5">
        <f>IF(OR(INDEX($W$2:$W$1001,MATCH(ROWS($V$2:V245),$V$2:$V$1001,0),1)&gt;=100000,INDEX($AC$1005:$AS$1005,1,MATCH(COLUMNS($AC$1006:AE1006),$AC$1006:$AS$1006,0))&gt;=100000), " ",IF(INDEX($AC$2:$AS$1001,MATCH(ROWS($V$2:V245),$V$2:$V$1001,0),MATCH(COLUMNS($AC$1006:AE1006),$AC$1006:$AS$1006,0)), HYPERLINK("#",""), HYPERLINK(CONCATENATE("#Metadata!", ADDRESS(INDEX($X$2:$X$1001,MATCH(ROWS($V$2:V245),$V$2:$V$1001,0),0), INDEX($AC$1004:$AS$1004,1,MATCH(COLUMNS($AC$1006:AE1006),$AC$1006:$AS$1006,0)))),"Fix")))</f>
        <v>0</v>
      </c>
      <c r="E245" s="5">
        <f>IF(OR(INDEX($W$2:$W$1001,MATCH(ROWS($V$2:V245),$V$2:$V$1001,0),1)&gt;=100000,INDEX($AC$1005:$AS$1005,1,MATCH(COLUMNS($AC$1006:AF1006),$AC$1006:$AS$1006,0))&gt;=100000), " ",IF(INDEX($AC$2:$AS$1001,MATCH(ROWS($V$2:V245),$V$2:$V$1001,0),MATCH(COLUMNS($AC$1006:AF1006),$AC$1006:$AS$1006,0)), HYPERLINK("#",""), HYPERLINK(CONCATENATE("#Metadata!", ADDRESS(INDEX($X$2:$X$1001,MATCH(ROWS($V$2:V245),$V$2:$V$1001,0),0), INDEX($AC$1004:$AS$1004,1,MATCH(COLUMNS($AC$1006:AF1006),$AC$1006:$AS$1006,0)))),"Fix")))</f>
        <v>0</v>
      </c>
      <c r="F245" s="5">
        <f>IF(OR(INDEX($W$2:$W$1001,MATCH(ROWS($V$2:V245),$V$2:$V$1001,0),1)&gt;=100000,INDEX($AC$1005:$AS$1005,1,MATCH(COLUMNS($AC$1006:AG1006),$AC$1006:$AS$1006,0))&gt;=100000), " ",IF(INDEX($AC$2:$AS$1001,MATCH(ROWS($V$2:V245),$V$2:$V$1001,0),MATCH(COLUMNS($AC$1006:AG1006),$AC$1006:$AS$1006,0)), HYPERLINK("#",""), HYPERLINK(CONCATENATE("#Metadata!", ADDRESS(INDEX($X$2:$X$1001,MATCH(ROWS($V$2:V245),$V$2:$V$1001,0),0), INDEX($AC$1004:$AS$1004,1,MATCH(COLUMNS($AC$1006:AG1006),$AC$1006:$AS$1006,0)))),"Fix")))</f>
        <v>0</v>
      </c>
      <c r="G245" s="5">
        <f>IF(OR(INDEX($W$2:$W$1001,MATCH(ROWS($V$2:V245),$V$2:$V$1001,0),1)&gt;=100000,INDEX($AC$1005:$AS$1005,1,MATCH(COLUMNS($AC$1006:AH1006),$AC$1006:$AS$1006,0))&gt;=100000), " ",IF(INDEX($AC$2:$AS$1001,MATCH(ROWS($V$2:V245),$V$2:$V$1001,0),MATCH(COLUMNS($AC$1006:AH1006),$AC$1006:$AS$1006,0)), HYPERLINK("#",""), HYPERLINK(CONCATENATE("#Metadata!", ADDRESS(INDEX($X$2:$X$1001,MATCH(ROWS($V$2:V245),$V$2:$V$1001,0),0), INDEX($AC$1004:$AS$1004,1,MATCH(COLUMNS($AC$1006:AH1006),$AC$1006:$AS$1006,0)))),"Fix")))</f>
        <v>0</v>
      </c>
      <c r="H245" s="5">
        <f>IF(OR(INDEX($W$2:$W$1001,MATCH(ROWS($V$2:V245),$V$2:$V$1001,0),1)&gt;=100000,INDEX($AC$1005:$AS$1005,1,MATCH(COLUMNS($AC$1006:AI1006),$AC$1006:$AS$1006,0))&gt;=100000), " ",IF(INDEX($AC$2:$AS$1001,MATCH(ROWS($V$2:V245),$V$2:$V$1001,0),MATCH(COLUMNS($AC$1006:AI1006),$AC$1006:$AS$1006,0)), HYPERLINK("#",""), HYPERLINK(CONCATENATE("#Metadata!", ADDRESS(INDEX($X$2:$X$1001,MATCH(ROWS($V$2:V245),$V$2:$V$1001,0),0), INDEX($AC$1004:$AS$1004,1,MATCH(COLUMNS($AC$1006:AI1006),$AC$1006:$AS$1006,0)))),"Fix")))</f>
        <v>0</v>
      </c>
      <c r="I245" s="5">
        <f>IF(OR(INDEX($W$2:$W$1001,MATCH(ROWS($V$2:V245),$V$2:$V$1001,0),1)&gt;=100000,INDEX($AC$1005:$AS$1005,1,MATCH(COLUMNS($AC$1006:AJ1006),$AC$1006:$AS$1006,0))&gt;=100000), " ",IF(INDEX($AC$2:$AS$1001,MATCH(ROWS($V$2:V245),$V$2:$V$1001,0),MATCH(COLUMNS($AC$1006:AJ1006),$AC$1006:$AS$1006,0)), HYPERLINK("#",""), HYPERLINK(CONCATENATE("#Metadata!", ADDRESS(INDEX($X$2:$X$1001,MATCH(ROWS($V$2:V245),$V$2:$V$1001,0),0), INDEX($AC$1004:$AS$1004,1,MATCH(COLUMNS($AC$1006:AJ1006),$AC$1006:$AS$1006,0)))),"Fix")))</f>
        <v>0</v>
      </c>
      <c r="J245" s="5">
        <f>IF(OR(INDEX($W$2:$W$1001,MATCH(ROWS($V$2:V245),$V$2:$V$1001,0),1)&gt;=100000,INDEX($AC$1005:$AS$1005,1,MATCH(COLUMNS($AC$1006:AK1006),$AC$1006:$AS$1006,0))&gt;=100000), " ",IF(INDEX($AC$2:$AS$1001,MATCH(ROWS($V$2:V245),$V$2:$V$1001,0),MATCH(COLUMNS($AC$1006:AK1006),$AC$1006:$AS$1006,0)), HYPERLINK("#",""), HYPERLINK(CONCATENATE("#Metadata!", ADDRESS(INDEX($X$2:$X$1001,MATCH(ROWS($V$2:V245),$V$2:$V$1001,0),0), INDEX($AC$1004:$AS$1004,1,MATCH(COLUMNS($AC$1006:AK1006),$AC$1006:$AS$1006,0)))),"Fix")))</f>
        <v>0</v>
      </c>
      <c r="K245" s="5">
        <f>IF(OR(INDEX($W$2:$W$1001,MATCH(ROWS($V$2:V245),$V$2:$V$1001,0),1)&gt;=100000,INDEX($AC$1005:$AS$1005,1,MATCH(COLUMNS($AC$1006:AL1006),$AC$1006:$AS$1006,0))&gt;=100000), " ",IF(INDEX($AC$2:$AS$1001,MATCH(ROWS($V$2:V245),$V$2:$V$1001,0),MATCH(COLUMNS($AC$1006:AL1006),$AC$1006:$AS$1006,0)), HYPERLINK("#",""), HYPERLINK(CONCATENATE("#Metadata!", ADDRESS(INDEX($X$2:$X$1001,MATCH(ROWS($V$2:V245),$V$2:$V$1001,0),0), INDEX($AC$1004:$AS$1004,1,MATCH(COLUMNS($AC$1006:AL1006),$AC$1006:$AS$1006,0)))),"Fix")))</f>
        <v>0</v>
      </c>
      <c r="L245" s="5">
        <f>IF(OR(INDEX($W$2:$W$1001,MATCH(ROWS($V$2:V245),$V$2:$V$1001,0),1)&gt;=100000,INDEX($AC$1005:$AS$1005,1,MATCH(COLUMNS($AC$1006:AM1006),$AC$1006:$AS$1006,0))&gt;=100000), " ",IF(INDEX($AC$2:$AS$1001,MATCH(ROWS($V$2:V245),$V$2:$V$1001,0),MATCH(COLUMNS($AC$1006:AM1006),$AC$1006:$AS$1006,0)), HYPERLINK("#",""), HYPERLINK(CONCATENATE("#Metadata!", ADDRESS(INDEX($X$2:$X$1001,MATCH(ROWS($V$2:V245),$V$2:$V$1001,0),0), INDEX($AC$1004:$AS$1004,1,MATCH(COLUMNS($AC$1006:AM1006),$AC$1006:$AS$1006,0)))),"Fix")))</f>
        <v>0</v>
      </c>
      <c r="M245" s="5">
        <f>IF(OR(INDEX($W$2:$W$1001,MATCH(ROWS($V$2:V245),$V$2:$V$1001,0),1)&gt;=100000,INDEX($AC$1005:$AS$1005,1,MATCH(COLUMNS($AC$1006:AN1006),$AC$1006:$AS$1006,0))&gt;=100000), " ",IF(INDEX($AC$2:$AS$1001,MATCH(ROWS($V$2:V245),$V$2:$V$1001,0),MATCH(COLUMNS($AC$1006:AN1006),$AC$1006:$AS$1006,0)), HYPERLINK("#",""), HYPERLINK(CONCATENATE("#Metadata!", ADDRESS(INDEX($X$2:$X$1001,MATCH(ROWS($V$2:V245),$V$2:$V$1001,0),0), INDEX($AC$1004:$AS$1004,1,MATCH(COLUMNS($AC$1006:AN1006),$AC$1006:$AS$1006,0)))),"Fix")))</f>
        <v>0</v>
      </c>
      <c r="N245" s="5">
        <f>IF(OR(INDEX($W$2:$W$1001,MATCH(ROWS($V$2:V245),$V$2:$V$1001,0),1)&gt;=100000,INDEX($AC$1005:$AS$1005,1,MATCH(COLUMNS($AC$1006:AO1006),$AC$1006:$AS$1006,0))&gt;=100000), " ",IF(INDEX($AC$2:$AS$1001,MATCH(ROWS($V$2:V245),$V$2:$V$1001,0),MATCH(COLUMNS($AC$1006:AO1006),$AC$1006:$AS$1006,0)), HYPERLINK("#",""), HYPERLINK(CONCATENATE("#Metadata!", ADDRESS(INDEX($X$2:$X$1001,MATCH(ROWS($V$2:V245),$V$2:$V$1001,0),0), INDEX($AC$1004:$AS$1004,1,MATCH(COLUMNS($AC$1006:AO1006),$AC$1006:$AS$1006,0)))),"Fix")))</f>
        <v>0</v>
      </c>
      <c r="O245" s="5">
        <f>IF(OR(INDEX($W$2:$W$1001,MATCH(ROWS($V$2:V245),$V$2:$V$1001,0),1)&gt;=100000,INDEX($AC$1005:$AS$1005,1,MATCH(COLUMNS($AC$1006:AP1006),$AC$1006:$AS$1006,0))&gt;=100000), " ",IF(INDEX($AC$2:$AS$1001,MATCH(ROWS($V$2:V245),$V$2:$V$1001,0),MATCH(COLUMNS($AC$1006:AP1006),$AC$1006:$AS$1006,0)), HYPERLINK("#",""), HYPERLINK(CONCATENATE("#Metadata!", ADDRESS(INDEX($X$2:$X$1001,MATCH(ROWS($V$2:V245),$V$2:$V$1001,0),0), INDEX($AC$1004:$AS$1004,1,MATCH(COLUMNS($AC$1006:AP1006),$AC$1006:$AS$1006,0)))),"Fix")))</f>
        <v>0</v>
      </c>
      <c r="P245" s="5">
        <f>IF(OR(INDEX($W$2:$W$1001,MATCH(ROWS($V$2:V245),$V$2:$V$1001,0),1)&gt;=100000,INDEX($AC$1005:$AS$1005,1,MATCH(COLUMNS($AC$1006:AQ1006),$AC$1006:$AS$1006,0))&gt;=100000), " ",IF(INDEX($AC$2:$AS$1001,MATCH(ROWS($V$2:V245),$V$2:$V$1001,0),MATCH(COLUMNS($AC$1006:AQ1006),$AC$1006:$AS$1006,0)), HYPERLINK("#",""), HYPERLINK(CONCATENATE("#Metadata!", ADDRESS(INDEX($X$2:$X$1001,MATCH(ROWS($V$2:V245),$V$2:$V$1001,0),0), INDEX($AC$1004:$AS$1004,1,MATCH(COLUMNS($AC$1006:AQ1006),$AC$1006:$AS$1006,0)))),"Fix")))</f>
        <v>0</v>
      </c>
      <c r="Q245" s="5">
        <f>IF(OR(INDEX($W$2:$W$1001,MATCH(ROWS($V$2:V245),$V$2:$V$1001,0),1)&gt;=100000,INDEX($AC$1005:$AS$1005,1,MATCH(COLUMNS($AC$1006:AR1006),$AC$1006:$AS$1006,0))&gt;=100000), " ",IF(INDEX($AC$2:$AS$1001,MATCH(ROWS($V$2:V245),$V$2:$V$1001,0),MATCH(COLUMNS($AC$1006:AR1006),$AC$1006:$AS$1006,0)), HYPERLINK("#",""), HYPERLINK(CONCATENATE("#Metadata!", ADDRESS(INDEX($X$2:$X$1001,MATCH(ROWS($V$2:V245),$V$2:$V$1001,0),0), INDEX($AC$1004:$AS$1004,1,MATCH(COLUMNS($AC$1006:AR1006),$AC$1006:$AS$1006,0)))),"Fix")))</f>
        <v>0</v>
      </c>
      <c r="R245" s="5">
        <f>IF(OR(INDEX($W$2:$W$1001,MATCH(ROWS($V$2:V245),$V$2:$V$1001,0),1)&gt;=100000,INDEX($AC$1005:$AS$1005,1,MATCH(COLUMNS($AC$1006:AS1006),$AC$1006:$AS$1006,0))&gt;=100000), " ",IF(INDEX($AC$2:$AS$1001,MATCH(ROWS($V$2:V245),$V$2:$V$1001,0),MATCH(COLUMNS($AC$1006:AS1006),$AC$1006:$AS$1006,0)), HYPERLINK("#",""), HYPERLINK(CONCATENATE("#Metadata!", ADDRESS(INDEX($X$2:$X$1001,MATCH(ROWS($V$2:V245),$V$2:$V$1001,0),0), INDEX($AC$1004:$AS$1004,1,MATCH(COLUMNS($AC$1006:AS1006),$AC$1006:$AS$1006,0)))),"Fix")))</f>
        <v>0</v>
      </c>
      <c r="V245">
        <v>0</v>
      </c>
      <c r="W245">
        <v>0</v>
      </c>
      <c r="X245">
        <v>0</v>
      </c>
      <c r="Y245">
        <f>IF(Z245,TRUE,AND(AC245:AS245))</f>
        <v>0</v>
      </c>
      <c r="Z245">
        <f>COUNTBLANK(Metadata!B245:R245)=COLUMNS(Metadata!B245:R245)</f>
        <v>0</v>
      </c>
      <c r="AA245">
        <v>0</v>
      </c>
      <c r="AC245">
        <f>AND(IF(Metadata!B245="",FALSE,TRUE),COUNTIF(Metadata!B:B, Metadata!B245) = 1,NOT(ISERROR(SUMPRODUCT(SEARCH(MID(Metadata!B245,ROW(INDIRECT("1:"&amp;LEN(Metadata!B245))), 1),"0123456789abcdefghijklmnopqrstuvwxyzABCDEFGHIJKLMNOPQRSTUVWXYZ.")))))</f>
        <v>0</v>
      </c>
      <c r="AD245">
        <f>AND(IF(Metadata!C245="",FALSE,TRUE),exact(Metadata!C245,"Host-associated"))</f>
        <v>0</v>
      </c>
      <c r="AE245">
        <f>AND(IF(Metadata!D245="",FALSE,TRUE),OR(exact(Metadata!D245,"Animal"),exact(Metadata!D245,"Fungus"),exact(Metadata!D245,"Plant")))</f>
        <v>0</v>
      </c>
      <c r="AF245">
        <f>AND(IF(Metadata!E245="",FALSE,TRUE),OR(exact(Metadata!E245,"Plant secretion"),exact(Metadata!E245,"Plant rhizosphere"),exact(Metadata!E245,"Plant surface"),exact(Metadata!E245,"Plant corpus"),exact(Metadata!E245,"Fungus surface"),exact(Metadata!E245,"Fungus corpus"),exact(Metadata!E245,"Animal surface"),exact(Metadata!E245,"Animal proximal gut"),exact(Metadata!E245,"Animal corpus"),exact(Metadata!E245,"Animal distal gut"),exact(Metadata!E245,"Animal secretion")))</f>
        <v>0</v>
      </c>
      <c r="AG245">
        <f>OR(AND(IF(Metadata!F245="",FALSE,TRUE),OR(exact(Metadata!F245,"not collected"),exact(Metadata!F245,"not provided"),exact(Metadata!F245,"restricted access"))),AND(IF(Metadata!F245="",FALSE,TRUE),OR(exact(Metadata!F245,"organism-associated habitat"),exact(Metadata!F245,"plant-associated habitat"),exact(Metadata!F245,"animal-associated habitat"),exact(Metadata!F245,"insecta-associated habitat"),exact(Metadata!F245,"mammalia-associated habitat"),exact(Metadata!F245,"human-associated habitat"),exact(Metadata!F245,"livestock-associated habitat"))))</f>
        <v>0</v>
      </c>
      <c r="AH245">
        <f>AND(IF(Metadata!G245="",FALSE,TRUE),exact(Metadata!G245,"host-associated"))</f>
        <v>0</v>
      </c>
      <c r="AI245">
        <f>OR(AND(IF(Metadata!H245="",FALSE,TRUE),OR(exact(Metadata!H245,"not collected"),exact(Metadata!H245,"not provided"))),AND(IF(Metadata!H245="",FALSE,ISNUMBER(VALUE(Metadata!H245))),Metadata!H245&gt;0))</f>
        <v>0</v>
      </c>
      <c r="AJ245">
        <f>AND(IF(Metadata!I245="",FALSE,TRUE),exact(Metadata!I245,"years"))</f>
        <v>0</v>
      </c>
      <c r="AK245">
        <f>IF(Metadata!J245="",FALSE,TRUE)</f>
        <v>0</v>
      </c>
      <c r="AL245">
        <f>OR(AND(IF(Metadata!K245="",FALSE,TRUE),OR(exact(Metadata!K245,"not collected"),exact(Metadata!K245,"not provided"))),AND(IF(Metadata!K245="",FALSE,ISNUMBER(VALUE(Metadata!K245))),Metadata!K245&gt;0))</f>
        <v>0</v>
      </c>
      <c r="AM245">
        <f>AND(IF(Metadata!L245="",FALSE,TRUE),exact(Metadata!L245,"cm"))</f>
        <v>0</v>
      </c>
      <c r="AN245">
        <f>IF(Metadata!M245="",FALSE,TRUE)</f>
        <v>0</v>
      </c>
      <c r="AO245">
        <f>OR(AND(IF(Metadata!N245="",FALSE,TRUE),OR(exact(Metadata!N245,"not applicable"),exact(Metadata!N245,"not collected"),exact(Metadata!N245,"not provided"))),AND(IF(Metadata!N245="",FALSE,IF(ISERROR(INT(Metadata!N245)),FALSE,INT(Metadata!N245)=Metadata!N245)),Metadata!N245&gt;0))</f>
        <v>0</v>
      </c>
      <c r="AP245">
        <f>OR(AND(IF(Metadata!O245="",FALSE,TRUE),OR(exact(Metadata!O245,"not collected"),exact(Metadata!O245,"not provided"))),AND(IF(Metadata!O245="",FALSE,ISNUMBER(VALUE(Metadata!O245))),Metadata!O245&gt;0))</f>
        <v>0</v>
      </c>
      <c r="AQ245">
        <f>AND(IF(Metadata!P245="",FALSE,TRUE),exact(Metadata!P245,"kg"))</f>
        <v>0</v>
      </c>
      <c r="AR245">
        <f>OR(AND(IF(Metadata!Q245="",FALSE,TRUE),OR(exact(Metadata!Q245,"not applicable"),exact(Metadata!Q245,"not collected"),exact(Metadata!Q245,"not provided"),exact(Metadata!Q245,"restricted access"))),IF(Metadata!Q245="",FALSE,IF(ISERROR(INT(Metadata!Q245)),FALSE,INT(Metadata!Q245)=Metadata!Q245)))</f>
        <v>0</v>
      </c>
      <c r="AS245">
        <f>AND(IF(Metadata!R245="",FALSE,TRUE),exact(Metadata!R245,"Not applicable"))</f>
        <v>0</v>
      </c>
    </row>
    <row r="246" spans="1:45">
      <c r="A246" s="4">
        <f>IF(B246=" "," ",HYPERLINK(CONCATENATE("#metadata!",ADDRESS(INDEX($X$2:$X$1001,MATCH(ROWS($V$2:V246),$V$2:$V$1001,0),0),2)),INDEX($AA$2:$AA$1001,MATCH(ROWS($V$2:V246),$V$2:$V$1001,0),0)))</f>
        <v>0</v>
      </c>
      <c r="B246" s="5">
        <f>IF(OR(INDEX($W$2:$W$1001,MATCH(ROWS($V$2:V246),$V$2:$V$1001,0),1)&gt;=100000,INDEX($AC$1005:$AS$1005,1,MATCH(COLUMNS($AC$1006:AC1006),$AC$1006:$AS$1006,0))&gt;=100000), " ",IF(INDEX($AC$2:$AS$1001,MATCH(ROWS($V$2:V246),$V$2:$V$1001,0),MATCH(COLUMNS($AC$1006:AC1006),$AC$1006:$AS$1006,0)), HYPERLINK("#",""), HYPERLINK(CONCATENATE("#Metadata!", ADDRESS(INDEX($X$2:$X$1001,MATCH(ROWS($V$2:V246),$V$2:$V$1001,0),0), INDEX($AC$1004:$AS$1004,1,MATCH(COLUMNS($AC$1006:AC1006),$AC$1006:$AS$1006,0)))),"Fix")))</f>
        <v>0</v>
      </c>
      <c r="C246" s="5">
        <f>IF(OR(INDEX($W$2:$W$1001,MATCH(ROWS($V$2:V246),$V$2:$V$1001,0),1)&gt;=100000,INDEX($AC$1005:$AS$1005,1,MATCH(COLUMNS($AC$1006:AD1006),$AC$1006:$AS$1006,0))&gt;=100000), " ",IF(INDEX($AC$2:$AS$1001,MATCH(ROWS($V$2:V246),$V$2:$V$1001,0),MATCH(COLUMNS($AC$1006:AD1006),$AC$1006:$AS$1006,0)), HYPERLINK("#",""), HYPERLINK(CONCATENATE("#Metadata!", ADDRESS(INDEX($X$2:$X$1001,MATCH(ROWS($V$2:V246),$V$2:$V$1001,0),0), INDEX($AC$1004:$AS$1004,1,MATCH(COLUMNS($AC$1006:AD1006),$AC$1006:$AS$1006,0)))),"Fix")))</f>
        <v>0</v>
      </c>
      <c r="D246" s="5">
        <f>IF(OR(INDEX($W$2:$W$1001,MATCH(ROWS($V$2:V246),$V$2:$V$1001,0),1)&gt;=100000,INDEX($AC$1005:$AS$1005,1,MATCH(COLUMNS($AC$1006:AE1006),$AC$1006:$AS$1006,0))&gt;=100000), " ",IF(INDEX($AC$2:$AS$1001,MATCH(ROWS($V$2:V246),$V$2:$V$1001,0),MATCH(COLUMNS($AC$1006:AE1006),$AC$1006:$AS$1006,0)), HYPERLINK("#",""), HYPERLINK(CONCATENATE("#Metadata!", ADDRESS(INDEX($X$2:$X$1001,MATCH(ROWS($V$2:V246),$V$2:$V$1001,0),0), INDEX($AC$1004:$AS$1004,1,MATCH(COLUMNS($AC$1006:AE1006),$AC$1006:$AS$1006,0)))),"Fix")))</f>
        <v>0</v>
      </c>
      <c r="E246" s="5">
        <f>IF(OR(INDEX($W$2:$W$1001,MATCH(ROWS($V$2:V246),$V$2:$V$1001,0),1)&gt;=100000,INDEX($AC$1005:$AS$1005,1,MATCH(COLUMNS($AC$1006:AF1006),$AC$1006:$AS$1006,0))&gt;=100000), " ",IF(INDEX($AC$2:$AS$1001,MATCH(ROWS($V$2:V246),$V$2:$V$1001,0),MATCH(COLUMNS($AC$1006:AF1006),$AC$1006:$AS$1006,0)), HYPERLINK("#",""), HYPERLINK(CONCATENATE("#Metadata!", ADDRESS(INDEX($X$2:$X$1001,MATCH(ROWS($V$2:V246),$V$2:$V$1001,0),0), INDEX($AC$1004:$AS$1004,1,MATCH(COLUMNS($AC$1006:AF1006),$AC$1006:$AS$1006,0)))),"Fix")))</f>
        <v>0</v>
      </c>
      <c r="F246" s="5">
        <f>IF(OR(INDEX($W$2:$W$1001,MATCH(ROWS($V$2:V246),$V$2:$V$1001,0),1)&gt;=100000,INDEX($AC$1005:$AS$1005,1,MATCH(COLUMNS($AC$1006:AG1006),$AC$1006:$AS$1006,0))&gt;=100000), " ",IF(INDEX($AC$2:$AS$1001,MATCH(ROWS($V$2:V246),$V$2:$V$1001,0),MATCH(COLUMNS($AC$1006:AG1006),$AC$1006:$AS$1006,0)), HYPERLINK("#",""), HYPERLINK(CONCATENATE("#Metadata!", ADDRESS(INDEX($X$2:$X$1001,MATCH(ROWS($V$2:V246),$V$2:$V$1001,0),0), INDEX($AC$1004:$AS$1004,1,MATCH(COLUMNS($AC$1006:AG1006),$AC$1006:$AS$1006,0)))),"Fix")))</f>
        <v>0</v>
      </c>
      <c r="G246" s="5">
        <f>IF(OR(INDEX($W$2:$W$1001,MATCH(ROWS($V$2:V246),$V$2:$V$1001,0),1)&gt;=100000,INDEX($AC$1005:$AS$1005,1,MATCH(COLUMNS($AC$1006:AH1006),$AC$1006:$AS$1006,0))&gt;=100000), " ",IF(INDEX($AC$2:$AS$1001,MATCH(ROWS($V$2:V246),$V$2:$V$1001,0),MATCH(COLUMNS($AC$1006:AH1006),$AC$1006:$AS$1006,0)), HYPERLINK("#",""), HYPERLINK(CONCATENATE("#Metadata!", ADDRESS(INDEX($X$2:$X$1001,MATCH(ROWS($V$2:V246),$V$2:$V$1001,0),0), INDEX($AC$1004:$AS$1004,1,MATCH(COLUMNS($AC$1006:AH1006),$AC$1006:$AS$1006,0)))),"Fix")))</f>
        <v>0</v>
      </c>
      <c r="H246" s="5">
        <f>IF(OR(INDEX($W$2:$W$1001,MATCH(ROWS($V$2:V246),$V$2:$V$1001,0),1)&gt;=100000,INDEX($AC$1005:$AS$1005,1,MATCH(COLUMNS($AC$1006:AI1006),$AC$1006:$AS$1006,0))&gt;=100000), " ",IF(INDEX($AC$2:$AS$1001,MATCH(ROWS($V$2:V246),$V$2:$V$1001,0),MATCH(COLUMNS($AC$1006:AI1006),$AC$1006:$AS$1006,0)), HYPERLINK("#",""), HYPERLINK(CONCATENATE("#Metadata!", ADDRESS(INDEX($X$2:$X$1001,MATCH(ROWS($V$2:V246),$V$2:$V$1001,0),0), INDEX($AC$1004:$AS$1004,1,MATCH(COLUMNS($AC$1006:AI1006),$AC$1006:$AS$1006,0)))),"Fix")))</f>
        <v>0</v>
      </c>
      <c r="I246" s="5">
        <f>IF(OR(INDEX($W$2:$W$1001,MATCH(ROWS($V$2:V246),$V$2:$V$1001,0),1)&gt;=100000,INDEX($AC$1005:$AS$1005,1,MATCH(COLUMNS($AC$1006:AJ1006),$AC$1006:$AS$1006,0))&gt;=100000), " ",IF(INDEX($AC$2:$AS$1001,MATCH(ROWS($V$2:V246),$V$2:$V$1001,0),MATCH(COLUMNS($AC$1006:AJ1006),$AC$1006:$AS$1006,0)), HYPERLINK("#",""), HYPERLINK(CONCATENATE("#Metadata!", ADDRESS(INDEX($X$2:$X$1001,MATCH(ROWS($V$2:V246),$V$2:$V$1001,0),0), INDEX($AC$1004:$AS$1004,1,MATCH(COLUMNS($AC$1006:AJ1006),$AC$1006:$AS$1006,0)))),"Fix")))</f>
        <v>0</v>
      </c>
      <c r="J246" s="5">
        <f>IF(OR(INDEX($W$2:$W$1001,MATCH(ROWS($V$2:V246),$V$2:$V$1001,0),1)&gt;=100000,INDEX($AC$1005:$AS$1005,1,MATCH(COLUMNS($AC$1006:AK1006),$AC$1006:$AS$1006,0))&gt;=100000), " ",IF(INDEX($AC$2:$AS$1001,MATCH(ROWS($V$2:V246),$V$2:$V$1001,0),MATCH(COLUMNS($AC$1006:AK1006),$AC$1006:$AS$1006,0)), HYPERLINK("#",""), HYPERLINK(CONCATENATE("#Metadata!", ADDRESS(INDEX($X$2:$X$1001,MATCH(ROWS($V$2:V246),$V$2:$V$1001,0),0), INDEX($AC$1004:$AS$1004,1,MATCH(COLUMNS($AC$1006:AK1006),$AC$1006:$AS$1006,0)))),"Fix")))</f>
        <v>0</v>
      </c>
      <c r="K246" s="5">
        <f>IF(OR(INDEX($W$2:$W$1001,MATCH(ROWS($V$2:V246),$V$2:$V$1001,0),1)&gt;=100000,INDEX($AC$1005:$AS$1005,1,MATCH(COLUMNS($AC$1006:AL1006),$AC$1006:$AS$1006,0))&gt;=100000), " ",IF(INDEX($AC$2:$AS$1001,MATCH(ROWS($V$2:V246),$V$2:$V$1001,0),MATCH(COLUMNS($AC$1006:AL1006),$AC$1006:$AS$1006,0)), HYPERLINK("#",""), HYPERLINK(CONCATENATE("#Metadata!", ADDRESS(INDEX($X$2:$X$1001,MATCH(ROWS($V$2:V246),$V$2:$V$1001,0),0), INDEX($AC$1004:$AS$1004,1,MATCH(COLUMNS($AC$1006:AL1006),$AC$1006:$AS$1006,0)))),"Fix")))</f>
        <v>0</v>
      </c>
      <c r="L246" s="5">
        <f>IF(OR(INDEX($W$2:$W$1001,MATCH(ROWS($V$2:V246),$V$2:$V$1001,0),1)&gt;=100000,INDEX($AC$1005:$AS$1005,1,MATCH(COLUMNS($AC$1006:AM1006),$AC$1006:$AS$1006,0))&gt;=100000), " ",IF(INDEX($AC$2:$AS$1001,MATCH(ROWS($V$2:V246),$V$2:$V$1001,0),MATCH(COLUMNS($AC$1006:AM1006),$AC$1006:$AS$1006,0)), HYPERLINK("#",""), HYPERLINK(CONCATENATE("#Metadata!", ADDRESS(INDEX($X$2:$X$1001,MATCH(ROWS($V$2:V246),$V$2:$V$1001,0),0), INDEX($AC$1004:$AS$1004,1,MATCH(COLUMNS($AC$1006:AM1006),$AC$1006:$AS$1006,0)))),"Fix")))</f>
        <v>0</v>
      </c>
      <c r="M246" s="5">
        <f>IF(OR(INDEX($W$2:$W$1001,MATCH(ROWS($V$2:V246),$V$2:$V$1001,0),1)&gt;=100000,INDEX($AC$1005:$AS$1005,1,MATCH(COLUMNS($AC$1006:AN1006),$AC$1006:$AS$1006,0))&gt;=100000), " ",IF(INDEX($AC$2:$AS$1001,MATCH(ROWS($V$2:V246),$V$2:$V$1001,0),MATCH(COLUMNS($AC$1006:AN1006),$AC$1006:$AS$1006,0)), HYPERLINK("#",""), HYPERLINK(CONCATENATE("#Metadata!", ADDRESS(INDEX($X$2:$X$1001,MATCH(ROWS($V$2:V246),$V$2:$V$1001,0),0), INDEX($AC$1004:$AS$1004,1,MATCH(COLUMNS($AC$1006:AN1006),$AC$1006:$AS$1006,0)))),"Fix")))</f>
        <v>0</v>
      </c>
      <c r="N246" s="5">
        <f>IF(OR(INDEX($W$2:$W$1001,MATCH(ROWS($V$2:V246),$V$2:$V$1001,0),1)&gt;=100000,INDEX($AC$1005:$AS$1005,1,MATCH(COLUMNS($AC$1006:AO1006),$AC$1006:$AS$1006,0))&gt;=100000), " ",IF(INDEX($AC$2:$AS$1001,MATCH(ROWS($V$2:V246),$V$2:$V$1001,0),MATCH(COLUMNS($AC$1006:AO1006),$AC$1006:$AS$1006,0)), HYPERLINK("#",""), HYPERLINK(CONCATENATE("#Metadata!", ADDRESS(INDEX($X$2:$X$1001,MATCH(ROWS($V$2:V246),$V$2:$V$1001,0),0), INDEX($AC$1004:$AS$1004,1,MATCH(COLUMNS($AC$1006:AO1006),$AC$1006:$AS$1006,0)))),"Fix")))</f>
        <v>0</v>
      </c>
      <c r="O246" s="5">
        <f>IF(OR(INDEX($W$2:$W$1001,MATCH(ROWS($V$2:V246),$V$2:$V$1001,0),1)&gt;=100000,INDEX($AC$1005:$AS$1005,1,MATCH(COLUMNS($AC$1006:AP1006),$AC$1006:$AS$1006,0))&gt;=100000), " ",IF(INDEX($AC$2:$AS$1001,MATCH(ROWS($V$2:V246),$V$2:$V$1001,0),MATCH(COLUMNS($AC$1006:AP1006),$AC$1006:$AS$1006,0)), HYPERLINK("#",""), HYPERLINK(CONCATENATE("#Metadata!", ADDRESS(INDEX($X$2:$X$1001,MATCH(ROWS($V$2:V246),$V$2:$V$1001,0),0), INDEX($AC$1004:$AS$1004,1,MATCH(COLUMNS($AC$1006:AP1006),$AC$1006:$AS$1006,0)))),"Fix")))</f>
        <v>0</v>
      </c>
      <c r="P246" s="5">
        <f>IF(OR(INDEX($W$2:$W$1001,MATCH(ROWS($V$2:V246),$V$2:$V$1001,0),1)&gt;=100000,INDEX($AC$1005:$AS$1005,1,MATCH(COLUMNS($AC$1006:AQ1006),$AC$1006:$AS$1006,0))&gt;=100000), " ",IF(INDEX($AC$2:$AS$1001,MATCH(ROWS($V$2:V246),$V$2:$V$1001,0),MATCH(COLUMNS($AC$1006:AQ1006),$AC$1006:$AS$1006,0)), HYPERLINK("#",""), HYPERLINK(CONCATENATE("#Metadata!", ADDRESS(INDEX($X$2:$X$1001,MATCH(ROWS($V$2:V246),$V$2:$V$1001,0),0), INDEX($AC$1004:$AS$1004,1,MATCH(COLUMNS($AC$1006:AQ1006),$AC$1006:$AS$1006,0)))),"Fix")))</f>
        <v>0</v>
      </c>
      <c r="Q246" s="5">
        <f>IF(OR(INDEX($W$2:$W$1001,MATCH(ROWS($V$2:V246),$V$2:$V$1001,0),1)&gt;=100000,INDEX($AC$1005:$AS$1005,1,MATCH(COLUMNS($AC$1006:AR1006),$AC$1006:$AS$1006,0))&gt;=100000), " ",IF(INDEX($AC$2:$AS$1001,MATCH(ROWS($V$2:V246),$V$2:$V$1001,0),MATCH(COLUMNS($AC$1006:AR1006),$AC$1006:$AS$1006,0)), HYPERLINK("#",""), HYPERLINK(CONCATENATE("#Metadata!", ADDRESS(INDEX($X$2:$X$1001,MATCH(ROWS($V$2:V246),$V$2:$V$1001,0),0), INDEX($AC$1004:$AS$1004,1,MATCH(COLUMNS($AC$1006:AR1006),$AC$1006:$AS$1006,0)))),"Fix")))</f>
        <v>0</v>
      </c>
      <c r="R246" s="5">
        <f>IF(OR(INDEX($W$2:$W$1001,MATCH(ROWS($V$2:V246),$V$2:$V$1001,0),1)&gt;=100000,INDEX($AC$1005:$AS$1005,1,MATCH(COLUMNS($AC$1006:AS1006),$AC$1006:$AS$1006,0))&gt;=100000), " ",IF(INDEX($AC$2:$AS$1001,MATCH(ROWS($V$2:V246),$V$2:$V$1001,0),MATCH(COLUMNS($AC$1006:AS1006),$AC$1006:$AS$1006,0)), HYPERLINK("#",""), HYPERLINK(CONCATENATE("#Metadata!", ADDRESS(INDEX($X$2:$X$1001,MATCH(ROWS($V$2:V246),$V$2:$V$1001,0),0), INDEX($AC$1004:$AS$1004,1,MATCH(COLUMNS($AC$1006:AS1006),$AC$1006:$AS$1006,0)))),"Fix")))</f>
        <v>0</v>
      </c>
      <c r="V246">
        <v>0</v>
      </c>
      <c r="W246">
        <v>0</v>
      </c>
      <c r="X246">
        <v>0</v>
      </c>
      <c r="Y246">
        <f>IF(Z246,TRUE,AND(AC246:AS246))</f>
        <v>0</v>
      </c>
      <c r="Z246">
        <f>COUNTBLANK(Metadata!B246:R246)=COLUMNS(Metadata!B246:R246)</f>
        <v>0</v>
      </c>
      <c r="AA246">
        <v>0</v>
      </c>
      <c r="AC246">
        <f>AND(IF(Metadata!B246="",FALSE,TRUE),COUNTIF(Metadata!B:B, Metadata!B246) = 1,NOT(ISERROR(SUMPRODUCT(SEARCH(MID(Metadata!B246,ROW(INDIRECT("1:"&amp;LEN(Metadata!B246))), 1),"0123456789abcdefghijklmnopqrstuvwxyzABCDEFGHIJKLMNOPQRSTUVWXYZ.")))))</f>
        <v>0</v>
      </c>
      <c r="AD246">
        <f>AND(IF(Metadata!C246="",FALSE,TRUE),exact(Metadata!C246,"Host-associated"))</f>
        <v>0</v>
      </c>
      <c r="AE246">
        <f>AND(IF(Metadata!D246="",FALSE,TRUE),OR(exact(Metadata!D246,"Animal"),exact(Metadata!D246,"Fungus"),exact(Metadata!D246,"Plant")))</f>
        <v>0</v>
      </c>
      <c r="AF246">
        <f>AND(IF(Metadata!E246="",FALSE,TRUE),OR(exact(Metadata!E246,"Plant secretion"),exact(Metadata!E246,"Plant rhizosphere"),exact(Metadata!E246,"Plant surface"),exact(Metadata!E246,"Plant corpus"),exact(Metadata!E246,"Fungus surface"),exact(Metadata!E246,"Fungus corpus"),exact(Metadata!E246,"Animal surface"),exact(Metadata!E246,"Animal proximal gut"),exact(Metadata!E246,"Animal corpus"),exact(Metadata!E246,"Animal distal gut"),exact(Metadata!E246,"Animal secretion")))</f>
        <v>0</v>
      </c>
      <c r="AG246">
        <f>OR(AND(IF(Metadata!F246="",FALSE,TRUE),OR(exact(Metadata!F246,"not collected"),exact(Metadata!F246,"not provided"),exact(Metadata!F246,"restricted access"))),AND(IF(Metadata!F246="",FALSE,TRUE),OR(exact(Metadata!F246,"organism-associated habitat"),exact(Metadata!F246,"plant-associated habitat"),exact(Metadata!F246,"animal-associated habitat"),exact(Metadata!F246,"insecta-associated habitat"),exact(Metadata!F246,"mammalia-associated habitat"),exact(Metadata!F246,"human-associated habitat"),exact(Metadata!F246,"livestock-associated habitat"))))</f>
        <v>0</v>
      </c>
      <c r="AH246">
        <f>AND(IF(Metadata!G246="",FALSE,TRUE),exact(Metadata!G246,"host-associated"))</f>
        <v>0</v>
      </c>
      <c r="AI246">
        <f>OR(AND(IF(Metadata!H246="",FALSE,TRUE),OR(exact(Metadata!H246,"not collected"),exact(Metadata!H246,"not provided"))),AND(IF(Metadata!H246="",FALSE,ISNUMBER(VALUE(Metadata!H246))),Metadata!H246&gt;0))</f>
        <v>0</v>
      </c>
      <c r="AJ246">
        <f>AND(IF(Metadata!I246="",FALSE,TRUE),exact(Metadata!I246,"years"))</f>
        <v>0</v>
      </c>
      <c r="AK246">
        <f>IF(Metadata!J246="",FALSE,TRUE)</f>
        <v>0</v>
      </c>
      <c r="AL246">
        <f>OR(AND(IF(Metadata!K246="",FALSE,TRUE),OR(exact(Metadata!K246,"not collected"),exact(Metadata!K246,"not provided"))),AND(IF(Metadata!K246="",FALSE,ISNUMBER(VALUE(Metadata!K246))),Metadata!K246&gt;0))</f>
        <v>0</v>
      </c>
      <c r="AM246">
        <f>AND(IF(Metadata!L246="",FALSE,TRUE),exact(Metadata!L246,"cm"))</f>
        <v>0</v>
      </c>
      <c r="AN246">
        <f>IF(Metadata!M246="",FALSE,TRUE)</f>
        <v>0</v>
      </c>
      <c r="AO246">
        <f>OR(AND(IF(Metadata!N246="",FALSE,TRUE),OR(exact(Metadata!N246,"not applicable"),exact(Metadata!N246,"not collected"),exact(Metadata!N246,"not provided"))),AND(IF(Metadata!N246="",FALSE,IF(ISERROR(INT(Metadata!N246)),FALSE,INT(Metadata!N246)=Metadata!N246)),Metadata!N246&gt;0))</f>
        <v>0</v>
      </c>
      <c r="AP246">
        <f>OR(AND(IF(Metadata!O246="",FALSE,TRUE),OR(exact(Metadata!O246,"not collected"),exact(Metadata!O246,"not provided"))),AND(IF(Metadata!O246="",FALSE,ISNUMBER(VALUE(Metadata!O246))),Metadata!O246&gt;0))</f>
        <v>0</v>
      </c>
      <c r="AQ246">
        <f>AND(IF(Metadata!P246="",FALSE,TRUE),exact(Metadata!P246,"kg"))</f>
        <v>0</v>
      </c>
      <c r="AR246">
        <f>OR(AND(IF(Metadata!Q246="",FALSE,TRUE),OR(exact(Metadata!Q246,"not applicable"),exact(Metadata!Q246,"not collected"),exact(Metadata!Q246,"not provided"),exact(Metadata!Q246,"restricted access"))),IF(Metadata!Q246="",FALSE,IF(ISERROR(INT(Metadata!Q246)),FALSE,INT(Metadata!Q246)=Metadata!Q246)))</f>
        <v>0</v>
      </c>
      <c r="AS246">
        <f>AND(IF(Metadata!R246="",FALSE,TRUE),exact(Metadata!R246,"Not applicable"))</f>
        <v>0</v>
      </c>
    </row>
    <row r="247" spans="1:45">
      <c r="A247" s="4">
        <f>IF(B247=" "," ",HYPERLINK(CONCATENATE("#metadata!",ADDRESS(INDEX($X$2:$X$1001,MATCH(ROWS($V$2:V247),$V$2:$V$1001,0),0),2)),INDEX($AA$2:$AA$1001,MATCH(ROWS($V$2:V247),$V$2:$V$1001,0),0)))</f>
        <v>0</v>
      </c>
      <c r="B247" s="5">
        <f>IF(OR(INDEX($W$2:$W$1001,MATCH(ROWS($V$2:V247),$V$2:$V$1001,0),1)&gt;=100000,INDEX($AC$1005:$AS$1005,1,MATCH(COLUMNS($AC$1006:AC1006),$AC$1006:$AS$1006,0))&gt;=100000), " ",IF(INDEX($AC$2:$AS$1001,MATCH(ROWS($V$2:V247),$V$2:$V$1001,0),MATCH(COLUMNS($AC$1006:AC1006),$AC$1006:$AS$1006,0)), HYPERLINK("#",""), HYPERLINK(CONCATENATE("#Metadata!", ADDRESS(INDEX($X$2:$X$1001,MATCH(ROWS($V$2:V247),$V$2:$V$1001,0),0), INDEX($AC$1004:$AS$1004,1,MATCH(COLUMNS($AC$1006:AC1006),$AC$1006:$AS$1006,0)))),"Fix")))</f>
        <v>0</v>
      </c>
      <c r="C247" s="5">
        <f>IF(OR(INDEX($W$2:$W$1001,MATCH(ROWS($V$2:V247),$V$2:$V$1001,0),1)&gt;=100000,INDEX($AC$1005:$AS$1005,1,MATCH(COLUMNS($AC$1006:AD1006),$AC$1006:$AS$1006,0))&gt;=100000), " ",IF(INDEX($AC$2:$AS$1001,MATCH(ROWS($V$2:V247),$V$2:$V$1001,0),MATCH(COLUMNS($AC$1006:AD1006),$AC$1006:$AS$1006,0)), HYPERLINK("#",""), HYPERLINK(CONCATENATE("#Metadata!", ADDRESS(INDEX($X$2:$X$1001,MATCH(ROWS($V$2:V247),$V$2:$V$1001,0),0), INDEX($AC$1004:$AS$1004,1,MATCH(COLUMNS($AC$1006:AD1006),$AC$1006:$AS$1006,0)))),"Fix")))</f>
        <v>0</v>
      </c>
      <c r="D247" s="5">
        <f>IF(OR(INDEX($W$2:$W$1001,MATCH(ROWS($V$2:V247),$V$2:$V$1001,0),1)&gt;=100000,INDEX($AC$1005:$AS$1005,1,MATCH(COLUMNS($AC$1006:AE1006),$AC$1006:$AS$1006,0))&gt;=100000), " ",IF(INDEX($AC$2:$AS$1001,MATCH(ROWS($V$2:V247),$V$2:$V$1001,0),MATCH(COLUMNS($AC$1006:AE1006),$AC$1006:$AS$1006,0)), HYPERLINK("#",""), HYPERLINK(CONCATENATE("#Metadata!", ADDRESS(INDEX($X$2:$X$1001,MATCH(ROWS($V$2:V247),$V$2:$V$1001,0),0), INDEX($AC$1004:$AS$1004,1,MATCH(COLUMNS($AC$1006:AE1006),$AC$1006:$AS$1006,0)))),"Fix")))</f>
        <v>0</v>
      </c>
      <c r="E247" s="5">
        <f>IF(OR(INDEX($W$2:$W$1001,MATCH(ROWS($V$2:V247),$V$2:$V$1001,0),1)&gt;=100000,INDEX($AC$1005:$AS$1005,1,MATCH(COLUMNS($AC$1006:AF1006),$AC$1006:$AS$1006,0))&gt;=100000), " ",IF(INDEX($AC$2:$AS$1001,MATCH(ROWS($V$2:V247),$V$2:$V$1001,0),MATCH(COLUMNS($AC$1006:AF1006),$AC$1006:$AS$1006,0)), HYPERLINK("#",""), HYPERLINK(CONCATENATE("#Metadata!", ADDRESS(INDEX($X$2:$X$1001,MATCH(ROWS($V$2:V247),$V$2:$V$1001,0),0), INDEX($AC$1004:$AS$1004,1,MATCH(COLUMNS($AC$1006:AF1006),$AC$1006:$AS$1006,0)))),"Fix")))</f>
        <v>0</v>
      </c>
      <c r="F247" s="5">
        <f>IF(OR(INDEX($W$2:$W$1001,MATCH(ROWS($V$2:V247),$V$2:$V$1001,0),1)&gt;=100000,INDEX($AC$1005:$AS$1005,1,MATCH(COLUMNS($AC$1006:AG1006),$AC$1006:$AS$1006,0))&gt;=100000), " ",IF(INDEX($AC$2:$AS$1001,MATCH(ROWS($V$2:V247),$V$2:$V$1001,0),MATCH(COLUMNS($AC$1006:AG1006),$AC$1006:$AS$1006,0)), HYPERLINK("#",""), HYPERLINK(CONCATENATE("#Metadata!", ADDRESS(INDEX($X$2:$X$1001,MATCH(ROWS($V$2:V247),$V$2:$V$1001,0),0), INDEX($AC$1004:$AS$1004,1,MATCH(COLUMNS($AC$1006:AG1006),$AC$1006:$AS$1006,0)))),"Fix")))</f>
        <v>0</v>
      </c>
      <c r="G247" s="5">
        <f>IF(OR(INDEX($W$2:$W$1001,MATCH(ROWS($V$2:V247),$V$2:$V$1001,0),1)&gt;=100000,INDEX($AC$1005:$AS$1005,1,MATCH(COLUMNS($AC$1006:AH1006),$AC$1006:$AS$1006,0))&gt;=100000), " ",IF(INDEX($AC$2:$AS$1001,MATCH(ROWS($V$2:V247),$V$2:$V$1001,0),MATCH(COLUMNS($AC$1006:AH1006),$AC$1006:$AS$1006,0)), HYPERLINK("#",""), HYPERLINK(CONCATENATE("#Metadata!", ADDRESS(INDEX($X$2:$X$1001,MATCH(ROWS($V$2:V247),$V$2:$V$1001,0),0), INDEX($AC$1004:$AS$1004,1,MATCH(COLUMNS($AC$1006:AH1006),$AC$1006:$AS$1006,0)))),"Fix")))</f>
        <v>0</v>
      </c>
      <c r="H247" s="5">
        <f>IF(OR(INDEX($W$2:$W$1001,MATCH(ROWS($V$2:V247),$V$2:$V$1001,0),1)&gt;=100000,INDEX($AC$1005:$AS$1005,1,MATCH(COLUMNS($AC$1006:AI1006),$AC$1006:$AS$1006,0))&gt;=100000), " ",IF(INDEX($AC$2:$AS$1001,MATCH(ROWS($V$2:V247),$V$2:$V$1001,0),MATCH(COLUMNS($AC$1006:AI1006),$AC$1006:$AS$1006,0)), HYPERLINK("#",""), HYPERLINK(CONCATENATE("#Metadata!", ADDRESS(INDEX($X$2:$X$1001,MATCH(ROWS($V$2:V247),$V$2:$V$1001,0),0), INDEX($AC$1004:$AS$1004,1,MATCH(COLUMNS($AC$1006:AI1006),$AC$1006:$AS$1006,0)))),"Fix")))</f>
        <v>0</v>
      </c>
      <c r="I247" s="5">
        <f>IF(OR(INDEX($W$2:$W$1001,MATCH(ROWS($V$2:V247),$V$2:$V$1001,0),1)&gt;=100000,INDEX($AC$1005:$AS$1005,1,MATCH(COLUMNS($AC$1006:AJ1006),$AC$1006:$AS$1006,0))&gt;=100000), " ",IF(INDEX($AC$2:$AS$1001,MATCH(ROWS($V$2:V247),$V$2:$V$1001,0),MATCH(COLUMNS($AC$1006:AJ1006),$AC$1006:$AS$1006,0)), HYPERLINK("#",""), HYPERLINK(CONCATENATE("#Metadata!", ADDRESS(INDEX($X$2:$X$1001,MATCH(ROWS($V$2:V247),$V$2:$V$1001,0),0), INDEX($AC$1004:$AS$1004,1,MATCH(COLUMNS($AC$1006:AJ1006),$AC$1006:$AS$1006,0)))),"Fix")))</f>
        <v>0</v>
      </c>
      <c r="J247" s="5">
        <f>IF(OR(INDEX($W$2:$W$1001,MATCH(ROWS($V$2:V247),$V$2:$V$1001,0),1)&gt;=100000,INDEX($AC$1005:$AS$1005,1,MATCH(COLUMNS($AC$1006:AK1006),$AC$1006:$AS$1006,0))&gt;=100000), " ",IF(INDEX($AC$2:$AS$1001,MATCH(ROWS($V$2:V247),$V$2:$V$1001,0),MATCH(COLUMNS($AC$1006:AK1006),$AC$1006:$AS$1006,0)), HYPERLINK("#",""), HYPERLINK(CONCATENATE("#Metadata!", ADDRESS(INDEX($X$2:$X$1001,MATCH(ROWS($V$2:V247),$V$2:$V$1001,0),0), INDEX($AC$1004:$AS$1004,1,MATCH(COLUMNS($AC$1006:AK1006),$AC$1006:$AS$1006,0)))),"Fix")))</f>
        <v>0</v>
      </c>
      <c r="K247" s="5">
        <f>IF(OR(INDEX($W$2:$W$1001,MATCH(ROWS($V$2:V247),$V$2:$V$1001,0),1)&gt;=100000,INDEX($AC$1005:$AS$1005,1,MATCH(COLUMNS($AC$1006:AL1006),$AC$1006:$AS$1006,0))&gt;=100000), " ",IF(INDEX($AC$2:$AS$1001,MATCH(ROWS($V$2:V247),$V$2:$V$1001,0),MATCH(COLUMNS($AC$1006:AL1006),$AC$1006:$AS$1006,0)), HYPERLINK("#",""), HYPERLINK(CONCATENATE("#Metadata!", ADDRESS(INDEX($X$2:$X$1001,MATCH(ROWS($V$2:V247),$V$2:$V$1001,0),0), INDEX($AC$1004:$AS$1004,1,MATCH(COLUMNS($AC$1006:AL1006),$AC$1006:$AS$1006,0)))),"Fix")))</f>
        <v>0</v>
      </c>
      <c r="L247" s="5">
        <f>IF(OR(INDEX($W$2:$W$1001,MATCH(ROWS($V$2:V247),$V$2:$V$1001,0),1)&gt;=100000,INDEX($AC$1005:$AS$1005,1,MATCH(COLUMNS($AC$1006:AM1006),$AC$1006:$AS$1006,0))&gt;=100000), " ",IF(INDEX($AC$2:$AS$1001,MATCH(ROWS($V$2:V247),$V$2:$V$1001,0),MATCH(COLUMNS($AC$1006:AM1006),$AC$1006:$AS$1006,0)), HYPERLINK("#",""), HYPERLINK(CONCATENATE("#Metadata!", ADDRESS(INDEX($X$2:$X$1001,MATCH(ROWS($V$2:V247),$V$2:$V$1001,0),0), INDEX($AC$1004:$AS$1004,1,MATCH(COLUMNS($AC$1006:AM1006),$AC$1006:$AS$1006,0)))),"Fix")))</f>
        <v>0</v>
      </c>
      <c r="M247" s="5">
        <f>IF(OR(INDEX($W$2:$W$1001,MATCH(ROWS($V$2:V247),$V$2:$V$1001,0),1)&gt;=100000,INDEX($AC$1005:$AS$1005,1,MATCH(COLUMNS($AC$1006:AN1006),$AC$1006:$AS$1006,0))&gt;=100000), " ",IF(INDEX($AC$2:$AS$1001,MATCH(ROWS($V$2:V247),$V$2:$V$1001,0),MATCH(COLUMNS($AC$1006:AN1006),$AC$1006:$AS$1006,0)), HYPERLINK("#",""), HYPERLINK(CONCATENATE("#Metadata!", ADDRESS(INDEX($X$2:$X$1001,MATCH(ROWS($V$2:V247),$V$2:$V$1001,0),0), INDEX($AC$1004:$AS$1004,1,MATCH(COLUMNS($AC$1006:AN1006),$AC$1006:$AS$1006,0)))),"Fix")))</f>
        <v>0</v>
      </c>
      <c r="N247" s="5">
        <f>IF(OR(INDEX($W$2:$W$1001,MATCH(ROWS($V$2:V247),$V$2:$V$1001,0),1)&gt;=100000,INDEX($AC$1005:$AS$1005,1,MATCH(COLUMNS($AC$1006:AO1006),$AC$1006:$AS$1006,0))&gt;=100000), " ",IF(INDEX($AC$2:$AS$1001,MATCH(ROWS($V$2:V247),$V$2:$V$1001,0),MATCH(COLUMNS($AC$1006:AO1006),$AC$1006:$AS$1006,0)), HYPERLINK("#",""), HYPERLINK(CONCATENATE("#Metadata!", ADDRESS(INDEX($X$2:$X$1001,MATCH(ROWS($V$2:V247),$V$2:$V$1001,0),0), INDEX($AC$1004:$AS$1004,1,MATCH(COLUMNS($AC$1006:AO1006),$AC$1006:$AS$1006,0)))),"Fix")))</f>
        <v>0</v>
      </c>
      <c r="O247" s="5">
        <f>IF(OR(INDEX($W$2:$W$1001,MATCH(ROWS($V$2:V247),$V$2:$V$1001,0),1)&gt;=100000,INDEX($AC$1005:$AS$1005,1,MATCH(COLUMNS($AC$1006:AP1006),$AC$1006:$AS$1006,0))&gt;=100000), " ",IF(INDEX($AC$2:$AS$1001,MATCH(ROWS($V$2:V247),$V$2:$V$1001,0),MATCH(COLUMNS($AC$1006:AP1006),$AC$1006:$AS$1006,0)), HYPERLINK("#",""), HYPERLINK(CONCATENATE("#Metadata!", ADDRESS(INDEX($X$2:$X$1001,MATCH(ROWS($V$2:V247),$V$2:$V$1001,0),0), INDEX($AC$1004:$AS$1004,1,MATCH(COLUMNS($AC$1006:AP1006),$AC$1006:$AS$1006,0)))),"Fix")))</f>
        <v>0</v>
      </c>
      <c r="P247" s="5">
        <f>IF(OR(INDEX($W$2:$W$1001,MATCH(ROWS($V$2:V247),$V$2:$V$1001,0),1)&gt;=100000,INDEX($AC$1005:$AS$1005,1,MATCH(COLUMNS($AC$1006:AQ1006),$AC$1006:$AS$1006,0))&gt;=100000), " ",IF(INDEX($AC$2:$AS$1001,MATCH(ROWS($V$2:V247),$V$2:$V$1001,0),MATCH(COLUMNS($AC$1006:AQ1006),$AC$1006:$AS$1006,0)), HYPERLINK("#",""), HYPERLINK(CONCATENATE("#Metadata!", ADDRESS(INDEX($X$2:$X$1001,MATCH(ROWS($V$2:V247),$V$2:$V$1001,0),0), INDEX($AC$1004:$AS$1004,1,MATCH(COLUMNS($AC$1006:AQ1006),$AC$1006:$AS$1006,0)))),"Fix")))</f>
        <v>0</v>
      </c>
      <c r="Q247" s="5">
        <f>IF(OR(INDEX($W$2:$W$1001,MATCH(ROWS($V$2:V247),$V$2:$V$1001,0),1)&gt;=100000,INDEX($AC$1005:$AS$1005,1,MATCH(COLUMNS($AC$1006:AR1006),$AC$1006:$AS$1006,0))&gt;=100000), " ",IF(INDEX($AC$2:$AS$1001,MATCH(ROWS($V$2:V247),$V$2:$V$1001,0),MATCH(COLUMNS($AC$1006:AR1006),$AC$1006:$AS$1006,0)), HYPERLINK("#",""), HYPERLINK(CONCATENATE("#Metadata!", ADDRESS(INDEX($X$2:$X$1001,MATCH(ROWS($V$2:V247),$V$2:$V$1001,0),0), INDEX($AC$1004:$AS$1004,1,MATCH(COLUMNS($AC$1006:AR1006),$AC$1006:$AS$1006,0)))),"Fix")))</f>
        <v>0</v>
      </c>
      <c r="R247" s="5">
        <f>IF(OR(INDEX($W$2:$W$1001,MATCH(ROWS($V$2:V247),$V$2:$V$1001,0),1)&gt;=100000,INDEX($AC$1005:$AS$1005,1,MATCH(COLUMNS($AC$1006:AS1006),$AC$1006:$AS$1006,0))&gt;=100000), " ",IF(INDEX($AC$2:$AS$1001,MATCH(ROWS($V$2:V247),$V$2:$V$1001,0),MATCH(COLUMNS($AC$1006:AS1006),$AC$1006:$AS$1006,0)), HYPERLINK("#",""), HYPERLINK(CONCATENATE("#Metadata!", ADDRESS(INDEX($X$2:$X$1001,MATCH(ROWS($V$2:V247),$V$2:$V$1001,0),0), INDEX($AC$1004:$AS$1004,1,MATCH(COLUMNS($AC$1006:AS1006),$AC$1006:$AS$1006,0)))),"Fix")))</f>
        <v>0</v>
      </c>
      <c r="V247">
        <v>0</v>
      </c>
      <c r="W247">
        <v>0</v>
      </c>
      <c r="X247">
        <v>0</v>
      </c>
      <c r="Y247">
        <f>IF(Z247,TRUE,AND(AC247:AS247))</f>
        <v>0</v>
      </c>
      <c r="Z247">
        <f>COUNTBLANK(Metadata!B247:R247)=COLUMNS(Metadata!B247:R247)</f>
        <v>0</v>
      </c>
      <c r="AA247">
        <v>0</v>
      </c>
      <c r="AC247">
        <f>AND(IF(Metadata!B247="",FALSE,TRUE),COUNTIF(Metadata!B:B, Metadata!B247) = 1,NOT(ISERROR(SUMPRODUCT(SEARCH(MID(Metadata!B247,ROW(INDIRECT("1:"&amp;LEN(Metadata!B247))), 1),"0123456789abcdefghijklmnopqrstuvwxyzABCDEFGHIJKLMNOPQRSTUVWXYZ.")))))</f>
        <v>0</v>
      </c>
      <c r="AD247">
        <f>AND(IF(Metadata!C247="",FALSE,TRUE),exact(Metadata!C247,"Host-associated"))</f>
        <v>0</v>
      </c>
      <c r="AE247">
        <f>AND(IF(Metadata!D247="",FALSE,TRUE),OR(exact(Metadata!D247,"Animal"),exact(Metadata!D247,"Fungus"),exact(Metadata!D247,"Plant")))</f>
        <v>0</v>
      </c>
      <c r="AF247">
        <f>AND(IF(Metadata!E247="",FALSE,TRUE),OR(exact(Metadata!E247,"Plant secretion"),exact(Metadata!E247,"Plant rhizosphere"),exact(Metadata!E247,"Plant surface"),exact(Metadata!E247,"Plant corpus"),exact(Metadata!E247,"Fungus surface"),exact(Metadata!E247,"Fungus corpus"),exact(Metadata!E247,"Animal surface"),exact(Metadata!E247,"Animal proximal gut"),exact(Metadata!E247,"Animal corpus"),exact(Metadata!E247,"Animal distal gut"),exact(Metadata!E247,"Animal secretion")))</f>
        <v>0</v>
      </c>
      <c r="AG247">
        <f>OR(AND(IF(Metadata!F247="",FALSE,TRUE),OR(exact(Metadata!F247,"not collected"),exact(Metadata!F247,"not provided"),exact(Metadata!F247,"restricted access"))),AND(IF(Metadata!F247="",FALSE,TRUE),OR(exact(Metadata!F247,"organism-associated habitat"),exact(Metadata!F247,"plant-associated habitat"),exact(Metadata!F247,"animal-associated habitat"),exact(Metadata!F247,"insecta-associated habitat"),exact(Metadata!F247,"mammalia-associated habitat"),exact(Metadata!F247,"human-associated habitat"),exact(Metadata!F247,"livestock-associated habitat"))))</f>
        <v>0</v>
      </c>
      <c r="AH247">
        <f>AND(IF(Metadata!G247="",FALSE,TRUE),exact(Metadata!G247,"host-associated"))</f>
        <v>0</v>
      </c>
      <c r="AI247">
        <f>OR(AND(IF(Metadata!H247="",FALSE,TRUE),OR(exact(Metadata!H247,"not collected"),exact(Metadata!H247,"not provided"))),AND(IF(Metadata!H247="",FALSE,ISNUMBER(VALUE(Metadata!H247))),Metadata!H247&gt;0))</f>
        <v>0</v>
      </c>
      <c r="AJ247">
        <f>AND(IF(Metadata!I247="",FALSE,TRUE),exact(Metadata!I247,"years"))</f>
        <v>0</v>
      </c>
      <c r="AK247">
        <f>IF(Metadata!J247="",FALSE,TRUE)</f>
        <v>0</v>
      </c>
      <c r="AL247">
        <f>OR(AND(IF(Metadata!K247="",FALSE,TRUE),OR(exact(Metadata!K247,"not collected"),exact(Metadata!K247,"not provided"))),AND(IF(Metadata!K247="",FALSE,ISNUMBER(VALUE(Metadata!K247))),Metadata!K247&gt;0))</f>
        <v>0</v>
      </c>
      <c r="AM247">
        <f>AND(IF(Metadata!L247="",FALSE,TRUE),exact(Metadata!L247,"cm"))</f>
        <v>0</v>
      </c>
      <c r="AN247">
        <f>IF(Metadata!M247="",FALSE,TRUE)</f>
        <v>0</v>
      </c>
      <c r="AO247">
        <f>OR(AND(IF(Metadata!N247="",FALSE,TRUE),OR(exact(Metadata!N247,"not applicable"),exact(Metadata!N247,"not collected"),exact(Metadata!N247,"not provided"))),AND(IF(Metadata!N247="",FALSE,IF(ISERROR(INT(Metadata!N247)),FALSE,INT(Metadata!N247)=Metadata!N247)),Metadata!N247&gt;0))</f>
        <v>0</v>
      </c>
      <c r="AP247">
        <f>OR(AND(IF(Metadata!O247="",FALSE,TRUE),OR(exact(Metadata!O247,"not collected"),exact(Metadata!O247,"not provided"))),AND(IF(Metadata!O247="",FALSE,ISNUMBER(VALUE(Metadata!O247))),Metadata!O247&gt;0))</f>
        <v>0</v>
      </c>
      <c r="AQ247">
        <f>AND(IF(Metadata!P247="",FALSE,TRUE),exact(Metadata!P247,"kg"))</f>
        <v>0</v>
      </c>
      <c r="AR247">
        <f>OR(AND(IF(Metadata!Q247="",FALSE,TRUE),OR(exact(Metadata!Q247,"not applicable"),exact(Metadata!Q247,"not collected"),exact(Metadata!Q247,"not provided"),exact(Metadata!Q247,"restricted access"))),IF(Metadata!Q247="",FALSE,IF(ISERROR(INT(Metadata!Q247)),FALSE,INT(Metadata!Q247)=Metadata!Q247)))</f>
        <v>0</v>
      </c>
      <c r="AS247">
        <f>AND(IF(Metadata!R247="",FALSE,TRUE),exact(Metadata!R247,"Not applicable"))</f>
        <v>0</v>
      </c>
    </row>
    <row r="248" spans="1:45">
      <c r="A248" s="4">
        <f>IF(B248=" "," ",HYPERLINK(CONCATENATE("#metadata!",ADDRESS(INDEX($X$2:$X$1001,MATCH(ROWS($V$2:V248),$V$2:$V$1001,0),0),2)),INDEX($AA$2:$AA$1001,MATCH(ROWS($V$2:V248),$V$2:$V$1001,0),0)))</f>
        <v>0</v>
      </c>
      <c r="B248" s="5">
        <f>IF(OR(INDEX($W$2:$W$1001,MATCH(ROWS($V$2:V248),$V$2:$V$1001,0),1)&gt;=100000,INDEX($AC$1005:$AS$1005,1,MATCH(COLUMNS($AC$1006:AC1006),$AC$1006:$AS$1006,0))&gt;=100000), " ",IF(INDEX($AC$2:$AS$1001,MATCH(ROWS($V$2:V248),$V$2:$V$1001,0),MATCH(COLUMNS($AC$1006:AC1006),$AC$1006:$AS$1006,0)), HYPERLINK("#",""), HYPERLINK(CONCATENATE("#Metadata!", ADDRESS(INDEX($X$2:$X$1001,MATCH(ROWS($V$2:V248),$V$2:$V$1001,0),0), INDEX($AC$1004:$AS$1004,1,MATCH(COLUMNS($AC$1006:AC1006),$AC$1006:$AS$1006,0)))),"Fix")))</f>
        <v>0</v>
      </c>
      <c r="C248" s="5">
        <f>IF(OR(INDEX($W$2:$W$1001,MATCH(ROWS($V$2:V248),$V$2:$V$1001,0),1)&gt;=100000,INDEX($AC$1005:$AS$1005,1,MATCH(COLUMNS($AC$1006:AD1006),$AC$1006:$AS$1006,0))&gt;=100000), " ",IF(INDEX($AC$2:$AS$1001,MATCH(ROWS($V$2:V248),$V$2:$V$1001,0),MATCH(COLUMNS($AC$1006:AD1006),$AC$1006:$AS$1006,0)), HYPERLINK("#",""), HYPERLINK(CONCATENATE("#Metadata!", ADDRESS(INDEX($X$2:$X$1001,MATCH(ROWS($V$2:V248),$V$2:$V$1001,0),0), INDEX($AC$1004:$AS$1004,1,MATCH(COLUMNS($AC$1006:AD1006),$AC$1006:$AS$1006,0)))),"Fix")))</f>
        <v>0</v>
      </c>
      <c r="D248" s="5">
        <f>IF(OR(INDEX($W$2:$W$1001,MATCH(ROWS($V$2:V248),$V$2:$V$1001,0),1)&gt;=100000,INDEX($AC$1005:$AS$1005,1,MATCH(COLUMNS($AC$1006:AE1006),$AC$1006:$AS$1006,0))&gt;=100000), " ",IF(INDEX($AC$2:$AS$1001,MATCH(ROWS($V$2:V248),$V$2:$V$1001,0),MATCH(COLUMNS($AC$1006:AE1006),$AC$1006:$AS$1006,0)), HYPERLINK("#",""), HYPERLINK(CONCATENATE("#Metadata!", ADDRESS(INDEX($X$2:$X$1001,MATCH(ROWS($V$2:V248),$V$2:$V$1001,0),0), INDEX($AC$1004:$AS$1004,1,MATCH(COLUMNS($AC$1006:AE1006),$AC$1006:$AS$1006,0)))),"Fix")))</f>
        <v>0</v>
      </c>
      <c r="E248" s="5">
        <f>IF(OR(INDEX($W$2:$W$1001,MATCH(ROWS($V$2:V248),$V$2:$V$1001,0),1)&gt;=100000,INDEX($AC$1005:$AS$1005,1,MATCH(COLUMNS($AC$1006:AF1006),$AC$1006:$AS$1006,0))&gt;=100000), " ",IF(INDEX($AC$2:$AS$1001,MATCH(ROWS($V$2:V248),$V$2:$V$1001,0),MATCH(COLUMNS($AC$1006:AF1006),$AC$1006:$AS$1006,0)), HYPERLINK("#",""), HYPERLINK(CONCATENATE("#Metadata!", ADDRESS(INDEX($X$2:$X$1001,MATCH(ROWS($V$2:V248),$V$2:$V$1001,0),0), INDEX($AC$1004:$AS$1004,1,MATCH(COLUMNS($AC$1006:AF1006),$AC$1006:$AS$1006,0)))),"Fix")))</f>
        <v>0</v>
      </c>
      <c r="F248" s="5">
        <f>IF(OR(INDEX($W$2:$W$1001,MATCH(ROWS($V$2:V248),$V$2:$V$1001,0),1)&gt;=100000,INDEX($AC$1005:$AS$1005,1,MATCH(COLUMNS($AC$1006:AG1006),$AC$1006:$AS$1006,0))&gt;=100000), " ",IF(INDEX($AC$2:$AS$1001,MATCH(ROWS($V$2:V248),$V$2:$V$1001,0),MATCH(COLUMNS($AC$1006:AG1006),$AC$1006:$AS$1006,0)), HYPERLINK("#",""), HYPERLINK(CONCATENATE("#Metadata!", ADDRESS(INDEX($X$2:$X$1001,MATCH(ROWS($V$2:V248),$V$2:$V$1001,0),0), INDEX($AC$1004:$AS$1004,1,MATCH(COLUMNS($AC$1006:AG1006),$AC$1006:$AS$1006,0)))),"Fix")))</f>
        <v>0</v>
      </c>
      <c r="G248" s="5">
        <f>IF(OR(INDEX($W$2:$W$1001,MATCH(ROWS($V$2:V248),$V$2:$V$1001,0),1)&gt;=100000,INDEX($AC$1005:$AS$1005,1,MATCH(COLUMNS($AC$1006:AH1006),$AC$1006:$AS$1006,0))&gt;=100000), " ",IF(INDEX($AC$2:$AS$1001,MATCH(ROWS($V$2:V248),$V$2:$V$1001,0),MATCH(COLUMNS($AC$1006:AH1006),$AC$1006:$AS$1006,0)), HYPERLINK("#",""), HYPERLINK(CONCATENATE("#Metadata!", ADDRESS(INDEX($X$2:$X$1001,MATCH(ROWS($V$2:V248),$V$2:$V$1001,0),0), INDEX($AC$1004:$AS$1004,1,MATCH(COLUMNS($AC$1006:AH1006),$AC$1006:$AS$1006,0)))),"Fix")))</f>
        <v>0</v>
      </c>
      <c r="H248" s="5">
        <f>IF(OR(INDEX($W$2:$W$1001,MATCH(ROWS($V$2:V248),$V$2:$V$1001,0),1)&gt;=100000,INDEX($AC$1005:$AS$1005,1,MATCH(COLUMNS($AC$1006:AI1006),$AC$1006:$AS$1006,0))&gt;=100000), " ",IF(INDEX($AC$2:$AS$1001,MATCH(ROWS($V$2:V248),$V$2:$V$1001,0),MATCH(COLUMNS($AC$1006:AI1006),$AC$1006:$AS$1006,0)), HYPERLINK("#",""), HYPERLINK(CONCATENATE("#Metadata!", ADDRESS(INDEX($X$2:$X$1001,MATCH(ROWS($V$2:V248),$V$2:$V$1001,0),0), INDEX($AC$1004:$AS$1004,1,MATCH(COLUMNS($AC$1006:AI1006),$AC$1006:$AS$1006,0)))),"Fix")))</f>
        <v>0</v>
      </c>
      <c r="I248" s="5">
        <f>IF(OR(INDEX($W$2:$W$1001,MATCH(ROWS($V$2:V248),$V$2:$V$1001,0),1)&gt;=100000,INDEX($AC$1005:$AS$1005,1,MATCH(COLUMNS($AC$1006:AJ1006),$AC$1006:$AS$1006,0))&gt;=100000), " ",IF(INDEX($AC$2:$AS$1001,MATCH(ROWS($V$2:V248),$V$2:$V$1001,0),MATCH(COLUMNS($AC$1006:AJ1006),$AC$1006:$AS$1006,0)), HYPERLINK("#",""), HYPERLINK(CONCATENATE("#Metadata!", ADDRESS(INDEX($X$2:$X$1001,MATCH(ROWS($V$2:V248),$V$2:$V$1001,0),0), INDEX($AC$1004:$AS$1004,1,MATCH(COLUMNS($AC$1006:AJ1006),$AC$1006:$AS$1006,0)))),"Fix")))</f>
        <v>0</v>
      </c>
      <c r="J248" s="5">
        <f>IF(OR(INDEX($W$2:$W$1001,MATCH(ROWS($V$2:V248),$V$2:$V$1001,0),1)&gt;=100000,INDEX($AC$1005:$AS$1005,1,MATCH(COLUMNS($AC$1006:AK1006),$AC$1006:$AS$1006,0))&gt;=100000), " ",IF(INDEX($AC$2:$AS$1001,MATCH(ROWS($V$2:V248),$V$2:$V$1001,0),MATCH(COLUMNS($AC$1006:AK1006),$AC$1006:$AS$1006,0)), HYPERLINK("#",""), HYPERLINK(CONCATENATE("#Metadata!", ADDRESS(INDEX($X$2:$X$1001,MATCH(ROWS($V$2:V248),$V$2:$V$1001,0),0), INDEX($AC$1004:$AS$1004,1,MATCH(COLUMNS($AC$1006:AK1006),$AC$1006:$AS$1006,0)))),"Fix")))</f>
        <v>0</v>
      </c>
      <c r="K248" s="5">
        <f>IF(OR(INDEX($W$2:$W$1001,MATCH(ROWS($V$2:V248),$V$2:$V$1001,0),1)&gt;=100000,INDEX($AC$1005:$AS$1005,1,MATCH(COLUMNS($AC$1006:AL1006),$AC$1006:$AS$1006,0))&gt;=100000), " ",IF(INDEX($AC$2:$AS$1001,MATCH(ROWS($V$2:V248),$V$2:$V$1001,0),MATCH(COLUMNS($AC$1006:AL1006),$AC$1006:$AS$1006,0)), HYPERLINK("#",""), HYPERLINK(CONCATENATE("#Metadata!", ADDRESS(INDEX($X$2:$X$1001,MATCH(ROWS($V$2:V248),$V$2:$V$1001,0),0), INDEX($AC$1004:$AS$1004,1,MATCH(COLUMNS($AC$1006:AL1006),$AC$1006:$AS$1006,0)))),"Fix")))</f>
        <v>0</v>
      </c>
      <c r="L248" s="5">
        <f>IF(OR(INDEX($W$2:$W$1001,MATCH(ROWS($V$2:V248),$V$2:$V$1001,0),1)&gt;=100000,INDEX($AC$1005:$AS$1005,1,MATCH(COLUMNS($AC$1006:AM1006),$AC$1006:$AS$1006,0))&gt;=100000), " ",IF(INDEX($AC$2:$AS$1001,MATCH(ROWS($V$2:V248),$V$2:$V$1001,0),MATCH(COLUMNS($AC$1006:AM1006),$AC$1006:$AS$1006,0)), HYPERLINK("#",""), HYPERLINK(CONCATENATE("#Metadata!", ADDRESS(INDEX($X$2:$X$1001,MATCH(ROWS($V$2:V248),$V$2:$V$1001,0),0), INDEX($AC$1004:$AS$1004,1,MATCH(COLUMNS($AC$1006:AM1006),$AC$1006:$AS$1006,0)))),"Fix")))</f>
        <v>0</v>
      </c>
      <c r="M248" s="5">
        <f>IF(OR(INDEX($W$2:$W$1001,MATCH(ROWS($V$2:V248),$V$2:$V$1001,0),1)&gt;=100000,INDEX($AC$1005:$AS$1005,1,MATCH(COLUMNS($AC$1006:AN1006),$AC$1006:$AS$1006,0))&gt;=100000), " ",IF(INDEX($AC$2:$AS$1001,MATCH(ROWS($V$2:V248),$V$2:$V$1001,0),MATCH(COLUMNS($AC$1006:AN1006),$AC$1006:$AS$1006,0)), HYPERLINK("#",""), HYPERLINK(CONCATENATE("#Metadata!", ADDRESS(INDEX($X$2:$X$1001,MATCH(ROWS($V$2:V248),$V$2:$V$1001,0),0), INDEX($AC$1004:$AS$1004,1,MATCH(COLUMNS($AC$1006:AN1006),$AC$1006:$AS$1006,0)))),"Fix")))</f>
        <v>0</v>
      </c>
      <c r="N248" s="5">
        <f>IF(OR(INDEX($W$2:$W$1001,MATCH(ROWS($V$2:V248),$V$2:$V$1001,0),1)&gt;=100000,INDEX($AC$1005:$AS$1005,1,MATCH(COLUMNS($AC$1006:AO1006),$AC$1006:$AS$1006,0))&gt;=100000), " ",IF(INDEX($AC$2:$AS$1001,MATCH(ROWS($V$2:V248),$V$2:$V$1001,0),MATCH(COLUMNS($AC$1006:AO1006),$AC$1006:$AS$1006,0)), HYPERLINK("#",""), HYPERLINK(CONCATENATE("#Metadata!", ADDRESS(INDEX($X$2:$X$1001,MATCH(ROWS($V$2:V248),$V$2:$V$1001,0),0), INDEX($AC$1004:$AS$1004,1,MATCH(COLUMNS($AC$1006:AO1006),$AC$1006:$AS$1006,0)))),"Fix")))</f>
        <v>0</v>
      </c>
      <c r="O248" s="5">
        <f>IF(OR(INDEX($W$2:$W$1001,MATCH(ROWS($V$2:V248),$V$2:$V$1001,0),1)&gt;=100000,INDEX($AC$1005:$AS$1005,1,MATCH(COLUMNS($AC$1006:AP1006),$AC$1006:$AS$1006,0))&gt;=100000), " ",IF(INDEX($AC$2:$AS$1001,MATCH(ROWS($V$2:V248),$V$2:$V$1001,0),MATCH(COLUMNS($AC$1006:AP1006),$AC$1006:$AS$1006,0)), HYPERLINK("#",""), HYPERLINK(CONCATENATE("#Metadata!", ADDRESS(INDEX($X$2:$X$1001,MATCH(ROWS($V$2:V248),$V$2:$V$1001,0),0), INDEX($AC$1004:$AS$1004,1,MATCH(COLUMNS($AC$1006:AP1006),$AC$1006:$AS$1006,0)))),"Fix")))</f>
        <v>0</v>
      </c>
      <c r="P248" s="5">
        <f>IF(OR(INDEX($W$2:$W$1001,MATCH(ROWS($V$2:V248),$V$2:$V$1001,0),1)&gt;=100000,INDEX($AC$1005:$AS$1005,1,MATCH(COLUMNS($AC$1006:AQ1006),$AC$1006:$AS$1006,0))&gt;=100000), " ",IF(INDEX($AC$2:$AS$1001,MATCH(ROWS($V$2:V248),$V$2:$V$1001,0),MATCH(COLUMNS($AC$1006:AQ1006),$AC$1006:$AS$1006,0)), HYPERLINK("#",""), HYPERLINK(CONCATENATE("#Metadata!", ADDRESS(INDEX($X$2:$X$1001,MATCH(ROWS($V$2:V248),$V$2:$V$1001,0),0), INDEX($AC$1004:$AS$1004,1,MATCH(COLUMNS($AC$1006:AQ1006),$AC$1006:$AS$1006,0)))),"Fix")))</f>
        <v>0</v>
      </c>
      <c r="Q248" s="5">
        <f>IF(OR(INDEX($W$2:$W$1001,MATCH(ROWS($V$2:V248),$V$2:$V$1001,0),1)&gt;=100000,INDEX($AC$1005:$AS$1005,1,MATCH(COLUMNS($AC$1006:AR1006),$AC$1006:$AS$1006,0))&gt;=100000), " ",IF(INDEX($AC$2:$AS$1001,MATCH(ROWS($V$2:V248),$V$2:$V$1001,0),MATCH(COLUMNS($AC$1006:AR1006),$AC$1006:$AS$1006,0)), HYPERLINK("#",""), HYPERLINK(CONCATENATE("#Metadata!", ADDRESS(INDEX($X$2:$X$1001,MATCH(ROWS($V$2:V248),$V$2:$V$1001,0),0), INDEX($AC$1004:$AS$1004,1,MATCH(COLUMNS($AC$1006:AR1006),$AC$1006:$AS$1006,0)))),"Fix")))</f>
        <v>0</v>
      </c>
      <c r="R248" s="5">
        <f>IF(OR(INDEX($W$2:$W$1001,MATCH(ROWS($V$2:V248),$V$2:$V$1001,0),1)&gt;=100000,INDEX($AC$1005:$AS$1005,1,MATCH(COLUMNS($AC$1006:AS1006),$AC$1006:$AS$1006,0))&gt;=100000), " ",IF(INDEX($AC$2:$AS$1001,MATCH(ROWS($V$2:V248),$V$2:$V$1001,0),MATCH(COLUMNS($AC$1006:AS1006),$AC$1006:$AS$1006,0)), HYPERLINK("#",""), HYPERLINK(CONCATENATE("#Metadata!", ADDRESS(INDEX($X$2:$X$1001,MATCH(ROWS($V$2:V248),$V$2:$V$1001,0),0), INDEX($AC$1004:$AS$1004,1,MATCH(COLUMNS($AC$1006:AS1006),$AC$1006:$AS$1006,0)))),"Fix")))</f>
        <v>0</v>
      </c>
      <c r="V248">
        <v>0</v>
      </c>
      <c r="W248">
        <v>0</v>
      </c>
      <c r="X248">
        <v>0</v>
      </c>
      <c r="Y248">
        <f>IF(Z248,TRUE,AND(AC248:AS248))</f>
        <v>0</v>
      </c>
      <c r="Z248">
        <f>COUNTBLANK(Metadata!B248:R248)=COLUMNS(Metadata!B248:R248)</f>
        <v>0</v>
      </c>
      <c r="AA248">
        <v>0</v>
      </c>
      <c r="AC248">
        <f>AND(IF(Metadata!B248="",FALSE,TRUE),COUNTIF(Metadata!B:B, Metadata!B248) = 1,NOT(ISERROR(SUMPRODUCT(SEARCH(MID(Metadata!B248,ROW(INDIRECT("1:"&amp;LEN(Metadata!B248))), 1),"0123456789abcdefghijklmnopqrstuvwxyzABCDEFGHIJKLMNOPQRSTUVWXYZ.")))))</f>
        <v>0</v>
      </c>
      <c r="AD248">
        <f>AND(IF(Metadata!C248="",FALSE,TRUE),exact(Metadata!C248,"Host-associated"))</f>
        <v>0</v>
      </c>
      <c r="AE248">
        <f>AND(IF(Metadata!D248="",FALSE,TRUE),OR(exact(Metadata!D248,"Animal"),exact(Metadata!D248,"Fungus"),exact(Metadata!D248,"Plant")))</f>
        <v>0</v>
      </c>
      <c r="AF248">
        <f>AND(IF(Metadata!E248="",FALSE,TRUE),OR(exact(Metadata!E248,"Plant secretion"),exact(Metadata!E248,"Plant rhizosphere"),exact(Metadata!E248,"Plant surface"),exact(Metadata!E248,"Plant corpus"),exact(Metadata!E248,"Fungus surface"),exact(Metadata!E248,"Fungus corpus"),exact(Metadata!E248,"Animal surface"),exact(Metadata!E248,"Animal proximal gut"),exact(Metadata!E248,"Animal corpus"),exact(Metadata!E248,"Animal distal gut"),exact(Metadata!E248,"Animal secretion")))</f>
        <v>0</v>
      </c>
      <c r="AG248">
        <f>OR(AND(IF(Metadata!F248="",FALSE,TRUE),OR(exact(Metadata!F248,"not collected"),exact(Metadata!F248,"not provided"),exact(Metadata!F248,"restricted access"))),AND(IF(Metadata!F248="",FALSE,TRUE),OR(exact(Metadata!F248,"organism-associated habitat"),exact(Metadata!F248,"plant-associated habitat"),exact(Metadata!F248,"animal-associated habitat"),exact(Metadata!F248,"insecta-associated habitat"),exact(Metadata!F248,"mammalia-associated habitat"),exact(Metadata!F248,"human-associated habitat"),exact(Metadata!F248,"livestock-associated habitat"))))</f>
        <v>0</v>
      </c>
      <c r="AH248">
        <f>AND(IF(Metadata!G248="",FALSE,TRUE),exact(Metadata!G248,"host-associated"))</f>
        <v>0</v>
      </c>
      <c r="AI248">
        <f>OR(AND(IF(Metadata!H248="",FALSE,TRUE),OR(exact(Metadata!H248,"not collected"),exact(Metadata!H248,"not provided"))),AND(IF(Metadata!H248="",FALSE,ISNUMBER(VALUE(Metadata!H248))),Metadata!H248&gt;0))</f>
        <v>0</v>
      </c>
      <c r="AJ248">
        <f>AND(IF(Metadata!I248="",FALSE,TRUE),exact(Metadata!I248,"years"))</f>
        <v>0</v>
      </c>
      <c r="AK248">
        <f>IF(Metadata!J248="",FALSE,TRUE)</f>
        <v>0</v>
      </c>
      <c r="AL248">
        <f>OR(AND(IF(Metadata!K248="",FALSE,TRUE),OR(exact(Metadata!K248,"not collected"),exact(Metadata!K248,"not provided"))),AND(IF(Metadata!K248="",FALSE,ISNUMBER(VALUE(Metadata!K248))),Metadata!K248&gt;0))</f>
        <v>0</v>
      </c>
      <c r="AM248">
        <f>AND(IF(Metadata!L248="",FALSE,TRUE),exact(Metadata!L248,"cm"))</f>
        <v>0</v>
      </c>
      <c r="AN248">
        <f>IF(Metadata!M248="",FALSE,TRUE)</f>
        <v>0</v>
      </c>
      <c r="AO248">
        <f>OR(AND(IF(Metadata!N248="",FALSE,TRUE),OR(exact(Metadata!N248,"not applicable"),exact(Metadata!N248,"not collected"),exact(Metadata!N248,"not provided"))),AND(IF(Metadata!N248="",FALSE,IF(ISERROR(INT(Metadata!N248)),FALSE,INT(Metadata!N248)=Metadata!N248)),Metadata!N248&gt;0))</f>
        <v>0</v>
      </c>
      <c r="AP248">
        <f>OR(AND(IF(Metadata!O248="",FALSE,TRUE),OR(exact(Metadata!O248,"not collected"),exact(Metadata!O248,"not provided"))),AND(IF(Metadata!O248="",FALSE,ISNUMBER(VALUE(Metadata!O248))),Metadata!O248&gt;0))</f>
        <v>0</v>
      </c>
      <c r="AQ248">
        <f>AND(IF(Metadata!P248="",FALSE,TRUE),exact(Metadata!P248,"kg"))</f>
        <v>0</v>
      </c>
      <c r="AR248">
        <f>OR(AND(IF(Metadata!Q248="",FALSE,TRUE),OR(exact(Metadata!Q248,"not applicable"),exact(Metadata!Q248,"not collected"),exact(Metadata!Q248,"not provided"),exact(Metadata!Q248,"restricted access"))),IF(Metadata!Q248="",FALSE,IF(ISERROR(INT(Metadata!Q248)),FALSE,INT(Metadata!Q248)=Metadata!Q248)))</f>
        <v>0</v>
      </c>
      <c r="AS248">
        <f>AND(IF(Metadata!R248="",FALSE,TRUE),exact(Metadata!R248,"Not applicable"))</f>
        <v>0</v>
      </c>
    </row>
    <row r="249" spans="1:45">
      <c r="A249" s="4">
        <f>IF(B249=" "," ",HYPERLINK(CONCATENATE("#metadata!",ADDRESS(INDEX($X$2:$X$1001,MATCH(ROWS($V$2:V249),$V$2:$V$1001,0),0),2)),INDEX($AA$2:$AA$1001,MATCH(ROWS($V$2:V249),$V$2:$V$1001,0),0)))</f>
        <v>0</v>
      </c>
      <c r="B249" s="5">
        <f>IF(OR(INDEX($W$2:$W$1001,MATCH(ROWS($V$2:V249),$V$2:$V$1001,0),1)&gt;=100000,INDEX($AC$1005:$AS$1005,1,MATCH(COLUMNS($AC$1006:AC1006),$AC$1006:$AS$1006,0))&gt;=100000), " ",IF(INDEX($AC$2:$AS$1001,MATCH(ROWS($V$2:V249),$V$2:$V$1001,0),MATCH(COLUMNS($AC$1006:AC1006),$AC$1006:$AS$1006,0)), HYPERLINK("#",""), HYPERLINK(CONCATENATE("#Metadata!", ADDRESS(INDEX($X$2:$X$1001,MATCH(ROWS($V$2:V249),$V$2:$V$1001,0),0), INDEX($AC$1004:$AS$1004,1,MATCH(COLUMNS($AC$1006:AC1006),$AC$1006:$AS$1006,0)))),"Fix")))</f>
        <v>0</v>
      </c>
      <c r="C249" s="5">
        <f>IF(OR(INDEX($W$2:$W$1001,MATCH(ROWS($V$2:V249),$V$2:$V$1001,0),1)&gt;=100000,INDEX($AC$1005:$AS$1005,1,MATCH(COLUMNS($AC$1006:AD1006),$AC$1006:$AS$1006,0))&gt;=100000), " ",IF(INDEX($AC$2:$AS$1001,MATCH(ROWS($V$2:V249),$V$2:$V$1001,0),MATCH(COLUMNS($AC$1006:AD1006),$AC$1006:$AS$1006,0)), HYPERLINK("#",""), HYPERLINK(CONCATENATE("#Metadata!", ADDRESS(INDEX($X$2:$X$1001,MATCH(ROWS($V$2:V249),$V$2:$V$1001,0),0), INDEX($AC$1004:$AS$1004,1,MATCH(COLUMNS($AC$1006:AD1006),$AC$1006:$AS$1006,0)))),"Fix")))</f>
        <v>0</v>
      </c>
      <c r="D249" s="5">
        <f>IF(OR(INDEX($W$2:$W$1001,MATCH(ROWS($V$2:V249),$V$2:$V$1001,0),1)&gt;=100000,INDEX($AC$1005:$AS$1005,1,MATCH(COLUMNS($AC$1006:AE1006),$AC$1006:$AS$1006,0))&gt;=100000), " ",IF(INDEX($AC$2:$AS$1001,MATCH(ROWS($V$2:V249),$V$2:$V$1001,0),MATCH(COLUMNS($AC$1006:AE1006),$AC$1006:$AS$1006,0)), HYPERLINK("#",""), HYPERLINK(CONCATENATE("#Metadata!", ADDRESS(INDEX($X$2:$X$1001,MATCH(ROWS($V$2:V249),$V$2:$V$1001,0),0), INDEX($AC$1004:$AS$1004,1,MATCH(COLUMNS($AC$1006:AE1006),$AC$1006:$AS$1006,0)))),"Fix")))</f>
        <v>0</v>
      </c>
      <c r="E249" s="5">
        <f>IF(OR(INDEX($W$2:$W$1001,MATCH(ROWS($V$2:V249),$V$2:$V$1001,0),1)&gt;=100000,INDEX($AC$1005:$AS$1005,1,MATCH(COLUMNS($AC$1006:AF1006),$AC$1006:$AS$1006,0))&gt;=100000), " ",IF(INDEX($AC$2:$AS$1001,MATCH(ROWS($V$2:V249),$V$2:$V$1001,0),MATCH(COLUMNS($AC$1006:AF1006),$AC$1006:$AS$1006,0)), HYPERLINK("#",""), HYPERLINK(CONCATENATE("#Metadata!", ADDRESS(INDEX($X$2:$X$1001,MATCH(ROWS($V$2:V249),$V$2:$V$1001,0),0), INDEX($AC$1004:$AS$1004,1,MATCH(COLUMNS($AC$1006:AF1006),$AC$1006:$AS$1006,0)))),"Fix")))</f>
        <v>0</v>
      </c>
      <c r="F249" s="5">
        <f>IF(OR(INDEX($W$2:$W$1001,MATCH(ROWS($V$2:V249),$V$2:$V$1001,0),1)&gt;=100000,INDEX($AC$1005:$AS$1005,1,MATCH(COLUMNS($AC$1006:AG1006),$AC$1006:$AS$1006,0))&gt;=100000), " ",IF(INDEX($AC$2:$AS$1001,MATCH(ROWS($V$2:V249),$V$2:$V$1001,0),MATCH(COLUMNS($AC$1006:AG1006),$AC$1006:$AS$1006,0)), HYPERLINK("#",""), HYPERLINK(CONCATENATE("#Metadata!", ADDRESS(INDEX($X$2:$X$1001,MATCH(ROWS($V$2:V249),$V$2:$V$1001,0),0), INDEX($AC$1004:$AS$1004,1,MATCH(COLUMNS($AC$1006:AG1006),$AC$1006:$AS$1006,0)))),"Fix")))</f>
        <v>0</v>
      </c>
      <c r="G249" s="5">
        <f>IF(OR(INDEX($W$2:$W$1001,MATCH(ROWS($V$2:V249),$V$2:$V$1001,0),1)&gt;=100000,INDEX($AC$1005:$AS$1005,1,MATCH(COLUMNS($AC$1006:AH1006),$AC$1006:$AS$1006,0))&gt;=100000), " ",IF(INDEX($AC$2:$AS$1001,MATCH(ROWS($V$2:V249),$V$2:$V$1001,0),MATCH(COLUMNS($AC$1006:AH1006),$AC$1006:$AS$1006,0)), HYPERLINK("#",""), HYPERLINK(CONCATENATE("#Metadata!", ADDRESS(INDEX($X$2:$X$1001,MATCH(ROWS($V$2:V249),$V$2:$V$1001,0),0), INDEX($AC$1004:$AS$1004,1,MATCH(COLUMNS($AC$1006:AH1006),$AC$1006:$AS$1006,0)))),"Fix")))</f>
        <v>0</v>
      </c>
      <c r="H249" s="5">
        <f>IF(OR(INDEX($W$2:$W$1001,MATCH(ROWS($V$2:V249),$V$2:$V$1001,0),1)&gt;=100000,INDEX($AC$1005:$AS$1005,1,MATCH(COLUMNS($AC$1006:AI1006),$AC$1006:$AS$1006,0))&gt;=100000), " ",IF(INDEX($AC$2:$AS$1001,MATCH(ROWS($V$2:V249),$V$2:$V$1001,0),MATCH(COLUMNS($AC$1006:AI1006),$AC$1006:$AS$1006,0)), HYPERLINK("#",""), HYPERLINK(CONCATENATE("#Metadata!", ADDRESS(INDEX($X$2:$X$1001,MATCH(ROWS($V$2:V249),$V$2:$V$1001,0),0), INDEX($AC$1004:$AS$1004,1,MATCH(COLUMNS($AC$1006:AI1006),$AC$1006:$AS$1006,0)))),"Fix")))</f>
        <v>0</v>
      </c>
      <c r="I249" s="5">
        <f>IF(OR(INDEX($W$2:$W$1001,MATCH(ROWS($V$2:V249),$V$2:$V$1001,0),1)&gt;=100000,INDEX($AC$1005:$AS$1005,1,MATCH(COLUMNS($AC$1006:AJ1006),$AC$1006:$AS$1006,0))&gt;=100000), " ",IF(INDEX($AC$2:$AS$1001,MATCH(ROWS($V$2:V249),$V$2:$V$1001,0),MATCH(COLUMNS($AC$1006:AJ1006),$AC$1006:$AS$1006,0)), HYPERLINK("#",""), HYPERLINK(CONCATENATE("#Metadata!", ADDRESS(INDEX($X$2:$X$1001,MATCH(ROWS($V$2:V249),$V$2:$V$1001,0),0), INDEX($AC$1004:$AS$1004,1,MATCH(COLUMNS($AC$1006:AJ1006),$AC$1006:$AS$1006,0)))),"Fix")))</f>
        <v>0</v>
      </c>
      <c r="J249" s="5">
        <f>IF(OR(INDEX($W$2:$W$1001,MATCH(ROWS($V$2:V249),$V$2:$V$1001,0),1)&gt;=100000,INDEX($AC$1005:$AS$1005,1,MATCH(COLUMNS($AC$1006:AK1006),$AC$1006:$AS$1006,0))&gt;=100000), " ",IF(INDEX($AC$2:$AS$1001,MATCH(ROWS($V$2:V249),$V$2:$V$1001,0),MATCH(COLUMNS($AC$1006:AK1006),$AC$1006:$AS$1006,0)), HYPERLINK("#",""), HYPERLINK(CONCATENATE("#Metadata!", ADDRESS(INDEX($X$2:$X$1001,MATCH(ROWS($V$2:V249),$V$2:$V$1001,0),0), INDEX($AC$1004:$AS$1004,1,MATCH(COLUMNS($AC$1006:AK1006),$AC$1006:$AS$1006,0)))),"Fix")))</f>
        <v>0</v>
      </c>
      <c r="K249" s="5">
        <f>IF(OR(INDEX($W$2:$W$1001,MATCH(ROWS($V$2:V249),$V$2:$V$1001,0),1)&gt;=100000,INDEX($AC$1005:$AS$1005,1,MATCH(COLUMNS($AC$1006:AL1006),$AC$1006:$AS$1006,0))&gt;=100000), " ",IF(INDEX($AC$2:$AS$1001,MATCH(ROWS($V$2:V249),$V$2:$V$1001,0),MATCH(COLUMNS($AC$1006:AL1006),$AC$1006:$AS$1006,0)), HYPERLINK("#",""), HYPERLINK(CONCATENATE("#Metadata!", ADDRESS(INDEX($X$2:$X$1001,MATCH(ROWS($V$2:V249),$V$2:$V$1001,0),0), INDEX($AC$1004:$AS$1004,1,MATCH(COLUMNS($AC$1006:AL1006),$AC$1006:$AS$1006,0)))),"Fix")))</f>
        <v>0</v>
      </c>
      <c r="L249" s="5">
        <f>IF(OR(INDEX($W$2:$W$1001,MATCH(ROWS($V$2:V249),$V$2:$V$1001,0),1)&gt;=100000,INDEX($AC$1005:$AS$1005,1,MATCH(COLUMNS($AC$1006:AM1006),$AC$1006:$AS$1006,0))&gt;=100000), " ",IF(INDEX($AC$2:$AS$1001,MATCH(ROWS($V$2:V249),$V$2:$V$1001,0),MATCH(COLUMNS($AC$1006:AM1006),$AC$1006:$AS$1006,0)), HYPERLINK("#",""), HYPERLINK(CONCATENATE("#Metadata!", ADDRESS(INDEX($X$2:$X$1001,MATCH(ROWS($V$2:V249),$V$2:$V$1001,0),0), INDEX($AC$1004:$AS$1004,1,MATCH(COLUMNS($AC$1006:AM1006),$AC$1006:$AS$1006,0)))),"Fix")))</f>
        <v>0</v>
      </c>
      <c r="M249" s="5">
        <f>IF(OR(INDEX($W$2:$W$1001,MATCH(ROWS($V$2:V249),$V$2:$V$1001,0),1)&gt;=100000,INDEX($AC$1005:$AS$1005,1,MATCH(COLUMNS($AC$1006:AN1006),$AC$1006:$AS$1006,0))&gt;=100000), " ",IF(INDEX($AC$2:$AS$1001,MATCH(ROWS($V$2:V249),$V$2:$V$1001,0),MATCH(COLUMNS($AC$1006:AN1006),$AC$1006:$AS$1006,0)), HYPERLINK("#",""), HYPERLINK(CONCATENATE("#Metadata!", ADDRESS(INDEX($X$2:$X$1001,MATCH(ROWS($V$2:V249),$V$2:$V$1001,0),0), INDEX($AC$1004:$AS$1004,1,MATCH(COLUMNS($AC$1006:AN1006),$AC$1006:$AS$1006,0)))),"Fix")))</f>
        <v>0</v>
      </c>
      <c r="N249" s="5">
        <f>IF(OR(INDEX($W$2:$W$1001,MATCH(ROWS($V$2:V249),$V$2:$V$1001,0),1)&gt;=100000,INDEX($AC$1005:$AS$1005,1,MATCH(COLUMNS($AC$1006:AO1006),$AC$1006:$AS$1006,0))&gt;=100000), " ",IF(INDEX($AC$2:$AS$1001,MATCH(ROWS($V$2:V249),$V$2:$V$1001,0),MATCH(COLUMNS($AC$1006:AO1006),$AC$1006:$AS$1006,0)), HYPERLINK("#",""), HYPERLINK(CONCATENATE("#Metadata!", ADDRESS(INDEX($X$2:$X$1001,MATCH(ROWS($V$2:V249),$V$2:$V$1001,0),0), INDEX($AC$1004:$AS$1004,1,MATCH(COLUMNS($AC$1006:AO1006),$AC$1006:$AS$1006,0)))),"Fix")))</f>
        <v>0</v>
      </c>
      <c r="O249" s="5">
        <f>IF(OR(INDEX($W$2:$W$1001,MATCH(ROWS($V$2:V249),$V$2:$V$1001,0),1)&gt;=100000,INDEX($AC$1005:$AS$1005,1,MATCH(COLUMNS($AC$1006:AP1006),$AC$1006:$AS$1006,0))&gt;=100000), " ",IF(INDEX($AC$2:$AS$1001,MATCH(ROWS($V$2:V249),$V$2:$V$1001,0),MATCH(COLUMNS($AC$1006:AP1006),$AC$1006:$AS$1006,0)), HYPERLINK("#",""), HYPERLINK(CONCATENATE("#Metadata!", ADDRESS(INDEX($X$2:$X$1001,MATCH(ROWS($V$2:V249),$V$2:$V$1001,0),0), INDEX($AC$1004:$AS$1004,1,MATCH(COLUMNS($AC$1006:AP1006),$AC$1006:$AS$1006,0)))),"Fix")))</f>
        <v>0</v>
      </c>
      <c r="P249" s="5">
        <f>IF(OR(INDEX($W$2:$W$1001,MATCH(ROWS($V$2:V249),$V$2:$V$1001,0),1)&gt;=100000,INDEX($AC$1005:$AS$1005,1,MATCH(COLUMNS($AC$1006:AQ1006),$AC$1006:$AS$1006,0))&gt;=100000), " ",IF(INDEX($AC$2:$AS$1001,MATCH(ROWS($V$2:V249),$V$2:$V$1001,0),MATCH(COLUMNS($AC$1006:AQ1006),$AC$1006:$AS$1006,0)), HYPERLINK("#",""), HYPERLINK(CONCATENATE("#Metadata!", ADDRESS(INDEX($X$2:$X$1001,MATCH(ROWS($V$2:V249),$V$2:$V$1001,0),0), INDEX($AC$1004:$AS$1004,1,MATCH(COLUMNS($AC$1006:AQ1006),$AC$1006:$AS$1006,0)))),"Fix")))</f>
        <v>0</v>
      </c>
      <c r="Q249" s="5">
        <f>IF(OR(INDEX($W$2:$W$1001,MATCH(ROWS($V$2:V249),$V$2:$V$1001,0),1)&gt;=100000,INDEX($AC$1005:$AS$1005,1,MATCH(COLUMNS($AC$1006:AR1006),$AC$1006:$AS$1006,0))&gt;=100000), " ",IF(INDEX($AC$2:$AS$1001,MATCH(ROWS($V$2:V249),$V$2:$V$1001,0),MATCH(COLUMNS($AC$1006:AR1006),$AC$1006:$AS$1006,0)), HYPERLINK("#",""), HYPERLINK(CONCATENATE("#Metadata!", ADDRESS(INDEX($X$2:$X$1001,MATCH(ROWS($V$2:V249),$V$2:$V$1001,0),0), INDEX($AC$1004:$AS$1004,1,MATCH(COLUMNS($AC$1006:AR1006),$AC$1006:$AS$1006,0)))),"Fix")))</f>
        <v>0</v>
      </c>
      <c r="R249" s="5">
        <f>IF(OR(INDEX($W$2:$W$1001,MATCH(ROWS($V$2:V249),$V$2:$V$1001,0),1)&gt;=100000,INDEX($AC$1005:$AS$1005,1,MATCH(COLUMNS($AC$1006:AS1006),$AC$1006:$AS$1006,0))&gt;=100000), " ",IF(INDEX($AC$2:$AS$1001,MATCH(ROWS($V$2:V249),$V$2:$V$1001,0),MATCH(COLUMNS($AC$1006:AS1006),$AC$1006:$AS$1006,0)), HYPERLINK("#",""), HYPERLINK(CONCATENATE("#Metadata!", ADDRESS(INDEX($X$2:$X$1001,MATCH(ROWS($V$2:V249),$V$2:$V$1001,0),0), INDEX($AC$1004:$AS$1004,1,MATCH(COLUMNS($AC$1006:AS1006),$AC$1006:$AS$1006,0)))),"Fix")))</f>
        <v>0</v>
      </c>
      <c r="V249">
        <v>0</v>
      </c>
      <c r="W249">
        <v>0</v>
      </c>
      <c r="X249">
        <v>0</v>
      </c>
      <c r="Y249">
        <f>IF(Z249,TRUE,AND(AC249:AS249))</f>
        <v>0</v>
      </c>
      <c r="Z249">
        <f>COUNTBLANK(Metadata!B249:R249)=COLUMNS(Metadata!B249:R249)</f>
        <v>0</v>
      </c>
      <c r="AA249">
        <v>0</v>
      </c>
      <c r="AC249">
        <f>AND(IF(Metadata!B249="",FALSE,TRUE),COUNTIF(Metadata!B:B, Metadata!B249) = 1,NOT(ISERROR(SUMPRODUCT(SEARCH(MID(Metadata!B249,ROW(INDIRECT("1:"&amp;LEN(Metadata!B249))), 1),"0123456789abcdefghijklmnopqrstuvwxyzABCDEFGHIJKLMNOPQRSTUVWXYZ.")))))</f>
        <v>0</v>
      </c>
      <c r="AD249">
        <f>AND(IF(Metadata!C249="",FALSE,TRUE),exact(Metadata!C249,"Host-associated"))</f>
        <v>0</v>
      </c>
      <c r="AE249">
        <f>AND(IF(Metadata!D249="",FALSE,TRUE),OR(exact(Metadata!D249,"Animal"),exact(Metadata!D249,"Fungus"),exact(Metadata!D249,"Plant")))</f>
        <v>0</v>
      </c>
      <c r="AF249">
        <f>AND(IF(Metadata!E249="",FALSE,TRUE),OR(exact(Metadata!E249,"Plant secretion"),exact(Metadata!E249,"Plant rhizosphere"),exact(Metadata!E249,"Plant surface"),exact(Metadata!E249,"Plant corpus"),exact(Metadata!E249,"Fungus surface"),exact(Metadata!E249,"Fungus corpus"),exact(Metadata!E249,"Animal surface"),exact(Metadata!E249,"Animal proximal gut"),exact(Metadata!E249,"Animal corpus"),exact(Metadata!E249,"Animal distal gut"),exact(Metadata!E249,"Animal secretion")))</f>
        <v>0</v>
      </c>
      <c r="AG249">
        <f>OR(AND(IF(Metadata!F249="",FALSE,TRUE),OR(exact(Metadata!F249,"not collected"),exact(Metadata!F249,"not provided"),exact(Metadata!F249,"restricted access"))),AND(IF(Metadata!F249="",FALSE,TRUE),OR(exact(Metadata!F249,"organism-associated habitat"),exact(Metadata!F249,"plant-associated habitat"),exact(Metadata!F249,"animal-associated habitat"),exact(Metadata!F249,"insecta-associated habitat"),exact(Metadata!F249,"mammalia-associated habitat"),exact(Metadata!F249,"human-associated habitat"),exact(Metadata!F249,"livestock-associated habitat"))))</f>
        <v>0</v>
      </c>
      <c r="AH249">
        <f>AND(IF(Metadata!G249="",FALSE,TRUE),exact(Metadata!G249,"host-associated"))</f>
        <v>0</v>
      </c>
      <c r="AI249">
        <f>OR(AND(IF(Metadata!H249="",FALSE,TRUE),OR(exact(Metadata!H249,"not collected"),exact(Metadata!H249,"not provided"))),AND(IF(Metadata!H249="",FALSE,ISNUMBER(VALUE(Metadata!H249))),Metadata!H249&gt;0))</f>
        <v>0</v>
      </c>
      <c r="AJ249">
        <f>AND(IF(Metadata!I249="",FALSE,TRUE),exact(Metadata!I249,"years"))</f>
        <v>0</v>
      </c>
      <c r="AK249">
        <f>IF(Metadata!J249="",FALSE,TRUE)</f>
        <v>0</v>
      </c>
      <c r="AL249">
        <f>OR(AND(IF(Metadata!K249="",FALSE,TRUE),OR(exact(Metadata!K249,"not collected"),exact(Metadata!K249,"not provided"))),AND(IF(Metadata!K249="",FALSE,ISNUMBER(VALUE(Metadata!K249))),Metadata!K249&gt;0))</f>
        <v>0</v>
      </c>
      <c r="AM249">
        <f>AND(IF(Metadata!L249="",FALSE,TRUE),exact(Metadata!L249,"cm"))</f>
        <v>0</v>
      </c>
      <c r="AN249">
        <f>IF(Metadata!M249="",FALSE,TRUE)</f>
        <v>0</v>
      </c>
      <c r="AO249">
        <f>OR(AND(IF(Metadata!N249="",FALSE,TRUE),OR(exact(Metadata!N249,"not applicable"),exact(Metadata!N249,"not collected"),exact(Metadata!N249,"not provided"))),AND(IF(Metadata!N249="",FALSE,IF(ISERROR(INT(Metadata!N249)),FALSE,INT(Metadata!N249)=Metadata!N249)),Metadata!N249&gt;0))</f>
        <v>0</v>
      </c>
      <c r="AP249">
        <f>OR(AND(IF(Metadata!O249="",FALSE,TRUE),OR(exact(Metadata!O249,"not collected"),exact(Metadata!O249,"not provided"))),AND(IF(Metadata!O249="",FALSE,ISNUMBER(VALUE(Metadata!O249))),Metadata!O249&gt;0))</f>
        <v>0</v>
      </c>
      <c r="AQ249">
        <f>AND(IF(Metadata!P249="",FALSE,TRUE),exact(Metadata!P249,"kg"))</f>
        <v>0</v>
      </c>
      <c r="AR249">
        <f>OR(AND(IF(Metadata!Q249="",FALSE,TRUE),OR(exact(Metadata!Q249,"not applicable"),exact(Metadata!Q249,"not collected"),exact(Metadata!Q249,"not provided"),exact(Metadata!Q249,"restricted access"))),IF(Metadata!Q249="",FALSE,IF(ISERROR(INT(Metadata!Q249)),FALSE,INT(Metadata!Q249)=Metadata!Q249)))</f>
        <v>0</v>
      </c>
      <c r="AS249">
        <f>AND(IF(Metadata!R249="",FALSE,TRUE),exact(Metadata!R249,"Not applicable"))</f>
        <v>0</v>
      </c>
    </row>
    <row r="250" spans="1:45">
      <c r="A250" s="4">
        <f>IF(B250=" "," ",HYPERLINK(CONCATENATE("#metadata!",ADDRESS(INDEX($X$2:$X$1001,MATCH(ROWS($V$2:V250),$V$2:$V$1001,0),0),2)),INDEX($AA$2:$AA$1001,MATCH(ROWS($V$2:V250),$V$2:$V$1001,0),0)))</f>
        <v>0</v>
      </c>
      <c r="B250" s="5">
        <f>IF(OR(INDEX($W$2:$W$1001,MATCH(ROWS($V$2:V250),$V$2:$V$1001,0),1)&gt;=100000,INDEX($AC$1005:$AS$1005,1,MATCH(COLUMNS($AC$1006:AC1006),$AC$1006:$AS$1006,0))&gt;=100000), " ",IF(INDEX($AC$2:$AS$1001,MATCH(ROWS($V$2:V250),$V$2:$V$1001,0),MATCH(COLUMNS($AC$1006:AC1006),$AC$1006:$AS$1006,0)), HYPERLINK("#",""), HYPERLINK(CONCATENATE("#Metadata!", ADDRESS(INDEX($X$2:$X$1001,MATCH(ROWS($V$2:V250),$V$2:$V$1001,0),0), INDEX($AC$1004:$AS$1004,1,MATCH(COLUMNS($AC$1006:AC1006),$AC$1006:$AS$1006,0)))),"Fix")))</f>
        <v>0</v>
      </c>
      <c r="C250" s="5">
        <f>IF(OR(INDEX($W$2:$W$1001,MATCH(ROWS($V$2:V250),$V$2:$V$1001,0),1)&gt;=100000,INDEX($AC$1005:$AS$1005,1,MATCH(COLUMNS($AC$1006:AD1006),$AC$1006:$AS$1006,0))&gt;=100000), " ",IF(INDEX($AC$2:$AS$1001,MATCH(ROWS($V$2:V250),$V$2:$V$1001,0),MATCH(COLUMNS($AC$1006:AD1006),$AC$1006:$AS$1006,0)), HYPERLINK("#",""), HYPERLINK(CONCATENATE("#Metadata!", ADDRESS(INDEX($X$2:$X$1001,MATCH(ROWS($V$2:V250),$V$2:$V$1001,0),0), INDEX($AC$1004:$AS$1004,1,MATCH(COLUMNS($AC$1006:AD1006),$AC$1006:$AS$1006,0)))),"Fix")))</f>
        <v>0</v>
      </c>
      <c r="D250" s="5">
        <f>IF(OR(INDEX($W$2:$W$1001,MATCH(ROWS($V$2:V250),$V$2:$V$1001,0),1)&gt;=100000,INDEX($AC$1005:$AS$1005,1,MATCH(COLUMNS($AC$1006:AE1006),$AC$1006:$AS$1006,0))&gt;=100000), " ",IF(INDEX($AC$2:$AS$1001,MATCH(ROWS($V$2:V250),$V$2:$V$1001,0),MATCH(COLUMNS($AC$1006:AE1006),$AC$1006:$AS$1006,0)), HYPERLINK("#",""), HYPERLINK(CONCATENATE("#Metadata!", ADDRESS(INDEX($X$2:$X$1001,MATCH(ROWS($V$2:V250),$V$2:$V$1001,0),0), INDEX($AC$1004:$AS$1004,1,MATCH(COLUMNS($AC$1006:AE1006),$AC$1006:$AS$1006,0)))),"Fix")))</f>
        <v>0</v>
      </c>
      <c r="E250" s="5">
        <f>IF(OR(INDEX($W$2:$W$1001,MATCH(ROWS($V$2:V250),$V$2:$V$1001,0),1)&gt;=100000,INDEX($AC$1005:$AS$1005,1,MATCH(COLUMNS($AC$1006:AF1006),$AC$1006:$AS$1006,0))&gt;=100000), " ",IF(INDEX($AC$2:$AS$1001,MATCH(ROWS($V$2:V250),$V$2:$V$1001,0),MATCH(COLUMNS($AC$1006:AF1006),$AC$1006:$AS$1006,0)), HYPERLINK("#",""), HYPERLINK(CONCATENATE("#Metadata!", ADDRESS(INDEX($X$2:$X$1001,MATCH(ROWS($V$2:V250),$V$2:$V$1001,0),0), INDEX($AC$1004:$AS$1004,1,MATCH(COLUMNS($AC$1006:AF1006),$AC$1006:$AS$1006,0)))),"Fix")))</f>
        <v>0</v>
      </c>
      <c r="F250" s="5">
        <f>IF(OR(INDEX($W$2:$W$1001,MATCH(ROWS($V$2:V250),$V$2:$V$1001,0),1)&gt;=100000,INDEX($AC$1005:$AS$1005,1,MATCH(COLUMNS($AC$1006:AG1006),$AC$1006:$AS$1006,0))&gt;=100000), " ",IF(INDEX($AC$2:$AS$1001,MATCH(ROWS($V$2:V250),$V$2:$V$1001,0),MATCH(COLUMNS($AC$1006:AG1006),$AC$1006:$AS$1006,0)), HYPERLINK("#",""), HYPERLINK(CONCATENATE("#Metadata!", ADDRESS(INDEX($X$2:$X$1001,MATCH(ROWS($V$2:V250),$V$2:$V$1001,0),0), INDEX($AC$1004:$AS$1004,1,MATCH(COLUMNS($AC$1006:AG1006),$AC$1006:$AS$1006,0)))),"Fix")))</f>
        <v>0</v>
      </c>
      <c r="G250" s="5">
        <f>IF(OR(INDEX($W$2:$W$1001,MATCH(ROWS($V$2:V250),$V$2:$V$1001,0),1)&gt;=100000,INDEX($AC$1005:$AS$1005,1,MATCH(COLUMNS($AC$1006:AH1006),$AC$1006:$AS$1006,0))&gt;=100000), " ",IF(INDEX($AC$2:$AS$1001,MATCH(ROWS($V$2:V250),$V$2:$V$1001,0),MATCH(COLUMNS($AC$1006:AH1006),$AC$1006:$AS$1006,0)), HYPERLINK("#",""), HYPERLINK(CONCATENATE("#Metadata!", ADDRESS(INDEX($X$2:$X$1001,MATCH(ROWS($V$2:V250),$V$2:$V$1001,0),0), INDEX($AC$1004:$AS$1004,1,MATCH(COLUMNS($AC$1006:AH1006),$AC$1006:$AS$1006,0)))),"Fix")))</f>
        <v>0</v>
      </c>
      <c r="H250" s="5">
        <f>IF(OR(INDEX($W$2:$W$1001,MATCH(ROWS($V$2:V250),$V$2:$V$1001,0),1)&gt;=100000,INDEX($AC$1005:$AS$1005,1,MATCH(COLUMNS($AC$1006:AI1006),$AC$1006:$AS$1006,0))&gt;=100000), " ",IF(INDEX($AC$2:$AS$1001,MATCH(ROWS($V$2:V250),$V$2:$V$1001,0),MATCH(COLUMNS($AC$1006:AI1006),$AC$1006:$AS$1006,0)), HYPERLINK("#",""), HYPERLINK(CONCATENATE("#Metadata!", ADDRESS(INDEX($X$2:$X$1001,MATCH(ROWS($V$2:V250),$V$2:$V$1001,0),0), INDEX($AC$1004:$AS$1004,1,MATCH(COLUMNS($AC$1006:AI1006),$AC$1006:$AS$1006,0)))),"Fix")))</f>
        <v>0</v>
      </c>
      <c r="I250" s="5">
        <f>IF(OR(INDEX($W$2:$W$1001,MATCH(ROWS($V$2:V250),$V$2:$V$1001,0),1)&gt;=100000,INDEX($AC$1005:$AS$1005,1,MATCH(COLUMNS($AC$1006:AJ1006),$AC$1006:$AS$1006,0))&gt;=100000), " ",IF(INDEX($AC$2:$AS$1001,MATCH(ROWS($V$2:V250),$V$2:$V$1001,0),MATCH(COLUMNS($AC$1006:AJ1006),$AC$1006:$AS$1006,0)), HYPERLINK("#",""), HYPERLINK(CONCATENATE("#Metadata!", ADDRESS(INDEX($X$2:$X$1001,MATCH(ROWS($V$2:V250),$V$2:$V$1001,0),0), INDEX($AC$1004:$AS$1004,1,MATCH(COLUMNS($AC$1006:AJ1006),$AC$1006:$AS$1006,0)))),"Fix")))</f>
        <v>0</v>
      </c>
      <c r="J250" s="5">
        <f>IF(OR(INDEX($W$2:$W$1001,MATCH(ROWS($V$2:V250),$V$2:$V$1001,0),1)&gt;=100000,INDEX($AC$1005:$AS$1005,1,MATCH(COLUMNS($AC$1006:AK1006),$AC$1006:$AS$1006,0))&gt;=100000), " ",IF(INDEX($AC$2:$AS$1001,MATCH(ROWS($V$2:V250),$V$2:$V$1001,0),MATCH(COLUMNS($AC$1006:AK1006),$AC$1006:$AS$1006,0)), HYPERLINK("#",""), HYPERLINK(CONCATENATE("#Metadata!", ADDRESS(INDEX($X$2:$X$1001,MATCH(ROWS($V$2:V250),$V$2:$V$1001,0),0), INDEX($AC$1004:$AS$1004,1,MATCH(COLUMNS($AC$1006:AK1006),$AC$1006:$AS$1006,0)))),"Fix")))</f>
        <v>0</v>
      </c>
      <c r="K250" s="5">
        <f>IF(OR(INDEX($W$2:$W$1001,MATCH(ROWS($V$2:V250),$V$2:$V$1001,0),1)&gt;=100000,INDEX($AC$1005:$AS$1005,1,MATCH(COLUMNS($AC$1006:AL1006),$AC$1006:$AS$1006,0))&gt;=100000), " ",IF(INDEX($AC$2:$AS$1001,MATCH(ROWS($V$2:V250),$V$2:$V$1001,0),MATCH(COLUMNS($AC$1006:AL1006),$AC$1006:$AS$1006,0)), HYPERLINK("#",""), HYPERLINK(CONCATENATE("#Metadata!", ADDRESS(INDEX($X$2:$X$1001,MATCH(ROWS($V$2:V250),$V$2:$V$1001,0),0), INDEX($AC$1004:$AS$1004,1,MATCH(COLUMNS($AC$1006:AL1006),$AC$1006:$AS$1006,0)))),"Fix")))</f>
        <v>0</v>
      </c>
      <c r="L250" s="5">
        <f>IF(OR(INDEX($W$2:$W$1001,MATCH(ROWS($V$2:V250),$V$2:$V$1001,0),1)&gt;=100000,INDEX($AC$1005:$AS$1005,1,MATCH(COLUMNS($AC$1006:AM1006),$AC$1006:$AS$1006,0))&gt;=100000), " ",IF(INDEX($AC$2:$AS$1001,MATCH(ROWS($V$2:V250),$V$2:$V$1001,0),MATCH(COLUMNS($AC$1006:AM1006),$AC$1006:$AS$1006,0)), HYPERLINK("#",""), HYPERLINK(CONCATENATE("#Metadata!", ADDRESS(INDEX($X$2:$X$1001,MATCH(ROWS($V$2:V250),$V$2:$V$1001,0),0), INDEX($AC$1004:$AS$1004,1,MATCH(COLUMNS($AC$1006:AM1006),$AC$1006:$AS$1006,0)))),"Fix")))</f>
        <v>0</v>
      </c>
      <c r="M250" s="5">
        <f>IF(OR(INDEX($W$2:$W$1001,MATCH(ROWS($V$2:V250),$V$2:$V$1001,0),1)&gt;=100000,INDEX($AC$1005:$AS$1005,1,MATCH(COLUMNS($AC$1006:AN1006),$AC$1006:$AS$1006,0))&gt;=100000), " ",IF(INDEX($AC$2:$AS$1001,MATCH(ROWS($V$2:V250),$V$2:$V$1001,0),MATCH(COLUMNS($AC$1006:AN1006),$AC$1006:$AS$1006,0)), HYPERLINK("#",""), HYPERLINK(CONCATENATE("#Metadata!", ADDRESS(INDEX($X$2:$X$1001,MATCH(ROWS($V$2:V250),$V$2:$V$1001,0),0), INDEX($AC$1004:$AS$1004,1,MATCH(COLUMNS($AC$1006:AN1006),$AC$1006:$AS$1006,0)))),"Fix")))</f>
        <v>0</v>
      </c>
      <c r="N250" s="5">
        <f>IF(OR(INDEX($W$2:$W$1001,MATCH(ROWS($V$2:V250),$V$2:$V$1001,0),1)&gt;=100000,INDEX($AC$1005:$AS$1005,1,MATCH(COLUMNS($AC$1006:AO1006),$AC$1006:$AS$1006,0))&gt;=100000), " ",IF(INDEX($AC$2:$AS$1001,MATCH(ROWS($V$2:V250),$V$2:$V$1001,0),MATCH(COLUMNS($AC$1006:AO1006),$AC$1006:$AS$1006,0)), HYPERLINK("#",""), HYPERLINK(CONCATENATE("#Metadata!", ADDRESS(INDEX($X$2:$X$1001,MATCH(ROWS($V$2:V250),$V$2:$V$1001,0),0), INDEX($AC$1004:$AS$1004,1,MATCH(COLUMNS($AC$1006:AO1006),$AC$1006:$AS$1006,0)))),"Fix")))</f>
        <v>0</v>
      </c>
      <c r="O250" s="5">
        <f>IF(OR(INDEX($W$2:$W$1001,MATCH(ROWS($V$2:V250),$V$2:$V$1001,0),1)&gt;=100000,INDEX($AC$1005:$AS$1005,1,MATCH(COLUMNS($AC$1006:AP1006),$AC$1006:$AS$1006,0))&gt;=100000), " ",IF(INDEX($AC$2:$AS$1001,MATCH(ROWS($V$2:V250),$V$2:$V$1001,0),MATCH(COLUMNS($AC$1006:AP1006),$AC$1006:$AS$1006,0)), HYPERLINK("#",""), HYPERLINK(CONCATENATE("#Metadata!", ADDRESS(INDEX($X$2:$X$1001,MATCH(ROWS($V$2:V250),$V$2:$V$1001,0),0), INDEX($AC$1004:$AS$1004,1,MATCH(COLUMNS($AC$1006:AP1006),$AC$1006:$AS$1006,0)))),"Fix")))</f>
        <v>0</v>
      </c>
      <c r="P250" s="5">
        <f>IF(OR(INDEX($W$2:$W$1001,MATCH(ROWS($V$2:V250),$V$2:$V$1001,0),1)&gt;=100000,INDEX($AC$1005:$AS$1005,1,MATCH(COLUMNS($AC$1006:AQ1006),$AC$1006:$AS$1006,0))&gt;=100000), " ",IF(INDEX($AC$2:$AS$1001,MATCH(ROWS($V$2:V250),$V$2:$V$1001,0),MATCH(COLUMNS($AC$1006:AQ1006),$AC$1006:$AS$1006,0)), HYPERLINK("#",""), HYPERLINK(CONCATENATE("#Metadata!", ADDRESS(INDEX($X$2:$X$1001,MATCH(ROWS($V$2:V250),$V$2:$V$1001,0),0), INDEX($AC$1004:$AS$1004,1,MATCH(COLUMNS($AC$1006:AQ1006),$AC$1006:$AS$1006,0)))),"Fix")))</f>
        <v>0</v>
      </c>
      <c r="Q250" s="5">
        <f>IF(OR(INDEX($W$2:$W$1001,MATCH(ROWS($V$2:V250),$V$2:$V$1001,0),1)&gt;=100000,INDEX($AC$1005:$AS$1005,1,MATCH(COLUMNS($AC$1006:AR1006),$AC$1006:$AS$1006,0))&gt;=100000), " ",IF(INDEX($AC$2:$AS$1001,MATCH(ROWS($V$2:V250),$V$2:$V$1001,0),MATCH(COLUMNS($AC$1006:AR1006),$AC$1006:$AS$1006,0)), HYPERLINK("#",""), HYPERLINK(CONCATENATE("#Metadata!", ADDRESS(INDEX($X$2:$X$1001,MATCH(ROWS($V$2:V250),$V$2:$V$1001,0),0), INDEX($AC$1004:$AS$1004,1,MATCH(COLUMNS($AC$1006:AR1006),$AC$1006:$AS$1006,0)))),"Fix")))</f>
        <v>0</v>
      </c>
      <c r="R250" s="5">
        <f>IF(OR(INDEX($W$2:$W$1001,MATCH(ROWS($V$2:V250),$V$2:$V$1001,0),1)&gt;=100000,INDEX($AC$1005:$AS$1005,1,MATCH(COLUMNS($AC$1006:AS1006),$AC$1006:$AS$1006,0))&gt;=100000), " ",IF(INDEX($AC$2:$AS$1001,MATCH(ROWS($V$2:V250),$V$2:$V$1001,0),MATCH(COLUMNS($AC$1006:AS1006),$AC$1006:$AS$1006,0)), HYPERLINK("#",""), HYPERLINK(CONCATENATE("#Metadata!", ADDRESS(INDEX($X$2:$X$1001,MATCH(ROWS($V$2:V250),$V$2:$V$1001,0),0), INDEX($AC$1004:$AS$1004,1,MATCH(COLUMNS($AC$1006:AS1006),$AC$1006:$AS$1006,0)))),"Fix")))</f>
        <v>0</v>
      </c>
      <c r="V250">
        <v>0</v>
      </c>
      <c r="W250">
        <v>0</v>
      </c>
      <c r="X250">
        <v>0</v>
      </c>
      <c r="Y250">
        <f>IF(Z250,TRUE,AND(AC250:AS250))</f>
        <v>0</v>
      </c>
      <c r="Z250">
        <f>COUNTBLANK(Metadata!B250:R250)=COLUMNS(Metadata!B250:R250)</f>
        <v>0</v>
      </c>
      <c r="AA250">
        <v>0</v>
      </c>
      <c r="AC250">
        <f>AND(IF(Metadata!B250="",FALSE,TRUE),COUNTIF(Metadata!B:B, Metadata!B250) = 1,NOT(ISERROR(SUMPRODUCT(SEARCH(MID(Metadata!B250,ROW(INDIRECT("1:"&amp;LEN(Metadata!B250))), 1),"0123456789abcdefghijklmnopqrstuvwxyzABCDEFGHIJKLMNOPQRSTUVWXYZ.")))))</f>
        <v>0</v>
      </c>
      <c r="AD250">
        <f>AND(IF(Metadata!C250="",FALSE,TRUE),exact(Metadata!C250,"Host-associated"))</f>
        <v>0</v>
      </c>
      <c r="AE250">
        <f>AND(IF(Metadata!D250="",FALSE,TRUE),OR(exact(Metadata!D250,"Animal"),exact(Metadata!D250,"Fungus"),exact(Metadata!D250,"Plant")))</f>
        <v>0</v>
      </c>
      <c r="AF250">
        <f>AND(IF(Metadata!E250="",FALSE,TRUE),OR(exact(Metadata!E250,"Plant secretion"),exact(Metadata!E250,"Plant rhizosphere"),exact(Metadata!E250,"Plant surface"),exact(Metadata!E250,"Plant corpus"),exact(Metadata!E250,"Fungus surface"),exact(Metadata!E250,"Fungus corpus"),exact(Metadata!E250,"Animal surface"),exact(Metadata!E250,"Animal proximal gut"),exact(Metadata!E250,"Animal corpus"),exact(Metadata!E250,"Animal distal gut"),exact(Metadata!E250,"Animal secretion")))</f>
        <v>0</v>
      </c>
      <c r="AG250">
        <f>OR(AND(IF(Metadata!F250="",FALSE,TRUE),OR(exact(Metadata!F250,"not collected"),exact(Metadata!F250,"not provided"),exact(Metadata!F250,"restricted access"))),AND(IF(Metadata!F250="",FALSE,TRUE),OR(exact(Metadata!F250,"organism-associated habitat"),exact(Metadata!F250,"plant-associated habitat"),exact(Metadata!F250,"animal-associated habitat"),exact(Metadata!F250,"insecta-associated habitat"),exact(Metadata!F250,"mammalia-associated habitat"),exact(Metadata!F250,"human-associated habitat"),exact(Metadata!F250,"livestock-associated habitat"))))</f>
        <v>0</v>
      </c>
      <c r="AH250">
        <f>AND(IF(Metadata!G250="",FALSE,TRUE),exact(Metadata!G250,"host-associated"))</f>
        <v>0</v>
      </c>
      <c r="AI250">
        <f>OR(AND(IF(Metadata!H250="",FALSE,TRUE),OR(exact(Metadata!H250,"not collected"),exact(Metadata!H250,"not provided"))),AND(IF(Metadata!H250="",FALSE,ISNUMBER(VALUE(Metadata!H250))),Metadata!H250&gt;0))</f>
        <v>0</v>
      </c>
      <c r="AJ250">
        <f>AND(IF(Metadata!I250="",FALSE,TRUE),exact(Metadata!I250,"years"))</f>
        <v>0</v>
      </c>
      <c r="AK250">
        <f>IF(Metadata!J250="",FALSE,TRUE)</f>
        <v>0</v>
      </c>
      <c r="AL250">
        <f>OR(AND(IF(Metadata!K250="",FALSE,TRUE),OR(exact(Metadata!K250,"not collected"),exact(Metadata!K250,"not provided"))),AND(IF(Metadata!K250="",FALSE,ISNUMBER(VALUE(Metadata!K250))),Metadata!K250&gt;0))</f>
        <v>0</v>
      </c>
      <c r="AM250">
        <f>AND(IF(Metadata!L250="",FALSE,TRUE),exact(Metadata!L250,"cm"))</f>
        <v>0</v>
      </c>
      <c r="AN250">
        <f>IF(Metadata!M250="",FALSE,TRUE)</f>
        <v>0</v>
      </c>
      <c r="AO250">
        <f>OR(AND(IF(Metadata!N250="",FALSE,TRUE),OR(exact(Metadata!N250,"not applicable"),exact(Metadata!N250,"not collected"),exact(Metadata!N250,"not provided"))),AND(IF(Metadata!N250="",FALSE,IF(ISERROR(INT(Metadata!N250)),FALSE,INT(Metadata!N250)=Metadata!N250)),Metadata!N250&gt;0))</f>
        <v>0</v>
      </c>
      <c r="AP250">
        <f>OR(AND(IF(Metadata!O250="",FALSE,TRUE),OR(exact(Metadata!O250,"not collected"),exact(Metadata!O250,"not provided"))),AND(IF(Metadata!O250="",FALSE,ISNUMBER(VALUE(Metadata!O250))),Metadata!O250&gt;0))</f>
        <v>0</v>
      </c>
      <c r="AQ250">
        <f>AND(IF(Metadata!P250="",FALSE,TRUE),exact(Metadata!P250,"kg"))</f>
        <v>0</v>
      </c>
      <c r="AR250">
        <f>OR(AND(IF(Metadata!Q250="",FALSE,TRUE),OR(exact(Metadata!Q250,"not applicable"),exact(Metadata!Q250,"not collected"),exact(Metadata!Q250,"not provided"),exact(Metadata!Q250,"restricted access"))),IF(Metadata!Q250="",FALSE,IF(ISERROR(INT(Metadata!Q250)),FALSE,INT(Metadata!Q250)=Metadata!Q250)))</f>
        <v>0</v>
      </c>
      <c r="AS250">
        <f>AND(IF(Metadata!R250="",FALSE,TRUE),exact(Metadata!R250,"Not applicable"))</f>
        <v>0</v>
      </c>
    </row>
    <row r="251" spans="1:45">
      <c r="A251" s="4">
        <f>IF(B251=" "," ",HYPERLINK(CONCATENATE("#metadata!",ADDRESS(INDEX($X$2:$X$1001,MATCH(ROWS($V$2:V251),$V$2:$V$1001,0),0),2)),INDEX($AA$2:$AA$1001,MATCH(ROWS($V$2:V251),$V$2:$V$1001,0),0)))</f>
        <v>0</v>
      </c>
      <c r="B251" s="5">
        <f>IF(OR(INDEX($W$2:$W$1001,MATCH(ROWS($V$2:V251),$V$2:$V$1001,0),1)&gt;=100000,INDEX($AC$1005:$AS$1005,1,MATCH(COLUMNS($AC$1006:AC1006),$AC$1006:$AS$1006,0))&gt;=100000), " ",IF(INDEX($AC$2:$AS$1001,MATCH(ROWS($V$2:V251),$V$2:$V$1001,0),MATCH(COLUMNS($AC$1006:AC1006),$AC$1006:$AS$1006,0)), HYPERLINK("#",""), HYPERLINK(CONCATENATE("#Metadata!", ADDRESS(INDEX($X$2:$X$1001,MATCH(ROWS($V$2:V251),$V$2:$V$1001,0),0), INDEX($AC$1004:$AS$1004,1,MATCH(COLUMNS($AC$1006:AC1006),$AC$1006:$AS$1006,0)))),"Fix")))</f>
        <v>0</v>
      </c>
      <c r="C251" s="5">
        <f>IF(OR(INDEX($W$2:$W$1001,MATCH(ROWS($V$2:V251),$V$2:$V$1001,0),1)&gt;=100000,INDEX($AC$1005:$AS$1005,1,MATCH(COLUMNS($AC$1006:AD1006),$AC$1006:$AS$1006,0))&gt;=100000), " ",IF(INDEX($AC$2:$AS$1001,MATCH(ROWS($V$2:V251),$V$2:$V$1001,0),MATCH(COLUMNS($AC$1006:AD1006),$AC$1006:$AS$1006,0)), HYPERLINK("#",""), HYPERLINK(CONCATENATE("#Metadata!", ADDRESS(INDEX($X$2:$X$1001,MATCH(ROWS($V$2:V251),$V$2:$V$1001,0),0), INDEX($AC$1004:$AS$1004,1,MATCH(COLUMNS($AC$1006:AD1006),$AC$1006:$AS$1006,0)))),"Fix")))</f>
        <v>0</v>
      </c>
      <c r="D251" s="5">
        <f>IF(OR(INDEX($W$2:$W$1001,MATCH(ROWS($V$2:V251),$V$2:$V$1001,0),1)&gt;=100000,INDEX($AC$1005:$AS$1005,1,MATCH(COLUMNS($AC$1006:AE1006),$AC$1006:$AS$1006,0))&gt;=100000), " ",IF(INDEX($AC$2:$AS$1001,MATCH(ROWS($V$2:V251),$V$2:$V$1001,0),MATCH(COLUMNS($AC$1006:AE1006),$AC$1006:$AS$1006,0)), HYPERLINK("#",""), HYPERLINK(CONCATENATE("#Metadata!", ADDRESS(INDEX($X$2:$X$1001,MATCH(ROWS($V$2:V251),$V$2:$V$1001,0),0), INDEX($AC$1004:$AS$1004,1,MATCH(COLUMNS($AC$1006:AE1006),$AC$1006:$AS$1006,0)))),"Fix")))</f>
        <v>0</v>
      </c>
      <c r="E251" s="5">
        <f>IF(OR(INDEX($W$2:$W$1001,MATCH(ROWS($V$2:V251),$V$2:$V$1001,0),1)&gt;=100000,INDEX($AC$1005:$AS$1005,1,MATCH(COLUMNS($AC$1006:AF1006),$AC$1006:$AS$1006,0))&gt;=100000), " ",IF(INDEX($AC$2:$AS$1001,MATCH(ROWS($V$2:V251),$V$2:$V$1001,0),MATCH(COLUMNS($AC$1006:AF1006),$AC$1006:$AS$1006,0)), HYPERLINK("#",""), HYPERLINK(CONCATENATE("#Metadata!", ADDRESS(INDEX($X$2:$X$1001,MATCH(ROWS($V$2:V251),$V$2:$V$1001,0),0), INDEX($AC$1004:$AS$1004,1,MATCH(COLUMNS($AC$1006:AF1006),$AC$1006:$AS$1006,0)))),"Fix")))</f>
        <v>0</v>
      </c>
      <c r="F251" s="5">
        <f>IF(OR(INDEX($W$2:$W$1001,MATCH(ROWS($V$2:V251),$V$2:$V$1001,0),1)&gt;=100000,INDEX($AC$1005:$AS$1005,1,MATCH(COLUMNS($AC$1006:AG1006),$AC$1006:$AS$1006,0))&gt;=100000), " ",IF(INDEX($AC$2:$AS$1001,MATCH(ROWS($V$2:V251),$V$2:$V$1001,0),MATCH(COLUMNS($AC$1006:AG1006),$AC$1006:$AS$1006,0)), HYPERLINK("#",""), HYPERLINK(CONCATENATE("#Metadata!", ADDRESS(INDEX($X$2:$X$1001,MATCH(ROWS($V$2:V251),$V$2:$V$1001,0),0), INDEX($AC$1004:$AS$1004,1,MATCH(COLUMNS($AC$1006:AG1006),$AC$1006:$AS$1006,0)))),"Fix")))</f>
        <v>0</v>
      </c>
      <c r="G251" s="5">
        <f>IF(OR(INDEX($W$2:$W$1001,MATCH(ROWS($V$2:V251),$V$2:$V$1001,0),1)&gt;=100000,INDEX($AC$1005:$AS$1005,1,MATCH(COLUMNS($AC$1006:AH1006),$AC$1006:$AS$1006,0))&gt;=100000), " ",IF(INDEX($AC$2:$AS$1001,MATCH(ROWS($V$2:V251),$V$2:$V$1001,0),MATCH(COLUMNS($AC$1006:AH1006),$AC$1006:$AS$1006,0)), HYPERLINK("#",""), HYPERLINK(CONCATENATE("#Metadata!", ADDRESS(INDEX($X$2:$X$1001,MATCH(ROWS($V$2:V251),$V$2:$V$1001,0),0), INDEX($AC$1004:$AS$1004,1,MATCH(COLUMNS($AC$1006:AH1006),$AC$1006:$AS$1006,0)))),"Fix")))</f>
        <v>0</v>
      </c>
      <c r="H251" s="5">
        <f>IF(OR(INDEX($W$2:$W$1001,MATCH(ROWS($V$2:V251),$V$2:$V$1001,0),1)&gt;=100000,INDEX($AC$1005:$AS$1005,1,MATCH(COLUMNS($AC$1006:AI1006),$AC$1006:$AS$1006,0))&gt;=100000), " ",IF(INDEX($AC$2:$AS$1001,MATCH(ROWS($V$2:V251),$V$2:$V$1001,0),MATCH(COLUMNS($AC$1006:AI1006),$AC$1006:$AS$1006,0)), HYPERLINK("#",""), HYPERLINK(CONCATENATE("#Metadata!", ADDRESS(INDEX($X$2:$X$1001,MATCH(ROWS($V$2:V251),$V$2:$V$1001,0),0), INDEX($AC$1004:$AS$1004,1,MATCH(COLUMNS($AC$1006:AI1006),$AC$1006:$AS$1006,0)))),"Fix")))</f>
        <v>0</v>
      </c>
      <c r="I251" s="5">
        <f>IF(OR(INDEX($W$2:$W$1001,MATCH(ROWS($V$2:V251),$V$2:$V$1001,0),1)&gt;=100000,INDEX($AC$1005:$AS$1005,1,MATCH(COLUMNS($AC$1006:AJ1006),$AC$1006:$AS$1006,0))&gt;=100000), " ",IF(INDEX($AC$2:$AS$1001,MATCH(ROWS($V$2:V251),$V$2:$V$1001,0),MATCH(COLUMNS($AC$1006:AJ1006),$AC$1006:$AS$1006,0)), HYPERLINK("#",""), HYPERLINK(CONCATENATE("#Metadata!", ADDRESS(INDEX($X$2:$X$1001,MATCH(ROWS($V$2:V251),$V$2:$V$1001,0),0), INDEX($AC$1004:$AS$1004,1,MATCH(COLUMNS($AC$1006:AJ1006),$AC$1006:$AS$1006,0)))),"Fix")))</f>
        <v>0</v>
      </c>
      <c r="J251" s="5">
        <f>IF(OR(INDEX($W$2:$W$1001,MATCH(ROWS($V$2:V251),$V$2:$V$1001,0),1)&gt;=100000,INDEX($AC$1005:$AS$1005,1,MATCH(COLUMNS($AC$1006:AK1006),$AC$1006:$AS$1006,0))&gt;=100000), " ",IF(INDEX($AC$2:$AS$1001,MATCH(ROWS($V$2:V251),$V$2:$V$1001,0),MATCH(COLUMNS($AC$1006:AK1006),$AC$1006:$AS$1006,0)), HYPERLINK("#",""), HYPERLINK(CONCATENATE("#Metadata!", ADDRESS(INDEX($X$2:$X$1001,MATCH(ROWS($V$2:V251),$V$2:$V$1001,0),0), INDEX($AC$1004:$AS$1004,1,MATCH(COLUMNS($AC$1006:AK1006),$AC$1006:$AS$1006,0)))),"Fix")))</f>
        <v>0</v>
      </c>
      <c r="K251" s="5">
        <f>IF(OR(INDEX($W$2:$W$1001,MATCH(ROWS($V$2:V251),$V$2:$V$1001,0),1)&gt;=100000,INDEX($AC$1005:$AS$1005,1,MATCH(COLUMNS($AC$1006:AL1006),$AC$1006:$AS$1006,0))&gt;=100000), " ",IF(INDEX($AC$2:$AS$1001,MATCH(ROWS($V$2:V251),$V$2:$V$1001,0),MATCH(COLUMNS($AC$1006:AL1006),$AC$1006:$AS$1006,0)), HYPERLINK("#",""), HYPERLINK(CONCATENATE("#Metadata!", ADDRESS(INDEX($X$2:$X$1001,MATCH(ROWS($V$2:V251),$V$2:$V$1001,0),0), INDEX($AC$1004:$AS$1004,1,MATCH(COLUMNS($AC$1006:AL1006),$AC$1006:$AS$1006,0)))),"Fix")))</f>
        <v>0</v>
      </c>
      <c r="L251" s="5">
        <f>IF(OR(INDEX($W$2:$W$1001,MATCH(ROWS($V$2:V251),$V$2:$V$1001,0),1)&gt;=100000,INDEX($AC$1005:$AS$1005,1,MATCH(COLUMNS($AC$1006:AM1006),$AC$1006:$AS$1006,0))&gt;=100000), " ",IF(INDEX($AC$2:$AS$1001,MATCH(ROWS($V$2:V251),$V$2:$V$1001,0),MATCH(COLUMNS($AC$1006:AM1006),$AC$1006:$AS$1006,0)), HYPERLINK("#",""), HYPERLINK(CONCATENATE("#Metadata!", ADDRESS(INDEX($X$2:$X$1001,MATCH(ROWS($V$2:V251),$V$2:$V$1001,0),0), INDEX($AC$1004:$AS$1004,1,MATCH(COLUMNS($AC$1006:AM1006),$AC$1006:$AS$1006,0)))),"Fix")))</f>
        <v>0</v>
      </c>
      <c r="M251" s="5">
        <f>IF(OR(INDEX($W$2:$W$1001,MATCH(ROWS($V$2:V251),$V$2:$V$1001,0),1)&gt;=100000,INDEX($AC$1005:$AS$1005,1,MATCH(COLUMNS($AC$1006:AN1006),$AC$1006:$AS$1006,0))&gt;=100000), " ",IF(INDEX($AC$2:$AS$1001,MATCH(ROWS($V$2:V251),$V$2:$V$1001,0),MATCH(COLUMNS($AC$1006:AN1006),$AC$1006:$AS$1006,0)), HYPERLINK("#",""), HYPERLINK(CONCATENATE("#Metadata!", ADDRESS(INDEX($X$2:$X$1001,MATCH(ROWS($V$2:V251),$V$2:$V$1001,0),0), INDEX($AC$1004:$AS$1004,1,MATCH(COLUMNS($AC$1006:AN1006),$AC$1006:$AS$1006,0)))),"Fix")))</f>
        <v>0</v>
      </c>
      <c r="N251" s="5">
        <f>IF(OR(INDEX($W$2:$W$1001,MATCH(ROWS($V$2:V251),$V$2:$V$1001,0),1)&gt;=100000,INDEX($AC$1005:$AS$1005,1,MATCH(COLUMNS($AC$1006:AO1006),$AC$1006:$AS$1006,0))&gt;=100000), " ",IF(INDEX($AC$2:$AS$1001,MATCH(ROWS($V$2:V251),$V$2:$V$1001,0),MATCH(COLUMNS($AC$1006:AO1006),$AC$1006:$AS$1006,0)), HYPERLINK("#",""), HYPERLINK(CONCATENATE("#Metadata!", ADDRESS(INDEX($X$2:$X$1001,MATCH(ROWS($V$2:V251),$V$2:$V$1001,0),0), INDEX($AC$1004:$AS$1004,1,MATCH(COLUMNS($AC$1006:AO1006),$AC$1006:$AS$1006,0)))),"Fix")))</f>
        <v>0</v>
      </c>
      <c r="O251" s="5">
        <f>IF(OR(INDEX($W$2:$W$1001,MATCH(ROWS($V$2:V251),$V$2:$V$1001,0),1)&gt;=100000,INDEX($AC$1005:$AS$1005,1,MATCH(COLUMNS($AC$1006:AP1006),$AC$1006:$AS$1006,0))&gt;=100000), " ",IF(INDEX($AC$2:$AS$1001,MATCH(ROWS($V$2:V251),$V$2:$V$1001,0),MATCH(COLUMNS($AC$1006:AP1006),$AC$1006:$AS$1006,0)), HYPERLINK("#",""), HYPERLINK(CONCATENATE("#Metadata!", ADDRESS(INDEX($X$2:$X$1001,MATCH(ROWS($V$2:V251),$V$2:$V$1001,0),0), INDEX($AC$1004:$AS$1004,1,MATCH(COLUMNS($AC$1006:AP1006),$AC$1006:$AS$1006,0)))),"Fix")))</f>
        <v>0</v>
      </c>
      <c r="P251" s="5">
        <f>IF(OR(INDEX($W$2:$W$1001,MATCH(ROWS($V$2:V251),$V$2:$V$1001,0),1)&gt;=100000,INDEX($AC$1005:$AS$1005,1,MATCH(COLUMNS($AC$1006:AQ1006),$AC$1006:$AS$1006,0))&gt;=100000), " ",IF(INDEX($AC$2:$AS$1001,MATCH(ROWS($V$2:V251),$V$2:$V$1001,0),MATCH(COLUMNS($AC$1006:AQ1006),$AC$1006:$AS$1006,0)), HYPERLINK("#",""), HYPERLINK(CONCATENATE("#Metadata!", ADDRESS(INDEX($X$2:$X$1001,MATCH(ROWS($V$2:V251),$V$2:$V$1001,0),0), INDEX($AC$1004:$AS$1004,1,MATCH(COLUMNS($AC$1006:AQ1006),$AC$1006:$AS$1006,0)))),"Fix")))</f>
        <v>0</v>
      </c>
      <c r="Q251" s="5">
        <f>IF(OR(INDEX($W$2:$W$1001,MATCH(ROWS($V$2:V251),$V$2:$V$1001,0),1)&gt;=100000,INDEX($AC$1005:$AS$1005,1,MATCH(COLUMNS($AC$1006:AR1006),$AC$1006:$AS$1006,0))&gt;=100000), " ",IF(INDEX($AC$2:$AS$1001,MATCH(ROWS($V$2:V251),$V$2:$V$1001,0),MATCH(COLUMNS($AC$1006:AR1006),$AC$1006:$AS$1006,0)), HYPERLINK("#",""), HYPERLINK(CONCATENATE("#Metadata!", ADDRESS(INDEX($X$2:$X$1001,MATCH(ROWS($V$2:V251),$V$2:$V$1001,0),0), INDEX($AC$1004:$AS$1004,1,MATCH(COLUMNS($AC$1006:AR1006),$AC$1006:$AS$1006,0)))),"Fix")))</f>
        <v>0</v>
      </c>
      <c r="R251" s="5">
        <f>IF(OR(INDEX($W$2:$W$1001,MATCH(ROWS($V$2:V251),$V$2:$V$1001,0),1)&gt;=100000,INDEX($AC$1005:$AS$1005,1,MATCH(COLUMNS($AC$1006:AS1006),$AC$1006:$AS$1006,0))&gt;=100000), " ",IF(INDEX($AC$2:$AS$1001,MATCH(ROWS($V$2:V251),$V$2:$V$1001,0),MATCH(COLUMNS($AC$1006:AS1006),$AC$1006:$AS$1006,0)), HYPERLINK("#",""), HYPERLINK(CONCATENATE("#Metadata!", ADDRESS(INDEX($X$2:$X$1001,MATCH(ROWS($V$2:V251),$V$2:$V$1001,0),0), INDEX($AC$1004:$AS$1004,1,MATCH(COLUMNS($AC$1006:AS1006),$AC$1006:$AS$1006,0)))),"Fix")))</f>
        <v>0</v>
      </c>
      <c r="V251">
        <v>0</v>
      </c>
      <c r="W251">
        <v>0</v>
      </c>
      <c r="X251">
        <v>0</v>
      </c>
      <c r="Y251">
        <f>IF(Z251,TRUE,AND(AC251:AS251))</f>
        <v>0</v>
      </c>
      <c r="Z251">
        <f>COUNTBLANK(Metadata!B251:R251)=COLUMNS(Metadata!B251:R251)</f>
        <v>0</v>
      </c>
      <c r="AA251">
        <v>0</v>
      </c>
      <c r="AC251">
        <f>AND(IF(Metadata!B251="",FALSE,TRUE),COUNTIF(Metadata!B:B, Metadata!B251) = 1,NOT(ISERROR(SUMPRODUCT(SEARCH(MID(Metadata!B251,ROW(INDIRECT("1:"&amp;LEN(Metadata!B251))), 1),"0123456789abcdefghijklmnopqrstuvwxyzABCDEFGHIJKLMNOPQRSTUVWXYZ.")))))</f>
        <v>0</v>
      </c>
      <c r="AD251">
        <f>AND(IF(Metadata!C251="",FALSE,TRUE),exact(Metadata!C251,"Host-associated"))</f>
        <v>0</v>
      </c>
      <c r="AE251">
        <f>AND(IF(Metadata!D251="",FALSE,TRUE),OR(exact(Metadata!D251,"Animal"),exact(Metadata!D251,"Fungus"),exact(Metadata!D251,"Plant")))</f>
        <v>0</v>
      </c>
      <c r="AF251">
        <f>AND(IF(Metadata!E251="",FALSE,TRUE),OR(exact(Metadata!E251,"Plant secretion"),exact(Metadata!E251,"Plant rhizosphere"),exact(Metadata!E251,"Plant surface"),exact(Metadata!E251,"Plant corpus"),exact(Metadata!E251,"Fungus surface"),exact(Metadata!E251,"Fungus corpus"),exact(Metadata!E251,"Animal surface"),exact(Metadata!E251,"Animal proximal gut"),exact(Metadata!E251,"Animal corpus"),exact(Metadata!E251,"Animal distal gut"),exact(Metadata!E251,"Animal secretion")))</f>
        <v>0</v>
      </c>
      <c r="AG251">
        <f>OR(AND(IF(Metadata!F251="",FALSE,TRUE),OR(exact(Metadata!F251,"not collected"),exact(Metadata!F251,"not provided"),exact(Metadata!F251,"restricted access"))),AND(IF(Metadata!F251="",FALSE,TRUE),OR(exact(Metadata!F251,"organism-associated habitat"),exact(Metadata!F251,"plant-associated habitat"),exact(Metadata!F251,"animal-associated habitat"),exact(Metadata!F251,"insecta-associated habitat"),exact(Metadata!F251,"mammalia-associated habitat"),exact(Metadata!F251,"human-associated habitat"),exact(Metadata!F251,"livestock-associated habitat"))))</f>
        <v>0</v>
      </c>
      <c r="AH251">
        <f>AND(IF(Metadata!G251="",FALSE,TRUE),exact(Metadata!G251,"host-associated"))</f>
        <v>0</v>
      </c>
      <c r="AI251">
        <f>OR(AND(IF(Metadata!H251="",FALSE,TRUE),OR(exact(Metadata!H251,"not collected"),exact(Metadata!H251,"not provided"))),AND(IF(Metadata!H251="",FALSE,ISNUMBER(VALUE(Metadata!H251))),Metadata!H251&gt;0))</f>
        <v>0</v>
      </c>
      <c r="AJ251">
        <f>AND(IF(Metadata!I251="",FALSE,TRUE),exact(Metadata!I251,"years"))</f>
        <v>0</v>
      </c>
      <c r="AK251">
        <f>IF(Metadata!J251="",FALSE,TRUE)</f>
        <v>0</v>
      </c>
      <c r="AL251">
        <f>OR(AND(IF(Metadata!K251="",FALSE,TRUE),OR(exact(Metadata!K251,"not collected"),exact(Metadata!K251,"not provided"))),AND(IF(Metadata!K251="",FALSE,ISNUMBER(VALUE(Metadata!K251))),Metadata!K251&gt;0))</f>
        <v>0</v>
      </c>
      <c r="AM251">
        <f>AND(IF(Metadata!L251="",FALSE,TRUE),exact(Metadata!L251,"cm"))</f>
        <v>0</v>
      </c>
      <c r="AN251">
        <f>IF(Metadata!M251="",FALSE,TRUE)</f>
        <v>0</v>
      </c>
      <c r="AO251">
        <f>OR(AND(IF(Metadata!N251="",FALSE,TRUE),OR(exact(Metadata!N251,"not applicable"),exact(Metadata!N251,"not collected"),exact(Metadata!N251,"not provided"))),AND(IF(Metadata!N251="",FALSE,IF(ISERROR(INT(Metadata!N251)),FALSE,INT(Metadata!N251)=Metadata!N251)),Metadata!N251&gt;0))</f>
        <v>0</v>
      </c>
      <c r="AP251">
        <f>OR(AND(IF(Metadata!O251="",FALSE,TRUE),OR(exact(Metadata!O251,"not collected"),exact(Metadata!O251,"not provided"))),AND(IF(Metadata!O251="",FALSE,ISNUMBER(VALUE(Metadata!O251))),Metadata!O251&gt;0))</f>
        <v>0</v>
      </c>
      <c r="AQ251">
        <f>AND(IF(Metadata!P251="",FALSE,TRUE),exact(Metadata!P251,"kg"))</f>
        <v>0</v>
      </c>
      <c r="AR251">
        <f>OR(AND(IF(Metadata!Q251="",FALSE,TRUE),OR(exact(Metadata!Q251,"not applicable"),exact(Metadata!Q251,"not collected"),exact(Metadata!Q251,"not provided"),exact(Metadata!Q251,"restricted access"))),IF(Metadata!Q251="",FALSE,IF(ISERROR(INT(Metadata!Q251)),FALSE,INT(Metadata!Q251)=Metadata!Q251)))</f>
        <v>0</v>
      </c>
      <c r="AS251">
        <f>AND(IF(Metadata!R251="",FALSE,TRUE),exact(Metadata!R251,"Not applicable"))</f>
        <v>0</v>
      </c>
    </row>
    <row r="252" spans="1:45">
      <c r="A252" s="4">
        <f>IF(B252=" "," ",HYPERLINK(CONCATENATE("#metadata!",ADDRESS(INDEX($X$2:$X$1001,MATCH(ROWS($V$2:V252),$V$2:$V$1001,0),0),2)),INDEX($AA$2:$AA$1001,MATCH(ROWS($V$2:V252),$V$2:$V$1001,0),0)))</f>
        <v>0</v>
      </c>
      <c r="B252" s="5">
        <f>IF(OR(INDEX($W$2:$W$1001,MATCH(ROWS($V$2:V252),$V$2:$V$1001,0),1)&gt;=100000,INDEX($AC$1005:$AS$1005,1,MATCH(COLUMNS($AC$1006:AC1006),$AC$1006:$AS$1006,0))&gt;=100000), " ",IF(INDEX($AC$2:$AS$1001,MATCH(ROWS($V$2:V252),$V$2:$V$1001,0),MATCH(COLUMNS($AC$1006:AC1006),$AC$1006:$AS$1006,0)), HYPERLINK("#",""), HYPERLINK(CONCATENATE("#Metadata!", ADDRESS(INDEX($X$2:$X$1001,MATCH(ROWS($V$2:V252),$V$2:$V$1001,0),0), INDEX($AC$1004:$AS$1004,1,MATCH(COLUMNS($AC$1006:AC1006),$AC$1006:$AS$1006,0)))),"Fix")))</f>
        <v>0</v>
      </c>
      <c r="C252" s="5">
        <f>IF(OR(INDEX($W$2:$W$1001,MATCH(ROWS($V$2:V252),$V$2:$V$1001,0),1)&gt;=100000,INDEX($AC$1005:$AS$1005,1,MATCH(COLUMNS($AC$1006:AD1006),$AC$1006:$AS$1006,0))&gt;=100000), " ",IF(INDEX($AC$2:$AS$1001,MATCH(ROWS($V$2:V252),$V$2:$V$1001,0),MATCH(COLUMNS($AC$1006:AD1006),$AC$1006:$AS$1006,0)), HYPERLINK("#",""), HYPERLINK(CONCATENATE("#Metadata!", ADDRESS(INDEX($X$2:$X$1001,MATCH(ROWS($V$2:V252),$V$2:$V$1001,0),0), INDEX($AC$1004:$AS$1004,1,MATCH(COLUMNS($AC$1006:AD1006),$AC$1006:$AS$1006,0)))),"Fix")))</f>
        <v>0</v>
      </c>
      <c r="D252" s="5">
        <f>IF(OR(INDEX($W$2:$W$1001,MATCH(ROWS($V$2:V252),$V$2:$V$1001,0),1)&gt;=100000,INDEX($AC$1005:$AS$1005,1,MATCH(COLUMNS($AC$1006:AE1006),$AC$1006:$AS$1006,0))&gt;=100000), " ",IF(INDEX($AC$2:$AS$1001,MATCH(ROWS($V$2:V252),$V$2:$V$1001,0),MATCH(COLUMNS($AC$1006:AE1006),$AC$1006:$AS$1006,0)), HYPERLINK("#",""), HYPERLINK(CONCATENATE("#Metadata!", ADDRESS(INDEX($X$2:$X$1001,MATCH(ROWS($V$2:V252),$V$2:$V$1001,0),0), INDEX($AC$1004:$AS$1004,1,MATCH(COLUMNS($AC$1006:AE1006),$AC$1006:$AS$1006,0)))),"Fix")))</f>
        <v>0</v>
      </c>
      <c r="E252" s="5">
        <f>IF(OR(INDEX($W$2:$W$1001,MATCH(ROWS($V$2:V252),$V$2:$V$1001,0),1)&gt;=100000,INDEX($AC$1005:$AS$1005,1,MATCH(COLUMNS($AC$1006:AF1006),$AC$1006:$AS$1006,0))&gt;=100000), " ",IF(INDEX($AC$2:$AS$1001,MATCH(ROWS($V$2:V252),$V$2:$V$1001,0),MATCH(COLUMNS($AC$1006:AF1006),$AC$1006:$AS$1006,0)), HYPERLINK("#",""), HYPERLINK(CONCATENATE("#Metadata!", ADDRESS(INDEX($X$2:$X$1001,MATCH(ROWS($V$2:V252),$V$2:$V$1001,0),0), INDEX($AC$1004:$AS$1004,1,MATCH(COLUMNS($AC$1006:AF1006),$AC$1006:$AS$1006,0)))),"Fix")))</f>
        <v>0</v>
      </c>
      <c r="F252" s="5">
        <f>IF(OR(INDEX($W$2:$W$1001,MATCH(ROWS($V$2:V252),$V$2:$V$1001,0),1)&gt;=100000,INDEX($AC$1005:$AS$1005,1,MATCH(COLUMNS($AC$1006:AG1006),$AC$1006:$AS$1006,0))&gt;=100000), " ",IF(INDEX($AC$2:$AS$1001,MATCH(ROWS($V$2:V252),$V$2:$V$1001,0),MATCH(COLUMNS($AC$1006:AG1006),$AC$1006:$AS$1006,0)), HYPERLINK("#",""), HYPERLINK(CONCATENATE("#Metadata!", ADDRESS(INDEX($X$2:$X$1001,MATCH(ROWS($V$2:V252),$V$2:$V$1001,0),0), INDEX($AC$1004:$AS$1004,1,MATCH(COLUMNS($AC$1006:AG1006),$AC$1006:$AS$1006,0)))),"Fix")))</f>
        <v>0</v>
      </c>
      <c r="G252" s="5">
        <f>IF(OR(INDEX($W$2:$W$1001,MATCH(ROWS($V$2:V252),$V$2:$V$1001,0),1)&gt;=100000,INDEX($AC$1005:$AS$1005,1,MATCH(COLUMNS($AC$1006:AH1006),$AC$1006:$AS$1006,0))&gt;=100000), " ",IF(INDEX($AC$2:$AS$1001,MATCH(ROWS($V$2:V252),$V$2:$V$1001,0),MATCH(COLUMNS($AC$1006:AH1006),$AC$1006:$AS$1006,0)), HYPERLINK("#",""), HYPERLINK(CONCATENATE("#Metadata!", ADDRESS(INDEX($X$2:$X$1001,MATCH(ROWS($V$2:V252),$V$2:$V$1001,0),0), INDEX($AC$1004:$AS$1004,1,MATCH(COLUMNS($AC$1006:AH1006),$AC$1006:$AS$1006,0)))),"Fix")))</f>
        <v>0</v>
      </c>
      <c r="H252" s="5">
        <f>IF(OR(INDEX($W$2:$W$1001,MATCH(ROWS($V$2:V252),$V$2:$V$1001,0),1)&gt;=100000,INDEX($AC$1005:$AS$1005,1,MATCH(COLUMNS($AC$1006:AI1006),$AC$1006:$AS$1006,0))&gt;=100000), " ",IF(INDEX($AC$2:$AS$1001,MATCH(ROWS($V$2:V252),$V$2:$V$1001,0),MATCH(COLUMNS($AC$1006:AI1006),$AC$1006:$AS$1006,0)), HYPERLINK("#",""), HYPERLINK(CONCATENATE("#Metadata!", ADDRESS(INDEX($X$2:$X$1001,MATCH(ROWS($V$2:V252),$V$2:$V$1001,0),0), INDEX($AC$1004:$AS$1004,1,MATCH(COLUMNS($AC$1006:AI1006),$AC$1006:$AS$1006,0)))),"Fix")))</f>
        <v>0</v>
      </c>
      <c r="I252" s="5">
        <f>IF(OR(INDEX($W$2:$W$1001,MATCH(ROWS($V$2:V252),$V$2:$V$1001,0),1)&gt;=100000,INDEX($AC$1005:$AS$1005,1,MATCH(COLUMNS($AC$1006:AJ1006),$AC$1006:$AS$1006,0))&gt;=100000), " ",IF(INDEX($AC$2:$AS$1001,MATCH(ROWS($V$2:V252),$V$2:$V$1001,0),MATCH(COLUMNS($AC$1006:AJ1006),$AC$1006:$AS$1006,0)), HYPERLINK("#",""), HYPERLINK(CONCATENATE("#Metadata!", ADDRESS(INDEX($X$2:$X$1001,MATCH(ROWS($V$2:V252),$V$2:$V$1001,0),0), INDEX($AC$1004:$AS$1004,1,MATCH(COLUMNS($AC$1006:AJ1006),$AC$1006:$AS$1006,0)))),"Fix")))</f>
        <v>0</v>
      </c>
      <c r="J252" s="5">
        <f>IF(OR(INDEX($W$2:$W$1001,MATCH(ROWS($V$2:V252),$V$2:$V$1001,0),1)&gt;=100000,INDEX($AC$1005:$AS$1005,1,MATCH(COLUMNS($AC$1006:AK1006),$AC$1006:$AS$1006,0))&gt;=100000), " ",IF(INDEX($AC$2:$AS$1001,MATCH(ROWS($V$2:V252),$V$2:$V$1001,0),MATCH(COLUMNS($AC$1006:AK1006),$AC$1006:$AS$1006,0)), HYPERLINK("#",""), HYPERLINK(CONCATENATE("#Metadata!", ADDRESS(INDEX($X$2:$X$1001,MATCH(ROWS($V$2:V252),$V$2:$V$1001,0),0), INDEX($AC$1004:$AS$1004,1,MATCH(COLUMNS($AC$1006:AK1006),$AC$1006:$AS$1006,0)))),"Fix")))</f>
        <v>0</v>
      </c>
      <c r="K252" s="5">
        <f>IF(OR(INDEX($W$2:$W$1001,MATCH(ROWS($V$2:V252),$V$2:$V$1001,0),1)&gt;=100000,INDEX($AC$1005:$AS$1005,1,MATCH(COLUMNS($AC$1006:AL1006),$AC$1006:$AS$1006,0))&gt;=100000), " ",IF(INDEX($AC$2:$AS$1001,MATCH(ROWS($V$2:V252),$V$2:$V$1001,0),MATCH(COLUMNS($AC$1006:AL1006),$AC$1006:$AS$1006,0)), HYPERLINK("#",""), HYPERLINK(CONCATENATE("#Metadata!", ADDRESS(INDEX($X$2:$X$1001,MATCH(ROWS($V$2:V252),$V$2:$V$1001,0),0), INDEX($AC$1004:$AS$1004,1,MATCH(COLUMNS($AC$1006:AL1006),$AC$1006:$AS$1006,0)))),"Fix")))</f>
        <v>0</v>
      </c>
      <c r="L252" s="5">
        <f>IF(OR(INDEX($W$2:$W$1001,MATCH(ROWS($V$2:V252),$V$2:$V$1001,0),1)&gt;=100000,INDEX($AC$1005:$AS$1005,1,MATCH(COLUMNS($AC$1006:AM1006),$AC$1006:$AS$1006,0))&gt;=100000), " ",IF(INDEX($AC$2:$AS$1001,MATCH(ROWS($V$2:V252),$V$2:$V$1001,0),MATCH(COLUMNS($AC$1006:AM1006),$AC$1006:$AS$1006,0)), HYPERLINK("#",""), HYPERLINK(CONCATENATE("#Metadata!", ADDRESS(INDEX($X$2:$X$1001,MATCH(ROWS($V$2:V252),$V$2:$V$1001,0),0), INDEX($AC$1004:$AS$1004,1,MATCH(COLUMNS($AC$1006:AM1006),$AC$1006:$AS$1006,0)))),"Fix")))</f>
        <v>0</v>
      </c>
      <c r="M252" s="5">
        <f>IF(OR(INDEX($W$2:$W$1001,MATCH(ROWS($V$2:V252),$V$2:$V$1001,0),1)&gt;=100000,INDEX($AC$1005:$AS$1005,1,MATCH(COLUMNS($AC$1006:AN1006),$AC$1006:$AS$1006,0))&gt;=100000), " ",IF(INDEX($AC$2:$AS$1001,MATCH(ROWS($V$2:V252),$V$2:$V$1001,0),MATCH(COLUMNS($AC$1006:AN1006),$AC$1006:$AS$1006,0)), HYPERLINK("#",""), HYPERLINK(CONCATENATE("#Metadata!", ADDRESS(INDEX($X$2:$X$1001,MATCH(ROWS($V$2:V252),$V$2:$V$1001,0),0), INDEX($AC$1004:$AS$1004,1,MATCH(COLUMNS($AC$1006:AN1006),$AC$1006:$AS$1006,0)))),"Fix")))</f>
        <v>0</v>
      </c>
      <c r="N252" s="5">
        <f>IF(OR(INDEX($W$2:$W$1001,MATCH(ROWS($V$2:V252),$V$2:$V$1001,0),1)&gt;=100000,INDEX($AC$1005:$AS$1005,1,MATCH(COLUMNS($AC$1006:AO1006),$AC$1006:$AS$1006,0))&gt;=100000), " ",IF(INDEX($AC$2:$AS$1001,MATCH(ROWS($V$2:V252),$V$2:$V$1001,0),MATCH(COLUMNS($AC$1006:AO1006),$AC$1006:$AS$1006,0)), HYPERLINK("#",""), HYPERLINK(CONCATENATE("#Metadata!", ADDRESS(INDEX($X$2:$X$1001,MATCH(ROWS($V$2:V252),$V$2:$V$1001,0),0), INDEX($AC$1004:$AS$1004,1,MATCH(COLUMNS($AC$1006:AO1006),$AC$1006:$AS$1006,0)))),"Fix")))</f>
        <v>0</v>
      </c>
      <c r="O252" s="5">
        <f>IF(OR(INDEX($W$2:$W$1001,MATCH(ROWS($V$2:V252),$V$2:$V$1001,0),1)&gt;=100000,INDEX($AC$1005:$AS$1005,1,MATCH(COLUMNS($AC$1006:AP1006),$AC$1006:$AS$1006,0))&gt;=100000), " ",IF(INDEX($AC$2:$AS$1001,MATCH(ROWS($V$2:V252),$V$2:$V$1001,0),MATCH(COLUMNS($AC$1006:AP1006),$AC$1006:$AS$1006,0)), HYPERLINK("#",""), HYPERLINK(CONCATENATE("#Metadata!", ADDRESS(INDEX($X$2:$X$1001,MATCH(ROWS($V$2:V252),$V$2:$V$1001,0),0), INDEX($AC$1004:$AS$1004,1,MATCH(COLUMNS($AC$1006:AP1006),$AC$1006:$AS$1006,0)))),"Fix")))</f>
        <v>0</v>
      </c>
      <c r="P252" s="5">
        <f>IF(OR(INDEX($W$2:$W$1001,MATCH(ROWS($V$2:V252),$V$2:$V$1001,0),1)&gt;=100000,INDEX($AC$1005:$AS$1005,1,MATCH(COLUMNS($AC$1006:AQ1006),$AC$1006:$AS$1006,0))&gt;=100000), " ",IF(INDEX($AC$2:$AS$1001,MATCH(ROWS($V$2:V252),$V$2:$V$1001,0),MATCH(COLUMNS($AC$1006:AQ1006),$AC$1006:$AS$1006,0)), HYPERLINK("#",""), HYPERLINK(CONCATENATE("#Metadata!", ADDRESS(INDEX($X$2:$X$1001,MATCH(ROWS($V$2:V252),$V$2:$V$1001,0),0), INDEX($AC$1004:$AS$1004,1,MATCH(COLUMNS($AC$1006:AQ1006),$AC$1006:$AS$1006,0)))),"Fix")))</f>
        <v>0</v>
      </c>
      <c r="Q252" s="5">
        <f>IF(OR(INDEX($W$2:$W$1001,MATCH(ROWS($V$2:V252),$V$2:$V$1001,0),1)&gt;=100000,INDEX($AC$1005:$AS$1005,1,MATCH(COLUMNS($AC$1006:AR1006),$AC$1006:$AS$1006,0))&gt;=100000), " ",IF(INDEX($AC$2:$AS$1001,MATCH(ROWS($V$2:V252),$V$2:$V$1001,0),MATCH(COLUMNS($AC$1006:AR1006),$AC$1006:$AS$1006,0)), HYPERLINK("#",""), HYPERLINK(CONCATENATE("#Metadata!", ADDRESS(INDEX($X$2:$X$1001,MATCH(ROWS($V$2:V252),$V$2:$V$1001,0),0), INDEX($AC$1004:$AS$1004,1,MATCH(COLUMNS($AC$1006:AR1006),$AC$1006:$AS$1006,0)))),"Fix")))</f>
        <v>0</v>
      </c>
      <c r="R252" s="5">
        <f>IF(OR(INDEX($W$2:$W$1001,MATCH(ROWS($V$2:V252),$V$2:$V$1001,0),1)&gt;=100000,INDEX($AC$1005:$AS$1005,1,MATCH(COLUMNS($AC$1006:AS1006),$AC$1006:$AS$1006,0))&gt;=100000), " ",IF(INDEX($AC$2:$AS$1001,MATCH(ROWS($V$2:V252),$V$2:$V$1001,0),MATCH(COLUMNS($AC$1006:AS1006),$AC$1006:$AS$1006,0)), HYPERLINK("#",""), HYPERLINK(CONCATENATE("#Metadata!", ADDRESS(INDEX($X$2:$X$1001,MATCH(ROWS($V$2:V252),$V$2:$V$1001,0),0), INDEX($AC$1004:$AS$1004,1,MATCH(COLUMNS($AC$1006:AS1006),$AC$1006:$AS$1006,0)))),"Fix")))</f>
        <v>0</v>
      </c>
      <c r="V252">
        <v>0</v>
      </c>
      <c r="W252">
        <v>0</v>
      </c>
      <c r="X252">
        <v>0</v>
      </c>
      <c r="Y252">
        <f>IF(Z252,TRUE,AND(AC252:AS252))</f>
        <v>0</v>
      </c>
      <c r="Z252">
        <f>COUNTBLANK(Metadata!B252:R252)=COLUMNS(Metadata!B252:R252)</f>
        <v>0</v>
      </c>
      <c r="AA252">
        <v>0</v>
      </c>
      <c r="AC252">
        <f>AND(IF(Metadata!B252="",FALSE,TRUE),COUNTIF(Metadata!B:B, Metadata!B252) = 1,NOT(ISERROR(SUMPRODUCT(SEARCH(MID(Metadata!B252,ROW(INDIRECT("1:"&amp;LEN(Metadata!B252))), 1),"0123456789abcdefghijklmnopqrstuvwxyzABCDEFGHIJKLMNOPQRSTUVWXYZ.")))))</f>
        <v>0</v>
      </c>
      <c r="AD252">
        <f>AND(IF(Metadata!C252="",FALSE,TRUE),exact(Metadata!C252,"Host-associated"))</f>
        <v>0</v>
      </c>
      <c r="AE252">
        <f>AND(IF(Metadata!D252="",FALSE,TRUE),OR(exact(Metadata!D252,"Animal"),exact(Metadata!D252,"Fungus"),exact(Metadata!D252,"Plant")))</f>
        <v>0</v>
      </c>
      <c r="AF252">
        <f>AND(IF(Metadata!E252="",FALSE,TRUE),OR(exact(Metadata!E252,"Plant secretion"),exact(Metadata!E252,"Plant rhizosphere"),exact(Metadata!E252,"Plant surface"),exact(Metadata!E252,"Plant corpus"),exact(Metadata!E252,"Fungus surface"),exact(Metadata!E252,"Fungus corpus"),exact(Metadata!E252,"Animal surface"),exact(Metadata!E252,"Animal proximal gut"),exact(Metadata!E252,"Animal corpus"),exact(Metadata!E252,"Animal distal gut"),exact(Metadata!E252,"Animal secretion")))</f>
        <v>0</v>
      </c>
      <c r="AG252">
        <f>OR(AND(IF(Metadata!F252="",FALSE,TRUE),OR(exact(Metadata!F252,"not collected"),exact(Metadata!F252,"not provided"),exact(Metadata!F252,"restricted access"))),AND(IF(Metadata!F252="",FALSE,TRUE),OR(exact(Metadata!F252,"organism-associated habitat"),exact(Metadata!F252,"plant-associated habitat"),exact(Metadata!F252,"animal-associated habitat"),exact(Metadata!F252,"insecta-associated habitat"),exact(Metadata!F252,"mammalia-associated habitat"),exact(Metadata!F252,"human-associated habitat"),exact(Metadata!F252,"livestock-associated habitat"))))</f>
        <v>0</v>
      </c>
      <c r="AH252">
        <f>AND(IF(Metadata!G252="",FALSE,TRUE),exact(Metadata!G252,"host-associated"))</f>
        <v>0</v>
      </c>
      <c r="AI252">
        <f>OR(AND(IF(Metadata!H252="",FALSE,TRUE),OR(exact(Metadata!H252,"not collected"),exact(Metadata!H252,"not provided"))),AND(IF(Metadata!H252="",FALSE,ISNUMBER(VALUE(Metadata!H252))),Metadata!H252&gt;0))</f>
        <v>0</v>
      </c>
      <c r="AJ252">
        <f>AND(IF(Metadata!I252="",FALSE,TRUE),exact(Metadata!I252,"years"))</f>
        <v>0</v>
      </c>
      <c r="AK252">
        <f>IF(Metadata!J252="",FALSE,TRUE)</f>
        <v>0</v>
      </c>
      <c r="AL252">
        <f>OR(AND(IF(Metadata!K252="",FALSE,TRUE),OR(exact(Metadata!K252,"not collected"),exact(Metadata!K252,"not provided"))),AND(IF(Metadata!K252="",FALSE,ISNUMBER(VALUE(Metadata!K252))),Metadata!K252&gt;0))</f>
        <v>0</v>
      </c>
      <c r="AM252">
        <f>AND(IF(Metadata!L252="",FALSE,TRUE),exact(Metadata!L252,"cm"))</f>
        <v>0</v>
      </c>
      <c r="AN252">
        <f>IF(Metadata!M252="",FALSE,TRUE)</f>
        <v>0</v>
      </c>
      <c r="AO252">
        <f>OR(AND(IF(Metadata!N252="",FALSE,TRUE),OR(exact(Metadata!N252,"not applicable"),exact(Metadata!N252,"not collected"),exact(Metadata!N252,"not provided"))),AND(IF(Metadata!N252="",FALSE,IF(ISERROR(INT(Metadata!N252)),FALSE,INT(Metadata!N252)=Metadata!N252)),Metadata!N252&gt;0))</f>
        <v>0</v>
      </c>
      <c r="AP252">
        <f>OR(AND(IF(Metadata!O252="",FALSE,TRUE),OR(exact(Metadata!O252,"not collected"),exact(Metadata!O252,"not provided"))),AND(IF(Metadata!O252="",FALSE,ISNUMBER(VALUE(Metadata!O252))),Metadata!O252&gt;0))</f>
        <v>0</v>
      </c>
      <c r="AQ252">
        <f>AND(IF(Metadata!P252="",FALSE,TRUE),exact(Metadata!P252,"kg"))</f>
        <v>0</v>
      </c>
      <c r="AR252">
        <f>OR(AND(IF(Metadata!Q252="",FALSE,TRUE),OR(exact(Metadata!Q252,"not applicable"),exact(Metadata!Q252,"not collected"),exact(Metadata!Q252,"not provided"),exact(Metadata!Q252,"restricted access"))),IF(Metadata!Q252="",FALSE,IF(ISERROR(INT(Metadata!Q252)),FALSE,INT(Metadata!Q252)=Metadata!Q252)))</f>
        <v>0</v>
      </c>
      <c r="AS252">
        <f>AND(IF(Metadata!R252="",FALSE,TRUE),exact(Metadata!R252,"Not applicable"))</f>
        <v>0</v>
      </c>
    </row>
    <row r="253" spans="1:45">
      <c r="A253" s="4">
        <f>IF(B253=" "," ",HYPERLINK(CONCATENATE("#metadata!",ADDRESS(INDEX($X$2:$X$1001,MATCH(ROWS($V$2:V253),$V$2:$V$1001,0),0),2)),INDEX($AA$2:$AA$1001,MATCH(ROWS($V$2:V253),$V$2:$V$1001,0),0)))</f>
        <v>0</v>
      </c>
      <c r="B253" s="5">
        <f>IF(OR(INDEX($W$2:$W$1001,MATCH(ROWS($V$2:V253),$V$2:$V$1001,0),1)&gt;=100000,INDEX($AC$1005:$AS$1005,1,MATCH(COLUMNS($AC$1006:AC1006),$AC$1006:$AS$1006,0))&gt;=100000), " ",IF(INDEX($AC$2:$AS$1001,MATCH(ROWS($V$2:V253),$V$2:$V$1001,0),MATCH(COLUMNS($AC$1006:AC1006),$AC$1006:$AS$1006,0)), HYPERLINK("#",""), HYPERLINK(CONCATENATE("#Metadata!", ADDRESS(INDEX($X$2:$X$1001,MATCH(ROWS($V$2:V253),$V$2:$V$1001,0),0), INDEX($AC$1004:$AS$1004,1,MATCH(COLUMNS($AC$1006:AC1006),$AC$1006:$AS$1006,0)))),"Fix")))</f>
        <v>0</v>
      </c>
      <c r="C253" s="5">
        <f>IF(OR(INDEX($W$2:$W$1001,MATCH(ROWS($V$2:V253),$V$2:$V$1001,0),1)&gt;=100000,INDEX($AC$1005:$AS$1005,1,MATCH(COLUMNS($AC$1006:AD1006),$AC$1006:$AS$1006,0))&gt;=100000), " ",IF(INDEX($AC$2:$AS$1001,MATCH(ROWS($V$2:V253),$V$2:$V$1001,0),MATCH(COLUMNS($AC$1006:AD1006),$AC$1006:$AS$1006,0)), HYPERLINK("#",""), HYPERLINK(CONCATENATE("#Metadata!", ADDRESS(INDEX($X$2:$X$1001,MATCH(ROWS($V$2:V253),$V$2:$V$1001,0),0), INDEX($AC$1004:$AS$1004,1,MATCH(COLUMNS($AC$1006:AD1006),$AC$1006:$AS$1006,0)))),"Fix")))</f>
        <v>0</v>
      </c>
      <c r="D253" s="5">
        <f>IF(OR(INDEX($W$2:$W$1001,MATCH(ROWS($V$2:V253),$V$2:$V$1001,0),1)&gt;=100000,INDEX($AC$1005:$AS$1005,1,MATCH(COLUMNS($AC$1006:AE1006),$AC$1006:$AS$1006,0))&gt;=100000), " ",IF(INDEX($AC$2:$AS$1001,MATCH(ROWS($V$2:V253),$V$2:$V$1001,0),MATCH(COLUMNS($AC$1006:AE1006),$AC$1006:$AS$1006,0)), HYPERLINK("#",""), HYPERLINK(CONCATENATE("#Metadata!", ADDRESS(INDEX($X$2:$X$1001,MATCH(ROWS($V$2:V253),$V$2:$V$1001,0),0), INDEX($AC$1004:$AS$1004,1,MATCH(COLUMNS($AC$1006:AE1006),$AC$1006:$AS$1006,0)))),"Fix")))</f>
        <v>0</v>
      </c>
      <c r="E253" s="5">
        <f>IF(OR(INDEX($W$2:$W$1001,MATCH(ROWS($V$2:V253),$V$2:$V$1001,0),1)&gt;=100000,INDEX($AC$1005:$AS$1005,1,MATCH(COLUMNS($AC$1006:AF1006),$AC$1006:$AS$1006,0))&gt;=100000), " ",IF(INDEX($AC$2:$AS$1001,MATCH(ROWS($V$2:V253),$V$2:$V$1001,0),MATCH(COLUMNS($AC$1006:AF1006),$AC$1006:$AS$1006,0)), HYPERLINK("#",""), HYPERLINK(CONCATENATE("#Metadata!", ADDRESS(INDEX($X$2:$X$1001,MATCH(ROWS($V$2:V253),$V$2:$V$1001,0),0), INDEX($AC$1004:$AS$1004,1,MATCH(COLUMNS($AC$1006:AF1006),$AC$1006:$AS$1006,0)))),"Fix")))</f>
        <v>0</v>
      </c>
      <c r="F253" s="5">
        <f>IF(OR(INDEX($W$2:$W$1001,MATCH(ROWS($V$2:V253),$V$2:$V$1001,0),1)&gt;=100000,INDEX($AC$1005:$AS$1005,1,MATCH(COLUMNS($AC$1006:AG1006),$AC$1006:$AS$1006,0))&gt;=100000), " ",IF(INDEX($AC$2:$AS$1001,MATCH(ROWS($V$2:V253),$V$2:$V$1001,0),MATCH(COLUMNS($AC$1006:AG1006),$AC$1006:$AS$1006,0)), HYPERLINK("#",""), HYPERLINK(CONCATENATE("#Metadata!", ADDRESS(INDEX($X$2:$X$1001,MATCH(ROWS($V$2:V253),$V$2:$V$1001,0),0), INDEX($AC$1004:$AS$1004,1,MATCH(COLUMNS($AC$1006:AG1006),$AC$1006:$AS$1006,0)))),"Fix")))</f>
        <v>0</v>
      </c>
      <c r="G253" s="5">
        <f>IF(OR(INDEX($W$2:$W$1001,MATCH(ROWS($V$2:V253),$V$2:$V$1001,0),1)&gt;=100000,INDEX($AC$1005:$AS$1005,1,MATCH(COLUMNS($AC$1006:AH1006),$AC$1006:$AS$1006,0))&gt;=100000), " ",IF(INDEX($AC$2:$AS$1001,MATCH(ROWS($V$2:V253),$V$2:$V$1001,0),MATCH(COLUMNS($AC$1006:AH1006),$AC$1006:$AS$1006,0)), HYPERLINK("#",""), HYPERLINK(CONCATENATE("#Metadata!", ADDRESS(INDEX($X$2:$X$1001,MATCH(ROWS($V$2:V253),$V$2:$V$1001,0),0), INDEX($AC$1004:$AS$1004,1,MATCH(COLUMNS($AC$1006:AH1006),$AC$1006:$AS$1006,0)))),"Fix")))</f>
        <v>0</v>
      </c>
      <c r="H253" s="5">
        <f>IF(OR(INDEX($W$2:$W$1001,MATCH(ROWS($V$2:V253),$V$2:$V$1001,0),1)&gt;=100000,INDEX($AC$1005:$AS$1005,1,MATCH(COLUMNS($AC$1006:AI1006),$AC$1006:$AS$1006,0))&gt;=100000), " ",IF(INDEX($AC$2:$AS$1001,MATCH(ROWS($V$2:V253),$V$2:$V$1001,0),MATCH(COLUMNS($AC$1006:AI1006),$AC$1006:$AS$1006,0)), HYPERLINK("#",""), HYPERLINK(CONCATENATE("#Metadata!", ADDRESS(INDEX($X$2:$X$1001,MATCH(ROWS($V$2:V253),$V$2:$V$1001,0),0), INDEX($AC$1004:$AS$1004,1,MATCH(COLUMNS($AC$1006:AI1006),$AC$1006:$AS$1006,0)))),"Fix")))</f>
        <v>0</v>
      </c>
      <c r="I253" s="5">
        <f>IF(OR(INDEX($W$2:$W$1001,MATCH(ROWS($V$2:V253),$V$2:$V$1001,0),1)&gt;=100000,INDEX($AC$1005:$AS$1005,1,MATCH(COLUMNS($AC$1006:AJ1006),$AC$1006:$AS$1006,0))&gt;=100000), " ",IF(INDEX($AC$2:$AS$1001,MATCH(ROWS($V$2:V253),$V$2:$V$1001,0),MATCH(COLUMNS($AC$1006:AJ1006),$AC$1006:$AS$1006,0)), HYPERLINK("#",""), HYPERLINK(CONCATENATE("#Metadata!", ADDRESS(INDEX($X$2:$X$1001,MATCH(ROWS($V$2:V253),$V$2:$V$1001,0),0), INDEX($AC$1004:$AS$1004,1,MATCH(COLUMNS($AC$1006:AJ1006),$AC$1006:$AS$1006,0)))),"Fix")))</f>
        <v>0</v>
      </c>
      <c r="J253" s="5">
        <f>IF(OR(INDEX($W$2:$W$1001,MATCH(ROWS($V$2:V253),$V$2:$V$1001,0),1)&gt;=100000,INDEX($AC$1005:$AS$1005,1,MATCH(COLUMNS($AC$1006:AK1006),$AC$1006:$AS$1006,0))&gt;=100000), " ",IF(INDEX($AC$2:$AS$1001,MATCH(ROWS($V$2:V253),$V$2:$V$1001,0),MATCH(COLUMNS($AC$1006:AK1006),$AC$1006:$AS$1006,0)), HYPERLINK("#",""), HYPERLINK(CONCATENATE("#Metadata!", ADDRESS(INDEX($X$2:$X$1001,MATCH(ROWS($V$2:V253),$V$2:$V$1001,0),0), INDEX($AC$1004:$AS$1004,1,MATCH(COLUMNS($AC$1006:AK1006),$AC$1006:$AS$1006,0)))),"Fix")))</f>
        <v>0</v>
      </c>
      <c r="K253" s="5">
        <f>IF(OR(INDEX($W$2:$W$1001,MATCH(ROWS($V$2:V253),$V$2:$V$1001,0),1)&gt;=100000,INDEX($AC$1005:$AS$1005,1,MATCH(COLUMNS($AC$1006:AL1006),$AC$1006:$AS$1006,0))&gt;=100000), " ",IF(INDEX($AC$2:$AS$1001,MATCH(ROWS($V$2:V253),$V$2:$V$1001,0),MATCH(COLUMNS($AC$1006:AL1006),$AC$1006:$AS$1006,0)), HYPERLINK("#",""), HYPERLINK(CONCATENATE("#Metadata!", ADDRESS(INDEX($X$2:$X$1001,MATCH(ROWS($V$2:V253),$V$2:$V$1001,0),0), INDEX($AC$1004:$AS$1004,1,MATCH(COLUMNS($AC$1006:AL1006),$AC$1006:$AS$1006,0)))),"Fix")))</f>
        <v>0</v>
      </c>
      <c r="L253" s="5">
        <f>IF(OR(INDEX($W$2:$W$1001,MATCH(ROWS($V$2:V253),$V$2:$V$1001,0),1)&gt;=100000,INDEX($AC$1005:$AS$1005,1,MATCH(COLUMNS($AC$1006:AM1006),$AC$1006:$AS$1006,0))&gt;=100000), " ",IF(INDEX($AC$2:$AS$1001,MATCH(ROWS($V$2:V253),$V$2:$V$1001,0),MATCH(COLUMNS($AC$1006:AM1006),$AC$1006:$AS$1006,0)), HYPERLINK("#",""), HYPERLINK(CONCATENATE("#Metadata!", ADDRESS(INDEX($X$2:$X$1001,MATCH(ROWS($V$2:V253),$V$2:$V$1001,0),0), INDEX($AC$1004:$AS$1004,1,MATCH(COLUMNS($AC$1006:AM1006),$AC$1006:$AS$1006,0)))),"Fix")))</f>
        <v>0</v>
      </c>
      <c r="M253" s="5">
        <f>IF(OR(INDEX($W$2:$W$1001,MATCH(ROWS($V$2:V253),$V$2:$V$1001,0),1)&gt;=100000,INDEX($AC$1005:$AS$1005,1,MATCH(COLUMNS($AC$1006:AN1006),$AC$1006:$AS$1006,0))&gt;=100000), " ",IF(INDEX($AC$2:$AS$1001,MATCH(ROWS($V$2:V253),$V$2:$V$1001,0),MATCH(COLUMNS($AC$1006:AN1006),$AC$1006:$AS$1006,0)), HYPERLINK("#",""), HYPERLINK(CONCATENATE("#Metadata!", ADDRESS(INDEX($X$2:$X$1001,MATCH(ROWS($V$2:V253),$V$2:$V$1001,0),0), INDEX($AC$1004:$AS$1004,1,MATCH(COLUMNS($AC$1006:AN1006),$AC$1006:$AS$1006,0)))),"Fix")))</f>
        <v>0</v>
      </c>
      <c r="N253" s="5">
        <f>IF(OR(INDEX($W$2:$W$1001,MATCH(ROWS($V$2:V253),$V$2:$V$1001,0),1)&gt;=100000,INDEX($AC$1005:$AS$1005,1,MATCH(COLUMNS($AC$1006:AO1006),$AC$1006:$AS$1006,0))&gt;=100000), " ",IF(INDEX($AC$2:$AS$1001,MATCH(ROWS($V$2:V253),$V$2:$V$1001,0),MATCH(COLUMNS($AC$1006:AO1006),$AC$1006:$AS$1006,0)), HYPERLINK("#",""), HYPERLINK(CONCATENATE("#Metadata!", ADDRESS(INDEX($X$2:$X$1001,MATCH(ROWS($V$2:V253),$V$2:$V$1001,0),0), INDEX($AC$1004:$AS$1004,1,MATCH(COLUMNS($AC$1006:AO1006),$AC$1006:$AS$1006,0)))),"Fix")))</f>
        <v>0</v>
      </c>
      <c r="O253" s="5">
        <f>IF(OR(INDEX($W$2:$W$1001,MATCH(ROWS($V$2:V253),$V$2:$V$1001,0),1)&gt;=100000,INDEX($AC$1005:$AS$1005,1,MATCH(COLUMNS($AC$1006:AP1006),$AC$1006:$AS$1006,0))&gt;=100000), " ",IF(INDEX($AC$2:$AS$1001,MATCH(ROWS($V$2:V253),$V$2:$V$1001,0),MATCH(COLUMNS($AC$1006:AP1006),$AC$1006:$AS$1006,0)), HYPERLINK("#",""), HYPERLINK(CONCATENATE("#Metadata!", ADDRESS(INDEX($X$2:$X$1001,MATCH(ROWS($V$2:V253),$V$2:$V$1001,0),0), INDEX($AC$1004:$AS$1004,1,MATCH(COLUMNS($AC$1006:AP1006),$AC$1006:$AS$1006,0)))),"Fix")))</f>
        <v>0</v>
      </c>
      <c r="P253" s="5">
        <f>IF(OR(INDEX($W$2:$W$1001,MATCH(ROWS($V$2:V253),$V$2:$V$1001,0),1)&gt;=100000,INDEX($AC$1005:$AS$1005,1,MATCH(COLUMNS($AC$1006:AQ1006),$AC$1006:$AS$1006,0))&gt;=100000), " ",IF(INDEX($AC$2:$AS$1001,MATCH(ROWS($V$2:V253),$V$2:$V$1001,0),MATCH(COLUMNS($AC$1006:AQ1006),$AC$1006:$AS$1006,0)), HYPERLINK("#",""), HYPERLINK(CONCATENATE("#Metadata!", ADDRESS(INDEX($X$2:$X$1001,MATCH(ROWS($V$2:V253),$V$2:$V$1001,0),0), INDEX($AC$1004:$AS$1004,1,MATCH(COLUMNS($AC$1006:AQ1006),$AC$1006:$AS$1006,0)))),"Fix")))</f>
        <v>0</v>
      </c>
      <c r="Q253" s="5">
        <f>IF(OR(INDEX($W$2:$W$1001,MATCH(ROWS($V$2:V253),$V$2:$V$1001,0),1)&gt;=100000,INDEX($AC$1005:$AS$1005,1,MATCH(COLUMNS($AC$1006:AR1006),$AC$1006:$AS$1006,0))&gt;=100000), " ",IF(INDEX($AC$2:$AS$1001,MATCH(ROWS($V$2:V253),$V$2:$V$1001,0),MATCH(COLUMNS($AC$1006:AR1006),$AC$1006:$AS$1006,0)), HYPERLINK("#",""), HYPERLINK(CONCATENATE("#Metadata!", ADDRESS(INDEX($X$2:$X$1001,MATCH(ROWS($V$2:V253),$V$2:$V$1001,0),0), INDEX($AC$1004:$AS$1004,1,MATCH(COLUMNS($AC$1006:AR1006),$AC$1006:$AS$1006,0)))),"Fix")))</f>
        <v>0</v>
      </c>
      <c r="R253" s="5">
        <f>IF(OR(INDEX($W$2:$W$1001,MATCH(ROWS($V$2:V253),$V$2:$V$1001,0),1)&gt;=100000,INDEX($AC$1005:$AS$1005,1,MATCH(COLUMNS($AC$1006:AS1006),$AC$1006:$AS$1006,0))&gt;=100000), " ",IF(INDEX($AC$2:$AS$1001,MATCH(ROWS($V$2:V253),$V$2:$V$1001,0),MATCH(COLUMNS($AC$1006:AS1006),$AC$1006:$AS$1006,0)), HYPERLINK("#",""), HYPERLINK(CONCATENATE("#Metadata!", ADDRESS(INDEX($X$2:$X$1001,MATCH(ROWS($V$2:V253),$V$2:$V$1001,0),0), INDEX($AC$1004:$AS$1004,1,MATCH(COLUMNS($AC$1006:AS1006),$AC$1006:$AS$1006,0)))),"Fix")))</f>
        <v>0</v>
      </c>
      <c r="V253">
        <v>0</v>
      </c>
      <c r="W253">
        <v>0</v>
      </c>
      <c r="X253">
        <v>0</v>
      </c>
      <c r="Y253">
        <f>IF(Z253,TRUE,AND(AC253:AS253))</f>
        <v>0</v>
      </c>
      <c r="Z253">
        <f>COUNTBLANK(Metadata!B253:R253)=COLUMNS(Metadata!B253:R253)</f>
        <v>0</v>
      </c>
      <c r="AA253">
        <v>0</v>
      </c>
      <c r="AC253">
        <f>AND(IF(Metadata!B253="",FALSE,TRUE),COUNTIF(Metadata!B:B, Metadata!B253) = 1,NOT(ISERROR(SUMPRODUCT(SEARCH(MID(Metadata!B253,ROW(INDIRECT("1:"&amp;LEN(Metadata!B253))), 1),"0123456789abcdefghijklmnopqrstuvwxyzABCDEFGHIJKLMNOPQRSTUVWXYZ.")))))</f>
        <v>0</v>
      </c>
      <c r="AD253">
        <f>AND(IF(Metadata!C253="",FALSE,TRUE),exact(Metadata!C253,"Host-associated"))</f>
        <v>0</v>
      </c>
      <c r="AE253">
        <f>AND(IF(Metadata!D253="",FALSE,TRUE),OR(exact(Metadata!D253,"Animal"),exact(Metadata!D253,"Fungus"),exact(Metadata!D253,"Plant")))</f>
        <v>0</v>
      </c>
      <c r="AF253">
        <f>AND(IF(Metadata!E253="",FALSE,TRUE),OR(exact(Metadata!E253,"Plant secretion"),exact(Metadata!E253,"Plant rhizosphere"),exact(Metadata!E253,"Plant surface"),exact(Metadata!E253,"Plant corpus"),exact(Metadata!E253,"Fungus surface"),exact(Metadata!E253,"Fungus corpus"),exact(Metadata!E253,"Animal surface"),exact(Metadata!E253,"Animal proximal gut"),exact(Metadata!E253,"Animal corpus"),exact(Metadata!E253,"Animal distal gut"),exact(Metadata!E253,"Animal secretion")))</f>
        <v>0</v>
      </c>
      <c r="AG253">
        <f>OR(AND(IF(Metadata!F253="",FALSE,TRUE),OR(exact(Metadata!F253,"not collected"),exact(Metadata!F253,"not provided"),exact(Metadata!F253,"restricted access"))),AND(IF(Metadata!F253="",FALSE,TRUE),OR(exact(Metadata!F253,"organism-associated habitat"),exact(Metadata!F253,"plant-associated habitat"),exact(Metadata!F253,"animal-associated habitat"),exact(Metadata!F253,"insecta-associated habitat"),exact(Metadata!F253,"mammalia-associated habitat"),exact(Metadata!F253,"human-associated habitat"),exact(Metadata!F253,"livestock-associated habitat"))))</f>
        <v>0</v>
      </c>
      <c r="AH253">
        <f>AND(IF(Metadata!G253="",FALSE,TRUE),exact(Metadata!G253,"host-associated"))</f>
        <v>0</v>
      </c>
      <c r="AI253">
        <f>OR(AND(IF(Metadata!H253="",FALSE,TRUE),OR(exact(Metadata!H253,"not collected"),exact(Metadata!H253,"not provided"))),AND(IF(Metadata!H253="",FALSE,ISNUMBER(VALUE(Metadata!H253))),Metadata!H253&gt;0))</f>
        <v>0</v>
      </c>
      <c r="AJ253">
        <f>AND(IF(Metadata!I253="",FALSE,TRUE),exact(Metadata!I253,"years"))</f>
        <v>0</v>
      </c>
      <c r="AK253">
        <f>IF(Metadata!J253="",FALSE,TRUE)</f>
        <v>0</v>
      </c>
      <c r="AL253">
        <f>OR(AND(IF(Metadata!K253="",FALSE,TRUE),OR(exact(Metadata!K253,"not collected"),exact(Metadata!K253,"not provided"))),AND(IF(Metadata!K253="",FALSE,ISNUMBER(VALUE(Metadata!K253))),Metadata!K253&gt;0))</f>
        <v>0</v>
      </c>
      <c r="AM253">
        <f>AND(IF(Metadata!L253="",FALSE,TRUE),exact(Metadata!L253,"cm"))</f>
        <v>0</v>
      </c>
      <c r="AN253">
        <f>IF(Metadata!M253="",FALSE,TRUE)</f>
        <v>0</v>
      </c>
      <c r="AO253">
        <f>OR(AND(IF(Metadata!N253="",FALSE,TRUE),OR(exact(Metadata!N253,"not applicable"),exact(Metadata!N253,"not collected"),exact(Metadata!N253,"not provided"))),AND(IF(Metadata!N253="",FALSE,IF(ISERROR(INT(Metadata!N253)),FALSE,INT(Metadata!N253)=Metadata!N253)),Metadata!N253&gt;0))</f>
        <v>0</v>
      </c>
      <c r="AP253">
        <f>OR(AND(IF(Metadata!O253="",FALSE,TRUE),OR(exact(Metadata!O253,"not collected"),exact(Metadata!O253,"not provided"))),AND(IF(Metadata!O253="",FALSE,ISNUMBER(VALUE(Metadata!O253))),Metadata!O253&gt;0))</f>
        <v>0</v>
      </c>
      <c r="AQ253">
        <f>AND(IF(Metadata!P253="",FALSE,TRUE),exact(Metadata!P253,"kg"))</f>
        <v>0</v>
      </c>
      <c r="AR253">
        <f>OR(AND(IF(Metadata!Q253="",FALSE,TRUE),OR(exact(Metadata!Q253,"not applicable"),exact(Metadata!Q253,"not collected"),exact(Metadata!Q253,"not provided"),exact(Metadata!Q253,"restricted access"))),IF(Metadata!Q253="",FALSE,IF(ISERROR(INT(Metadata!Q253)),FALSE,INT(Metadata!Q253)=Metadata!Q253)))</f>
        <v>0</v>
      </c>
      <c r="AS253">
        <f>AND(IF(Metadata!R253="",FALSE,TRUE),exact(Metadata!R253,"Not applicable"))</f>
        <v>0</v>
      </c>
    </row>
    <row r="254" spans="1:45">
      <c r="A254" s="4">
        <f>IF(B254=" "," ",HYPERLINK(CONCATENATE("#metadata!",ADDRESS(INDEX($X$2:$X$1001,MATCH(ROWS($V$2:V254),$V$2:$V$1001,0),0),2)),INDEX($AA$2:$AA$1001,MATCH(ROWS($V$2:V254),$V$2:$V$1001,0),0)))</f>
        <v>0</v>
      </c>
      <c r="B254" s="5">
        <f>IF(OR(INDEX($W$2:$W$1001,MATCH(ROWS($V$2:V254),$V$2:$V$1001,0),1)&gt;=100000,INDEX($AC$1005:$AS$1005,1,MATCH(COLUMNS($AC$1006:AC1006),$AC$1006:$AS$1006,0))&gt;=100000), " ",IF(INDEX($AC$2:$AS$1001,MATCH(ROWS($V$2:V254),$V$2:$V$1001,0),MATCH(COLUMNS($AC$1006:AC1006),$AC$1006:$AS$1006,0)), HYPERLINK("#",""), HYPERLINK(CONCATENATE("#Metadata!", ADDRESS(INDEX($X$2:$X$1001,MATCH(ROWS($V$2:V254),$V$2:$V$1001,0),0), INDEX($AC$1004:$AS$1004,1,MATCH(COLUMNS($AC$1006:AC1006),$AC$1006:$AS$1006,0)))),"Fix")))</f>
        <v>0</v>
      </c>
      <c r="C254" s="5">
        <f>IF(OR(INDEX($W$2:$W$1001,MATCH(ROWS($V$2:V254),$V$2:$V$1001,0),1)&gt;=100000,INDEX($AC$1005:$AS$1005,1,MATCH(COLUMNS($AC$1006:AD1006),$AC$1006:$AS$1006,0))&gt;=100000), " ",IF(INDEX($AC$2:$AS$1001,MATCH(ROWS($V$2:V254),$V$2:$V$1001,0),MATCH(COLUMNS($AC$1006:AD1006),$AC$1006:$AS$1006,0)), HYPERLINK("#",""), HYPERLINK(CONCATENATE("#Metadata!", ADDRESS(INDEX($X$2:$X$1001,MATCH(ROWS($V$2:V254),$V$2:$V$1001,0),0), INDEX($AC$1004:$AS$1004,1,MATCH(COLUMNS($AC$1006:AD1006),$AC$1006:$AS$1006,0)))),"Fix")))</f>
        <v>0</v>
      </c>
      <c r="D254" s="5">
        <f>IF(OR(INDEX($W$2:$W$1001,MATCH(ROWS($V$2:V254),$V$2:$V$1001,0),1)&gt;=100000,INDEX($AC$1005:$AS$1005,1,MATCH(COLUMNS($AC$1006:AE1006),$AC$1006:$AS$1006,0))&gt;=100000), " ",IF(INDEX($AC$2:$AS$1001,MATCH(ROWS($V$2:V254),$V$2:$V$1001,0),MATCH(COLUMNS($AC$1006:AE1006),$AC$1006:$AS$1006,0)), HYPERLINK("#",""), HYPERLINK(CONCATENATE("#Metadata!", ADDRESS(INDEX($X$2:$X$1001,MATCH(ROWS($V$2:V254),$V$2:$V$1001,0),0), INDEX($AC$1004:$AS$1004,1,MATCH(COLUMNS($AC$1006:AE1006),$AC$1006:$AS$1006,0)))),"Fix")))</f>
        <v>0</v>
      </c>
      <c r="E254" s="5">
        <f>IF(OR(INDEX($W$2:$W$1001,MATCH(ROWS($V$2:V254),$V$2:$V$1001,0),1)&gt;=100000,INDEX($AC$1005:$AS$1005,1,MATCH(COLUMNS($AC$1006:AF1006),$AC$1006:$AS$1006,0))&gt;=100000), " ",IF(INDEX($AC$2:$AS$1001,MATCH(ROWS($V$2:V254),$V$2:$V$1001,0),MATCH(COLUMNS($AC$1006:AF1006),$AC$1006:$AS$1006,0)), HYPERLINK("#",""), HYPERLINK(CONCATENATE("#Metadata!", ADDRESS(INDEX($X$2:$X$1001,MATCH(ROWS($V$2:V254),$V$2:$V$1001,0),0), INDEX($AC$1004:$AS$1004,1,MATCH(COLUMNS($AC$1006:AF1006),$AC$1006:$AS$1006,0)))),"Fix")))</f>
        <v>0</v>
      </c>
      <c r="F254" s="5">
        <f>IF(OR(INDEX($W$2:$W$1001,MATCH(ROWS($V$2:V254),$V$2:$V$1001,0),1)&gt;=100000,INDEX($AC$1005:$AS$1005,1,MATCH(COLUMNS($AC$1006:AG1006),$AC$1006:$AS$1006,0))&gt;=100000), " ",IF(INDEX($AC$2:$AS$1001,MATCH(ROWS($V$2:V254),$V$2:$V$1001,0),MATCH(COLUMNS($AC$1006:AG1006),$AC$1006:$AS$1006,0)), HYPERLINK("#",""), HYPERLINK(CONCATENATE("#Metadata!", ADDRESS(INDEX($X$2:$X$1001,MATCH(ROWS($V$2:V254),$V$2:$V$1001,0),0), INDEX($AC$1004:$AS$1004,1,MATCH(COLUMNS($AC$1006:AG1006),$AC$1006:$AS$1006,0)))),"Fix")))</f>
        <v>0</v>
      </c>
      <c r="G254" s="5">
        <f>IF(OR(INDEX($W$2:$W$1001,MATCH(ROWS($V$2:V254),$V$2:$V$1001,0),1)&gt;=100000,INDEX($AC$1005:$AS$1005,1,MATCH(COLUMNS($AC$1006:AH1006),$AC$1006:$AS$1006,0))&gt;=100000), " ",IF(INDEX($AC$2:$AS$1001,MATCH(ROWS($V$2:V254),$V$2:$V$1001,0),MATCH(COLUMNS($AC$1006:AH1006),$AC$1006:$AS$1006,0)), HYPERLINK("#",""), HYPERLINK(CONCATENATE("#Metadata!", ADDRESS(INDEX($X$2:$X$1001,MATCH(ROWS($V$2:V254),$V$2:$V$1001,0),0), INDEX($AC$1004:$AS$1004,1,MATCH(COLUMNS($AC$1006:AH1006),$AC$1006:$AS$1006,0)))),"Fix")))</f>
        <v>0</v>
      </c>
      <c r="H254" s="5">
        <f>IF(OR(INDEX($W$2:$W$1001,MATCH(ROWS($V$2:V254),$V$2:$V$1001,0),1)&gt;=100000,INDEX($AC$1005:$AS$1005,1,MATCH(COLUMNS($AC$1006:AI1006),$AC$1006:$AS$1006,0))&gt;=100000), " ",IF(INDEX($AC$2:$AS$1001,MATCH(ROWS($V$2:V254),$V$2:$V$1001,0),MATCH(COLUMNS($AC$1006:AI1006),$AC$1006:$AS$1006,0)), HYPERLINK("#",""), HYPERLINK(CONCATENATE("#Metadata!", ADDRESS(INDEX($X$2:$X$1001,MATCH(ROWS($V$2:V254),$V$2:$V$1001,0),0), INDEX($AC$1004:$AS$1004,1,MATCH(COLUMNS($AC$1006:AI1006),$AC$1006:$AS$1006,0)))),"Fix")))</f>
        <v>0</v>
      </c>
      <c r="I254" s="5">
        <f>IF(OR(INDEX($W$2:$W$1001,MATCH(ROWS($V$2:V254),$V$2:$V$1001,0),1)&gt;=100000,INDEX($AC$1005:$AS$1005,1,MATCH(COLUMNS($AC$1006:AJ1006),$AC$1006:$AS$1006,0))&gt;=100000), " ",IF(INDEX($AC$2:$AS$1001,MATCH(ROWS($V$2:V254),$V$2:$V$1001,0),MATCH(COLUMNS($AC$1006:AJ1006),$AC$1006:$AS$1006,0)), HYPERLINK("#",""), HYPERLINK(CONCATENATE("#Metadata!", ADDRESS(INDEX($X$2:$X$1001,MATCH(ROWS($V$2:V254),$V$2:$V$1001,0),0), INDEX($AC$1004:$AS$1004,1,MATCH(COLUMNS($AC$1006:AJ1006),$AC$1006:$AS$1006,0)))),"Fix")))</f>
        <v>0</v>
      </c>
      <c r="J254" s="5">
        <f>IF(OR(INDEX($W$2:$W$1001,MATCH(ROWS($V$2:V254),$V$2:$V$1001,0),1)&gt;=100000,INDEX($AC$1005:$AS$1005,1,MATCH(COLUMNS($AC$1006:AK1006),$AC$1006:$AS$1006,0))&gt;=100000), " ",IF(INDEX($AC$2:$AS$1001,MATCH(ROWS($V$2:V254),$V$2:$V$1001,0),MATCH(COLUMNS($AC$1006:AK1006),$AC$1006:$AS$1006,0)), HYPERLINK("#",""), HYPERLINK(CONCATENATE("#Metadata!", ADDRESS(INDEX($X$2:$X$1001,MATCH(ROWS($V$2:V254),$V$2:$V$1001,0),0), INDEX($AC$1004:$AS$1004,1,MATCH(COLUMNS($AC$1006:AK1006),$AC$1006:$AS$1006,0)))),"Fix")))</f>
        <v>0</v>
      </c>
      <c r="K254" s="5">
        <f>IF(OR(INDEX($W$2:$W$1001,MATCH(ROWS($V$2:V254),$V$2:$V$1001,0),1)&gt;=100000,INDEX($AC$1005:$AS$1005,1,MATCH(COLUMNS($AC$1006:AL1006),$AC$1006:$AS$1006,0))&gt;=100000), " ",IF(INDEX($AC$2:$AS$1001,MATCH(ROWS($V$2:V254),$V$2:$V$1001,0),MATCH(COLUMNS($AC$1006:AL1006),$AC$1006:$AS$1006,0)), HYPERLINK("#",""), HYPERLINK(CONCATENATE("#Metadata!", ADDRESS(INDEX($X$2:$X$1001,MATCH(ROWS($V$2:V254),$V$2:$V$1001,0),0), INDEX($AC$1004:$AS$1004,1,MATCH(COLUMNS($AC$1006:AL1006),$AC$1006:$AS$1006,0)))),"Fix")))</f>
        <v>0</v>
      </c>
      <c r="L254" s="5">
        <f>IF(OR(INDEX($W$2:$W$1001,MATCH(ROWS($V$2:V254),$V$2:$V$1001,0),1)&gt;=100000,INDEX($AC$1005:$AS$1005,1,MATCH(COLUMNS($AC$1006:AM1006),$AC$1006:$AS$1006,0))&gt;=100000), " ",IF(INDEX($AC$2:$AS$1001,MATCH(ROWS($V$2:V254),$V$2:$V$1001,0),MATCH(COLUMNS($AC$1006:AM1006),$AC$1006:$AS$1006,0)), HYPERLINK("#",""), HYPERLINK(CONCATENATE("#Metadata!", ADDRESS(INDEX($X$2:$X$1001,MATCH(ROWS($V$2:V254),$V$2:$V$1001,0),0), INDEX($AC$1004:$AS$1004,1,MATCH(COLUMNS($AC$1006:AM1006),$AC$1006:$AS$1006,0)))),"Fix")))</f>
        <v>0</v>
      </c>
      <c r="M254" s="5">
        <f>IF(OR(INDEX($W$2:$W$1001,MATCH(ROWS($V$2:V254),$V$2:$V$1001,0),1)&gt;=100000,INDEX($AC$1005:$AS$1005,1,MATCH(COLUMNS($AC$1006:AN1006),$AC$1006:$AS$1006,0))&gt;=100000), " ",IF(INDEX($AC$2:$AS$1001,MATCH(ROWS($V$2:V254),$V$2:$V$1001,0),MATCH(COLUMNS($AC$1006:AN1006),$AC$1006:$AS$1006,0)), HYPERLINK("#",""), HYPERLINK(CONCATENATE("#Metadata!", ADDRESS(INDEX($X$2:$X$1001,MATCH(ROWS($V$2:V254),$V$2:$V$1001,0),0), INDEX($AC$1004:$AS$1004,1,MATCH(COLUMNS($AC$1006:AN1006),$AC$1006:$AS$1006,0)))),"Fix")))</f>
        <v>0</v>
      </c>
      <c r="N254" s="5">
        <f>IF(OR(INDEX($W$2:$W$1001,MATCH(ROWS($V$2:V254),$V$2:$V$1001,0),1)&gt;=100000,INDEX($AC$1005:$AS$1005,1,MATCH(COLUMNS($AC$1006:AO1006),$AC$1006:$AS$1006,0))&gt;=100000), " ",IF(INDEX($AC$2:$AS$1001,MATCH(ROWS($V$2:V254),$V$2:$V$1001,0),MATCH(COLUMNS($AC$1006:AO1006),$AC$1006:$AS$1006,0)), HYPERLINK("#",""), HYPERLINK(CONCATENATE("#Metadata!", ADDRESS(INDEX($X$2:$X$1001,MATCH(ROWS($V$2:V254),$V$2:$V$1001,0),0), INDEX($AC$1004:$AS$1004,1,MATCH(COLUMNS($AC$1006:AO1006),$AC$1006:$AS$1006,0)))),"Fix")))</f>
        <v>0</v>
      </c>
      <c r="O254" s="5">
        <f>IF(OR(INDEX($W$2:$W$1001,MATCH(ROWS($V$2:V254),$V$2:$V$1001,0),1)&gt;=100000,INDEX($AC$1005:$AS$1005,1,MATCH(COLUMNS($AC$1006:AP1006),$AC$1006:$AS$1006,0))&gt;=100000), " ",IF(INDEX($AC$2:$AS$1001,MATCH(ROWS($V$2:V254),$V$2:$V$1001,0),MATCH(COLUMNS($AC$1006:AP1006),$AC$1006:$AS$1006,0)), HYPERLINK("#",""), HYPERLINK(CONCATENATE("#Metadata!", ADDRESS(INDEX($X$2:$X$1001,MATCH(ROWS($V$2:V254),$V$2:$V$1001,0),0), INDEX($AC$1004:$AS$1004,1,MATCH(COLUMNS($AC$1006:AP1006),$AC$1006:$AS$1006,0)))),"Fix")))</f>
        <v>0</v>
      </c>
      <c r="P254" s="5">
        <f>IF(OR(INDEX($W$2:$W$1001,MATCH(ROWS($V$2:V254),$V$2:$V$1001,0),1)&gt;=100000,INDEX($AC$1005:$AS$1005,1,MATCH(COLUMNS($AC$1006:AQ1006),$AC$1006:$AS$1006,0))&gt;=100000), " ",IF(INDEX($AC$2:$AS$1001,MATCH(ROWS($V$2:V254),$V$2:$V$1001,0),MATCH(COLUMNS($AC$1006:AQ1006),$AC$1006:$AS$1006,0)), HYPERLINK("#",""), HYPERLINK(CONCATENATE("#Metadata!", ADDRESS(INDEX($X$2:$X$1001,MATCH(ROWS($V$2:V254),$V$2:$V$1001,0),0), INDEX($AC$1004:$AS$1004,1,MATCH(COLUMNS($AC$1006:AQ1006),$AC$1006:$AS$1006,0)))),"Fix")))</f>
        <v>0</v>
      </c>
      <c r="Q254" s="5">
        <f>IF(OR(INDEX($W$2:$W$1001,MATCH(ROWS($V$2:V254),$V$2:$V$1001,0),1)&gt;=100000,INDEX($AC$1005:$AS$1005,1,MATCH(COLUMNS($AC$1006:AR1006),$AC$1006:$AS$1006,0))&gt;=100000), " ",IF(INDEX($AC$2:$AS$1001,MATCH(ROWS($V$2:V254),$V$2:$V$1001,0),MATCH(COLUMNS($AC$1006:AR1006),$AC$1006:$AS$1006,0)), HYPERLINK("#",""), HYPERLINK(CONCATENATE("#Metadata!", ADDRESS(INDEX($X$2:$X$1001,MATCH(ROWS($V$2:V254),$V$2:$V$1001,0),0), INDEX($AC$1004:$AS$1004,1,MATCH(COLUMNS($AC$1006:AR1006),$AC$1006:$AS$1006,0)))),"Fix")))</f>
        <v>0</v>
      </c>
      <c r="R254" s="5">
        <f>IF(OR(INDEX($W$2:$W$1001,MATCH(ROWS($V$2:V254),$V$2:$V$1001,0),1)&gt;=100000,INDEX($AC$1005:$AS$1005,1,MATCH(COLUMNS($AC$1006:AS1006),$AC$1006:$AS$1006,0))&gt;=100000), " ",IF(INDEX($AC$2:$AS$1001,MATCH(ROWS($V$2:V254),$V$2:$V$1001,0),MATCH(COLUMNS($AC$1006:AS1006),$AC$1006:$AS$1006,0)), HYPERLINK("#",""), HYPERLINK(CONCATENATE("#Metadata!", ADDRESS(INDEX($X$2:$X$1001,MATCH(ROWS($V$2:V254),$V$2:$V$1001,0),0), INDEX($AC$1004:$AS$1004,1,MATCH(COLUMNS($AC$1006:AS1006),$AC$1006:$AS$1006,0)))),"Fix")))</f>
        <v>0</v>
      </c>
      <c r="V254">
        <v>0</v>
      </c>
      <c r="W254">
        <v>0</v>
      </c>
      <c r="X254">
        <v>0</v>
      </c>
      <c r="Y254">
        <f>IF(Z254,TRUE,AND(AC254:AS254))</f>
        <v>0</v>
      </c>
      <c r="Z254">
        <f>COUNTBLANK(Metadata!B254:R254)=COLUMNS(Metadata!B254:R254)</f>
        <v>0</v>
      </c>
      <c r="AA254">
        <v>0</v>
      </c>
      <c r="AC254">
        <f>AND(IF(Metadata!B254="",FALSE,TRUE),COUNTIF(Metadata!B:B, Metadata!B254) = 1,NOT(ISERROR(SUMPRODUCT(SEARCH(MID(Metadata!B254,ROW(INDIRECT("1:"&amp;LEN(Metadata!B254))), 1),"0123456789abcdefghijklmnopqrstuvwxyzABCDEFGHIJKLMNOPQRSTUVWXYZ.")))))</f>
        <v>0</v>
      </c>
      <c r="AD254">
        <f>AND(IF(Metadata!C254="",FALSE,TRUE),exact(Metadata!C254,"Host-associated"))</f>
        <v>0</v>
      </c>
      <c r="AE254">
        <f>AND(IF(Metadata!D254="",FALSE,TRUE),OR(exact(Metadata!D254,"Animal"),exact(Metadata!D254,"Fungus"),exact(Metadata!D254,"Plant")))</f>
        <v>0</v>
      </c>
      <c r="AF254">
        <f>AND(IF(Metadata!E254="",FALSE,TRUE),OR(exact(Metadata!E254,"Plant secretion"),exact(Metadata!E254,"Plant rhizosphere"),exact(Metadata!E254,"Plant surface"),exact(Metadata!E254,"Plant corpus"),exact(Metadata!E254,"Fungus surface"),exact(Metadata!E254,"Fungus corpus"),exact(Metadata!E254,"Animal surface"),exact(Metadata!E254,"Animal proximal gut"),exact(Metadata!E254,"Animal corpus"),exact(Metadata!E254,"Animal distal gut"),exact(Metadata!E254,"Animal secretion")))</f>
        <v>0</v>
      </c>
      <c r="AG254">
        <f>OR(AND(IF(Metadata!F254="",FALSE,TRUE),OR(exact(Metadata!F254,"not collected"),exact(Metadata!F254,"not provided"),exact(Metadata!F254,"restricted access"))),AND(IF(Metadata!F254="",FALSE,TRUE),OR(exact(Metadata!F254,"organism-associated habitat"),exact(Metadata!F254,"plant-associated habitat"),exact(Metadata!F254,"animal-associated habitat"),exact(Metadata!F254,"insecta-associated habitat"),exact(Metadata!F254,"mammalia-associated habitat"),exact(Metadata!F254,"human-associated habitat"),exact(Metadata!F254,"livestock-associated habitat"))))</f>
        <v>0</v>
      </c>
      <c r="AH254">
        <f>AND(IF(Metadata!G254="",FALSE,TRUE),exact(Metadata!G254,"host-associated"))</f>
        <v>0</v>
      </c>
      <c r="AI254">
        <f>OR(AND(IF(Metadata!H254="",FALSE,TRUE),OR(exact(Metadata!H254,"not collected"),exact(Metadata!H254,"not provided"))),AND(IF(Metadata!H254="",FALSE,ISNUMBER(VALUE(Metadata!H254))),Metadata!H254&gt;0))</f>
        <v>0</v>
      </c>
      <c r="AJ254">
        <f>AND(IF(Metadata!I254="",FALSE,TRUE),exact(Metadata!I254,"years"))</f>
        <v>0</v>
      </c>
      <c r="AK254">
        <f>IF(Metadata!J254="",FALSE,TRUE)</f>
        <v>0</v>
      </c>
      <c r="AL254">
        <f>OR(AND(IF(Metadata!K254="",FALSE,TRUE),OR(exact(Metadata!K254,"not collected"),exact(Metadata!K254,"not provided"))),AND(IF(Metadata!K254="",FALSE,ISNUMBER(VALUE(Metadata!K254))),Metadata!K254&gt;0))</f>
        <v>0</v>
      </c>
      <c r="AM254">
        <f>AND(IF(Metadata!L254="",FALSE,TRUE),exact(Metadata!L254,"cm"))</f>
        <v>0</v>
      </c>
      <c r="AN254">
        <f>IF(Metadata!M254="",FALSE,TRUE)</f>
        <v>0</v>
      </c>
      <c r="AO254">
        <f>OR(AND(IF(Metadata!N254="",FALSE,TRUE),OR(exact(Metadata!N254,"not applicable"),exact(Metadata!N254,"not collected"),exact(Metadata!N254,"not provided"))),AND(IF(Metadata!N254="",FALSE,IF(ISERROR(INT(Metadata!N254)),FALSE,INT(Metadata!N254)=Metadata!N254)),Metadata!N254&gt;0))</f>
        <v>0</v>
      </c>
      <c r="AP254">
        <f>OR(AND(IF(Metadata!O254="",FALSE,TRUE),OR(exact(Metadata!O254,"not collected"),exact(Metadata!O254,"not provided"))),AND(IF(Metadata!O254="",FALSE,ISNUMBER(VALUE(Metadata!O254))),Metadata!O254&gt;0))</f>
        <v>0</v>
      </c>
      <c r="AQ254">
        <f>AND(IF(Metadata!P254="",FALSE,TRUE),exact(Metadata!P254,"kg"))</f>
        <v>0</v>
      </c>
      <c r="AR254">
        <f>OR(AND(IF(Metadata!Q254="",FALSE,TRUE),OR(exact(Metadata!Q254,"not applicable"),exact(Metadata!Q254,"not collected"),exact(Metadata!Q254,"not provided"),exact(Metadata!Q254,"restricted access"))),IF(Metadata!Q254="",FALSE,IF(ISERROR(INT(Metadata!Q254)),FALSE,INT(Metadata!Q254)=Metadata!Q254)))</f>
        <v>0</v>
      </c>
      <c r="AS254">
        <f>AND(IF(Metadata!R254="",FALSE,TRUE),exact(Metadata!R254,"Not applicable"))</f>
        <v>0</v>
      </c>
    </row>
    <row r="255" spans="1:45">
      <c r="A255" s="4">
        <f>IF(B255=" "," ",HYPERLINK(CONCATENATE("#metadata!",ADDRESS(INDEX($X$2:$X$1001,MATCH(ROWS($V$2:V255),$V$2:$V$1001,0),0),2)),INDEX($AA$2:$AA$1001,MATCH(ROWS($V$2:V255),$V$2:$V$1001,0),0)))</f>
        <v>0</v>
      </c>
      <c r="B255" s="5">
        <f>IF(OR(INDEX($W$2:$W$1001,MATCH(ROWS($V$2:V255),$V$2:$V$1001,0),1)&gt;=100000,INDEX($AC$1005:$AS$1005,1,MATCH(COLUMNS($AC$1006:AC1006),$AC$1006:$AS$1006,0))&gt;=100000), " ",IF(INDEX($AC$2:$AS$1001,MATCH(ROWS($V$2:V255),$V$2:$V$1001,0),MATCH(COLUMNS($AC$1006:AC1006),$AC$1006:$AS$1006,0)), HYPERLINK("#",""), HYPERLINK(CONCATENATE("#Metadata!", ADDRESS(INDEX($X$2:$X$1001,MATCH(ROWS($V$2:V255),$V$2:$V$1001,0),0), INDEX($AC$1004:$AS$1004,1,MATCH(COLUMNS($AC$1006:AC1006),$AC$1006:$AS$1006,0)))),"Fix")))</f>
        <v>0</v>
      </c>
      <c r="C255" s="5">
        <f>IF(OR(INDEX($W$2:$W$1001,MATCH(ROWS($V$2:V255),$V$2:$V$1001,0),1)&gt;=100000,INDEX($AC$1005:$AS$1005,1,MATCH(COLUMNS($AC$1006:AD1006),$AC$1006:$AS$1006,0))&gt;=100000), " ",IF(INDEX($AC$2:$AS$1001,MATCH(ROWS($V$2:V255),$V$2:$V$1001,0),MATCH(COLUMNS($AC$1006:AD1006),$AC$1006:$AS$1006,0)), HYPERLINK("#",""), HYPERLINK(CONCATENATE("#Metadata!", ADDRESS(INDEX($X$2:$X$1001,MATCH(ROWS($V$2:V255),$V$2:$V$1001,0),0), INDEX($AC$1004:$AS$1004,1,MATCH(COLUMNS($AC$1006:AD1006),$AC$1006:$AS$1006,0)))),"Fix")))</f>
        <v>0</v>
      </c>
      <c r="D255" s="5">
        <f>IF(OR(INDEX($W$2:$W$1001,MATCH(ROWS($V$2:V255),$V$2:$V$1001,0),1)&gt;=100000,INDEX($AC$1005:$AS$1005,1,MATCH(COLUMNS($AC$1006:AE1006),$AC$1006:$AS$1006,0))&gt;=100000), " ",IF(INDEX($AC$2:$AS$1001,MATCH(ROWS($V$2:V255),$V$2:$V$1001,0),MATCH(COLUMNS($AC$1006:AE1006),$AC$1006:$AS$1006,0)), HYPERLINK("#",""), HYPERLINK(CONCATENATE("#Metadata!", ADDRESS(INDEX($X$2:$X$1001,MATCH(ROWS($V$2:V255),$V$2:$V$1001,0),0), INDEX($AC$1004:$AS$1004,1,MATCH(COLUMNS($AC$1006:AE1006),$AC$1006:$AS$1006,0)))),"Fix")))</f>
        <v>0</v>
      </c>
      <c r="E255" s="5">
        <f>IF(OR(INDEX($W$2:$W$1001,MATCH(ROWS($V$2:V255),$V$2:$V$1001,0),1)&gt;=100000,INDEX($AC$1005:$AS$1005,1,MATCH(COLUMNS($AC$1006:AF1006),$AC$1006:$AS$1006,0))&gt;=100000), " ",IF(INDEX($AC$2:$AS$1001,MATCH(ROWS($V$2:V255),$V$2:$V$1001,0),MATCH(COLUMNS($AC$1006:AF1006),$AC$1006:$AS$1006,0)), HYPERLINK("#",""), HYPERLINK(CONCATENATE("#Metadata!", ADDRESS(INDEX($X$2:$X$1001,MATCH(ROWS($V$2:V255),$V$2:$V$1001,0),0), INDEX($AC$1004:$AS$1004,1,MATCH(COLUMNS($AC$1006:AF1006),$AC$1006:$AS$1006,0)))),"Fix")))</f>
        <v>0</v>
      </c>
      <c r="F255" s="5">
        <f>IF(OR(INDEX($W$2:$W$1001,MATCH(ROWS($V$2:V255),$V$2:$V$1001,0),1)&gt;=100000,INDEX($AC$1005:$AS$1005,1,MATCH(COLUMNS($AC$1006:AG1006),$AC$1006:$AS$1006,0))&gt;=100000), " ",IF(INDEX($AC$2:$AS$1001,MATCH(ROWS($V$2:V255),$V$2:$V$1001,0),MATCH(COLUMNS($AC$1006:AG1006),$AC$1006:$AS$1006,0)), HYPERLINK("#",""), HYPERLINK(CONCATENATE("#Metadata!", ADDRESS(INDEX($X$2:$X$1001,MATCH(ROWS($V$2:V255),$V$2:$V$1001,0),0), INDEX($AC$1004:$AS$1004,1,MATCH(COLUMNS($AC$1006:AG1006),$AC$1006:$AS$1006,0)))),"Fix")))</f>
        <v>0</v>
      </c>
      <c r="G255" s="5">
        <f>IF(OR(INDEX($W$2:$W$1001,MATCH(ROWS($V$2:V255),$V$2:$V$1001,0),1)&gt;=100000,INDEX($AC$1005:$AS$1005,1,MATCH(COLUMNS($AC$1006:AH1006),$AC$1006:$AS$1006,0))&gt;=100000), " ",IF(INDEX($AC$2:$AS$1001,MATCH(ROWS($V$2:V255),$V$2:$V$1001,0),MATCH(COLUMNS($AC$1006:AH1006),$AC$1006:$AS$1006,0)), HYPERLINK("#",""), HYPERLINK(CONCATENATE("#Metadata!", ADDRESS(INDEX($X$2:$X$1001,MATCH(ROWS($V$2:V255),$V$2:$V$1001,0),0), INDEX($AC$1004:$AS$1004,1,MATCH(COLUMNS($AC$1006:AH1006),$AC$1006:$AS$1006,0)))),"Fix")))</f>
        <v>0</v>
      </c>
      <c r="H255" s="5">
        <f>IF(OR(INDEX($W$2:$W$1001,MATCH(ROWS($V$2:V255),$V$2:$V$1001,0),1)&gt;=100000,INDEX($AC$1005:$AS$1005,1,MATCH(COLUMNS($AC$1006:AI1006),$AC$1006:$AS$1006,0))&gt;=100000), " ",IF(INDEX($AC$2:$AS$1001,MATCH(ROWS($V$2:V255),$V$2:$V$1001,0),MATCH(COLUMNS($AC$1006:AI1006),$AC$1006:$AS$1006,0)), HYPERLINK("#",""), HYPERLINK(CONCATENATE("#Metadata!", ADDRESS(INDEX($X$2:$X$1001,MATCH(ROWS($V$2:V255),$V$2:$V$1001,0),0), INDEX($AC$1004:$AS$1004,1,MATCH(COLUMNS($AC$1006:AI1006),$AC$1006:$AS$1006,0)))),"Fix")))</f>
        <v>0</v>
      </c>
      <c r="I255" s="5">
        <f>IF(OR(INDEX($W$2:$W$1001,MATCH(ROWS($V$2:V255),$V$2:$V$1001,0),1)&gt;=100000,INDEX($AC$1005:$AS$1005,1,MATCH(COLUMNS($AC$1006:AJ1006),$AC$1006:$AS$1006,0))&gt;=100000), " ",IF(INDEX($AC$2:$AS$1001,MATCH(ROWS($V$2:V255),$V$2:$V$1001,0),MATCH(COLUMNS($AC$1006:AJ1006),$AC$1006:$AS$1006,0)), HYPERLINK("#",""), HYPERLINK(CONCATENATE("#Metadata!", ADDRESS(INDEX($X$2:$X$1001,MATCH(ROWS($V$2:V255),$V$2:$V$1001,0),0), INDEX($AC$1004:$AS$1004,1,MATCH(COLUMNS($AC$1006:AJ1006),$AC$1006:$AS$1006,0)))),"Fix")))</f>
        <v>0</v>
      </c>
      <c r="J255" s="5">
        <f>IF(OR(INDEX($W$2:$W$1001,MATCH(ROWS($V$2:V255),$V$2:$V$1001,0),1)&gt;=100000,INDEX($AC$1005:$AS$1005,1,MATCH(COLUMNS($AC$1006:AK1006),$AC$1006:$AS$1006,0))&gt;=100000), " ",IF(INDEX($AC$2:$AS$1001,MATCH(ROWS($V$2:V255),$V$2:$V$1001,0),MATCH(COLUMNS($AC$1006:AK1006),$AC$1006:$AS$1006,0)), HYPERLINK("#",""), HYPERLINK(CONCATENATE("#Metadata!", ADDRESS(INDEX($X$2:$X$1001,MATCH(ROWS($V$2:V255),$V$2:$V$1001,0),0), INDEX($AC$1004:$AS$1004,1,MATCH(COLUMNS($AC$1006:AK1006),$AC$1006:$AS$1006,0)))),"Fix")))</f>
        <v>0</v>
      </c>
      <c r="K255" s="5">
        <f>IF(OR(INDEX($W$2:$W$1001,MATCH(ROWS($V$2:V255),$V$2:$V$1001,0),1)&gt;=100000,INDEX($AC$1005:$AS$1005,1,MATCH(COLUMNS($AC$1006:AL1006),$AC$1006:$AS$1006,0))&gt;=100000), " ",IF(INDEX($AC$2:$AS$1001,MATCH(ROWS($V$2:V255),$V$2:$V$1001,0),MATCH(COLUMNS($AC$1006:AL1006),$AC$1006:$AS$1006,0)), HYPERLINK("#",""), HYPERLINK(CONCATENATE("#Metadata!", ADDRESS(INDEX($X$2:$X$1001,MATCH(ROWS($V$2:V255),$V$2:$V$1001,0),0), INDEX($AC$1004:$AS$1004,1,MATCH(COLUMNS($AC$1006:AL1006),$AC$1006:$AS$1006,0)))),"Fix")))</f>
        <v>0</v>
      </c>
      <c r="L255" s="5">
        <f>IF(OR(INDEX($W$2:$W$1001,MATCH(ROWS($V$2:V255),$V$2:$V$1001,0),1)&gt;=100000,INDEX($AC$1005:$AS$1005,1,MATCH(COLUMNS($AC$1006:AM1006),$AC$1006:$AS$1006,0))&gt;=100000), " ",IF(INDEX($AC$2:$AS$1001,MATCH(ROWS($V$2:V255),$V$2:$V$1001,0),MATCH(COLUMNS($AC$1006:AM1006),$AC$1006:$AS$1006,0)), HYPERLINK("#",""), HYPERLINK(CONCATENATE("#Metadata!", ADDRESS(INDEX($X$2:$X$1001,MATCH(ROWS($V$2:V255),$V$2:$V$1001,0),0), INDEX($AC$1004:$AS$1004,1,MATCH(COLUMNS($AC$1006:AM1006),$AC$1006:$AS$1006,0)))),"Fix")))</f>
        <v>0</v>
      </c>
      <c r="M255" s="5">
        <f>IF(OR(INDEX($W$2:$W$1001,MATCH(ROWS($V$2:V255),$V$2:$V$1001,0),1)&gt;=100000,INDEX($AC$1005:$AS$1005,1,MATCH(COLUMNS($AC$1006:AN1006),$AC$1006:$AS$1006,0))&gt;=100000), " ",IF(INDEX($AC$2:$AS$1001,MATCH(ROWS($V$2:V255),$V$2:$V$1001,0),MATCH(COLUMNS($AC$1006:AN1006),$AC$1006:$AS$1006,0)), HYPERLINK("#",""), HYPERLINK(CONCATENATE("#Metadata!", ADDRESS(INDEX($X$2:$X$1001,MATCH(ROWS($V$2:V255),$V$2:$V$1001,0),0), INDEX($AC$1004:$AS$1004,1,MATCH(COLUMNS($AC$1006:AN1006),$AC$1006:$AS$1006,0)))),"Fix")))</f>
        <v>0</v>
      </c>
      <c r="N255" s="5">
        <f>IF(OR(INDEX($W$2:$W$1001,MATCH(ROWS($V$2:V255),$V$2:$V$1001,0),1)&gt;=100000,INDEX($AC$1005:$AS$1005,1,MATCH(COLUMNS($AC$1006:AO1006),$AC$1006:$AS$1006,0))&gt;=100000), " ",IF(INDEX($AC$2:$AS$1001,MATCH(ROWS($V$2:V255),$V$2:$V$1001,0),MATCH(COLUMNS($AC$1006:AO1006),$AC$1006:$AS$1006,0)), HYPERLINK("#",""), HYPERLINK(CONCATENATE("#Metadata!", ADDRESS(INDEX($X$2:$X$1001,MATCH(ROWS($V$2:V255),$V$2:$V$1001,0),0), INDEX($AC$1004:$AS$1004,1,MATCH(COLUMNS($AC$1006:AO1006),$AC$1006:$AS$1006,0)))),"Fix")))</f>
        <v>0</v>
      </c>
      <c r="O255" s="5">
        <f>IF(OR(INDEX($W$2:$W$1001,MATCH(ROWS($V$2:V255),$V$2:$V$1001,0),1)&gt;=100000,INDEX($AC$1005:$AS$1005,1,MATCH(COLUMNS($AC$1006:AP1006),$AC$1006:$AS$1006,0))&gt;=100000), " ",IF(INDEX($AC$2:$AS$1001,MATCH(ROWS($V$2:V255),$V$2:$V$1001,0),MATCH(COLUMNS($AC$1006:AP1006),$AC$1006:$AS$1006,0)), HYPERLINK("#",""), HYPERLINK(CONCATENATE("#Metadata!", ADDRESS(INDEX($X$2:$X$1001,MATCH(ROWS($V$2:V255),$V$2:$V$1001,0),0), INDEX($AC$1004:$AS$1004,1,MATCH(COLUMNS($AC$1006:AP1006),$AC$1006:$AS$1006,0)))),"Fix")))</f>
        <v>0</v>
      </c>
      <c r="P255" s="5">
        <f>IF(OR(INDEX($W$2:$W$1001,MATCH(ROWS($V$2:V255),$V$2:$V$1001,0),1)&gt;=100000,INDEX($AC$1005:$AS$1005,1,MATCH(COLUMNS($AC$1006:AQ1006),$AC$1006:$AS$1006,0))&gt;=100000), " ",IF(INDEX($AC$2:$AS$1001,MATCH(ROWS($V$2:V255),$V$2:$V$1001,0),MATCH(COLUMNS($AC$1006:AQ1006),$AC$1006:$AS$1006,0)), HYPERLINK("#",""), HYPERLINK(CONCATENATE("#Metadata!", ADDRESS(INDEX($X$2:$X$1001,MATCH(ROWS($V$2:V255),$V$2:$V$1001,0),0), INDEX($AC$1004:$AS$1004,1,MATCH(COLUMNS($AC$1006:AQ1006),$AC$1006:$AS$1006,0)))),"Fix")))</f>
        <v>0</v>
      </c>
      <c r="Q255" s="5">
        <f>IF(OR(INDEX($W$2:$W$1001,MATCH(ROWS($V$2:V255),$V$2:$V$1001,0),1)&gt;=100000,INDEX($AC$1005:$AS$1005,1,MATCH(COLUMNS($AC$1006:AR1006),$AC$1006:$AS$1006,0))&gt;=100000), " ",IF(INDEX($AC$2:$AS$1001,MATCH(ROWS($V$2:V255),$V$2:$V$1001,0),MATCH(COLUMNS($AC$1006:AR1006),$AC$1006:$AS$1006,0)), HYPERLINK("#",""), HYPERLINK(CONCATENATE("#Metadata!", ADDRESS(INDEX($X$2:$X$1001,MATCH(ROWS($V$2:V255),$V$2:$V$1001,0),0), INDEX($AC$1004:$AS$1004,1,MATCH(COLUMNS($AC$1006:AR1006),$AC$1006:$AS$1006,0)))),"Fix")))</f>
        <v>0</v>
      </c>
      <c r="R255" s="5">
        <f>IF(OR(INDEX($W$2:$W$1001,MATCH(ROWS($V$2:V255),$V$2:$V$1001,0),1)&gt;=100000,INDEX($AC$1005:$AS$1005,1,MATCH(COLUMNS($AC$1006:AS1006),$AC$1006:$AS$1006,0))&gt;=100000), " ",IF(INDEX($AC$2:$AS$1001,MATCH(ROWS($V$2:V255),$V$2:$V$1001,0),MATCH(COLUMNS($AC$1006:AS1006),$AC$1006:$AS$1006,0)), HYPERLINK("#",""), HYPERLINK(CONCATENATE("#Metadata!", ADDRESS(INDEX($X$2:$X$1001,MATCH(ROWS($V$2:V255),$V$2:$V$1001,0),0), INDEX($AC$1004:$AS$1004,1,MATCH(COLUMNS($AC$1006:AS1006),$AC$1006:$AS$1006,0)))),"Fix")))</f>
        <v>0</v>
      </c>
      <c r="V255">
        <v>0</v>
      </c>
      <c r="W255">
        <v>0</v>
      </c>
      <c r="X255">
        <v>0</v>
      </c>
      <c r="Y255">
        <f>IF(Z255,TRUE,AND(AC255:AS255))</f>
        <v>0</v>
      </c>
      <c r="Z255">
        <f>COUNTBLANK(Metadata!B255:R255)=COLUMNS(Metadata!B255:R255)</f>
        <v>0</v>
      </c>
      <c r="AA255">
        <v>0</v>
      </c>
      <c r="AC255">
        <f>AND(IF(Metadata!B255="",FALSE,TRUE),COUNTIF(Metadata!B:B, Metadata!B255) = 1,NOT(ISERROR(SUMPRODUCT(SEARCH(MID(Metadata!B255,ROW(INDIRECT("1:"&amp;LEN(Metadata!B255))), 1),"0123456789abcdefghijklmnopqrstuvwxyzABCDEFGHIJKLMNOPQRSTUVWXYZ.")))))</f>
        <v>0</v>
      </c>
      <c r="AD255">
        <f>AND(IF(Metadata!C255="",FALSE,TRUE),exact(Metadata!C255,"Host-associated"))</f>
        <v>0</v>
      </c>
      <c r="AE255">
        <f>AND(IF(Metadata!D255="",FALSE,TRUE),OR(exact(Metadata!D255,"Animal"),exact(Metadata!D255,"Fungus"),exact(Metadata!D255,"Plant")))</f>
        <v>0</v>
      </c>
      <c r="AF255">
        <f>AND(IF(Metadata!E255="",FALSE,TRUE),OR(exact(Metadata!E255,"Plant secretion"),exact(Metadata!E255,"Plant rhizosphere"),exact(Metadata!E255,"Plant surface"),exact(Metadata!E255,"Plant corpus"),exact(Metadata!E255,"Fungus surface"),exact(Metadata!E255,"Fungus corpus"),exact(Metadata!E255,"Animal surface"),exact(Metadata!E255,"Animal proximal gut"),exact(Metadata!E255,"Animal corpus"),exact(Metadata!E255,"Animal distal gut"),exact(Metadata!E255,"Animal secretion")))</f>
        <v>0</v>
      </c>
      <c r="AG255">
        <f>OR(AND(IF(Metadata!F255="",FALSE,TRUE),OR(exact(Metadata!F255,"not collected"),exact(Metadata!F255,"not provided"),exact(Metadata!F255,"restricted access"))),AND(IF(Metadata!F255="",FALSE,TRUE),OR(exact(Metadata!F255,"organism-associated habitat"),exact(Metadata!F255,"plant-associated habitat"),exact(Metadata!F255,"animal-associated habitat"),exact(Metadata!F255,"insecta-associated habitat"),exact(Metadata!F255,"mammalia-associated habitat"),exact(Metadata!F255,"human-associated habitat"),exact(Metadata!F255,"livestock-associated habitat"))))</f>
        <v>0</v>
      </c>
      <c r="AH255">
        <f>AND(IF(Metadata!G255="",FALSE,TRUE),exact(Metadata!G255,"host-associated"))</f>
        <v>0</v>
      </c>
      <c r="AI255">
        <f>OR(AND(IF(Metadata!H255="",FALSE,TRUE),OR(exact(Metadata!H255,"not collected"),exact(Metadata!H255,"not provided"))),AND(IF(Metadata!H255="",FALSE,ISNUMBER(VALUE(Metadata!H255))),Metadata!H255&gt;0))</f>
        <v>0</v>
      </c>
      <c r="AJ255">
        <f>AND(IF(Metadata!I255="",FALSE,TRUE),exact(Metadata!I255,"years"))</f>
        <v>0</v>
      </c>
      <c r="AK255">
        <f>IF(Metadata!J255="",FALSE,TRUE)</f>
        <v>0</v>
      </c>
      <c r="AL255">
        <f>OR(AND(IF(Metadata!K255="",FALSE,TRUE),OR(exact(Metadata!K255,"not collected"),exact(Metadata!K255,"not provided"))),AND(IF(Metadata!K255="",FALSE,ISNUMBER(VALUE(Metadata!K255))),Metadata!K255&gt;0))</f>
        <v>0</v>
      </c>
      <c r="AM255">
        <f>AND(IF(Metadata!L255="",FALSE,TRUE),exact(Metadata!L255,"cm"))</f>
        <v>0</v>
      </c>
      <c r="AN255">
        <f>IF(Metadata!M255="",FALSE,TRUE)</f>
        <v>0</v>
      </c>
      <c r="AO255">
        <f>OR(AND(IF(Metadata!N255="",FALSE,TRUE),OR(exact(Metadata!N255,"not applicable"),exact(Metadata!N255,"not collected"),exact(Metadata!N255,"not provided"))),AND(IF(Metadata!N255="",FALSE,IF(ISERROR(INT(Metadata!N255)),FALSE,INT(Metadata!N255)=Metadata!N255)),Metadata!N255&gt;0))</f>
        <v>0</v>
      </c>
      <c r="AP255">
        <f>OR(AND(IF(Metadata!O255="",FALSE,TRUE),OR(exact(Metadata!O255,"not collected"),exact(Metadata!O255,"not provided"))),AND(IF(Metadata!O255="",FALSE,ISNUMBER(VALUE(Metadata!O255))),Metadata!O255&gt;0))</f>
        <v>0</v>
      </c>
      <c r="AQ255">
        <f>AND(IF(Metadata!P255="",FALSE,TRUE),exact(Metadata!P255,"kg"))</f>
        <v>0</v>
      </c>
      <c r="AR255">
        <f>OR(AND(IF(Metadata!Q255="",FALSE,TRUE),OR(exact(Metadata!Q255,"not applicable"),exact(Metadata!Q255,"not collected"),exact(Metadata!Q255,"not provided"),exact(Metadata!Q255,"restricted access"))),IF(Metadata!Q255="",FALSE,IF(ISERROR(INT(Metadata!Q255)),FALSE,INT(Metadata!Q255)=Metadata!Q255)))</f>
        <v>0</v>
      </c>
      <c r="AS255">
        <f>AND(IF(Metadata!R255="",FALSE,TRUE),exact(Metadata!R255,"Not applicable"))</f>
        <v>0</v>
      </c>
    </row>
    <row r="256" spans="1:45">
      <c r="A256" s="4">
        <f>IF(B256=" "," ",HYPERLINK(CONCATENATE("#metadata!",ADDRESS(INDEX($X$2:$X$1001,MATCH(ROWS($V$2:V256),$V$2:$V$1001,0),0),2)),INDEX($AA$2:$AA$1001,MATCH(ROWS($V$2:V256),$V$2:$V$1001,0),0)))</f>
        <v>0</v>
      </c>
      <c r="B256" s="5">
        <f>IF(OR(INDEX($W$2:$W$1001,MATCH(ROWS($V$2:V256),$V$2:$V$1001,0),1)&gt;=100000,INDEX($AC$1005:$AS$1005,1,MATCH(COLUMNS($AC$1006:AC1006),$AC$1006:$AS$1006,0))&gt;=100000), " ",IF(INDEX($AC$2:$AS$1001,MATCH(ROWS($V$2:V256),$V$2:$V$1001,0),MATCH(COLUMNS($AC$1006:AC1006),$AC$1006:$AS$1006,0)), HYPERLINK("#",""), HYPERLINK(CONCATENATE("#Metadata!", ADDRESS(INDEX($X$2:$X$1001,MATCH(ROWS($V$2:V256),$V$2:$V$1001,0),0), INDEX($AC$1004:$AS$1004,1,MATCH(COLUMNS($AC$1006:AC1006),$AC$1006:$AS$1006,0)))),"Fix")))</f>
        <v>0</v>
      </c>
      <c r="C256" s="5">
        <f>IF(OR(INDEX($W$2:$W$1001,MATCH(ROWS($V$2:V256),$V$2:$V$1001,0),1)&gt;=100000,INDEX($AC$1005:$AS$1005,1,MATCH(COLUMNS($AC$1006:AD1006),$AC$1006:$AS$1006,0))&gt;=100000), " ",IF(INDEX($AC$2:$AS$1001,MATCH(ROWS($V$2:V256),$V$2:$V$1001,0),MATCH(COLUMNS($AC$1006:AD1006),$AC$1006:$AS$1006,0)), HYPERLINK("#",""), HYPERLINK(CONCATENATE("#Metadata!", ADDRESS(INDEX($X$2:$X$1001,MATCH(ROWS($V$2:V256),$V$2:$V$1001,0),0), INDEX($AC$1004:$AS$1004,1,MATCH(COLUMNS($AC$1006:AD1006),$AC$1006:$AS$1006,0)))),"Fix")))</f>
        <v>0</v>
      </c>
      <c r="D256" s="5">
        <f>IF(OR(INDEX($W$2:$W$1001,MATCH(ROWS($V$2:V256),$V$2:$V$1001,0),1)&gt;=100000,INDEX($AC$1005:$AS$1005,1,MATCH(COLUMNS($AC$1006:AE1006),$AC$1006:$AS$1006,0))&gt;=100000), " ",IF(INDEX($AC$2:$AS$1001,MATCH(ROWS($V$2:V256),$V$2:$V$1001,0),MATCH(COLUMNS($AC$1006:AE1006),$AC$1006:$AS$1006,0)), HYPERLINK("#",""), HYPERLINK(CONCATENATE("#Metadata!", ADDRESS(INDEX($X$2:$X$1001,MATCH(ROWS($V$2:V256),$V$2:$V$1001,0),0), INDEX($AC$1004:$AS$1004,1,MATCH(COLUMNS($AC$1006:AE1006),$AC$1006:$AS$1006,0)))),"Fix")))</f>
        <v>0</v>
      </c>
      <c r="E256" s="5">
        <f>IF(OR(INDEX($W$2:$W$1001,MATCH(ROWS($V$2:V256),$V$2:$V$1001,0),1)&gt;=100000,INDEX($AC$1005:$AS$1005,1,MATCH(COLUMNS($AC$1006:AF1006),$AC$1006:$AS$1006,0))&gt;=100000), " ",IF(INDEX($AC$2:$AS$1001,MATCH(ROWS($V$2:V256),$V$2:$V$1001,0),MATCH(COLUMNS($AC$1006:AF1006),$AC$1006:$AS$1006,0)), HYPERLINK("#",""), HYPERLINK(CONCATENATE("#Metadata!", ADDRESS(INDEX($X$2:$X$1001,MATCH(ROWS($V$2:V256),$V$2:$V$1001,0),0), INDEX($AC$1004:$AS$1004,1,MATCH(COLUMNS($AC$1006:AF1006),$AC$1006:$AS$1006,0)))),"Fix")))</f>
        <v>0</v>
      </c>
      <c r="F256" s="5">
        <f>IF(OR(INDEX($W$2:$W$1001,MATCH(ROWS($V$2:V256),$V$2:$V$1001,0),1)&gt;=100000,INDEX($AC$1005:$AS$1005,1,MATCH(COLUMNS($AC$1006:AG1006),$AC$1006:$AS$1006,0))&gt;=100000), " ",IF(INDEX($AC$2:$AS$1001,MATCH(ROWS($V$2:V256),$V$2:$V$1001,0),MATCH(COLUMNS($AC$1006:AG1006),$AC$1006:$AS$1006,0)), HYPERLINK("#",""), HYPERLINK(CONCATENATE("#Metadata!", ADDRESS(INDEX($X$2:$X$1001,MATCH(ROWS($V$2:V256),$V$2:$V$1001,0),0), INDEX($AC$1004:$AS$1004,1,MATCH(COLUMNS($AC$1006:AG1006),$AC$1006:$AS$1006,0)))),"Fix")))</f>
        <v>0</v>
      </c>
      <c r="G256" s="5">
        <f>IF(OR(INDEX($W$2:$W$1001,MATCH(ROWS($V$2:V256),$V$2:$V$1001,0),1)&gt;=100000,INDEX($AC$1005:$AS$1005,1,MATCH(COLUMNS($AC$1006:AH1006),$AC$1006:$AS$1006,0))&gt;=100000), " ",IF(INDEX($AC$2:$AS$1001,MATCH(ROWS($V$2:V256),$V$2:$V$1001,0),MATCH(COLUMNS($AC$1006:AH1006),$AC$1006:$AS$1006,0)), HYPERLINK("#",""), HYPERLINK(CONCATENATE("#Metadata!", ADDRESS(INDEX($X$2:$X$1001,MATCH(ROWS($V$2:V256),$V$2:$V$1001,0),0), INDEX($AC$1004:$AS$1004,1,MATCH(COLUMNS($AC$1006:AH1006),$AC$1006:$AS$1006,0)))),"Fix")))</f>
        <v>0</v>
      </c>
      <c r="H256" s="5">
        <f>IF(OR(INDEX($W$2:$W$1001,MATCH(ROWS($V$2:V256),$V$2:$V$1001,0),1)&gt;=100000,INDEX($AC$1005:$AS$1005,1,MATCH(COLUMNS($AC$1006:AI1006),$AC$1006:$AS$1006,0))&gt;=100000), " ",IF(INDEX($AC$2:$AS$1001,MATCH(ROWS($V$2:V256),$V$2:$V$1001,0),MATCH(COLUMNS($AC$1006:AI1006),$AC$1006:$AS$1006,0)), HYPERLINK("#",""), HYPERLINK(CONCATENATE("#Metadata!", ADDRESS(INDEX($X$2:$X$1001,MATCH(ROWS($V$2:V256),$V$2:$V$1001,0),0), INDEX($AC$1004:$AS$1004,1,MATCH(COLUMNS($AC$1006:AI1006),$AC$1006:$AS$1006,0)))),"Fix")))</f>
        <v>0</v>
      </c>
      <c r="I256" s="5">
        <f>IF(OR(INDEX($W$2:$W$1001,MATCH(ROWS($V$2:V256),$V$2:$V$1001,0),1)&gt;=100000,INDEX($AC$1005:$AS$1005,1,MATCH(COLUMNS($AC$1006:AJ1006),$AC$1006:$AS$1006,0))&gt;=100000), " ",IF(INDEX($AC$2:$AS$1001,MATCH(ROWS($V$2:V256),$V$2:$V$1001,0),MATCH(COLUMNS($AC$1006:AJ1006),$AC$1006:$AS$1006,0)), HYPERLINK("#",""), HYPERLINK(CONCATENATE("#Metadata!", ADDRESS(INDEX($X$2:$X$1001,MATCH(ROWS($V$2:V256),$V$2:$V$1001,0),0), INDEX($AC$1004:$AS$1004,1,MATCH(COLUMNS($AC$1006:AJ1006),$AC$1006:$AS$1006,0)))),"Fix")))</f>
        <v>0</v>
      </c>
      <c r="J256" s="5">
        <f>IF(OR(INDEX($W$2:$W$1001,MATCH(ROWS($V$2:V256),$V$2:$V$1001,0),1)&gt;=100000,INDEX($AC$1005:$AS$1005,1,MATCH(COLUMNS($AC$1006:AK1006),$AC$1006:$AS$1006,0))&gt;=100000), " ",IF(INDEX($AC$2:$AS$1001,MATCH(ROWS($V$2:V256),$V$2:$V$1001,0),MATCH(COLUMNS($AC$1006:AK1006),$AC$1006:$AS$1006,0)), HYPERLINK("#",""), HYPERLINK(CONCATENATE("#Metadata!", ADDRESS(INDEX($X$2:$X$1001,MATCH(ROWS($V$2:V256),$V$2:$V$1001,0),0), INDEX($AC$1004:$AS$1004,1,MATCH(COLUMNS($AC$1006:AK1006),$AC$1006:$AS$1006,0)))),"Fix")))</f>
        <v>0</v>
      </c>
      <c r="K256" s="5">
        <f>IF(OR(INDEX($W$2:$W$1001,MATCH(ROWS($V$2:V256),$V$2:$V$1001,0),1)&gt;=100000,INDEX($AC$1005:$AS$1005,1,MATCH(COLUMNS($AC$1006:AL1006),$AC$1006:$AS$1006,0))&gt;=100000), " ",IF(INDEX($AC$2:$AS$1001,MATCH(ROWS($V$2:V256),$V$2:$V$1001,0),MATCH(COLUMNS($AC$1006:AL1006),$AC$1006:$AS$1006,0)), HYPERLINK("#",""), HYPERLINK(CONCATENATE("#Metadata!", ADDRESS(INDEX($X$2:$X$1001,MATCH(ROWS($V$2:V256),$V$2:$V$1001,0),0), INDEX($AC$1004:$AS$1004,1,MATCH(COLUMNS($AC$1006:AL1006),$AC$1006:$AS$1006,0)))),"Fix")))</f>
        <v>0</v>
      </c>
      <c r="L256" s="5">
        <f>IF(OR(INDEX($W$2:$W$1001,MATCH(ROWS($V$2:V256),$V$2:$V$1001,0),1)&gt;=100000,INDEX($AC$1005:$AS$1005,1,MATCH(COLUMNS($AC$1006:AM1006),$AC$1006:$AS$1006,0))&gt;=100000), " ",IF(INDEX($AC$2:$AS$1001,MATCH(ROWS($V$2:V256),$V$2:$V$1001,0),MATCH(COLUMNS($AC$1006:AM1006),$AC$1006:$AS$1006,0)), HYPERLINK("#",""), HYPERLINK(CONCATENATE("#Metadata!", ADDRESS(INDEX($X$2:$X$1001,MATCH(ROWS($V$2:V256),$V$2:$V$1001,0),0), INDEX($AC$1004:$AS$1004,1,MATCH(COLUMNS($AC$1006:AM1006),$AC$1006:$AS$1006,0)))),"Fix")))</f>
        <v>0</v>
      </c>
      <c r="M256" s="5">
        <f>IF(OR(INDEX($W$2:$W$1001,MATCH(ROWS($V$2:V256),$V$2:$V$1001,0),1)&gt;=100000,INDEX($AC$1005:$AS$1005,1,MATCH(COLUMNS($AC$1006:AN1006),$AC$1006:$AS$1006,0))&gt;=100000), " ",IF(INDEX($AC$2:$AS$1001,MATCH(ROWS($V$2:V256),$V$2:$V$1001,0),MATCH(COLUMNS($AC$1006:AN1006),$AC$1006:$AS$1006,0)), HYPERLINK("#",""), HYPERLINK(CONCATENATE("#Metadata!", ADDRESS(INDEX($X$2:$X$1001,MATCH(ROWS($V$2:V256),$V$2:$V$1001,0),0), INDEX($AC$1004:$AS$1004,1,MATCH(COLUMNS($AC$1006:AN1006),$AC$1006:$AS$1006,0)))),"Fix")))</f>
        <v>0</v>
      </c>
      <c r="N256" s="5">
        <f>IF(OR(INDEX($W$2:$W$1001,MATCH(ROWS($V$2:V256),$V$2:$V$1001,0),1)&gt;=100000,INDEX($AC$1005:$AS$1005,1,MATCH(COLUMNS($AC$1006:AO1006),$AC$1006:$AS$1006,0))&gt;=100000), " ",IF(INDEX($AC$2:$AS$1001,MATCH(ROWS($V$2:V256),$V$2:$V$1001,0),MATCH(COLUMNS($AC$1006:AO1006),$AC$1006:$AS$1006,0)), HYPERLINK("#",""), HYPERLINK(CONCATENATE("#Metadata!", ADDRESS(INDEX($X$2:$X$1001,MATCH(ROWS($V$2:V256),$V$2:$V$1001,0),0), INDEX($AC$1004:$AS$1004,1,MATCH(COLUMNS($AC$1006:AO1006),$AC$1006:$AS$1006,0)))),"Fix")))</f>
        <v>0</v>
      </c>
      <c r="O256" s="5">
        <f>IF(OR(INDEX($W$2:$W$1001,MATCH(ROWS($V$2:V256),$V$2:$V$1001,0),1)&gt;=100000,INDEX($AC$1005:$AS$1005,1,MATCH(COLUMNS($AC$1006:AP1006),$AC$1006:$AS$1006,0))&gt;=100000), " ",IF(INDEX($AC$2:$AS$1001,MATCH(ROWS($V$2:V256),$V$2:$V$1001,0),MATCH(COLUMNS($AC$1006:AP1006),$AC$1006:$AS$1006,0)), HYPERLINK("#",""), HYPERLINK(CONCATENATE("#Metadata!", ADDRESS(INDEX($X$2:$X$1001,MATCH(ROWS($V$2:V256),$V$2:$V$1001,0),0), INDEX($AC$1004:$AS$1004,1,MATCH(COLUMNS($AC$1006:AP1006),$AC$1006:$AS$1006,0)))),"Fix")))</f>
        <v>0</v>
      </c>
      <c r="P256" s="5">
        <f>IF(OR(INDEX($W$2:$W$1001,MATCH(ROWS($V$2:V256),$V$2:$V$1001,0),1)&gt;=100000,INDEX($AC$1005:$AS$1005,1,MATCH(COLUMNS($AC$1006:AQ1006),$AC$1006:$AS$1006,0))&gt;=100000), " ",IF(INDEX($AC$2:$AS$1001,MATCH(ROWS($V$2:V256),$V$2:$V$1001,0),MATCH(COLUMNS($AC$1006:AQ1006),$AC$1006:$AS$1006,0)), HYPERLINK("#",""), HYPERLINK(CONCATENATE("#Metadata!", ADDRESS(INDEX($X$2:$X$1001,MATCH(ROWS($V$2:V256),$V$2:$V$1001,0),0), INDEX($AC$1004:$AS$1004,1,MATCH(COLUMNS($AC$1006:AQ1006),$AC$1006:$AS$1006,0)))),"Fix")))</f>
        <v>0</v>
      </c>
      <c r="Q256" s="5">
        <f>IF(OR(INDEX($W$2:$W$1001,MATCH(ROWS($V$2:V256),$V$2:$V$1001,0),1)&gt;=100000,INDEX($AC$1005:$AS$1005,1,MATCH(COLUMNS($AC$1006:AR1006),$AC$1006:$AS$1006,0))&gt;=100000), " ",IF(INDEX($AC$2:$AS$1001,MATCH(ROWS($V$2:V256),$V$2:$V$1001,0),MATCH(COLUMNS($AC$1006:AR1006),$AC$1006:$AS$1006,0)), HYPERLINK("#",""), HYPERLINK(CONCATENATE("#Metadata!", ADDRESS(INDEX($X$2:$X$1001,MATCH(ROWS($V$2:V256),$V$2:$V$1001,0),0), INDEX($AC$1004:$AS$1004,1,MATCH(COLUMNS($AC$1006:AR1006),$AC$1006:$AS$1006,0)))),"Fix")))</f>
        <v>0</v>
      </c>
      <c r="R256" s="5">
        <f>IF(OR(INDEX($W$2:$W$1001,MATCH(ROWS($V$2:V256),$V$2:$V$1001,0),1)&gt;=100000,INDEX($AC$1005:$AS$1005,1,MATCH(COLUMNS($AC$1006:AS1006),$AC$1006:$AS$1006,0))&gt;=100000), " ",IF(INDEX($AC$2:$AS$1001,MATCH(ROWS($V$2:V256),$V$2:$V$1001,0),MATCH(COLUMNS($AC$1006:AS1006),$AC$1006:$AS$1006,0)), HYPERLINK("#",""), HYPERLINK(CONCATENATE("#Metadata!", ADDRESS(INDEX($X$2:$X$1001,MATCH(ROWS($V$2:V256),$V$2:$V$1001,0),0), INDEX($AC$1004:$AS$1004,1,MATCH(COLUMNS($AC$1006:AS1006),$AC$1006:$AS$1006,0)))),"Fix")))</f>
        <v>0</v>
      </c>
      <c r="V256">
        <v>0</v>
      </c>
      <c r="W256">
        <v>0</v>
      </c>
      <c r="X256">
        <v>0</v>
      </c>
      <c r="Y256">
        <f>IF(Z256,TRUE,AND(AC256:AS256))</f>
        <v>0</v>
      </c>
      <c r="Z256">
        <f>COUNTBLANK(Metadata!B256:R256)=COLUMNS(Metadata!B256:R256)</f>
        <v>0</v>
      </c>
      <c r="AA256">
        <v>0</v>
      </c>
      <c r="AC256">
        <f>AND(IF(Metadata!B256="",FALSE,TRUE),COUNTIF(Metadata!B:B, Metadata!B256) = 1,NOT(ISERROR(SUMPRODUCT(SEARCH(MID(Metadata!B256,ROW(INDIRECT("1:"&amp;LEN(Metadata!B256))), 1),"0123456789abcdefghijklmnopqrstuvwxyzABCDEFGHIJKLMNOPQRSTUVWXYZ.")))))</f>
        <v>0</v>
      </c>
      <c r="AD256">
        <f>AND(IF(Metadata!C256="",FALSE,TRUE),exact(Metadata!C256,"Host-associated"))</f>
        <v>0</v>
      </c>
      <c r="AE256">
        <f>AND(IF(Metadata!D256="",FALSE,TRUE),OR(exact(Metadata!D256,"Animal"),exact(Metadata!D256,"Fungus"),exact(Metadata!D256,"Plant")))</f>
        <v>0</v>
      </c>
      <c r="AF256">
        <f>AND(IF(Metadata!E256="",FALSE,TRUE),OR(exact(Metadata!E256,"Plant secretion"),exact(Metadata!E256,"Plant rhizosphere"),exact(Metadata!E256,"Plant surface"),exact(Metadata!E256,"Plant corpus"),exact(Metadata!E256,"Fungus surface"),exact(Metadata!E256,"Fungus corpus"),exact(Metadata!E256,"Animal surface"),exact(Metadata!E256,"Animal proximal gut"),exact(Metadata!E256,"Animal corpus"),exact(Metadata!E256,"Animal distal gut"),exact(Metadata!E256,"Animal secretion")))</f>
        <v>0</v>
      </c>
      <c r="AG256">
        <f>OR(AND(IF(Metadata!F256="",FALSE,TRUE),OR(exact(Metadata!F256,"not collected"),exact(Metadata!F256,"not provided"),exact(Metadata!F256,"restricted access"))),AND(IF(Metadata!F256="",FALSE,TRUE),OR(exact(Metadata!F256,"organism-associated habitat"),exact(Metadata!F256,"plant-associated habitat"),exact(Metadata!F256,"animal-associated habitat"),exact(Metadata!F256,"insecta-associated habitat"),exact(Metadata!F256,"mammalia-associated habitat"),exact(Metadata!F256,"human-associated habitat"),exact(Metadata!F256,"livestock-associated habitat"))))</f>
        <v>0</v>
      </c>
      <c r="AH256">
        <f>AND(IF(Metadata!G256="",FALSE,TRUE),exact(Metadata!G256,"host-associated"))</f>
        <v>0</v>
      </c>
      <c r="AI256">
        <f>OR(AND(IF(Metadata!H256="",FALSE,TRUE),OR(exact(Metadata!H256,"not collected"),exact(Metadata!H256,"not provided"))),AND(IF(Metadata!H256="",FALSE,ISNUMBER(VALUE(Metadata!H256))),Metadata!H256&gt;0))</f>
        <v>0</v>
      </c>
      <c r="AJ256">
        <f>AND(IF(Metadata!I256="",FALSE,TRUE),exact(Metadata!I256,"years"))</f>
        <v>0</v>
      </c>
      <c r="AK256">
        <f>IF(Metadata!J256="",FALSE,TRUE)</f>
        <v>0</v>
      </c>
      <c r="AL256">
        <f>OR(AND(IF(Metadata!K256="",FALSE,TRUE),OR(exact(Metadata!K256,"not collected"),exact(Metadata!K256,"not provided"))),AND(IF(Metadata!K256="",FALSE,ISNUMBER(VALUE(Metadata!K256))),Metadata!K256&gt;0))</f>
        <v>0</v>
      </c>
      <c r="AM256">
        <f>AND(IF(Metadata!L256="",FALSE,TRUE),exact(Metadata!L256,"cm"))</f>
        <v>0</v>
      </c>
      <c r="AN256">
        <f>IF(Metadata!M256="",FALSE,TRUE)</f>
        <v>0</v>
      </c>
      <c r="AO256">
        <f>OR(AND(IF(Metadata!N256="",FALSE,TRUE),OR(exact(Metadata!N256,"not applicable"),exact(Metadata!N256,"not collected"),exact(Metadata!N256,"not provided"))),AND(IF(Metadata!N256="",FALSE,IF(ISERROR(INT(Metadata!N256)),FALSE,INT(Metadata!N256)=Metadata!N256)),Metadata!N256&gt;0))</f>
        <v>0</v>
      </c>
      <c r="AP256">
        <f>OR(AND(IF(Metadata!O256="",FALSE,TRUE),OR(exact(Metadata!O256,"not collected"),exact(Metadata!O256,"not provided"))),AND(IF(Metadata!O256="",FALSE,ISNUMBER(VALUE(Metadata!O256))),Metadata!O256&gt;0))</f>
        <v>0</v>
      </c>
      <c r="AQ256">
        <f>AND(IF(Metadata!P256="",FALSE,TRUE),exact(Metadata!P256,"kg"))</f>
        <v>0</v>
      </c>
      <c r="AR256">
        <f>OR(AND(IF(Metadata!Q256="",FALSE,TRUE),OR(exact(Metadata!Q256,"not applicable"),exact(Metadata!Q256,"not collected"),exact(Metadata!Q256,"not provided"),exact(Metadata!Q256,"restricted access"))),IF(Metadata!Q256="",FALSE,IF(ISERROR(INT(Metadata!Q256)),FALSE,INT(Metadata!Q256)=Metadata!Q256)))</f>
        <v>0</v>
      </c>
      <c r="AS256">
        <f>AND(IF(Metadata!R256="",FALSE,TRUE),exact(Metadata!R256,"Not applicable"))</f>
        <v>0</v>
      </c>
    </row>
    <row r="257" spans="1:45">
      <c r="A257" s="4">
        <f>IF(B257=" "," ",HYPERLINK(CONCATENATE("#metadata!",ADDRESS(INDEX($X$2:$X$1001,MATCH(ROWS($V$2:V257),$V$2:$V$1001,0),0),2)),INDEX($AA$2:$AA$1001,MATCH(ROWS($V$2:V257),$V$2:$V$1001,0),0)))</f>
        <v>0</v>
      </c>
      <c r="B257" s="5">
        <f>IF(OR(INDEX($W$2:$W$1001,MATCH(ROWS($V$2:V257),$V$2:$V$1001,0),1)&gt;=100000,INDEX($AC$1005:$AS$1005,1,MATCH(COLUMNS($AC$1006:AC1006),$AC$1006:$AS$1006,0))&gt;=100000), " ",IF(INDEX($AC$2:$AS$1001,MATCH(ROWS($V$2:V257),$V$2:$V$1001,0),MATCH(COLUMNS($AC$1006:AC1006),$AC$1006:$AS$1006,0)), HYPERLINK("#",""), HYPERLINK(CONCATENATE("#Metadata!", ADDRESS(INDEX($X$2:$X$1001,MATCH(ROWS($V$2:V257),$V$2:$V$1001,0),0), INDEX($AC$1004:$AS$1004,1,MATCH(COLUMNS($AC$1006:AC1006),$AC$1006:$AS$1006,0)))),"Fix")))</f>
        <v>0</v>
      </c>
      <c r="C257" s="5">
        <f>IF(OR(INDEX($W$2:$W$1001,MATCH(ROWS($V$2:V257),$V$2:$V$1001,0),1)&gt;=100000,INDEX($AC$1005:$AS$1005,1,MATCH(COLUMNS($AC$1006:AD1006),$AC$1006:$AS$1006,0))&gt;=100000), " ",IF(INDEX($AC$2:$AS$1001,MATCH(ROWS($V$2:V257),$V$2:$V$1001,0),MATCH(COLUMNS($AC$1006:AD1006),$AC$1006:$AS$1006,0)), HYPERLINK("#",""), HYPERLINK(CONCATENATE("#Metadata!", ADDRESS(INDEX($X$2:$X$1001,MATCH(ROWS($V$2:V257),$V$2:$V$1001,0),0), INDEX($AC$1004:$AS$1004,1,MATCH(COLUMNS($AC$1006:AD1006),$AC$1006:$AS$1006,0)))),"Fix")))</f>
        <v>0</v>
      </c>
      <c r="D257" s="5">
        <f>IF(OR(INDEX($W$2:$W$1001,MATCH(ROWS($V$2:V257),$V$2:$V$1001,0),1)&gt;=100000,INDEX($AC$1005:$AS$1005,1,MATCH(COLUMNS($AC$1006:AE1006),$AC$1006:$AS$1006,0))&gt;=100000), " ",IF(INDEX($AC$2:$AS$1001,MATCH(ROWS($V$2:V257),$V$2:$V$1001,0),MATCH(COLUMNS($AC$1006:AE1006),$AC$1006:$AS$1006,0)), HYPERLINK("#",""), HYPERLINK(CONCATENATE("#Metadata!", ADDRESS(INDEX($X$2:$X$1001,MATCH(ROWS($V$2:V257),$V$2:$V$1001,0),0), INDEX($AC$1004:$AS$1004,1,MATCH(COLUMNS($AC$1006:AE1006),$AC$1006:$AS$1006,0)))),"Fix")))</f>
        <v>0</v>
      </c>
      <c r="E257" s="5">
        <f>IF(OR(INDEX($W$2:$W$1001,MATCH(ROWS($V$2:V257),$V$2:$V$1001,0),1)&gt;=100000,INDEX($AC$1005:$AS$1005,1,MATCH(COLUMNS($AC$1006:AF1006),$AC$1006:$AS$1006,0))&gt;=100000), " ",IF(INDEX($AC$2:$AS$1001,MATCH(ROWS($V$2:V257),$V$2:$V$1001,0),MATCH(COLUMNS($AC$1006:AF1006),$AC$1006:$AS$1006,0)), HYPERLINK("#",""), HYPERLINK(CONCATENATE("#Metadata!", ADDRESS(INDEX($X$2:$X$1001,MATCH(ROWS($V$2:V257),$V$2:$V$1001,0),0), INDEX($AC$1004:$AS$1004,1,MATCH(COLUMNS($AC$1006:AF1006),$AC$1006:$AS$1006,0)))),"Fix")))</f>
        <v>0</v>
      </c>
      <c r="F257" s="5">
        <f>IF(OR(INDEX($W$2:$W$1001,MATCH(ROWS($V$2:V257),$V$2:$V$1001,0),1)&gt;=100000,INDEX($AC$1005:$AS$1005,1,MATCH(COLUMNS($AC$1006:AG1006),$AC$1006:$AS$1006,0))&gt;=100000), " ",IF(INDEX($AC$2:$AS$1001,MATCH(ROWS($V$2:V257),$V$2:$V$1001,0),MATCH(COLUMNS($AC$1006:AG1006),$AC$1006:$AS$1006,0)), HYPERLINK("#",""), HYPERLINK(CONCATENATE("#Metadata!", ADDRESS(INDEX($X$2:$X$1001,MATCH(ROWS($V$2:V257),$V$2:$V$1001,0),0), INDEX($AC$1004:$AS$1004,1,MATCH(COLUMNS($AC$1006:AG1006),$AC$1006:$AS$1006,0)))),"Fix")))</f>
        <v>0</v>
      </c>
      <c r="G257" s="5">
        <f>IF(OR(INDEX($W$2:$W$1001,MATCH(ROWS($V$2:V257),$V$2:$V$1001,0),1)&gt;=100000,INDEX($AC$1005:$AS$1005,1,MATCH(COLUMNS($AC$1006:AH1006),$AC$1006:$AS$1006,0))&gt;=100000), " ",IF(INDEX($AC$2:$AS$1001,MATCH(ROWS($V$2:V257),$V$2:$V$1001,0),MATCH(COLUMNS($AC$1006:AH1006),$AC$1006:$AS$1006,0)), HYPERLINK("#",""), HYPERLINK(CONCATENATE("#Metadata!", ADDRESS(INDEX($X$2:$X$1001,MATCH(ROWS($V$2:V257),$V$2:$V$1001,0),0), INDEX($AC$1004:$AS$1004,1,MATCH(COLUMNS($AC$1006:AH1006),$AC$1006:$AS$1006,0)))),"Fix")))</f>
        <v>0</v>
      </c>
      <c r="H257" s="5">
        <f>IF(OR(INDEX($W$2:$W$1001,MATCH(ROWS($V$2:V257),$V$2:$V$1001,0),1)&gt;=100000,INDEX($AC$1005:$AS$1005,1,MATCH(COLUMNS($AC$1006:AI1006),$AC$1006:$AS$1006,0))&gt;=100000), " ",IF(INDEX($AC$2:$AS$1001,MATCH(ROWS($V$2:V257),$V$2:$V$1001,0),MATCH(COLUMNS($AC$1006:AI1006),$AC$1006:$AS$1006,0)), HYPERLINK("#",""), HYPERLINK(CONCATENATE("#Metadata!", ADDRESS(INDEX($X$2:$X$1001,MATCH(ROWS($V$2:V257),$V$2:$V$1001,0),0), INDEX($AC$1004:$AS$1004,1,MATCH(COLUMNS($AC$1006:AI1006),$AC$1006:$AS$1006,0)))),"Fix")))</f>
        <v>0</v>
      </c>
      <c r="I257" s="5">
        <f>IF(OR(INDEX($W$2:$W$1001,MATCH(ROWS($V$2:V257),$V$2:$V$1001,0),1)&gt;=100000,INDEX($AC$1005:$AS$1005,1,MATCH(COLUMNS($AC$1006:AJ1006),$AC$1006:$AS$1006,0))&gt;=100000), " ",IF(INDEX($AC$2:$AS$1001,MATCH(ROWS($V$2:V257),$V$2:$V$1001,0),MATCH(COLUMNS($AC$1006:AJ1006),$AC$1006:$AS$1006,0)), HYPERLINK("#",""), HYPERLINK(CONCATENATE("#Metadata!", ADDRESS(INDEX($X$2:$X$1001,MATCH(ROWS($V$2:V257),$V$2:$V$1001,0),0), INDEX($AC$1004:$AS$1004,1,MATCH(COLUMNS($AC$1006:AJ1006),$AC$1006:$AS$1006,0)))),"Fix")))</f>
        <v>0</v>
      </c>
      <c r="J257" s="5">
        <f>IF(OR(INDEX($W$2:$W$1001,MATCH(ROWS($V$2:V257),$V$2:$V$1001,0),1)&gt;=100000,INDEX($AC$1005:$AS$1005,1,MATCH(COLUMNS($AC$1006:AK1006),$AC$1006:$AS$1006,0))&gt;=100000), " ",IF(INDEX($AC$2:$AS$1001,MATCH(ROWS($V$2:V257),$V$2:$V$1001,0),MATCH(COLUMNS($AC$1006:AK1006),$AC$1006:$AS$1006,0)), HYPERLINK("#",""), HYPERLINK(CONCATENATE("#Metadata!", ADDRESS(INDEX($X$2:$X$1001,MATCH(ROWS($V$2:V257),$V$2:$V$1001,0),0), INDEX($AC$1004:$AS$1004,1,MATCH(COLUMNS($AC$1006:AK1006),$AC$1006:$AS$1006,0)))),"Fix")))</f>
        <v>0</v>
      </c>
      <c r="K257" s="5">
        <f>IF(OR(INDEX($W$2:$W$1001,MATCH(ROWS($V$2:V257),$V$2:$V$1001,0),1)&gt;=100000,INDEX($AC$1005:$AS$1005,1,MATCH(COLUMNS($AC$1006:AL1006),$AC$1006:$AS$1006,0))&gt;=100000), " ",IF(INDEX($AC$2:$AS$1001,MATCH(ROWS($V$2:V257),$V$2:$V$1001,0),MATCH(COLUMNS($AC$1006:AL1006),$AC$1006:$AS$1006,0)), HYPERLINK("#",""), HYPERLINK(CONCATENATE("#Metadata!", ADDRESS(INDEX($X$2:$X$1001,MATCH(ROWS($V$2:V257),$V$2:$V$1001,0),0), INDEX($AC$1004:$AS$1004,1,MATCH(COLUMNS($AC$1006:AL1006),$AC$1006:$AS$1006,0)))),"Fix")))</f>
        <v>0</v>
      </c>
      <c r="L257" s="5">
        <f>IF(OR(INDEX($W$2:$W$1001,MATCH(ROWS($V$2:V257),$V$2:$V$1001,0),1)&gt;=100000,INDEX($AC$1005:$AS$1005,1,MATCH(COLUMNS($AC$1006:AM1006),$AC$1006:$AS$1006,0))&gt;=100000), " ",IF(INDEX($AC$2:$AS$1001,MATCH(ROWS($V$2:V257),$V$2:$V$1001,0),MATCH(COLUMNS($AC$1006:AM1006),$AC$1006:$AS$1006,0)), HYPERLINK("#",""), HYPERLINK(CONCATENATE("#Metadata!", ADDRESS(INDEX($X$2:$X$1001,MATCH(ROWS($V$2:V257),$V$2:$V$1001,0),0), INDEX($AC$1004:$AS$1004,1,MATCH(COLUMNS($AC$1006:AM1006),$AC$1006:$AS$1006,0)))),"Fix")))</f>
        <v>0</v>
      </c>
      <c r="M257" s="5">
        <f>IF(OR(INDEX($W$2:$W$1001,MATCH(ROWS($V$2:V257),$V$2:$V$1001,0),1)&gt;=100000,INDEX($AC$1005:$AS$1005,1,MATCH(COLUMNS($AC$1006:AN1006),$AC$1006:$AS$1006,0))&gt;=100000), " ",IF(INDEX($AC$2:$AS$1001,MATCH(ROWS($V$2:V257),$V$2:$V$1001,0),MATCH(COLUMNS($AC$1006:AN1006),$AC$1006:$AS$1006,0)), HYPERLINK("#",""), HYPERLINK(CONCATENATE("#Metadata!", ADDRESS(INDEX($X$2:$X$1001,MATCH(ROWS($V$2:V257),$V$2:$V$1001,0),0), INDEX($AC$1004:$AS$1004,1,MATCH(COLUMNS($AC$1006:AN1006),$AC$1006:$AS$1006,0)))),"Fix")))</f>
        <v>0</v>
      </c>
      <c r="N257" s="5">
        <f>IF(OR(INDEX($W$2:$W$1001,MATCH(ROWS($V$2:V257),$V$2:$V$1001,0),1)&gt;=100000,INDEX($AC$1005:$AS$1005,1,MATCH(COLUMNS($AC$1006:AO1006),$AC$1006:$AS$1006,0))&gt;=100000), " ",IF(INDEX($AC$2:$AS$1001,MATCH(ROWS($V$2:V257),$V$2:$V$1001,0),MATCH(COLUMNS($AC$1006:AO1006),$AC$1006:$AS$1006,0)), HYPERLINK("#",""), HYPERLINK(CONCATENATE("#Metadata!", ADDRESS(INDEX($X$2:$X$1001,MATCH(ROWS($V$2:V257),$V$2:$V$1001,0),0), INDEX($AC$1004:$AS$1004,1,MATCH(COLUMNS($AC$1006:AO1006),$AC$1006:$AS$1006,0)))),"Fix")))</f>
        <v>0</v>
      </c>
      <c r="O257" s="5">
        <f>IF(OR(INDEX($W$2:$W$1001,MATCH(ROWS($V$2:V257),$V$2:$V$1001,0),1)&gt;=100000,INDEX($AC$1005:$AS$1005,1,MATCH(COLUMNS($AC$1006:AP1006),$AC$1006:$AS$1006,0))&gt;=100000), " ",IF(INDEX($AC$2:$AS$1001,MATCH(ROWS($V$2:V257),$V$2:$V$1001,0),MATCH(COLUMNS($AC$1006:AP1006),$AC$1006:$AS$1006,0)), HYPERLINK("#",""), HYPERLINK(CONCATENATE("#Metadata!", ADDRESS(INDEX($X$2:$X$1001,MATCH(ROWS($V$2:V257),$V$2:$V$1001,0),0), INDEX($AC$1004:$AS$1004,1,MATCH(COLUMNS($AC$1006:AP1006),$AC$1006:$AS$1006,0)))),"Fix")))</f>
        <v>0</v>
      </c>
      <c r="P257" s="5">
        <f>IF(OR(INDEX($W$2:$W$1001,MATCH(ROWS($V$2:V257),$V$2:$V$1001,0),1)&gt;=100000,INDEX($AC$1005:$AS$1005,1,MATCH(COLUMNS($AC$1006:AQ1006),$AC$1006:$AS$1006,0))&gt;=100000), " ",IF(INDEX($AC$2:$AS$1001,MATCH(ROWS($V$2:V257),$V$2:$V$1001,0),MATCH(COLUMNS($AC$1006:AQ1006),$AC$1006:$AS$1006,0)), HYPERLINK("#",""), HYPERLINK(CONCATENATE("#Metadata!", ADDRESS(INDEX($X$2:$X$1001,MATCH(ROWS($V$2:V257),$V$2:$V$1001,0),0), INDEX($AC$1004:$AS$1004,1,MATCH(COLUMNS($AC$1006:AQ1006),$AC$1006:$AS$1006,0)))),"Fix")))</f>
        <v>0</v>
      </c>
      <c r="Q257" s="5">
        <f>IF(OR(INDEX($W$2:$W$1001,MATCH(ROWS($V$2:V257),$V$2:$V$1001,0),1)&gt;=100000,INDEX($AC$1005:$AS$1005,1,MATCH(COLUMNS($AC$1006:AR1006),$AC$1006:$AS$1006,0))&gt;=100000), " ",IF(INDEX($AC$2:$AS$1001,MATCH(ROWS($V$2:V257),$V$2:$V$1001,0),MATCH(COLUMNS($AC$1006:AR1006),$AC$1006:$AS$1006,0)), HYPERLINK("#",""), HYPERLINK(CONCATENATE("#Metadata!", ADDRESS(INDEX($X$2:$X$1001,MATCH(ROWS($V$2:V257),$V$2:$V$1001,0),0), INDEX($AC$1004:$AS$1004,1,MATCH(COLUMNS($AC$1006:AR1006),$AC$1006:$AS$1006,0)))),"Fix")))</f>
        <v>0</v>
      </c>
      <c r="R257" s="5">
        <f>IF(OR(INDEX($W$2:$W$1001,MATCH(ROWS($V$2:V257),$V$2:$V$1001,0),1)&gt;=100000,INDEX($AC$1005:$AS$1005,1,MATCH(COLUMNS($AC$1006:AS1006),$AC$1006:$AS$1006,0))&gt;=100000), " ",IF(INDEX($AC$2:$AS$1001,MATCH(ROWS($V$2:V257),$V$2:$V$1001,0),MATCH(COLUMNS($AC$1006:AS1006),$AC$1006:$AS$1006,0)), HYPERLINK("#",""), HYPERLINK(CONCATENATE("#Metadata!", ADDRESS(INDEX($X$2:$X$1001,MATCH(ROWS($V$2:V257),$V$2:$V$1001,0),0), INDEX($AC$1004:$AS$1004,1,MATCH(COLUMNS($AC$1006:AS1006),$AC$1006:$AS$1006,0)))),"Fix")))</f>
        <v>0</v>
      </c>
      <c r="V257">
        <v>0</v>
      </c>
      <c r="W257">
        <v>0</v>
      </c>
      <c r="X257">
        <v>0</v>
      </c>
      <c r="Y257">
        <f>IF(Z257,TRUE,AND(AC257:AS257))</f>
        <v>0</v>
      </c>
      <c r="Z257">
        <f>COUNTBLANK(Metadata!B257:R257)=COLUMNS(Metadata!B257:R257)</f>
        <v>0</v>
      </c>
      <c r="AA257">
        <v>0</v>
      </c>
      <c r="AC257">
        <f>AND(IF(Metadata!B257="",FALSE,TRUE),COUNTIF(Metadata!B:B, Metadata!B257) = 1,NOT(ISERROR(SUMPRODUCT(SEARCH(MID(Metadata!B257,ROW(INDIRECT("1:"&amp;LEN(Metadata!B257))), 1),"0123456789abcdefghijklmnopqrstuvwxyzABCDEFGHIJKLMNOPQRSTUVWXYZ.")))))</f>
        <v>0</v>
      </c>
      <c r="AD257">
        <f>AND(IF(Metadata!C257="",FALSE,TRUE),exact(Metadata!C257,"Host-associated"))</f>
        <v>0</v>
      </c>
      <c r="AE257">
        <f>AND(IF(Metadata!D257="",FALSE,TRUE),OR(exact(Metadata!D257,"Animal"),exact(Metadata!D257,"Fungus"),exact(Metadata!D257,"Plant")))</f>
        <v>0</v>
      </c>
      <c r="AF257">
        <f>AND(IF(Metadata!E257="",FALSE,TRUE),OR(exact(Metadata!E257,"Plant secretion"),exact(Metadata!E257,"Plant rhizosphere"),exact(Metadata!E257,"Plant surface"),exact(Metadata!E257,"Plant corpus"),exact(Metadata!E257,"Fungus surface"),exact(Metadata!E257,"Fungus corpus"),exact(Metadata!E257,"Animal surface"),exact(Metadata!E257,"Animal proximal gut"),exact(Metadata!E257,"Animal corpus"),exact(Metadata!E257,"Animal distal gut"),exact(Metadata!E257,"Animal secretion")))</f>
        <v>0</v>
      </c>
      <c r="AG257">
        <f>OR(AND(IF(Metadata!F257="",FALSE,TRUE),OR(exact(Metadata!F257,"not collected"),exact(Metadata!F257,"not provided"),exact(Metadata!F257,"restricted access"))),AND(IF(Metadata!F257="",FALSE,TRUE),OR(exact(Metadata!F257,"organism-associated habitat"),exact(Metadata!F257,"plant-associated habitat"),exact(Metadata!F257,"animal-associated habitat"),exact(Metadata!F257,"insecta-associated habitat"),exact(Metadata!F257,"mammalia-associated habitat"),exact(Metadata!F257,"human-associated habitat"),exact(Metadata!F257,"livestock-associated habitat"))))</f>
        <v>0</v>
      </c>
      <c r="AH257">
        <f>AND(IF(Metadata!G257="",FALSE,TRUE),exact(Metadata!G257,"host-associated"))</f>
        <v>0</v>
      </c>
      <c r="AI257">
        <f>OR(AND(IF(Metadata!H257="",FALSE,TRUE),OR(exact(Metadata!H257,"not collected"),exact(Metadata!H257,"not provided"))),AND(IF(Metadata!H257="",FALSE,ISNUMBER(VALUE(Metadata!H257))),Metadata!H257&gt;0))</f>
        <v>0</v>
      </c>
      <c r="AJ257">
        <f>AND(IF(Metadata!I257="",FALSE,TRUE),exact(Metadata!I257,"years"))</f>
        <v>0</v>
      </c>
      <c r="AK257">
        <f>IF(Metadata!J257="",FALSE,TRUE)</f>
        <v>0</v>
      </c>
      <c r="AL257">
        <f>OR(AND(IF(Metadata!K257="",FALSE,TRUE),OR(exact(Metadata!K257,"not collected"),exact(Metadata!K257,"not provided"))),AND(IF(Metadata!K257="",FALSE,ISNUMBER(VALUE(Metadata!K257))),Metadata!K257&gt;0))</f>
        <v>0</v>
      </c>
      <c r="AM257">
        <f>AND(IF(Metadata!L257="",FALSE,TRUE),exact(Metadata!L257,"cm"))</f>
        <v>0</v>
      </c>
      <c r="AN257">
        <f>IF(Metadata!M257="",FALSE,TRUE)</f>
        <v>0</v>
      </c>
      <c r="AO257">
        <f>OR(AND(IF(Metadata!N257="",FALSE,TRUE),OR(exact(Metadata!N257,"not applicable"),exact(Metadata!N257,"not collected"),exact(Metadata!N257,"not provided"))),AND(IF(Metadata!N257="",FALSE,IF(ISERROR(INT(Metadata!N257)),FALSE,INT(Metadata!N257)=Metadata!N257)),Metadata!N257&gt;0))</f>
        <v>0</v>
      </c>
      <c r="AP257">
        <f>OR(AND(IF(Metadata!O257="",FALSE,TRUE),OR(exact(Metadata!O257,"not collected"),exact(Metadata!O257,"not provided"))),AND(IF(Metadata!O257="",FALSE,ISNUMBER(VALUE(Metadata!O257))),Metadata!O257&gt;0))</f>
        <v>0</v>
      </c>
      <c r="AQ257">
        <f>AND(IF(Metadata!P257="",FALSE,TRUE),exact(Metadata!P257,"kg"))</f>
        <v>0</v>
      </c>
      <c r="AR257">
        <f>OR(AND(IF(Metadata!Q257="",FALSE,TRUE),OR(exact(Metadata!Q257,"not applicable"),exact(Metadata!Q257,"not collected"),exact(Metadata!Q257,"not provided"),exact(Metadata!Q257,"restricted access"))),IF(Metadata!Q257="",FALSE,IF(ISERROR(INT(Metadata!Q257)),FALSE,INT(Metadata!Q257)=Metadata!Q257)))</f>
        <v>0</v>
      </c>
      <c r="AS257">
        <f>AND(IF(Metadata!R257="",FALSE,TRUE),exact(Metadata!R257,"Not applicable"))</f>
        <v>0</v>
      </c>
    </row>
    <row r="258" spans="1:45">
      <c r="A258" s="4">
        <f>IF(B258=" "," ",HYPERLINK(CONCATENATE("#metadata!",ADDRESS(INDEX($X$2:$X$1001,MATCH(ROWS($V$2:V258),$V$2:$V$1001,0),0),2)),INDEX($AA$2:$AA$1001,MATCH(ROWS($V$2:V258),$V$2:$V$1001,0),0)))</f>
        <v>0</v>
      </c>
      <c r="B258" s="5">
        <f>IF(OR(INDEX($W$2:$W$1001,MATCH(ROWS($V$2:V258),$V$2:$V$1001,0),1)&gt;=100000,INDEX($AC$1005:$AS$1005,1,MATCH(COLUMNS($AC$1006:AC1006),$AC$1006:$AS$1006,0))&gt;=100000), " ",IF(INDEX($AC$2:$AS$1001,MATCH(ROWS($V$2:V258),$V$2:$V$1001,0),MATCH(COLUMNS($AC$1006:AC1006),$AC$1006:$AS$1006,0)), HYPERLINK("#",""), HYPERLINK(CONCATENATE("#Metadata!", ADDRESS(INDEX($X$2:$X$1001,MATCH(ROWS($V$2:V258),$V$2:$V$1001,0),0), INDEX($AC$1004:$AS$1004,1,MATCH(COLUMNS($AC$1006:AC1006),$AC$1006:$AS$1006,0)))),"Fix")))</f>
        <v>0</v>
      </c>
      <c r="C258" s="5">
        <f>IF(OR(INDEX($W$2:$W$1001,MATCH(ROWS($V$2:V258),$V$2:$V$1001,0),1)&gt;=100000,INDEX($AC$1005:$AS$1005,1,MATCH(COLUMNS($AC$1006:AD1006),$AC$1006:$AS$1006,0))&gt;=100000), " ",IF(INDEX($AC$2:$AS$1001,MATCH(ROWS($V$2:V258),$V$2:$V$1001,0),MATCH(COLUMNS($AC$1006:AD1006),$AC$1006:$AS$1006,0)), HYPERLINK("#",""), HYPERLINK(CONCATENATE("#Metadata!", ADDRESS(INDEX($X$2:$X$1001,MATCH(ROWS($V$2:V258),$V$2:$V$1001,0),0), INDEX($AC$1004:$AS$1004,1,MATCH(COLUMNS($AC$1006:AD1006),$AC$1006:$AS$1006,0)))),"Fix")))</f>
        <v>0</v>
      </c>
      <c r="D258" s="5">
        <f>IF(OR(INDEX($W$2:$W$1001,MATCH(ROWS($V$2:V258),$V$2:$V$1001,0),1)&gt;=100000,INDEX($AC$1005:$AS$1005,1,MATCH(COLUMNS($AC$1006:AE1006),$AC$1006:$AS$1006,0))&gt;=100000), " ",IF(INDEX($AC$2:$AS$1001,MATCH(ROWS($V$2:V258),$V$2:$V$1001,0),MATCH(COLUMNS($AC$1006:AE1006),$AC$1006:$AS$1006,0)), HYPERLINK("#",""), HYPERLINK(CONCATENATE("#Metadata!", ADDRESS(INDEX($X$2:$X$1001,MATCH(ROWS($V$2:V258),$V$2:$V$1001,0),0), INDEX($AC$1004:$AS$1004,1,MATCH(COLUMNS($AC$1006:AE1006),$AC$1006:$AS$1006,0)))),"Fix")))</f>
        <v>0</v>
      </c>
      <c r="E258" s="5">
        <f>IF(OR(INDEX($W$2:$W$1001,MATCH(ROWS($V$2:V258),$V$2:$V$1001,0),1)&gt;=100000,INDEX($AC$1005:$AS$1005,1,MATCH(COLUMNS($AC$1006:AF1006),$AC$1006:$AS$1006,0))&gt;=100000), " ",IF(INDEX($AC$2:$AS$1001,MATCH(ROWS($V$2:V258),$V$2:$V$1001,0),MATCH(COLUMNS($AC$1006:AF1006),$AC$1006:$AS$1006,0)), HYPERLINK("#",""), HYPERLINK(CONCATENATE("#Metadata!", ADDRESS(INDEX($X$2:$X$1001,MATCH(ROWS($V$2:V258),$V$2:$V$1001,0),0), INDEX($AC$1004:$AS$1004,1,MATCH(COLUMNS($AC$1006:AF1006),$AC$1006:$AS$1006,0)))),"Fix")))</f>
        <v>0</v>
      </c>
      <c r="F258" s="5">
        <f>IF(OR(INDEX($W$2:$W$1001,MATCH(ROWS($V$2:V258),$V$2:$V$1001,0),1)&gt;=100000,INDEX($AC$1005:$AS$1005,1,MATCH(COLUMNS($AC$1006:AG1006),$AC$1006:$AS$1006,0))&gt;=100000), " ",IF(INDEX($AC$2:$AS$1001,MATCH(ROWS($V$2:V258),$V$2:$V$1001,0),MATCH(COLUMNS($AC$1006:AG1006),$AC$1006:$AS$1006,0)), HYPERLINK("#",""), HYPERLINK(CONCATENATE("#Metadata!", ADDRESS(INDEX($X$2:$X$1001,MATCH(ROWS($V$2:V258),$V$2:$V$1001,0),0), INDEX($AC$1004:$AS$1004,1,MATCH(COLUMNS($AC$1006:AG1006),$AC$1006:$AS$1006,0)))),"Fix")))</f>
        <v>0</v>
      </c>
      <c r="G258" s="5">
        <f>IF(OR(INDEX($W$2:$W$1001,MATCH(ROWS($V$2:V258),$V$2:$V$1001,0),1)&gt;=100000,INDEX($AC$1005:$AS$1005,1,MATCH(COLUMNS($AC$1006:AH1006),$AC$1006:$AS$1006,0))&gt;=100000), " ",IF(INDEX($AC$2:$AS$1001,MATCH(ROWS($V$2:V258),$V$2:$V$1001,0),MATCH(COLUMNS($AC$1006:AH1006),$AC$1006:$AS$1006,0)), HYPERLINK("#",""), HYPERLINK(CONCATENATE("#Metadata!", ADDRESS(INDEX($X$2:$X$1001,MATCH(ROWS($V$2:V258),$V$2:$V$1001,0),0), INDEX($AC$1004:$AS$1004,1,MATCH(COLUMNS($AC$1006:AH1006),$AC$1006:$AS$1006,0)))),"Fix")))</f>
        <v>0</v>
      </c>
      <c r="H258" s="5">
        <f>IF(OR(INDEX($W$2:$W$1001,MATCH(ROWS($V$2:V258),$V$2:$V$1001,0),1)&gt;=100000,INDEX($AC$1005:$AS$1005,1,MATCH(COLUMNS($AC$1006:AI1006),$AC$1006:$AS$1006,0))&gt;=100000), " ",IF(INDEX($AC$2:$AS$1001,MATCH(ROWS($V$2:V258),$V$2:$V$1001,0),MATCH(COLUMNS($AC$1006:AI1006),$AC$1006:$AS$1006,0)), HYPERLINK("#",""), HYPERLINK(CONCATENATE("#Metadata!", ADDRESS(INDEX($X$2:$X$1001,MATCH(ROWS($V$2:V258),$V$2:$V$1001,0),0), INDEX($AC$1004:$AS$1004,1,MATCH(COLUMNS($AC$1006:AI1006),$AC$1006:$AS$1006,0)))),"Fix")))</f>
        <v>0</v>
      </c>
      <c r="I258" s="5">
        <f>IF(OR(INDEX($W$2:$W$1001,MATCH(ROWS($V$2:V258),$V$2:$V$1001,0),1)&gt;=100000,INDEX($AC$1005:$AS$1005,1,MATCH(COLUMNS($AC$1006:AJ1006),$AC$1006:$AS$1006,0))&gt;=100000), " ",IF(INDEX($AC$2:$AS$1001,MATCH(ROWS($V$2:V258),$V$2:$V$1001,0),MATCH(COLUMNS($AC$1006:AJ1006),$AC$1006:$AS$1006,0)), HYPERLINK("#",""), HYPERLINK(CONCATENATE("#Metadata!", ADDRESS(INDEX($X$2:$X$1001,MATCH(ROWS($V$2:V258),$V$2:$V$1001,0),0), INDEX($AC$1004:$AS$1004,1,MATCH(COLUMNS($AC$1006:AJ1006),$AC$1006:$AS$1006,0)))),"Fix")))</f>
        <v>0</v>
      </c>
      <c r="J258" s="5">
        <f>IF(OR(INDEX($W$2:$W$1001,MATCH(ROWS($V$2:V258),$V$2:$V$1001,0),1)&gt;=100000,INDEX($AC$1005:$AS$1005,1,MATCH(COLUMNS($AC$1006:AK1006),$AC$1006:$AS$1006,0))&gt;=100000), " ",IF(INDEX($AC$2:$AS$1001,MATCH(ROWS($V$2:V258),$V$2:$V$1001,0),MATCH(COLUMNS($AC$1006:AK1006),$AC$1006:$AS$1006,0)), HYPERLINK("#",""), HYPERLINK(CONCATENATE("#Metadata!", ADDRESS(INDEX($X$2:$X$1001,MATCH(ROWS($V$2:V258),$V$2:$V$1001,0),0), INDEX($AC$1004:$AS$1004,1,MATCH(COLUMNS($AC$1006:AK1006),$AC$1006:$AS$1006,0)))),"Fix")))</f>
        <v>0</v>
      </c>
      <c r="K258" s="5">
        <f>IF(OR(INDEX($W$2:$W$1001,MATCH(ROWS($V$2:V258),$V$2:$V$1001,0),1)&gt;=100000,INDEX($AC$1005:$AS$1005,1,MATCH(COLUMNS($AC$1006:AL1006),$AC$1006:$AS$1006,0))&gt;=100000), " ",IF(INDEX($AC$2:$AS$1001,MATCH(ROWS($V$2:V258),$V$2:$V$1001,0),MATCH(COLUMNS($AC$1006:AL1006),$AC$1006:$AS$1006,0)), HYPERLINK("#",""), HYPERLINK(CONCATENATE("#Metadata!", ADDRESS(INDEX($X$2:$X$1001,MATCH(ROWS($V$2:V258),$V$2:$V$1001,0),0), INDEX($AC$1004:$AS$1004,1,MATCH(COLUMNS($AC$1006:AL1006),$AC$1006:$AS$1006,0)))),"Fix")))</f>
        <v>0</v>
      </c>
      <c r="L258" s="5">
        <f>IF(OR(INDEX($W$2:$W$1001,MATCH(ROWS($V$2:V258),$V$2:$V$1001,0),1)&gt;=100000,INDEX($AC$1005:$AS$1005,1,MATCH(COLUMNS($AC$1006:AM1006),$AC$1006:$AS$1006,0))&gt;=100000), " ",IF(INDEX($AC$2:$AS$1001,MATCH(ROWS($V$2:V258),$V$2:$V$1001,0),MATCH(COLUMNS($AC$1006:AM1006),$AC$1006:$AS$1006,0)), HYPERLINK("#",""), HYPERLINK(CONCATENATE("#Metadata!", ADDRESS(INDEX($X$2:$X$1001,MATCH(ROWS($V$2:V258),$V$2:$V$1001,0),0), INDEX($AC$1004:$AS$1004,1,MATCH(COLUMNS($AC$1006:AM1006),$AC$1006:$AS$1006,0)))),"Fix")))</f>
        <v>0</v>
      </c>
      <c r="M258" s="5">
        <f>IF(OR(INDEX($W$2:$W$1001,MATCH(ROWS($V$2:V258),$V$2:$V$1001,0),1)&gt;=100000,INDEX($AC$1005:$AS$1005,1,MATCH(COLUMNS($AC$1006:AN1006),$AC$1006:$AS$1006,0))&gt;=100000), " ",IF(INDEX($AC$2:$AS$1001,MATCH(ROWS($V$2:V258),$V$2:$V$1001,0),MATCH(COLUMNS($AC$1006:AN1006),$AC$1006:$AS$1006,0)), HYPERLINK("#",""), HYPERLINK(CONCATENATE("#Metadata!", ADDRESS(INDEX($X$2:$X$1001,MATCH(ROWS($V$2:V258),$V$2:$V$1001,0),0), INDEX($AC$1004:$AS$1004,1,MATCH(COLUMNS($AC$1006:AN1006),$AC$1006:$AS$1006,0)))),"Fix")))</f>
        <v>0</v>
      </c>
      <c r="N258" s="5">
        <f>IF(OR(INDEX($W$2:$W$1001,MATCH(ROWS($V$2:V258),$V$2:$V$1001,0),1)&gt;=100000,INDEX($AC$1005:$AS$1005,1,MATCH(COLUMNS($AC$1006:AO1006),$AC$1006:$AS$1006,0))&gt;=100000), " ",IF(INDEX($AC$2:$AS$1001,MATCH(ROWS($V$2:V258),$V$2:$V$1001,0),MATCH(COLUMNS($AC$1006:AO1006),$AC$1006:$AS$1006,0)), HYPERLINK("#",""), HYPERLINK(CONCATENATE("#Metadata!", ADDRESS(INDEX($X$2:$X$1001,MATCH(ROWS($V$2:V258),$V$2:$V$1001,0),0), INDEX($AC$1004:$AS$1004,1,MATCH(COLUMNS($AC$1006:AO1006),$AC$1006:$AS$1006,0)))),"Fix")))</f>
        <v>0</v>
      </c>
      <c r="O258" s="5">
        <f>IF(OR(INDEX($W$2:$W$1001,MATCH(ROWS($V$2:V258),$V$2:$V$1001,0),1)&gt;=100000,INDEX($AC$1005:$AS$1005,1,MATCH(COLUMNS($AC$1006:AP1006),$AC$1006:$AS$1006,0))&gt;=100000), " ",IF(INDEX($AC$2:$AS$1001,MATCH(ROWS($V$2:V258),$V$2:$V$1001,0),MATCH(COLUMNS($AC$1006:AP1006),$AC$1006:$AS$1006,0)), HYPERLINK("#",""), HYPERLINK(CONCATENATE("#Metadata!", ADDRESS(INDEX($X$2:$X$1001,MATCH(ROWS($V$2:V258),$V$2:$V$1001,0),0), INDEX($AC$1004:$AS$1004,1,MATCH(COLUMNS($AC$1006:AP1006),$AC$1006:$AS$1006,0)))),"Fix")))</f>
        <v>0</v>
      </c>
      <c r="P258" s="5">
        <f>IF(OR(INDEX($W$2:$W$1001,MATCH(ROWS($V$2:V258),$V$2:$V$1001,0),1)&gt;=100000,INDEX($AC$1005:$AS$1005,1,MATCH(COLUMNS($AC$1006:AQ1006),$AC$1006:$AS$1006,0))&gt;=100000), " ",IF(INDEX($AC$2:$AS$1001,MATCH(ROWS($V$2:V258),$V$2:$V$1001,0),MATCH(COLUMNS($AC$1006:AQ1006),$AC$1006:$AS$1006,0)), HYPERLINK("#",""), HYPERLINK(CONCATENATE("#Metadata!", ADDRESS(INDEX($X$2:$X$1001,MATCH(ROWS($V$2:V258),$V$2:$V$1001,0),0), INDEX($AC$1004:$AS$1004,1,MATCH(COLUMNS($AC$1006:AQ1006),$AC$1006:$AS$1006,0)))),"Fix")))</f>
        <v>0</v>
      </c>
      <c r="Q258" s="5">
        <f>IF(OR(INDEX($W$2:$W$1001,MATCH(ROWS($V$2:V258),$V$2:$V$1001,0),1)&gt;=100000,INDEX($AC$1005:$AS$1005,1,MATCH(COLUMNS($AC$1006:AR1006),$AC$1006:$AS$1006,0))&gt;=100000), " ",IF(INDEX($AC$2:$AS$1001,MATCH(ROWS($V$2:V258),$V$2:$V$1001,0),MATCH(COLUMNS($AC$1006:AR1006),$AC$1006:$AS$1006,0)), HYPERLINK("#",""), HYPERLINK(CONCATENATE("#Metadata!", ADDRESS(INDEX($X$2:$X$1001,MATCH(ROWS($V$2:V258),$V$2:$V$1001,0),0), INDEX($AC$1004:$AS$1004,1,MATCH(COLUMNS($AC$1006:AR1006),$AC$1006:$AS$1006,0)))),"Fix")))</f>
        <v>0</v>
      </c>
      <c r="R258" s="5">
        <f>IF(OR(INDEX($W$2:$W$1001,MATCH(ROWS($V$2:V258),$V$2:$V$1001,0),1)&gt;=100000,INDEX($AC$1005:$AS$1005,1,MATCH(COLUMNS($AC$1006:AS1006),$AC$1006:$AS$1006,0))&gt;=100000), " ",IF(INDEX($AC$2:$AS$1001,MATCH(ROWS($V$2:V258),$V$2:$V$1001,0),MATCH(COLUMNS($AC$1006:AS1006),$AC$1006:$AS$1006,0)), HYPERLINK("#",""), HYPERLINK(CONCATENATE("#Metadata!", ADDRESS(INDEX($X$2:$X$1001,MATCH(ROWS($V$2:V258),$V$2:$V$1001,0),0), INDEX($AC$1004:$AS$1004,1,MATCH(COLUMNS($AC$1006:AS1006),$AC$1006:$AS$1006,0)))),"Fix")))</f>
        <v>0</v>
      </c>
      <c r="V258">
        <v>0</v>
      </c>
      <c r="W258">
        <v>0</v>
      </c>
      <c r="X258">
        <v>0</v>
      </c>
      <c r="Y258">
        <f>IF(Z258,TRUE,AND(AC258:AS258))</f>
        <v>0</v>
      </c>
      <c r="Z258">
        <f>COUNTBLANK(Metadata!B258:R258)=COLUMNS(Metadata!B258:R258)</f>
        <v>0</v>
      </c>
      <c r="AA258">
        <v>0</v>
      </c>
      <c r="AC258">
        <f>AND(IF(Metadata!B258="",FALSE,TRUE),COUNTIF(Metadata!B:B, Metadata!B258) = 1,NOT(ISERROR(SUMPRODUCT(SEARCH(MID(Metadata!B258,ROW(INDIRECT("1:"&amp;LEN(Metadata!B258))), 1),"0123456789abcdefghijklmnopqrstuvwxyzABCDEFGHIJKLMNOPQRSTUVWXYZ.")))))</f>
        <v>0</v>
      </c>
      <c r="AD258">
        <f>AND(IF(Metadata!C258="",FALSE,TRUE),exact(Metadata!C258,"Host-associated"))</f>
        <v>0</v>
      </c>
      <c r="AE258">
        <f>AND(IF(Metadata!D258="",FALSE,TRUE),OR(exact(Metadata!D258,"Animal"),exact(Metadata!D258,"Fungus"),exact(Metadata!D258,"Plant")))</f>
        <v>0</v>
      </c>
      <c r="AF258">
        <f>AND(IF(Metadata!E258="",FALSE,TRUE),OR(exact(Metadata!E258,"Plant secretion"),exact(Metadata!E258,"Plant rhizosphere"),exact(Metadata!E258,"Plant surface"),exact(Metadata!E258,"Plant corpus"),exact(Metadata!E258,"Fungus surface"),exact(Metadata!E258,"Fungus corpus"),exact(Metadata!E258,"Animal surface"),exact(Metadata!E258,"Animal proximal gut"),exact(Metadata!E258,"Animal corpus"),exact(Metadata!E258,"Animal distal gut"),exact(Metadata!E258,"Animal secretion")))</f>
        <v>0</v>
      </c>
      <c r="AG258">
        <f>OR(AND(IF(Metadata!F258="",FALSE,TRUE),OR(exact(Metadata!F258,"not collected"),exact(Metadata!F258,"not provided"),exact(Metadata!F258,"restricted access"))),AND(IF(Metadata!F258="",FALSE,TRUE),OR(exact(Metadata!F258,"organism-associated habitat"),exact(Metadata!F258,"plant-associated habitat"),exact(Metadata!F258,"animal-associated habitat"),exact(Metadata!F258,"insecta-associated habitat"),exact(Metadata!F258,"mammalia-associated habitat"),exact(Metadata!F258,"human-associated habitat"),exact(Metadata!F258,"livestock-associated habitat"))))</f>
        <v>0</v>
      </c>
      <c r="AH258">
        <f>AND(IF(Metadata!G258="",FALSE,TRUE),exact(Metadata!G258,"host-associated"))</f>
        <v>0</v>
      </c>
      <c r="AI258">
        <f>OR(AND(IF(Metadata!H258="",FALSE,TRUE),OR(exact(Metadata!H258,"not collected"),exact(Metadata!H258,"not provided"))),AND(IF(Metadata!H258="",FALSE,ISNUMBER(VALUE(Metadata!H258))),Metadata!H258&gt;0))</f>
        <v>0</v>
      </c>
      <c r="AJ258">
        <f>AND(IF(Metadata!I258="",FALSE,TRUE),exact(Metadata!I258,"years"))</f>
        <v>0</v>
      </c>
      <c r="AK258">
        <f>IF(Metadata!J258="",FALSE,TRUE)</f>
        <v>0</v>
      </c>
      <c r="AL258">
        <f>OR(AND(IF(Metadata!K258="",FALSE,TRUE),OR(exact(Metadata!K258,"not collected"),exact(Metadata!K258,"not provided"))),AND(IF(Metadata!K258="",FALSE,ISNUMBER(VALUE(Metadata!K258))),Metadata!K258&gt;0))</f>
        <v>0</v>
      </c>
      <c r="AM258">
        <f>AND(IF(Metadata!L258="",FALSE,TRUE),exact(Metadata!L258,"cm"))</f>
        <v>0</v>
      </c>
      <c r="AN258">
        <f>IF(Metadata!M258="",FALSE,TRUE)</f>
        <v>0</v>
      </c>
      <c r="AO258">
        <f>OR(AND(IF(Metadata!N258="",FALSE,TRUE),OR(exact(Metadata!N258,"not applicable"),exact(Metadata!N258,"not collected"),exact(Metadata!N258,"not provided"))),AND(IF(Metadata!N258="",FALSE,IF(ISERROR(INT(Metadata!N258)),FALSE,INT(Metadata!N258)=Metadata!N258)),Metadata!N258&gt;0))</f>
        <v>0</v>
      </c>
      <c r="AP258">
        <f>OR(AND(IF(Metadata!O258="",FALSE,TRUE),OR(exact(Metadata!O258,"not collected"),exact(Metadata!O258,"not provided"))),AND(IF(Metadata!O258="",FALSE,ISNUMBER(VALUE(Metadata!O258))),Metadata!O258&gt;0))</f>
        <v>0</v>
      </c>
      <c r="AQ258">
        <f>AND(IF(Metadata!P258="",FALSE,TRUE),exact(Metadata!P258,"kg"))</f>
        <v>0</v>
      </c>
      <c r="AR258">
        <f>OR(AND(IF(Metadata!Q258="",FALSE,TRUE),OR(exact(Metadata!Q258,"not applicable"),exact(Metadata!Q258,"not collected"),exact(Metadata!Q258,"not provided"),exact(Metadata!Q258,"restricted access"))),IF(Metadata!Q258="",FALSE,IF(ISERROR(INT(Metadata!Q258)),FALSE,INT(Metadata!Q258)=Metadata!Q258)))</f>
        <v>0</v>
      </c>
      <c r="AS258">
        <f>AND(IF(Metadata!R258="",FALSE,TRUE),exact(Metadata!R258,"Not applicable"))</f>
        <v>0</v>
      </c>
    </row>
    <row r="259" spans="1:45">
      <c r="A259" s="4">
        <f>IF(B259=" "," ",HYPERLINK(CONCATENATE("#metadata!",ADDRESS(INDEX($X$2:$X$1001,MATCH(ROWS($V$2:V259),$V$2:$V$1001,0),0),2)),INDEX($AA$2:$AA$1001,MATCH(ROWS($V$2:V259),$V$2:$V$1001,0),0)))</f>
        <v>0</v>
      </c>
      <c r="B259" s="5">
        <f>IF(OR(INDEX($W$2:$W$1001,MATCH(ROWS($V$2:V259),$V$2:$V$1001,0),1)&gt;=100000,INDEX($AC$1005:$AS$1005,1,MATCH(COLUMNS($AC$1006:AC1006),$AC$1006:$AS$1006,0))&gt;=100000), " ",IF(INDEX($AC$2:$AS$1001,MATCH(ROWS($V$2:V259),$V$2:$V$1001,0),MATCH(COLUMNS($AC$1006:AC1006),$AC$1006:$AS$1006,0)), HYPERLINK("#",""), HYPERLINK(CONCATENATE("#Metadata!", ADDRESS(INDEX($X$2:$X$1001,MATCH(ROWS($V$2:V259),$V$2:$V$1001,0),0), INDEX($AC$1004:$AS$1004,1,MATCH(COLUMNS($AC$1006:AC1006),$AC$1006:$AS$1006,0)))),"Fix")))</f>
        <v>0</v>
      </c>
      <c r="C259" s="5">
        <f>IF(OR(INDEX($W$2:$W$1001,MATCH(ROWS($V$2:V259),$V$2:$V$1001,0),1)&gt;=100000,INDEX($AC$1005:$AS$1005,1,MATCH(COLUMNS($AC$1006:AD1006),$AC$1006:$AS$1006,0))&gt;=100000), " ",IF(INDEX($AC$2:$AS$1001,MATCH(ROWS($V$2:V259),$V$2:$V$1001,0),MATCH(COLUMNS($AC$1006:AD1006),$AC$1006:$AS$1006,0)), HYPERLINK("#",""), HYPERLINK(CONCATENATE("#Metadata!", ADDRESS(INDEX($X$2:$X$1001,MATCH(ROWS($V$2:V259),$V$2:$V$1001,0),0), INDEX($AC$1004:$AS$1004,1,MATCH(COLUMNS($AC$1006:AD1006),$AC$1006:$AS$1006,0)))),"Fix")))</f>
        <v>0</v>
      </c>
      <c r="D259" s="5">
        <f>IF(OR(INDEX($W$2:$W$1001,MATCH(ROWS($V$2:V259),$V$2:$V$1001,0),1)&gt;=100000,INDEX($AC$1005:$AS$1005,1,MATCH(COLUMNS($AC$1006:AE1006),$AC$1006:$AS$1006,0))&gt;=100000), " ",IF(INDEX($AC$2:$AS$1001,MATCH(ROWS($V$2:V259),$V$2:$V$1001,0),MATCH(COLUMNS($AC$1006:AE1006),$AC$1006:$AS$1006,0)), HYPERLINK("#",""), HYPERLINK(CONCATENATE("#Metadata!", ADDRESS(INDEX($X$2:$X$1001,MATCH(ROWS($V$2:V259),$V$2:$V$1001,0),0), INDEX($AC$1004:$AS$1004,1,MATCH(COLUMNS($AC$1006:AE1006),$AC$1006:$AS$1006,0)))),"Fix")))</f>
        <v>0</v>
      </c>
      <c r="E259" s="5">
        <f>IF(OR(INDEX($W$2:$W$1001,MATCH(ROWS($V$2:V259),$V$2:$V$1001,0),1)&gt;=100000,INDEX($AC$1005:$AS$1005,1,MATCH(COLUMNS($AC$1006:AF1006),$AC$1006:$AS$1006,0))&gt;=100000), " ",IF(INDEX($AC$2:$AS$1001,MATCH(ROWS($V$2:V259),$V$2:$V$1001,0),MATCH(COLUMNS($AC$1006:AF1006),$AC$1006:$AS$1006,0)), HYPERLINK("#",""), HYPERLINK(CONCATENATE("#Metadata!", ADDRESS(INDEX($X$2:$X$1001,MATCH(ROWS($V$2:V259),$V$2:$V$1001,0),0), INDEX($AC$1004:$AS$1004,1,MATCH(COLUMNS($AC$1006:AF1006),$AC$1006:$AS$1006,0)))),"Fix")))</f>
        <v>0</v>
      </c>
      <c r="F259" s="5">
        <f>IF(OR(INDEX($W$2:$W$1001,MATCH(ROWS($V$2:V259),$V$2:$V$1001,0),1)&gt;=100000,INDEX($AC$1005:$AS$1005,1,MATCH(COLUMNS($AC$1006:AG1006),$AC$1006:$AS$1006,0))&gt;=100000), " ",IF(INDEX($AC$2:$AS$1001,MATCH(ROWS($V$2:V259),$V$2:$V$1001,0),MATCH(COLUMNS($AC$1006:AG1006),$AC$1006:$AS$1006,0)), HYPERLINK("#",""), HYPERLINK(CONCATENATE("#Metadata!", ADDRESS(INDEX($X$2:$X$1001,MATCH(ROWS($V$2:V259),$V$2:$V$1001,0),0), INDEX($AC$1004:$AS$1004,1,MATCH(COLUMNS($AC$1006:AG1006),$AC$1006:$AS$1006,0)))),"Fix")))</f>
        <v>0</v>
      </c>
      <c r="G259" s="5">
        <f>IF(OR(INDEX($W$2:$W$1001,MATCH(ROWS($V$2:V259),$V$2:$V$1001,0),1)&gt;=100000,INDEX($AC$1005:$AS$1005,1,MATCH(COLUMNS($AC$1006:AH1006),$AC$1006:$AS$1006,0))&gt;=100000), " ",IF(INDEX($AC$2:$AS$1001,MATCH(ROWS($V$2:V259),$V$2:$V$1001,0),MATCH(COLUMNS($AC$1006:AH1006),$AC$1006:$AS$1006,0)), HYPERLINK("#",""), HYPERLINK(CONCATENATE("#Metadata!", ADDRESS(INDEX($X$2:$X$1001,MATCH(ROWS($V$2:V259),$V$2:$V$1001,0),0), INDEX($AC$1004:$AS$1004,1,MATCH(COLUMNS($AC$1006:AH1006),$AC$1006:$AS$1006,0)))),"Fix")))</f>
        <v>0</v>
      </c>
      <c r="H259" s="5">
        <f>IF(OR(INDEX($W$2:$W$1001,MATCH(ROWS($V$2:V259),$V$2:$V$1001,0),1)&gt;=100000,INDEX($AC$1005:$AS$1005,1,MATCH(COLUMNS($AC$1006:AI1006),$AC$1006:$AS$1006,0))&gt;=100000), " ",IF(INDEX($AC$2:$AS$1001,MATCH(ROWS($V$2:V259),$V$2:$V$1001,0),MATCH(COLUMNS($AC$1006:AI1006),$AC$1006:$AS$1006,0)), HYPERLINK("#",""), HYPERLINK(CONCATENATE("#Metadata!", ADDRESS(INDEX($X$2:$X$1001,MATCH(ROWS($V$2:V259),$V$2:$V$1001,0),0), INDEX($AC$1004:$AS$1004,1,MATCH(COLUMNS($AC$1006:AI1006),$AC$1006:$AS$1006,0)))),"Fix")))</f>
        <v>0</v>
      </c>
      <c r="I259" s="5">
        <f>IF(OR(INDEX($W$2:$W$1001,MATCH(ROWS($V$2:V259),$V$2:$V$1001,0),1)&gt;=100000,INDEX($AC$1005:$AS$1005,1,MATCH(COLUMNS($AC$1006:AJ1006),$AC$1006:$AS$1006,0))&gt;=100000), " ",IF(INDEX($AC$2:$AS$1001,MATCH(ROWS($V$2:V259),$V$2:$V$1001,0),MATCH(COLUMNS($AC$1006:AJ1006),$AC$1006:$AS$1006,0)), HYPERLINK("#",""), HYPERLINK(CONCATENATE("#Metadata!", ADDRESS(INDEX($X$2:$X$1001,MATCH(ROWS($V$2:V259),$V$2:$V$1001,0),0), INDEX($AC$1004:$AS$1004,1,MATCH(COLUMNS($AC$1006:AJ1006),$AC$1006:$AS$1006,0)))),"Fix")))</f>
        <v>0</v>
      </c>
      <c r="J259" s="5">
        <f>IF(OR(INDEX($W$2:$W$1001,MATCH(ROWS($V$2:V259),$V$2:$V$1001,0),1)&gt;=100000,INDEX($AC$1005:$AS$1005,1,MATCH(COLUMNS($AC$1006:AK1006),$AC$1006:$AS$1006,0))&gt;=100000), " ",IF(INDEX($AC$2:$AS$1001,MATCH(ROWS($V$2:V259),$V$2:$V$1001,0),MATCH(COLUMNS($AC$1006:AK1006),$AC$1006:$AS$1006,0)), HYPERLINK("#",""), HYPERLINK(CONCATENATE("#Metadata!", ADDRESS(INDEX($X$2:$X$1001,MATCH(ROWS($V$2:V259),$V$2:$V$1001,0),0), INDEX($AC$1004:$AS$1004,1,MATCH(COLUMNS($AC$1006:AK1006),$AC$1006:$AS$1006,0)))),"Fix")))</f>
        <v>0</v>
      </c>
      <c r="K259" s="5">
        <f>IF(OR(INDEX($W$2:$W$1001,MATCH(ROWS($V$2:V259),$V$2:$V$1001,0),1)&gt;=100000,INDEX($AC$1005:$AS$1005,1,MATCH(COLUMNS($AC$1006:AL1006),$AC$1006:$AS$1006,0))&gt;=100000), " ",IF(INDEX($AC$2:$AS$1001,MATCH(ROWS($V$2:V259),$V$2:$V$1001,0),MATCH(COLUMNS($AC$1006:AL1006),$AC$1006:$AS$1006,0)), HYPERLINK("#",""), HYPERLINK(CONCATENATE("#Metadata!", ADDRESS(INDEX($X$2:$X$1001,MATCH(ROWS($V$2:V259),$V$2:$V$1001,0),0), INDEX($AC$1004:$AS$1004,1,MATCH(COLUMNS($AC$1006:AL1006),$AC$1006:$AS$1006,0)))),"Fix")))</f>
        <v>0</v>
      </c>
      <c r="L259" s="5">
        <f>IF(OR(INDEX($W$2:$W$1001,MATCH(ROWS($V$2:V259),$V$2:$V$1001,0),1)&gt;=100000,INDEX($AC$1005:$AS$1005,1,MATCH(COLUMNS($AC$1006:AM1006),$AC$1006:$AS$1006,0))&gt;=100000), " ",IF(INDEX($AC$2:$AS$1001,MATCH(ROWS($V$2:V259),$V$2:$V$1001,0),MATCH(COLUMNS($AC$1006:AM1006),$AC$1006:$AS$1006,0)), HYPERLINK("#",""), HYPERLINK(CONCATENATE("#Metadata!", ADDRESS(INDEX($X$2:$X$1001,MATCH(ROWS($V$2:V259),$V$2:$V$1001,0),0), INDEX($AC$1004:$AS$1004,1,MATCH(COLUMNS($AC$1006:AM1006),$AC$1006:$AS$1006,0)))),"Fix")))</f>
        <v>0</v>
      </c>
      <c r="M259" s="5">
        <f>IF(OR(INDEX($W$2:$W$1001,MATCH(ROWS($V$2:V259),$V$2:$V$1001,0),1)&gt;=100000,INDEX($AC$1005:$AS$1005,1,MATCH(COLUMNS($AC$1006:AN1006),$AC$1006:$AS$1006,0))&gt;=100000), " ",IF(INDEX($AC$2:$AS$1001,MATCH(ROWS($V$2:V259),$V$2:$V$1001,0),MATCH(COLUMNS($AC$1006:AN1006),$AC$1006:$AS$1006,0)), HYPERLINK("#",""), HYPERLINK(CONCATENATE("#Metadata!", ADDRESS(INDEX($X$2:$X$1001,MATCH(ROWS($V$2:V259),$V$2:$V$1001,0),0), INDEX($AC$1004:$AS$1004,1,MATCH(COLUMNS($AC$1006:AN1006),$AC$1006:$AS$1006,0)))),"Fix")))</f>
        <v>0</v>
      </c>
      <c r="N259" s="5">
        <f>IF(OR(INDEX($W$2:$W$1001,MATCH(ROWS($V$2:V259),$V$2:$V$1001,0),1)&gt;=100000,INDEX($AC$1005:$AS$1005,1,MATCH(COLUMNS($AC$1006:AO1006),$AC$1006:$AS$1006,0))&gt;=100000), " ",IF(INDEX($AC$2:$AS$1001,MATCH(ROWS($V$2:V259),$V$2:$V$1001,0),MATCH(COLUMNS($AC$1006:AO1006),$AC$1006:$AS$1006,0)), HYPERLINK("#",""), HYPERLINK(CONCATENATE("#Metadata!", ADDRESS(INDEX($X$2:$X$1001,MATCH(ROWS($V$2:V259),$V$2:$V$1001,0),0), INDEX($AC$1004:$AS$1004,1,MATCH(COLUMNS($AC$1006:AO1006),$AC$1006:$AS$1006,0)))),"Fix")))</f>
        <v>0</v>
      </c>
      <c r="O259" s="5">
        <f>IF(OR(INDEX($W$2:$W$1001,MATCH(ROWS($V$2:V259),$V$2:$V$1001,0),1)&gt;=100000,INDEX($AC$1005:$AS$1005,1,MATCH(COLUMNS($AC$1006:AP1006),$AC$1006:$AS$1006,0))&gt;=100000), " ",IF(INDEX($AC$2:$AS$1001,MATCH(ROWS($V$2:V259),$V$2:$V$1001,0),MATCH(COLUMNS($AC$1006:AP1006),$AC$1006:$AS$1006,0)), HYPERLINK("#",""), HYPERLINK(CONCATENATE("#Metadata!", ADDRESS(INDEX($X$2:$X$1001,MATCH(ROWS($V$2:V259),$V$2:$V$1001,0),0), INDEX($AC$1004:$AS$1004,1,MATCH(COLUMNS($AC$1006:AP1006),$AC$1006:$AS$1006,0)))),"Fix")))</f>
        <v>0</v>
      </c>
      <c r="P259" s="5">
        <f>IF(OR(INDEX($W$2:$W$1001,MATCH(ROWS($V$2:V259),$V$2:$V$1001,0),1)&gt;=100000,INDEX($AC$1005:$AS$1005,1,MATCH(COLUMNS($AC$1006:AQ1006),$AC$1006:$AS$1006,0))&gt;=100000), " ",IF(INDEX($AC$2:$AS$1001,MATCH(ROWS($V$2:V259),$V$2:$V$1001,0),MATCH(COLUMNS($AC$1006:AQ1006),$AC$1006:$AS$1006,0)), HYPERLINK("#",""), HYPERLINK(CONCATENATE("#Metadata!", ADDRESS(INDEX($X$2:$X$1001,MATCH(ROWS($V$2:V259),$V$2:$V$1001,0),0), INDEX($AC$1004:$AS$1004,1,MATCH(COLUMNS($AC$1006:AQ1006),$AC$1006:$AS$1006,0)))),"Fix")))</f>
        <v>0</v>
      </c>
      <c r="Q259" s="5">
        <f>IF(OR(INDEX($W$2:$W$1001,MATCH(ROWS($V$2:V259),$V$2:$V$1001,0),1)&gt;=100000,INDEX($AC$1005:$AS$1005,1,MATCH(COLUMNS($AC$1006:AR1006),$AC$1006:$AS$1006,0))&gt;=100000), " ",IF(INDEX($AC$2:$AS$1001,MATCH(ROWS($V$2:V259),$V$2:$V$1001,0),MATCH(COLUMNS($AC$1006:AR1006),$AC$1006:$AS$1006,0)), HYPERLINK("#",""), HYPERLINK(CONCATENATE("#Metadata!", ADDRESS(INDEX($X$2:$X$1001,MATCH(ROWS($V$2:V259),$V$2:$V$1001,0),0), INDEX($AC$1004:$AS$1004,1,MATCH(COLUMNS($AC$1006:AR1006),$AC$1006:$AS$1006,0)))),"Fix")))</f>
        <v>0</v>
      </c>
      <c r="R259" s="5">
        <f>IF(OR(INDEX($W$2:$W$1001,MATCH(ROWS($V$2:V259),$V$2:$V$1001,0),1)&gt;=100000,INDEX($AC$1005:$AS$1005,1,MATCH(COLUMNS($AC$1006:AS1006),$AC$1006:$AS$1006,0))&gt;=100000), " ",IF(INDEX($AC$2:$AS$1001,MATCH(ROWS($V$2:V259),$V$2:$V$1001,0),MATCH(COLUMNS($AC$1006:AS1006),$AC$1006:$AS$1006,0)), HYPERLINK("#",""), HYPERLINK(CONCATENATE("#Metadata!", ADDRESS(INDEX($X$2:$X$1001,MATCH(ROWS($V$2:V259),$V$2:$V$1001,0),0), INDEX($AC$1004:$AS$1004,1,MATCH(COLUMNS($AC$1006:AS1006),$AC$1006:$AS$1006,0)))),"Fix")))</f>
        <v>0</v>
      </c>
      <c r="V259">
        <v>0</v>
      </c>
      <c r="W259">
        <v>0</v>
      </c>
      <c r="X259">
        <v>0</v>
      </c>
      <c r="Y259">
        <f>IF(Z259,TRUE,AND(AC259:AS259))</f>
        <v>0</v>
      </c>
      <c r="Z259">
        <f>COUNTBLANK(Metadata!B259:R259)=COLUMNS(Metadata!B259:R259)</f>
        <v>0</v>
      </c>
      <c r="AA259">
        <v>0</v>
      </c>
      <c r="AC259">
        <f>AND(IF(Metadata!B259="",FALSE,TRUE),COUNTIF(Metadata!B:B, Metadata!B259) = 1,NOT(ISERROR(SUMPRODUCT(SEARCH(MID(Metadata!B259,ROW(INDIRECT("1:"&amp;LEN(Metadata!B259))), 1),"0123456789abcdefghijklmnopqrstuvwxyzABCDEFGHIJKLMNOPQRSTUVWXYZ.")))))</f>
        <v>0</v>
      </c>
      <c r="AD259">
        <f>AND(IF(Metadata!C259="",FALSE,TRUE),exact(Metadata!C259,"Host-associated"))</f>
        <v>0</v>
      </c>
      <c r="AE259">
        <f>AND(IF(Metadata!D259="",FALSE,TRUE),OR(exact(Metadata!D259,"Animal"),exact(Metadata!D259,"Fungus"),exact(Metadata!D259,"Plant")))</f>
        <v>0</v>
      </c>
      <c r="AF259">
        <f>AND(IF(Metadata!E259="",FALSE,TRUE),OR(exact(Metadata!E259,"Plant secretion"),exact(Metadata!E259,"Plant rhizosphere"),exact(Metadata!E259,"Plant surface"),exact(Metadata!E259,"Plant corpus"),exact(Metadata!E259,"Fungus surface"),exact(Metadata!E259,"Fungus corpus"),exact(Metadata!E259,"Animal surface"),exact(Metadata!E259,"Animal proximal gut"),exact(Metadata!E259,"Animal corpus"),exact(Metadata!E259,"Animal distal gut"),exact(Metadata!E259,"Animal secretion")))</f>
        <v>0</v>
      </c>
      <c r="AG259">
        <f>OR(AND(IF(Metadata!F259="",FALSE,TRUE),OR(exact(Metadata!F259,"not collected"),exact(Metadata!F259,"not provided"),exact(Metadata!F259,"restricted access"))),AND(IF(Metadata!F259="",FALSE,TRUE),OR(exact(Metadata!F259,"organism-associated habitat"),exact(Metadata!F259,"plant-associated habitat"),exact(Metadata!F259,"animal-associated habitat"),exact(Metadata!F259,"insecta-associated habitat"),exact(Metadata!F259,"mammalia-associated habitat"),exact(Metadata!F259,"human-associated habitat"),exact(Metadata!F259,"livestock-associated habitat"))))</f>
        <v>0</v>
      </c>
      <c r="AH259">
        <f>AND(IF(Metadata!G259="",FALSE,TRUE),exact(Metadata!G259,"host-associated"))</f>
        <v>0</v>
      </c>
      <c r="AI259">
        <f>OR(AND(IF(Metadata!H259="",FALSE,TRUE),OR(exact(Metadata!H259,"not collected"),exact(Metadata!H259,"not provided"))),AND(IF(Metadata!H259="",FALSE,ISNUMBER(VALUE(Metadata!H259))),Metadata!H259&gt;0))</f>
        <v>0</v>
      </c>
      <c r="AJ259">
        <f>AND(IF(Metadata!I259="",FALSE,TRUE),exact(Metadata!I259,"years"))</f>
        <v>0</v>
      </c>
      <c r="AK259">
        <f>IF(Metadata!J259="",FALSE,TRUE)</f>
        <v>0</v>
      </c>
      <c r="AL259">
        <f>OR(AND(IF(Metadata!K259="",FALSE,TRUE),OR(exact(Metadata!K259,"not collected"),exact(Metadata!K259,"not provided"))),AND(IF(Metadata!K259="",FALSE,ISNUMBER(VALUE(Metadata!K259))),Metadata!K259&gt;0))</f>
        <v>0</v>
      </c>
      <c r="AM259">
        <f>AND(IF(Metadata!L259="",FALSE,TRUE),exact(Metadata!L259,"cm"))</f>
        <v>0</v>
      </c>
      <c r="AN259">
        <f>IF(Metadata!M259="",FALSE,TRUE)</f>
        <v>0</v>
      </c>
      <c r="AO259">
        <f>OR(AND(IF(Metadata!N259="",FALSE,TRUE),OR(exact(Metadata!N259,"not applicable"),exact(Metadata!N259,"not collected"),exact(Metadata!N259,"not provided"))),AND(IF(Metadata!N259="",FALSE,IF(ISERROR(INT(Metadata!N259)),FALSE,INT(Metadata!N259)=Metadata!N259)),Metadata!N259&gt;0))</f>
        <v>0</v>
      </c>
      <c r="AP259">
        <f>OR(AND(IF(Metadata!O259="",FALSE,TRUE),OR(exact(Metadata!O259,"not collected"),exact(Metadata!O259,"not provided"))),AND(IF(Metadata!O259="",FALSE,ISNUMBER(VALUE(Metadata!O259))),Metadata!O259&gt;0))</f>
        <v>0</v>
      </c>
      <c r="AQ259">
        <f>AND(IF(Metadata!P259="",FALSE,TRUE),exact(Metadata!P259,"kg"))</f>
        <v>0</v>
      </c>
      <c r="AR259">
        <f>OR(AND(IF(Metadata!Q259="",FALSE,TRUE),OR(exact(Metadata!Q259,"not applicable"),exact(Metadata!Q259,"not collected"),exact(Metadata!Q259,"not provided"),exact(Metadata!Q259,"restricted access"))),IF(Metadata!Q259="",FALSE,IF(ISERROR(INT(Metadata!Q259)),FALSE,INT(Metadata!Q259)=Metadata!Q259)))</f>
        <v>0</v>
      </c>
      <c r="AS259">
        <f>AND(IF(Metadata!R259="",FALSE,TRUE),exact(Metadata!R259,"Not applicable"))</f>
        <v>0</v>
      </c>
    </row>
    <row r="260" spans="1:45">
      <c r="A260" s="4">
        <f>IF(B260=" "," ",HYPERLINK(CONCATENATE("#metadata!",ADDRESS(INDEX($X$2:$X$1001,MATCH(ROWS($V$2:V260),$V$2:$V$1001,0),0),2)),INDEX($AA$2:$AA$1001,MATCH(ROWS($V$2:V260),$V$2:$V$1001,0),0)))</f>
        <v>0</v>
      </c>
      <c r="B260" s="5">
        <f>IF(OR(INDEX($W$2:$W$1001,MATCH(ROWS($V$2:V260),$V$2:$V$1001,0),1)&gt;=100000,INDEX($AC$1005:$AS$1005,1,MATCH(COLUMNS($AC$1006:AC1006),$AC$1006:$AS$1006,0))&gt;=100000), " ",IF(INDEX($AC$2:$AS$1001,MATCH(ROWS($V$2:V260),$V$2:$V$1001,0),MATCH(COLUMNS($AC$1006:AC1006),$AC$1006:$AS$1006,0)), HYPERLINK("#",""), HYPERLINK(CONCATENATE("#Metadata!", ADDRESS(INDEX($X$2:$X$1001,MATCH(ROWS($V$2:V260),$V$2:$V$1001,0),0), INDEX($AC$1004:$AS$1004,1,MATCH(COLUMNS($AC$1006:AC1006),$AC$1006:$AS$1006,0)))),"Fix")))</f>
        <v>0</v>
      </c>
      <c r="C260" s="5">
        <f>IF(OR(INDEX($W$2:$W$1001,MATCH(ROWS($V$2:V260),$V$2:$V$1001,0),1)&gt;=100000,INDEX($AC$1005:$AS$1005,1,MATCH(COLUMNS($AC$1006:AD1006),$AC$1006:$AS$1006,0))&gt;=100000), " ",IF(INDEX($AC$2:$AS$1001,MATCH(ROWS($V$2:V260),$V$2:$V$1001,0),MATCH(COLUMNS($AC$1006:AD1006),$AC$1006:$AS$1006,0)), HYPERLINK("#",""), HYPERLINK(CONCATENATE("#Metadata!", ADDRESS(INDEX($X$2:$X$1001,MATCH(ROWS($V$2:V260),$V$2:$V$1001,0),0), INDEX($AC$1004:$AS$1004,1,MATCH(COLUMNS($AC$1006:AD1006),$AC$1006:$AS$1006,0)))),"Fix")))</f>
        <v>0</v>
      </c>
      <c r="D260" s="5">
        <f>IF(OR(INDEX($W$2:$W$1001,MATCH(ROWS($V$2:V260),$V$2:$V$1001,0),1)&gt;=100000,INDEX($AC$1005:$AS$1005,1,MATCH(COLUMNS($AC$1006:AE1006),$AC$1006:$AS$1006,0))&gt;=100000), " ",IF(INDEX($AC$2:$AS$1001,MATCH(ROWS($V$2:V260),$V$2:$V$1001,0),MATCH(COLUMNS($AC$1006:AE1006),$AC$1006:$AS$1006,0)), HYPERLINK("#",""), HYPERLINK(CONCATENATE("#Metadata!", ADDRESS(INDEX($X$2:$X$1001,MATCH(ROWS($V$2:V260),$V$2:$V$1001,0),0), INDEX($AC$1004:$AS$1004,1,MATCH(COLUMNS($AC$1006:AE1006),$AC$1006:$AS$1006,0)))),"Fix")))</f>
        <v>0</v>
      </c>
      <c r="E260" s="5">
        <f>IF(OR(INDEX($W$2:$W$1001,MATCH(ROWS($V$2:V260),$V$2:$V$1001,0),1)&gt;=100000,INDEX($AC$1005:$AS$1005,1,MATCH(COLUMNS($AC$1006:AF1006),$AC$1006:$AS$1006,0))&gt;=100000), " ",IF(INDEX($AC$2:$AS$1001,MATCH(ROWS($V$2:V260),$V$2:$V$1001,0),MATCH(COLUMNS($AC$1006:AF1006),$AC$1006:$AS$1006,0)), HYPERLINK("#",""), HYPERLINK(CONCATENATE("#Metadata!", ADDRESS(INDEX($X$2:$X$1001,MATCH(ROWS($V$2:V260),$V$2:$V$1001,0),0), INDEX($AC$1004:$AS$1004,1,MATCH(COLUMNS($AC$1006:AF1006),$AC$1006:$AS$1006,0)))),"Fix")))</f>
        <v>0</v>
      </c>
      <c r="F260" s="5">
        <f>IF(OR(INDEX($W$2:$W$1001,MATCH(ROWS($V$2:V260),$V$2:$V$1001,0),1)&gt;=100000,INDEX($AC$1005:$AS$1005,1,MATCH(COLUMNS($AC$1006:AG1006),$AC$1006:$AS$1006,0))&gt;=100000), " ",IF(INDEX($AC$2:$AS$1001,MATCH(ROWS($V$2:V260),$V$2:$V$1001,0),MATCH(COLUMNS($AC$1006:AG1006),$AC$1006:$AS$1006,0)), HYPERLINK("#",""), HYPERLINK(CONCATENATE("#Metadata!", ADDRESS(INDEX($X$2:$X$1001,MATCH(ROWS($V$2:V260),$V$2:$V$1001,0),0), INDEX($AC$1004:$AS$1004,1,MATCH(COLUMNS($AC$1006:AG1006),$AC$1006:$AS$1006,0)))),"Fix")))</f>
        <v>0</v>
      </c>
      <c r="G260" s="5">
        <f>IF(OR(INDEX($W$2:$W$1001,MATCH(ROWS($V$2:V260),$V$2:$V$1001,0),1)&gt;=100000,INDEX($AC$1005:$AS$1005,1,MATCH(COLUMNS($AC$1006:AH1006),$AC$1006:$AS$1006,0))&gt;=100000), " ",IF(INDEX($AC$2:$AS$1001,MATCH(ROWS($V$2:V260),$V$2:$V$1001,0),MATCH(COLUMNS($AC$1006:AH1006),$AC$1006:$AS$1006,0)), HYPERLINK("#",""), HYPERLINK(CONCATENATE("#Metadata!", ADDRESS(INDEX($X$2:$X$1001,MATCH(ROWS($V$2:V260),$V$2:$V$1001,0),0), INDEX($AC$1004:$AS$1004,1,MATCH(COLUMNS($AC$1006:AH1006),$AC$1006:$AS$1006,0)))),"Fix")))</f>
        <v>0</v>
      </c>
      <c r="H260" s="5">
        <f>IF(OR(INDEX($W$2:$W$1001,MATCH(ROWS($V$2:V260),$V$2:$V$1001,0),1)&gt;=100000,INDEX($AC$1005:$AS$1005,1,MATCH(COLUMNS($AC$1006:AI1006),$AC$1006:$AS$1006,0))&gt;=100000), " ",IF(INDEX($AC$2:$AS$1001,MATCH(ROWS($V$2:V260),$V$2:$V$1001,0),MATCH(COLUMNS($AC$1006:AI1006),$AC$1006:$AS$1006,0)), HYPERLINK("#",""), HYPERLINK(CONCATENATE("#Metadata!", ADDRESS(INDEX($X$2:$X$1001,MATCH(ROWS($V$2:V260),$V$2:$V$1001,0),0), INDEX($AC$1004:$AS$1004,1,MATCH(COLUMNS($AC$1006:AI1006),$AC$1006:$AS$1006,0)))),"Fix")))</f>
        <v>0</v>
      </c>
      <c r="I260" s="5">
        <f>IF(OR(INDEX($W$2:$W$1001,MATCH(ROWS($V$2:V260),$V$2:$V$1001,0),1)&gt;=100000,INDEX($AC$1005:$AS$1005,1,MATCH(COLUMNS($AC$1006:AJ1006),$AC$1006:$AS$1006,0))&gt;=100000), " ",IF(INDEX($AC$2:$AS$1001,MATCH(ROWS($V$2:V260),$V$2:$V$1001,0),MATCH(COLUMNS($AC$1006:AJ1006),$AC$1006:$AS$1006,0)), HYPERLINK("#",""), HYPERLINK(CONCATENATE("#Metadata!", ADDRESS(INDEX($X$2:$X$1001,MATCH(ROWS($V$2:V260),$V$2:$V$1001,0),0), INDEX($AC$1004:$AS$1004,1,MATCH(COLUMNS($AC$1006:AJ1006),$AC$1006:$AS$1006,0)))),"Fix")))</f>
        <v>0</v>
      </c>
      <c r="J260" s="5">
        <f>IF(OR(INDEX($W$2:$W$1001,MATCH(ROWS($V$2:V260),$V$2:$V$1001,0),1)&gt;=100000,INDEX($AC$1005:$AS$1005,1,MATCH(COLUMNS($AC$1006:AK1006),$AC$1006:$AS$1006,0))&gt;=100000), " ",IF(INDEX($AC$2:$AS$1001,MATCH(ROWS($V$2:V260),$V$2:$V$1001,0),MATCH(COLUMNS($AC$1006:AK1006),$AC$1006:$AS$1006,0)), HYPERLINK("#",""), HYPERLINK(CONCATENATE("#Metadata!", ADDRESS(INDEX($X$2:$X$1001,MATCH(ROWS($V$2:V260),$V$2:$V$1001,0),0), INDEX($AC$1004:$AS$1004,1,MATCH(COLUMNS($AC$1006:AK1006),$AC$1006:$AS$1006,0)))),"Fix")))</f>
        <v>0</v>
      </c>
      <c r="K260" s="5">
        <f>IF(OR(INDEX($W$2:$W$1001,MATCH(ROWS($V$2:V260),$V$2:$V$1001,0),1)&gt;=100000,INDEX($AC$1005:$AS$1005,1,MATCH(COLUMNS($AC$1006:AL1006),$AC$1006:$AS$1006,0))&gt;=100000), " ",IF(INDEX($AC$2:$AS$1001,MATCH(ROWS($V$2:V260),$V$2:$V$1001,0),MATCH(COLUMNS($AC$1006:AL1006),$AC$1006:$AS$1006,0)), HYPERLINK("#",""), HYPERLINK(CONCATENATE("#Metadata!", ADDRESS(INDEX($X$2:$X$1001,MATCH(ROWS($V$2:V260),$V$2:$V$1001,0),0), INDEX($AC$1004:$AS$1004,1,MATCH(COLUMNS($AC$1006:AL1006),$AC$1006:$AS$1006,0)))),"Fix")))</f>
        <v>0</v>
      </c>
      <c r="L260" s="5">
        <f>IF(OR(INDEX($W$2:$W$1001,MATCH(ROWS($V$2:V260),$V$2:$V$1001,0),1)&gt;=100000,INDEX($AC$1005:$AS$1005,1,MATCH(COLUMNS($AC$1006:AM1006),$AC$1006:$AS$1006,0))&gt;=100000), " ",IF(INDEX($AC$2:$AS$1001,MATCH(ROWS($V$2:V260),$V$2:$V$1001,0),MATCH(COLUMNS($AC$1006:AM1006),$AC$1006:$AS$1006,0)), HYPERLINK("#",""), HYPERLINK(CONCATENATE("#Metadata!", ADDRESS(INDEX($X$2:$X$1001,MATCH(ROWS($V$2:V260),$V$2:$V$1001,0),0), INDEX($AC$1004:$AS$1004,1,MATCH(COLUMNS($AC$1006:AM1006),$AC$1006:$AS$1006,0)))),"Fix")))</f>
        <v>0</v>
      </c>
      <c r="M260" s="5">
        <f>IF(OR(INDEX($W$2:$W$1001,MATCH(ROWS($V$2:V260),$V$2:$V$1001,0),1)&gt;=100000,INDEX($AC$1005:$AS$1005,1,MATCH(COLUMNS($AC$1006:AN1006),$AC$1006:$AS$1006,0))&gt;=100000), " ",IF(INDEX($AC$2:$AS$1001,MATCH(ROWS($V$2:V260),$V$2:$V$1001,0),MATCH(COLUMNS($AC$1006:AN1006),$AC$1006:$AS$1006,0)), HYPERLINK("#",""), HYPERLINK(CONCATENATE("#Metadata!", ADDRESS(INDEX($X$2:$X$1001,MATCH(ROWS($V$2:V260),$V$2:$V$1001,0),0), INDEX($AC$1004:$AS$1004,1,MATCH(COLUMNS($AC$1006:AN1006),$AC$1006:$AS$1006,0)))),"Fix")))</f>
        <v>0</v>
      </c>
      <c r="N260" s="5">
        <f>IF(OR(INDEX($W$2:$W$1001,MATCH(ROWS($V$2:V260),$V$2:$V$1001,0),1)&gt;=100000,INDEX($AC$1005:$AS$1005,1,MATCH(COLUMNS($AC$1006:AO1006),$AC$1006:$AS$1006,0))&gt;=100000), " ",IF(INDEX($AC$2:$AS$1001,MATCH(ROWS($V$2:V260),$V$2:$V$1001,0),MATCH(COLUMNS($AC$1006:AO1006),$AC$1006:$AS$1006,0)), HYPERLINK("#",""), HYPERLINK(CONCATENATE("#Metadata!", ADDRESS(INDEX($X$2:$X$1001,MATCH(ROWS($V$2:V260),$V$2:$V$1001,0),0), INDEX($AC$1004:$AS$1004,1,MATCH(COLUMNS($AC$1006:AO1006),$AC$1006:$AS$1006,0)))),"Fix")))</f>
        <v>0</v>
      </c>
      <c r="O260" s="5">
        <f>IF(OR(INDEX($W$2:$W$1001,MATCH(ROWS($V$2:V260),$V$2:$V$1001,0),1)&gt;=100000,INDEX($AC$1005:$AS$1005,1,MATCH(COLUMNS($AC$1006:AP1006),$AC$1006:$AS$1006,0))&gt;=100000), " ",IF(INDEX($AC$2:$AS$1001,MATCH(ROWS($V$2:V260),$V$2:$V$1001,0),MATCH(COLUMNS($AC$1006:AP1006),$AC$1006:$AS$1006,0)), HYPERLINK("#",""), HYPERLINK(CONCATENATE("#Metadata!", ADDRESS(INDEX($X$2:$X$1001,MATCH(ROWS($V$2:V260),$V$2:$V$1001,0),0), INDEX($AC$1004:$AS$1004,1,MATCH(COLUMNS($AC$1006:AP1006),$AC$1006:$AS$1006,0)))),"Fix")))</f>
        <v>0</v>
      </c>
      <c r="P260" s="5">
        <f>IF(OR(INDEX($W$2:$W$1001,MATCH(ROWS($V$2:V260),$V$2:$V$1001,0),1)&gt;=100000,INDEX($AC$1005:$AS$1005,1,MATCH(COLUMNS($AC$1006:AQ1006),$AC$1006:$AS$1006,0))&gt;=100000), " ",IF(INDEX($AC$2:$AS$1001,MATCH(ROWS($V$2:V260),$V$2:$V$1001,0),MATCH(COLUMNS($AC$1006:AQ1006),$AC$1006:$AS$1006,0)), HYPERLINK("#",""), HYPERLINK(CONCATENATE("#Metadata!", ADDRESS(INDEX($X$2:$X$1001,MATCH(ROWS($V$2:V260),$V$2:$V$1001,0),0), INDEX($AC$1004:$AS$1004,1,MATCH(COLUMNS($AC$1006:AQ1006),$AC$1006:$AS$1006,0)))),"Fix")))</f>
        <v>0</v>
      </c>
      <c r="Q260" s="5">
        <f>IF(OR(INDEX($W$2:$W$1001,MATCH(ROWS($V$2:V260),$V$2:$V$1001,0),1)&gt;=100000,INDEX($AC$1005:$AS$1005,1,MATCH(COLUMNS($AC$1006:AR1006),$AC$1006:$AS$1006,0))&gt;=100000), " ",IF(INDEX($AC$2:$AS$1001,MATCH(ROWS($V$2:V260),$V$2:$V$1001,0),MATCH(COLUMNS($AC$1006:AR1006),$AC$1006:$AS$1006,0)), HYPERLINK("#",""), HYPERLINK(CONCATENATE("#Metadata!", ADDRESS(INDEX($X$2:$X$1001,MATCH(ROWS($V$2:V260),$V$2:$V$1001,0),0), INDEX($AC$1004:$AS$1004,1,MATCH(COLUMNS($AC$1006:AR1006),$AC$1006:$AS$1006,0)))),"Fix")))</f>
        <v>0</v>
      </c>
      <c r="R260" s="5">
        <f>IF(OR(INDEX($W$2:$W$1001,MATCH(ROWS($V$2:V260),$V$2:$V$1001,0),1)&gt;=100000,INDEX($AC$1005:$AS$1005,1,MATCH(COLUMNS($AC$1006:AS1006),$AC$1006:$AS$1006,0))&gt;=100000), " ",IF(INDEX($AC$2:$AS$1001,MATCH(ROWS($V$2:V260),$V$2:$V$1001,0),MATCH(COLUMNS($AC$1006:AS1006),$AC$1006:$AS$1006,0)), HYPERLINK("#",""), HYPERLINK(CONCATENATE("#Metadata!", ADDRESS(INDEX($X$2:$X$1001,MATCH(ROWS($V$2:V260),$V$2:$V$1001,0),0), INDEX($AC$1004:$AS$1004,1,MATCH(COLUMNS($AC$1006:AS1006),$AC$1006:$AS$1006,0)))),"Fix")))</f>
        <v>0</v>
      </c>
      <c r="V260">
        <v>0</v>
      </c>
      <c r="W260">
        <v>0</v>
      </c>
      <c r="X260">
        <v>0</v>
      </c>
      <c r="Y260">
        <f>IF(Z260,TRUE,AND(AC260:AS260))</f>
        <v>0</v>
      </c>
      <c r="Z260">
        <f>COUNTBLANK(Metadata!B260:R260)=COLUMNS(Metadata!B260:R260)</f>
        <v>0</v>
      </c>
      <c r="AA260">
        <v>0</v>
      </c>
      <c r="AC260">
        <f>AND(IF(Metadata!B260="",FALSE,TRUE),COUNTIF(Metadata!B:B, Metadata!B260) = 1,NOT(ISERROR(SUMPRODUCT(SEARCH(MID(Metadata!B260,ROW(INDIRECT("1:"&amp;LEN(Metadata!B260))), 1),"0123456789abcdefghijklmnopqrstuvwxyzABCDEFGHIJKLMNOPQRSTUVWXYZ.")))))</f>
        <v>0</v>
      </c>
      <c r="AD260">
        <f>AND(IF(Metadata!C260="",FALSE,TRUE),exact(Metadata!C260,"Host-associated"))</f>
        <v>0</v>
      </c>
      <c r="AE260">
        <f>AND(IF(Metadata!D260="",FALSE,TRUE),OR(exact(Metadata!D260,"Animal"),exact(Metadata!D260,"Fungus"),exact(Metadata!D260,"Plant")))</f>
        <v>0</v>
      </c>
      <c r="AF260">
        <f>AND(IF(Metadata!E260="",FALSE,TRUE),OR(exact(Metadata!E260,"Plant secretion"),exact(Metadata!E260,"Plant rhizosphere"),exact(Metadata!E260,"Plant surface"),exact(Metadata!E260,"Plant corpus"),exact(Metadata!E260,"Fungus surface"),exact(Metadata!E260,"Fungus corpus"),exact(Metadata!E260,"Animal surface"),exact(Metadata!E260,"Animal proximal gut"),exact(Metadata!E260,"Animal corpus"),exact(Metadata!E260,"Animal distal gut"),exact(Metadata!E260,"Animal secretion")))</f>
        <v>0</v>
      </c>
      <c r="AG260">
        <f>OR(AND(IF(Metadata!F260="",FALSE,TRUE),OR(exact(Metadata!F260,"not collected"),exact(Metadata!F260,"not provided"),exact(Metadata!F260,"restricted access"))),AND(IF(Metadata!F260="",FALSE,TRUE),OR(exact(Metadata!F260,"organism-associated habitat"),exact(Metadata!F260,"plant-associated habitat"),exact(Metadata!F260,"animal-associated habitat"),exact(Metadata!F260,"insecta-associated habitat"),exact(Metadata!F260,"mammalia-associated habitat"),exact(Metadata!F260,"human-associated habitat"),exact(Metadata!F260,"livestock-associated habitat"))))</f>
        <v>0</v>
      </c>
      <c r="AH260">
        <f>AND(IF(Metadata!G260="",FALSE,TRUE),exact(Metadata!G260,"host-associated"))</f>
        <v>0</v>
      </c>
      <c r="AI260">
        <f>OR(AND(IF(Metadata!H260="",FALSE,TRUE),OR(exact(Metadata!H260,"not collected"),exact(Metadata!H260,"not provided"))),AND(IF(Metadata!H260="",FALSE,ISNUMBER(VALUE(Metadata!H260))),Metadata!H260&gt;0))</f>
        <v>0</v>
      </c>
      <c r="AJ260">
        <f>AND(IF(Metadata!I260="",FALSE,TRUE),exact(Metadata!I260,"years"))</f>
        <v>0</v>
      </c>
      <c r="AK260">
        <f>IF(Metadata!J260="",FALSE,TRUE)</f>
        <v>0</v>
      </c>
      <c r="AL260">
        <f>OR(AND(IF(Metadata!K260="",FALSE,TRUE),OR(exact(Metadata!K260,"not collected"),exact(Metadata!K260,"not provided"))),AND(IF(Metadata!K260="",FALSE,ISNUMBER(VALUE(Metadata!K260))),Metadata!K260&gt;0))</f>
        <v>0</v>
      </c>
      <c r="AM260">
        <f>AND(IF(Metadata!L260="",FALSE,TRUE),exact(Metadata!L260,"cm"))</f>
        <v>0</v>
      </c>
      <c r="AN260">
        <f>IF(Metadata!M260="",FALSE,TRUE)</f>
        <v>0</v>
      </c>
      <c r="AO260">
        <f>OR(AND(IF(Metadata!N260="",FALSE,TRUE),OR(exact(Metadata!N260,"not applicable"),exact(Metadata!N260,"not collected"),exact(Metadata!N260,"not provided"))),AND(IF(Metadata!N260="",FALSE,IF(ISERROR(INT(Metadata!N260)),FALSE,INT(Metadata!N260)=Metadata!N260)),Metadata!N260&gt;0))</f>
        <v>0</v>
      </c>
      <c r="AP260">
        <f>OR(AND(IF(Metadata!O260="",FALSE,TRUE),OR(exact(Metadata!O260,"not collected"),exact(Metadata!O260,"not provided"))),AND(IF(Metadata!O260="",FALSE,ISNUMBER(VALUE(Metadata!O260))),Metadata!O260&gt;0))</f>
        <v>0</v>
      </c>
      <c r="AQ260">
        <f>AND(IF(Metadata!P260="",FALSE,TRUE),exact(Metadata!P260,"kg"))</f>
        <v>0</v>
      </c>
      <c r="AR260">
        <f>OR(AND(IF(Metadata!Q260="",FALSE,TRUE),OR(exact(Metadata!Q260,"not applicable"),exact(Metadata!Q260,"not collected"),exact(Metadata!Q260,"not provided"),exact(Metadata!Q260,"restricted access"))),IF(Metadata!Q260="",FALSE,IF(ISERROR(INT(Metadata!Q260)),FALSE,INT(Metadata!Q260)=Metadata!Q260)))</f>
        <v>0</v>
      </c>
      <c r="AS260">
        <f>AND(IF(Metadata!R260="",FALSE,TRUE),exact(Metadata!R260,"Not applicable"))</f>
        <v>0</v>
      </c>
    </row>
    <row r="261" spans="1:45">
      <c r="A261" s="4">
        <f>IF(B261=" "," ",HYPERLINK(CONCATENATE("#metadata!",ADDRESS(INDEX($X$2:$X$1001,MATCH(ROWS($V$2:V261),$V$2:$V$1001,0),0),2)),INDEX($AA$2:$AA$1001,MATCH(ROWS($V$2:V261),$V$2:$V$1001,0),0)))</f>
        <v>0</v>
      </c>
      <c r="B261" s="5">
        <f>IF(OR(INDEX($W$2:$W$1001,MATCH(ROWS($V$2:V261),$V$2:$V$1001,0),1)&gt;=100000,INDEX($AC$1005:$AS$1005,1,MATCH(COLUMNS($AC$1006:AC1006),$AC$1006:$AS$1006,0))&gt;=100000), " ",IF(INDEX($AC$2:$AS$1001,MATCH(ROWS($V$2:V261),$V$2:$V$1001,0),MATCH(COLUMNS($AC$1006:AC1006),$AC$1006:$AS$1006,0)), HYPERLINK("#",""), HYPERLINK(CONCATENATE("#Metadata!", ADDRESS(INDEX($X$2:$X$1001,MATCH(ROWS($V$2:V261),$V$2:$V$1001,0),0), INDEX($AC$1004:$AS$1004,1,MATCH(COLUMNS($AC$1006:AC1006),$AC$1006:$AS$1006,0)))),"Fix")))</f>
        <v>0</v>
      </c>
      <c r="C261" s="5">
        <f>IF(OR(INDEX($W$2:$W$1001,MATCH(ROWS($V$2:V261),$V$2:$V$1001,0),1)&gt;=100000,INDEX($AC$1005:$AS$1005,1,MATCH(COLUMNS($AC$1006:AD1006),$AC$1006:$AS$1006,0))&gt;=100000), " ",IF(INDEX($AC$2:$AS$1001,MATCH(ROWS($V$2:V261),$V$2:$V$1001,0),MATCH(COLUMNS($AC$1006:AD1006),$AC$1006:$AS$1006,0)), HYPERLINK("#",""), HYPERLINK(CONCATENATE("#Metadata!", ADDRESS(INDEX($X$2:$X$1001,MATCH(ROWS($V$2:V261),$V$2:$V$1001,0),0), INDEX($AC$1004:$AS$1004,1,MATCH(COLUMNS($AC$1006:AD1006),$AC$1006:$AS$1006,0)))),"Fix")))</f>
        <v>0</v>
      </c>
      <c r="D261" s="5">
        <f>IF(OR(INDEX($W$2:$W$1001,MATCH(ROWS($V$2:V261),$V$2:$V$1001,0),1)&gt;=100000,INDEX($AC$1005:$AS$1005,1,MATCH(COLUMNS($AC$1006:AE1006),$AC$1006:$AS$1006,0))&gt;=100000), " ",IF(INDEX($AC$2:$AS$1001,MATCH(ROWS($V$2:V261),$V$2:$V$1001,0),MATCH(COLUMNS($AC$1006:AE1006),$AC$1006:$AS$1006,0)), HYPERLINK("#",""), HYPERLINK(CONCATENATE("#Metadata!", ADDRESS(INDEX($X$2:$X$1001,MATCH(ROWS($V$2:V261),$V$2:$V$1001,0),0), INDEX($AC$1004:$AS$1004,1,MATCH(COLUMNS($AC$1006:AE1006),$AC$1006:$AS$1006,0)))),"Fix")))</f>
        <v>0</v>
      </c>
      <c r="E261" s="5">
        <f>IF(OR(INDEX($W$2:$W$1001,MATCH(ROWS($V$2:V261),$V$2:$V$1001,0),1)&gt;=100000,INDEX($AC$1005:$AS$1005,1,MATCH(COLUMNS($AC$1006:AF1006),$AC$1006:$AS$1006,0))&gt;=100000), " ",IF(INDEX($AC$2:$AS$1001,MATCH(ROWS($V$2:V261),$V$2:$V$1001,0),MATCH(COLUMNS($AC$1006:AF1006),$AC$1006:$AS$1006,0)), HYPERLINK("#",""), HYPERLINK(CONCATENATE("#Metadata!", ADDRESS(INDEX($X$2:$X$1001,MATCH(ROWS($V$2:V261),$V$2:$V$1001,0),0), INDEX($AC$1004:$AS$1004,1,MATCH(COLUMNS($AC$1006:AF1006),$AC$1006:$AS$1006,0)))),"Fix")))</f>
        <v>0</v>
      </c>
      <c r="F261" s="5">
        <f>IF(OR(INDEX($W$2:$W$1001,MATCH(ROWS($V$2:V261),$V$2:$V$1001,0),1)&gt;=100000,INDEX($AC$1005:$AS$1005,1,MATCH(COLUMNS($AC$1006:AG1006),$AC$1006:$AS$1006,0))&gt;=100000), " ",IF(INDEX($AC$2:$AS$1001,MATCH(ROWS($V$2:V261),$V$2:$V$1001,0),MATCH(COLUMNS($AC$1006:AG1006),$AC$1006:$AS$1006,0)), HYPERLINK("#",""), HYPERLINK(CONCATENATE("#Metadata!", ADDRESS(INDEX($X$2:$X$1001,MATCH(ROWS($V$2:V261),$V$2:$V$1001,0),0), INDEX($AC$1004:$AS$1004,1,MATCH(COLUMNS($AC$1006:AG1006),$AC$1006:$AS$1006,0)))),"Fix")))</f>
        <v>0</v>
      </c>
      <c r="G261" s="5">
        <f>IF(OR(INDEX($W$2:$W$1001,MATCH(ROWS($V$2:V261),$V$2:$V$1001,0),1)&gt;=100000,INDEX($AC$1005:$AS$1005,1,MATCH(COLUMNS($AC$1006:AH1006),$AC$1006:$AS$1006,0))&gt;=100000), " ",IF(INDEX($AC$2:$AS$1001,MATCH(ROWS($V$2:V261),$V$2:$V$1001,0),MATCH(COLUMNS($AC$1006:AH1006),$AC$1006:$AS$1006,0)), HYPERLINK("#",""), HYPERLINK(CONCATENATE("#Metadata!", ADDRESS(INDEX($X$2:$X$1001,MATCH(ROWS($V$2:V261),$V$2:$V$1001,0),0), INDEX($AC$1004:$AS$1004,1,MATCH(COLUMNS($AC$1006:AH1006),$AC$1006:$AS$1006,0)))),"Fix")))</f>
        <v>0</v>
      </c>
      <c r="H261" s="5">
        <f>IF(OR(INDEX($W$2:$W$1001,MATCH(ROWS($V$2:V261),$V$2:$V$1001,0),1)&gt;=100000,INDEX($AC$1005:$AS$1005,1,MATCH(COLUMNS($AC$1006:AI1006),$AC$1006:$AS$1006,0))&gt;=100000), " ",IF(INDEX($AC$2:$AS$1001,MATCH(ROWS($V$2:V261),$V$2:$V$1001,0),MATCH(COLUMNS($AC$1006:AI1006),$AC$1006:$AS$1006,0)), HYPERLINK("#",""), HYPERLINK(CONCATENATE("#Metadata!", ADDRESS(INDEX($X$2:$X$1001,MATCH(ROWS($V$2:V261),$V$2:$V$1001,0),0), INDEX($AC$1004:$AS$1004,1,MATCH(COLUMNS($AC$1006:AI1006),$AC$1006:$AS$1006,0)))),"Fix")))</f>
        <v>0</v>
      </c>
      <c r="I261" s="5">
        <f>IF(OR(INDEX($W$2:$W$1001,MATCH(ROWS($V$2:V261),$V$2:$V$1001,0),1)&gt;=100000,INDEX($AC$1005:$AS$1005,1,MATCH(COLUMNS($AC$1006:AJ1006),$AC$1006:$AS$1006,0))&gt;=100000), " ",IF(INDEX($AC$2:$AS$1001,MATCH(ROWS($V$2:V261),$V$2:$V$1001,0),MATCH(COLUMNS($AC$1006:AJ1006),$AC$1006:$AS$1006,0)), HYPERLINK("#",""), HYPERLINK(CONCATENATE("#Metadata!", ADDRESS(INDEX($X$2:$X$1001,MATCH(ROWS($V$2:V261),$V$2:$V$1001,0),0), INDEX($AC$1004:$AS$1004,1,MATCH(COLUMNS($AC$1006:AJ1006),$AC$1006:$AS$1006,0)))),"Fix")))</f>
        <v>0</v>
      </c>
      <c r="J261" s="5">
        <f>IF(OR(INDEX($W$2:$W$1001,MATCH(ROWS($V$2:V261),$V$2:$V$1001,0),1)&gt;=100000,INDEX($AC$1005:$AS$1005,1,MATCH(COLUMNS($AC$1006:AK1006),$AC$1006:$AS$1006,0))&gt;=100000), " ",IF(INDEX($AC$2:$AS$1001,MATCH(ROWS($V$2:V261),$V$2:$V$1001,0),MATCH(COLUMNS($AC$1006:AK1006),$AC$1006:$AS$1006,0)), HYPERLINK("#",""), HYPERLINK(CONCATENATE("#Metadata!", ADDRESS(INDEX($X$2:$X$1001,MATCH(ROWS($V$2:V261),$V$2:$V$1001,0),0), INDEX($AC$1004:$AS$1004,1,MATCH(COLUMNS($AC$1006:AK1006),$AC$1006:$AS$1006,0)))),"Fix")))</f>
        <v>0</v>
      </c>
      <c r="K261" s="5">
        <f>IF(OR(INDEX($W$2:$W$1001,MATCH(ROWS($V$2:V261),$V$2:$V$1001,0),1)&gt;=100000,INDEX($AC$1005:$AS$1005,1,MATCH(COLUMNS($AC$1006:AL1006),$AC$1006:$AS$1006,0))&gt;=100000), " ",IF(INDEX($AC$2:$AS$1001,MATCH(ROWS($V$2:V261),$V$2:$V$1001,0),MATCH(COLUMNS($AC$1006:AL1006),$AC$1006:$AS$1006,0)), HYPERLINK("#",""), HYPERLINK(CONCATENATE("#Metadata!", ADDRESS(INDEX($X$2:$X$1001,MATCH(ROWS($V$2:V261),$V$2:$V$1001,0),0), INDEX($AC$1004:$AS$1004,1,MATCH(COLUMNS($AC$1006:AL1006),$AC$1006:$AS$1006,0)))),"Fix")))</f>
        <v>0</v>
      </c>
      <c r="L261" s="5">
        <f>IF(OR(INDEX($W$2:$W$1001,MATCH(ROWS($V$2:V261),$V$2:$V$1001,0),1)&gt;=100000,INDEX($AC$1005:$AS$1005,1,MATCH(COLUMNS($AC$1006:AM1006),$AC$1006:$AS$1006,0))&gt;=100000), " ",IF(INDEX($AC$2:$AS$1001,MATCH(ROWS($V$2:V261),$V$2:$V$1001,0),MATCH(COLUMNS($AC$1006:AM1006),$AC$1006:$AS$1006,0)), HYPERLINK("#",""), HYPERLINK(CONCATENATE("#Metadata!", ADDRESS(INDEX($X$2:$X$1001,MATCH(ROWS($V$2:V261),$V$2:$V$1001,0),0), INDEX($AC$1004:$AS$1004,1,MATCH(COLUMNS($AC$1006:AM1006),$AC$1006:$AS$1006,0)))),"Fix")))</f>
        <v>0</v>
      </c>
      <c r="M261" s="5">
        <f>IF(OR(INDEX($W$2:$W$1001,MATCH(ROWS($V$2:V261),$V$2:$V$1001,0),1)&gt;=100000,INDEX($AC$1005:$AS$1005,1,MATCH(COLUMNS($AC$1006:AN1006),$AC$1006:$AS$1006,0))&gt;=100000), " ",IF(INDEX($AC$2:$AS$1001,MATCH(ROWS($V$2:V261),$V$2:$V$1001,0),MATCH(COLUMNS($AC$1006:AN1006),$AC$1006:$AS$1006,0)), HYPERLINK("#",""), HYPERLINK(CONCATENATE("#Metadata!", ADDRESS(INDEX($X$2:$X$1001,MATCH(ROWS($V$2:V261),$V$2:$V$1001,0),0), INDEX($AC$1004:$AS$1004,1,MATCH(COLUMNS($AC$1006:AN1006),$AC$1006:$AS$1006,0)))),"Fix")))</f>
        <v>0</v>
      </c>
      <c r="N261" s="5">
        <f>IF(OR(INDEX($W$2:$W$1001,MATCH(ROWS($V$2:V261),$V$2:$V$1001,0),1)&gt;=100000,INDEX($AC$1005:$AS$1005,1,MATCH(COLUMNS($AC$1006:AO1006),$AC$1006:$AS$1006,0))&gt;=100000), " ",IF(INDEX($AC$2:$AS$1001,MATCH(ROWS($V$2:V261),$V$2:$V$1001,0),MATCH(COLUMNS($AC$1006:AO1006),$AC$1006:$AS$1006,0)), HYPERLINK("#",""), HYPERLINK(CONCATENATE("#Metadata!", ADDRESS(INDEX($X$2:$X$1001,MATCH(ROWS($V$2:V261),$V$2:$V$1001,0),0), INDEX($AC$1004:$AS$1004,1,MATCH(COLUMNS($AC$1006:AO1006),$AC$1006:$AS$1006,0)))),"Fix")))</f>
        <v>0</v>
      </c>
      <c r="O261" s="5">
        <f>IF(OR(INDEX($W$2:$W$1001,MATCH(ROWS($V$2:V261),$V$2:$V$1001,0),1)&gt;=100000,INDEX($AC$1005:$AS$1005,1,MATCH(COLUMNS($AC$1006:AP1006),$AC$1006:$AS$1006,0))&gt;=100000), " ",IF(INDEX($AC$2:$AS$1001,MATCH(ROWS($V$2:V261),$V$2:$V$1001,0),MATCH(COLUMNS($AC$1006:AP1006),$AC$1006:$AS$1006,0)), HYPERLINK("#",""), HYPERLINK(CONCATENATE("#Metadata!", ADDRESS(INDEX($X$2:$X$1001,MATCH(ROWS($V$2:V261),$V$2:$V$1001,0),0), INDEX($AC$1004:$AS$1004,1,MATCH(COLUMNS($AC$1006:AP1006),$AC$1006:$AS$1006,0)))),"Fix")))</f>
        <v>0</v>
      </c>
      <c r="P261" s="5">
        <f>IF(OR(INDEX($W$2:$W$1001,MATCH(ROWS($V$2:V261),$V$2:$V$1001,0),1)&gt;=100000,INDEX($AC$1005:$AS$1005,1,MATCH(COLUMNS($AC$1006:AQ1006),$AC$1006:$AS$1006,0))&gt;=100000), " ",IF(INDEX($AC$2:$AS$1001,MATCH(ROWS($V$2:V261),$V$2:$V$1001,0),MATCH(COLUMNS($AC$1006:AQ1006),$AC$1006:$AS$1006,0)), HYPERLINK("#",""), HYPERLINK(CONCATENATE("#Metadata!", ADDRESS(INDEX($X$2:$X$1001,MATCH(ROWS($V$2:V261),$V$2:$V$1001,0),0), INDEX($AC$1004:$AS$1004,1,MATCH(COLUMNS($AC$1006:AQ1006),$AC$1006:$AS$1006,0)))),"Fix")))</f>
        <v>0</v>
      </c>
      <c r="Q261" s="5">
        <f>IF(OR(INDEX($W$2:$W$1001,MATCH(ROWS($V$2:V261),$V$2:$V$1001,0),1)&gt;=100000,INDEX($AC$1005:$AS$1005,1,MATCH(COLUMNS($AC$1006:AR1006),$AC$1006:$AS$1006,0))&gt;=100000), " ",IF(INDEX($AC$2:$AS$1001,MATCH(ROWS($V$2:V261),$V$2:$V$1001,0),MATCH(COLUMNS($AC$1006:AR1006),$AC$1006:$AS$1006,0)), HYPERLINK("#",""), HYPERLINK(CONCATENATE("#Metadata!", ADDRESS(INDEX($X$2:$X$1001,MATCH(ROWS($V$2:V261),$V$2:$V$1001,0),0), INDEX($AC$1004:$AS$1004,1,MATCH(COLUMNS($AC$1006:AR1006),$AC$1006:$AS$1006,0)))),"Fix")))</f>
        <v>0</v>
      </c>
      <c r="R261" s="5">
        <f>IF(OR(INDEX($W$2:$W$1001,MATCH(ROWS($V$2:V261),$V$2:$V$1001,0),1)&gt;=100000,INDEX($AC$1005:$AS$1005,1,MATCH(COLUMNS($AC$1006:AS1006),$AC$1006:$AS$1006,0))&gt;=100000), " ",IF(INDEX($AC$2:$AS$1001,MATCH(ROWS($V$2:V261),$V$2:$V$1001,0),MATCH(COLUMNS($AC$1006:AS1006),$AC$1006:$AS$1006,0)), HYPERLINK("#",""), HYPERLINK(CONCATENATE("#Metadata!", ADDRESS(INDEX($X$2:$X$1001,MATCH(ROWS($V$2:V261),$V$2:$V$1001,0),0), INDEX($AC$1004:$AS$1004,1,MATCH(COLUMNS($AC$1006:AS1006),$AC$1006:$AS$1006,0)))),"Fix")))</f>
        <v>0</v>
      </c>
      <c r="V261">
        <v>0</v>
      </c>
      <c r="W261">
        <v>0</v>
      </c>
      <c r="X261">
        <v>0</v>
      </c>
      <c r="Y261">
        <f>IF(Z261,TRUE,AND(AC261:AS261))</f>
        <v>0</v>
      </c>
      <c r="Z261">
        <f>COUNTBLANK(Metadata!B261:R261)=COLUMNS(Metadata!B261:R261)</f>
        <v>0</v>
      </c>
      <c r="AA261">
        <v>0</v>
      </c>
      <c r="AC261">
        <f>AND(IF(Metadata!B261="",FALSE,TRUE),COUNTIF(Metadata!B:B, Metadata!B261) = 1,NOT(ISERROR(SUMPRODUCT(SEARCH(MID(Metadata!B261,ROW(INDIRECT("1:"&amp;LEN(Metadata!B261))), 1),"0123456789abcdefghijklmnopqrstuvwxyzABCDEFGHIJKLMNOPQRSTUVWXYZ.")))))</f>
        <v>0</v>
      </c>
      <c r="AD261">
        <f>AND(IF(Metadata!C261="",FALSE,TRUE),exact(Metadata!C261,"Host-associated"))</f>
        <v>0</v>
      </c>
      <c r="AE261">
        <f>AND(IF(Metadata!D261="",FALSE,TRUE),OR(exact(Metadata!D261,"Animal"),exact(Metadata!D261,"Fungus"),exact(Metadata!D261,"Plant")))</f>
        <v>0</v>
      </c>
      <c r="AF261">
        <f>AND(IF(Metadata!E261="",FALSE,TRUE),OR(exact(Metadata!E261,"Plant secretion"),exact(Metadata!E261,"Plant rhizosphere"),exact(Metadata!E261,"Plant surface"),exact(Metadata!E261,"Plant corpus"),exact(Metadata!E261,"Fungus surface"),exact(Metadata!E261,"Fungus corpus"),exact(Metadata!E261,"Animal surface"),exact(Metadata!E261,"Animal proximal gut"),exact(Metadata!E261,"Animal corpus"),exact(Metadata!E261,"Animal distal gut"),exact(Metadata!E261,"Animal secretion")))</f>
        <v>0</v>
      </c>
      <c r="AG261">
        <f>OR(AND(IF(Metadata!F261="",FALSE,TRUE),OR(exact(Metadata!F261,"not collected"),exact(Metadata!F261,"not provided"),exact(Metadata!F261,"restricted access"))),AND(IF(Metadata!F261="",FALSE,TRUE),OR(exact(Metadata!F261,"organism-associated habitat"),exact(Metadata!F261,"plant-associated habitat"),exact(Metadata!F261,"animal-associated habitat"),exact(Metadata!F261,"insecta-associated habitat"),exact(Metadata!F261,"mammalia-associated habitat"),exact(Metadata!F261,"human-associated habitat"),exact(Metadata!F261,"livestock-associated habitat"))))</f>
        <v>0</v>
      </c>
      <c r="AH261">
        <f>AND(IF(Metadata!G261="",FALSE,TRUE),exact(Metadata!G261,"host-associated"))</f>
        <v>0</v>
      </c>
      <c r="AI261">
        <f>OR(AND(IF(Metadata!H261="",FALSE,TRUE),OR(exact(Metadata!H261,"not collected"),exact(Metadata!H261,"not provided"))),AND(IF(Metadata!H261="",FALSE,ISNUMBER(VALUE(Metadata!H261))),Metadata!H261&gt;0))</f>
        <v>0</v>
      </c>
      <c r="AJ261">
        <f>AND(IF(Metadata!I261="",FALSE,TRUE),exact(Metadata!I261,"years"))</f>
        <v>0</v>
      </c>
      <c r="AK261">
        <f>IF(Metadata!J261="",FALSE,TRUE)</f>
        <v>0</v>
      </c>
      <c r="AL261">
        <f>OR(AND(IF(Metadata!K261="",FALSE,TRUE),OR(exact(Metadata!K261,"not collected"),exact(Metadata!K261,"not provided"))),AND(IF(Metadata!K261="",FALSE,ISNUMBER(VALUE(Metadata!K261))),Metadata!K261&gt;0))</f>
        <v>0</v>
      </c>
      <c r="AM261">
        <f>AND(IF(Metadata!L261="",FALSE,TRUE),exact(Metadata!L261,"cm"))</f>
        <v>0</v>
      </c>
      <c r="AN261">
        <f>IF(Metadata!M261="",FALSE,TRUE)</f>
        <v>0</v>
      </c>
      <c r="AO261">
        <f>OR(AND(IF(Metadata!N261="",FALSE,TRUE),OR(exact(Metadata!N261,"not applicable"),exact(Metadata!N261,"not collected"),exact(Metadata!N261,"not provided"))),AND(IF(Metadata!N261="",FALSE,IF(ISERROR(INT(Metadata!N261)),FALSE,INT(Metadata!N261)=Metadata!N261)),Metadata!N261&gt;0))</f>
        <v>0</v>
      </c>
      <c r="AP261">
        <f>OR(AND(IF(Metadata!O261="",FALSE,TRUE),OR(exact(Metadata!O261,"not collected"),exact(Metadata!O261,"not provided"))),AND(IF(Metadata!O261="",FALSE,ISNUMBER(VALUE(Metadata!O261))),Metadata!O261&gt;0))</f>
        <v>0</v>
      </c>
      <c r="AQ261">
        <f>AND(IF(Metadata!P261="",FALSE,TRUE),exact(Metadata!P261,"kg"))</f>
        <v>0</v>
      </c>
      <c r="AR261">
        <f>OR(AND(IF(Metadata!Q261="",FALSE,TRUE),OR(exact(Metadata!Q261,"not applicable"),exact(Metadata!Q261,"not collected"),exact(Metadata!Q261,"not provided"),exact(Metadata!Q261,"restricted access"))),IF(Metadata!Q261="",FALSE,IF(ISERROR(INT(Metadata!Q261)),FALSE,INT(Metadata!Q261)=Metadata!Q261)))</f>
        <v>0</v>
      </c>
      <c r="AS261">
        <f>AND(IF(Metadata!R261="",FALSE,TRUE),exact(Metadata!R261,"Not applicable"))</f>
        <v>0</v>
      </c>
    </row>
    <row r="262" spans="1:45">
      <c r="A262" s="4">
        <f>IF(B262=" "," ",HYPERLINK(CONCATENATE("#metadata!",ADDRESS(INDEX($X$2:$X$1001,MATCH(ROWS($V$2:V262),$V$2:$V$1001,0),0),2)),INDEX($AA$2:$AA$1001,MATCH(ROWS($V$2:V262),$V$2:$V$1001,0),0)))</f>
        <v>0</v>
      </c>
      <c r="B262" s="5">
        <f>IF(OR(INDEX($W$2:$W$1001,MATCH(ROWS($V$2:V262),$V$2:$V$1001,0),1)&gt;=100000,INDEX($AC$1005:$AS$1005,1,MATCH(COLUMNS($AC$1006:AC1006),$AC$1006:$AS$1006,0))&gt;=100000), " ",IF(INDEX($AC$2:$AS$1001,MATCH(ROWS($V$2:V262),$V$2:$V$1001,0),MATCH(COLUMNS($AC$1006:AC1006),$AC$1006:$AS$1006,0)), HYPERLINK("#",""), HYPERLINK(CONCATENATE("#Metadata!", ADDRESS(INDEX($X$2:$X$1001,MATCH(ROWS($V$2:V262),$V$2:$V$1001,0),0), INDEX($AC$1004:$AS$1004,1,MATCH(COLUMNS($AC$1006:AC1006),$AC$1006:$AS$1006,0)))),"Fix")))</f>
        <v>0</v>
      </c>
      <c r="C262" s="5">
        <f>IF(OR(INDEX($W$2:$W$1001,MATCH(ROWS($V$2:V262),$V$2:$V$1001,0),1)&gt;=100000,INDEX($AC$1005:$AS$1005,1,MATCH(COLUMNS($AC$1006:AD1006),$AC$1006:$AS$1006,0))&gt;=100000), " ",IF(INDEX($AC$2:$AS$1001,MATCH(ROWS($V$2:V262),$V$2:$V$1001,0),MATCH(COLUMNS($AC$1006:AD1006),$AC$1006:$AS$1006,0)), HYPERLINK("#",""), HYPERLINK(CONCATENATE("#Metadata!", ADDRESS(INDEX($X$2:$X$1001,MATCH(ROWS($V$2:V262),$V$2:$V$1001,0),0), INDEX($AC$1004:$AS$1004,1,MATCH(COLUMNS($AC$1006:AD1006),$AC$1006:$AS$1006,0)))),"Fix")))</f>
        <v>0</v>
      </c>
      <c r="D262" s="5">
        <f>IF(OR(INDEX($W$2:$W$1001,MATCH(ROWS($V$2:V262),$V$2:$V$1001,0),1)&gt;=100000,INDEX($AC$1005:$AS$1005,1,MATCH(COLUMNS($AC$1006:AE1006),$AC$1006:$AS$1006,0))&gt;=100000), " ",IF(INDEX($AC$2:$AS$1001,MATCH(ROWS($V$2:V262),$V$2:$V$1001,0),MATCH(COLUMNS($AC$1006:AE1006),$AC$1006:$AS$1006,0)), HYPERLINK("#",""), HYPERLINK(CONCATENATE("#Metadata!", ADDRESS(INDEX($X$2:$X$1001,MATCH(ROWS($V$2:V262),$V$2:$V$1001,0),0), INDEX($AC$1004:$AS$1004,1,MATCH(COLUMNS($AC$1006:AE1006),$AC$1006:$AS$1006,0)))),"Fix")))</f>
        <v>0</v>
      </c>
      <c r="E262" s="5">
        <f>IF(OR(INDEX($W$2:$W$1001,MATCH(ROWS($V$2:V262),$V$2:$V$1001,0),1)&gt;=100000,INDEX($AC$1005:$AS$1005,1,MATCH(COLUMNS($AC$1006:AF1006),$AC$1006:$AS$1006,0))&gt;=100000), " ",IF(INDEX($AC$2:$AS$1001,MATCH(ROWS($V$2:V262),$V$2:$V$1001,0),MATCH(COLUMNS($AC$1006:AF1006),$AC$1006:$AS$1006,0)), HYPERLINK("#",""), HYPERLINK(CONCATENATE("#Metadata!", ADDRESS(INDEX($X$2:$X$1001,MATCH(ROWS($V$2:V262),$V$2:$V$1001,0),0), INDEX($AC$1004:$AS$1004,1,MATCH(COLUMNS($AC$1006:AF1006),$AC$1006:$AS$1006,0)))),"Fix")))</f>
        <v>0</v>
      </c>
      <c r="F262" s="5">
        <f>IF(OR(INDEX($W$2:$W$1001,MATCH(ROWS($V$2:V262),$V$2:$V$1001,0),1)&gt;=100000,INDEX($AC$1005:$AS$1005,1,MATCH(COLUMNS($AC$1006:AG1006),$AC$1006:$AS$1006,0))&gt;=100000), " ",IF(INDEX($AC$2:$AS$1001,MATCH(ROWS($V$2:V262),$V$2:$V$1001,0),MATCH(COLUMNS($AC$1006:AG1006),$AC$1006:$AS$1006,0)), HYPERLINK("#",""), HYPERLINK(CONCATENATE("#Metadata!", ADDRESS(INDEX($X$2:$X$1001,MATCH(ROWS($V$2:V262),$V$2:$V$1001,0),0), INDEX($AC$1004:$AS$1004,1,MATCH(COLUMNS($AC$1006:AG1006),$AC$1006:$AS$1006,0)))),"Fix")))</f>
        <v>0</v>
      </c>
      <c r="G262" s="5">
        <f>IF(OR(INDEX($W$2:$W$1001,MATCH(ROWS($V$2:V262),$V$2:$V$1001,0),1)&gt;=100000,INDEX($AC$1005:$AS$1005,1,MATCH(COLUMNS($AC$1006:AH1006),$AC$1006:$AS$1006,0))&gt;=100000), " ",IF(INDEX($AC$2:$AS$1001,MATCH(ROWS($V$2:V262),$V$2:$V$1001,0),MATCH(COLUMNS($AC$1006:AH1006),$AC$1006:$AS$1006,0)), HYPERLINK("#",""), HYPERLINK(CONCATENATE("#Metadata!", ADDRESS(INDEX($X$2:$X$1001,MATCH(ROWS($V$2:V262),$V$2:$V$1001,0),0), INDEX($AC$1004:$AS$1004,1,MATCH(COLUMNS($AC$1006:AH1006),$AC$1006:$AS$1006,0)))),"Fix")))</f>
        <v>0</v>
      </c>
      <c r="H262" s="5">
        <f>IF(OR(INDEX($W$2:$W$1001,MATCH(ROWS($V$2:V262),$V$2:$V$1001,0),1)&gt;=100000,INDEX($AC$1005:$AS$1005,1,MATCH(COLUMNS($AC$1006:AI1006),$AC$1006:$AS$1006,0))&gt;=100000), " ",IF(INDEX($AC$2:$AS$1001,MATCH(ROWS($V$2:V262),$V$2:$V$1001,0),MATCH(COLUMNS($AC$1006:AI1006),$AC$1006:$AS$1006,0)), HYPERLINK("#",""), HYPERLINK(CONCATENATE("#Metadata!", ADDRESS(INDEX($X$2:$X$1001,MATCH(ROWS($V$2:V262),$V$2:$V$1001,0),0), INDEX($AC$1004:$AS$1004,1,MATCH(COLUMNS($AC$1006:AI1006),$AC$1006:$AS$1006,0)))),"Fix")))</f>
        <v>0</v>
      </c>
      <c r="I262" s="5">
        <f>IF(OR(INDEX($W$2:$W$1001,MATCH(ROWS($V$2:V262),$V$2:$V$1001,0),1)&gt;=100000,INDEX($AC$1005:$AS$1005,1,MATCH(COLUMNS($AC$1006:AJ1006),$AC$1006:$AS$1006,0))&gt;=100000), " ",IF(INDEX($AC$2:$AS$1001,MATCH(ROWS($V$2:V262),$V$2:$V$1001,0),MATCH(COLUMNS($AC$1006:AJ1006),$AC$1006:$AS$1006,0)), HYPERLINK("#",""), HYPERLINK(CONCATENATE("#Metadata!", ADDRESS(INDEX($X$2:$X$1001,MATCH(ROWS($V$2:V262),$V$2:$V$1001,0),0), INDEX($AC$1004:$AS$1004,1,MATCH(COLUMNS($AC$1006:AJ1006),$AC$1006:$AS$1006,0)))),"Fix")))</f>
        <v>0</v>
      </c>
      <c r="J262" s="5">
        <f>IF(OR(INDEX($W$2:$W$1001,MATCH(ROWS($V$2:V262),$V$2:$V$1001,0),1)&gt;=100000,INDEX($AC$1005:$AS$1005,1,MATCH(COLUMNS($AC$1006:AK1006),$AC$1006:$AS$1006,0))&gt;=100000), " ",IF(INDEX($AC$2:$AS$1001,MATCH(ROWS($V$2:V262),$V$2:$V$1001,0),MATCH(COLUMNS($AC$1006:AK1006),$AC$1006:$AS$1006,0)), HYPERLINK("#",""), HYPERLINK(CONCATENATE("#Metadata!", ADDRESS(INDEX($X$2:$X$1001,MATCH(ROWS($V$2:V262),$V$2:$V$1001,0),0), INDEX($AC$1004:$AS$1004,1,MATCH(COLUMNS($AC$1006:AK1006),$AC$1006:$AS$1006,0)))),"Fix")))</f>
        <v>0</v>
      </c>
      <c r="K262" s="5">
        <f>IF(OR(INDEX($W$2:$W$1001,MATCH(ROWS($V$2:V262),$V$2:$V$1001,0),1)&gt;=100000,INDEX($AC$1005:$AS$1005,1,MATCH(COLUMNS($AC$1006:AL1006),$AC$1006:$AS$1006,0))&gt;=100000), " ",IF(INDEX($AC$2:$AS$1001,MATCH(ROWS($V$2:V262),$V$2:$V$1001,0),MATCH(COLUMNS($AC$1006:AL1006),$AC$1006:$AS$1006,0)), HYPERLINK("#",""), HYPERLINK(CONCATENATE("#Metadata!", ADDRESS(INDEX($X$2:$X$1001,MATCH(ROWS($V$2:V262),$V$2:$V$1001,0),0), INDEX($AC$1004:$AS$1004,1,MATCH(COLUMNS($AC$1006:AL1006),$AC$1006:$AS$1006,0)))),"Fix")))</f>
        <v>0</v>
      </c>
      <c r="L262" s="5">
        <f>IF(OR(INDEX($W$2:$W$1001,MATCH(ROWS($V$2:V262),$V$2:$V$1001,0),1)&gt;=100000,INDEX($AC$1005:$AS$1005,1,MATCH(COLUMNS($AC$1006:AM1006),$AC$1006:$AS$1006,0))&gt;=100000), " ",IF(INDEX($AC$2:$AS$1001,MATCH(ROWS($V$2:V262),$V$2:$V$1001,0),MATCH(COLUMNS($AC$1006:AM1006),$AC$1006:$AS$1006,0)), HYPERLINK("#",""), HYPERLINK(CONCATENATE("#Metadata!", ADDRESS(INDEX($X$2:$X$1001,MATCH(ROWS($V$2:V262),$V$2:$V$1001,0),0), INDEX($AC$1004:$AS$1004,1,MATCH(COLUMNS($AC$1006:AM1006),$AC$1006:$AS$1006,0)))),"Fix")))</f>
        <v>0</v>
      </c>
      <c r="M262" s="5">
        <f>IF(OR(INDEX($W$2:$W$1001,MATCH(ROWS($V$2:V262),$V$2:$V$1001,0),1)&gt;=100000,INDEX($AC$1005:$AS$1005,1,MATCH(COLUMNS($AC$1006:AN1006),$AC$1006:$AS$1006,0))&gt;=100000), " ",IF(INDEX($AC$2:$AS$1001,MATCH(ROWS($V$2:V262),$V$2:$V$1001,0),MATCH(COLUMNS($AC$1006:AN1006),$AC$1006:$AS$1006,0)), HYPERLINK("#",""), HYPERLINK(CONCATENATE("#Metadata!", ADDRESS(INDEX($X$2:$X$1001,MATCH(ROWS($V$2:V262),$V$2:$V$1001,0),0), INDEX($AC$1004:$AS$1004,1,MATCH(COLUMNS($AC$1006:AN1006),$AC$1006:$AS$1006,0)))),"Fix")))</f>
        <v>0</v>
      </c>
      <c r="N262" s="5">
        <f>IF(OR(INDEX($W$2:$W$1001,MATCH(ROWS($V$2:V262),$V$2:$V$1001,0),1)&gt;=100000,INDEX($AC$1005:$AS$1005,1,MATCH(COLUMNS($AC$1006:AO1006),$AC$1006:$AS$1006,0))&gt;=100000), " ",IF(INDEX($AC$2:$AS$1001,MATCH(ROWS($V$2:V262),$V$2:$V$1001,0),MATCH(COLUMNS($AC$1006:AO1006),$AC$1006:$AS$1006,0)), HYPERLINK("#",""), HYPERLINK(CONCATENATE("#Metadata!", ADDRESS(INDEX($X$2:$X$1001,MATCH(ROWS($V$2:V262),$V$2:$V$1001,0),0), INDEX($AC$1004:$AS$1004,1,MATCH(COLUMNS($AC$1006:AO1006),$AC$1006:$AS$1006,0)))),"Fix")))</f>
        <v>0</v>
      </c>
      <c r="O262" s="5">
        <f>IF(OR(INDEX($W$2:$W$1001,MATCH(ROWS($V$2:V262),$V$2:$V$1001,0),1)&gt;=100000,INDEX($AC$1005:$AS$1005,1,MATCH(COLUMNS($AC$1006:AP1006),$AC$1006:$AS$1006,0))&gt;=100000), " ",IF(INDEX($AC$2:$AS$1001,MATCH(ROWS($V$2:V262),$V$2:$V$1001,0),MATCH(COLUMNS($AC$1006:AP1006),$AC$1006:$AS$1006,0)), HYPERLINK("#",""), HYPERLINK(CONCATENATE("#Metadata!", ADDRESS(INDEX($X$2:$X$1001,MATCH(ROWS($V$2:V262),$V$2:$V$1001,0),0), INDEX($AC$1004:$AS$1004,1,MATCH(COLUMNS($AC$1006:AP1006),$AC$1006:$AS$1006,0)))),"Fix")))</f>
        <v>0</v>
      </c>
      <c r="P262" s="5">
        <f>IF(OR(INDEX($W$2:$W$1001,MATCH(ROWS($V$2:V262),$V$2:$V$1001,0),1)&gt;=100000,INDEX($AC$1005:$AS$1005,1,MATCH(COLUMNS($AC$1006:AQ1006),$AC$1006:$AS$1006,0))&gt;=100000), " ",IF(INDEX($AC$2:$AS$1001,MATCH(ROWS($V$2:V262),$V$2:$V$1001,0),MATCH(COLUMNS($AC$1006:AQ1006),$AC$1006:$AS$1006,0)), HYPERLINK("#",""), HYPERLINK(CONCATENATE("#Metadata!", ADDRESS(INDEX($X$2:$X$1001,MATCH(ROWS($V$2:V262),$V$2:$V$1001,0),0), INDEX($AC$1004:$AS$1004,1,MATCH(COLUMNS($AC$1006:AQ1006),$AC$1006:$AS$1006,0)))),"Fix")))</f>
        <v>0</v>
      </c>
      <c r="Q262" s="5">
        <f>IF(OR(INDEX($W$2:$W$1001,MATCH(ROWS($V$2:V262),$V$2:$V$1001,0),1)&gt;=100000,INDEX($AC$1005:$AS$1005,1,MATCH(COLUMNS($AC$1006:AR1006),$AC$1006:$AS$1006,0))&gt;=100000), " ",IF(INDEX($AC$2:$AS$1001,MATCH(ROWS($V$2:V262),$V$2:$V$1001,0),MATCH(COLUMNS($AC$1006:AR1006),$AC$1006:$AS$1006,0)), HYPERLINK("#",""), HYPERLINK(CONCATENATE("#Metadata!", ADDRESS(INDEX($X$2:$X$1001,MATCH(ROWS($V$2:V262),$V$2:$V$1001,0),0), INDEX($AC$1004:$AS$1004,1,MATCH(COLUMNS($AC$1006:AR1006),$AC$1006:$AS$1006,0)))),"Fix")))</f>
        <v>0</v>
      </c>
      <c r="R262" s="5">
        <f>IF(OR(INDEX($W$2:$W$1001,MATCH(ROWS($V$2:V262),$V$2:$V$1001,0),1)&gt;=100000,INDEX($AC$1005:$AS$1005,1,MATCH(COLUMNS($AC$1006:AS1006),$AC$1006:$AS$1006,0))&gt;=100000), " ",IF(INDEX($AC$2:$AS$1001,MATCH(ROWS($V$2:V262),$V$2:$V$1001,0),MATCH(COLUMNS($AC$1006:AS1006),$AC$1006:$AS$1006,0)), HYPERLINK("#",""), HYPERLINK(CONCATENATE("#Metadata!", ADDRESS(INDEX($X$2:$X$1001,MATCH(ROWS($V$2:V262),$V$2:$V$1001,0),0), INDEX($AC$1004:$AS$1004,1,MATCH(COLUMNS($AC$1006:AS1006),$AC$1006:$AS$1006,0)))),"Fix")))</f>
        <v>0</v>
      </c>
      <c r="V262">
        <v>0</v>
      </c>
      <c r="W262">
        <v>0</v>
      </c>
      <c r="X262">
        <v>0</v>
      </c>
      <c r="Y262">
        <f>IF(Z262,TRUE,AND(AC262:AS262))</f>
        <v>0</v>
      </c>
      <c r="Z262">
        <f>COUNTBLANK(Metadata!B262:R262)=COLUMNS(Metadata!B262:R262)</f>
        <v>0</v>
      </c>
      <c r="AA262">
        <v>0</v>
      </c>
      <c r="AC262">
        <f>AND(IF(Metadata!B262="",FALSE,TRUE),COUNTIF(Metadata!B:B, Metadata!B262) = 1,NOT(ISERROR(SUMPRODUCT(SEARCH(MID(Metadata!B262,ROW(INDIRECT("1:"&amp;LEN(Metadata!B262))), 1),"0123456789abcdefghijklmnopqrstuvwxyzABCDEFGHIJKLMNOPQRSTUVWXYZ.")))))</f>
        <v>0</v>
      </c>
      <c r="AD262">
        <f>AND(IF(Metadata!C262="",FALSE,TRUE),exact(Metadata!C262,"Host-associated"))</f>
        <v>0</v>
      </c>
      <c r="AE262">
        <f>AND(IF(Metadata!D262="",FALSE,TRUE),OR(exact(Metadata!D262,"Animal"),exact(Metadata!D262,"Fungus"),exact(Metadata!D262,"Plant")))</f>
        <v>0</v>
      </c>
      <c r="AF262">
        <f>AND(IF(Metadata!E262="",FALSE,TRUE),OR(exact(Metadata!E262,"Plant secretion"),exact(Metadata!E262,"Plant rhizosphere"),exact(Metadata!E262,"Plant surface"),exact(Metadata!E262,"Plant corpus"),exact(Metadata!E262,"Fungus surface"),exact(Metadata!E262,"Fungus corpus"),exact(Metadata!E262,"Animal surface"),exact(Metadata!E262,"Animal proximal gut"),exact(Metadata!E262,"Animal corpus"),exact(Metadata!E262,"Animal distal gut"),exact(Metadata!E262,"Animal secretion")))</f>
        <v>0</v>
      </c>
      <c r="AG262">
        <f>OR(AND(IF(Metadata!F262="",FALSE,TRUE),OR(exact(Metadata!F262,"not collected"),exact(Metadata!F262,"not provided"),exact(Metadata!F262,"restricted access"))),AND(IF(Metadata!F262="",FALSE,TRUE),OR(exact(Metadata!F262,"organism-associated habitat"),exact(Metadata!F262,"plant-associated habitat"),exact(Metadata!F262,"animal-associated habitat"),exact(Metadata!F262,"insecta-associated habitat"),exact(Metadata!F262,"mammalia-associated habitat"),exact(Metadata!F262,"human-associated habitat"),exact(Metadata!F262,"livestock-associated habitat"))))</f>
        <v>0</v>
      </c>
      <c r="AH262">
        <f>AND(IF(Metadata!G262="",FALSE,TRUE),exact(Metadata!G262,"host-associated"))</f>
        <v>0</v>
      </c>
      <c r="AI262">
        <f>OR(AND(IF(Metadata!H262="",FALSE,TRUE),OR(exact(Metadata!H262,"not collected"),exact(Metadata!H262,"not provided"))),AND(IF(Metadata!H262="",FALSE,ISNUMBER(VALUE(Metadata!H262))),Metadata!H262&gt;0))</f>
        <v>0</v>
      </c>
      <c r="AJ262">
        <f>AND(IF(Metadata!I262="",FALSE,TRUE),exact(Metadata!I262,"years"))</f>
        <v>0</v>
      </c>
      <c r="AK262">
        <f>IF(Metadata!J262="",FALSE,TRUE)</f>
        <v>0</v>
      </c>
      <c r="AL262">
        <f>OR(AND(IF(Metadata!K262="",FALSE,TRUE),OR(exact(Metadata!K262,"not collected"),exact(Metadata!K262,"not provided"))),AND(IF(Metadata!K262="",FALSE,ISNUMBER(VALUE(Metadata!K262))),Metadata!K262&gt;0))</f>
        <v>0</v>
      </c>
      <c r="AM262">
        <f>AND(IF(Metadata!L262="",FALSE,TRUE),exact(Metadata!L262,"cm"))</f>
        <v>0</v>
      </c>
      <c r="AN262">
        <f>IF(Metadata!M262="",FALSE,TRUE)</f>
        <v>0</v>
      </c>
      <c r="AO262">
        <f>OR(AND(IF(Metadata!N262="",FALSE,TRUE),OR(exact(Metadata!N262,"not applicable"),exact(Metadata!N262,"not collected"),exact(Metadata!N262,"not provided"))),AND(IF(Metadata!N262="",FALSE,IF(ISERROR(INT(Metadata!N262)),FALSE,INT(Metadata!N262)=Metadata!N262)),Metadata!N262&gt;0))</f>
        <v>0</v>
      </c>
      <c r="AP262">
        <f>OR(AND(IF(Metadata!O262="",FALSE,TRUE),OR(exact(Metadata!O262,"not collected"),exact(Metadata!O262,"not provided"))),AND(IF(Metadata!O262="",FALSE,ISNUMBER(VALUE(Metadata!O262))),Metadata!O262&gt;0))</f>
        <v>0</v>
      </c>
      <c r="AQ262">
        <f>AND(IF(Metadata!P262="",FALSE,TRUE),exact(Metadata!P262,"kg"))</f>
        <v>0</v>
      </c>
      <c r="AR262">
        <f>OR(AND(IF(Metadata!Q262="",FALSE,TRUE),OR(exact(Metadata!Q262,"not applicable"),exact(Metadata!Q262,"not collected"),exact(Metadata!Q262,"not provided"),exact(Metadata!Q262,"restricted access"))),IF(Metadata!Q262="",FALSE,IF(ISERROR(INT(Metadata!Q262)),FALSE,INT(Metadata!Q262)=Metadata!Q262)))</f>
        <v>0</v>
      </c>
      <c r="AS262">
        <f>AND(IF(Metadata!R262="",FALSE,TRUE),exact(Metadata!R262,"Not applicable"))</f>
        <v>0</v>
      </c>
    </row>
    <row r="263" spans="1:45">
      <c r="A263" s="4">
        <f>IF(B263=" "," ",HYPERLINK(CONCATENATE("#metadata!",ADDRESS(INDEX($X$2:$X$1001,MATCH(ROWS($V$2:V263),$V$2:$V$1001,0),0),2)),INDEX($AA$2:$AA$1001,MATCH(ROWS($V$2:V263),$V$2:$V$1001,0),0)))</f>
        <v>0</v>
      </c>
      <c r="B263" s="5">
        <f>IF(OR(INDEX($W$2:$W$1001,MATCH(ROWS($V$2:V263),$V$2:$V$1001,0),1)&gt;=100000,INDEX($AC$1005:$AS$1005,1,MATCH(COLUMNS($AC$1006:AC1006),$AC$1006:$AS$1006,0))&gt;=100000), " ",IF(INDEX($AC$2:$AS$1001,MATCH(ROWS($V$2:V263),$V$2:$V$1001,0),MATCH(COLUMNS($AC$1006:AC1006),$AC$1006:$AS$1006,0)), HYPERLINK("#",""), HYPERLINK(CONCATENATE("#Metadata!", ADDRESS(INDEX($X$2:$X$1001,MATCH(ROWS($V$2:V263),$V$2:$V$1001,0),0), INDEX($AC$1004:$AS$1004,1,MATCH(COLUMNS($AC$1006:AC1006),$AC$1006:$AS$1006,0)))),"Fix")))</f>
        <v>0</v>
      </c>
      <c r="C263" s="5">
        <f>IF(OR(INDEX($W$2:$W$1001,MATCH(ROWS($V$2:V263),$V$2:$V$1001,0),1)&gt;=100000,INDEX($AC$1005:$AS$1005,1,MATCH(COLUMNS($AC$1006:AD1006),$AC$1006:$AS$1006,0))&gt;=100000), " ",IF(INDEX($AC$2:$AS$1001,MATCH(ROWS($V$2:V263),$V$2:$V$1001,0),MATCH(COLUMNS($AC$1006:AD1006),$AC$1006:$AS$1006,0)), HYPERLINK("#",""), HYPERLINK(CONCATENATE("#Metadata!", ADDRESS(INDEX($X$2:$X$1001,MATCH(ROWS($V$2:V263),$V$2:$V$1001,0),0), INDEX($AC$1004:$AS$1004,1,MATCH(COLUMNS($AC$1006:AD1006),$AC$1006:$AS$1006,0)))),"Fix")))</f>
        <v>0</v>
      </c>
      <c r="D263" s="5">
        <f>IF(OR(INDEX($W$2:$W$1001,MATCH(ROWS($V$2:V263),$V$2:$V$1001,0),1)&gt;=100000,INDEX($AC$1005:$AS$1005,1,MATCH(COLUMNS($AC$1006:AE1006),$AC$1006:$AS$1006,0))&gt;=100000), " ",IF(INDEX($AC$2:$AS$1001,MATCH(ROWS($V$2:V263),$V$2:$V$1001,0),MATCH(COLUMNS($AC$1006:AE1006),$AC$1006:$AS$1006,0)), HYPERLINK("#",""), HYPERLINK(CONCATENATE("#Metadata!", ADDRESS(INDEX($X$2:$X$1001,MATCH(ROWS($V$2:V263),$V$2:$V$1001,0),0), INDEX($AC$1004:$AS$1004,1,MATCH(COLUMNS($AC$1006:AE1006),$AC$1006:$AS$1006,0)))),"Fix")))</f>
        <v>0</v>
      </c>
      <c r="E263" s="5">
        <f>IF(OR(INDEX($W$2:$W$1001,MATCH(ROWS($V$2:V263),$V$2:$V$1001,0),1)&gt;=100000,INDEX($AC$1005:$AS$1005,1,MATCH(COLUMNS($AC$1006:AF1006),$AC$1006:$AS$1006,0))&gt;=100000), " ",IF(INDEX($AC$2:$AS$1001,MATCH(ROWS($V$2:V263),$V$2:$V$1001,0),MATCH(COLUMNS($AC$1006:AF1006),$AC$1006:$AS$1006,0)), HYPERLINK("#",""), HYPERLINK(CONCATENATE("#Metadata!", ADDRESS(INDEX($X$2:$X$1001,MATCH(ROWS($V$2:V263),$V$2:$V$1001,0),0), INDEX($AC$1004:$AS$1004,1,MATCH(COLUMNS($AC$1006:AF1006),$AC$1006:$AS$1006,0)))),"Fix")))</f>
        <v>0</v>
      </c>
      <c r="F263" s="5">
        <f>IF(OR(INDEX($W$2:$W$1001,MATCH(ROWS($V$2:V263),$V$2:$V$1001,0),1)&gt;=100000,INDEX($AC$1005:$AS$1005,1,MATCH(COLUMNS($AC$1006:AG1006),$AC$1006:$AS$1006,0))&gt;=100000), " ",IF(INDEX($AC$2:$AS$1001,MATCH(ROWS($V$2:V263),$V$2:$V$1001,0),MATCH(COLUMNS($AC$1006:AG1006),$AC$1006:$AS$1006,0)), HYPERLINK("#",""), HYPERLINK(CONCATENATE("#Metadata!", ADDRESS(INDEX($X$2:$X$1001,MATCH(ROWS($V$2:V263),$V$2:$V$1001,0),0), INDEX($AC$1004:$AS$1004,1,MATCH(COLUMNS($AC$1006:AG1006),$AC$1006:$AS$1006,0)))),"Fix")))</f>
        <v>0</v>
      </c>
      <c r="G263" s="5">
        <f>IF(OR(INDEX($W$2:$W$1001,MATCH(ROWS($V$2:V263),$V$2:$V$1001,0),1)&gt;=100000,INDEX($AC$1005:$AS$1005,1,MATCH(COLUMNS($AC$1006:AH1006),$AC$1006:$AS$1006,0))&gt;=100000), " ",IF(INDEX($AC$2:$AS$1001,MATCH(ROWS($V$2:V263),$V$2:$V$1001,0),MATCH(COLUMNS($AC$1006:AH1006),$AC$1006:$AS$1006,0)), HYPERLINK("#",""), HYPERLINK(CONCATENATE("#Metadata!", ADDRESS(INDEX($X$2:$X$1001,MATCH(ROWS($V$2:V263),$V$2:$V$1001,0),0), INDEX($AC$1004:$AS$1004,1,MATCH(COLUMNS($AC$1006:AH1006),$AC$1006:$AS$1006,0)))),"Fix")))</f>
        <v>0</v>
      </c>
      <c r="H263" s="5">
        <f>IF(OR(INDEX($W$2:$W$1001,MATCH(ROWS($V$2:V263),$V$2:$V$1001,0),1)&gt;=100000,INDEX($AC$1005:$AS$1005,1,MATCH(COLUMNS($AC$1006:AI1006),$AC$1006:$AS$1006,0))&gt;=100000), " ",IF(INDEX($AC$2:$AS$1001,MATCH(ROWS($V$2:V263),$V$2:$V$1001,0),MATCH(COLUMNS($AC$1006:AI1006),$AC$1006:$AS$1006,0)), HYPERLINK("#",""), HYPERLINK(CONCATENATE("#Metadata!", ADDRESS(INDEX($X$2:$X$1001,MATCH(ROWS($V$2:V263),$V$2:$V$1001,0),0), INDEX($AC$1004:$AS$1004,1,MATCH(COLUMNS($AC$1006:AI1006),$AC$1006:$AS$1006,0)))),"Fix")))</f>
        <v>0</v>
      </c>
      <c r="I263" s="5">
        <f>IF(OR(INDEX($W$2:$W$1001,MATCH(ROWS($V$2:V263),$V$2:$V$1001,0),1)&gt;=100000,INDEX($AC$1005:$AS$1005,1,MATCH(COLUMNS($AC$1006:AJ1006),$AC$1006:$AS$1006,0))&gt;=100000), " ",IF(INDEX($AC$2:$AS$1001,MATCH(ROWS($V$2:V263),$V$2:$V$1001,0),MATCH(COLUMNS($AC$1006:AJ1006),$AC$1006:$AS$1006,0)), HYPERLINK("#",""), HYPERLINK(CONCATENATE("#Metadata!", ADDRESS(INDEX($X$2:$X$1001,MATCH(ROWS($V$2:V263),$V$2:$V$1001,0),0), INDEX($AC$1004:$AS$1004,1,MATCH(COLUMNS($AC$1006:AJ1006),$AC$1006:$AS$1006,0)))),"Fix")))</f>
        <v>0</v>
      </c>
      <c r="J263" s="5">
        <f>IF(OR(INDEX($W$2:$W$1001,MATCH(ROWS($V$2:V263),$V$2:$V$1001,0),1)&gt;=100000,INDEX($AC$1005:$AS$1005,1,MATCH(COLUMNS($AC$1006:AK1006),$AC$1006:$AS$1006,0))&gt;=100000), " ",IF(INDEX($AC$2:$AS$1001,MATCH(ROWS($V$2:V263),$V$2:$V$1001,0),MATCH(COLUMNS($AC$1006:AK1006),$AC$1006:$AS$1006,0)), HYPERLINK("#",""), HYPERLINK(CONCATENATE("#Metadata!", ADDRESS(INDEX($X$2:$X$1001,MATCH(ROWS($V$2:V263),$V$2:$V$1001,0),0), INDEX($AC$1004:$AS$1004,1,MATCH(COLUMNS($AC$1006:AK1006),$AC$1006:$AS$1006,0)))),"Fix")))</f>
        <v>0</v>
      </c>
      <c r="K263" s="5">
        <f>IF(OR(INDEX($W$2:$W$1001,MATCH(ROWS($V$2:V263),$V$2:$V$1001,0),1)&gt;=100000,INDEX($AC$1005:$AS$1005,1,MATCH(COLUMNS($AC$1006:AL1006),$AC$1006:$AS$1006,0))&gt;=100000), " ",IF(INDEX($AC$2:$AS$1001,MATCH(ROWS($V$2:V263),$V$2:$V$1001,0),MATCH(COLUMNS($AC$1006:AL1006),$AC$1006:$AS$1006,0)), HYPERLINK("#",""), HYPERLINK(CONCATENATE("#Metadata!", ADDRESS(INDEX($X$2:$X$1001,MATCH(ROWS($V$2:V263),$V$2:$V$1001,0),0), INDEX($AC$1004:$AS$1004,1,MATCH(COLUMNS($AC$1006:AL1006),$AC$1006:$AS$1006,0)))),"Fix")))</f>
        <v>0</v>
      </c>
      <c r="L263" s="5">
        <f>IF(OR(INDEX($W$2:$W$1001,MATCH(ROWS($V$2:V263),$V$2:$V$1001,0),1)&gt;=100000,INDEX($AC$1005:$AS$1005,1,MATCH(COLUMNS($AC$1006:AM1006),$AC$1006:$AS$1006,0))&gt;=100000), " ",IF(INDEX($AC$2:$AS$1001,MATCH(ROWS($V$2:V263),$V$2:$V$1001,0),MATCH(COLUMNS($AC$1006:AM1006),$AC$1006:$AS$1006,0)), HYPERLINK("#",""), HYPERLINK(CONCATENATE("#Metadata!", ADDRESS(INDEX($X$2:$X$1001,MATCH(ROWS($V$2:V263),$V$2:$V$1001,0),0), INDEX($AC$1004:$AS$1004,1,MATCH(COLUMNS($AC$1006:AM1006),$AC$1006:$AS$1006,0)))),"Fix")))</f>
        <v>0</v>
      </c>
      <c r="M263" s="5">
        <f>IF(OR(INDEX($W$2:$W$1001,MATCH(ROWS($V$2:V263),$V$2:$V$1001,0),1)&gt;=100000,INDEX($AC$1005:$AS$1005,1,MATCH(COLUMNS($AC$1006:AN1006),$AC$1006:$AS$1006,0))&gt;=100000), " ",IF(INDEX($AC$2:$AS$1001,MATCH(ROWS($V$2:V263),$V$2:$V$1001,0),MATCH(COLUMNS($AC$1006:AN1006),$AC$1006:$AS$1006,0)), HYPERLINK("#",""), HYPERLINK(CONCATENATE("#Metadata!", ADDRESS(INDEX($X$2:$X$1001,MATCH(ROWS($V$2:V263),$V$2:$V$1001,0),0), INDEX($AC$1004:$AS$1004,1,MATCH(COLUMNS($AC$1006:AN1006),$AC$1006:$AS$1006,0)))),"Fix")))</f>
        <v>0</v>
      </c>
      <c r="N263" s="5">
        <f>IF(OR(INDEX($W$2:$W$1001,MATCH(ROWS($V$2:V263),$V$2:$V$1001,0),1)&gt;=100000,INDEX($AC$1005:$AS$1005,1,MATCH(COLUMNS($AC$1006:AO1006),$AC$1006:$AS$1006,0))&gt;=100000), " ",IF(INDEX($AC$2:$AS$1001,MATCH(ROWS($V$2:V263),$V$2:$V$1001,0),MATCH(COLUMNS($AC$1006:AO1006),$AC$1006:$AS$1006,0)), HYPERLINK("#",""), HYPERLINK(CONCATENATE("#Metadata!", ADDRESS(INDEX($X$2:$X$1001,MATCH(ROWS($V$2:V263),$V$2:$V$1001,0),0), INDEX($AC$1004:$AS$1004,1,MATCH(COLUMNS($AC$1006:AO1006),$AC$1006:$AS$1006,0)))),"Fix")))</f>
        <v>0</v>
      </c>
      <c r="O263" s="5">
        <f>IF(OR(INDEX($W$2:$W$1001,MATCH(ROWS($V$2:V263),$V$2:$V$1001,0),1)&gt;=100000,INDEX($AC$1005:$AS$1005,1,MATCH(COLUMNS($AC$1006:AP1006),$AC$1006:$AS$1006,0))&gt;=100000), " ",IF(INDEX($AC$2:$AS$1001,MATCH(ROWS($V$2:V263),$V$2:$V$1001,0),MATCH(COLUMNS($AC$1006:AP1006),$AC$1006:$AS$1006,0)), HYPERLINK("#",""), HYPERLINK(CONCATENATE("#Metadata!", ADDRESS(INDEX($X$2:$X$1001,MATCH(ROWS($V$2:V263),$V$2:$V$1001,0),0), INDEX($AC$1004:$AS$1004,1,MATCH(COLUMNS($AC$1006:AP1006),$AC$1006:$AS$1006,0)))),"Fix")))</f>
        <v>0</v>
      </c>
      <c r="P263" s="5">
        <f>IF(OR(INDEX($W$2:$W$1001,MATCH(ROWS($V$2:V263),$V$2:$V$1001,0),1)&gt;=100000,INDEX($AC$1005:$AS$1005,1,MATCH(COLUMNS($AC$1006:AQ1006),$AC$1006:$AS$1006,0))&gt;=100000), " ",IF(INDEX($AC$2:$AS$1001,MATCH(ROWS($V$2:V263),$V$2:$V$1001,0),MATCH(COLUMNS($AC$1006:AQ1006),$AC$1006:$AS$1006,0)), HYPERLINK("#",""), HYPERLINK(CONCATENATE("#Metadata!", ADDRESS(INDEX($X$2:$X$1001,MATCH(ROWS($V$2:V263),$V$2:$V$1001,0),0), INDEX($AC$1004:$AS$1004,1,MATCH(COLUMNS($AC$1006:AQ1006),$AC$1006:$AS$1006,0)))),"Fix")))</f>
        <v>0</v>
      </c>
      <c r="Q263" s="5">
        <f>IF(OR(INDEX($W$2:$W$1001,MATCH(ROWS($V$2:V263),$V$2:$V$1001,0),1)&gt;=100000,INDEX($AC$1005:$AS$1005,1,MATCH(COLUMNS($AC$1006:AR1006),$AC$1006:$AS$1006,0))&gt;=100000), " ",IF(INDEX($AC$2:$AS$1001,MATCH(ROWS($V$2:V263),$V$2:$V$1001,0),MATCH(COLUMNS($AC$1006:AR1006),$AC$1006:$AS$1006,0)), HYPERLINK("#",""), HYPERLINK(CONCATENATE("#Metadata!", ADDRESS(INDEX($X$2:$X$1001,MATCH(ROWS($V$2:V263),$V$2:$V$1001,0),0), INDEX($AC$1004:$AS$1004,1,MATCH(COLUMNS($AC$1006:AR1006),$AC$1006:$AS$1006,0)))),"Fix")))</f>
        <v>0</v>
      </c>
      <c r="R263" s="5">
        <f>IF(OR(INDEX($W$2:$W$1001,MATCH(ROWS($V$2:V263),$V$2:$V$1001,0),1)&gt;=100000,INDEX($AC$1005:$AS$1005,1,MATCH(COLUMNS($AC$1006:AS1006),$AC$1006:$AS$1006,0))&gt;=100000), " ",IF(INDEX($AC$2:$AS$1001,MATCH(ROWS($V$2:V263),$V$2:$V$1001,0),MATCH(COLUMNS($AC$1006:AS1006),$AC$1006:$AS$1006,0)), HYPERLINK("#",""), HYPERLINK(CONCATENATE("#Metadata!", ADDRESS(INDEX($X$2:$X$1001,MATCH(ROWS($V$2:V263),$V$2:$V$1001,0),0), INDEX($AC$1004:$AS$1004,1,MATCH(COLUMNS($AC$1006:AS1006),$AC$1006:$AS$1006,0)))),"Fix")))</f>
        <v>0</v>
      </c>
      <c r="V263">
        <v>0</v>
      </c>
      <c r="W263">
        <v>0</v>
      </c>
      <c r="X263">
        <v>0</v>
      </c>
      <c r="Y263">
        <f>IF(Z263,TRUE,AND(AC263:AS263))</f>
        <v>0</v>
      </c>
      <c r="Z263">
        <f>COUNTBLANK(Metadata!B263:R263)=COLUMNS(Metadata!B263:R263)</f>
        <v>0</v>
      </c>
      <c r="AA263">
        <v>0</v>
      </c>
      <c r="AC263">
        <f>AND(IF(Metadata!B263="",FALSE,TRUE),COUNTIF(Metadata!B:B, Metadata!B263) = 1,NOT(ISERROR(SUMPRODUCT(SEARCH(MID(Metadata!B263,ROW(INDIRECT("1:"&amp;LEN(Metadata!B263))), 1),"0123456789abcdefghijklmnopqrstuvwxyzABCDEFGHIJKLMNOPQRSTUVWXYZ.")))))</f>
        <v>0</v>
      </c>
      <c r="AD263">
        <f>AND(IF(Metadata!C263="",FALSE,TRUE),exact(Metadata!C263,"Host-associated"))</f>
        <v>0</v>
      </c>
      <c r="AE263">
        <f>AND(IF(Metadata!D263="",FALSE,TRUE),OR(exact(Metadata!D263,"Animal"),exact(Metadata!D263,"Fungus"),exact(Metadata!D263,"Plant")))</f>
        <v>0</v>
      </c>
      <c r="AF263">
        <f>AND(IF(Metadata!E263="",FALSE,TRUE),OR(exact(Metadata!E263,"Plant secretion"),exact(Metadata!E263,"Plant rhizosphere"),exact(Metadata!E263,"Plant surface"),exact(Metadata!E263,"Plant corpus"),exact(Metadata!E263,"Fungus surface"),exact(Metadata!E263,"Fungus corpus"),exact(Metadata!E263,"Animal surface"),exact(Metadata!E263,"Animal proximal gut"),exact(Metadata!E263,"Animal corpus"),exact(Metadata!E263,"Animal distal gut"),exact(Metadata!E263,"Animal secretion")))</f>
        <v>0</v>
      </c>
      <c r="AG263">
        <f>OR(AND(IF(Metadata!F263="",FALSE,TRUE),OR(exact(Metadata!F263,"not collected"),exact(Metadata!F263,"not provided"),exact(Metadata!F263,"restricted access"))),AND(IF(Metadata!F263="",FALSE,TRUE),OR(exact(Metadata!F263,"organism-associated habitat"),exact(Metadata!F263,"plant-associated habitat"),exact(Metadata!F263,"animal-associated habitat"),exact(Metadata!F263,"insecta-associated habitat"),exact(Metadata!F263,"mammalia-associated habitat"),exact(Metadata!F263,"human-associated habitat"),exact(Metadata!F263,"livestock-associated habitat"))))</f>
        <v>0</v>
      </c>
      <c r="AH263">
        <f>AND(IF(Metadata!G263="",FALSE,TRUE),exact(Metadata!G263,"host-associated"))</f>
        <v>0</v>
      </c>
      <c r="AI263">
        <f>OR(AND(IF(Metadata!H263="",FALSE,TRUE),OR(exact(Metadata!H263,"not collected"),exact(Metadata!H263,"not provided"))),AND(IF(Metadata!H263="",FALSE,ISNUMBER(VALUE(Metadata!H263))),Metadata!H263&gt;0))</f>
        <v>0</v>
      </c>
      <c r="AJ263">
        <f>AND(IF(Metadata!I263="",FALSE,TRUE),exact(Metadata!I263,"years"))</f>
        <v>0</v>
      </c>
      <c r="AK263">
        <f>IF(Metadata!J263="",FALSE,TRUE)</f>
        <v>0</v>
      </c>
      <c r="AL263">
        <f>OR(AND(IF(Metadata!K263="",FALSE,TRUE),OR(exact(Metadata!K263,"not collected"),exact(Metadata!K263,"not provided"))),AND(IF(Metadata!K263="",FALSE,ISNUMBER(VALUE(Metadata!K263))),Metadata!K263&gt;0))</f>
        <v>0</v>
      </c>
      <c r="AM263">
        <f>AND(IF(Metadata!L263="",FALSE,TRUE),exact(Metadata!L263,"cm"))</f>
        <v>0</v>
      </c>
      <c r="AN263">
        <f>IF(Metadata!M263="",FALSE,TRUE)</f>
        <v>0</v>
      </c>
      <c r="AO263">
        <f>OR(AND(IF(Metadata!N263="",FALSE,TRUE),OR(exact(Metadata!N263,"not applicable"),exact(Metadata!N263,"not collected"),exact(Metadata!N263,"not provided"))),AND(IF(Metadata!N263="",FALSE,IF(ISERROR(INT(Metadata!N263)),FALSE,INT(Metadata!N263)=Metadata!N263)),Metadata!N263&gt;0))</f>
        <v>0</v>
      </c>
      <c r="AP263">
        <f>OR(AND(IF(Metadata!O263="",FALSE,TRUE),OR(exact(Metadata!O263,"not collected"),exact(Metadata!O263,"not provided"))),AND(IF(Metadata!O263="",FALSE,ISNUMBER(VALUE(Metadata!O263))),Metadata!O263&gt;0))</f>
        <v>0</v>
      </c>
      <c r="AQ263">
        <f>AND(IF(Metadata!P263="",FALSE,TRUE),exact(Metadata!P263,"kg"))</f>
        <v>0</v>
      </c>
      <c r="AR263">
        <f>OR(AND(IF(Metadata!Q263="",FALSE,TRUE),OR(exact(Metadata!Q263,"not applicable"),exact(Metadata!Q263,"not collected"),exact(Metadata!Q263,"not provided"),exact(Metadata!Q263,"restricted access"))),IF(Metadata!Q263="",FALSE,IF(ISERROR(INT(Metadata!Q263)),FALSE,INT(Metadata!Q263)=Metadata!Q263)))</f>
        <v>0</v>
      </c>
      <c r="AS263">
        <f>AND(IF(Metadata!R263="",FALSE,TRUE),exact(Metadata!R263,"Not applicable"))</f>
        <v>0</v>
      </c>
    </row>
    <row r="264" spans="1:45">
      <c r="A264" s="4">
        <f>IF(B264=" "," ",HYPERLINK(CONCATENATE("#metadata!",ADDRESS(INDEX($X$2:$X$1001,MATCH(ROWS($V$2:V264),$V$2:$V$1001,0),0),2)),INDEX($AA$2:$AA$1001,MATCH(ROWS($V$2:V264),$V$2:$V$1001,0),0)))</f>
        <v>0</v>
      </c>
      <c r="B264" s="5">
        <f>IF(OR(INDEX($W$2:$W$1001,MATCH(ROWS($V$2:V264),$V$2:$V$1001,0),1)&gt;=100000,INDEX($AC$1005:$AS$1005,1,MATCH(COLUMNS($AC$1006:AC1006),$AC$1006:$AS$1006,0))&gt;=100000), " ",IF(INDEX($AC$2:$AS$1001,MATCH(ROWS($V$2:V264),$V$2:$V$1001,0),MATCH(COLUMNS($AC$1006:AC1006),$AC$1006:$AS$1006,0)), HYPERLINK("#",""), HYPERLINK(CONCATENATE("#Metadata!", ADDRESS(INDEX($X$2:$X$1001,MATCH(ROWS($V$2:V264),$V$2:$V$1001,0),0), INDEX($AC$1004:$AS$1004,1,MATCH(COLUMNS($AC$1006:AC1006),$AC$1006:$AS$1006,0)))),"Fix")))</f>
        <v>0</v>
      </c>
      <c r="C264" s="5">
        <f>IF(OR(INDEX($W$2:$W$1001,MATCH(ROWS($V$2:V264),$V$2:$V$1001,0),1)&gt;=100000,INDEX($AC$1005:$AS$1005,1,MATCH(COLUMNS($AC$1006:AD1006),$AC$1006:$AS$1006,0))&gt;=100000), " ",IF(INDEX($AC$2:$AS$1001,MATCH(ROWS($V$2:V264),$V$2:$V$1001,0),MATCH(COLUMNS($AC$1006:AD1006),$AC$1006:$AS$1006,0)), HYPERLINK("#",""), HYPERLINK(CONCATENATE("#Metadata!", ADDRESS(INDEX($X$2:$X$1001,MATCH(ROWS($V$2:V264),$V$2:$V$1001,0),0), INDEX($AC$1004:$AS$1004,1,MATCH(COLUMNS($AC$1006:AD1006),$AC$1006:$AS$1006,0)))),"Fix")))</f>
        <v>0</v>
      </c>
      <c r="D264" s="5">
        <f>IF(OR(INDEX($W$2:$W$1001,MATCH(ROWS($V$2:V264),$V$2:$V$1001,0),1)&gt;=100000,INDEX($AC$1005:$AS$1005,1,MATCH(COLUMNS($AC$1006:AE1006),$AC$1006:$AS$1006,0))&gt;=100000), " ",IF(INDEX($AC$2:$AS$1001,MATCH(ROWS($V$2:V264),$V$2:$V$1001,0),MATCH(COLUMNS($AC$1006:AE1006),$AC$1006:$AS$1006,0)), HYPERLINK("#",""), HYPERLINK(CONCATENATE("#Metadata!", ADDRESS(INDEX($X$2:$X$1001,MATCH(ROWS($V$2:V264),$V$2:$V$1001,0),0), INDEX($AC$1004:$AS$1004,1,MATCH(COLUMNS($AC$1006:AE1006),$AC$1006:$AS$1006,0)))),"Fix")))</f>
        <v>0</v>
      </c>
      <c r="E264" s="5">
        <f>IF(OR(INDEX($W$2:$W$1001,MATCH(ROWS($V$2:V264),$V$2:$V$1001,0),1)&gt;=100000,INDEX($AC$1005:$AS$1005,1,MATCH(COLUMNS($AC$1006:AF1006),$AC$1006:$AS$1006,0))&gt;=100000), " ",IF(INDEX($AC$2:$AS$1001,MATCH(ROWS($V$2:V264),$V$2:$V$1001,0),MATCH(COLUMNS($AC$1006:AF1006),$AC$1006:$AS$1006,0)), HYPERLINK("#",""), HYPERLINK(CONCATENATE("#Metadata!", ADDRESS(INDEX($X$2:$X$1001,MATCH(ROWS($V$2:V264),$V$2:$V$1001,0),0), INDEX($AC$1004:$AS$1004,1,MATCH(COLUMNS($AC$1006:AF1006),$AC$1006:$AS$1006,0)))),"Fix")))</f>
        <v>0</v>
      </c>
      <c r="F264" s="5">
        <f>IF(OR(INDEX($W$2:$W$1001,MATCH(ROWS($V$2:V264),$V$2:$V$1001,0),1)&gt;=100000,INDEX($AC$1005:$AS$1005,1,MATCH(COLUMNS($AC$1006:AG1006),$AC$1006:$AS$1006,0))&gt;=100000), " ",IF(INDEX($AC$2:$AS$1001,MATCH(ROWS($V$2:V264),$V$2:$V$1001,0),MATCH(COLUMNS($AC$1006:AG1006),$AC$1006:$AS$1006,0)), HYPERLINK("#",""), HYPERLINK(CONCATENATE("#Metadata!", ADDRESS(INDEX($X$2:$X$1001,MATCH(ROWS($V$2:V264),$V$2:$V$1001,0),0), INDEX($AC$1004:$AS$1004,1,MATCH(COLUMNS($AC$1006:AG1006),$AC$1006:$AS$1006,0)))),"Fix")))</f>
        <v>0</v>
      </c>
      <c r="G264" s="5">
        <f>IF(OR(INDEX($W$2:$W$1001,MATCH(ROWS($V$2:V264),$V$2:$V$1001,0),1)&gt;=100000,INDEX($AC$1005:$AS$1005,1,MATCH(COLUMNS($AC$1006:AH1006),$AC$1006:$AS$1006,0))&gt;=100000), " ",IF(INDEX($AC$2:$AS$1001,MATCH(ROWS($V$2:V264),$V$2:$V$1001,0),MATCH(COLUMNS($AC$1006:AH1006),$AC$1006:$AS$1006,0)), HYPERLINK("#",""), HYPERLINK(CONCATENATE("#Metadata!", ADDRESS(INDEX($X$2:$X$1001,MATCH(ROWS($V$2:V264),$V$2:$V$1001,0),0), INDEX($AC$1004:$AS$1004,1,MATCH(COLUMNS($AC$1006:AH1006),$AC$1006:$AS$1006,0)))),"Fix")))</f>
        <v>0</v>
      </c>
      <c r="H264" s="5">
        <f>IF(OR(INDEX($W$2:$W$1001,MATCH(ROWS($V$2:V264),$V$2:$V$1001,0),1)&gt;=100000,INDEX($AC$1005:$AS$1005,1,MATCH(COLUMNS($AC$1006:AI1006),$AC$1006:$AS$1006,0))&gt;=100000), " ",IF(INDEX($AC$2:$AS$1001,MATCH(ROWS($V$2:V264),$V$2:$V$1001,0),MATCH(COLUMNS($AC$1006:AI1006),$AC$1006:$AS$1006,0)), HYPERLINK("#",""), HYPERLINK(CONCATENATE("#Metadata!", ADDRESS(INDEX($X$2:$X$1001,MATCH(ROWS($V$2:V264),$V$2:$V$1001,0),0), INDEX($AC$1004:$AS$1004,1,MATCH(COLUMNS($AC$1006:AI1006),$AC$1006:$AS$1006,0)))),"Fix")))</f>
        <v>0</v>
      </c>
      <c r="I264" s="5">
        <f>IF(OR(INDEX($W$2:$W$1001,MATCH(ROWS($V$2:V264),$V$2:$V$1001,0),1)&gt;=100000,INDEX($AC$1005:$AS$1005,1,MATCH(COLUMNS($AC$1006:AJ1006),$AC$1006:$AS$1006,0))&gt;=100000), " ",IF(INDEX($AC$2:$AS$1001,MATCH(ROWS($V$2:V264),$V$2:$V$1001,0),MATCH(COLUMNS($AC$1006:AJ1006),$AC$1006:$AS$1006,0)), HYPERLINK("#",""), HYPERLINK(CONCATENATE("#Metadata!", ADDRESS(INDEX($X$2:$X$1001,MATCH(ROWS($V$2:V264),$V$2:$V$1001,0),0), INDEX($AC$1004:$AS$1004,1,MATCH(COLUMNS($AC$1006:AJ1006),$AC$1006:$AS$1006,0)))),"Fix")))</f>
        <v>0</v>
      </c>
      <c r="J264" s="5">
        <f>IF(OR(INDEX($W$2:$W$1001,MATCH(ROWS($V$2:V264),$V$2:$V$1001,0),1)&gt;=100000,INDEX($AC$1005:$AS$1005,1,MATCH(COLUMNS($AC$1006:AK1006),$AC$1006:$AS$1006,0))&gt;=100000), " ",IF(INDEX($AC$2:$AS$1001,MATCH(ROWS($V$2:V264),$V$2:$V$1001,0),MATCH(COLUMNS($AC$1006:AK1006),$AC$1006:$AS$1006,0)), HYPERLINK("#",""), HYPERLINK(CONCATENATE("#Metadata!", ADDRESS(INDEX($X$2:$X$1001,MATCH(ROWS($V$2:V264),$V$2:$V$1001,0),0), INDEX($AC$1004:$AS$1004,1,MATCH(COLUMNS($AC$1006:AK1006),$AC$1006:$AS$1006,0)))),"Fix")))</f>
        <v>0</v>
      </c>
      <c r="K264" s="5">
        <f>IF(OR(INDEX($W$2:$W$1001,MATCH(ROWS($V$2:V264),$V$2:$V$1001,0),1)&gt;=100000,INDEX($AC$1005:$AS$1005,1,MATCH(COLUMNS($AC$1006:AL1006),$AC$1006:$AS$1006,0))&gt;=100000), " ",IF(INDEX($AC$2:$AS$1001,MATCH(ROWS($V$2:V264),$V$2:$V$1001,0),MATCH(COLUMNS($AC$1006:AL1006),$AC$1006:$AS$1006,0)), HYPERLINK("#",""), HYPERLINK(CONCATENATE("#Metadata!", ADDRESS(INDEX($X$2:$X$1001,MATCH(ROWS($V$2:V264),$V$2:$V$1001,0),0), INDEX($AC$1004:$AS$1004,1,MATCH(COLUMNS($AC$1006:AL1006),$AC$1006:$AS$1006,0)))),"Fix")))</f>
        <v>0</v>
      </c>
      <c r="L264" s="5">
        <f>IF(OR(INDEX($W$2:$W$1001,MATCH(ROWS($V$2:V264),$V$2:$V$1001,0),1)&gt;=100000,INDEX($AC$1005:$AS$1005,1,MATCH(COLUMNS($AC$1006:AM1006),$AC$1006:$AS$1006,0))&gt;=100000), " ",IF(INDEX($AC$2:$AS$1001,MATCH(ROWS($V$2:V264),$V$2:$V$1001,0),MATCH(COLUMNS($AC$1006:AM1006),$AC$1006:$AS$1006,0)), HYPERLINK("#",""), HYPERLINK(CONCATENATE("#Metadata!", ADDRESS(INDEX($X$2:$X$1001,MATCH(ROWS($V$2:V264),$V$2:$V$1001,0),0), INDEX($AC$1004:$AS$1004,1,MATCH(COLUMNS($AC$1006:AM1006),$AC$1006:$AS$1006,0)))),"Fix")))</f>
        <v>0</v>
      </c>
      <c r="M264" s="5">
        <f>IF(OR(INDEX($W$2:$W$1001,MATCH(ROWS($V$2:V264),$V$2:$V$1001,0),1)&gt;=100000,INDEX($AC$1005:$AS$1005,1,MATCH(COLUMNS($AC$1006:AN1006),$AC$1006:$AS$1006,0))&gt;=100000), " ",IF(INDEX($AC$2:$AS$1001,MATCH(ROWS($V$2:V264),$V$2:$V$1001,0),MATCH(COLUMNS($AC$1006:AN1006),$AC$1006:$AS$1006,0)), HYPERLINK("#",""), HYPERLINK(CONCATENATE("#Metadata!", ADDRESS(INDEX($X$2:$X$1001,MATCH(ROWS($V$2:V264),$V$2:$V$1001,0),0), INDEX($AC$1004:$AS$1004,1,MATCH(COLUMNS($AC$1006:AN1006),$AC$1006:$AS$1006,0)))),"Fix")))</f>
        <v>0</v>
      </c>
      <c r="N264" s="5">
        <f>IF(OR(INDEX($W$2:$W$1001,MATCH(ROWS($V$2:V264),$V$2:$V$1001,0),1)&gt;=100000,INDEX($AC$1005:$AS$1005,1,MATCH(COLUMNS($AC$1006:AO1006),$AC$1006:$AS$1006,0))&gt;=100000), " ",IF(INDEX($AC$2:$AS$1001,MATCH(ROWS($V$2:V264),$V$2:$V$1001,0),MATCH(COLUMNS($AC$1006:AO1006),$AC$1006:$AS$1006,0)), HYPERLINK("#",""), HYPERLINK(CONCATENATE("#Metadata!", ADDRESS(INDEX($X$2:$X$1001,MATCH(ROWS($V$2:V264),$V$2:$V$1001,0),0), INDEX($AC$1004:$AS$1004,1,MATCH(COLUMNS($AC$1006:AO1006),$AC$1006:$AS$1006,0)))),"Fix")))</f>
        <v>0</v>
      </c>
      <c r="O264" s="5">
        <f>IF(OR(INDEX($W$2:$W$1001,MATCH(ROWS($V$2:V264),$V$2:$V$1001,0),1)&gt;=100000,INDEX($AC$1005:$AS$1005,1,MATCH(COLUMNS($AC$1006:AP1006),$AC$1006:$AS$1006,0))&gt;=100000), " ",IF(INDEX($AC$2:$AS$1001,MATCH(ROWS($V$2:V264),$V$2:$V$1001,0),MATCH(COLUMNS($AC$1006:AP1006),$AC$1006:$AS$1006,0)), HYPERLINK("#",""), HYPERLINK(CONCATENATE("#Metadata!", ADDRESS(INDEX($X$2:$X$1001,MATCH(ROWS($V$2:V264),$V$2:$V$1001,0),0), INDEX($AC$1004:$AS$1004,1,MATCH(COLUMNS($AC$1006:AP1006),$AC$1006:$AS$1006,0)))),"Fix")))</f>
        <v>0</v>
      </c>
      <c r="P264" s="5">
        <f>IF(OR(INDEX($W$2:$W$1001,MATCH(ROWS($V$2:V264),$V$2:$V$1001,0),1)&gt;=100000,INDEX($AC$1005:$AS$1005,1,MATCH(COLUMNS($AC$1006:AQ1006),$AC$1006:$AS$1006,0))&gt;=100000), " ",IF(INDEX($AC$2:$AS$1001,MATCH(ROWS($V$2:V264),$V$2:$V$1001,0),MATCH(COLUMNS($AC$1006:AQ1006),$AC$1006:$AS$1006,0)), HYPERLINK("#",""), HYPERLINK(CONCATENATE("#Metadata!", ADDRESS(INDEX($X$2:$X$1001,MATCH(ROWS($V$2:V264),$V$2:$V$1001,0),0), INDEX($AC$1004:$AS$1004,1,MATCH(COLUMNS($AC$1006:AQ1006),$AC$1006:$AS$1006,0)))),"Fix")))</f>
        <v>0</v>
      </c>
      <c r="Q264" s="5">
        <f>IF(OR(INDEX($W$2:$W$1001,MATCH(ROWS($V$2:V264),$V$2:$V$1001,0),1)&gt;=100000,INDEX($AC$1005:$AS$1005,1,MATCH(COLUMNS($AC$1006:AR1006),$AC$1006:$AS$1006,0))&gt;=100000), " ",IF(INDEX($AC$2:$AS$1001,MATCH(ROWS($V$2:V264),$V$2:$V$1001,0),MATCH(COLUMNS($AC$1006:AR1006),$AC$1006:$AS$1006,0)), HYPERLINK("#",""), HYPERLINK(CONCATENATE("#Metadata!", ADDRESS(INDEX($X$2:$X$1001,MATCH(ROWS($V$2:V264),$V$2:$V$1001,0),0), INDEX($AC$1004:$AS$1004,1,MATCH(COLUMNS($AC$1006:AR1006),$AC$1006:$AS$1006,0)))),"Fix")))</f>
        <v>0</v>
      </c>
      <c r="R264" s="5">
        <f>IF(OR(INDEX($W$2:$W$1001,MATCH(ROWS($V$2:V264),$V$2:$V$1001,0),1)&gt;=100000,INDEX($AC$1005:$AS$1005,1,MATCH(COLUMNS($AC$1006:AS1006),$AC$1006:$AS$1006,0))&gt;=100000), " ",IF(INDEX($AC$2:$AS$1001,MATCH(ROWS($V$2:V264),$V$2:$V$1001,0),MATCH(COLUMNS($AC$1006:AS1006),$AC$1006:$AS$1006,0)), HYPERLINK("#",""), HYPERLINK(CONCATENATE("#Metadata!", ADDRESS(INDEX($X$2:$X$1001,MATCH(ROWS($V$2:V264),$V$2:$V$1001,0),0), INDEX($AC$1004:$AS$1004,1,MATCH(COLUMNS($AC$1006:AS1006),$AC$1006:$AS$1006,0)))),"Fix")))</f>
        <v>0</v>
      </c>
      <c r="V264">
        <v>0</v>
      </c>
      <c r="W264">
        <v>0</v>
      </c>
      <c r="X264">
        <v>0</v>
      </c>
      <c r="Y264">
        <f>IF(Z264,TRUE,AND(AC264:AS264))</f>
        <v>0</v>
      </c>
      <c r="Z264">
        <f>COUNTBLANK(Metadata!B264:R264)=COLUMNS(Metadata!B264:R264)</f>
        <v>0</v>
      </c>
      <c r="AA264">
        <v>0</v>
      </c>
      <c r="AC264">
        <f>AND(IF(Metadata!B264="",FALSE,TRUE),COUNTIF(Metadata!B:B, Metadata!B264) = 1,NOT(ISERROR(SUMPRODUCT(SEARCH(MID(Metadata!B264,ROW(INDIRECT("1:"&amp;LEN(Metadata!B264))), 1),"0123456789abcdefghijklmnopqrstuvwxyzABCDEFGHIJKLMNOPQRSTUVWXYZ.")))))</f>
        <v>0</v>
      </c>
      <c r="AD264">
        <f>AND(IF(Metadata!C264="",FALSE,TRUE),exact(Metadata!C264,"Host-associated"))</f>
        <v>0</v>
      </c>
      <c r="AE264">
        <f>AND(IF(Metadata!D264="",FALSE,TRUE),OR(exact(Metadata!D264,"Animal"),exact(Metadata!D264,"Fungus"),exact(Metadata!D264,"Plant")))</f>
        <v>0</v>
      </c>
      <c r="AF264">
        <f>AND(IF(Metadata!E264="",FALSE,TRUE),OR(exact(Metadata!E264,"Plant secretion"),exact(Metadata!E264,"Plant rhizosphere"),exact(Metadata!E264,"Plant surface"),exact(Metadata!E264,"Plant corpus"),exact(Metadata!E264,"Fungus surface"),exact(Metadata!E264,"Fungus corpus"),exact(Metadata!E264,"Animal surface"),exact(Metadata!E264,"Animal proximal gut"),exact(Metadata!E264,"Animal corpus"),exact(Metadata!E264,"Animal distal gut"),exact(Metadata!E264,"Animal secretion")))</f>
        <v>0</v>
      </c>
      <c r="AG264">
        <f>OR(AND(IF(Metadata!F264="",FALSE,TRUE),OR(exact(Metadata!F264,"not collected"),exact(Metadata!F264,"not provided"),exact(Metadata!F264,"restricted access"))),AND(IF(Metadata!F264="",FALSE,TRUE),OR(exact(Metadata!F264,"organism-associated habitat"),exact(Metadata!F264,"plant-associated habitat"),exact(Metadata!F264,"animal-associated habitat"),exact(Metadata!F264,"insecta-associated habitat"),exact(Metadata!F264,"mammalia-associated habitat"),exact(Metadata!F264,"human-associated habitat"),exact(Metadata!F264,"livestock-associated habitat"))))</f>
        <v>0</v>
      </c>
      <c r="AH264">
        <f>AND(IF(Metadata!G264="",FALSE,TRUE),exact(Metadata!G264,"host-associated"))</f>
        <v>0</v>
      </c>
      <c r="AI264">
        <f>OR(AND(IF(Metadata!H264="",FALSE,TRUE),OR(exact(Metadata!H264,"not collected"),exact(Metadata!H264,"not provided"))),AND(IF(Metadata!H264="",FALSE,ISNUMBER(VALUE(Metadata!H264))),Metadata!H264&gt;0))</f>
        <v>0</v>
      </c>
      <c r="AJ264">
        <f>AND(IF(Metadata!I264="",FALSE,TRUE),exact(Metadata!I264,"years"))</f>
        <v>0</v>
      </c>
      <c r="AK264">
        <f>IF(Metadata!J264="",FALSE,TRUE)</f>
        <v>0</v>
      </c>
      <c r="AL264">
        <f>OR(AND(IF(Metadata!K264="",FALSE,TRUE),OR(exact(Metadata!K264,"not collected"),exact(Metadata!K264,"not provided"))),AND(IF(Metadata!K264="",FALSE,ISNUMBER(VALUE(Metadata!K264))),Metadata!K264&gt;0))</f>
        <v>0</v>
      </c>
      <c r="AM264">
        <f>AND(IF(Metadata!L264="",FALSE,TRUE),exact(Metadata!L264,"cm"))</f>
        <v>0</v>
      </c>
      <c r="AN264">
        <f>IF(Metadata!M264="",FALSE,TRUE)</f>
        <v>0</v>
      </c>
      <c r="AO264">
        <f>OR(AND(IF(Metadata!N264="",FALSE,TRUE),OR(exact(Metadata!N264,"not applicable"),exact(Metadata!N264,"not collected"),exact(Metadata!N264,"not provided"))),AND(IF(Metadata!N264="",FALSE,IF(ISERROR(INT(Metadata!N264)),FALSE,INT(Metadata!N264)=Metadata!N264)),Metadata!N264&gt;0))</f>
        <v>0</v>
      </c>
      <c r="AP264">
        <f>OR(AND(IF(Metadata!O264="",FALSE,TRUE),OR(exact(Metadata!O264,"not collected"),exact(Metadata!O264,"not provided"))),AND(IF(Metadata!O264="",FALSE,ISNUMBER(VALUE(Metadata!O264))),Metadata!O264&gt;0))</f>
        <v>0</v>
      </c>
      <c r="AQ264">
        <f>AND(IF(Metadata!P264="",FALSE,TRUE),exact(Metadata!P264,"kg"))</f>
        <v>0</v>
      </c>
      <c r="AR264">
        <f>OR(AND(IF(Metadata!Q264="",FALSE,TRUE),OR(exact(Metadata!Q264,"not applicable"),exact(Metadata!Q264,"not collected"),exact(Metadata!Q264,"not provided"),exact(Metadata!Q264,"restricted access"))),IF(Metadata!Q264="",FALSE,IF(ISERROR(INT(Metadata!Q264)),FALSE,INT(Metadata!Q264)=Metadata!Q264)))</f>
        <v>0</v>
      </c>
      <c r="AS264">
        <f>AND(IF(Metadata!R264="",FALSE,TRUE),exact(Metadata!R264,"Not applicable"))</f>
        <v>0</v>
      </c>
    </row>
    <row r="265" spans="1:45">
      <c r="A265" s="4">
        <f>IF(B265=" "," ",HYPERLINK(CONCATENATE("#metadata!",ADDRESS(INDEX($X$2:$X$1001,MATCH(ROWS($V$2:V265),$V$2:$V$1001,0),0),2)),INDEX($AA$2:$AA$1001,MATCH(ROWS($V$2:V265),$V$2:$V$1001,0),0)))</f>
        <v>0</v>
      </c>
      <c r="B265" s="5">
        <f>IF(OR(INDEX($W$2:$W$1001,MATCH(ROWS($V$2:V265),$V$2:$V$1001,0),1)&gt;=100000,INDEX($AC$1005:$AS$1005,1,MATCH(COLUMNS($AC$1006:AC1006),$AC$1006:$AS$1006,0))&gt;=100000), " ",IF(INDEX($AC$2:$AS$1001,MATCH(ROWS($V$2:V265),$V$2:$V$1001,0),MATCH(COLUMNS($AC$1006:AC1006),$AC$1006:$AS$1006,0)), HYPERLINK("#",""), HYPERLINK(CONCATENATE("#Metadata!", ADDRESS(INDEX($X$2:$X$1001,MATCH(ROWS($V$2:V265),$V$2:$V$1001,0),0), INDEX($AC$1004:$AS$1004,1,MATCH(COLUMNS($AC$1006:AC1006),$AC$1006:$AS$1006,0)))),"Fix")))</f>
        <v>0</v>
      </c>
      <c r="C265" s="5">
        <f>IF(OR(INDEX($W$2:$W$1001,MATCH(ROWS($V$2:V265),$V$2:$V$1001,0),1)&gt;=100000,INDEX($AC$1005:$AS$1005,1,MATCH(COLUMNS($AC$1006:AD1006),$AC$1006:$AS$1006,0))&gt;=100000), " ",IF(INDEX($AC$2:$AS$1001,MATCH(ROWS($V$2:V265),$V$2:$V$1001,0),MATCH(COLUMNS($AC$1006:AD1006),$AC$1006:$AS$1006,0)), HYPERLINK("#",""), HYPERLINK(CONCATENATE("#Metadata!", ADDRESS(INDEX($X$2:$X$1001,MATCH(ROWS($V$2:V265),$V$2:$V$1001,0),0), INDEX($AC$1004:$AS$1004,1,MATCH(COLUMNS($AC$1006:AD1006),$AC$1006:$AS$1006,0)))),"Fix")))</f>
        <v>0</v>
      </c>
      <c r="D265" s="5">
        <f>IF(OR(INDEX($W$2:$W$1001,MATCH(ROWS($V$2:V265),$V$2:$V$1001,0),1)&gt;=100000,INDEX($AC$1005:$AS$1005,1,MATCH(COLUMNS($AC$1006:AE1006),$AC$1006:$AS$1006,0))&gt;=100000), " ",IF(INDEX($AC$2:$AS$1001,MATCH(ROWS($V$2:V265),$V$2:$V$1001,0),MATCH(COLUMNS($AC$1006:AE1006),$AC$1006:$AS$1006,0)), HYPERLINK("#",""), HYPERLINK(CONCATENATE("#Metadata!", ADDRESS(INDEX($X$2:$X$1001,MATCH(ROWS($V$2:V265),$V$2:$V$1001,0),0), INDEX($AC$1004:$AS$1004,1,MATCH(COLUMNS($AC$1006:AE1006),$AC$1006:$AS$1006,0)))),"Fix")))</f>
        <v>0</v>
      </c>
      <c r="E265" s="5">
        <f>IF(OR(INDEX($W$2:$W$1001,MATCH(ROWS($V$2:V265),$V$2:$V$1001,0),1)&gt;=100000,INDEX($AC$1005:$AS$1005,1,MATCH(COLUMNS($AC$1006:AF1006),$AC$1006:$AS$1006,0))&gt;=100000), " ",IF(INDEX($AC$2:$AS$1001,MATCH(ROWS($V$2:V265),$V$2:$V$1001,0),MATCH(COLUMNS($AC$1006:AF1006),$AC$1006:$AS$1006,0)), HYPERLINK("#",""), HYPERLINK(CONCATENATE("#Metadata!", ADDRESS(INDEX($X$2:$X$1001,MATCH(ROWS($V$2:V265),$V$2:$V$1001,0),0), INDEX($AC$1004:$AS$1004,1,MATCH(COLUMNS($AC$1006:AF1006),$AC$1006:$AS$1006,0)))),"Fix")))</f>
        <v>0</v>
      </c>
      <c r="F265" s="5">
        <f>IF(OR(INDEX($W$2:$W$1001,MATCH(ROWS($V$2:V265),$V$2:$V$1001,0),1)&gt;=100000,INDEX($AC$1005:$AS$1005,1,MATCH(COLUMNS($AC$1006:AG1006),$AC$1006:$AS$1006,0))&gt;=100000), " ",IF(INDEX($AC$2:$AS$1001,MATCH(ROWS($V$2:V265),$V$2:$V$1001,0),MATCH(COLUMNS($AC$1006:AG1006),$AC$1006:$AS$1006,0)), HYPERLINK("#",""), HYPERLINK(CONCATENATE("#Metadata!", ADDRESS(INDEX($X$2:$X$1001,MATCH(ROWS($V$2:V265),$V$2:$V$1001,0),0), INDEX($AC$1004:$AS$1004,1,MATCH(COLUMNS($AC$1006:AG1006),$AC$1006:$AS$1006,0)))),"Fix")))</f>
        <v>0</v>
      </c>
      <c r="G265" s="5">
        <f>IF(OR(INDEX($W$2:$W$1001,MATCH(ROWS($V$2:V265),$V$2:$V$1001,0),1)&gt;=100000,INDEX($AC$1005:$AS$1005,1,MATCH(COLUMNS($AC$1006:AH1006),$AC$1006:$AS$1006,0))&gt;=100000), " ",IF(INDEX($AC$2:$AS$1001,MATCH(ROWS($V$2:V265),$V$2:$V$1001,0),MATCH(COLUMNS($AC$1006:AH1006),$AC$1006:$AS$1006,0)), HYPERLINK("#",""), HYPERLINK(CONCATENATE("#Metadata!", ADDRESS(INDEX($X$2:$X$1001,MATCH(ROWS($V$2:V265),$V$2:$V$1001,0),0), INDEX($AC$1004:$AS$1004,1,MATCH(COLUMNS($AC$1006:AH1006),$AC$1006:$AS$1006,0)))),"Fix")))</f>
        <v>0</v>
      </c>
      <c r="H265" s="5">
        <f>IF(OR(INDEX($W$2:$W$1001,MATCH(ROWS($V$2:V265),$V$2:$V$1001,0),1)&gt;=100000,INDEX($AC$1005:$AS$1005,1,MATCH(COLUMNS($AC$1006:AI1006),$AC$1006:$AS$1006,0))&gt;=100000), " ",IF(INDEX($AC$2:$AS$1001,MATCH(ROWS($V$2:V265),$V$2:$V$1001,0),MATCH(COLUMNS($AC$1006:AI1006),$AC$1006:$AS$1006,0)), HYPERLINK("#",""), HYPERLINK(CONCATENATE("#Metadata!", ADDRESS(INDEX($X$2:$X$1001,MATCH(ROWS($V$2:V265),$V$2:$V$1001,0),0), INDEX($AC$1004:$AS$1004,1,MATCH(COLUMNS($AC$1006:AI1006),$AC$1006:$AS$1006,0)))),"Fix")))</f>
        <v>0</v>
      </c>
      <c r="I265" s="5">
        <f>IF(OR(INDEX($W$2:$W$1001,MATCH(ROWS($V$2:V265),$V$2:$V$1001,0),1)&gt;=100000,INDEX($AC$1005:$AS$1005,1,MATCH(COLUMNS($AC$1006:AJ1006),$AC$1006:$AS$1006,0))&gt;=100000), " ",IF(INDEX($AC$2:$AS$1001,MATCH(ROWS($V$2:V265),$V$2:$V$1001,0),MATCH(COLUMNS($AC$1006:AJ1006),$AC$1006:$AS$1006,0)), HYPERLINK("#",""), HYPERLINK(CONCATENATE("#Metadata!", ADDRESS(INDEX($X$2:$X$1001,MATCH(ROWS($V$2:V265),$V$2:$V$1001,0),0), INDEX($AC$1004:$AS$1004,1,MATCH(COLUMNS($AC$1006:AJ1006),$AC$1006:$AS$1006,0)))),"Fix")))</f>
        <v>0</v>
      </c>
      <c r="J265" s="5">
        <f>IF(OR(INDEX($W$2:$W$1001,MATCH(ROWS($V$2:V265),$V$2:$V$1001,0),1)&gt;=100000,INDEX($AC$1005:$AS$1005,1,MATCH(COLUMNS($AC$1006:AK1006),$AC$1006:$AS$1006,0))&gt;=100000), " ",IF(INDEX($AC$2:$AS$1001,MATCH(ROWS($V$2:V265),$V$2:$V$1001,0),MATCH(COLUMNS($AC$1006:AK1006),$AC$1006:$AS$1006,0)), HYPERLINK("#",""), HYPERLINK(CONCATENATE("#Metadata!", ADDRESS(INDEX($X$2:$X$1001,MATCH(ROWS($V$2:V265),$V$2:$V$1001,0),0), INDEX($AC$1004:$AS$1004,1,MATCH(COLUMNS($AC$1006:AK1006),$AC$1006:$AS$1006,0)))),"Fix")))</f>
        <v>0</v>
      </c>
      <c r="K265" s="5">
        <f>IF(OR(INDEX($W$2:$W$1001,MATCH(ROWS($V$2:V265),$V$2:$V$1001,0),1)&gt;=100000,INDEX($AC$1005:$AS$1005,1,MATCH(COLUMNS($AC$1006:AL1006),$AC$1006:$AS$1006,0))&gt;=100000), " ",IF(INDEX($AC$2:$AS$1001,MATCH(ROWS($V$2:V265),$V$2:$V$1001,0),MATCH(COLUMNS($AC$1006:AL1006),$AC$1006:$AS$1006,0)), HYPERLINK("#",""), HYPERLINK(CONCATENATE("#Metadata!", ADDRESS(INDEX($X$2:$X$1001,MATCH(ROWS($V$2:V265),$V$2:$V$1001,0),0), INDEX($AC$1004:$AS$1004,1,MATCH(COLUMNS($AC$1006:AL1006),$AC$1006:$AS$1006,0)))),"Fix")))</f>
        <v>0</v>
      </c>
      <c r="L265" s="5">
        <f>IF(OR(INDEX($W$2:$W$1001,MATCH(ROWS($V$2:V265),$V$2:$V$1001,0),1)&gt;=100000,INDEX($AC$1005:$AS$1005,1,MATCH(COLUMNS($AC$1006:AM1006),$AC$1006:$AS$1006,0))&gt;=100000), " ",IF(INDEX($AC$2:$AS$1001,MATCH(ROWS($V$2:V265),$V$2:$V$1001,0),MATCH(COLUMNS($AC$1006:AM1006),$AC$1006:$AS$1006,0)), HYPERLINK("#",""), HYPERLINK(CONCATENATE("#Metadata!", ADDRESS(INDEX($X$2:$X$1001,MATCH(ROWS($V$2:V265),$V$2:$V$1001,0),0), INDEX($AC$1004:$AS$1004,1,MATCH(COLUMNS($AC$1006:AM1006),$AC$1006:$AS$1006,0)))),"Fix")))</f>
        <v>0</v>
      </c>
      <c r="M265" s="5">
        <f>IF(OR(INDEX($W$2:$W$1001,MATCH(ROWS($V$2:V265),$V$2:$V$1001,0),1)&gt;=100000,INDEX($AC$1005:$AS$1005,1,MATCH(COLUMNS($AC$1006:AN1006),$AC$1006:$AS$1006,0))&gt;=100000), " ",IF(INDEX($AC$2:$AS$1001,MATCH(ROWS($V$2:V265),$V$2:$V$1001,0),MATCH(COLUMNS($AC$1006:AN1006),$AC$1006:$AS$1006,0)), HYPERLINK("#",""), HYPERLINK(CONCATENATE("#Metadata!", ADDRESS(INDEX($X$2:$X$1001,MATCH(ROWS($V$2:V265),$V$2:$V$1001,0),0), INDEX($AC$1004:$AS$1004,1,MATCH(COLUMNS($AC$1006:AN1006),$AC$1006:$AS$1006,0)))),"Fix")))</f>
        <v>0</v>
      </c>
      <c r="N265" s="5">
        <f>IF(OR(INDEX($W$2:$W$1001,MATCH(ROWS($V$2:V265),$V$2:$V$1001,0),1)&gt;=100000,INDEX($AC$1005:$AS$1005,1,MATCH(COLUMNS($AC$1006:AO1006),$AC$1006:$AS$1006,0))&gt;=100000), " ",IF(INDEX($AC$2:$AS$1001,MATCH(ROWS($V$2:V265),$V$2:$V$1001,0),MATCH(COLUMNS($AC$1006:AO1006),$AC$1006:$AS$1006,0)), HYPERLINK("#",""), HYPERLINK(CONCATENATE("#Metadata!", ADDRESS(INDEX($X$2:$X$1001,MATCH(ROWS($V$2:V265),$V$2:$V$1001,0),0), INDEX($AC$1004:$AS$1004,1,MATCH(COLUMNS($AC$1006:AO1006),$AC$1006:$AS$1006,0)))),"Fix")))</f>
        <v>0</v>
      </c>
      <c r="O265" s="5">
        <f>IF(OR(INDEX($W$2:$W$1001,MATCH(ROWS($V$2:V265),$V$2:$V$1001,0),1)&gt;=100000,INDEX($AC$1005:$AS$1005,1,MATCH(COLUMNS($AC$1006:AP1006),$AC$1006:$AS$1006,0))&gt;=100000), " ",IF(INDEX($AC$2:$AS$1001,MATCH(ROWS($V$2:V265),$V$2:$V$1001,0),MATCH(COLUMNS($AC$1006:AP1006),$AC$1006:$AS$1006,0)), HYPERLINK("#",""), HYPERLINK(CONCATENATE("#Metadata!", ADDRESS(INDEX($X$2:$X$1001,MATCH(ROWS($V$2:V265),$V$2:$V$1001,0),0), INDEX($AC$1004:$AS$1004,1,MATCH(COLUMNS($AC$1006:AP1006),$AC$1006:$AS$1006,0)))),"Fix")))</f>
        <v>0</v>
      </c>
      <c r="P265" s="5">
        <f>IF(OR(INDEX($W$2:$W$1001,MATCH(ROWS($V$2:V265),$V$2:$V$1001,0),1)&gt;=100000,INDEX($AC$1005:$AS$1005,1,MATCH(COLUMNS($AC$1006:AQ1006),$AC$1006:$AS$1006,0))&gt;=100000), " ",IF(INDEX($AC$2:$AS$1001,MATCH(ROWS($V$2:V265),$V$2:$V$1001,0),MATCH(COLUMNS($AC$1006:AQ1006),$AC$1006:$AS$1006,0)), HYPERLINK("#",""), HYPERLINK(CONCATENATE("#Metadata!", ADDRESS(INDEX($X$2:$X$1001,MATCH(ROWS($V$2:V265),$V$2:$V$1001,0),0), INDEX($AC$1004:$AS$1004,1,MATCH(COLUMNS($AC$1006:AQ1006),$AC$1006:$AS$1006,0)))),"Fix")))</f>
        <v>0</v>
      </c>
      <c r="Q265" s="5">
        <f>IF(OR(INDEX($W$2:$W$1001,MATCH(ROWS($V$2:V265),$V$2:$V$1001,0),1)&gt;=100000,INDEX($AC$1005:$AS$1005,1,MATCH(COLUMNS($AC$1006:AR1006),$AC$1006:$AS$1006,0))&gt;=100000), " ",IF(INDEX($AC$2:$AS$1001,MATCH(ROWS($V$2:V265),$V$2:$V$1001,0),MATCH(COLUMNS($AC$1006:AR1006),$AC$1006:$AS$1006,0)), HYPERLINK("#",""), HYPERLINK(CONCATENATE("#Metadata!", ADDRESS(INDEX($X$2:$X$1001,MATCH(ROWS($V$2:V265),$V$2:$V$1001,0),0), INDEX($AC$1004:$AS$1004,1,MATCH(COLUMNS($AC$1006:AR1006),$AC$1006:$AS$1006,0)))),"Fix")))</f>
        <v>0</v>
      </c>
      <c r="R265" s="5">
        <f>IF(OR(INDEX($W$2:$W$1001,MATCH(ROWS($V$2:V265),$V$2:$V$1001,0),1)&gt;=100000,INDEX($AC$1005:$AS$1005,1,MATCH(COLUMNS($AC$1006:AS1006),$AC$1006:$AS$1006,0))&gt;=100000), " ",IF(INDEX($AC$2:$AS$1001,MATCH(ROWS($V$2:V265),$V$2:$V$1001,0),MATCH(COLUMNS($AC$1006:AS1006),$AC$1006:$AS$1006,0)), HYPERLINK("#",""), HYPERLINK(CONCATENATE("#Metadata!", ADDRESS(INDEX($X$2:$X$1001,MATCH(ROWS($V$2:V265),$V$2:$V$1001,0),0), INDEX($AC$1004:$AS$1004,1,MATCH(COLUMNS($AC$1006:AS1006),$AC$1006:$AS$1006,0)))),"Fix")))</f>
        <v>0</v>
      </c>
      <c r="V265">
        <v>0</v>
      </c>
      <c r="W265">
        <v>0</v>
      </c>
      <c r="X265">
        <v>0</v>
      </c>
      <c r="Y265">
        <f>IF(Z265,TRUE,AND(AC265:AS265))</f>
        <v>0</v>
      </c>
      <c r="Z265">
        <f>COUNTBLANK(Metadata!B265:R265)=COLUMNS(Metadata!B265:R265)</f>
        <v>0</v>
      </c>
      <c r="AA265">
        <v>0</v>
      </c>
      <c r="AC265">
        <f>AND(IF(Metadata!B265="",FALSE,TRUE),COUNTIF(Metadata!B:B, Metadata!B265) = 1,NOT(ISERROR(SUMPRODUCT(SEARCH(MID(Metadata!B265,ROW(INDIRECT("1:"&amp;LEN(Metadata!B265))), 1),"0123456789abcdefghijklmnopqrstuvwxyzABCDEFGHIJKLMNOPQRSTUVWXYZ.")))))</f>
        <v>0</v>
      </c>
      <c r="AD265">
        <f>AND(IF(Metadata!C265="",FALSE,TRUE),exact(Metadata!C265,"Host-associated"))</f>
        <v>0</v>
      </c>
      <c r="AE265">
        <f>AND(IF(Metadata!D265="",FALSE,TRUE),OR(exact(Metadata!D265,"Animal"),exact(Metadata!D265,"Fungus"),exact(Metadata!D265,"Plant")))</f>
        <v>0</v>
      </c>
      <c r="AF265">
        <f>AND(IF(Metadata!E265="",FALSE,TRUE),OR(exact(Metadata!E265,"Plant secretion"),exact(Metadata!E265,"Plant rhizosphere"),exact(Metadata!E265,"Plant surface"),exact(Metadata!E265,"Plant corpus"),exact(Metadata!E265,"Fungus surface"),exact(Metadata!E265,"Fungus corpus"),exact(Metadata!E265,"Animal surface"),exact(Metadata!E265,"Animal proximal gut"),exact(Metadata!E265,"Animal corpus"),exact(Metadata!E265,"Animal distal gut"),exact(Metadata!E265,"Animal secretion")))</f>
        <v>0</v>
      </c>
      <c r="AG265">
        <f>OR(AND(IF(Metadata!F265="",FALSE,TRUE),OR(exact(Metadata!F265,"not collected"),exact(Metadata!F265,"not provided"),exact(Metadata!F265,"restricted access"))),AND(IF(Metadata!F265="",FALSE,TRUE),OR(exact(Metadata!F265,"organism-associated habitat"),exact(Metadata!F265,"plant-associated habitat"),exact(Metadata!F265,"animal-associated habitat"),exact(Metadata!F265,"insecta-associated habitat"),exact(Metadata!F265,"mammalia-associated habitat"),exact(Metadata!F265,"human-associated habitat"),exact(Metadata!F265,"livestock-associated habitat"))))</f>
        <v>0</v>
      </c>
      <c r="AH265">
        <f>AND(IF(Metadata!G265="",FALSE,TRUE),exact(Metadata!G265,"host-associated"))</f>
        <v>0</v>
      </c>
      <c r="AI265">
        <f>OR(AND(IF(Metadata!H265="",FALSE,TRUE),OR(exact(Metadata!H265,"not collected"),exact(Metadata!H265,"not provided"))),AND(IF(Metadata!H265="",FALSE,ISNUMBER(VALUE(Metadata!H265))),Metadata!H265&gt;0))</f>
        <v>0</v>
      </c>
      <c r="AJ265">
        <f>AND(IF(Metadata!I265="",FALSE,TRUE),exact(Metadata!I265,"years"))</f>
        <v>0</v>
      </c>
      <c r="AK265">
        <f>IF(Metadata!J265="",FALSE,TRUE)</f>
        <v>0</v>
      </c>
      <c r="AL265">
        <f>OR(AND(IF(Metadata!K265="",FALSE,TRUE),OR(exact(Metadata!K265,"not collected"),exact(Metadata!K265,"not provided"))),AND(IF(Metadata!K265="",FALSE,ISNUMBER(VALUE(Metadata!K265))),Metadata!K265&gt;0))</f>
        <v>0</v>
      </c>
      <c r="AM265">
        <f>AND(IF(Metadata!L265="",FALSE,TRUE),exact(Metadata!L265,"cm"))</f>
        <v>0</v>
      </c>
      <c r="AN265">
        <f>IF(Metadata!M265="",FALSE,TRUE)</f>
        <v>0</v>
      </c>
      <c r="AO265">
        <f>OR(AND(IF(Metadata!N265="",FALSE,TRUE),OR(exact(Metadata!N265,"not applicable"),exact(Metadata!N265,"not collected"),exact(Metadata!N265,"not provided"))),AND(IF(Metadata!N265="",FALSE,IF(ISERROR(INT(Metadata!N265)),FALSE,INT(Metadata!N265)=Metadata!N265)),Metadata!N265&gt;0))</f>
        <v>0</v>
      </c>
      <c r="AP265">
        <f>OR(AND(IF(Metadata!O265="",FALSE,TRUE),OR(exact(Metadata!O265,"not collected"),exact(Metadata!O265,"not provided"))),AND(IF(Metadata!O265="",FALSE,ISNUMBER(VALUE(Metadata!O265))),Metadata!O265&gt;0))</f>
        <v>0</v>
      </c>
      <c r="AQ265">
        <f>AND(IF(Metadata!P265="",FALSE,TRUE),exact(Metadata!P265,"kg"))</f>
        <v>0</v>
      </c>
      <c r="AR265">
        <f>OR(AND(IF(Metadata!Q265="",FALSE,TRUE),OR(exact(Metadata!Q265,"not applicable"),exact(Metadata!Q265,"not collected"),exact(Metadata!Q265,"not provided"),exact(Metadata!Q265,"restricted access"))),IF(Metadata!Q265="",FALSE,IF(ISERROR(INT(Metadata!Q265)),FALSE,INT(Metadata!Q265)=Metadata!Q265)))</f>
        <v>0</v>
      </c>
      <c r="AS265">
        <f>AND(IF(Metadata!R265="",FALSE,TRUE),exact(Metadata!R265,"Not applicable"))</f>
        <v>0</v>
      </c>
    </row>
    <row r="266" spans="1:45">
      <c r="A266" s="4">
        <f>IF(B266=" "," ",HYPERLINK(CONCATENATE("#metadata!",ADDRESS(INDEX($X$2:$X$1001,MATCH(ROWS($V$2:V266),$V$2:$V$1001,0),0),2)),INDEX($AA$2:$AA$1001,MATCH(ROWS($V$2:V266),$V$2:$V$1001,0),0)))</f>
        <v>0</v>
      </c>
      <c r="B266" s="5">
        <f>IF(OR(INDEX($W$2:$W$1001,MATCH(ROWS($V$2:V266),$V$2:$V$1001,0),1)&gt;=100000,INDEX($AC$1005:$AS$1005,1,MATCH(COLUMNS($AC$1006:AC1006),$AC$1006:$AS$1006,0))&gt;=100000), " ",IF(INDEX($AC$2:$AS$1001,MATCH(ROWS($V$2:V266),$V$2:$V$1001,0),MATCH(COLUMNS($AC$1006:AC1006),$AC$1006:$AS$1006,0)), HYPERLINK("#",""), HYPERLINK(CONCATENATE("#Metadata!", ADDRESS(INDEX($X$2:$X$1001,MATCH(ROWS($V$2:V266),$V$2:$V$1001,0),0), INDEX($AC$1004:$AS$1004,1,MATCH(COLUMNS($AC$1006:AC1006),$AC$1006:$AS$1006,0)))),"Fix")))</f>
        <v>0</v>
      </c>
      <c r="C266" s="5">
        <f>IF(OR(INDEX($W$2:$W$1001,MATCH(ROWS($V$2:V266),$V$2:$V$1001,0),1)&gt;=100000,INDEX($AC$1005:$AS$1005,1,MATCH(COLUMNS($AC$1006:AD1006),$AC$1006:$AS$1006,0))&gt;=100000), " ",IF(INDEX($AC$2:$AS$1001,MATCH(ROWS($V$2:V266),$V$2:$V$1001,0),MATCH(COLUMNS($AC$1006:AD1006),$AC$1006:$AS$1006,0)), HYPERLINK("#",""), HYPERLINK(CONCATENATE("#Metadata!", ADDRESS(INDEX($X$2:$X$1001,MATCH(ROWS($V$2:V266),$V$2:$V$1001,0),0), INDEX($AC$1004:$AS$1004,1,MATCH(COLUMNS($AC$1006:AD1006),$AC$1006:$AS$1006,0)))),"Fix")))</f>
        <v>0</v>
      </c>
      <c r="D266" s="5">
        <f>IF(OR(INDEX($W$2:$W$1001,MATCH(ROWS($V$2:V266),$V$2:$V$1001,0),1)&gt;=100000,INDEX($AC$1005:$AS$1005,1,MATCH(COLUMNS($AC$1006:AE1006),$AC$1006:$AS$1006,0))&gt;=100000), " ",IF(INDEX($AC$2:$AS$1001,MATCH(ROWS($V$2:V266),$V$2:$V$1001,0),MATCH(COLUMNS($AC$1006:AE1006),$AC$1006:$AS$1006,0)), HYPERLINK("#",""), HYPERLINK(CONCATENATE("#Metadata!", ADDRESS(INDEX($X$2:$X$1001,MATCH(ROWS($V$2:V266),$V$2:$V$1001,0),0), INDEX($AC$1004:$AS$1004,1,MATCH(COLUMNS($AC$1006:AE1006),$AC$1006:$AS$1006,0)))),"Fix")))</f>
        <v>0</v>
      </c>
      <c r="E266" s="5">
        <f>IF(OR(INDEX($W$2:$W$1001,MATCH(ROWS($V$2:V266),$V$2:$V$1001,0),1)&gt;=100000,INDEX($AC$1005:$AS$1005,1,MATCH(COLUMNS($AC$1006:AF1006),$AC$1006:$AS$1006,0))&gt;=100000), " ",IF(INDEX($AC$2:$AS$1001,MATCH(ROWS($V$2:V266),$V$2:$V$1001,0),MATCH(COLUMNS($AC$1006:AF1006),$AC$1006:$AS$1006,0)), HYPERLINK("#",""), HYPERLINK(CONCATENATE("#Metadata!", ADDRESS(INDEX($X$2:$X$1001,MATCH(ROWS($V$2:V266),$V$2:$V$1001,0),0), INDEX($AC$1004:$AS$1004,1,MATCH(COLUMNS($AC$1006:AF1006),$AC$1006:$AS$1006,0)))),"Fix")))</f>
        <v>0</v>
      </c>
      <c r="F266" s="5">
        <f>IF(OR(INDEX($W$2:$W$1001,MATCH(ROWS($V$2:V266),$V$2:$V$1001,0),1)&gt;=100000,INDEX($AC$1005:$AS$1005,1,MATCH(COLUMNS($AC$1006:AG1006),$AC$1006:$AS$1006,0))&gt;=100000), " ",IF(INDEX($AC$2:$AS$1001,MATCH(ROWS($V$2:V266),$V$2:$V$1001,0),MATCH(COLUMNS($AC$1006:AG1006),$AC$1006:$AS$1006,0)), HYPERLINK("#",""), HYPERLINK(CONCATENATE("#Metadata!", ADDRESS(INDEX($X$2:$X$1001,MATCH(ROWS($V$2:V266),$V$2:$V$1001,0),0), INDEX($AC$1004:$AS$1004,1,MATCH(COLUMNS($AC$1006:AG1006),$AC$1006:$AS$1006,0)))),"Fix")))</f>
        <v>0</v>
      </c>
      <c r="G266" s="5">
        <f>IF(OR(INDEX($W$2:$W$1001,MATCH(ROWS($V$2:V266),$V$2:$V$1001,0),1)&gt;=100000,INDEX($AC$1005:$AS$1005,1,MATCH(COLUMNS($AC$1006:AH1006),$AC$1006:$AS$1006,0))&gt;=100000), " ",IF(INDEX($AC$2:$AS$1001,MATCH(ROWS($V$2:V266),$V$2:$V$1001,0),MATCH(COLUMNS($AC$1006:AH1006),$AC$1006:$AS$1006,0)), HYPERLINK("#",""), HYPERLINK(CONCATENATE("#Metadata!", ADDRESS(INDEX($X$2:$X$1001,MATCH(ROWS($V$2:V266),$V$2:$V$1001,0),0), INDEX($AC$1004:$AS$1004,1,MATCH(COLUMNS($AC$1006:AH1006),$AC$1006:$AS$1006,0)))),"Fix")))</f>
        <v>0</v>
      </c>
      <c r="H266" s="5">
        <f>IF(OR(INDEX($W$2:$W$1001,MATCH(ROWS($V$2:V266),$V$2:$V$1001,0),1)&gt;=100000,INDEX($AC$1005:$AS$1005,1,MATCH(COLUMNS($AC$1006:AI1006),$AC$1006:$AS$1006,0))&gt;=100000), " ",IF(INDEX($AC$2:$AS$1001,MATCH(ROWS($V$2:V266),$V$2:$V$1001,0),MATCH(COLUMNS($AC$1006:AI1006),$AC$1006:$AS$1006,0)), HYPERLINK("#",""), HYPERLINK(CONCATENATE("#Metadata!", ADDRESS(INDEX($X$2:$X$1001,MATCH(ROWS($V$2:V266),$V$2:$V$1001,0),0), INDEX($AC$1004:$AS$1004,1,MATCH(COLUMNS($AC$1006:AI1006),$AC$1006:$AS$1006,0)))),"Fix")))</f>
        <v>0</v>
      </c>
      <c r="I266" s="5">
        <f>IF(OR(INDEX($W$2:$W$1001,MATCH(ROWS($V$2:V266),$V$2:$V$1001,0),1)&gt;=100000,INDEX($AC$1005:$AS$1005,1,MATCH(COLUMNS($AC$1006:AJ1006),$AC$1006:$AS$1006,0))&gt;=100000), " ",IF(INDEX($AC$2:$AS$1001,MATCH(ROWS($V$2:V266),$V$2:$V$1001,0),MATCH(COLUMNS($AC$1006:AJ1006),$AC$1006:$AS$1006,0)), HYPERLINK("#",""), HYPERLINK(CONCATENATE("#Metadata!", ADDRESS(INDEX($X$2:$X$1001,MATCH(ROWS($V$2:V266),$V$2:$V$1001,0),0), INDEX($AC$1004:$AS$1004,1,MATCH(COLUMNS($AC$1006:AJ1006),$AC$1006:$AS$1006,0)))),"Fix")))</f>
        <v>0</v>
      </c>
      <c r="J266" s="5">
        <f>IF(OR(INDEX($W$2:$W$1001,MATCH(ROWS($V$2:V266),$V$2:$V$1001,0),1)&gt;=100000,INDEX($AC$1005:$AS$1005,1,MATCH(COLUMNS($AC$1006:AK1006),$AC$1006:$AS$1006,0))&gt;=100000), " ",IF(INDEX($AC$2:$AS$1001,MATCH(ROWS($V$2:V266),$V$2:$V$1001,0),MATCH(COLUMNS($AC$1006:AK1006),$AC$1006:$AS$1006,0)), HYPERLINK("#",""), HYPERLINK(CONCATENATE("#Metadata!", ADDRESS(INDEX($X$2:$X$1001,MATCH(ROWS($V$2:V266),$V$2:$V$1001,0),0), INDEX($AC$1004:$AS$1004,1,MATCH(COLUMNS($AC$1006:AK1006),$AC$1006:$AS$1006,0)))),"Fix")))</f>
        <v>0</v>
      </c>
      <c r="K266" s="5">
        <f>IF(OR(INDEX($W$2:$W$1001,MATCH(ROWS($V$2:V266),$V$2:$V$1001,0),1)&gt;=100000,INDEX($AC$1005:$AS$1005,1,MATCH(COLUMNS($AC$1006:AL1006),$AC$1006:$AS$1006,0))&gt;=100000), " ",IF(INDEX($AC$2:$AS$1001,MATCH(ROWS($V$2:V266),$V$2:$V$1001,0),MATCH(COLUMNS($AC$1006:AL1006),$AC$1006:$AS$1006,0)), HYPERLINK("#",""), HYPERLINK(CONCATENATE("#Metadata!", ADDRESS(INDEX($X$2:$X$1001,MATCH(ROWS($V$2:V266),$V$2:$V$1001,0),0), INDEX($AC$1004:$AS$1004,1,MATCH(COLUMNS($AC$1006:AL1006),$AC$1006:$AS$1006,0)))),"Fix")))</f>
        <v>0</v>
      </c>
      <c r="L266" s="5">
        <f>IF(OR(INDEX($W$2:$W$1001,MATCH(ROWS($V$2:V266),$V$2:$V$1001,0),1)&gt;=100000,INDEX($AC$1005:$AS$1005,1,MATCH(COLUMNS($AC$1006:AM1006),$AC$1006:$AS$1006,0))&gt;=100000), " ",IF(INDEX($AC$2:$AS$1001,MATCH(ROWS($V$2:V266),$V$2:$V$1001,0),MATCH(COLUMNS($AC$1006:AM1006),$AC$1006:$AS$1006,0)), HYPERLINK("#",""), HYPERLINK(CONCATENATE("#Metadata!", ADDRESS(INDEX($X$2:$X$1001,MATCH(ROWS($V$2:V266),$V$2:$V$1001,0),0), INDEX($AC$1004:$AS$1004,1,MATCH(COLUMNS($AC$1006:AM1006),$AC$1006:$AS$1006,0)))),"Fix")))</f>
        <v>0</v>
      </c>
      <c r="M266" s="5">
        <f>IF(OR(INDEX($W$2:$W$1001,MATCH(ROWS($V$2:V266),$V$2:$V$1001,0),1)&gt;=100000,INDEX($AC$1005:$AS$1005,1,MATCH(COLUMNS($AC$1006:AN1006),$AC$1006:$AS$1006,0))&gt;=100000), " ",IF(INDEX($AC$2:$AS$1001,MATCH(ROWS($V$2:V266),$V$2:$V$1001,0),MATCH(COLUMNS($AC$1006:AN1006),$AC$1006:$AS$1006,0)), HYPERLINK("#",""), HYPERLINK(CONCATENATE("#Metadata!", ADDRESS(INDEX($X$2:$X$1001,MATCH(ROWS($V$2:V266),$V$2:$V$1001,0),0), INDEX($AC$1004:$AS$1004,1,MATCH(COLUMNS($AC$1006:AN1006),$AC$1006:$AS$1006,0)))),"Fix")))</f>
        <v>0</v>
      </c>
      <c r="N266" s="5">
        <f>IF(OR(INDEX($W$2:$W$1001,MATCH(ROWS($V$2:V266),$V$2:$V$1001,0),1)&gt;=100000,INDEX($AC$1005:$AS$1005,1,MATCH(COLUMNS($AC$1006:AO1006),$AC$1006:$AS$1006,0))&gt;=100000), " ",IF(INDEX($AC$2:$AS$1001,MATCH(ROWS($V$2:V266),$V$2:$V$1001,0),MATCH(COLUMNS($AC$1006:AO1006),$AC$1006:$AS$1006,0)), HYPERLINK("#",""), HYPERLINK(CONCATENATE("#Metadata!", ADDRESS(INDEX($X$2:$X$1001,MATCH(ROWS($V$2:V266),$V$2:$V$1001,0),0), INDEX($AC$1004:$AS$1004,1,MATCH(COLUMNS($AC$1006:AO1006),$AC$1006:$AS$1006,0)))),"Fix")))</f>
        <v>0</v>
      </c>
      <c r="O266" s="5">
        <f>IF(OR(INDEX($W$2:$W$1001,MATCH(ROWS($V$2:V266),$V$2:$V$1001,0),1)&gt;=100000,INDEX($AC$1005:$AS$1005,1,MATCH(COLUMNS($AC$1006:AP1006),$AC$1006:$AS$1006,0))&gt;=100000), " ",IF(INDEX($AC$2:$AS$1001,MATCH(ROWS($V$2:V266),$V$2:$V$1001,0),MATCH(COLUMNS($AC$1006:AP1006),$AC$1006:$AS$1006,0)), HYPERLINK("#",""), HYPERLINK(CONCATENATE("#Metadata!", ADDRESS(INDEX($X$2:$X$1001,MATCH(ROWS($V$2:V266),$V$2:$V$1001,0),0), INDEX($AC$1004:$AS$1004,1,MATCH(COLUMNS($AC$1006:AP1006),$AC$1006:$AS$1006,0)))),"Fix")))</f>
        <v>0</v>
      </c>
      <c r="P266" s="5">
        <f>IF(OR(INDEX($W$2:$W$1001,MATCH(ROWS($V$2:V266),$V$2:$V$1001,0),1)&gt;=100000,INDEX($AC$1005:$AS$1005,1,MATCH(COLUMNS($AC$1006:AQ1006),$AC$1006:$AS$1006,0))&gt;=100000), " ",IF(INDEX($AC$2:$AS$1001,MATCH(ROWS($V$2:V266),$V$2:$V$1001,0),MATCH(COLUMNS($AC$1006:AQ1006),$AC$1006:$AS$1006,0)), HYPERLINK("#",""), HYPERLINK(CONCATENATE("#Metadata!", ADDRESS(INDEX($X$2:$X$1001,MATCH(ROWS($V$2:V266),$V$2:$V$1001,0),0), INDEX($AC$1004:$AS$1004,1,MATCH(COLUMNS($AC$1006:AQ1006),$AC$1006:$AS$1006,0)))),"Fix")))</f>
        <v>0</v>
      </c>
      <c r="Q266" s="5">
        <f>IF(OR(INDEX($W$2:$W$1001,MATCH(ROWS($V$2:V266),$V$2:$V$1001,0),1)&gt;=100000,INDEX($AC$1005:$AS$1005,1,MATCH(COLUMNS($AC$1006:AR1006),$AC$1006:$AS$1006,0))&gt;=100000), " ",IF(INDEX($AC$2:$AS$1001,MATCH(ROWS($V$2:V266),$V$2:$V$1001,0),MATCH(COLUMNS($AC$1006:AR1006),$AC$1006:$AS$1006,0)), HYPERLINK("#",""), HYPERLINK(CONCATENATE("#Metadata!", ADDRESS(INDEX($X$2:$X$1001,MATCH(ROWS($V$2:V266),$V$2:$V$1001,0),0), INDEX($AC$1004:$AS$1004,1,MATCH(COLUMNS($AC$1006:AR1006),$AC$1006:$AS$1006,0)))),"Fix")))</f>
        <v>0</v>
      </c>
      <c r="R266" s="5">
        <f>IF(OR(INDEX($W$2:$W$1001,MATCH(ROWS($V$2:V266),$V$2:$V$1001,0),1)&gt;=100000,INDEX($AC$1005:$AS$1005,1,MATCH(COLUMNS($AC$1006:AS1006),$AC$1006:$AS$1006,0))&gt;=100000), " ",IF(INDEX($AC$2:$AS$1001,MATCH(ROWS($V$2:V266),$V$2:$V$1001,0),MATCH(COLUMNS($AC$1006:AS1006),$AC$1006:$AS$1006,0)), HYPERLINK("#",""), HYPERLINK(CONCATENATE("#Metadata!", ADDRESS(INDEX($X$2:$X$1001,MATCH(ROWS($V$2:V266),$V$2:$V$1001,0),0), INDEX($AC$1004:$AS$1004,1,MATCH(COLUMNS($AC$1006:AS1006),$AC$1006:$AS$1006,0)))),"Fix")))</f>
        <v>0</v>
      </c>
      <c r="V266">
        <v>0</v>
      </c>
      <c r="W266">
        <v>0</v>
      </c>
      <c r="X266">
        <v>0</v>
      </c>
      <c r="Y266">
        <f>IF(Z266,TRUE,AND(AC266:AS266))</f>
        <v>0</v>
      </c>
      <c r="Z266">
        <f>COUNTBLANK(Metadata!B266:R266)=COLUMNS(Metadata!B266:R266)</f>
        <v>0</v>
      </c>
      <c r="AA266">
        <v>0</v>
      </c>
      <c r="AC266">
        <f>AND(IF(Metadata!B266="",FALSE,TRUE),COUNTIF(Metadata!B:B, Metadata!B266) = 1,NOT(ISERROR(SUMPRODUCT(SEARCH(MID(Metadata!B266,ROW(INDIRECT("1:"&amp;LEN(Metadata!B266))), 1),"0123456789abcdefghijklmnopqrstuvwxyzABCDEFGHIJKLMNOPQRSTUVWXYZ.")))))</f>
        <v>0</v>
      </c>
      <c r="AD266">
        <f>AND(IF(Metadata!C266="",FALSE,TRUE),exact(Metadata!C266,"Host-associated"))</f>
        <v>0</v>
      </c>
      <c r="AE266">
        <f>AND(IF(Metadata!D266="",FALSE,TRUE),OR(exact(Metadata!D266,"Animal"),exact(Metadata!D266,"Fungus"),exact(Metadata!D266,"Plant")))</f>
        <v>0</v>
      </c>
      <c r="AF266">
        <f>AND(IF(Metadata!E266="",FALSE,TRUE),OR(exact(Metadata!E266,"Plant secretion"),exact(Metadata!E266,"Plant rhizosphere"),exact(Metadata!E266,"Plant surface"),exact(Metadata!E266,"Plant corpus"),exact(Metadata!E266,"Fungus surface"),exact(Metadata!E266,"Fungus corpus"),exact(Metadata!E266,"Animal surface"),exact(Metadata!E266,"Animal proximal gut"),exact(Metadata!E266,"Animal corpus"),exact(Metadata!E266,"Animal distal gut"),exact(Metadata!E266,"Animal secretion")))</f>
        <v>0</v>
      </c>
      <c r="AG266">
        <f>OR(AND(IF(Metadata!F266="",FALSE,TRUE),OR(exact(Metadata!F266,"not collected"),exact(Metadata!F266,"not provided"),exact(Metadata!F266,"restricted access"))),AND(IF(Metadata!F266="",FALSE,TRUE),OR(exact(Metadata!F266,"organism-associated habitat"),exact(Metadata!F266,"plant-associated habitat"),exact(Metadata!F266,"animal-associated habitat"),exact(Metadata!F266,"insecta-associated habitat"),exact(Metadata!F266,"mammalia-associated habitat"),exact(Metadata!F266,"human-associated habitat"),exact(Metadata!F266,"livestock-associated habitat"))))</f>
        <v>0</v>
      </c>
      <c r="AH266">
        <f>AND(IF(Metadata!G266="",FALSE,TRUE),exact(Metadata!G266,"host-associated"))</f>
        <v>0</v>
      </c>
      <c r="AI266">
        <f>OR(AND(IF(Metadata!H266="",FALSE,TRUE),OR(exact(Metadata!H266,"not collected"),exact(Metadata!H266,"not provided"))),AND(IF(Metadata!H266="",FALSE,ISNUMBER(VALUE(Metadata!H266))),Metadata!H266&gt;0))</f>
        <v>0</v>
      </c>
      <c r="AJ266">
        <f>AND(IF(Metadata!I266="",FALSE,TRUE),exact(Metadata!I266,"years"))</f>
        <v>0</v>
      </c>
      <c r="AK266">
        <f>IF(Metadata!J266="",FALSE,TRUE)</f>
        <v>0</v>
      </c>
      <c r="AL266">
        <f>OR(AND(IF(Metadata!K266="",FALSE,TRUE),OR(exact(Metadata!K266,"not collected"),exact(Metadata!K266,"not provided"))),AND(IF(Metadata!K266="",FALSE,ISNUMBER(VALUE(Metadata!K266))),Metadata!K266&gt;0))</f>
        <v>0</v>
      </c>
      <c r="AM266">
        <f>AND(IF(Metadata!L266="",FALSE,TRUE),exact(Metadata!L266,"cm"))</f>
        <v>0</v>
      </c>
      <c r="AN266">
        <f>IF(Metadata!M266="",FALSE,TRUE)</f>
        <v>0</v>
      </c>
      <c r="AO266">
        <f>OR(AND(IF(Metadata!N266="",FALSE,TRUE),OR(exact(Metadata!N266,"not applicable"),exact(Metadata!N266,"not collected"),exact(Metadata!N266,"not provided"))),AND(IF(Metadata!N266="",FALSE,IF(ISERROR(INT(Metadata!N266)),FALSE,INT(Metadata!N266)=Metadata!N266)),Metadata!N266&gt;0))</f>
        <v>0</v>
      </c>
      <c r="AP266">
        <f>OR(AND(IF(Metadata!O266="",FALSE,TRUE),OR(exact(Metadata!O266,"not collected"),exact(Metadata!O266,"not provided"))),AND(IF(Metadata!O266="",FALSE,ISNUMBER(VALUE(Metadata!O266))),Metadata!O266&gt;0))</f>
        <v>0</v>
      </c>
      <c r="AQ266">
        <f>AND(IF(Metadata!P266="",FALSE,TRUE),exact(Metadata!P266,"kg"))</f>
        <v>0</v>
      </c>
      <c r="AR266">
        <f>OR(AND(IF(Metadata!Q266="",FALSE,TRUE),OR(exact(Metadata!Q266,"not applicable"),exact(Metadata!Q266,"not collected"),exact(Metadata!Q266,"not provided"),exact(Metadata!Q266,"restricted access"))),IF(Metadata!Q266="",FALSE,IF(ISERROR(INT(Metadata!Q266)),FALSE,INT(Metadata!Q266)=Metadata!Q266)))</f>
        <v>0</v>
      </c>
      <c r="AS266">
        <f>AND(IF(Metadata!R266="",FALSE,TRUE),exact(Metadata!R266,"Not applicable"))</f>
        <v>0</v>
      </c>
    </row>
    <row r="267" spans="1:45">
      <c r="A267" s="4">
        <f>IF(B267=" "," ",HYPERLINK(CONCATENATE("#metadata!",ADDRESS(INDEX($X$2:$X$1001,MATCH(ROWS($V$2:V267),$V$2:$V$1001,0),0),2)),INDEX($AA$2:$AA$1001,MATCH(ROWS($V$2:V267),$V$2:$V$1001,0),0)))</f>
        <v>0</v>
      </c>
      <c r="B267" s="5">
        <f>IF(OR(INDEX($W$2:$W$1001,MATCH(ROWS($V$2:V267),$V$2:$V$1001,0),1)&gt;=100000,INDEX($AC$1005:$AS$1005,1,MATCH(COLUMNS($AC$1006:AC1006),$AC$1006:$AS$1006,0))&gt;=100000), " ",IF(INDEX($AC$2:$AS$1001,MATCH(ROWS($V$2:V267),$V$2:$V$1001,0),MATCH(COLUMNS($AC$1006:AC1006),$AC$1006:$AS$1006,0)), HYPERLINK("#",""), HYPERLINK(CONCATENATE("#Metadata!", ADDRESS(INDEX($X$2:$X$1001,MATCH(ROWS($V$2:V267),$V$2:$V$1001,0),0), INDEX($AC$1004:$AS$1004,1,MATCH(COLUMNS($AC$1006:AC1006),$AC$1006:$AS$1006,0)))),"Fix")))</f>
        <v>0</v>
      </c>
      <c r="C267" s="5">
        <f>IF(OR(INDEX($W$2:$W$1001,MATCH(ROWS($V$2:V267),$V$2:$V$1001,0),1)&gt;=100000,INDEX($AC$1005:$AS$1005,1,MATCH(COLUMNS($AC$1006:AD1006),$AC$1006:$AS$1006,0))&gt;=100000), " ",IF(INDEX($AC$2:$AS$1001,MATCH(ROWS($V$2:V267),$V$2:$V$1001,0),MATCH(COLUMNS($AC$1006:AD1006),$AC$1006:$AS$1006,0)), HYPERLINK("#",""), HYPERLINK(CONCATENATE("#Metadata!", ADDRESS(INDEX($X$2:$X$1001,MATCH(ROWS($V$2:V267),$V$2:$V$1001,0),0), INDEX($AC$1004:$AS$1004,1,MATCH(COLUMNS($AC$1006:AD1006),$AC$1006:$AS$1006,0)))),"Fix")))</f>
        <v>0</v>
      </c>
      <c r="D267" s="5">
        <f>IF(OR(INDEX($W$2:$W$1001,MATCH(ROWS($V$2:V267),$V$2:$V$1001,0),1)&gt;=100000,INDEX($AC$1005:$AS$1005,1,MATCH(COLUMNS($AC$1006:AE1006),$AC$1006:$AS$1006,0))&gt;=100000), " ",IF(INDEX($AC$2:$AS$1001,MATCH(ROWS($V$2:V267),$V$2:$V$1001,0),MATCH(COLUMNS($AC$1006:AE1006),$AC$1006:$AS$1006,0)), HYPERLINK("#",""), HYPERLINK(CONCATENATE("#Metadata!", ADDRESS(INDEX($X$2:$X$1001,MATCH(ROWS($V$2:V267),$V$2:$V$1001,0),0), INDEX($AC$1004:$AS$1004,1,MATCH(COLUMNS($AC$1006:AE1006),$AC$1006:$AS$1006,0)))),"Fix")))</f>
        <v>0</v>
      </c>
      <c r="E267" s="5">
        <f>IF(OR(INDEX($W$2:$W$1001,MATCH(ROWS($V$2:V267),$V$2:$V$1001,0),1)&gt;=100000,INDEX($AC$1005:$AS$1005,1,MATCH(COLUMNS($AC$1006:AF1006),$AC$1006:$AS$1006,0))&gt;=100000), " ",IF(INDEX($AC$2:$AS$1001,MATCH(ROWS($V$2:V267),$V$2:$V$1001,0),MATCH(COLUMNS($AC$1006:AF1006),$AC$1006:$AS$1006,0)), HYPERLINK("#",""), HYPERLINK(CONCATENATE("#Metadata!", ADDRESS(INDEX($X$2:$X$1001,MATCH(ROWS($V$2:V267),$V$2:$V$1001,0),0), INDEX($AC$1004:$AS$1004,1,MATCH(COLUMNS($AC$1006:AF1006),$AC$1006:$AS$1006,0)))),"Fix")))</f>
        <v>0</v>
      </c>
      <c r="F267" s="5">
        <f>IF(OR(INDEX($W$2:$W$1001,MATCH(ROWS($V$2:V267),$V$2:$V$1001,0),1)&gt;=100000,INDEX($AC$1005:$AS$1005,1,MATCH(COLUMNS($AC$1006:AG1006),$AC$1006:$AS$1006,0))&gt;=100000), " ",IF(INDEX($AC$2:$AS$1001,MATCH(ROWS($V$2:V267),$V$2:$V$1001,0),MATCH(COLUMNS($AC$1006:AG1006),$AC$1006:$AS$1006,0)), HYPERLINK("#",""), HYPERLINK(CONCATENATE("#Metadata!", ADDRESS(INDEX($X$2:$X$1001,MATCH(ROWS($V$2:V267),$V$2:$V$1001,0),0), INDEX($AC$1004:$AS$1004,1,MATCH(COLUMNS($AC$1006:AG1006),$AC$1006:$AS$1006,0)))),"Fix")))</f>
        <v>0</v>
      </c>
      <c r="G267" s="5">
        <f>IF(OR(INDEX($W$2:$W$1001,MATCH(ROWS($V$2:V267),$V$2:$V$1001,0),1)&gt;=100000,INDEX($AC$1005:$AS$1005,1,MATCH(COLUMNS($AC$1006:AH1006),$AC$1006:$AS$1006,0))&gt;=100000), " ",IF(INDEX($AC$2:$AS$1001,MATCH(ROWS($V$2:V267),$V$2:$V$1001,0),MATCH(COLUMNS($AC$1006:AH1006),$AC$1006:$AS$1006,0)), HYPERLINK("#",""), HYPERLINK(CONCATENATE("#Metadata!", ADDRESS(INDEX($X$2:$X$1001,MATCH(ROWS($V$2:V267),$V$2:$V$1001,0),0), INDEX($AC$1004:$AS$1004,1,MATCH(COLUMNS($AC$1006:AH1006),$AC$1006:$AS$1006,0)))),"Fix")))</f>
        <v>0</v>
      </c>
      <c r="H267" s="5">
        <f>IF(OR(INDEX($W$2:$W$1001,MATCH(ROWS($V$2:V267),$V$2:$V$1001,0),1)&gt;=100000,INDEX($AC$1005:$AS$1005,1,MATCH(COLUMNS($AC$1006:AI1006),$AC$1006:$AS$1006,0))&gt;=100000), " ",IF(INDEX($AC$2:$AS$1001,MATCH(ROWS($V$2:V267),$V$2:$V$1001,0),MATCH(COLUMNS($AC$1006:AI1006),$AC$1006:$AS$1006,0)), HYPERLINK("#",""), HYPERLINK(CONCATENATE("#Metadata!", ADDRESS(INDEX($X$2:$X$1001,MATCH(ROWS($V$2:V267),$V$2:$V$1001,0),0), INDEX($AC$1004:$AS$1004,1,MATCH(COLUMNS($AC$1006:AI1006),$AC$1006:$AS$1006,0)))),"Fix")))</f>
        <v>0</v>
      </c>
      <c r="I267" s="5">
        <f>IF(OR(INDEX($W$2:$W$1001,MATCH(ROWS($V$2:V267),$V$2:$V$1001,0),1)&gt;=100000,INDEX($AC$1005:$AS$1005,1,MATCH(COLUMNS($AC$1006:AJ1006),$AC$1006:$AS$1006,0))&gt;=100000), " ",IF(INDEX($AC$2:$AS$1001,MATCH(ROWS($V$2:V267),$V$2:$V$1001,0),MATCH(COLUMNS($AC$1006:AJ1006),$AC$1006:$AS$1006,0)), HYPERLINK("#",""), HYPERLINK(CONCATENATE("#Metadata!", ADDRESS(INDEX($X$2:$X$1001,MATCH(ROWS($V$2:V267),$V$2:$V$1001,0),0), INDEX($AC$1004:$AS$1004,1,MATCH(COLUMNS($AC$1006:AJ1006),$AC$1006:$AS$1006,0)))),"Fix")))</f>
        <v>0</v>
      </c>
      <c r="J267" s="5">
        <f>IF(OR(INDEX($W$2:$W$1001,MATCH(ROWS($V$2:V267),$V$2:$V$1001,0),1)&gt;=100000,INDEX($AC$1005:$AS$1005,1,MATCH(COLUMNS($AC$1006:AK1006),$AC$1006:$AS$1006,0))&gt;=100000), " ",IF(INDEX($AC$2:$AS$1001,MATCH(ROWS($V$2:V267),$V$2:$V$1001,0),MATCH(COLUMNS($AC$1006:AK1006),$AC$1006:$AS$1006,0)), HYPERLINK("#",""), HYPERLINK(CONCATENATE("#Metadata!", ADDRESS(INDEX($X$2:$X$1001,MATCH(ROWS($V$2:V267),$V$2:$V$1001,0),0), INDEX($AC$1004:$AS$1004,1,MATCH(COLUMNS($AC$1006:AK1006),$AC$1006:$AS$1006,0)))),"Fix")))</f>
        <v>0</v>
      </c>
      <c r="K267" s="5">
        <f>IF(OR(INDEX($W$2:$W$1001,MATCH(ROWS($V$2:V267),$V$2:$V$1001,0),1)&gt;=100000,INDEX($AC$1005:$AS$1005,1,MATCH(COLUMNS($AC$1006:AL1006),$AC$1006:$AS$1006,0))&gt;=100000), " ",IF(INDEX($AC$2:$AS$1001,MATCH(ROWS($V$2:V267),$V$2:$V$1001,0),MATCH(COLUMNS($AC$1006:AL1006),$AC$1006:$AS$1006,0)), HYPERLINK("#",""), HYPERLINK(CONCATENATE("#Metadata!", ADDRESS(INDEX($X$2:$X$1001,MATCH(ROWS($V$2:V267),$V$2:$V$1001,0),0), INDEX($AC$1004:$AS$1004,1,MATCH(COLUMNS($AC$1006:AL1006),$AC$1006:$AS$1006,0)))),"Fix")))</f>
        <v>0</v>
      </c>
      <c r="L267" s="5">
        <f>IF(OR(INDEX($W$2:$W$1001,MATCH(ROWS($V$2:V267),$V$2:$V$1001,0),1)&gt;=100000,INDEX($AC$1005:$AS$1005,1,MATCH(COLUMNS($AC$1006:AM1006),$AC$1006:$AS$1006,0))&gt;=100000), " ",IF(INDEX($AC$2:$AS$1001,MATCH(ROWS($V$2:V267),$V$2:$V$1001,0),MATCH(COLUMNS($AC$1006:AM1006),$AC$1006:$AS$1006,0)), HYPERLINK("#",""), HYPERLINK(CONCATENATE("#Metadata!", ADDRESS(INDEX($X$2:$X$1001,MATCH(ROWS($V$2:V267),$V$2:$V$1001,0),0), INDEX($AC$1004:$AS$1004,1,MATCH(COLUMNS($AC$1006:AM1006),$AC$1006:$AS$1006,0)))),"Fix")))</f>
        <v>0</v>
      </c>
      <c r="M267" s="5">
        <f>IF(OR(INDEX($W$2:$W$1001,MATCH(ROWS($V$2:V267),$V$2:$V$1001,0),1)&gt;=100000,INDEX($AC$1005:$AS$1005,1,MATCH(COLUMNS($AC$1006:AN1006),$AC$1006:$AS$1006,0))&gt;=100000), " ",IF(INDEX($AC$2:$AS$1001,MATCH(ROWS($V$2:V267),$V$2:$V$1001,0),MATCH(COLUMNS($AC$1006:AN1006),$AC$1006:$AS$1006,0)), HYPERLINK("#",""), HYPERLINK(CONCATENATE("#Metadata!", ADDRESS(INDEX($X$2:$X$1001,MATCH(ROWS($V$2:V267),$V$2:$V$1001,0),0), INDEX($AC$1004:$AS$1004,1,MATCH(COLUMNS($AC$1006:AN1006),$AC$1006:$AS$1006,0)))),"Fix")))</f>
        <v>0</v>
      </c>
      <c r="N267" s="5">
        <f>IF(OR(INDEX($W$2:$W$1001,MATCH(ROWS($V$2:V267),$V$2:$V$1001,0),1)&gt;=100000,INDEX($AC$1005:$AS$1005,1,MATCH(COLUMNS($AC$1006:AO1006),$AC$1006:$AS$1006,0))&gt;=100000), " ",IF(INDEX($AC$2:$AS$1001,MATCH(ROWS($V$2:V267),$V$2:$V$1001,0),MATCH(COLUMNS($AC$1006:AO1006),$AC$1006:$AS$1006,0)), HYPERLINK("#",""), HYPERLINK(CONCATENATE("#Metadata!", ADDRESS(INDEX($X$2:$X$1001,MATCH(ROWS($V$2:V267),$V$2:$V$1001,0),0), INDEX($AC$1004:$AS$1004,1,MATCH(COLUMNS($AC$1006:AO1006),$AC$1006:$AS$1006,0)))),"Fix")))</f>
        <v>0</v>
      </c>
      <c r="O267" s="5">
        <f>IF(OR(INDEX($W$2:$W$1001,MATCH(ROWS($V$2:V267),$V$2:$V$1001,0),1)&gt;=100000,INDEX($AC$1005:$AS$1005,1,MATCH(COLUMNS($AC$1006:AP1006),$AC$1006:$AS$1006,0))&gt;=100000), " ",IF(INDEX($AC$2:$AS$1001,MATCH(ROWS($V$2:V267),$V$2:$V$1001,0),MATCH(COLUMNS($AC$1006:AP1006),$AC$1006:$AS$1006,0)), HYPERLINK("#",""), HYPERLINK(CONCATENATE("#Metadata!", ADDRESS(INDEX($X$2:$X$1001,MATCH(ROWS($V$2:V267),$V$2:$V$1001,0),0), INDEX($AC$1004:$AS$1004,1,MATCH(COLUMNS($AC$1006:AP1006),$AC$1006:$AS$1006,0)))),"Fix")))</f>
        <v>0</v>
      </c>
      <c r="P267" s="5">
        <f>IF(OR(INDEX($W$2:$W$1001,MATCH(ROWS($V$2:V267),$V$2:$V$1001,0),1)&gt;=100000,INDEX($AC$1005:$AS$1005,1,MATCH(COLUMNS($AC$1006:AQ1006),$AC$1006:$AS$1006,0))&gt;=100000), " ",IF(INDEX($AC$2:$AS$1001,MATCH(ROWS($V$2:V267),$V$2:$V$1001,0),MATCH(COLUMNS($AC$1006:AQ1006),$AC$1006:$AS$1006,0)), HYPERLINK("#",""), HYPERLINK(CONCATENATE("#Metadata!", ADDRESS(INDEX($X$2:$X$1001,MATCH(ROWS($V$2:V267),$V$2:$V$1001,0),0), INDEX($AC$1004:$AS$1004,1,MATCH(COLUMNS($AC$1006:AQ1006),$AC$1006:$AS$1006,0)))),"Fix")))</f>
        <v>0</v>
      </c>
      <c r="Q267" s="5">
        <f>IF(OR(INDEX($W$2:$W$1001,MATCH(ROWS($V$2:V267),$V$2:$V$1001,0),1)&gt;=100000,INDEX($AC$1005:$AS$1005,1,MATCH(COLUMNS($AC$1006:AR1006),$AC$1006:$AS$1006,0))&gt;=100000), " ",IF(INDEX($AC$2:$AS$1001,MATCH(ROWS($V$2:V267),$V$2:$V$1001,0),MATCH(COLUMNS($AC$1006:AR1006),$AC$1006:$AS$1006,0)), HYPERLINK("#",""), HYPERLINK(CONCATENATE("#Metadata!", ADDRESS(INDEX($X$2:$X$1001,MATCH(ROWS($V$2:V267),$V$2:$V$1001,0),0), INDEX($AC$1004:$AS$1004,1,MATCH(COLUMNS($AC$1006:AR1006),$AC$1006:$AS$1006,0)))),"Fix")))</f>
        <v>0</v>
      </c>
      <c r="R267" s="5">
        <f>IF(OR(INDEX($W$2:$W$1001,MATCH(ROWS($V$2:V267),$V$2:$V$1001,0),1)&gt;=100000,INDEX($AC$1005:$AS$1005,1,MATCH(COLUMNS($AC$1006:AS1006),$AC$1006:$AS$1006,0))&gt;=100000), " ",IF(INDEX($AC$2:$AS$1001,MATCH(ROWS($V$2:V267),$V$2:$V$1001,0),MATCH(COLUMNS($AC$1006:AS1006),$AC$1006:$AS$1006,0)), HYPERLINK("#",""), HYPERLINK(CONCATENATE("#Metadata!", ADDRESS(INDEX($X$2:$X$1001,MATCH(ROWS($V$2:V267),$V$2:$V$1001,0),0), INDEX($AC$1004:$AS$1004,1,MATCH(COLUMNS($AC$1006:AS1006),$AC$1006:$AS$1006,0)))),"Fix")))</f>
        <v>0</v>
      </c>
      <c r="V267">
        <v>0</v>
      </c>
      <c r="W267">
        <v>0</v>
      </c>
      <c r="X267">
        <v>0</v>
      </c>
      <c r="Y267">
        <f>IF(Z267,TRUE,AND(AC267:AS267))</f>
        <v>0</v>
      </c>
      <c r="Z267">
        <f>COUNTBLANK(Metadata!B267:R267)=COLUMNS(Metadata!B267:R267)</f>
        <v>0</v>
      </c>
      <c r="AA267">
        <v>0</v>
      </c>
      <c r="AC267">
        <f>AND(IF(Metadata!B267="",FALSE,TRUE),COUNTIF(Metadata!B:B, Metadata!B267) = 1,NOT(ISERROR(SUMPRODUCT(SEARCH(MID(Metadata!B267,ROW(INDIRECT("1:"&amp;LEN(Metadata!B267))), 1),"0123456789abcdefghijklmnopqrstuvwxyzABCDEFGHIJKLMNOPQRSTUVWXYZ.")))))</f>
        <v>0</v>
      </c>
      <c r="AD267">
        <f>AND(IF(Metadata!C267="",FALSE,TRUE),exact(Metadata!C267,"Host-associated"))</f>
        <v>0</v>
      </c>
      <c r="AE267">
        <f>AND(IF(Metadata!D267="",FALSE,TRUE),OR(exact(Metadata!D267,"Animal"),exact(Metadata!D267,"Fungus"),exact(Metadata!D267,"Plant")))</f>
        <v>0</v>
      </c>
      <c r="AF267">
        <f>AND(IF(Metadata!E267="",FALSE,TRUE),OR(exact(Metadata!E267,"Plant secretion"),exact(Metadata!E267,"Plant rhizosphere"),exact(Metadata!E267,"Plant surface"),exact(Metadata!E267,"Plant corpus"),exact(Metadata!E267,"Fungus surface"),exact(Metadata!E267,"Fungus corpus"),exact(Metadata!E267,"Animal surface"),exact(Metadata!E267,"Animal proximal gut"),exact(Metadata!E267,"Animal corpus"),exact(Metadata!E267,"Animal distal gut"),exact(Metadata!E267,"Animal secretion")))</f>
        <v>0</v>
      </c>
      <c r="AG267">
        <f>OR(AND(IF(Metadata!F267="",FALSE,TRUE),OR(exact(Metadata!F267,"not collected"),exact(Metadata!F267,"not provided"),exact(Metadata!F267,"restricted access"))),AND(IF(Metadata!F267="",FALSE,TRUE),OR(exact(Metadata!F267,"organism-associated habitat"),exact(Metadata!F267,"plant-associated habitat"),exact(Metadata!F267,"animal-associated habitat"),exact(Metadata!F267,"insecta-associated habitat"),exact(Metadata!F267,"mammalia-associated habitat"),exact(Metadata!F267,"human-associated habitat"),exact(Metadata!F267,"livestock-associated habitat"))))</f>
        <v>0</v>
      </c>
      <c r="AH267">
        <f>AND(IF(Metadata!G267="",FALSE,TRUE),exact(Metadata!G267,"host-associated"))</f>
        <v>0</v>
      </c>
      <c r="AI267">
        <f>OR(AND(IF(Metadata!H267="",FALSE,TRUE),OR(exact(Metadata!H267,"not collected"),exact(Metadata!H267,"not provided"))),AND(IF(Metadata!H267="",FALSE,ISNUMBER(VALUE(Metadata!H267))),Metadata!H267&gt;0))</f>
        <v>0</v>
      </c>
      <c r="AJ267">
        <f>AND(IF(Metadata!I267="",FALSE,TRUE),exact(Metadata!I267,"years"))</f>
        <v>0</v>
      </c>
      <c r="AK267">
        <f>IF(Metadata!J267="",FALSE,TRUE)</f>
        <v>0</v>
      </c>
      <c r="AL267">
        <f>OR(AND(IF(Metadata!K267="",FALSE,TRUE),OR(exact(Metadata!K267,"not collected"),exact(Metadata!K267,"not provided"))),AND(IF(Metadata!K267="",FALSE,ISNUMBER(VALUE(Metadata!K267))),Metadata!K267&gt;0))</f>
        <v>0</v>
      </c>
      <c r="AM267">
        <f>AND(IF(Metadata!L267="",FALSE,TRUE),exact(Metadata!L267,"cm"))</f>
        <v>0</v>
      </c>
      <c r="AN267">
        <f>IF(Metadata!M267="",FALSE,TRUE)</f>
        <v>0</v>
      </c>
      <c r="AO267">
        <f>OR(AND(IF(Metadata!N267="",FALSE,TRUE),OR(exact(Metadata!N267,"not applicable"),exact(Metadata!N267,"not collected"),exact(Metadata!N267,"not provided"))),AND(IF(Metadata!N267="",FALSE,IF(ISERROR(INT(Metadata!N267)),FALSE,INT(Metadata!N267)=Metadata!N267)),Metadata!N267&gt;0))</f>
        <v>0</v>
      </c>
      <c r="AP267">
        <f>OR(AND(IF(Metadata!O267="",FALSE,TRUE),OR(exact(Metadata!O267,"not collected"),exact(Metadata!O267,"not provided"))),AND(IF(Metadata!O267="",FALSE,ISNUMBER(VALUE(Metadata!O267))),Metadata!O267&gt;0))</f>
        <v>0</v>
      </c>
      <c r="AQ267">
        <f>AND(IF(Metadata!P267="",FALSE,TRUE),exact(Metadata!P267,"kg"))</f>
        <v>0</v>
      </c>
      <c r="AR267">
        <f>OR(AND(IF(Metadata!Q267="",FALSE,TRUE),OR(exact(Metadata!Q267,"not applicable"),exact(Metadata!Q267,"not collected"),exact(Metadata!Q267,"not provided"),exact(Metadata!Q267,"restricted access"))),IF(Metadata!Q267="",FALSE,IF(ISERROR(INT(Metadata!Q267)),FALSE,INT(Metadata!Q267)=Metadata!Q267)))</f>
        <v>0</v>
      </c>
      <c r="AS267">
        <f>AND(IF(Metadata!R267="",FALSE,TRUE),exact(Metadata!R267,"Not applicable"))</f>
        <v>0</v>
      </c>
    </row>
    <row r="268" spans="1:45">
      <c r="A268" s="4">
        <f>IF(B268=" "," ",HYPERLINK(CONCATENATE("#metadata!",ADDRESS(INDEX($X$2:$X$1001,MATCH(ROWS($V$2:V268),$V$2:$V$1001,0),0),2)),INDEX($AA$2:$AA$1001,MATCH(ROWS($V$2:V268),$V$2:$V$1001,0),0)))</f>
        <v>0</v>
      </c>
      <c r="B268" s="5">
        <f>IF(OR(INDEX($W$2:$W$1001,MATCH(ROWS($V$2:V268),$V$2:$V$1001,0),1)&gt;=100000,INDEX($AC$1005:$AS$1005,1,MATCH(COLUMNS($AC$1006:AC1006),$AC$1006:$AS$1006,0))&gt;=100000), " ",IF(INDEX($AC$2:$AS$1001,MATCH(ROWS($V$2:V268),$V$2:$V$1001,0),MATCH(COLUMNS($AC$1006:AC1006),$AC$1006:$AS$1006,0)), HYPERLINK("#",""), HYPERLINK(CONCATENATE("#Metadata!", ADDRESS(INDEX($X$2:$X$1001,MATCH(ROWS($V$2:V268),$V$2:$V$1001,0),0), INDEX($AC$1004:$AS$1004,1,MATCH(COLUMNS($AC$1006:AC1006),$AC$1006:$AS$1006,0)))),"Fix")))</f>
        <v>0</v>
      </c>
      <c r="C268" s="5">
        <f>IF(OR(INDEX($W$2:$W$1001,MATCH(ROWS($V$2:V268),$V$2:$V$1001,0),1)&gt;=100000,INDEX($AC$1005:$AS$1005,1,MATCH(COLUMNS($AC$1006:AD1006),$AC$1006:$AS$1006,0))&gt;=100000), " ",IF(INDEX($AC$2:$AS$1001,MATCH(ROWS($V$2:V268),$V$2:$V$1001,0),MATCH(COLUMNS($AC$1006:AD1006),$AC$1006:$AS$1006,0)), HYPERLINK("#",""), HYPERLINK(CONCATENATE("#Metadata!", ADDRESS(INDEX($X$2:$X$1001,MATCH(ROWS($V$2:V268),$V$2:$V$1001,0),0), INDEX($AC$1004:$AS$1004,1,MATCH(COLUMNS($AC$1006:AD1006),$AC$1006:$AS$1006,0)))),"Fix")))</f>
        <v>0</v>
      </c>
      <c r="D268" s="5">
        <f>IF(OR(INDEX($W$2:$W$1001,MATCH(ROWS($V$2:V268),$V$2:$V$1001,0),1)&gt;=100000,INDEX($AC$1005:$AS$1005,1,MATCH(COLUMNS($AC$1006:AE1006),$AC$1006:$AS$1006,0))&gt;=100000), " ",IF(INDEX($AC$2:$AS$1001,MATCH(ROWS($V$2:V268),$V$2:$V$1001,0),MATCH(COLUMNS($AC$1006:AE1006),$AC$1006:$AS$1006,0)), HYPERLINK("#",""), HYPERLINK(CONCATENATE("#Metadata!", ADDRESS(INDEX($X$2:$X$1001,MATCH(ROWS($V$2:V268),$V$2:$V$1001,0),0), INDEX($AC$1004:$AS$1004,1,MATCH(COLUMNS($AC$1006:AE1006),$AC$1006:$AS$1006,0)))),"Fix")))</f>
        <v>0</v>
      </c>
      <c r="E268" s="5">
        <f>IF(OR(INDEX($W$2:$W$1001,MATCH(ROWS($V$2:V268),$V$2:$V$1001,0),1)&gt;=100000,INDEX($AC$1005:$AS$1005,1,MATCH(COLUMNS($AC$1006:AF1006),$AC$1006:$AS$1006,0))&gt;=100000), " ",IF(INDEX($AC$2:$AS$1001,MATCH(ROWS($V$2:V268),$V$2:$V$1001,0),MATCH(COLUMNS($AC$1006:AF1006),$AC$1006:$AS$1006,0)), HYPERLINK("#",""), HYPERLINK(CONCATENATE("#Metadata!", ADDRESS(INDEX($X$2:$X$1001,MATCH(ROWS($V$2:V268),$V$2:$V$1001,0),0), INDEX($AC$1004:$AS$1004,1,MATCH(COLUMNS($AC$1006:AF1006),$AC$1006:$AS$1006,0)))),"Fix")))</f>
        <v>0</v>
      </c>
      <c r="F268" s="5">
        <f>IF(OR(INDEX($W$2:$W$1001,MATCH(ROWS($V$2:V268),$V$2:$V$1001,0),1)&gt;=100000,INDEX($AC$1005:$AS$1005,1,MATCH(COLUMNS($AC$1006:AG1006),$AC$1006:$AS$1006,0))&gt;=100000), " ",IF(INDEX($AC$2:$AS$1001,MATCH(ROWS($V$2:V268),$V$2:$V$1001,0),MATCH(COLUMNS($AC$1006:AG1006),$AC$1006:$AS$1006,0)), HYPERLINK("#",""), HYPERLINK(CONCATENATE("#Metadata!", ADDRESS(INDEX($X$2:$X$1001,MATCH(ROWS($V$2:V268),$V$2:$V$1001,0),0), INDEX($AC$1004:$AS$1004,1,MATCH(COLUMNS($AC$1006:AG1006),$AC$1006:$AS$1006,0)))),"Fix")))</f>
        <v>0</v>
      </c>
      <c r="G268" s="5">
        <f>IF(OR(INDEX($W$2:$W$1001,MATCH(ROWS($V$2:V268),$V$2:$V$1001,0),1)&gt;=100000,INDEX($AC$1005:$AS$1005,1,MATCH(COLUMNS($AC$1006:AH1006),$AC$1006:$AS$1006,0))&gt;=100000), " ",IF(INDEX($AC$2:$AS$1001,MATCH(ROWS($V$2:V268),$V$2:$V$1001,0),MATCH(COLUMNS($AC$1006:AH1006),$AC$1006:$AS$1006,0)), HYPERLINK("#",""), HYPERLINK(CONCATENATE("#Metadata!", ADDRESS(INDEX($X$2:$X$1001,MATCH(ROWS($V$2:V268),$V$2:$V$1001,0),0), INDEX($AC$1004:$AS$1004,1,MATCH(COLUMNS($AC$1006:AH1006),$AC$1006:$AS$1006,0)))),"Fix")))</f>
        <v>0</v>
      </c>
      <c r="H268" s="5">
        <f>IF(OR(INDEX($W$2:$W$1001,MATCH(ROWS($V$2:V268),$V$2:$V$1001,0),1)&gt;=100000,INDEX($AC$1005:$AS$1005,1,MATCH(COLUMNS($AC$1006:AI1006),$AC$1006:$AS$1006,0))&gt;=100000), " ",IF(INDEX($AC$2:$AS$1001,MATCH(ROWS($V$2:V268),$V$2:$V$1001,0),MATCH(COLUMNS($AC$1006:AI1006),$AC$1006:$AS$1006,0)), HYPERLINK("#",""), HYPERLINK(CONCATENATE("#Metadata!", ADDRESS(INDEX($X$2:$X$1001,MATCH(ROWS($V$2:V268),$V$2:$V$1001,0),0), INDEX($AC$1004:$AS$1004,1,MATCH(COLUMNS($AC$1006:AI1006),$AC$1006:$AS$1006,0)))),"Fix")))</f>
        <v>0</v>
      </c>
      <c r="I268" s="5">
        <f>IF(OR(INDEX($W$2:$W$1001,MATCH(ROWS($V$2:V268),$V$2:$V$1001,0),1)&gt;=100000,INDEX($AC$1005:$AS$1005,1,MATCH(COLUMNS($AC$1006:AJ1006),$AC$1006:$AS$1006,0))&gt;=100000), " ",IF(INDEX($AC$2:$AS$1001,MATCH(ROWS($V$2:V268),$V$2:$V$1001,0),MATCH(COLUMNS($AC$1006:AJ1006),$AC$1006:$AS$1006,0)), HYPERLINK("#",""), HYPERLINK(CONCATENATE("#Metadata!", ADDRESS(INDEX($X$2:$X$1001,MATCH(ROWS($V$2:V268),$V$2:$V$1001,0),0), INDEX($AC$1004:$AS$1004,1,MATCH(COLUMNS($AC$1006:AJ1006),$AC$1006:$AS$1006,0)))),"Fix")))</f>
        <v>0</v>
      </c>
      <c r="J268" s="5">
        <f>IF(OR(INDEX($W$2:$W$1001,MATCH(ROWS($V$2:V268),$V$2:$V$1001,0),1)&gt;=100000,INDEX($AC$1005:$AS$1005,1,MATCH(COLUMNS($AC$1006:AK1006),$AC$1006:$AS$1006,0))&gt;=100000), " ",IF(INDEX($AC$2:$AS$1001,MATCH(ROWS($V$2:V268),$V$2:$V$1001,0),MATCH(COLUMNS($AC$1006:AK1006),$AC$1006:$AS$1006,0)), HYPERLINK("#",""), HYPERLINK(CONCATENATE("#Metadata!", ADDRESS(INDEX($X$2:$X$1001,MATCH(ROWS($V$2:V268),$V$2:$V$1001,0),0), INDEX($AC$1004:$AS$1004,1,MATCH(COLUMNS($AC$1006:AK1006),$AC$1006:$AS$1006,0)))),"Fix")))</f>
        <v>0</v>
      </c>
      <c r="K268" s="5">
        <f>IF(OR(INDEX($W$2:$W$1001,MATCH(ROWS($V$2:V268),$V$2:$V$1001,0),1)&gt;=100000,INDEX($AC$1005:$AS$1005,1,MATCH(COLUMNS($AC$1006:AL1006),$AC$1006:$AS$1006,0))&gt;=100000), " ",IF(INDEX($AC$2:$AS$1001,MATCH(ROWS($V$2:V268),$V$2:$V$1001,0),MATCH(COLUMNS($AC$1006:AL1006),$AC$1006:$AS$1006,0)), HYPERLINK("#",""), HYPERLINK(CONCATENATE("#Metadata!", ADDRESS(INDEX($X$2:$X$1001,MATCH(ROWS($V$2:V268),$V$2:$V$1001,0),0), INDEX($AC$1004:$AS$1004,1,MATCH(COLUMNS($AC$1006:AL1006),$AC$1006:$AS$1006,0)))),"Fix")))</f>
        <v>0</v>
      </c>
      <c r="L268" s="5">
        <f>IF(OR(INDEX($W$2:$W$1001,MATCH(ROWS($V$2:V268),$V$2:$V$1001,0),1)&gt;=100000,INDEX($AC$1005:$AS$1005,1,MATCH(COLUMNS($AC$1006:AM1006),$AC$1006:$AS$1006,0))&gt;=100000), " ",IF(INDEX($AC$2:$AS$1001,MATCH(ROWS($V$2:V268),$V$2:$V$1001,0),MATCH(COLUMNS($AC$1006:AM1006),$AC$1006:$AS$1006,0)), HYPERLINK("#",""), HYPERLINK(CONCATENATE("#Metadata!", ADDRESS(INDEX($X$2:$X$1001,MATCH(ROWS($V$2:V268),$V$2:$V$1001,0),0), INDEX($AC$1004:$AS$1004,1,MATCH(COLUMNS($AC$1006:AM1006),$AC$1006:$AS$1006,0)))),"Fix")))</f>
        <v>0</v>
      </c>
      <c r="M268" s="5">
        <f>IF(OR(INDEX($W$2:$W$1001,MATCH(ROWS($V$2:V268),$V$2:$V$1001,0),1)&gt;=100000,INDEX($AC$1005:$AS$1005,1,MATCH(COLUMNS($AC$1006:AN1006),$AC$1006:$AS$1006,0))&gt;=100000), " ",IF(INDEX($AC$2:$AS$1001,MATCH(ROWS($V$2:V268),$V$2:$V$1001,0),MATCH(COLUMNS($AC$1006:AN1006),$AC$1006:$AS$1006,0)), HYPERLINK("#",""), HYPERLINK(CONCATENATE("#Metadata!", ADDRESS(INDEX($X$2:$X$1001,MATCH(ROWS($V$2:V268),$V$2:$V$1001,0),0), INDEX($AC$1004:$AS$1004,1,MATCH(COLUMNS($AC$1006:AN1006),$AC$1006:$AS$1006,0)))),"Fix")))</f>
        <v>0</v>
      </c>
      <c r="N268" s="5">
        <f>IF(OR(INDEX($W$2:$W$1001,MATCH(ROWS($V$2:V268),$V$2:$V$1001,0),1)&gt;=100000,INDEX($AC$1005:$AS$1005,1,MATCH(COLUMNS($AC$1006:AO1006),$AC$1006:$AS$1006,0))&gt;=100000), " ",IF(INDEX($AC$2:$AS$1001,MATCH(ROWS($V$2:V268),$V$2:$V$1001,0),MATCH(COLUMNS($AC$1006:AO1006),$AC$1006:$AS$1006,0)), HYPERLINK("#",""), HYPERLINK(CONCATENATE("#Metadata!", ADDRESS(INDEX($X$2:$X$1001,MATCH(ROWS($V$2:V268),$V$2:$V$1001,0),0), INDEX($AC$1004:$AS$1004,1,MATCH(COLUMNS($AC$1006:AO1006),$AC$1006:$AS$1006,0)))),"Fix")))</f>
        <v>0</v>
      </c>
      <c r="O268" s="5">
        <f>IF(OR(INDEX($W$2:$W$1001,MATCH(ROWS($V$2:V268),$V$2:$V$1001,0),1)&gt;=100000,INDEX($AC$1005:$AS$1005,1,MATCH(COLUMNS($AC$1006:AP1006),$AC$1006:$AS$1006,0))&gt;=100000), " ",IF(INDEX($AC$2:$AS$1001,MATCH(ROWS($V$2:V268),$V$2:$V$1001,0),MATCH(COLUMNS($AC$1006:AP1006),$AC$1006:$AS$1006,0)), HYPERLINK("#",""), HYPERLINK(CONCATENATE("#Metadata!", ADDRESS(INDEX($X$2:$X$1001,MATCH(ROWS($V$2:V268),$V$2:$V$1001,0),0), INDEX($AC$1004:$AS$1004,1,MATCH(COLUMNS($AC$1006:AP1006),$AC$1006:$AS$1006,0)))),"Fix")))</f>
        <v>0</v>
      </c>
      <c r="P268" s="5">
        <f>IF(OR(INDEX($W$2:$W$1001,MATCH(ROWS($V$2:V268),$V$2:$V$1001,0),1)&gt;=100000,INDEX($AC$1005:$AS$1005,1,MATCH(COLUMNS($AC$1006:AQ1006),$AC$1006:$AS$1006,0))&gt;=100000), " ",IF(INDEX($AC$2:$AS$1001,MATCH(ROWS($V$2:V268),$V$2:$V$1001,0),MATCH(COLUMNS($AC$1006:AQ1006),$AC$1006:$AS$1006,0)), HYPERLINK("#",""), HYPERLINK(CONCATENATE("#Metadata!", ADDRESS(INDEX($X$2:$X$1001,MATCH(ROWS($V$2:V268),$V$2:$V$1001,0),0), INDEX($AC$1004:$AS$1004,1,MATCH(COLUMNS($AC$1006:AQ1006),$AC$1006:$AS$1006,0)))),"Fix")))</f>
        <v>0</v>
      </c>
      <c r="Q268" s="5">
        <f>IF(OR(INDEX($W$2:$W$1001,MATCH(ROWS($V$2:V268),$V$2:$V$1001,0),1)&gt;=100000,INDEX($AC$1005:$AS$1005,1,MATCH(COLUMNS($AC$1006:AR1006),$AC$1006:$AS$1006,0))&gt;=100000), " ",IF(INDEX($AC$2:$AS$1001,MATCH(ROWS($V$2:V268),$V$2:$V$1001,0),MATCH(COLUMNS($AC$1006:AR1006),$AC$1006:$AS$1006,0)), HYPERLINK("#",""), HYPERLINK(CONCATENATE("#Metadata!", ADDRESS(INDEX($X$2:$X$1001,MATCH(ROWS($V$2:V268),$V$2:$V$1001,0),0), INDEX($AC$1004:$AS$1004,1,MATCH(COLUMNS($AC$1006:AR1006),$AC$1006:$AS$1006,0)))),"Fix")))</f>
        <v>0</v>
      </c>
      <c r="R268" s="5">
        <f>IF(OR(INDEX($W$2:$W$1001,MATCH(ROWS($V$2:V268),$V$2:$V$1001,0),1)&gt;=100000,INDEX($AC$1005:$AS$1005,1,MATCH(COLUMNS($AC$1006:AS1006),$AC$1006:$AS$1006,0))&gt;=100000), " ",IF(INDEX($AC$2:$AS$1001,MATCH(ROWS($V$2:V268),$V$2:$V$1001,0),MATCH(COLUMNS($AC$1006:AS1006),$AC$1006:$AS$1006,0)), HYPERLINK("#",""), HYPERLINK(CONCATENATE("#Metadata!", ADDRESS(INDEX($X$2:$X$1001,MATCH(ROWS($V$2:V268),$V$2:$V$1001,0),0), INDEX($AC$1004:$AS$1004,1,MATCH(COLUMNS($AC$1006:AS1006),$AC$1006:$AS$1006,0)))),"Fix")))</f>
        <v>0</v>
      </c>
      <c r="V268">
        <v>0</v>
      </c>
      <c r="W268">
        <v>0</v>
      </c>
      <c r="X268">
        <v>0</v>
      </c>
      <c r="Y268">
        <f>IF(Z268,TRUE,AND(AC268:AS268))</f>
        <v>0</v>
      </c>
      <c r="Z268">
        <f>COUNTBLANK(Metadata!B268:R268)=COLUMNS(Metadata!B268:R268)</f>
        <v>0</v>
      </c>
      <c r="AA268">
        <v>0</v>
      </c>
      <c r="AC268">
        <f>AND(IF(Metadata!B268="",FALSE,TRUE),COUNTIF(Metadata!B:B, Metadata!B268) = 1,NOT(ISERROR(SUMPRODUCT(SEARCH(MID(Metadata!B268,ROW(INDIRECT("1:"&amp;LEN(Metadata!B268))), 1),"0123456789abcdefghijklmnopqrstuvwxyzABCDEFGHIJKLMNOPQRSTUVWXYZ.")))))</f>
        <v>0</v>
      </c>
      <c r="AD268">
        <f>AND(IF(Metadata!C268="",FALSE,TRUE),exact(Metadata!C268,"Host-associated"))</f>
        <v>0</v>
      </c>
      <c r="AE268">
        <f>AND(IF(Metadata!D268="",FALSE,TRUE),OR(exact(Metadata!D268,"Animal"),exact(Metadata!D268,"Fungus"),exact(Metadata!D268,"Plant")))</f>
        <v>0</v>
      </c>
      <c r="AF268">
        <f>AND(IF(Metadata!E268="",FALSE,TRUE),OR(exact(Metadata!E268,"Plant secretion"),exact(Metadata!E268,"Plant rhizosphere"),exact(Metadata!E268,"Plant surface"),exact(Metadata!E268,"Plant corpus"),exact(Metadata!E268,"Fungus surface"),exact(Metadata!E268,"Fungus corpus"),exact(Metadata!E268,"Animal surface"),exact(Metadata!E268,"Animal proximal gut"),exact(Metadata!E268,"Animal corpus"),exact(Metadata!E268,"Animal distal gut"),exact(Metadata!E268,"Animal secretion")))</f>
        <v>0</v>
      </c>
      <c r="AG268">
        <f>OR(AND(IF(Metadata!F268="",FALSE,TRUE),OR(exact(Metadata!F268,"not collected"),exact(Metadata!F268,"not provided"),exact(Metadata!F268,"restricted access"))),AND(IF(Metadata!F268="",FALSE,TRUE),OR(exact(Metadata!F268,"organism-associated habitat"),exact(Metadata!F268,"plant-associated habitat"),exact(Metadata!F268,"animal-associated habitat"),exact(Metadata!F268,"insecta-associated habitat"),exact(Metadata!F268,"mammalia-associated habitat"),exact(Metadata!F268,"human-associated habitat"),exact(Metadata!F268,"livestock-associated habitat"))))</f>
        <v>0</v>
      </c>
      <c r="AH268">
        <f>AND(IF(Metadata!G268="",FALSE,TRUE),exact(Metadata!G268,"host-associated"))</f>
        <v>0</v>
      </c>
      <c r="AI268">
        <f>OR(AND(IF(Metadata!H268="",FALSE,TRUE),OR(exact(Metadata!H268,"not collected"),exact(Metadata!H268,"not provided"))),AND(IF(Metadata!H268="",FALSE,ISNUMBER(VALUE(Metadata!H268))),Metadata!H268&gt;0))</f>
        <v>0</v>
      </c>
      <c r="AJ268">
        <f>AND(IF(Metadata!I268="",FALSE,TRUE),exact(Metadata!I268,"years"))</f>
        <v>0</v>
      </c>
      <c r="AK268">
        <f>IF(Metadata!J268="",FALSE,TRUE)</f>
        <v>0</v>
      </c>
      <c r="AL268">
        <f>OR(AND(IF(Metadata!K268="",FALSE,TRUE),OR(exact(Metadata!K268,"not collected"),exact(Metadata!K268,"not provided"))),AND(IF(Metadata!K268="",FALSE,ISNUMBER(VALUE(Metadata!K268))),Metadata!K268&gt;0))</f>
        <v>0</v>
      </c>
      <c r="AM268">
        <f>AND(IF(Metadata!L268="",FALSE,TRUE),exact(Metadata!L268,"cm"))</f>
        <v>0</v>
      </c>
      <c r="AN268">
        <f>IF(Metadata!M268="",FALSE,TRUE)</f>
        <v>0</v>
      </c>
      <c r="AO268">
        <f>OR(AND(IF(Metadata!N268="",FALSE,TRUE),OR(exact(Metadata!N268,"not applicable"),exact(Metadata!N268,"not collected"),exact(Metadata!N268,"not provided"))),AND(IF(Metadata!N268="",FALSE,IF(ISERROR(INT(Metadata!N268)),FALSE,INT(Metadata!N268)=Metadata!N268)),Metadata!N268&gt;0))</f>
        <v>0</v>
      </c>
      <c r="AP268">
        <f>OR(AND(IF(Metadata!O268="",FALSE,TRUE),OR(exact(Metadata!O268,"not collected"),exact(Metadata!O268,"not provided"))),AND(IF(Metadata!O268="",FALSE,ISNUMBER(VALUE(Metadata!O268))),Metadata!O268&gt;0))</f>
        <v>0</v>
      </c>
      <c r="AQ268">
        <f>AND(IF(Metadata!P268="",FALSE,TRUE),exact(Metadata!P268,"kg"))</f>
        <v>0</v>
      </c>
      <c r="AR268">
        <f>OR(AND(IF(Metadata!Q268="",FALSE,TRUE),OR(exact(Metadata!Q268,"not applicable"),exact(Metadata!Q268,"not collected"),exact(Metadata!Q268,"not provided"),exact(Metadata!Q268,"restricted access"))),IF(Metadata!Q268="",FALSE,IF(ISERROR(INT(Metadata!Q268)),FALSE,INT(Metadata!Q268)=Metadata!Q268)))</f>
        <v>0</v>
      </c>
      <c r="AS268">
        <f>AND(IF(Metadata!R268="",FALSE,TRUE),exact(Metadata!R268,"Not applicable"))</f>
        <v>0</v>
      </c>
    </row>
    <row r="269" spans="1:45">
      <c r="A269" s="4">
        <f>IF(B269=" "," ",HYPERLINK(CONCATENATE("#metadata!",ADDRESS(INDEX($X$2:$X$1001,MATCH(ROWS($V$2:V269),$V$2:$V$1001,0),0),2)),INDEX($AA$2:$AA$1001,MATCH(ROWS($V$2:V269),$V$2:$V$1001,0),0)))</f>
        <v>0</v>
      </c>
      <c r="B269" s="5">
        <f>IF(OR(INDEX($W$2:$W$1001,MATCH(ROWS($V$2:V269),$V$2:$V$1001,0),1)&gt;=100000,INDEX($AC$1005:$AS$1005,1,MATCH(COLUMNS($AC$1006:AC1006),$AC$1006:$AS$1006,0))&gt;=100000), " ",IF(INDEX($AC$2:$AS$1001,MATCH(ROWS($V$2:V269),$V$2:$V$1001,0),MATCH(COLUMNS($AC$1006:AC1006),$AC$1006:$AS$1006,0)), HYPERLINK("#",""), HYPERLINK(CONCATENATE("#Metadata!", ADDRESS(INDEX($X$2:$X$1001,MATCH(ROWS($V$2:V269),$V$2:$V$1001,0),0), INDEX($AC$1004:$AS$1004,1,MATCH(COLUMNS($AC$1006:AC1006),$AC$1006:$AS$1006,0)))),"Fix")))</f>
        <v>0</v>
      </c>
      <c r="C269" s="5">
        <f>IF(OR(INDEX($W$2:$W$1001,MATCH(ROWS($V$2:V269),$V$2:$V$1001,0),1)&gt;=100000,INDEX($AC$1005:$AS$1005,1,MATCH(COLUMNS($AC$1006:AD1006),$AC$1006:$AS$1006,0))&gt;=100000), " ",IF(INDEX($AC$2:$AS$1001,MATCH(ROWS($V$2:V269),$V$2:$V$1001,0),MATCH(COLUMNS($AC$1006:AD1006),$AC$1006:$AS$1006,0)), HYPERLINK("#",""), HYPERLINK(CONCATENATE("#Metadata!", ADDRESS(INDEX($X$2:$X$1001,MATCH(ROWS($V$2:V269),$V$2:$V$1001,0),0), INDEX($AC$1004:$AS$1004,1,MATCH(COLUMNS($AC$1006:AD1006),$AC$1006:$AS$1006,0)))),"Fix")))</f>
        <v>0</v>
      </c>
      <c r="D269" s="5">
        <f>IF(OR(INDEX($W$2:$W$1001,MATCH(ROWS($V$2:V269),$V$2:$V$1001,0),1)&gt;=100000,INDEX($AC$1005:$AS$1005,1,MATCH(COLUMNS($AC$1006:AE1006),$AC$1006:$AS$1006,0))&gt;=100000), " ",IF(INDEX($AC$2:$AS$1001,MATCH(ROWS($V$2:V269),$V$2:$V$1001,0),MATCH(COLUMNS($AC$1006:AE1006),$AC$1006:$AS$1006,0)), HYPERLINK("#",""), HYPERLINK(CONCATENATE("#Metadata!", ADDRESS(INDEX($X$2:$X$1001,MATCH(ROWS($V$2:V269),$V$2:$V$1001,0),0), INDEX($AC$1004:$AS$1004,1,MATCH(COLUMNS($AC$1006:AE1006),$AC$1006:$AS$1006,0)))),"Fix")))</f>
        <v>0</v>
      </c>
      <c r="E269" s="5">
        <f>IF(OR(INDEX($W$2:$W$1001,MATCH(ROWS($V$2:V269),$V$2:$V$1001,0),1)&gt;=100000,INDEX($AC$1005:$AS$1005,1,MATCH(COLUMNS($AC$1006:AF1006),$AC$1006:$AS$1006,0))&gt;=100000), " ",IF(INDEX($AC$2:$AS$1001,MATCH(ROWS($V$2:V269),$V$2:$V$1001,0),MATCH(COLUMNS($AC$1006:AF1006),$AC$1006:$AS$1006,0)), HYPERLINK("#",""), HYPERLINK(CONCATENATE("#Metadata!", ADDRESS(INDEX($X$2:$X$1001,MATCH(ROWS($V$2:V269),$V$2:$V$1001,0),0), INDEX($AC$1004:$AS$1004,1,MATCH(COLUMNS($AC$1006:AF1006),$AC$1006:$AS$1006,0)))),"Fix")))</f>
        <v>0</v>
      </c>
      <c r="F269" s="5">
        <f>IF(OR(INDEX($W$2:$W$1001,MATCH(ROWS($V$2:V269),$V$2:$V$1001,0),1)&gt;=100000,INDEX($AC$1005:$AS$1005,1,MATCH(COLUMNS($AC$1006:AG1006),$AC$1006:$AS$1006,0))&gt;=100000), " ",IF(INDEX($AC$2:$AS$1001,MATCH(ROWS($V$2:V269),$V$2:$V$1001,0),MATCH(COLUMNS($AC$1006:AG1006),$AC$1006:$AS$1006,0)), HYPERLINK("#",""), HYPERLINK(CONCATENATE("#Metadata!", ADDRESS(INDEX($X$2:$X$1001,MATCH(ROWS($V$2:V269),$V$2:$V$1001,0),0), INDEX($AC$1004:$AS$1004,1,MATCH(COLUMNS($AC$1006:AG1006),$AC$1006:$AS$1006,0)))),"Fix")))</f>
        <v>0</v>
      </c>
      <c r="G269" s="5">
        <f>IF(OR(INDEX($W$2:$W$1001,MATCH(ROWS($V$2:V269),$V$2:$V$1001,0),1)&gt;=100000,INDEX($AC$1005:$AS$1005,1,MATCH(COLUMNS($AC$1006:AH1006),$AC$1006:$AS$1006,0))&gt;=100000), " ",IF(INDEX($AC$2:$AS$1001,MATCH(ROWS($V$2:V269),$V$2:$V$1001,0),MATCH(COLUMNS($AC$1006:AH1006),$AC$1006:$AS$1006,0)), HYPERLINK("#",""), HYPERLINK(CONCATENATE("#Metadata!", ADDRESS(INDEX($X$2:$X$1001,MATCH(ROWS($V$2:V269),$V$2:$V$1001,0),0), INDEX($AC$1004:$AS$1004,1,MATCH(COLUMNS($AC$1006:AH1006),$AC$1006:$AS$1006,0)))),"Fix")))</f>
        <v>0</v>
      </c>
      <c r="H269" s="5">
        <f>IF(OR(INDEX($W$2:$W$1001,MATCH(ROWS($V$2:V269),$V$2:$V$1001,0),1)&gt;=100000,INDEX($AC$1005:$AS$1005,1,MATCH(COLUMNS($AC$1006:AI1006),$AC$1006:$AS$1006,0))&gt;=100000), " ",IF(INDEX($AC$2:$AS$1001,MATCH(ROWS($V$2:V269),$V$2:$V$1001,0),MATCH(COLUMNS($AC$1006:AI1006),$AC$1006:$AS$1006,0)), HYPERLINK("#",""), HYPERLINK(CONCATENATE("#Metadata!", ADDRESS(INDEX($X$2:$X$1001,MATCH(ROWS($V$2:V269),$V$2:$V$1001,0),0), INDEX($AC$1004:$AS$1004,1,MATCH(COLUMNS($AC$1006:AI1006),$AC$1006:$AS$1006,0)))),"Fix")))</f>
        <v>0</v>
      </c>
      <c r="I269" s="5">
        <f>IF(OR(INDEX($W$2:$W$1001,MATCH(ROWS($V$2:V269),$V$2:$V$1001,0),1)&gt;=100000,INDEX($AC$1005:$AS$1005,1,MATCH(COLUMNS($AC$1006:AJ1006),$AC$1006:$AS$1006,0))&gt;=100000), " ",IF(INDEX($AC$2:$AS$1001,MATCH(ROWS($V$2:V269),$V$2:$V$1001,0),MATCH(COLUMNS($AC$1006:AJ1006),$AC$1006:$AS$1006,0)), HYPERLINK("#",""), HYPERLINK(CONCATENATE("#Metadata!", ADDRESS(INDEX($X$2:$X$1001,MATCH(ROWS($V$2:V269),$V$2:$V$1001,0),0), INDEX($AC$1004:$AS$1004,1,MATCH(COLUMNS($AC$1006:AJ1006),$AC$1006:$AS$1006,0)))),"Fix")))</f>
        <v>0</v>
      </c>
      <c r="J269" s="5">
        <f>IF(OR(INDEX($W$2:$W$1001,MATCH(ROWS($V$2:V269),$V$2:$V$1001,0),1)&gt;=100000,INDEX($AC$1005:$AS$1005,1,MATCH(COLUMNS($AC$1006:AK1006),$AC$1006:$AS$1006,0))&gt;=100000), " ",IF(INDEX($AC$2:$AS$1001,MATCH(ROWS($V$2:V269),$V$2:$V$1001,0),MATCH(COLUMNS($AC$1006:AK1006),$AC$1006:$AS$1006,0)), HYPERLINK("#",""), HYPERLINK(CONCATENATE("#Metadata!", ADDRESS(INDEX($X$2:$X$1001,MATCH(ROWS($V$2:V269),$V$2:$V$1001,0),0), INDEX($AC$1004:$AS$1004,1,MATCH(COLUMNS($AC$1006:AK1006),$AC$1006:$AS$1006,0)))),"Fix")))</f>
        <v>0</v>
      </c>
      <c r="K269" s="5">
        <f>IF(OR(INDEX($W$2:$W$1001,MATCH(ROWS($V$2:V269),$V$2:$V$1001,0),1)&gt;=100000,INDEX($AC$1005:$AS$1005,1,MATCH(COLUMNS($AC$1006:AL1006),$AC$1006:$AS$1006,0))&gt;=100000), " ",IF(INDEX($AC$2:$AS$1001,MATCH(ROWS($V$2:V269),$V$2:$V$1001,0),MATCH(COLUMNS($AC$1006:AL1006),$AC$1006:$AS$1006,0)), HYPERLINK("#",""), HYPERLINK(CONCATENATE("#Metadata!", ADDRESS(INDEX($X$2:$X$1001,MATCH(ROWS($V$2:V269),$V$2:$V$1001,0),0), INDEX($AC$1004:$AS$1004,1,MATCH(COLUMNS($AC$1006:AL1006),$AC$1006:$AS$1006,0)))),"Fix")))</f>
        <v>0</v>
      </c>
      <c r="L269" s="5">
        <f>IF(OR(INDEX($W$2:$W$1001,MATCH(ROWS($V$2:V269),$V$2:$V$1001,0),1)&gt;=100000,INDEX($AC$1005:$AS$1005,1,MATCH(COLUMNS($AC$1006:AM1006),$AC$1006:$AS$1006,0))&gt;=100000), " ",IF(INDEX($AC$2:$AS$1001,MATCH(ROWS($V$2:V269),$V$2:$V$1001,0),MATCH(COLUMNS($AC$1006:AM1006),$AC$1006:$AS$1006,0)), HYPERLINK("#",""), HYPERLINK(CONCATENATE("#Metadata!", ADDRESS(INDEX($X$2:$X$1001,MATCH(ROWS($V$2:V269),$V$2:$V$1001,0),0), INDEX($AC$1004:$AS$1004,1,MATCH(COLUMNS($AC$1006:AM1006),$AC$1006:$AS$1006,0)))),"Fix")))</f>
        <v>0</v>
      </c>
      <c r="M269" s="5">
        <f>IF(OR(INDEX($W$2:$W$1001,MATCH(ROWS($V$2:V269),$V$2:$V$1001,0),1)&gt;=100000,INDEX($AC$1005:$AS$1005,1,MATCH(COLUMNS($AC$1006:AN1006),$AC$1006:$AS$1006,0))&gt;=100000), " ",IF(INDEX($AC$2:$AS$1001,MATCH(ROWS($V$2:V269),$V$2:$V$1001,0),MATCH(COLUMNS($AC$1006:AN1006),$AC$1006:$AS$1006,0)), HYPERLINK("#",""), HYPERLINK(CONCATENATE("#Metadata!", ADDRESS(INDEX($X$2:$X$1001,MATCH(ROWS($V$2:V269),$V$2:$V$1001,0),0), INDEX($AC$1004:$AS$1004,1,MATCH(COLUMNS($AC$1006:AN1006),$AC$1006:$AS$1006,0)))),"Fix")))</f>
        <v>0</v>
      </c>
      <c r="N269" s="5">
        <f>IF(OR(INDEX($W$2:$W$1001,MATCH(ROWS($V$2:V269),$V$2:$V$1001,0),1)&gt;=100000,INDEX($AC$1005:$AS$1005,1,MATCH(COLUMNS($AC$1006:AO1006),$AC$1006:$AS$1006,0))&gt;=100000), " ",IF(INDEX($AC$2:$AS$1001,MATCH(ROWS($V$2:V269),$V$2:$V$1001,0),MATCH(COLUMNS($AC$1006:AO1006),$AC$1006:$AS$1006,0)), HYPERLINK("#",""), HYPERLINK(CONCATENATE("#Metadata!", ADDRESS(INDEX($X$2:$X$1001,MATCH(ROWS($V$2:V269),$V$2:$V$1001,0),0), INDEX($AC$1004:$AS$1004,1,MATCH(COLUMNS($AC$1006:AO1006),$AC$1006:$AS$1006,0)))),"Fix")))</f>
        <v>0</v>
      </c>
      <c r="O269" s="5">
        <f>IF(OR(INDEX($W$2:$W$1001,MATCH(ROWS($V$2:V269),$V$2:$V$1001,0),1)&gt;=100000,INDEX($AC$1005:$AS$1005,1,MATCH(COLUMNS($AC$1006:AP1006),$AC$1006:$AS$1006,0))&gt;=100000), " ",IF(INDEX($AC$2:$AS$1001,MATCH(ROWS($V$2:V269),$V$2:$V$1001,0),MATCH(COLUMNS($AC$1006:AP1006),$AC$1006:$AS$1006,0)), HYPERLINK("#",""), HYPERLINK(CONCATENATE("#Metadata!", ADDRESS(INDEX($X$2:$X$1001,MATCH(ROWS($V$2:V269),$V$2:$V$1001,0),0), INDEX($AC$1004:$AS$1004,1,MATCH(COLUMNS($AC$1006:AP1006),$AC$1006:$AS$1006,0)))),"Fix")))</f>
        <v>0</v>
      </c>
      <c r="P269" s="5">
        <f>IF(OR(INDEX($W$2:$W$1001,MATCH(ROWS($V$2:V269),$V$2:$V$1001,0),1)&gt;=100000,INDEX($AC$1005:$AS$1005,1,MATCH(COLUMNS($AC$1006:AQ1006),$AC$1006:$AS$1006,0))&gt;=100000), " ",IF(INDEX($AC$2:$AS$1001,MATCH(ROWS($V$2:V269),$V$2:$V$1001,0),MATCH(COLUMNS($AC$1006:AQ1006),$AC$1006:$AS$1006,0)), HYPERLINK("#",""), HYPERLINK(CONCATENATE("#Metadata!", ADDRESS(INDEX($X$2:$X$1001,MATCH(ROWS($V$2:V269),$V$2:$V$1001,0),0), INDEX($AC$1004:$AS$1004,1,MATCH(COLUMNS($AC$1006:AQ1006),$AC$1006:$AS$1006,0)))),"Fix")))</f>
        <v>0</v>
      </c>
      <c r="Q269" s="5">
        <f>IF(OR(INDEX($W$2:$W$1001,MATCH(ROWS($V$2:V269),$V$2:$V$1001,0),1)&gt;=100000,INDEX($AC$1005:$AS$1005,1,MATCH(COLUMNS($AC$1006:AR1006),$AC$1006:$AS$1006,0))&gt;=100000), " ",IF(INDEX($AC$2:$AS$1001,MATCH(ROWS($V$2:V269),$V$2:$V$1001,0),MATCH(COLUMNS($AC$1006:AR1006),$AC$1006:$AS$1006,0)), HYPERLINK("#",""), HYPERLINK(CONCATENATE("#Metadata!", ADDRESS(INDEX($X$2:$X$1001,MATCH(ROWS($V$2:V269),$V$2:$V$1001,0),0), INDEX($AC$1004:$AS$1004,1,MATCH(COLUMNS($AC$1006:AR1006),$AC$1006:$AS$1006,0)))),"Fix")))</f>
        <v>0</v>
      </c>
      <c r="R269" s="5">
        <f>IF(OR(INDEX($W$2:$W$1001,MATCH(ROWS($V$2:V269),$V$2:$V$1001,0),1)&gt;=100000,INDEX($AC$1005:$AS$1005,1,MATCH(COLUMNS($AC$1006:AS1006),$AC$1006:$AS$1006,0))&gt;=100000), " ",IF(INDEX($AC$2:$AS$1001,MATCH(ROWS($V$2:V269),$V$2:$V$1001,0),MATCH(COLUMNS($AC$1006:AS1006),$AC$1006:$AS$1006,0)), HYPERLINK("#",""), HYPERLINK(CONCATENATE("#Metadata!", ADDRESS(INDEX($X$2:$X$1001,MATCH(ROWS($V$2:V269),$V$2:$V$1001,0),0), INDEX($AC$1004:$AS$1004,1,MATCH(COLUMNS($AC$1006:AS1006),$AC$1006:$AS$1006,0)))),"Fix")))</f>
        <v>0</v>
      </c>
      <c r="V269">
        <v>0</v>
      </c>
      <c r="W269">
        <v>0</v>
      </c>
      <c r="X269">
        <v>0</v>
      </c>
      <c r="Y269">
        <f>IF(Z269,TRUE,AND(AC269:AS269))</f>
        <v>0</v>
      </c>
      <c r="Z269">
        <f>COUNTBLANK(Metadata!B269:R269)=COLUMNS(Metadata!B269:R269)</f>
        <v>0</v>
      </c>
      <c r="AA269">
        <v>0</v>
      </c>
      <c r="AC269">
        <f>AND(IF(Metadata!B269="",FALSE,TRUE),COUNTIF(Metadata!B:B, Metadata!B269) = 1,NOT(ISERROR(SUMPRODUCT(SEARCH(MID(Metadata!B269,ROW(INDIRECT("1:"&amp;LEN(Metadata!B269))), 1),"0123456789abcdefghijklmnopqrstuvwxyzABCDEFGHIJKLMNOPQRSTUVWXYZ.")))))</f>
        <v>0</v>
      </c>
      <c r="AD269">
        <f>AND(IF(Metadata!C269="",FALSE,TRUE),exact(Metadata!C269,"Host-associated"))</f>
        <v>0</v>
      </c>
      <c r="AE269">
        <f>AND(IF(Metadata!D269="",FALSE,TRUE),OR(exact(Metadata!D269,"Animal"),exact(Metadata!D269,"Fungus"),exact(Metadata!D269,"Plant")))</f>
        <v>0</v>
      </c>
      <c r="AF269">
        <f>AND(IF(Metadata!E269="",FALSE,TRUE),OR(exact(Metadata!E269,"Plant secretion"),exact(Metadata!E269,"Plant rhizosphere"),exact(Metadata!E269,"Plant surface"),exact(Metadata!E269,"Plant corpus"),exact(Metadata!E269,"Fungus surface"),exact(Metadata!E269,"Fungus corpus"),exact(Metadata!E269,"Animal surface"),exact(Metadata!E269,"Animal proximal gut"),exact(Metadata!E269,"Animal corpus"),exact(Metadata!E269,"Animal distal gut"),exact(Metadata!E269,"Animal secretion")))</f>
        <v>0</v>
      </c>
      <c r="AG269">
        <f>OR(AND(IF(Metadata!F269="",FALSE,TRUE),OR(exact(Metadata!F269,"not collected"),exact(Metadata!F269,"not provided"),exact(Metadata!F269,"restricted access"))),AND(IF(Metadata!F269="",FALSE,TRUE),OR(exact(Metadata!F269,"organism-associated habitat"),exact(Metadata!F269,"plant-associated habitat"),exact(Metadata!F269,"animal-associated habitat"),exact(Metadata!F269,"insecta-associated habitat"),exact(Metadata!F269,"mammalia-associated habitat"),exact(Metadata!F269,"human-associated habitat"),exact(Metadata!F269,"livestock-associated habitat"))))</f>
        <v>0</v>
      </c>
      <c r="AH269">
        <f>AND(IF(Metadata!G269="",FALSE,TRUE),exact(Metadata!G269,"host-associated"))</f>
        <v>0</v>
      </c>
      <c r="AI269">
        <f>OR(AND(IF(Metadata!H269="",FALSE,TRUE),OR(exact(Metadata!H269,"not collected"),exact(Metadata!H269,"not provided"))),AND(IF(Metadata!H269="",FALSE,ISNUMBER(VALUE(Metadata!H269))),Metadata!H269&gt;0))</f>
        <v>0</v>
      </c>
      <c r="AJ269">
        <f>AND(IF(Metadata!I269="",FALSE,TRUE),exact(Metadata!I269,"years"))</f>
        <v>0</v>
      </c>
      <c r="AK269">
        <f>IF(Metadata!J269="",FALSE,TRUE)</f>
        <v>0</v>
      </c>
      <c r="AL269">
        <f>OR(AND(IF(Metadata!K269="",FALSE,TRUE),OR(exact(Metadata!K269,"not collected"),exact(Metadata!K269,"not provided"))),AND(IF(Metadata!K269="",FALSE,ISNUMBER(VALUE(Metadata!K269))),Metadata!K269&gt;0))</f>
        <v>0</v>
      </c>
      <c r="AM269">
        <f>AND(IF(Metadata!L269="",FALSE,TRUE),exact(Metadata!L269,"cm"))</f>
        <v>0</v>
      </c>
      <c r="AN269">
        <f>IF(Metadata!M269="",FALSE,TRUE)</f>
        <v>0</v>
      </c>
      <c r="AO269">
        <f>OR(AND(IF(Metadata!N269="",FALSE,TRUE),OR(exact(Metadata!N269,"not applicable"),exact(Metadata!N269,"not collected"),exact(Metadata!N269,"not provided"))),AND(IF(Metadata!N269="",FALSE,IF(ISERROR(INT(Metadata!N269)),FALSE,INT(Metadata!N269)=Metadata!N269)),Metadata!N269&gt;0))</f>
        <v>0</v>
      </c>
      <c r="AP269">
        <f>OR(AND(IF(Metadata!O269="",FALSE,TRUE),OR(exact(Metadata!O269,"not collected"),exact(Metadata!O269,"not provided"))),AND(IF(Metadata!O269="",FALSE,ISNUMBER(VALUE(Metadata!O269))),Metadata!O269&gt;0))</f>
        <v>0</v>
      </c>
      <c r="AQ269">
        <f>AND(IF(Metadata!P269="",FALSE,TRUE),exact(Metadata!P269,"kg"))</f>
        <v>0</v>
      </c>
      <c r="AR269">
        <f>OR(AND(IF(Metadata!Q269="",FALSE,TRUE),OR(exact(Metadata!Q269,"not applicable"),exact(Metadata!Q269,"not collected"),exact(Metadata!Q269,"not provided"),exact(Metadata!Q269,"restricted access"))),IF(Metadata!Q269="",FALSE,IF(ISERROR(INT(Metadata!Q269)),FALSE,INT(Metadata!Q269)=Metadata!Q269)))</f>
        <v>0</v>
      </c>
      <c r="AS269">
        <f>AND(IF(Metadata!R269="",FALSE,TRUE),exact(Metadata!R269,"Not applicable"))</f>
        <v>0</v>
      </c>
    </row>
    <row r="270" spans="1:45">
      <c r="A270" s="4">
        <f>IF(B270=" "," ",HYPERLINK(CONCATENATE("#metadata!",ADDRESS(INDEX($X$2:$X$1001,MATCH(ROWS($V$2:V270),$V$2:$V$1001,0),0),2)),INDEX($AA$2:$AA$1001,MATCH(ROWS($V$2:V270),$V$2:$V$1001,0),0)))</f>
        <v>0</v>
      </c>
      <c r="B270" s="5">
        <f>IF(OR(INDEX($W$2:$W$1001,MATCH(ROWS($V$2:V270),$V$2:$V$1001,0),1)&gt;=100000,INDEX($AC$1005:$AS$1005,1,MATCH(COLUMNS($AC$1006:AC1006),$AC$1006:$AS$1006,0))&gt;=100000), " ",IF(INDEX($AC$2:$AS$1001,MATCH(ROWS($V$2:V270),$V$2:$V$1001,0),MATCH(COLUMNS($AC$1006:AC1006),$AC$1006:$AS$1006,0)), HYPERLINK("#",""), HYPERLINK(CONCATENATE("#Metadata!", ADDRESS(INDEX($X$2:$X$1001,MATCH(ROWS($V$2:V270),$V$2:$V$1001,0),0), INDEX($AC$1004:$AS$1004,1,MATCH(COLUMNS($AC$1006:AC1006),$AC$1006:$AS$1006,0)))),"Fix")))</f>
        <v>0</v>
      </c>
      <c r="C270" s="5">
        <f>IF(OR(INDEX($W$2:$W$1001,MATCH(ROWS($V$2:V270),$V$2:$V$1001,0),1)&gt;=100000,INDEX($AC$1005:$AS$1005,1,MATCH(COLUMNS($AC$1006:AD1006),$AC$1006:$AS$1006,0))&gt;=100000), " ",IF(INDEX($AC$2:$AS$1001,MATCH(ROWS($V$2:V270),$V$2:$V$1001,0),MATCH(COLUMNS($AC$1006:AD1006),$AC$1006:$AS$1006,0)), HYPERLINK("#",""), HYPERLINK(CONCATENATE("#Metadata!", ADDRESS(INDEX($X$2:$X$1001,MATCH(ROWS($V$2:V270),$V$2:$V$1001,0),0), INDEX($AC$1004:$AS$1004,1,MATCH(COLUMNS($AC$1006:AD1006),$AC$1006:$AS$1006,0)))),"Fix")))</f>
        <v>0</v>
      </c>
      <c r="D270" s="5">
        <f>IF(OR(INDEX($W$2:$W$1001,MATCH(ROWS($V$2:V270),$V$2:$V$1001,0),1)&gt;=100000,INDEX($AC$1005:$AS$1005,1,MATCH(COLUMNS($AC$1006:AE1006),$AC$1006:$AS$1006,0))&gt;=100000), " ",IF(INDEX($AC$2:$AS$1001,MATCH(ROWS($V$2:V270),$V$2:$V$1001,0),MATCH(COLUMNS($AC$1006:AE1006),$AC$1006:$AS$1006,0)), HYPERLINK("#",""), HYPERLINK(CONCATENATE("#Metadata!", ADDRESS(INDEX($X$2:$X$1001,MATCH(ROWS($V$2:V270),$V$2:$V$1001,0),0), INDEX($AC$1004:$AS$1004,1,MATCH(COLUMNS($AC$1006:AE1006),$AC$1006:$AS$1006,0)))),"Fix")))</f>
        <v>0</v>
      </c>
      <c r="E270" s="5">
        <f>IF(OR(INDEX($W$2:$W$1001,MATCH(ROWS($V$2:V270),$V$2:$V$1001,0),1)&gt;=100000,INDEX($AC$1005:$AS$1005,1,MATCH(COLUMNS($AC$1006:AF1006),$AC$1006:$AS$1006,0))&gt;=100000), " ",IF(INDEX($AC$2:$AS$1001,MATCH(ROWS($V$2:V270),$V$2:$V$1001,0),MATCH(COLUMNS($AC$1006:AF1006),$AC$1006:$AS$1006,0)), HYPERLINK("#",""), HYPERLINK(CONCATENATE("#Metadata!", ADDRESS(INDEX($X$2:$X$1001,MATCH(ROWS($V$2:V270),$V$2:$V$1001,0),0), INDEX($AC$1004:$AS$1004,1,MATCH(COLUMNS($AC$1006:AF1006),$AC$1006:$AS$1006,0)))),"Fix")))</f>
        <v>0</v>
      </c>
      <c r="F270" s="5">
        <f>IF(OR(INDEX($W$2:$W$1001,MATCH(ROWS($V$2:V270),$V$2:$V$1001,0),1)&gt;=100000,INDEX($AC$1005:$AS$1005,1,MATCH(COLUMNS($AC$1006:AG1006),$AC$1006:$AS$1006,0))&gt;=100000), " ",IF(INDEX($AC$2:$AS$1001,MATCH(ROWS($V$2:V270),$V$2:$V$1001,0),MATCH(COLUMNS($AC$1006:AG1006),$AC$1006:$AS$1006,0)), HYPERLINK("#",""), HYPERLINK(CONCATENATE("#Metadata!", ADDRESS(INDEX($X$2:$X$1001,MATCH(ROWS($V$2:V270),$V$2:$V$1001,0),0), INDEX($AC$1004:$AS$1004,1,MATCH(COLUMNS($AC$1006:AG1006),$AC$1006:$AS$1006,0)))),"Fix")))</f>
        <v>0</v>
      </c>
      <c r="G270" s="5">
        <f>IF(OR(INDEX($W$2:$W$1001,MATCH(ROWS($V$2:V270),$V$2:$V$1001,0),1)&gt;=100000,INDEX($AC$1005:$AS$1005,1,MATCH(COLUMNS($AC$1006:AH1006),$AC$1006:$AS$1006,0))&gt;=100000), " ",IF(INDEX($AC$2:$AS$1001,MATCH(ROWS($V$2:V270),$V$2:$V$1001,0),MATCH(COLUMNS($AC$1006:AH1006),$AC$1006:$AS$1006,0)), HYPERLINK("#",""), HYPERLINK(CONCATENATE("#Metadata!", ADDRESS(INDEX($X$2:$X$1001,MATCH(ROWS($V$2:V270),$V$2:$V$1001,0),0), INDEX($AC$1004:$AS$1004,1,MATCH(COLUMNS($AC$1006:AH1006),$AC$1006:$AS$1006,0)))),"Fix")))</f>
        <v>0</v>
      </c>
      <c r="H270" s="5">
        <f>IF(OR(INDEX($W$2:$W$1001,MATCH(ROWS($V$2:V270),$V$2:$V$1001,0),1)&gt;=100000,INDEX($AC$1005:$AS$1005,1,MATCH(COLUMNS($AC$1006:AI1006),$AC$1006:$AS$1006,0))&gt;=100000), " ",IF(INDEX($AC$2:$AS$1001,MATCH(ROWS($V$2:V270),$V$2:$V$1001,0),MATCH(COLUMNS($AC$1006:AI1006),$AC$1006:$AS$1006,0)), HYPERLINK("#",""), HYPERLINK(CONCATENATE("#Metadata!", ADDRESS(INDEX($X$2:$X$1001,MATCH(ROWS($V$2:V270),$V$2:$V$1001,0),0), INDEX($AC$1004:$AS$1004,1,MATCH(COLUMNS($AC$1006:AI1006),$AC$1006:$AS$1006,0)))),"Fix")))</f>
        <v>0</v>
      </c>
      <c r="I270" s="5">
        <f>IF(OR(INDEX($W$2:$W$1001,MATCH(ROWS($V$2:V270),$V$2:$V$1001,0),1)&gt;=100000,INDEX($AC$1005:$AS$1005,1,MATCH(COLUMNS($AC$1006:AJ1006),$AC$1006:$AS$1006,0))&gt;=100000), " ",IF(INDEX($AC$2:$AS$1001,MATCH(ROWS($V$2:V270),$V$2:$V$1001,0),MATCH(COLUMNS($AC$1006:AJ1006),$AC$1006:$AS$1006,0)), HYPERLINK("#",""), HYPERLINK(CONCATENATE("#Metadata!", ADDRESS(INDEX($X$2:$X$1001,MATCH(ROWS($V$2:V270),$V$2:$V$1001,0),0), INDEX($AC$1004:$AS$1004,1,MATCH(COLUMNS($AC$1006:AJ1006),$AC$1006:$AS$1006,0)))),"Fix")))</f>
        <v>0</v>
      </c>
      <c r="J270" s="5">
        <f>IF(OR(INDEX($W$2:$W$1001,MATCH(ROWS($V$2:V270),$V$2:$V$1001,0),1)&gt;=100000,INDEX($AC$1005:$AS$1005,1,MATCH(COLUMNS($AC$1006:AK1006),$AC$1006:$AS$1006,0))&gt;=100000), " ",IF(INDEX($AC$2:$AS$1001,MATCH(ROWS($V$2:V270),$V$2:$V$1001,0),MATCH(COLUMNS($AC$1006:AK1006),$AC$1006:$AS$1006,0)), HYPERLINK("#",""), HYPERLINK(CONCATENATE("#Metadata!", ADDRESS(INDEX($X$2:$X$1001,MATCH(ROWS($V$2:V270),$V$2:$V$1001,0),0), INDEX($AC$1004:$AS$1004,1,MATCH(COLUMNS($AC$1006:AK1006),$AC$1006:$AS$1006,0)))),"Fix")))</f>
        <v>0</v>
      </c>
      <c r="K270" s="5">
        <f>IF(OR(INDEX($W$2:$W$1001,MATCH(ROWS($V$2:V270),$V$2:$V$1001,0),1)&gt;=100000,INDEX($AC$1005:$AS$1005,1,MATCH(COLUMNS($AC$1006:AL1006),$AC$1006:$AS$1006,0))&gt;=100000), " ",IF(INDEX($AC$2:$AS$1001,MATCH(ROWS($V$2:V270),$V$2:$V$1001,0),MATCH(COLUMNS($AC$1006:AL1006),$AC$1006:$AS$1006,0)), HYPERLINK("#",""), HYPERLINK(CONCATENATE("#Metadata!", ADDRESS(INDEX($X$2:$X$1001,MATCH(ROWS($V$2:V270),$V$2:$V$1001,0),0), INDEX($AC$1004:$AS$1004,1,MATCH(COLUMNS($AC$1006:AL1006),$AC$1006:$AS$1006,0)))),"Fix")))</f>
        <v>0</v>
      </c>
      <c r="L270" s="5">
        <f>IF(OR(INDEX($W$2:$W$1001,MATCH(ROWS($V$2:V270),$V$2:$V$1001,0),1)&gt;=100000,INDEX($AC$1005:$AS$1005,1,MATCH(COLUMNS($AC$1006:AM1006),$AC$1006:$AS$1006,0))&gt;=100000), " ",IF(INDEX($AC$2:$AS$1001,MATCH(ROWS($V$2:V270),$V$2:$V$1001,0),MATCH(COLUMNS($AC$1006:AM1006),$AC$1006:$AS$1006,0)), HYPERLINK("#",""), HYPERLINK(CONCATENATE("#Metadata!", ADDRESS(INDEX($X$2:$X$1001,MATCH(ROWS($V$2:V270),$V$2:$V$1001,0),0), INDEX($AC$1004:$AS$1004,1,MATCH(COLUMNS($AC$1006:AM1006),$AC$1006:$AS$1006,0)))),"Fix")))</f>
        <v>0</v>
      </c>
      <c r="M270" s="5">
        <f>IF(OR(INDEX($W$2:$W$1001,MATCH(ROWS($V$2:V270),$V$2:$V$1001,0),1)&gt;=100000,INDEX($AC$1005:$AS$1005,1,MATCH(COLUMNS($AC$1006:AN1006),$AC$1006:$AS$1006,0))&gt;=100000), " ",IF(INDEX($AC$2:$AS$1001,MATCH(ROWS($V$2:V270),$V$2:$V$1001,0),MATCH(COLUMNS($AC$1006:AN1006),$AC$1006:$AS$1006,0)), HYPERLINK("#",""), HYPERLINK(CONCATENATE("#Metadata!", ADDRESS(INDEX($X$2:$X$1001,MATCH(ROWS($V$2:V270),$V$2:$V$1001,0),0), INDEX($AC$1004:$AS$1004,1,MATCH(COLUMNS($AC$1006:AN1006),$AC$1006:$AS$1006,0)))),"Fix")))</f>
        <v>0</v>
      </c>
      <c r="N270" s="5">
        <f>IF(OR(INDEX($W$2:$W$1001,MATCH(ROWS($V$2:V270),$V$2:$V$1001,0),1)&gt;=100000,INDEX($AC$1005:$AS$1005,1,MATCH(COLUMNS($AC$1006:AO1006),$AC$1006:$AS$1006,0))&gt;=100000), " ",IF(INDEX($AC$2:$AS$1001,MATCH(ROWS($V$2:V270),$V$2:$V$1001,0),MATCH(COLUMNS($AC$1006:AO1006),$AC$1006:$AS$1006,0)), HYPERLINK("#",""), HYPERLINK(CONCATENATE("#Metadata!", ADDRESS(INDEX($X$2:$X$1001,MATCH(ROWS($V$2:V270),$V$2:$V$1001,0),0), INDEX($AC$1004:$AS$1004,1,MATCH(COLUMNS($AC$1006:AO1006),$AC$1006:$AS$1006,0)))),"Fix")))</f>
        <v>0</v>
      </c>
      <c r="O270" s="5">
        <f>IF(OR(INDEX($W$2:$W$1001,MATCH(ROWS($V$2:V270),$V$2:$V$1001,0),1)&gt;=100000,INDEX($AC$1005:$AS$1005,1,MATCH(COLUMNS($AC$1006:AP1006),$AC$1006:$AS$1006,0))&gt;=100000), " ",IF(INDEX($AC$2:$AS$1001,MATCH(ROWS($V$2:V270),$V$2:$V$1001,0),MATCH(COLUMNS($AC$1006:AP1006),$AC$1006:$AS$1006,0)), HYPERLINK("#",""), HYPERLINK(CONCATENATE("#Metadata!", ADDRESS(INDEX($X$2:$X$1001,MATCH(ROWS($V$2:V270),$V$2:$V$1001,0),0), INDEX($AC$1004:$AS$1004,1,MATCH(COLUMNS($AC$1006:AP1006),$AC$1006:$AS$1006,0)))),"Fix")))</f>
        <v>0</v>
      </c>
      <c r="P270" s="5">
        <f>IF(OR(INDEX($W$2:$W$1001,MATCH(ROWS($V$2:V270),$V$2:$V$1001,0),1)&gt;=100000,INDEX($AC$1005:$AS$1005,1,MATCH(COLUMNS($AC$1006:AQ1006),$AC$1006:$AS$1006,0))&gt;=100000), " ",IF(INDEX($AC$2:$AS$1001,MATCH(ROWS($V$2:V270),$V$2:$V$1001,0),MATCH(COLUMNS($AC$1006:AQ1006),$AC$1006:$AS$1006,0)), HYPERLINK("#",""), HYPERLINK(CONCATENATE("#Metadata!", ADDRESS(INDEX($X$2:$X$1001,MATCH(ROWS($V$2:V270),$V$2:$V$1001,0),0), INDEX($AC$1004:$AS$1004,1,MATCH(COLUMNS($AC$1006:AQ1006),$AC$1006:$AS$1006,0)))),"Fix")))</f>
        <v>0</v>
      </c>
      <c r="Q270" s="5">
        <f>IF(OR(INDEX($W$2:$W$1001,MATCH(ROWS($V$2:V270),$V$2:$V$1001,0),1)&gt;=100000,INDEX($AC$1005:$AS$1005,1,MATCH(COLUMNS($AC$1006:AR1006),$AC$1006:$AS$1006,0))&gt;=100000), " ",IF(INDEX($AC$2:$AS$1001,MATCH(ROWS($V$2:V270),$V$2:$V$1001,0),MATCH(COLUMNS($AC$1006:AR1006),$AC$1006:$AS$1006,0)), HYPERLINK("#",""), HYPERLINK(CONCATENATE("#Metadata!", ADDRESS(INDEX($X$2:$X$1001,MATCH(ROWS($V$2:V270),$V$2:$V$1001,0),0), INDEX($AC$1004:$AS$1004,1,MATCH(COLUMNS($AC$1006:AR1006),$AC$1006:$AS$1006,0)))),"Fix")))</f>
        <v>0</v>
      </c>
      <c r="R270" s="5">
        <f>IF(OR(INDEX($W$2:$W$1001,MATCH(ROWS($V$2:V270),$V$2:$V$1001,0),1)&gt;=100000,INDEX($AC$1005:$AS$1005,1,MATCH(COLUMNS($AC$1006:AS1006),$AC$1006:$AS$1006,0))&gt;=100000), " ",IF(INDEX($AC$2:$AS$1001,MATCH(ROWS($V$2:V270),$V$2:$V$1001,0),MATCH(COLUMNS($AC$1006:AS1006),$AC$1006:$AS$1006,0)), HYPERLINK("#",""), HYPERLINK(CONCATENATE("#Metadata!", ADDRESS(INDEX($X$2:$X$1001,MATCH(ROWS($V$2:V270),$V$2:$V$1001,0),0), INDEX($AC$1004:$AS$1004,1,MATCH(COLUMNS($AC$1006:AS1006),$AC$1006:$AS$1006,0)))),"Fix")))</f>
        <v>0</v>
      </c>
      <c r="V270">
        <v>0</v>
      </c>
      <c r="W270">
        <v>0</v>
      </c>
      <c r="X270">
        <v>0</v>
      </c>
      <c r="Y270">
        <f>IF(Z270,TRUE,AND(AC270:AS270))</f>
        <v>0</v>
      </c>
      <c r="Z270">
        <f>COUNTBLANK(Metadata!B270:R270)=COLUMNS(Metadata!B270:R270)</f>
        <v>0</v>
      </c>
      <c r="AA270">
        <v>0</v>
      </c>
      <c r="AC270">
        <f>AND(IF(Metadata!B270="",FALSE,TRUE),COUNTIF(Metadata!B:B, Metadata!B270) = 1,NOT(ISERROR(SUMPRODUCT(SEARCH(MID(Metadata!B270,ROW(INDIRECT("1:"&amp;LEN(Metadata!B270))), 1),"0123456789abcdefghijklmnopqrstuvwxyzABCDEFGHIJKLMNOPQRSTUVWXYZ.")))))</f>
        <v>0</v>
      </c>
      <c r="AD270">
        <f>AND(IF(Metadata!C270="",FALSE,TRUE),exact(Metadata!C270,"Host-associated"))</f>
        <v>0</v>
      </c>
      <c r="AE270">
        <f>AND(IF(Metadata!D270="",FALSE,TRUE),OR(exact(Metadata!D270,"Animal"),exact(Metadata!D270,"Fungus"),exact(Metadata!D270,"Plant")))</f>
        <v>0</v>
      </c>
      <c r="AF270">
        <f>AND(IF(Metadata!E270="",FALSE,TRUE),OR(exact(Metadata!E270,"Plant secretion"),exact(Metadata!E270,"Plant rhizosphere"),exact(Metadata!E270,"Plant surface"),exact(Metadata!E270,"Plant corpus"),exact(Metadata!E270,"Fungus surface"),exact(Metadata!E270,"Fungus corpus"),exact(Metadata!E270,"Animal surface"),exact(Metadata!E270,"Animal proximal gut"),exact(Metadata!E270,"Animal corpus"),exact(Metadata!E270,"Animal distal gut"),exact(Metadata!E270,"Animal secretion")))</f>
        <v>0</v>
      </c>
      <c r="AG270">
        <f>OR(AND(IF(Metadata!F270="",FALSE,TRUE),OR(exact(Metadata!F270,"not collected"),exact(Metadata!F270,"not provided"),exact(Metadata!F270,"restricted access"))),AND(IF(Metadata!F270="",FALSE,TRUE),OR(exact(Metadata!F270,"organism-associated habitat"),exact(Metadata!F270,"plant-associated habitat"),exact(Metadata!F270,"animal-associated habitat"),exact(Metadata!F270,"insecta-associated habitat"),exact(Metadata!F270,"mammalia-associated habitat"),exact(Metadata!F270,"human-associated habitat"),exact(Metadata!F270,"livestock-associated habitat"))))</f>
        <v>0</v>
      </c>
      <c r="AH270">
        <f>AND(IF(Metadata!G270="",FALSE,TRUE),exact(Metadata!G270,"host-associated"))</f>
        <v>0</v>
      </c>
      <c r="AI270">
        <f>OR(AND(IF(Metadata!H270="",FALSE,TRUE),OR(exact(Metadata!H270,"not collected"),exact(Metadata!H270,"not provided"))),AND(IF(Metadata!H270="",FALSE,ISNUMBER(VALUE(Metadata!H270))),Metadata!H270&gt;0))</f>
        <v>0</v>
      </c>
      <c r="AJ270">
        <f>AND(IF(Metadata!I270="",FALSE,TRUE),exact(Metadata!I270,"years"))</f>
        <v>0</v>
      </c>
      <c r="AK270">
        <f>IF(Metadata!J270="",FALSE,TRUE)</f>
        <v>0</v>
      </c>
      <c r="AL270">
        <f>OR(AND(IF(Metadata!K270="",FALSE,TRUE),OR(exact(Metadata!K270,"not collected"),exact(Metadata!K270,"not provided"))),AND(IF(Metadata!K270="",FALSE,ISNUMBER(VALUE(Metadata!K270))),Metadata!K270&gt;0))</f>
        <v>0</v>
      </c>
      <c r="AM270">
        <f>AND(IF(Metadata!L270="",FALSE,TRUE),exact(Metadata!L270,"cm"))</f>
        <v>0</v>
      </c>
      <c r="AN270">
        <f>IF(Metadata!M270="",FALSE,TRUE)</f>
        <v>0</v>
      </c>
      <c r="AO270">
        <f>OR(AND(IF(Metadata!N270="",FALSE,TRUE),OR(exact(Metadata!N270,"not applicable"),exact(Metadata!N270,"not collected"),exact(Metadata!N270,"not provided"))),AND(IF(Metadata!N270="",FALSE,IF(ISERROR(INT(Metadata!N270)),FALSE,INT(Metadata!N270)=Metadata!N270)),Metadata!N270&gt;0))</f>
        <v>0</v>
      </c>
      <c r="AP270">
        <f>OR(AND(IF(Metadata!O270="",FALSE,TRUE),OR(exact(Metadata!O270,"not collected"),exact(Metadata!O270,"not provided"))),AND(IF(Metadata!O270="",FALSE,ISNUMBER(VALUE(Metadata!O270))),Metadata!O270&gt;0))</f>
        <v>0</v>
      </c>
      <c r="AQ270">
        <f>AND(IF(Metadata!P270="",FALSE,TRUE),exact(Metadata!P270,"kg"))</f>
        <v>0</v>
      </c>
      <c r="AR270">
        <f>OR(AND(IF(Metadata!Q270="",FALSE,TRUE),OR(exact(Metadata!Q270,"not applicable"),exact(Metadata!Q270,"not collected"),exact(Metadata!Q270,"not provided"),exact(Metadata!Q270,"restricted access"))),IF(Metadata!Q270="",FALSE,IF(ISERROR(INT(Metadata!Q270)),FALSE,INT(Metadata!Q270)=Metadata!Q270)))</f>
        <v>0</v>
      </c>
      <c r="AS270">
        <f>AND(IF(Metadata!R270="",FALSE,TRUE),exact(Metadata!R270,"Not applicable"))</f>
        <v>0</v>
      </c>
    </row>
    <row r="271" spans="1:45">
      <c r="A271" s="4">
        <f>IF(B271=" "," ",HYPERLINK(CONCATENATE("#metadata!",ADDRESS(INDEX($X$2:$X$1001,MATCH(ROWS($V$2:V271),$V$2:$V$1001,0),0),2)),INDEX($AA$2:$AA$1001,MATCH(ROWS($V$2:V271),$V$2:$V$1001,0),0)))</f>
        <v>0</v>
      </c>
      <c r="B271" s="5">
        <f>IF(OR(INDEX($W$2:$W$1001,MATCH(ROWS($V$2:V271),$V$2:$V$1001,0),1)&gt;=100000,INDEX($AC$1005:$AS$1005,1,MATCH(COLUMNS($AC$1006:AC1006),$AC$1006:$AS$1006,0))&gt;=100000), " ",IF(INDEX($AC$2:$AS$1001,MATCH(ROWS($V$2:V271),$V$2:$V$1001,0),MATCH(COLUMNS($AC$1006:AC1006),$AC$1006:$AS$1006,0)), HYPERLINK("#",""), HYPERLINK(CONCATENATE("#Metadata!", ADDRESS(INDEX($X$2:$X$1001,MATCH(ROWS($V$2:V271),$V$2:$V$1001,0),0), INDEX($AC$1004:$AS$1004,1,MATCH(COLUMNS($AC$1006:AC1006),$AC$1006:$AS$1006,0)))),"Fix")))</f>
        <v>0</v>
      </c>
      <c r="C271" s="5">
        <f>IF(OR(INDEX($W$2:$W$1001,MATCH(ROWS($V$2:V271),$V$2:$V$1001,0),1)&gt;=100000,INDEX($AC$1005:$AS$1005,1,MATCH(COLUMNS($AC$1006:AD1006),$AC$1006:$AS$1006,0))&gt;=100000), " ",IF(INDEX($AC$2:$AS$1001,MATCH(ROWS($V$2:V271),$V$2:$V$1001,0),MATCH(COLUMNS($AC$1006:AD1006),$AC$1006:$AS$1006,0)), HYPERLINK("#",""), HYPERLINK(CONCATENATE("#Metadata!", ADDRESS(INDEX($X$2:$X$1001,MATCH(ROWS($V$2:V271),$V$2:$V$1001,0),0), INDEX($AC$1004:$AS$1004,1,MATCH(COLUMNS($AC$1006:AD1006),$AC$1006:$AS$1006,0)))),"Fix")))</f>
        <v>0</v>
      </c>
      <c r="D271" s="5">
        <f>IF(OR(INDEX($W$2:$W$1001,MATCH(ROWS($V$2:V271),$V$2:$V$1001,0),1)&gt;=100000,INDEX($AC$1005:$AS$1005,1,MATCH(COLUMNS($AC$1006:AE1006),$AC$1006:$AS$1006,0))&gt;=100000), " ",IF(INDEX($AC$2:$AS$1001,MATCH(ROWS($V$2:V271),$V$2:$V$1001,0),MATCH(COLUMNS($AC$1006:AE1006),$AC$1006:$AS$1006,0)), HYPERLINK("#",""), HYPERLINK(CONCATENATE("#Metadata!", ADDRESS(INDEX($X$2:$X$1001,MATCH(ROWS($V$2:V271),$V$2:$V$1001,0),0), INDEX($AC$1004:$AS$1004,1,MATCH(COLUMNS($AC$1006:AE1006),$AC$1006:$AS$1006,0)))),"Fix")))</f>
        <v>0</v>
      </c>
      <c r="E271" s="5">
        <f>IF(OR(INDEX($W$2:$W$1001,MATCH(ROWS($V$2:V271),$V$2:$V$1001,0),1)&gt;=100000,INDEX($AC$1005:$AS$1005,1,MATCH(COLUMNS($AC$1006:AF1006),$AC$1006:$AS$1006,0))&gt;=100000), " ",IF(INDEX($AC$2:$AS$1001,MATCH(ROWS($V$2:V271),$V$2:$V$1001,0),MATCH(COLUMNS($AC$1006:AF1006),$AC$1006:$AS$1006,0)), HYPERLINK("#",""), HYPERLINK(CONCATENATE("#Metadata!", ADDRESS(INDEX($X$2:$X$1001,MATCH(ROWS($V$2:V271),$V$2:$V$1001,0),0), INDEX($AC$1004:$AS$1004,1,MATCH(COLUMNS($AC$1006:AF1006),$AC$1006:$AS$1006,0)))),"Fix")))</f>
        <v>0</v>
      </c>
      <c r="F271" s="5">
        <f>IF(OR(INDEX($W$2:$W$1001,MATCH(ROWS($V$2:V271),$V$2:$V$1001,0),1)&gt;=100000,INDEX($AC$1005:$AS$1005,1,MATCH(COLUMNS($AC$1006:AG1006),$AC$1006:$AS$1006,0))&gt;=100000), " ",IF(INDEX($AC$2:$AS$1001,MATCH(ROWS($V$2:V271),$V$2:$V$1001,0),MATCH(COLUMNS($AC$1006:AG1006),$AC$1006:$AS$1006,0)), HYPERLINK("#",""), HYPERLINK(CONCATENATE("#Metadata!", ADDRESS(INDEX($X$2:$X$1001,MATCH(ROWS($V$2:V271),$V$2:$V$1001,0),0), INDEX($AC$1004:$AS$1004,1,MATCH(COLUMNS($AC$1006:AG1006),$AC$1006:$AS$1006,0)))),"Fix")))</f>
        <v>0</v>
      </c>
      <c r="G271" s="5">
        <f>IF(OR(INDEX($W$2:$W$1001,MATCH(ROWS($V$2:V271),$V$2:$V$1001,0),1)&gt;=100000,INDEX($AC$1005:$AS$1005,1,MATCH(COLUMNS($AC$1006:AH1006),$AC$1006:$AS$1006,0))&gt;=100000), " ",IF(INDEX($AC$2:$AS$1001,MATCH(ROWS($V$2:V271),$V$2:$V$1001,0),MATCH(COLUMNS($AC$1006:AH1006),$AC$1006:$AS$1006,0)), HYPERLINK("#",""), HYPERLINK(CONCATENATE("#Metadata!", ADDRESS(INDEX($X$2:$X$1001,MATCH(ROWS($V$2:V271),$V$2:$V$1001,0),0), INDEX($AC$1004:$AS$1004,1,MATCH(COLUMNS($AC$1006:AH1006),$AC$1006:$AS$1006,0)))),"Fix")))</f>
        <v>0</v>
      </c>
      <c r="H271" s="5">
        <f>IF(OR(INDEX($W$2:$W$1001,MATCH(ROWS($V$2:V271),$V$2:$V$1001,0),1)&gt;=100000,INDEX($AC$1005:$AS$1005,1,MATCH(COLUMNS($AC$1006:AI1006),$AC$1006:$AS$1006,0))&gt;=100000), " ",IF(INDEX($AC$2:$AS$1001,MATCH(ROWS($V$2:V271),$V$2:$V$1001,0),MATCH(COLUMNS($AC$1006:AI1006),$AC$1006:$AS$1006,0)), HYPERLINK("#",""), HYPERLINK(CONCATENATE("#Metadata!", ADDRESS(INDEX($X$2:$X$1001,MATCH(ROWS($V$2:V271),$V$2:$V$1001,0),0), INDEX($AC$1004:$AS$1004,1,MATCH(COLUMNS($AC$1006:AI1006),$AC$1006:$AS$1006,0)))),"Fix")))</f>
        <v>0</v>
      </c>
      <c r="I271" s="5">
        <f>IF(OR(INDEX($W$2:$W$1001,MATCH(ROWS($V$2:V271),$V$2:$V$1001,0),1)&gt;=100000,INDEX($AC$1005:$AS$1005,1,MATCH(COLUMNS($AC$1006:AJ1006),$AC$1006:$AS$1006,0))&gt;=100000), " ",IF(INDEX($AC$2:$AS$1001,MATCH(ROWS($V$2:V271),$V$2:$V$1001,0),MATCH(COLUMNS($AC$1006:AJ1006),$AC$1006:$AS$1006,0)), HYPERLINK("#",""), HYPERLINK(CONCATENATE("#Metadata!", ADDRESS(INDEX($X$2:$X$1001,MATCH(ROWS($V$2:V271),$V$2:$V$1001,0),0), INDEX($AC$1004:$AS$1004,1,MATCH(COLUMNS($AC$1006:AJ1006),$AC$1006:$AS$1006,0)))),"Fix")))</f>
        <v>0</v>
      </c>
      <c r="J271" s="5">
        <f>IF(OR(INDEX($W$2:$W$1001,MATCH(ROWS($V$2:V271),$V$2:$V$1001,0),1)&gt;=100000,INDEX($AC$1005:$AS$1005,1,MATCH(COLUMNS($AC$1006:AK1006),$AC$1006:$AS$1006,0))&gt;=100000), " ",IF(INDEX($AC$2:$AS$1001,MATCH(ROWS($V$2:V271),$V$2:$V$1001,0),MATCH(COLUMNS($AC$1006:AK1006),$AC$1006:$AS$1006,0)), HYPERLINK("#",""), HYPERLINK(CONCATENATE("#Metadata!", ADDRESS(INDEX($X$2:$X$1001,MATCH(ROWS($V$2:V271),$V$2:$V$1001,0),0), INDEX($AC$1004:$AS$1004,1,MATCH(COLUMNS($AC$1006:AK1006),$AC$1006:$AS$1006,0)))),"Fix")))</f>
        <v>0</v>
      </c>
      <c r="K271" s="5">
        <f>IF(OR(INDEX($W$2:$W$1001,MATCH(ROWS($V$2:V271),$V$2:$V$1001,0),1)&gt;=100000,INDEX($AC$1005:$AS$1005,1,MATCH(COLUMNS($AC$1006:AL1006),$AC$1006:$AS$1006,0))&gt;=100000), " ",IF(INDEX($AC$2:$AS$1001,MATCH(ROWS($V$2:V271),$V$2:$V$1001,0),MATCH(COLUMNS($AC$1006:AL1006),$AC$1006:$AS$1006,0)), HYPERLINK("#",""), HYPERLINK(CONCATENATE("#Metadata!", ADDRESS(INDEX($X$2:$X$1001,MATCH(ROWS($V$2:V271),$V$2:$V$1001,0),0), INDEX($AC$1004:$AS$1004,1,MATCH(COLUMNS($AC$1006:AL1006),$AC$1006:$AS$1006,0)))),"Fix")))</f>
        <v>0</v>
      </c>
      <c r="L271" s="5">
        <f>IF(OR(INDEX($W$2:$W$1001,MATCH(ROWS($V$2:V271),$V$2:$V$1001,0),1)&gt;=100000,INDEX($AC$1005:$AS$1005,1,MATCH(COLUMNS($AC$1006:AM1006),$AC$1006:$AS$1006,0))&gt;=100000), " ",IF(INDEX($AC$2:$AS$1001,MATCH(ROWS($V$2:V271),$V$2:$V$1001,0),MATCH(COLUMNS($AC$1006:AM1006),$AC$1006:$AS$1006,0)), HYPERLINK("#",""), HYPERLINK(CONCATENATE("#Metadata!", ADDRESS(INDEX($X$2:$X$1001,MATCH(ROWS($V$2:V271),$V$2:$V$1001,0),0), INDEX($AC$1004:$AS$1004,1,MATCH(COLUMNS($AC$1006:AM1006),$AC$1006:$AS$1006,0)))),"Fix")))</f>
        <v>0</v>
      </c>
      <c r="M271" s="5">
        <f>IF(OR(INDEX($W$2:$W$1001,MATCH(ROWS($V$2:V271),$V$2:$V$1001,0),1)&gt;=100000,INDEX($AC$1005:$AS$1005,1,MATCH(COLUMNS($AC$1006:AN1006),$AC$1006:$AS$1006,0))&gt;=100000), " ",IF(INDEX($AC$2:$AS$1001,MATCH(ROWS($V$2:V271),$V$2:$V$1001,0),MATCH(COLUMNS($AC$1006:AN1006),$AC$1006:$AS$1006,0)), HYPERLINK("#",""), HYPERLINK(CONCATENATE("#Metadata!", ADDRESS(INDEX($X$2:$X$1001,MATCH(ROWS($V$2:V271),$V$2:$V$1001,0),0), INDEX($AC$1004:$AS$1004,1,MATCH(COLUMNS($AC$1006:AN1006),$AC$1006:$AS$1006,0)))),"Fix")))</f>
        <v>0</v>
      </c>
      <c r="N271" s="5">
        <f>IF(OR(INDEX($W$2:$W$1001,MATCH(ROWS($V$2:V271),$V$2:$V$1001,0),1)&gt;=100000,INDEX($AC$1005:$AS$1005,1,MATCH(COLUMNS($AC$1006:AO1006),$AC$1006:$AS$1006,0))&gt;=100000), " ",IF(INDEX($AC$2:$AS$1001,MATCH(ROWS($V$2:V271),$V$2:$V$1001,0),MATCH(COLUMNS($AC$1006:AO1006),$AC$1006:$AS$1006,0)), HYPERLINK("#",""), HYPERLINK(CONCATENATE("#Metadata!", ADDRESS(INDEX($X$2:$X$1001,MATCH(ROWS($V$2:V271),$V$2:$V$1001,0),0), INDEX($AC$1004:$AS$1004,1,MATCH(COLUMNS($AC$1006:AO1006),$AC$1006:$AS$1006,0)))),"Fix")))</f>
        <v>0</v>
      </c>
      <c r="O271" s="5">
        <f>IF(OR(INDEX($W$2:$W$1001,MATCH(ROWS($V$2:V271),$V$2:$V$1001,0),1)&gt;=100000,INDEX($AC$1005:$AS$1005,1,MATCH(COLUMNS($AC$1006:AP1006),$AC$1006:$AS$1006,0))&gt;=100000), " ",IF(INDEX($AC$2:$AS$1001,MATCH(ROWS($V$2:V271),$V$2:$V$1001,0),MATCH(COLUMNS($AC$1006:AP1006),$AC$1006:$AS$1006,0)), HYPERLINK("#",""), HYPERLINK(CONCATENATE("#Metadata!", ADDRESS(INDEX($X$2:$X$1001,MATCH(ROWS($V$2:V271),$V$2:$V$1001,0),0), INDEX($AC$1004:$AS$1004,1,MATCH(COLUMNS($AC$1006:AP1006),$AC$1006:$AS$1006,0)))),"Fix")))</f>
        <v>0</v>
      </c>
      <c r="P271" s="5">
        <f>IF(OR(INDEX($W$2:$W$1001,MATCH(ROWS($V$2:V271),$V$2:$V$1001,0),1)&gt;=100000,INDEX($AC$1005:$AS$1005,1,MATCH(COLUMNS($AC$1006:AQ1006),$AC$1006:$AS$1006,0))&gt;=100000), " ",IF(INDEX($AC$2:$AS$1001,MATCH(ROWS($V$2:V271),$V$2:$V$1001,0),MATCH(COLUMNS($AC$1006:AQ1006),$AC$1006:$AS$1006,0)), HYPERLINK("#",""), HYPERLINK(CONCATENATE("#Metadata!", ADDRESS(INDEX($X$2:$X$1001,MATCH(ROWS($V$2:V271),$V$2:$V$1001,0),0), INDEX($AC$1004:$AS$1004,1,MATCH(COLUMNS($AC$1006:AQ1006),$AC$1006:$AS$1006,0)))),"Fix")))</f>
        <v>0</v>
      </c>
      <c r="Q271" s="5">
        <f>IF(OR(INDEX($W$2:$W$1001,MATCH(ROWS($V$2:V271),$V$2:$V$1001,0),1)&gt;=100000,INDEX($AC$1005:$AS$1005,1,MATCH(COLUMNS($AC$1006:AR1006),$AC$1006:$AS$1006,0))&gt;=100000), " ",IF(INDEX($AC$2:$AS$1001,MATCH(ROWS($V$2:V271),$V$2:$V$1001,0),MATCH(COLUMNS($AC$1006:AR1006),$AC$1006:$AS$1006,0)), HYPERLINK("#",""), HYPERLINK(CONCATENATE("#Metadata!", ADDRESS(INDEX($X$2:$X$1001,MATCH(ROWS($V$2:V271),$V$2:$V$1001,0),0), INDEX($AC$1004:$AS$1004,1,MATCH(COLUMNS($AC$1006:AR1006),$AC$1006:$AS$1006,0)))),"Fix")))</f>
        <v>0</v>
      </c>
      <c r="R271" s="5">
        <f>IF(OR(INDEX($W$2:$W$1001,MATCH(ROWS($V$2:V271),$V$2:$V$1001,0),1)&gt;=100000,INDEX($AC$1005:$AS$1005,1,MATCH(COLUMNS($AC$1006:AS1006),$AC$1006:$AS$1006,0))&gt;=100000), " ",IF(INDEX($AC$2:$AS$1001,MATCH(ROWS($V$2:V271),$V$2:$V$1001,0),MATCH(COLUMNS($AC$1006:AS1006),$AC$1006:$AS$1006,0)), HYPERLINK("#",""), HYPERLINK(CONCATENATE("#Metadata!", ADDRESS(INDEX($X$2:$X$1001,MATCH(ROWS($V$2:V271),$V$2:$V$1001,0),0), INDEX($AC$1004:$AS$1004,1,MATCH(COLUMNS($AC$1006:AS1006),$AC$1006:$AS$1006,0)))),"Fix")))</f>
        <v>0</v>
      </c>
      <c r="V271">
        <v>0</v>
      </c>
      <c r="W271">
        <v>0</v>
      </c>
      <c r="X271">
        <v>0</v>
      </c>
      <c r="Y271">
        <f>IF(Z271,TRUE,AND(AC271:AS271))</f>
        <v>0</v>
      </c>
      <c r="Z271">
        <f>COUNTBLANK(Metadata!B271:R271)=COLUMNS(Metadata!B271:R271)</f>
        <v>0</v>
      </c>
      <c r="AA271">
        <v>0</v>
      </c>
      <c r="AC271">
        <f>AND(IF(Metadata!B271="",FALSE,TRUE),COUNTIF(Metadata!B:B, Metadata!B271) = 1,NOT(ISERROR(SUMPRODUCT(SEARCH(MID(Metadata!B271,ROW(INDIRECT("1:"&amp;LEN(Metadata!B271))), 1),"0123456789abcdefghijklmnopqrstuvwxyzABCDEFGHIJKLMNOPQRSTUVWXYZ.")))))</f>
        <v>0</v>
      </c>
      <c r="AD271">
        <f>AND(IF(Metadata!C271="",FALSE,TRUE),exact(Metadata!C271,"Host-associated"))</f>
        <v>0</v>
      </c>
      <c r="AE271">
        <f>AND(IF(Metadata!D271="",FALSE,TRUE),OR(exact(Metadata!D271,"Animal"),exact(Metadata!D271,"Fungus"),exact(Metadata!D271,"Plant")))</f>
        <v>0</v>
      </c>
      <c r="AF271">
        <f>AND(IF(Metadata!E271="",FALSE,TRUE),OR(exact(Metadata!E271,"Plant secretion"),exact(Metadata!E271,"Plant rhizosphere"),exact(Metadata!E271,"Plant surface"),exact(Metadata!E271,"Plant corpus"),exact(Metadata!E271,"Fungus surface"),exact(Metadata!E271,"Fungus corpus"),exact(Metadata!E271,"Animal surface"),exact(Metadata!E271,"Animal proximal gut"),exact(Metadata!E271,"Animal corpus"),exact(Metadata!E271,"Animal distal gut"),exact(Metadata!E271,"Animal secretion")))</f>
        <v>0</v>
      </c>
      <c r="AG271">
        <f>OR(AND(IF(Metadata!F271="",FALSE,TRUE),OR(exact(Metadata!F271,"not collected"),exact(Metadata!F271,"not provided"),exact(Metadata!F271,"restricted access"))),AND(IF(Metadata!F271="",FALSE,TRUE),OR(exact(Metadata!F271,"organism-associated habitat"),exact(Metadata!F271,"plant-associated habitat"),exact(Metadata!F271,"animal-associated habitat"),exact(Metadata!F271,"insecta-associated habitat"),exact(Metadata!F271,"mammalia-associated habitat"),exact(Metadata!F271,"human-associated habitat"),exact(Metadata!F271,"livestock-associated habitat"))))</f>
        <v>0</v>
      </c>
      <c r="AH271">
        <f>AND(IF(Metadata!G271="",FALSE,TRUE),exact(Metadata!G271,"host-associated"))</f>
        <v>0</v>
      </c>
      <c r="AI271">
        <f>OR(AND(IF(Metadata!H271="",FALSE,TRUE),OR(exact(Metadata!H271,"not collected"),exact(Metadata!H271,"not provided"))),AND(IF(Metadata!H271="",FALSE,ISNUMBER(VALUE(Metadata!H271))),Metadata!H271&gt;0))</f>
        <v>0</v>
      </c>
      <c r="AJ271">
        <f>AND(IF(Metadata!I271="",FALSE,TRUE),exact(Metadata!I271,"years"))</f>
        <v>0</v>
      </c>
      <c r="AK271">
        <f>IF(Metadata!J271="",FALSE,TRUE)</f>
        <v>0</v>
      </c>
      <c r="AL271">
        <f>OR(AND(IF(Metadata!K271="",FALSE,TRUE),OR(exact(Metadata!K271,"not collected"),exact(Metadata!K271,"not provided"))),AND(IF(Metadata!K271="",FALSE,ISNUMBER(VALUE(Metadata!K271))),Metadata!K271&gt;0))</f>
        <v>0</v>
      </c>
      <c r="AM271">
        <f>AND(IF(Metadata!L271="",FALSE,TRUE),exact(Metadata!L271,"cm"))</f>
        <v>0</v>
      </c>
      <c r="AN271">
        <f>IF(Metadata!M271="",FALSE,TRUE)</f>
        <v>0</v>
      </c>
      <c r="AO271">
        <f>OR(AND(IF(Metadata!N271="",FALSE,TRUE),OR(exact(Metadata!N271,"not applicable"),exact(Metadata!N271,"not collected"),exact(Metadata!N271,"not provided"))),AND(IF(Metadata!N271="",FALSE,IF(ISERROR(INT(Metadata!N271)),FALSE,INT(Metadata!N271)=Metadata!N271)),Metadata!N271&gt;0))</f>
        <v>0</v>
      </c>
      <c r="AP271">
        <f>OR(AND(IF(Metadata!O271="",FALSE,TRUE),OR(exact(Metadata!O271,"not collected"),exact(Metadata!O271,"not provided"))),AND(IF(Metadata!O271="",FALSE,ISNUMBER(VALUE(Metadata!O271))),Metadata!O271&gt;0))</f>
        <v>0</v>
      </c>
      <c r="AQ271">
        <f>AND(IF(Metadata!P271="",FALSE,TRUE),exact(Metadata!P271,"kg"))</f>
        <v>0</v>
      </c>
      <c r="AR271">
        <f>OR(AND(IF(Metadata!Q271="",FALSE,TRUE),OR(exact(Metadata!Q271,"not applicable"),exact(Metadata!Q271,"not collected"),exact(Metadata!Q271,"not provided"),exact(Metadata!Q271,"restricted access"))),IF(Metadata!Q271="",FALSE,IF(ISERROR(INT(Metadata!Q271)),FALSE,INT(Metadata!Q271)=Metadata!Q271)))</f>
        <v>0</v>
      </c>
      <c r="AS271">
        <f>AND(IF(Metadata!R271="",FALSE,TRUE),exact(Metadata!R271,"Not applicable"))</f>
        <v>0</v>
      </c>
    </row>
    <row r="272" spans="1:45">
      <c r="A272" s="4">
        <f>IF(B272=" "," ",HYPERLINK(CONCATENATE("#metadata!",ADDRESS(INDEX($X$2:$X$1001,MATCH(ROWS($V$2:V272),$V$2:$V$1001,0),0),2)),INDEX($AA$2:$AA$1001,MATCH(ROWS($V$2:V272),$V$2:$V$1001,0),0)))</f>
        <v>0</v>
      </c>
      <c r="B272" s="5">
        <f>IF(OR(INDEX($W$2:$W$1001,MATCH(ROWS($V$2:V272),$V$2:$V$1001,0),1)&gt;=100000,INDEX($AC$1005:$AS$1005,1,MATCH(COLUMNS($AC$1006:AC1006),$AC$1006:$AS$1006,0))&gt;=100000), " ",IF(INDEX($AC$2:$AS$1001,MATCH(ROWS($V$2:V272),$V$2:$V$1001,0),MATCH(COLUMNS($AC$1006:AC1006),$AC$1006:$AS$1006,0)), HYPERLINK("#",""), HYPERLINK(CONCATENATE("#Metadata!", ADDRESS(INDEX($X$2:$X$1001,MATCH(ROWS($V$2:V272),$V$2:$V$1001,0),0), INDEX($AC$1004:$AS$1004,1,MATCH(COLUMNS($AC$1006:AC1006),$AC$1006:$AS$1006,0)))),"Fix")))</f>
        <v>0</v>
      </c>
      <c r="C272" s="5">
        <f>IF(OR(INDEX($W$2:$W$1001,MATCH(ROWS($V$2:V272),$V$2:$V$1001,0),1)&gt;=100000,INDEX($AC$1005:$AS$1005,1,MATCH(COLUMNS($AC$1006:AD1006),$AC$1006:$AS$1006,0))&gt;=100000), " ",IF(INDEX($AC$2:$AS$1001,MATCH(ROWS($V$2:V272),$V$2:$V$1001,0),MATCH(COLUMNS($AC$1006:AD1006),$AC$1006:$AS$1006,0)), HYPERLINK("#",""), HYPERLINK(CONCATENATE("#Metadata!", ADDRESS(INDEX($X$2:$X$1001,MATCH(ROWS($V$2:V272),$V$2:$V$1001,0),0), INDEX($AC$1004:$AS$1004,1,MATCH(COLUMNS($AC$1006:AD1006),$AC$1006:$AS$1006,0)))),"Fix")))</f>
        <v>0</v>
      </c>
      <c r="D272" s="5">
        <f>IF(OR(INDEX($W$2:$W$1001,MATCH(ROWS($V$2:V272),$V$2:$V$1001,0),1)&gt;=100000,INDEX($AC$1005:$AS$1005,1,MATCH(COLUMNS($AC$1006:AE1006),$AC$1006:$AS$1006,0))&gt;=100000), " ",IF(INDEX($AC$2:$AS$1001,MATCH(ROWS($V$2:V272),$V$2:$V$1001,0),MATCH(COLUMNS($AC$1006:AE1006),$AC$1006:$AS$1006,0)), HYPERLINK("#",""), HYPERLINK(CONCATENATE("#Metadata!", ADDRESS(INDEX($X$2:$X$1001,MATCH(ROWS($V$2:V272),$V$2:$V$1001,0),0), INDEX($AC$1004:$AS$1004,1,MATCH(COLUMNS($AC$1006:AE1006),$AC$1006:$AS$1006,0)))),"Fix")))</f>
        <v>0</v>
      </c>
      <c r="E272" s="5">
        <f>IF(OR(INDEX($W$2:$W$1001,MATCH(ROWS($V$2:V272),$V$2:$V$1001,0),1)&gt;=100000,INDEX($AC$1005:$AS$1005,1,MATCH(COLUMNS($AC$1006:AF1006),$AC$1006:$AS$1006,0))&gt;=100000), " ",IF(INDEX($AC$2:$AS$1001,MATCH(ROWS($V$2:V272),$V$2:$V$1001,0),MATCH(COLUMNS($AC$1006:AF1006),$AC$1006:$AS$1006,0)), HYPERLINK("#",""), HYPERLINK(CONCATENATE("#Metadata!", ADDRESS(INDEX($X$2:$X$1001,MATCH(ROWS($V$2:V272),$V$2:$V$1001,0),0), INDEX($AC$1004:$AS$1004,1,MATCH(COLUMNS($AC$1006:AF1006),$AC$1006:$AS$1006,0)))),"Fix")))</f>
        <v>0</v>
      </c>
      <c r="F272" s="5">
        <f>IF(OR(INDEX($W$2:$W$1001,MATCH(ROWS($V$2:V272),$V$2:$V$1001,0),1)&gt;=100000,INDEX($AC$1005:$AS$1005,1,MATCH(COLUMNS($AC$1006:AG1006),$AC$1006:$AS$1006,0))&gt;=100000), " ",IF(INDEX($AC$2:$AS$1001,MATCH(ROWS($V$2:V272),$V$2:$V$1001,0),MATCH(COLUMNS($AC$1006:AG1006),$AC$1006:$AS$1006,0)), HYPERLINK("#",""), HYPERLINK(CONCATENATE("#Metadata!", ADDRESS(INDEX($X$2:$X$1001,MATCH(ROWS($V$2:V272),$V$2:$V$1001,0),0), INDEX($AC$1004:$AS$1004,1,MATCH(COLUMNS($AC$1006:AG1006),$AC$1006:$AS$1006,0)))),"Fix")))</f>
        <v>0</v>
      </c>
      <c r="G272" s="5">
        <f>IF(OR(INDEX($W$2:$W$1001,MATCH(ROWS($V$2:V272),$V$2:$V$1001,0),1)&gt;=100000,INDEX($AC$1005:$AS$1005,1,MATCH(COLUMNS($AC$1006:AH1006),$AC$1006:$AS$1006,0))&gt;=100000), " ",IF(INDEX($AC$2:$AS$1001,MATCH(ROWS($V$2:V272),$V$2:$V$1001,0),MATCH(COLUMNS($AC$1006:AH1006),$AC$1006:$AS$1006,0)), HYPERLINK("#",""), HYPERLINK(CONCATENATE("#Metadata!", ADDRESS(INDEX($X$2:$X$1001,MATCH(ROWS($V$2:V272),$V$2:$V$1001,0),0), INDEX($AC$1004:$AS$1004,1,MATCH(COLUMNS($AC$1006:AH1006),$AC$1006:$AS$1006,0)))),"Fix")))</f>
        <v>0</v>
      </c>
      <c r="H272" s="5">
        <f>IF(OR(INDEX($W$2:$W$1001,MATCH(ROWS($V$2:V272),$V$2:$V$1001,0),1)&gt;=100000,INDEX($AC$1005:$AS$1005,1,MATCH(COLUMNS($AC$1006:AI1006),$AC$1006:$AS$1006,0))&gt;=100000), " ",IF(INDEX($AC$2:$AS$1001,MATCH(ROWS($V$2:V272),$V$2:$V$1001,0),MATCH(COLUMNS($AC$1006:AI1006),$AC$1006:$AS$1006,0)), HYPERLINK("#",""), HYPERLINK(CONCATENATE("#Metadata!", ADDRESS(INDEX($X$2:$X$1001,MATCH(ROWS($V$2:V272),$V$2:$V$1001,0),0), INDEX($AC$1004:$AS$1004,1,MATCH(COLUMNS($AC$1006:AI1006),$AC$1006:$AS$1006,0)))),"Fix")))</f>
        <v>0</v>
      </c>
      <c r="I272" s="5">
        <f>IF(OR(INDEX($W$2:$W$1001,MATCH(ROWS($V$2:V272),$V$2:$V$1001,0),1)&gt;=100000,INDEX($AC$1005:$AS$1005,1,MATCH(COLUMNS($AC$1006:AJ1006),$AC$1006:$AS$1006,0))&gt;=100000), " ",IF(INDEX($AC$2:$AS$1001,MATCH(ROWS($V$2:V272),$V$2:$V$1001,0),MATCH(COLUMNS($AC$1006:AJ1006),$AC$1006:$AS$1006,0)), HYPERLINK("#",""), HYPERLINK(CONCATENATE("#Metadata!", ADDRESS(INDEX($X$2:$X$1001,MATCH(ROWS($V$2:V272),$V$2:$V$1001,0),0), INDEX($AC$1004:$AS$1004,1,MATCH(COLUMNS($AC$1006:AJ1006),$AC$1006:$AS$1006,0)))),"Fix")))</f>
        <v>0</v>
      </c>
      <c r="J272" s="5">
        <f>IF(OR(INDEX($W$2:$W$1001,MATCH(ROWS($V$2:V272),$V$2:$V$1001,0),1)&gt;=100000,INDEX($AC$1005:$AS$1005,1,MATCH(COLUMNS($AC$1006:AK1006),$AC$1006:$AS$1006,0))&gt;=100000), " ",IF(INDEX($AC$2:$AS$1001,MATCH(ROWS($V$2:V272),$V$2:$V$1001,0),MATCH(COLUMNS($AC$1006:AK1006),$AC$1006:$AS$1006,0)), HYPERLINK("#",""), HYPERLINK(CONCATENATE("#Metadata!", ADDRESS(INDEX($X$2:$X$1001,MATCH(ROWS($V$2:V272),$V$2:$V$1001,0),0), INDEX($AC$1004:$AS$1004,1,MATCH(COLUMNS($AC$1006:AK1006),$AC$1006:$AS$1006,0)))),"Fix")))</f>
        <v>0</v>
      </c>
      <c r="K272" s="5">
        <f>IF(OR(INDEX($W$2:$W$1001,MATCH(ROWS($V$2:V272),$V$2:$V$1001,0),1)&gt;=100000,INDEX($AC$1005:$AS$1005,1,MATCH(COLUMNS($AC$1006:AL1006),$AC$1006:$AS$1006,0))&gt;=100000), " ",IF(INDEX($AC$2:$AS$1001,MATCH(ROWS($V$2:V272),$V$2:$V$1001,0),MATCH(COLUMNS($AC$1006:AL1006),$AC$1006:$AS$1006,0)), HYPERLINK("#",""), HYPERLINK(CONCATENATE("#Metadata!", ADDRESS(INDEX($X$2:$X$1001,MATCH(ROWS($V$2:V272),$V$2:$V$1001,0),0), INDEX($AC$1004:$AS$1004,1,MATCH(COLUMNS($AC$1006:AL1006),$AC$1006:$AS$1006,0)))),"Fix")))</f>
        <v>0</v>
      </c>
      <c r="L272" s="5">
        <f>IF(OR(INDEX($W$2:$W$1001,MATCH(ROWS($V$2:V272),$V$2:$V$1001,0),1)&gt;=100000,INDEX($AC$1005:$AS$1005,1,MATCH(COLUMNS($AC$1006:AM1006),$AC$1006:$AS$1006,0))&gt;=100000), " ",IF(INDEX($AC$2:$AS$1001,MATCH(ROWS($V$2:V272),$V$2:$V$1001,0),MATCH(COLUMNS($AC$1006:AM1006),$AC$1006:$AS$1006,0)), HYPERLINK("#",""), HYPERLINK(CONCATENATE("#Metadata!", ADDRESS(INDEX($X$2:$X$1001,MATCH(ROWS($V$2:V272),$V$2:$V$1001,0),0), INDEX($AC$1004:$AS$1004,1,MATCH(COLUMNS($AC$1006:AM1006),$AC$1006:$AS$1006,0)))),"Fix")))</f>
        <v>0</v>
      </c>
      <c r="M272" s="5">
        <f>IF(OR(INDEX($W$2:$W$1001,MATCH(ROWS($V$2:V272),$V$2:$V$1001,0),1)&gt;=100000,INDEX($AC$1005:$AS$1005,1,MATCH(COLUMNS($AC$1006:AN1006),$AC$1006:$AS$1006,0))&gt;=100000), " ",IF(INDEX($AC$2:$AS$1001,MATCH(ROWS($V$2:V272),$V$2:$V$1001,0),MATCH(COLUMNS($AC$1006:AN1006),$AC$1006:$AS$1006,0)), HYPERLINK("#",""), HYPERLINK(CONCATENATE("#Metadata!", ADDRESS(INDEX($X$2:$X$1001,MATCH(ROWS($V$2:V272),$V$2:$V$1001,0),0), INDEX($AC$1004:$AS$1004,1,MATCH(COLUMNS($AC$1006:AN1006),$AC$1006:$AS$1006,0)))),"Fix")))</f>
        <v>0</v>
      </c>
      <c r="N272" s="5">
        <f>IF(OR(INDEX($W$2:$W$1001,MATCH(ROWS($V$2:V272),$V$2:$V$1001,0),1)&gt;=100000,INDEX($AC$1005:$AS$1005,1,MATCH(COLUMNS($AC$1006:AO1006),$AC$1006:$AS$1006,0))&gt;=100000), " ",IF(INDEX($AC$2:$AS$1001,MATCH(ROWS($V$2:V272),$V$2:$V$1001,0),MATCH(COLUMNS($AC$1006:AO1006),$AC$1006:$AS$1006,0)), HYPERLINK("#",""), HYPERLINK(CONCATENATE("#Metadata!", ADDRESS(INDEX($X$2:$X$1001,MATCH(ROWS($V$2:V272),$V$2:$V$1001,0),0), INDEX($AC$1004:$AS$1004,1,MATCH(COLUMNS($AC$1006:AO1006),$AC$1006:$AS$1006,0)))),"Fix")))</f>
        <v>0</v>
      </c>
      <c r="O272" s="5">
        <f>IF(OR(INDEX($W$2:$W$1001,MATCH(ROWS($V$2:V272),$V$2:$V$1001,0),1)&gt;=100000,INDEX($AC$1005:$AS$1005,1,MATCH(COLUMNS($AC$1006:AP1006),$AC$1006:$AS$1006,0))&gt;=100000), " ",IF(INDEX($AC$2:$AS$1001,MATCH(ROWS($V$2:V272),$V$2:$V$1001,0),MATCH(COLUMNS($AC$1006:AP1006),$AC$1006:$AS$1006,0)), HYPERLINK("#",""), HYPERLINK(CONCATENATE("#Metadata!", ADDRESS(INDEX($X$2:$X$1001,MATCH(ROWS($V$2:V272),$V$2:$V$1001,0),0), INDEX($AC$1004:$AS$1004,1,MATCH(COLUMNS($AC$1006:AP1006),$AC$1006:$AS$1006,0)))),"Fix")))</f>
        <v>0</v>
      </c>
      <c r="P272" s="5">
        <f>IF(OR(INDEX($W$2:$W$1001,MATCH(ROWS($V$2:V272),$V$2:$V$1001,0),1)&gt;=100000,INDEX($AC$1005:$AS$1005,1,MATCH(COLUMNS($AC$1006:AQ1006),$AC$1006:$AS$1006,0))&gt;=100000), " ",IF(INDEX($AC$2:$AS$1001,MATCH(ROWS($V$2:V272),$V$2:$V$1001,0),MATCH(COLUMNS($AC$1006:AQ1006),$AC$1006:$AS$1006,0)), HYPERLINK("#",""), HYPERLINK(CONCATENATE("#Metadata!", ADDRESS(INDEX($X$2:$X$1001,MATCH(ROWS($V$2:V272),$V$2:$V$1001,0),0), INDEX($AC$1004:$AS$1004,1,MATCH(COLUMNS($AC$1006:AQ1006),$AC$1006:$AS$1006,0)))),"Fix")))</f>
        <v>0</v>
      </c>
      <c r="Q272" s="5">
        <f>IF(OR(INDEX($W$2:$W$1001,MATCH(ROWS($V$2:V272),$V$2:$V$1001,0),1)&gt;=100000,INDEX($AC$1005:$AS$1005,1,MATCH(COLUMNS($AC$1006:AR1006),$AC$1006:$AS$1006,0))&gt;=100000), " ",IF(INDEX($AC$2:$AS$1001,MATCH(ROWS($V$2:V272),$V$2:$V$1001,0),MATCH(COLUMNS($AC$1006:AR1006),$AC$1006:$AS$1006,0)), HYPERLINK("#",""), HYPERLINK(CONCATENATE("#Metadata!", ADDRESS(INDEX($X$2:$X$1001,MATCH(ROWS($V$2:V272),$V$2:$V$1001,0),0), INDEX($AC$1004:$AS$1004,1,MATCH(COLUMNS($AC$1006:AR1006),$AC$1006:$AS$1006,0)))),"Fix")))</f>
        <v>0</v>
      </c>
      <c r="R272" s="5">
        <f>IF(OR(INDEX($W$2:$W$1001,MATCH(ROWS($V$2:V272),$V$2:$V$1001,0),1)&gt;=100000,INDEX($AC$1005:$AS$1005,1,MATCH(COLUMNS($AC$1006:AS1006),$AC$1006:$AS$1006,0))&gt;=100000), " ",IF(INDEX($AC$2:$AS$1001,MATCH(ROWS($V$2:V272),$V$2:$V$1001,0),MATCH(COLUMNS($AC$1006:AS1006),$AC$1006:$AS$1006,0)), HYPERLINK("#",""), HYPERLINK(CONCATENATE("#Metadata!", ADDRESS(INDEX($X$2:$X$1001,MATCH(ROWS($V$2:V272),$V$2:$V$1001,0),0), INDEX($AC$1004:$AS$1004,1,MATCH(COLUMNS($AC$1006:AS1006),$AC$1006:$AS$1006,0)))),"Fix")))</f>
        <v>0</v>
      </c>
      <c r="V272">
        <v>0</v>
      </c>
      <c r="W272">
        <v>0</v>
      </c>
      <c r="X272">
        <v>0</v>
      </c>
      <c r="Y272">
        <f>IF(Z272,TRUE,AND(AC272:AS272))</f>
        <v>0</v>
      </c>
      <c r="Z272">
        <f>COUNTBLANK(Metadata!B272:R272)=COLUMNS(Metadata!B272:R272)</f>
        <v>0</v>
      </c>
      <c r="AA272">
        <v>0</v>
      </c>
      <c r="AC272">
        <f>AND(IF(Metadata!B272="",FALSE,TRUE),COUNTIF(Metadata!B:B, Metadata!B272) = 1,NOT(ISERROR(SUMPRODUCT(SEARCH(MID(Metadata!B272,ROW(INDIRECT("1:"&amp;LEN(Metadata!B272))), 1),"0123456789abcdefghijklmnopqrstuvwxyzABCDEFGHIJKLMNOPQRSTUVWXYZ.")))))</f>
        <v>0</v>
      </c>
      <c r="AD272">
        <f>AND(IF(Metadata!C272="",FALSE,TRUE),exact(Metadata!C272,"Host-associated"))</f>
        <v>0</v>
      </c>
      <c r="AE272">
        <f>AND(IF(Metadata!D272="",FALSE,TRUE),OR(exact(Metadata!D272,"Animal"),exact(Metadata!D272,"Fungus"),exact(Metadata!D272,"Plant")))</f>
        <v>0</v>
      </c>
      <c r="AF272">
        <f>AND(IF(Metadata!E272="",FALSE,TRUE),OR(exact(Metadata!E272,"Plant secretion"),exact(Metadata!E272,"Plant rhizosphere"),exact(Metadata!E272,"Plant surface"),exact(Metadata!E272,"Plant corpus"),exact(Metadata!E272,"Fungus surface"),exact(Metadata!E272,"Fungus corpus"),exact(Metadata!E272,"Animal surface"),exact(Metadata!E272,"Animal proximal gut"),exact(Metadata!E272,"Animal corpus"),exact(Metadata!E272,"Animal distal gut"),exact(Metadata!E272,"Animal secretion")))</f>
        <v>0</v>
      </c>
      <c r="AG272">
        <f>OR(AND(IF(Metadata!F272="",FALSE,TRUE),OR(exact(Metadata!F272,"not collected"),exact(Metadata!F272,"not provided"),exact(Metadata!F272,"restricted access"))),AND(IF(Metadata!F272="",FALSE,TRUE),OR(exact(Metadata!F272,"organism-associated habitat"),exact(Metadata!F272,"plant-associated habitat"),exact(Metadata!F272,"animal-associated habitat"),exact(Metadata!F272,"insecta-associated habitat"),exact(Metadata!F272,"mammalia-associated habitat"),exact(Metadata!F272,"human-associated habitat"),exact(Metadata!F272,"livestock-associated habitat"))))</f>
        <v>0</v>
      </c>
      <c r="AH272">
        <f>AND(IF(Metadata!G272="",FALSE,TRUE),exact(Metadata!G272,"host-associated"))</f>
        <v>0</v>
      </c>
      <c r="AI272">
        <f>OR(AND(IF(Metadata!H272="",FALSE,TRUE),OR(exact(Metadata!H272,"not collected"),exact(Metadata!H272,"not provided"))),AND(IF(Metadata!H272="",FALSE,ISNUMBER(VALUE(Metadata!H272))),Metadata!H272&gt;0))</f>
        <v>0</v>
      </c>
      <c r="AJ272">
        <f>AND(IF(Metadata!I272="",FALSE,TRUE),exact(Metadata!I272,"years"))</f>
        <v>0</v>
      </c>
      <c r="AK272">
        <f>IF(Metadata!J272="",FALSE,TRUE)</f>
        <v>0</v>
      </c>
      <c r="AL272">
        <f>OR(AND(IF(Metadata!K272="",FALSE,TRUE),OR(exact(Metadata!K272,"not collected"),exact(Metadata!K272,"not provided"))),AND(IF(Metadata!K272="",FALSE,ISNUMBER(VALUE(Metadata!K272))),Metadata!K272&gt;0))</f>
        <v>0</v>
      </c>
      <c r="AM272">
        <f>AND(IF(Metadata!L272="",FALSE,TRUE),exact(Metadata!L272,"cm"))</f>
        <v>0</v>
      </c>
      <c r="AN272">
        <f>IF(Metadata!M272="",FALSE,TRUE)</f>
        <v>0</v>
      </c>
      <c r="AO272">
        <f>OR(AND(IF(Metadata!N272="",FALSE,TRUE),OR(exact(Metadata!N272,"not applicable"),exact(Metadata!N272,"not collected"),exact(Metadata!N272,"not provided"))),AND(IF(Metadata!N272="",FALSE,IF(ISERROR(INT(Metadata!N272)),FALSE,INT(Metadata!N272)=Metadata!N272)),Metadata!N272&gt;0))</f>
        <v>0</v>
      </c>
      <c r="AP272">
        <f>OR(AND(IF(Metadata!O272="",FALSE,TRUE),OR(exact(Metadata!O272,"not collected"),exact(Metadata!O272,"not provided"))),AND(IF(Metadata!O272="",FALSE,ISNUMBER(VALUE(Metadata!O272))),Metadata!O272&gt;0))</f>
        <v>0</v>
      </c>
      <c r="AQ272">
        <f>AND(IF(Metadata!P272="",FALSE,TRUE),exact(Metadata!P272,"kg"))</f>
        <v>0</v>
      </c>
      <c r="AR272">
        <f>OR(AND(IF(Metadata!Q272="",FALSE,TRUE),OR(exact(Metadata!Q272,"not applicable"),exact(Metadata!Q272,"not collected"),exact(Metadata!Q272,"not provided"),exact(Metadata!Q272,"restricted access"))),IF(Metadata!Q272="",FALSE,IF(ISERROR(INT(Metadata!Q272)),FALSE,INT(Metadata!Q272)=Metadata!Q272)))</f>
        <v>0</v>
      </c>
      <c r="AS272">
        <f>AND(IF(Metadata!R272="",FALSE,TRUE),exact(Metadata!R272,"Not applicable"))</f>
        <v>0</v>
      </c>
    </row>
    <row r="273" spans="1:45">
      <c r="A273" s="4">
        <f>IF(B273=" "," ",HYPERLINK(CONCATENATE("#metadata!",ADDRESS(INDEX($X$2:$X$1001,MATCH(ROWS($V$2:V273),$V$2:$V$1001,0),0),2)),INDEX($AA$2:$AA$1001,MATCH(ROWS($V$2:V273),$V$2:$V$1001,0),0)))</f>
        <v>0</v>
      </c>
      <c r="B273" s="5">
        <f>IF(OR(INDEX($W$2:$W$1001,MATCH(ROWS($V$2:V273),$V$2:$V$1001,0),1)&gt;=100000,INDEX($AC$1005:$AS$1005,1,MATCH(COLUMNS($AC$1006:AC1006),$AC$1006:$AS$1006,0))&gt;=100000), " ",IF(INDEX($AC$2:$AS$1001,MATCH(ROWS($V$2:V273),$V$2:$V$1001,0),MATCH(COLUMNS($AC$1006:AC1006),$AC$1006:$AS$1006,0)), HYPERLINK("#",""), HYPERLINK(CONCATENATE("#Metadata!", ADDRESS(INDEX($X$2:$X$1001,MATCH(ROWS($V$2:V273),$V$2:$V$1001,0),0), INDEX($AC$1004:$AS$1004,1,MATCH(COLUMNS($AC$1006:AC1006),$AC$1006:$AS$1006,0)))),"Fix")))</f>
        <v>0</v>
      </c>
      <c r="C273" s="5">
        <f>IF(OR(INDEX($W$2:$W$1001,MATCH(ROWS($V$2:V273),$V$2:$V$1001,0),1)&gt;=100000,INDEX($AC$1005:$AS$1005,1,MATCH(COLUMNS($AC$1006:AD1006),$AC$1006:$AS$1006,0))&gt;=100000), " ",IF(INDEX($AC$2:$AS$1001,MATCH(ROWS($V$2:V273),$V$2:$V$1001,0),MATCH(COLUMNS($AC$1006:AD1006),$AC$1006:$AS$1006,0)), HYPERLINK("#",""), HYPERLINK(CONCATENATE("#Metadata!", ADDRESS(INDEX($X$2:$X$1001,MATCH(ROWS($V$2:V273),$V$2:$V$1001,0),0), INDEX($AC$1004:$AS$1004,1,MATCH(COLUMNS($AC$1006:AD1006),$AC$1006:$AS$1006,0)))),"Fix")))</f>
        <v>0</v>
      </c>
      <c r="D273" s="5">
        <f>IF(OR(INDEX($W$2:$W$1001,MATCH(ROWS($V$2:V273),$V$2:$V$1001,0),1)&gt;=100000,INDEX($AC$1005:$AS$1005,1,MATCH(COLUMNS($AC$1006:AE1006),$AC$1006:$AS$1006,0))&gt;=100000), " ",IF(INDEX($AC$2:$AS$1001,MATCH(ROWS($V$2:V273),$V$2:$V$1001,0),MATCH(COLUMNS($AC$1006:AE1006),$AC$1006:$AS$1006,0)), HYPERLINK("#",""), HYPERLINK(CONCATENATE("#Metadata!", ADDRESS(INDEX($X$2:$X$1001,MATCH(ROWS($V$2:V273),$V$2:$V$1001,0),0), INDEX($AC$1004:$AS$1004,1,MATCH(COLUMNS($AC$1006:AE1006),$AC$1006:$AS$1006,0)))),"Fix")))</f>
        <v>0</v>
      </c>
      <c r="E273" s="5">
        <f>IF(OR(INDEX($W$2:$W$1001,MATCH(ROWS($V$2:V273),$V$2:$V$1001,0),1)&gt;=100000,INDEX($AC$1005:$AS$1005,1,MATCH(COLUMNS($AC$1006:AF1006),$AC$1006:$AS$1006,0))&gt;=100000), " ",IF(INDEX($AC$2:$AS$1001,MATCH(ROWS($V$2:V273),$V$2:$V$1001,0),MATCH(COLUMNS($AC$1006:AF1006),$AC$1006:$AS$1006,0)), HYPERLINK("#",""), HYPERLINK(CONCATENATE("#Metadata!", ADDRESS(INDEX($X$2:$X$1001,MATCH(ROWS($V$2:V273),$V$2:$V$1001,0),0), INDEX($AC$1004:$AS$1004,1,MATCH(COLUMNS($AC$1006:AF1006),$AC$1006:$AS$1006,0)))),"Fix")))</f>
        <v>0</v>
      </c>
      <c r="F273" s="5">
        <f>IF(OR(INDEX($W$2:$W$1001,MATCH(ROWS($V$2:V273),$V$2:$V$1001,0),1)&gt;=100000,INDEX($AC$1005:$AS$1005,1,MATCH(COLUMNS($AC$1006:AG1006),$AC$1006:$AS$1006,0))&gt;=100000), " ",IF(INDEX($AC$2:$AS$1001,MATCH(ROWS($V$2:V273),$V$2:$V$1001,0),MATCH(COLUMNS($AC$1006:AG1006),$AC$1006:$AS$1006,0)), HYPERLINK("#",""), HYPERLINK(CONCATENATE("#Metadata!", ADDRESS(INDEX($X$2:$X$1001,MATCH(ROWS($V$2:V273),$V$2:$V$1001,0),0), INDEX($AC$1004:$AS$1004,1,MATCH(COLUMNS($AC$1006:AG1006),$AC$1006:$AS$1006,0)))),"Fix")))</f>
        <v>0</v>
      </c>
      <c r="G273" s="5">
        <f>IF(OR(INDEX($W$2:$W$1001,MATCH(ROWS($V$2:V273),$V$2:$V$1001,0),1)&gt;=100000,INDEX($AC$1005:$AS$1005,1,MATCH(COLUMNS($AC$1006:AH1006),$AC$1006:$AS$1006,0))&gt;=100000), " ",IF(INDEX($AC$2:$AS$1001,MATCH(ROWS($V$2:V273),$V$2:$V$1001,0),MATCH(COLUMNS($AC$1006:AH1006),$AC$1006:$AS$1006,0)), HYPERLINK("#",""), HYPERLINK(CONCATENATE("#Metadata!", ADDRESS(INDEX($X$2:$X$1001,MATCH(ROWS($V$2:V273),$V$2:$V$1001,0),0), INDEX($AC$1004:$AS$1004,1,MATCH(COLUMNS($AC$1006:AH1006),$AC$1006:$AS$1006,0)))),"Fix")))</f>
        <v>0</v>
      </c>
      <c r="H273" s="5">
        <f>IF(OR(INDEX($W$2:$W$1001,MATCH(ROWS($V$2:V273),$V$2:$V$1001,0),1)&gt;=100000,INDEX($AC$1005:$AS$1005,1,MATCH(COLUMNS($AC$1006:AI1006),$AC$1006:$AS$1006,0))&gt;=100000), " ",IF(INDEX($AC$2:$AS$1001,MATCH(ROWS($V$2:V273),$V$2:$V$1001,0),MATCH(COLUMNS($AC$1006:AI1006),$AC$1006:$AS$1006,0)), HYPERLINK("#",""), HYPERLINK(CONCATENATE("#Metadata!", ADDRESS(INDEX($X$2:$X$1001,MATCH(ROWS($V$2:V273),$V$2:$V$1001,0),0), INDEX($AC$1004:$AS$1004,1,MATCH(COLUMNS($AC$1006:AI1006),$AC$1006:$AS$1006,0)))),"Fix")))</f>
        <v>0</v>
      </c>
      <c r="I273" s="5">
        <f>IF(OR(INDEX($W$2:$W$1001,MATCH(ROWS($V$2:V273),$V$2:$V$1001,0),1)&gt;=100000,INDEX($AC$1005:$AS$1005,1,MATCH(COLUMNS($AC$1006:AJ1006),$AC$1006:$AS$1006,0))&gt;=100000), " ",IF(INDEX($AC$2:$AS$1001,MATCH(ROWS($V$2:V273),$V$2:$V$1001,0),MATCH(COLUMNS($AC$1006:AJ1006),$AC$1006:$AS$1006,0)), HYPERLINK("#",""), HYPERLINK(CONCATENATE("#Metadata!", ADDRESS(INDEX($X$2:$X$1001,MATCH(ROWS($V$2:V273),$V$2:$V$1001,0),0), INDEX($AC$1004:$AS$1004,1,MATCH(COLUMNS($AC$1006:AJ1006),$AC$1006:$AS$1006,0)))),"Fix")))</f>
        <v>0</v>
      </c>
      <c r="J273" s="5">
        <f>IF(OR(INDEX($W$2:$W$1001,MATCH(ROWS($V$2:V273),$V$2:$V$1001,0),1)&gt;=100000,INDEX($AC$1005:$AS$1005,1,MATCH(COLUMNS($AC$1006:AK1006),$AC$1006:$AS$1006,0))&gt;=100000), " ",IF(INDEX($AC$2:$AS$1001,MATCH(ROWS($V$2:V273),$V$2:$V$1001,0),MATCH(COLUMNS($AC$1006:AK1006),$AC$1006:$AS$1006,0)), HYPERLINK("#",""), HYPERLINK(CONCATENATE("#Metadata!", ADDRESS(INDEX($X$2:$X$1001,MATCH(ROWS($V$2:V273),$V$2:$V$1001,0),0), INDEX($AC$1004:$AS$1004,1,MATCH(COLUMNS($AC$1006:AK1006),$AC$1006:$AS$1006,0)))),"Fix")))</f>
        <v>0</v>
      </c>
      <c r="K273" s="5">
        <f>IF(OR(INDEX($W$2:$W$1001,MATCH(ROWS($V$2:V273),$V$2:$V$1001,0),1)&gt;=100000,INDEX($AC$1005:$AS$1005,1,MATCH(COLUMNS($AC$1006:AL1006),$AC$1006:$AS$1006,0))&gt;=100000), " ",IF(INDEX($AC$2:$AS$1001,MATCH(ROWS($V$2:V273),$V$2:$V$1001,0),MATCH(COLUMNS($AC$1006:AL1006),$AC$1006:$AS$1006,0)), HYPERLINK("#",""), HYPERLINK(CONCATENATE("#Metadata!", ADDRESS(INDEX($X$2:$X$1001,MATCH(ROWS($V$2:V273),$V$2:$V$1001,0),0), INDEX($AC$1004:$AS$1004,1,MATCH(COLUMNS($AC$1006:AL1006),$AC$1006:$AS$1006,0)))),"Fix")))</f>
        <v>0</v>
      </c>
      <c r="L273" s="5">
        <f>IF(OR(INDEX($W$2:$W$1001,MATCH(ROWS($V$2:V273),$V$2:$V$1001,0),1)&gt;=100000,INDEX($AC$1005:$AS$1005,1,MATCH(COLUMNS($AC$1006:AM1006),$AC$1006:$AS$1006,0))&gt;=100000), " ",IF(INDEX($AC$2:$AS$1001,MATCH(ROWS($V$2:V273),$V$2:$V$1001,0),MATCH(COLUMNS($AC$1006:AM1006),$AC$1006:$AS$1006,0)), HYPERLINK("#",""), HYPERLINK(CONCATENATE("#Metadata!", ADDRESS(INDEX($X$2:$X$1001,MATCH(ROWS($V$2:V273),$V$2:$V$1001,0),0), INDEX($AC$1004:$AS$1004,1,MATCH(COLUMNS($AC$1006:AM1006),$AC$1006:$AS$1006,0)))),"Fix")))</f>
        <v>0</v>
      </c>
      <c r="M273" s="5">
        <f>IF(OR(INDEX($W$2:$W$1001,MATCH(ROWS($V$2:V273),$V$2:$V$1001,0),1)&gt;=100000,INDEX($AC$1005:$AS$1005,1,MATCH(COLUMNS($AC$1006:AN1006),$AC$1006:$AS$1006,0))&gt;=100000), " ",IF(INDEX($AC$2:$AS$1001,MATCH(ROWS($V$2:V273),$V$2:$V$1001,0),MATCH(COLUMNS($AC$1006:AN1006),$AC$1006:$AS$1006,0)), HYPERLINK("#",""), HYPERLINK(CONCATENATE("#Metadata!", ADDRESS(INDEX($X$2:$X$1001,MATCH(ROWS($V$2:V273),$V$2:$V$1001,0),0), INDEX($AC$1004:$AS$1004,1,MATCH(COLUMNS($AC$1006:AN1006),$AC$1006:$AS$1006,0)))),"Fix")))</f>
        <v>0</v>
      </c>
      <c r="N273" s="5">
        <f>IF(OR(INDEX($W$2:$W$1001,MATCH(ROWS($V$2:V273),$V$2:$V$1001,0),1)&gt;=100000,INDEX($AC$1005:$AS$1005,1,MATCH(COLUMNS($AC$1006:AO1006),$AC$1006:$AS$1006,0))&gt;=100000), " ",IF(INDEX($AC$2:$AS$1001,MATCH(ROWS($V$2:V273),$V$2:$V$1001,0),MATCH(COLUMNS($AC$1006:AO1006),$AC$1006:$AS$1006,0)), HYPERLINK("#",""), HYPERLINK(CONCATENATE("#Metadata!", ADDRESS(INDEX($X$2:$X$1001,MATCH(ROWS($V$2:V273),$V$2:$V$1001,0),0), INDEX($AC$1004:$AS$1004,1,MATCH(COLUMNS($AC$1006:AO1006),$AC$1006:$AS$1006,0)))),"Fix")))</f>
        <v>0</v>
      </c>
      <c r="O273" s="5">
        <f>IF(OR(INDEX($W$2:$W$1001,MATCH(ROWS($V$2:V273),$V$2:$V$1001,0),1)&gt;=100000,INDEX($AC$1005:$AS$1005,1,MATCH(COLUMNS($AC$1006:AP1006),$AC$1006:$AS$1006,0))&gt;=100000), " ",IF(INDEX($AC$2:$AS$1001,MATCH(ROWS($V$2:V273),$V$2:$V$1001,0),MATCH(COLUMNS($AC$1006:AP1006),$AC$1006:$AS$1006,0)), HYPERLINK("#",""), HYPERLINK(CONCATENATE("#Metadata!", ADDRESS(INDEX($X$2:$X$1001,MATCH(ROWS($V$2:V273),$V$2:$V$1001,0),0), INDEX($AC$1004:$AS$1004,1,MATCH(COLUMNS($AC$1006:AP1006),$AC$1006:$AS$1006,0)))),"Fix")))</f>
        <v>0</v>
      </c>
      <c r="P273" s="5">
        <f>IF(OR(INDEX($W$2:$W$1001,MATCH(ROWS($V$2:V273),$V$2:$V$1001,0),1)&gt;=100000,INDEX($AC$1005:$AS$1005,1,MATCH(COLUMNS($AC$1006:AQ1006),$AC$1006:$AS$1006,0))&gt;=100000), " ",IF(INDEX($AC$2:$AS$1001,MATCH(ROWS($V$2:V273),$V$2:$V$1001,0),MATCH(COLUMNS($AC$1006:AQ1006),$AC$1006:$AS$1006,0)), HYPERLINK("#",""), HYPERLINK(CONCATENATE("#Metadata!", ADDRESS(INDEX($X$2:$X$1001,MATCH(ROWS($V$2:V273),$V$2:$V$1001,0),0), INDEX($AC$1004:$AS$1004,1,MATCH(COLUMNS($AC$1006:AQ1006),$AC$1006:$AS$1006,0)))),"Fix")))</f>
        <v>0</v>
      </c>
      <c r="Q273" s="5">
        <f>IF(OR(INDEX($W$2:$W$1001,MATCH(ROWS($V$2:V273),$V$2:$V$1001,0),1)&gt;=100000,INDEX($AC$1005:$AS$1005,1,MATCH(COLUMNS($AC$1006:AR1006),$AC$1006:$AS$1006,0))&gt;=100000), " ",IF(INDEX($AC$2:$AS$1001,MATCH(ROWS($V$2:V273),$V$2:$V$1001,0),MATCH(COLUMNS($AC$1006:AR1006),$AC$1006:$AS$1006,0)), HYPERLINK("#",""), HYPERLINK(CONCATENATE("#Metadata!", ADDRESS(INDEX($X$2:$X$1001,MATCH(ROWS($V$2:V273),$V$2:$V$1001,0),0), INDEX($AC$1004:$AS$1004,1,MATCH(COLUMNS($AC$1006:AR1006),$AC$1006:$AS$1006,0)))),"Fix")))</f>
        <v>0</v>
      </c>
      <c r="R273" s="5">
        <f>IF(OR(INDEX($W$2:$W$1001,MATCH(ROWS($V$2:V273),$V$2:$V$1001,0),1)&gt;=100000,INDEX($AC$1005:$AS$1005,1,MATCH(COLUMNS($AC$1006:AS1006),$AC$1006:$AS$1006,0))&gt;=100000), " ",IF(INDEX($AC$2:$AS$1001,MATCH(ROWS($V$2:V273),$V$2:$V$1001,0),MATCH(COLUMNS($AC$1006:AS1006),$AC$1006:$AS$1006,0)), HYPERLINK("#",""), HYPERLINK(CONCATENATE("#Metadata!", ADDRESS(INDEX($X$2:$X$1001,MATCH(ROWS($V$2:V273),$V$2:$V$1001,0),0), INDEX($AC$1004:$AS$1004,1,MATCH(COLUMNS($AC$1006:AS1006),$AC$1006:$AS$1006,0)))),"Fix")))</f>
        <v>0</v>
      </c>
      <c r="V273">
        <v>0</v>
      </c>
      <c r="W273">
        <v>0</v>
      </c>
      <c r="X273">
        <v>0</v>
      </c>
      <c r="Y273">
        <f>IF(Z273,TRUE,AND(AC273:AS273))</f>
        <v>0</v>
      </c>
      <c r="Z273">
        <f>COUNTBLANK(Metadata!B273:R273)=COLUMNS(Metadata!B273:R273)</f>
        <v>0</v>
      </c>
      <c r="AA273">
        <v>0</v>
      </c>
      <c r="AC273">
        <f>AND(IF(Metadata!B273="",FALSE,TRUE),COUNTIF(Metadata!B:B, Metadata!B273) = 1,NOT(ISERROR(SUMPRODUCT(SEARCH(MID(Metadata!B273,ROW(INDIRECT("1:"&amp;LEN(Metadata!B273))), 1),"0123456789abcdefghijklmnopqrstuvwxyzABCDEFGHIJKLMNOPQRSTUVWXYZ.")))))</f>
        <v>0</v>
      </c>
      <c r="AD273">
        <f>AND(IF(Metadata!C273="",FALSE,TRUE),exact(Metadata!C273,"Host-associated"))</f>
        <v>0</v>
      </c>
      <c r="AE273">
        <f>AND(IF(Metadata!D273="",FALSE,TRUE),OR(exact(Metadata!D273,"Animal"),exact(Metadata!D273,"Fungus"),exact(Metadata!D273,"Plant")))</f>
        <v>0</v>
      </c>
      <c r="AF273">
        <f>AND(IF(Metadata!E273="",FALSE,TRUE),OR(exact(Metadata!E273,"Plant secretion"),exact(Metadata!E273,"Plant rhizosphere"),exact(Metadata!E273,"Plant surface"),exact(Metadata!E273,"Plant corpus"),exact(Metadata!E273,"Fungus surface"),exact(Metadata!E273,"Fungus corpus"),exact(Metadata!E273,"Animal surface"),exact(Metadata!E273,"Animal proximal gut"),exact(Metadata!E273,"Animal corpus"),exact(Metadata!E273,"Animal distal gut"),exact(Metadata!E273,"Animal secretion")))</f>
        <v>0</v>
      </c>
      <c r="AG273">
        <f>OR(AND(IF(Metadata!F273="",FALSE,TRUE),OR(exact(Metadata!F273,"not collected"),exact(Metadata!F273,"not provided"),exact(Metadata!F273,"restricted access"))),AND(IF(Metadata!F273="",FALSE,TRUE),OR(exact(Metadata!F273,"organism-associated habitat"),exact(Metadata!F273,"plant-associated habitat"),exact(Metadata!F273,"animal-associated habitat"),exact(Metadata!F273,"insecta-associated habitat"),exact(Metadata!F273,"mammalia-associated habitat"),exact(Metadata!F273,"human-associated habitat"),exact(Metadata!F273,"livestock-associated habitat"))))</f>
        <v>0</v>
      </c>
      <c r="AH273">
        <f>AND(IF(Metadata!G273="",FALSE,TRUE),exact(Metadata!G273,"host-associated"))</f>
        <v>0</v>
      </c>
      <c r="AI273">
        <f>OR(AND(IF(Metadata!H273="",FALSE,TRUE),OR(exact(Metadata!H273,"not collected"),exact(Metadata!H273,"not provided"))),AND(IF(Metadata!H273="",FALSE,ISNUMBER(VALUE(Metadata!H273))),Metadata!H273&gt;0))</f>
        <v>0</v>
      </c>
      <c r="AJ273">
        <f>AND(IF(Metadata!I273="",FALSE,TRUE),exact(Metadata!I273,"years"))</f>
        <v>0</v>
      </c>
      <c r="AK273">
        <f>IF(Metadata!J273="",FALSE,TRUE)</f>
        <v>0</v>
      </c>
      <c r="AL273">
        <f>OR(AND(IF(Metadata!K273="",FALSE,TRUE),OR(exact(Metadata!K273,"not collected"),exact(Metadata!K273,"not provided"))),AND(IF(Metadata!K273="",FALSE,ISNUMBER(VALUE(Metadata!K273))),Metadata!K273&gt;0))</f>
        <v>0</v>
      </c>
      <c r="AM273">
        <f>AND(IF(Metadata!L273="",FALSE,TRUE),exact(Metadata!L273,"cm"))</f>
        <v>0</v>
      </c>
      <c r="AN273">
        <f>IF(Metadata!M273="",FALSE,TRUE)</f>
        <v>0</v>
      </c>
      <c r="AO273">
        <f>OR(AND(IF(Metadata!N273="",FALSE,TRUE),OR(exact(Metadata!N273,"not applicable"),exact(Metadata!N273,"not collected"),exact(Metadata!N273,"not provided"))),AND(IF(Metadata!N273="",FALSE,IF(ISERROR(INT(Metadata!N273)),FALSE,INT(Metadata!N273)=Metadata!N273)),Metadata!N273&gt;0))</f>
        <v>0</v>
      </c>
      <c r="AP273">
        <f>OR(AND(IF(Metadata!O273="",FALSE,TRUE),OR(exact(Metadata!O273,"not collected"),exact(Metadata!O273,"not provided"))),AND(IF(Metadata!O273="",FALSE,ISNUMBER(VALUE(Metadata!O273))),Metadata!O273&gt;0))</f>
        <v>0</v>
      </c>
      <c r="AQ273">
        <f>AND(IF(Metadata!P273="",FALSE,TRUE),exact(Metadata!P273,"kg"))</f>
        <v>0</v>
      </c>
      <c r="AR273">
        <f>OR(AND(IF(Metadata!Q273="",FALSE,TRUE),OR(exact(Metadata!Q273,"not applicable"),exact(Metadata!Q273,"not collected"),exact(Metadata!Q273,"not provided"),exact(Metadata!Q273,"restricted access"))),IF(Metadata!Q273="",FALSE,IF(ISERROR(INT(Metadata!Q273)),FALSE,INT(Metadata!Q273)=Metadata!Q273)))</f>
        <v>0</v>
      </c>
      <c r="AS273">
        <f>AND(IF(Metadata!R273="",FALSE,TRUE),exact(Metadata!R273,"Not applicable"))</f>
        <v>0</v>
      </c>
    </row>
    <row r="274" spans="1:45">
      <c r="A274" s="4">
        <f>IF(B274=" "," ",HYPERLINK(CONCATENATE("#metadata!",ADDRESS(INDEX($X$2:$X$1001,MATCH(ROWS($V$2:V274),$V$2:$V$1001,0),0),2)),INDEX($AA$2:$AA$1001,MATCH(ROWS($V$2:V274),$V$2:$V$1001,0),0)))</f>
        <v>0</v>
      </c>
      <c r="B274" s="5">
        <f>IF(OR(INDEX($W$2:$W$1001,MATCH(ROWS($V$2:V274),$V$2:$V$1001,0),1)&gt;=100000,INDEX($AC$1005:$AS$1005,1,MATCH(COLUMNS($AC$1006:AC1006),$AC$1006:$AS$1006,0))&gt;=100000), " ",IF(INDEX($AC$2:$AS$1001,MATCH(ROWS($V$2:V274),$V$2:$V$1001,0),MATCH(COLUMNS($AC$1006:AC1006),$AC$1006:$AS$1006,0)), HYPERLINK("#",""), HYPERLINK(CONCATENATE("#Metadata!", ADDRESS(INDEX($X$2:$X$1001,MATCH(ROWS($V$2:V274),$V$2:$V$1001,0),0), INDEX($AC$1004:$AS$1004,1,MATCH(COLUMNS($AC$1006:AC1006),$AC$1006:$AS$1006,0)))),"Fix")))</f>
        <v>0</v>
      </c>
      <c r="C274" s="5">
        <f>IF(OR(INDEX($W$2:$W$1001,MATCH(ROWS($V$2:V274),$V$2:$V$1001,0),1)&gt;=100000,INDEX($AC$1005:$AS$1005,1,MATCH(COLUMNS($AC$1006:AD1006),$AC$1006:$AS$1006,0))&gt;=100000), " ",IF(INDEX($AC$2:$AS$1001,MATCH(ROWS($V$2:V274),$V$2:$V$1001,0),MATCH(COLUMNS($AC$1006:AD1006),$AC$1006:$AS$1006,0)), HYPERLINK("#",""), HYPERLINK(CONCATENATE("#Metadata!", ADDRESS(INDEX($X$2:$X$1001,MATCH(ROWS($V$2:V274),$V$2:$V$1001,0),0), INDEX($AC$1004:$AS$1004,1,MATCH(COLUMNS($AC$1006:AD1006),$AC$1006:$AS$1006,0)))),"Fix")))</f>
        <v>0</v>
      </c>
      <c r="D274" s="5">
        <f>IF(OR(INDEX($W$2:$W$1001,MATCH(ROWS($V$2:V274),$V$2:$V$1001,0),1)&gt;=100000,INDEX($AC$1005:$AS$1005,1,MATCH(COLUMNS($AC$1006:AE1006),$AC$1006:$AS$1006,0))&gt;=100000), " ",IF(INDEX($AC$2:$AS$1001,MATCH(ROWS($V$2:V274),$V$2:$V$1001,0),MATCH(COLUMNS($AC$1006:AE1006),$AC$1006:$AS$1006,0)), HYPERLINK("#",""), HYPERLINK(CONCATENATE("#Metadata!", ADDRESS(INDEX($X$2:$X$1001,MATCH(ROWS($V$2:V274),$V$2:$V$1001,0),0), INDEX($AC$1004:$AS$1004,1,MATCH(COLUMNS($AC$1006:AE1006),$AC$1006:$AS$1006,0)))),"Fix")))</f>
        <v>0</v>
      </c>
      <c r="E274" s="5">
        <f>IF(OR(INDEX($W$2:$W$1001,MATCH(ROWS($V$2:V274),$V$2:$V$1001,0),1)&gt;=100000,INDEX($AC$1005:$AS$1005,1,MATCH(COLUMNS($AC$1006:AF1006),$AC$1006:$AS$1006,0))&gt;=100000), " ",IF(INDEX($AC$2:$AS$1001,MATCH(ROWS($V$2:V274),$V$2:$V$1001,0),MATCH(COLUMNS($AC$1006:AF1006),$AC$1006:$AS$1006,0)), HYPERLINK("#",""), HYPERLINK(CONCATENATE("#Metadata!", ADDRESS(INDEX($X$2:$X$1001,MATCH(ROWS($V$2:V274),$V$2:$V$1001,0),0), INDEX($AC$1004:$AS$1004,1,MATCH(COLUMNS($AC$1006:AF1006),$AC$1006:$AS$1006,0)))),"Fix")))</f>
        <v>0</v>
      </c>
      <c r="F274" s="5">
        <f>IF(OR(INDEX($W$2:$W$1001,MATCH(ROWS($V$2:V274),$V$2:$V$1001,0),1)&gt;=100000,INDEX($AC$1005:$AS$1005,1,MATCH(COLUMNS($AC$1006:AG1006),$AC$1006:$AS$1006,0))&gt;=100000), " ",IF(INDEX($AC$2:$AS$1001,MATCH(ROWS($V$2:V274),$V$2:$V$1001,0),MATCH(COLUMNS($AC$1006:AG1006),$AC$1006:$AS$1006,0)), HYPERLINK("#",""), HYPERLINK(CONCATENATE("#Metadata!", ADDRESS(INDEX($X$2:$X$1001,MATCH(ROWS($V$2:V274),$V$2:$V$1001,0),0), INDEX($AC$1004:$AS$1004,1,MATCH(COLUMNS($AC$1006:AG1006),$AC$1006:$AS$1006,0)))),"Fix")))</f>
        <v>0</v>
      </c>
      <c r="G274" s="5">
        <f>IF(OR(INDEX($W$2:$W$1001,MATCH(ROWS($V$2:V274),$V$2:$V$1001,0),1)&gt;=100000,INDEX($AC$1005:$AS$1005,1,MATCH(COLUMNS($AC$1006:AH1006),$AC$1006:$AS$1006,0))&gt;=100000), " ",IF(INDEX($AC$2:$AS$1001,MATCH(ROWS($V$2:V274),$V$2:$V$1001,0),MATCH(COLUMNS($AC$1006:AH1006),$AC$1006:$AS$1006,0)), HYPERLINK("#",""), HYPERLINK(CONCATENATE("#Metadata!", ADDRESS(INDEX($X$2:$X$1001,MATCH(ROWS($V$2:V274),$V$2:$V$1001,0),0), INDEX($AC$1004:$AS$1004,1,MATCH(COLUMNS($AC$1006:AH1006),$AC$1006:$AS$1006,0)))),"Fix")))</f>
        <v>0</v>
      </c>
      <c r="H274" s="5">
        <f>IF(OR(INDEX($W$2:$W$1001,MATCH(ROWS($V$2:V274),$V$2:$V$1001,0),1)&gt;=100000,INDEX($AC$1005:$AS$1005,1,MATCH(COLUMNS($AC$1006:AI1006),$AC$1006:$AS$1006,0))&gt;=100000), " ",IF(INDEX($AC$2:$AS$1001,MATCH(ROWS($V$2:V274),$V$2:$V$1001,0),MATCH(COLUMNS($AC$1006:AI1006),$AC$1006:$AS$1006,0)), HYPERLINK("#",""), HYPERLINK(CONCATENATE("#Metadata!", ADDRESS(INDEX($X$2:$X$1001,MATCH(ROWS($V$2:V274),$V$2:$V$1001,0),0), INDEX($AC$1004:$AS$1004,1,MATCH(COLUMNS($AC$1006:AI1006),$AC$1006:$AS$1006,0)))),"Fix")))</f>
        <v>0</v>
      </c>
      <c r="I274" s="5">
        <f>IF(OR(INDEX($W$2:$W$1001,MATCH(ROWS($V$2:V274),$V$2:$V$1001,0),1)&gt;=100000,INDEX($AC$1005:$AS$1005,1,MATCH(COLUMNS($AC$1006:AJ1006),$AC$1006:$AS$1006,0))&gt;=100000), " ",IF(INDEX($AC$2:$AS$1001,MATCH(ROWS($V$2:V274),$V$2:$V$1001,0),MATCH(COLUMNS($AC$1006:AJ1006),$AC$1006:$AS$1006,0)), HYPERLINK("#",""), HYPERLINK(CONCATENATE("#Metadata!", ADDRESS(INDEX($X$2:$X$1001,MATCH(ROWS($V$2:V274),$V$2:$V$1001,0),0), INDEX($AC$1004:$AS$1004,1,MATCH(COLUMNS($AC$1006:AJ1006),$AC$1006:$AS$1006,0)))),"Fix")))</f>
        <v>0</v>
      </c>
      <c r="J274" s="5">
        <f>IF(OR(INDEX($W$2:$W$1001,MATCH(ROWS($V$2:V274),$V$2:$V$1001,0),1)&gt;=100000,INDEX($AC$1005:$AS$1005,1,MATCH(COLUMNS($AC$1006:AK1006),$AC$1006:$AS$1006,0))&gt;=100000), " ",IF(INDEX($AC$2:$AS$1001,MATCH(ROWS($V$2:V274),$V$2:$V$1001,0),MATCH(COLUMNS($AC$1006:AK1006),$AC$1006:$AS$1006,0)), HYPERLINK("#",""), HYPERLINK(CONCATENATE("#Metadata!", ADDRESS(INDEX($X$2:$X$1001,MATCH(ROWS($V$2:V274),$V$2:$V$1001,0),0), INDEX($AC$1004:$AS$1004,1,MATCH(COLUMNS($AC$1006:AK1006),$AC$1006:$AS$1006,0)))),"Fix")))</f>
        <v>0</v>
      </c>
      <c r="K274" s="5">
        <f>IF(OR(INDEX($W$2:$W$1001,MATCH(ROWS($V$2:V274),$V$2:$V$1001,0),1)&gt;=100000,INDEX($AC$1005:$AS$1005,1,MATCH(COLUMNS($AC$1006:AL1006),$AC$1006:$AS$1006,0))&gt;=100000), " ",IF(INDEX($AC$2:$AS$1001,MATCH(ROWS($V$2:V274),$V$2:$V$1001,0),MATCH(COLUMNS($AC$1006:AL1006),$AC$1006:$AS$1006,0)), HYPERLINK("#",""), HYPERLINK(CONCATENATE("#Metadata!", ADDRESS(INDEX($X$2:$X$1001,MATCH(ROWS($V$2:V274),$V$2:$V$1001,0),0), INDEX($AC$1004:$AS$1004,1,MATCH(COLUMNS($AC$1006:AL1006),$AC$1006:$AS$1006,0)))),"Fix")))</f>
        <v>0</v>
      </c>
      <c r="L274" s="5">
        <f>IF(OR(INDEX($W$2:$W$1001,MATCH(ROWS($V$2:V274),$V$2:$V$1001,0),1)&gt;=100000,INDEX($AC$1005:$AS$1005,1,MATCH(COLUMNS($AC$1006:AM1006),$AC$1006:$AS$1006,0))&gt;=100000), " ",IF(INDEX($AC$2:$AS$1001,MATCH(ROWS($V$2:V274),$V$2:$V$1001,0),MATCH(COLUMNS($AC$1006:AM1006),$AC$1006:$AS$1006,0)), HYPERLINK("#",""), HYPERLINK(CONCATENATE("#Metadata!", ADDRESS(INDEX($X$2:$X$1001,MATCH(ROWS($V$2:V274),$V$2:$V$1001,0),0), INDEX($AC$1004:$AS$1004,1,MATCH(COLUMNS($AC$1006:AM1006),$AC$1006:$AS$1006,0)))),"Fix")))</f>
        <v>0</v>
      </c>
      <c r="M274" s="5">
        <f>IF(OR(INDEX($W$2:$W$1001,MATCH(ROWS($V$2:V274),$V$2:$V$1001,0),1)&gt;=100000,INDEX($AC$1005:$AS$1005,1,MATCH(COLUMNS($AC$1006:AN1006),$AC$1006:$AS$1006,0))&gt;=100000), " ",IF(INDEX($AC$2:$AS$1001,MATCH(ROWS($V$2:V274),$V$2:$V$1001,0),MATCH(COLUMNS($AC$1006:AN1006),$AC$1006:$AS$1006,0)), HYPERLINK("#",""), HYPERLINK(CONCATENATE("#Metadata!", ADDRESS(INDEX($X$2:$X$1001,MATCH(ROWS($V$2:V274),$V$2:$V$1001,0),0), INDEX($AC$1004:$AS$1004,1,MATCH(COLUMNS($AC$1006:AN1006),$AC$1006:$AS$1006,0)))),"Fix")))</f>
        <v>0</v>
      </c>
      <c r="N274" s="5">
        <f>IF(OR(INDEX($W$2:$W$1001,MATCH(ROWS($V$2:V274),$V$2:$V$1001,0),1)&gt;=100000,INDEX($AC$1005:$AS$1005,1,MATCH(COLUMNS($AC$1006:AO1006),$AC$1006:$AS$1006,0))&gt;=100000), " ",IF(INDEX($AC$2:$AS$1001,MATCH(ROWS($V$2:V274),$V$2:$V$1001,0),MATCH(COLUMNS($AC$1006:AO1006),$AC$1006:$AS$1006,0)), HYPERLINK("#",""), HYPERLINK(CONCATENATE("#Metadata!", ADDRESS(INDEX($X$2:$X$1001,MATCH(ROWS($V$2:V274),$V$2:$V$1001,0),0), INDEX($AC$1004:$AS$1004,1,MATCH(COLUMNS($AC$1006:AO1006),$AC$1006:$AS$1006,0)))),"Fix")))</f>
        <v>0</v>
      </c>
      <c r="O274" s="5">
        <f>IF(OR(INDEX($W$2:$W$1001,MATCH(ROWS($V$2:V274),$V$2:$V$1001,0),1)&gt;=100000,INDEX($AC$1005:$AS$1005,1,MATCH(COLUMNS($AC$1006:AP1006),$AC$1006:$AS$1006,0))&gt;=100000), " ",IF(INDEX($AC$2:$AS$1001,MATCH(ROWS($V$2:V274),$V$2:$V$1001,0),MATCH(COLUMNS($AC$1006:AP1006),$AC$1006:$AS$1006,0)), HYPERLINK("#",""), HYPERLINK(CONCATENATE("#Metadata!", ADDRESS(INDEX($X$2:$X$1001,MATCH(ROWS($V$2:V274),$V$2:$V$1001,0),0), INDEX($AC$1004:$AS$1004,1,MATCH(COLUMNS($AC$1006:AP1006),$AC$1006:$AS$1006,0)))),"Fix")))</f>
        <v>0</v>
      </c>
      <c r="P274" s="5">
        <f>IF(OR(INDEX($W$2:$W$1001,MATCH(ROWS($V$2:V274),$V$2:$V$1001,0),1)&gt;=100000,INDEX($AC$1005:$AS$1005,1,MATCH(COLUMNS($AC$1006:AQ1006),$AC$1006:$AS$1006,0))&gt;=100000), " ",IF(INDEX($AC$2:$AS$1001,MATCH(ROWS($V$2:V274),$V$2:$V$1001,0),MATCH(COLUMNS($AC$1006:AQ1006),$AC$1006:$AS$1006,0)), HYPERLINK("#",""), HYPERLINK(CONCATENATE("#Metadata!", ADDRESS(INDEX($X$2:$X$1001,MATCH(ROWS($V$2:V274),$V$2:$V$1001,0),0), INDEX($AC$1004:$AS$1004,1,MATCH(COLUMNS($AC$1006:AQ1006),$AC$1006:$AS$1006,0)))),"Fix")))</f>
        <v>0</v>
      </c>
      <c r="Q274" s="5">
        <f>IF(OR(INDEX($W$2:$W$1001,MATCH(ROWS($V$2:V274),$V$2:$V$1001,0),1)&gt;=100000,INDEX($AC$1005:$AS$1005,1,MATCH(COLUMNS($AC$1006:AR1006),$AC$1006:$AS$1006,0))&gt;=100000), " ",IF(INDEX($AC$2:$AS$1001,MATCH(ROWS($V$2:V274),$V$2:$V$1001,0),MATCH(COLUMNS($AC$1006:AR1006),$AC$1006:$AS$1006,0)), HYPERLINK("#",""), HYPERLINK(CONCATENATE("#Metadata!", ADDRESS(INDEX($X$2:$X$1001,MATCH(ROWS($V$2:V274),$V$2:$V$1001,0),0), INDEX($AC$1004:$AS$1004,1,MATCH(COLUMNS($AC$1006:AR1006),$AC$1006:$AS$1006,0)))),"Fix")))</f>
        <v>0</v>
      </c>
      <c r="R274" s="5">
        <f>IF(OR(INDEX($W$2:$W$1001,MATCH(ROWS($V$2:V274),$V$2:$V$1001,0),1)&gt;=100000,INDEX($AC$1005:$AS$1005,1,MATCH(COLUMNS($AC$1006:AS1006),$AC$1006:$AS$1006,0))&gt;=100000), " ",IF(INDEX($AC$2:$AS$1001,MATCH(ROWS($V$2:V274),$V$2:$V$1001,0),MATCH(COLUMNS($AC$1006:AS1006),$AC$1006:$AS$1006,0)), HYPERLINK("#",""), HYPERLINK(CONCATENATE("#Metadata!", ADDRESS(INDEX($X$2:$X$1001,MATCH(ROWS($V$2:V274),$V$2:$V$1001,0),0), INDEX($AC$1004:$AS$1004,1,MATCH(COLUMNS($AC$1006:AS1006),$AC$1006:$AS$1006,0)))),"Fix")))</f>
        <v>0</v>
      </c>
      <c r="V274">
        <v>0</v>
      </c>
      <c r="W274">
        <v>0</v>
      </c>
      <c r="X274">
        <v>0</v>
      </c>
      <c r="Y274">
        <f>IF(Z274,TRUE,AND(AC274:AS274))</f>
        <v>0</v>
      </c>
      <c r="Z274">
        <f>COUNTBLANK(Metadata!B274:R274)=COLUMNS(Metadata!B274:R274)</f>
        <v>0</v>
      </c>
      <c r="AA274">
        <v>0</v>
      </c>
      <c r="AC274">
        <f>AND(IF(Metadata!B274="",FALSE,TRUE),COUNTIF(Metadata!B:B, Metadata!B274) = 1,NOT(ISERROR(SUMPRODUCT(SEARCH(MID(Metadata!B274,ROW(INDIRECT("1:"&amp;LEN(Metadata!B274))), 1),"0123456789abcdefghijklmnopqrstuvwxyzABCDEFGHIJKLMNOPQRSTUVWXYZ.")))))</f>
        <v>0</v>
      </c>
      <c r="AD274">
        <f>AND(IF(Metadata!C274="",FALSE,TRUE),exact(Metadata!C274,"Host-associated"))</f>
        <v>0</v>
      </c>
      <c r="AE274">
        <f>AND(IF(Metadata!D274="",FALSE,TRUE),OR(exact(Metadata!D274,"Animal"),exact(Metadata!D274,"Fungus"),exact(Metadata!D274,"Plant")))</f>
        <v>0</v>
      </c>
      <c r="AF274">
        <f>AND(IF(Metadata!E274="",FALSE,TRUE),OR(exact(Metadata!E274,"Plant secretion"),exact(Metadata!E274,"Plant rhizosphere"),exact(Metadata!E274,"Plant surface"),exact(Metadata!E274,"Plant corpus"),exact(Metadata!E274,"Fungus surface"),exact(Metadata!E274,"Fungus corpus"),exact(Metadata!E274,"Animal surface"),exact(Metadata!E274,"Animal proximal gut"),exact(Metadata!E274,"Animal corpus"),exact(Metadata!E274,"Animal distal gut"),exact(Metadata!E274,"Animal secretion")))</f>
        <v>0</v>
      </c>
      <c r="AG274">
        <f>OR(AND(IF(Metadata!F274="",FALSE,TRUE),OR(exact(Metadata!F274,"not collected"),exact(Metadata!F274,"not provided"),exact(Metadata!F274,"restricted access"))),AND(IF(Metadata!F274="",FALSE,TRUE),OR(exact(Metadata!F274,"organism-associated habitat"),exact(Metadata!F274,"plant-associated habitat"),exact(Metadata!F274,"animal-associated habitat"),exact(Metadata!F274,"insecta-associated habitat"),exact(Metadata!F274,"mammalia-associated habitat"),exact(Metadata!F274,"human-associated habitat"),exact(Metadata!F274,"livestock-associated habitat"))))</f>
        <v>0</v>
      </c>
      <c r="AH274">
        <f>AND(IF(Metadata!G274="",FALSE,TRUE),exact(Metadata!G274,"host-associated"))</f>
        <v>0</v>
      </c>
      <c r="AI274">
        <f>OR(AND(IF(Metadata!H274="",FALSE,TRUE),OR(exact(Metadata!H274,"not collected"),exact(Metadata!H274,"not provided"))),AND(IF(Metadata!H274="",FALSE,ISNUMBER(VALUE(Metadata!H274))),Metadata!H274&gt;0))</f>
        <v>0</v>
      </c>
      <c r="AJ274">
        <f>AND(IF(Metadata!I274="",FALSE,TRUE),exact(Metadata!I274,"years"))</f>
        <v>0</v>
      </c>
      <c r="AK274">
        <f>IF(Metadata!J274="",FALSE,TRUE)</f>
        <v>0</v>
      </c>
      <c r="AL274">
        <f>OR(AND(IF(Metadata!K274="",FALSE,TRUE),OR(exact(Metadata!K274,"not collected"),exact(Metadata!K274,"not provided"))),AND(IF(Metadata!K274="",FALSE,ISNUMBER(VALUE(Metadata!K274))),Metadata!K274&gt;0))</f>
        <v>0</v>
      </c>
      <c r="AM274">
        <f>AND(IF(Metadata!L274="",FALSE,TRUE),exact(Metadata!L274,"cm"))</f>
        <v>0</v>
      </c>
      <c r="AN274">
        <f>IF(Metadata!M274="",FALSE,TRUE)</f>
        <v>0</v>
      </c>
      <c r="AO274">
        <f>OR(AND(IF(Metadata!N274="",FALSE,TRUE),OR(exact(Metadata!N274,"not applicable"),exact(Metadata!N274,"not collected"),exact(Metadata!N274,"not provided"))),AND(IF(Metadata!N274="",FALSE,IF(ISERROR(INT(Metadata!N274)),FALSE,INT(Metadata!N274)=Metadata!N274)),Metadata!N274&gt;0))</f>
        <v>0</v>
      </c>
      <c r="AP274">
        <f>OR(AND(IF(Metadata!O274="",FALSE,TRUE),OR(exact(Metadata!O274,"not collected"),exact(Metadata!O274,"not provided"))),AND(IF(Metadata!O274="",FALSE,ISNUMBER(VALUE(Metadata!O274))),Metadata!O274&gt;0))</f>
        <v>0</v>
      </c>
      <c r="AQ274">
        <f>AND(IF(Metadata!P274="",FALSE,TRUE),exact(Metadata!P274,"kg"))</f>
        <v>0</v>
      </c>
      <c r="AR274">
        <f>OR(AND(IF(Metadata!Q274="",FALSE,TRUE),OR(exact(Metadata!Q274,"not applicable"),exact(Metadata!Q274,"not collected"),exact(Metadata!Q274,"not provided"),exact(Metadata!Q274,"restricted access"))),IF(Metadata!Q274="",FALSE,IF(ISERROR(INT(Metadata!Q274)),FALSE,INT(Metadata!Q274)=Metadata!Q274)))</f>
        <v>0</v>
      </c>
      <c r="AS274">
        <f>AND(IF(Metadata!R274="",FALSE,TRUE),exact(Metadata!R274,"Not applicable"))</f>
        <v>0</v>
      </c>
    </row>
    <row r="275" spans="1:45">
      <c r="A275" s="4">
        <f>IF(B275=" "," ",HYPERLINK(CONCATENATE("#metadata!",ADDRESS(INDEX($X$2:$X$1001,MATCH(ROWS($V$2:V275),$V$2:$V$1001,0),0),2)),INDEX($AA$2:$AA$1001,MATCH(ROWS($V$2:V275),$V$2:$V$1001,0),0)))</f>
        <v>0</v>
      </c>
      <c r="B275" s="5">
        <f>IF(OR(INDEX($W$2:$W$1001,MATCH(ROWS($V$2:V275),$V$2:$V$1001,0),1)&gt;=100000,INDEX($AC$1005:$AS$1005,1,MATCH(COLUMNS($AC$1006:AC1006),$AC$1006:$AS$1006,0))&gt;=100000), " ",IF(INDEX($AC$2:$AS$1001,MATCH(ROWS($V$2:V275),$V$2:$V$1001,0),MATCH(COLUMNS($AC$1006:AC1006),$AC$1006:$AS$1006,0)), HYPERLINK("#",""), HYPERLINK(CONCATENATE("#Metadata!", ADDRESS(INDEX($X$2:$X$1001,MATCH(ROWS($V$2:V275),$V$2:$V$1001,0),0), INDEX($AC$1004:$AS$1004,1,MATCH(COLUMNS($AC$1006:AC1006),$AC$1006:$AS$1006,0)))),"Fix")))</f>
        <v>0</v>
      </c>
      <c r="C275" s="5">
        <f>IF(OR(INDEX($W$2:$W$1001,MATCH(ROWS($V$2:V275),$V$2:$V$1001,0),1)&gt;=100000,INDEX($AC$1005:$AS$1005,1,MATCH(COLUMNS($AC$1006:AD1006),$AC$1006:$AS$1006,0))&gt;=100000), " ",IF(INDEX($AC$2:$AS$1001,MATCH(ROWS($V$2:V275),$V$2:$V$1001,0),MATCH(COLUMNS($AC$1006:AD1006),$AC$1006:$AS$1006,0)), HYPERLINK("#",""), HYPERLINK(CONCATENATE("#Metadata!", ADDRESS(INDEX($X$2:$X$1001,MATCH(ROWS($V$2:V275),$V$2:$V$1001,0),0), INDEX($AC$1004:$AS$1004,1,MATCH(COLUMNS($AC$1006:AD1006),$AC$1006:$AS$1006,0)))),"Fix")))</f>
        <v>0</v>
      </c>
      <c r="D275" s="5">
        <f>IF(OR(INDEX($W$2:$W$1001,MATCH(ROWS($V$2:V275),$V$2:$V$1001,0),1)&gt;=100000,INDEX($AC$1005:$AS$1005,1,MATCH(COLUMNS($AC$1006:AE1006),$AC$1006:$AS$1006,0))&gt;=100000), " ",IF(INDEX($AC$2:$AS$1001,MATCH(ROWS($V$2:V275),$V$2:$V$1001,0),MATCH(COLUMNS($AC$1006:AE1006),$AC$1006:$AS$1006,0)), HYPERLINK("#",""), HYPERLINK(CONCATENATE("#Metadata!", ADDRESS(INDEX($X$2:$X$1001,MATCH(ROWS($V$2:V275),$V$2:$V$1001,0),0), INDEX($AC$1004:$AS$1004,1,MATCH(COLUMNS($AC$1006:AE1006),$AC$1006:$AS$1006,0)))),"Fix")))</f>
        <v>0</v>
      </c>
      <c r="E275" s="5">
        <f>IF(OR(INDEX($W$2:$W$1001,MATCH(ROWS($V$2:V275),$V$2:$V$1001,0),1)&gt;=100000,INDEX($AC$1005:$AS$1005,1,MATCH(COLUMNS($AC$1006:AF1006),$AC$1006:$AS$1006,0))&gt;=100000), " ",IF(INDEX($AC$2:$AS$1001,MATCH(ROWS($V$2:V275),$V$2:$V$1001,0),MATCH(COLUMNS($AC$1006:AF1006),$AC$1006:$AS$1006,0)), HYPERLINK("#",""), HYPERLINK(CONCATENATE("#Metadata!", ADDRESS(INDEX($X$2:$X$1001,MATCH(ROWS($V$2:V275),$V$2:$V$1001,0),0), INDEX($AC$1004:$AS$1004,1,MATCH(COLUMNS($AC$1006:AF1006),$AC$1006:$AS$1006,0)))),"Fix")))</f>
        <v>0</v>
      </c>
      <c r="F275" s="5">
        <f>IF(OR(INDEX($W$2:$W$1001,MATCH(ROWS($V$2:V275),$V$2:$V$1001,0),1)&gt;=100000,INDEX($AC$1005:$AS$1005,1,MATCH(COLUMNS($AC$1006:AG1006),$AC$1006:$AS$1006,0))&gt;=100000), " ",IF(INDEX($AC$2:$AS$1001,MATCH(ROWS($V$2:V275),$V$2:$V$1001,0),MATCH(COLUMNS($AC$1006:AG1006),$AC$1006:$AS$1006,0)), HYPERLINK("#",""), HYPERLINK(CONCATENATE("#Metadata!", ADDRESS(INDEX($X$2:$X$1001,MATCH(ROWS($V$2:V275),$V$2:$V$1001,0),0), INDEX($AC$1004:$AS$1004,1,MATCH(COLUMNS($AC$1006:AG1006),$AC$1006:$AS$1006,0)))),"Fix")))</f>
        <v>0</v>
      </c>
      <c r="G275" s="5">
        <f>IF(OR(INDEX($W$2:$W$1001,MATCH(ROWS($V$2:V275),$V$2:$V$1001,0),1)&gt;=100000,INDEX($AC$1005:$AS$1005,1,MATCH(COLUMNS($AC$1006:AH1006),$AC$1006:$AS$1006,0))&gt;=100000), " ",IF(INDEX($AC$2:$AS$1001,MATCH(ROWS($V$2:V275),$V$2:$V$1001,0),MATCH(COLUMNS($AC$1006:AH1006),$AC$1006:$AS$1006,0)), HYPERLINK("#",""), HYPERLINK(CONCATENATE("#Metadata!", ADDRESS(INDEX($X$2:$X$1001,MATCH(ROWS($V$2:V275),$V$2:$V$1001,0),0), INDEX($AC$1004:$AS$1004,1,MATCH(COLUMNS($AC$1006:AH1006),$AC$1006:$AS$1006,0)))),"Fix")))</f>
        <v>0</v>
      </c>
      <c r="H275" s="5">
        <f>IF(OR(INDEX($W$2:$W$1001,MATCH(ROWS($V$2:V275),$V$2:$V$1001,0),1)&gt;=100000,INDEX($AC$1005:$AS$1005,1,MATCH(COLUMNS($AC$1006:AI1006),$AC$1006:$AS$1006,0))&gt;=100000), " ",IF(INDEX($AC$2:$AS$1001,MATCH(ROWS($V$2:V275),$V$2:$V$1001,0),MATCH(COLUMNS($AC$1006:AI1006),$AC$1006:$AS$1006,0)), HYPERLINK("#",""), HYPERLINK(CONCATENATE("#Metadata!", ADDRESS(INDEX($X$2:$X$1001,MATCH(ROWS($V$2:V275),$V$2:$V$1001,0),0), INDEX($AC$1004:$AS$1004,1,MATCH(COLUMNS($AC$1006:AI1006),$AC$1006:$AS$1006,0)))),"Fix")))</f>
        <v>0</v>
      </c>
      <c r="I275" s="5">
        <f>IF(OR(INDEX($W$2:$W$1001,MATCH(ROWS($V$2:V275),$V$2:$V$1001,0),1)&gt;=100000,INDEX($AC$1005:$AS$1005,1,MATCH(COLUMNS($AC$1006:AJ1006),$AC$1006:$AS$1006,0))&gt;=100000), " ",IF(INDEX($AC$2:$AS$1001,MATCH(ROWS($V$2:V275),$V$2:$V$1001,0),MATCH(COLUMNS($AC$1006:AJ1006),$AC$1006:$AS$1006,0)), HYPERLINK("#",""), HYPERLINK(CONCATENATE("#Metadata!", ADDRESS(INDEX($X$2:$X$1001,MATCH(ROWS($V$2:V275),$V$2:$V$1001,0),0), INDEX($AC$1004:$AS$1004,1,MATCH(COLUMNS($AC$1006:AJ1006),$AC$1006:$AS$1006,0)))),"Fix")))</f>
        <v>0</v>
      </c>
      <c r="J275" s="5">
        <f>IF(OR(INDEX($W$2:$W$1001,MATCH(ROWS($V$2:V275),$V$2:$V$1001,0),1)&gt;=100000,INDEX($AC$1005:$AS$1005,1,MATCH(COLUMNS($AC$1006:AK1006),$AC$1006:$AS$1006,0))&gt;=100000), " ",IF(INDEX($AC$2:$AS$1001,MATCH(ROWS($V$2:V275),$V$2:$V$1001,0),MATCH(COLUMNS($AC$1006:AK1006),$AC$1006:$AS$1006,0)), HYPERLINK("#",""), HYPERLINK(CONCATENATE("#Metadata!", ADDRESS(INDEX($X$2:$X$1001,MATCH(ROWS($V$2:V275),$V$2:$V$1001,0),0), INDEX($AC$1004:$AS$1004,1,MATCH(COLUMNS($AC$1006:AK1006),$AC$1006:$AS$1006,0)))),"Fix")))</f>
        <v>0</v>
      </c>
      <c r="K275" s="5">
        <f>IF(OR(INDEX($W$2:$W$1001,MATCH(ROWS($V$2:V275),$V$2:$V$1001,0),1)&gt;=100000,INDEX($AC$1005:$AS$1005,1,MATCH(COLUMNS($AC$1006:AL1006),$AC$1006:$AS$1006,0))&gt;=100000), " ",IF(INDEX($AC$2:$AS$1001,MATCH(ROWS($V$2:V275),$V$2:$V$1001,0),MATCH(COLUMNS($AC$1006:AL1006),$AC$1006:$AS$1006,0)), HYPERLINK("#",""), HYPERLINK(CONCATENATE("#Metadata!", ADDRESS(INDEX($X$2:$X$1001,MATCH(ROWS($V$2:V275),$V$2:$V$1001,0),0), INDEX($AC$1004:$AS$1004,1,MATCH(COLUMNS($AC$1006:AL1006),$AC$1006:$AS$1006,0)))),"Fix")))</f>
        <v>0</v>
      </c>
      <c r="L275" s="5">
        <f>IF(OR(INDEX($W$2:$W$1001,MATCH(ROWS($V$2:V275),$V$2:$V$1001,0),1)&gt;=100000,INDEX($AC$1005:$AS$1005,1,MATCH(COLUMNS($AC$1006:AM1006),$AC$1006:$AS$1006,0))&gt;=100000), " ",IF(INDEX($AC$2:$AS$1001,MATCH(ROWS($V$2:V275),$V$2:$V$1001,0),MATCH(COLUMNS($AC$1006:AM1006),$AC$1006:$AS$1006,0)), HYPERLINK("#",""), HYPERLINK(CONCATENATE("#Metadata!", ADDRESS(INDEX($X$2:$X$1001,MATCH(ROWS($V$2:V275),$V$2:$V$1001,0),0), INDEX($AC$1004:$AS$1004,1,MATCH(COLUMNS($AC$1006:AM1006),$AC$1006:$AS$1006,0)))),"Fix")))</f>
        <v>0</v>
      </c>
      <c r="M275" s="5">
        <f>IF(OR(INDEX($W$2:$W$1001,MATCH(ROWS($V$2:V275),$V$2:$V$1001,0),1)&gt;=100000,INDEX($AC$1005:$AS$1005,1,MATCH(COLUMNS($AC$1006:AN1006),$AC$1006:$AS$1006,0))&gt;=100000), " ",IF(INDEX($AC$2:$AS$1001,MATCH(ROWS($V$2:V275),$V$2:$V$1001,0),MATCH(COLUMNS($AC$1006:AN1006),$AC$1006:$AS$1006,0)), HYPERLINK("#",""), HYPERLINK(CONCATENATE("#Metadata!", ADDRESS(INDEX($X$2:$X$1001,MATCH(ROWS($V$2:V275),$V$2:$V$1001,0),0), INDEX($AC$1004:$AS$1004,1,MATCH(COLUMNS($AC$1006:AN1006),$AC$1006:$AS$1006,0)))),"Fix")))</f>
        <v>0</v>
      </c>
      <c r="N275" s="5">
        <f>IF(OR(INDEX($W$2:$W$1001,MATCH(ROWS($V$2:V275),$V$2:$V$1001,0),1)&gt;=100000,INDEX($AC$1005:$AS$1005,1,MATCH(COLUMNS($AC$1006:AO1006),$AC$1006:$AS$1006,0))&gt;=100000), " ",IF(INDEX($AC$2:$AS$1001,MATCH(ROWS($V$2:V275),$V$2:$V$1001,0),MATCH(COLUMNS($AC$1006:AO1006),$AC$1006:$AS$1006,0)), HYPERLINK("#",""), HYPERLINK(CONCATENATE("#Metadata!", ADDRESS(INDEX($X$2:$X$1001,MATCH(ROWS($V$2:V275),$V$2:$V$1001,0),0), INDEX($AC$1004:$AS$1004,1,MATCH(COLUMNS($AC$1006:AO1006),$AC$1006:$AS$1006,0)))),"Fix")))</f>
        <v>0</v>
      </c>
      <c r="O275" s="5">
        <f>IF(OR(INDEX($W$2:$W$1001,MATCH(ROWS($V$2:V275),$V$2:$V$1001,0),1)&gt;=100000,INDEX($AC$1005:$AS$1005,1,MATCH(COLUMNS($AC$1006:AP1006),$AC$1006:$AS$1006,0))&gt;=100000), " ",IF(INDEX($AC$2:$AS$1001,MATCH(ROWS($V$2:V275),$V$2:$V$1001,0),MATCH(COLUMNS($AC$1006:AP1006),$AC$1006:$AS$1006,0)), HYPERLINK("#",""), HYPERLINK(CONCATENATE("#Metadata!", ADDRESS(INDEX($X$2:$X$1001,MATCH(ROWS($V$2:V275),$V$2:$V$1001,0),0), INDEX($AC$1004:$AS$1004,1,MATCH(COLUMNS($AC$1006:AP1006),$AC$1006:$AS$1006,0)))),"Fix")))</f>
        <v>0</v>
      </c>
      <c r="P275" s="5">
        <f>IF(OR(INDEX($W$2:$W$1001,MATCH(ROWS($V$2:V275),$V$2:$V$1001,0),1)&gt;=100000,INDEX($AC$1005:$AS$1005,1,MATCH(COLUMNS($AC$1006:AQ1006),$AC$1006:$AS$1006,0))&gt;=100000), " ",IF(INDEX($AC$2:$AS$1001,MATCH(ROWS($V$2:V275),$V$2:$V$1001,0),MATCH(COLUMNS($AC$1006:AQ1006),$AC$1006:$AS$1006,0)), HYPERLINK("#",""), HYPERLINK(CONCATENATE("#Metadata!", ADDRESS(INDEX($X$2:$X$1001,MATCH(ROWS($V$2:V275),$V$2:$V$1001,0),0), INDEX($AC$1004:$AS$1004,1,MATCH(COLUMNS($AC$1006:AQ1006),$AC$1006:$AS$1006,0)))),"Fix")))</f>
        <v>0</v>
      </c>
      <c r="Q275" s="5">
        <f>IF(OR(INDEX($W$2:$W$1001,MATCH(ROWS($V$2:V275),$V$2:$V$1001,0),1)&gt;=100000,INDEX($AC$1005:$AS$1005,1,MATCH(COLUMNS($AC$1006:AR1006),$AC$1006:$AS$1006,0))&gt;=100000), " ",IF(INDEX($AC$2:$AS$1001,MATCH(ROWS($V$2:V275),$V$2:$V$1001,0),MATCH(COLUMNS($AC$1006:AR1006),$AC$1006:$AS$1006,0)), HYPERLINK("#",""), HYPERLINK(CONCATENATE("#Metadata!", ADDRESS(INDEX($X$2:$X$1001,MATCH(ROWS($V$2:V275),$V$2:$V$1001,0),0), INDEX($AC$1004:$AS$1004,1,MATCH(COLUMNS($AC$1006:AR1006),$AC$1006:$AS$1006,0)))),"Fix")))</f>
        <v>0</v>
      </c>
      <c r="R275" s="5">
        <f>IF(OR(INDEX($W$2:$W$1001,MATCH(ROWS($V$2:V275),$V$2:$V$1001,0),1)&gt;=100000,INDEX($AC$1005:$AS$1005,1,MATCH(COLUMNS($AC$1006:AS1006),$AC$1006:$AS$1006,0))&gt;=100000), " ",IF(INDEX($AC$2:$AS$1001,MATCH(ROWS($V$2:V275),$V$2:$V$1001,0),MATCH(COLUMNS($AC$1006:AS1006),$AC$1006:$AS$1006,0)), HYPERLINK("#",""), HYPERLINK(CONCATENATE("#Metadata!", ADDRESS(INDEX($X$2:$X$1001,MATCH(ROWS($V$2:V275),$V$2:$V$1001,0),0), INDEX($AC$1004:$AS$1004,1,MATCH(COLUMNS($AC$1006:AS1006),$AC$1006:$AS$1006,0)))),"Fix")))</f>
        <v>0</v>
      </c>
      <c r="V275">
        <v>0</v>
      </c>
      <c r="W275">
        <v>0</v>
      </c>
      <c r="X275">
        <v>0</v>
      </c>
      <c r="Y275">
        <f>IF(Z275,TRUE,AND(AC275:AS275))</f>
        <v>0</v>
      </c>
      <c r="Z275">
        <f>COUNTBLANK(Metadata!B275:R275)=COLUMNS(Metadata!B275:R275)</f>
        <v>0</v>
      </c>
      <c r="AA275">
        <v>0</v>
      </c>
      <c r="AC275">
        <f>AND(IF(Metadata!B275="",FALSE,TRUE),COUNTIF(Metadata!B:B, Metadata!B275) = 1,NOT(ISERROR(SUMPRODUCT(SEARCH(MID(Metadata!B275,ROW(INDIRECT("1:"&amp;LEN(Metadata!B275))), 1),"0123456789abcdefghijklmnopqrstuvwxyzABCDEFGHIJKLMNOPQRSTUVWXYZ.")))))</f>
        <v>0</v>
      </c>
      <c r="AD275">
        <f>AND(IF(Metadata!C275="",FALSE,TRUE),exact(Metadata!C275,"Host-associated"))</f>
        <v>0</v>
      </c>
      <c r="AE275">
        <f>AND(IF(Metadata!D275="",FALSE,TRUE),OR(exact(Metadata!D275,"Animal"),exact(Metadata!D275,"Fungus"),exact(Metadata!D275,"Plant")))</f>
        <v>0</v>
      </c>
      <c r="AF275">
        <f>AND(IF(Metadata!E275="",FALSE,TRUE),OR(exact(Metadata!E275,"Plant secretion"),exact(Metadata!E275,"Plant rhizosphere"),exact(Metadata!E275,"Plant surface"),exact(Metadata!E275,"Plant corpus"),exact(Metadata!E275,"Fungus surface"),exact(Metadata!E275,"Fungus corpus"),exact(Metadata!E275,"Animal surface"),exact(Metadata!E275,"Animal proximal gut"),exact(Metadata!E275,"Animal corpus"),exact(Metadata!E275,"Animal distal gut"),exact(Metadata!E275,"Animal secretion")))</f>
        <v>0</v>
      </c>
      <c r="AG275">
        <f>OR(AND(IF(Metadata!F275="",FALSE,TRUE),OR(exact(Metadata!F275,"not collected"),exact(Metadata!F275,"not provided"),exact(Metadata!F275,"restricted access"))),AND(IF(Metadata!F275="",FALSE,TRUE),OR(exact(Metadata!F275,"organism-associated habitat"),exact(Metadata!F275,"plant-associated habitat"),exact(Metadata!F275,"animal-associated habitat"),exact(Metadata!F275,"insecta-associated habitat"),exact(Metadata!F275,"mammalia-associated habitat"),exact(Metadata!F275,"human-associated habitat"),exact(Metadata!F275,"livestock-associated habitat"))))</f>
        <v>0</v>
      </c>
      <c r="AH275">
        <f>AND(IF(Metadata!G275="",FALSE,TRUE),exact(Metadata!G275,"host-associated"))</f>
        <v>0</v>
      </c>
      <c r="AI275">
        <f>OR(AND(IF(Metadata!H275="",FALSE,TRUE),OR(exact(Metadata!H275,"not collected"),exact(Metadata!H275,"not provided"))),AND(IF(Metadata!H275="",FALSE,ISNUMBER(VALUE(Metadata!H275))),Metadata!H275&gt;0))</f>
        <v>0</v>
      </c>
      <c r="AJ275">
        <f>AND(IF(Metadata!I275="",FALSE,TRUE),exact(Metadata!I275,"years"))</f>
        <v>0</v>
      </c>
      <c r="AK275">
        <f>IF(Metadata!J275="",FALSE,TRUE)</f>
        <v>0</v>
      </c>
      <c r="AL275">
        <f>OR(AND(IF(Metadata!K275="",FALSE,TRUE),OR(exact(Metadata!K275,"not collected"),exact(Metadata!K275,"not provided"))),AND(IF(Metadata!K275="",FALSE,ISNUMBER(VALUE(Metadata!K275))),Metadata!K275&gt;0))</f>
        <v>0</v>
      </c>
      <c r="AM275">
        <f>AND(IF(Metadata!L275="",FALSE,TRUE),exact(Metadata!L275,"cm"))</f>
        <v>0</v>
      </c>
      <c r="AN275">
        <f>IF(Metadata!M275="",FALSE,TRUE)</f>
        <v>0</v>
      </c>
      <c r="AO275">
        <f>OR(AND(IF(Metadata!N275="",FALSE,TRUE),OR(exact(Metadata!N275,"not applicable"),exact(Metadata!N275,"not collected"),exact(Metadata!N275,"not provided"))),AND(IF(Metadata!N275="",FALSE,IF(ISERROR(INT(Metadata!N275)),FALSE,INT(Metadata!N275)=Metadata!N275)),Metadata!N275&gt;0))</f>
        <v>0</v>
      </c>
      <c r="AP275">
        <f>OR(AND(IF(Metadata!O275="",FALSE,TRUE),OR(exact(Metadata!O275,"not collected"),exact(Metadata!O275,"not provided"))),AND(IF(Metadata!O275="",FALSE,ISNUMBER(VALUE(Metadata!O275))),Metadata!O275&gt;0))</f>
        <v>0</v>
      </c>
      <c r="AQ275">
        <f>AND(IF(Metadata!P275="",FALSE,TRUE),exact(Metadata!P275,"kg"))</f>
        <v>0</v>
      </c>
      <c r="AR275">
        <f>OR(AND(IF(Metadata!Q275="",FALSE,TRUE),OR(exact(Metadata!Q275,"not applicable"),exact(Metadata!Q275,"not collected"),exact(Metadata!Q275,"not provided"),exact(Metadata!Q275,"restricted access"))),IF(Metadata!Q275="",FALSE,IF(ISERROR(INT(Metadata!Q275)),FALSE,INT(Metadata!Q275)=Metadata!Q275)))</f>
        <v>0</v>
      </c>
      <c r="AS275">
        <f>AND(IF(Metadata!R275="",FALSE,TRUE),exact(Metadata!R275,"Not applicable"))</f>
        <v>0</v>
      </c>
    </row>
    <row r="276" spans="1:45">
      <c r="A276" s="4">
        <f>IF(B276=" "," ",HYPERLINK(CONCATENATE("#metadata!",ADDRESS(INDEX($X$2:$X$1001,MATCH(ROWS($V$2:V276),$V$2:$V$1001,0),0),2)),INDEX($AA$2:$AA$1001,MATCH(ROWS($V$2:V276),$V$2:$V$1001,0),0)))</f>
        <v>0</v>
      </c>
      <c r="B276" s="5">
        <f>IF(OR(INDEX($W$2:$W$1001,MATCH(ROWS($V$2:V276),$V$2:$V$1001,0),1)&gt;=100000,INDEX($AC$1005:$AS$1005,1,MATCH(COLUMNS($AC$1006:AC1006),$AC$1006:$AS$1006,0))&gt;=100000), " ",IF(INDEX($AC$2:$AS$1001,MATCH(ROWS($V$2:V276),$V$2:$V$1001,0),MATCH(COLUMNS($AC$1006:AC1006),$AC$1006:$AS$1006,0)), HYPERLINK("#",""), HYPERLINK(CONCATENATE("#Metadata!", ADDRESS(INDEX($X$2:$X$1001,MATCH(ROWS($V$2:V276),$V$2:$V$1001,0),0), INDEX($AC$1004:$AS$1004,1,MATCH(COLUMNS($AC$1006:AC1006),$AC$1006:$AS$1006,0)))),"Fix")))</f>
        <v>0</v>
      </c>
      <c r="C276" s="5">
        <f>IF(OR(INDEX($W$2:$W$1001,MATCH(ROWS($V$2:V276),$V$2:$V$1001,0),1)&gt;=100000,INDEX($AC$1005:$AS$1005,1,MATCH(COLUMNS($AC$1006:AD1006),$AC$1006:$AS$1006,0))&gt;=100000), " ",IF(INDEX($AC$2:$AS$1001,MATCH(ROWS($V$2:V276),$V$2:$V$1001,0),MATCH(COLUMNS($AC$1006:AD1006),$AC$1006:$AS$1006,0)), HYPERLINK("#",""), HYPERLINK(CONCATENATE("#Metadata!", ADDRESS(INDEX($X$2:$X$1001,MATCH(ROWS($V$2:V276),$V$2:$V$1001,0),0), INDEX($AC$1004:$AS$1004,1,MATCH(COLUMNS($AC$1006:AD1006),$AC$1006:$AS$1006,0)))),"Fix")))</f>
        <v>0</v>
      </c>
      <c r="D276" s="5">
        <f>IF(OR(INDEX($W$2:$W$1001,MATCH(ROWS($V$2:V276),$V$2:$V$1001,0),1)&gt;=100000,INDEX($AC$1005:$AS$1005,1,MATCH(COLUMNS($AC$1006:AE1006),$AC$1006:$AS$1006,0))&gt;=100000), " ",IF(INDEX($AC$2:$AS$1001,MATCH(ROWS($V$2:V276),$V$2:$V$1001,0),MATCH(COLUMNS($AC$1006:AE1006),$AC$1006:$AS$1006,0)), HYPERLINK("#",""), HYPERLINK(CONCATENATE("#Metadata!", ADDRESS(INDEX($X$2:$X$1001,MATCH(ROWS($V$2:V276),$V$2:$V$1001,0),0), INDEX($AC$1004:$AS$1004,1,MATCH(COLUMNS($AC$1006:AE1006),$AC$1006:$AS$1006,0)))),"Fix")))</f>
        <v>0</v>
      </c>
      <c r="E276" s="5">
        <f>IF(OR(INDEX($W$2:$W$1001,MATCH(ROWS($V$2:V276),$V$2:$V$1001,0),1)&gt;=100000,INDEX($AC$1005:$AS$1005,1,MATCH(COLUMNS($AC$1006:AF1006),$AC$1006:$AS$1006,0))&gt;=100000), " ",IF(INDEX($AC$2:$AS$1001,MATCH(ROWS($V$2:V276),$V$2:$V$1001,0),MATCH(COLUMNS($AC$1006:AF1006),$AC$1006:$AS$1006,0)), HYPERLINK("#",""), HYPERLINK(CONCATENATE("#Metadata!", ADDRESS(INDEX($X$2:$X$1001,MATCH(ROWS($V$2:V276),$V$2:$V$1001,0),0), INDEX($AC$1004:$AS$1004,1,MATCH(COLUMNS($AC$1006:AF1006),$AC$1006:$AS$1006,0)))),"Fix")))</f>
        <v>0</v>
      </c>
      <c r="F276" s="5">
        <f>IF(OR(INDEX($W$2:$W$1001,MATCH(ROWS($V$2:V276),$V$2:$V$1001,0),1)&gt;=100000,INDEX($AC$1005:$AS$1005,1,MATCH(COLUMNS($AC$1006:AG1006),$AC$1006:$AS$1006,0))&gt;=100000), " ",IF(INDEX($AC$2:$AS$1001,MATCH(ROWS($V$2:V276),$V$2:$V$1001,0),MATCH(COLUMNS($AC$1006:AG1006),$AC$1006:$AS$1006,0)), HYPERLINK("#",""), HYPERLINK(CONCATENATE("#Metadata!", ADDRESS(INDEX($X$2:$X$1001,MATCH(ROWS($V$2:V276),$V$2:$V$1001,0),0), INDEX($AC$1004:$AS$1004,1,MATCH(COLUMNS($AC$1006:AG1006),$AC$1006:$AS$1006,0)))),"Fix")))</f>
        <v>0</v>
      </c>
      <c r="G276" s="5">
        <f>IF(OR(INDEX($W$2:$W$1001,MATCH(ROWS($V$2:V276),$V$2:$V$1001,0),1)&gt;=100000,INDEX($AC$1005:$AS$1005,1,MATCH(COLUMNS($AC$1006:AH1006),$AC$1006:$AS$1006,0))&gt;=100000), " ",IF(INDEX($AC$2:$AS$1001,MATCH(ROWS($V$2:V276),$V$2:$V$1001,0),MATCH(COLUMNS($AC$1006:AH1006),$AC$1006:$AS$1006,0)), HYPERLINK("#",""), HYPERLINK(CONCATENATE("#Metadata!", ADDRESS(INDEX($X$2:$X$1001,MATCH(ROWS($V$2:V276),$V$2:$V$1001,0),0), INDEX($AC$1004:$AS$1004,1,MATCH(COLUMNS($AC$1006:AH1006),$AC$1006:$AS$1006,0)))),"Fix")))</f>
        <v>0</v>
      </c>
      <c r="H276" s="5">
        <f>IF(OR(INDEX($W$2:$W$1001,MATCH(ROWS($V$2:V276),$V$2:$V$1001,0),1)&gt;=100000,INDEX($AC$1005:$AS$1005,1,MATCH(COLUMNS($AC$1006:AI1006),$AC$1006:$AS$1006,0))&gt;=100000), " ",IF(INDEX($AC$2:$AS$1001,MATCH(ROWS($V$2:V276),$V$2:$V$1001,0),MATCH(COLUMNS($AC$1006:AI1006),$AC$1006:$AS$1006,0)), HYPERLINK("#",""), HYPERLINK(CONCATENATE("#Metadata!", ADDRESS(INDEX($X$2:$X$1001,MATCH(ROWS($V$2:V276),$V$2:$V$1001,0),0), INDEX($AC$1004:$AS$1004,1,MATCH(COLUMNS($AC$1006:AI1006),$AC$1006:$AS$1006,0)))),"Fix")))</f>
        <v>0</v>
      </c>
      <c r="I276" s="5">
        <f>IF(OR(INDEX($W$2:$W$1001,MATCH(ROWS($V$2:V276),$V$2:$V$1001,0),1)&gt;=100000,INDEX($AC$1005:$AS$1005,1,MATCH(COLUMNS($AC$1006:AJ1006),$AC$1006:$AS$1006,0))&gt;=100000), " ",IF(INDEX($AC$2:$AS$1001,MATCH(ROWS($V$2:V276),$V$2:$V$1001,0),MATCH(COLUMNS($AC$1006:AJ1006),$AC$1006:$AS$1006,0)), HYPERLINK("#",""), HYPERLINK(CONCATENATE("#Metadata!", ADDRESS(INDEX($X$2:$X$1001,MATCH(ROWS($V$2:V276),$V$2:$V$1001,0),0), INDEX($AC$1004:$AS$1004,1,MATCH(COLUMNS($AC$1006:AJ1006),$AC$1006:$AS$1006,0)))),"Fix")))</f>
        <v>0</v>
      </c>
      <c r="J276" s="5">
        <f>IF(OR(INDEX($W$2:$W$1001,MATCH(ROWS($V$2:V276),$V$2:$V$1001,0),1)&gt;=100000,INDEX($AC$1005:$AS$1005,1,MATCH(COLUMNS($AC$1006:AK1006),$AC$1006:$AS$1006,0))&gt;=100000), " ",IF(INDEX($AC$2:$AS$1001,MATCH(ROWS($V$2:V276),$V$2:$V$1001,0),MATCH(COLUMNS($AC$1006:AK1006),$AC$1006:$AS$1006,0)), HYPERLINK("#",""), HYPERLINK(CONCATENATE("#Metadata!", ADDRESS(INDEX($X$2:$X$1001,MATCH(ROWS($V$2:V276),$V$2:$V$1001,0),0), INDEX($AC$1004:$AS$1004,1,MATCH(COLUMNS($AC$1006:AK1006),$AC$1006:$AS$1006,0)))),"Fix")))</f>
        <v>0</v>
      </c>
      <c r="K276" s="5">
        <f>IF(OR(INDEX($W$2:$W$1001,MATCH(ROWS($V$2:V276),$V$2:$V$1001,0),1)&gt;=100000,INDEX($AC$1005:$AS$1005,1,MATCH(COLUMNS($AC$1006:AL1006),$AC$1006:$AS$1006,0))&gt;=100000), " ",IF(INDEX($AC$2:$AS$1001,MATCH(ROWS($V$2:V276),$V$2:$V$1001,0),MATCH(COLUMNS($AC$1006:AL1006),$AC$1006:$AS$1006,0)), HYPERLINK("#",""), HYPERLINK(CONCATENATE("#Metadata!", ADDRESS(INDEX($X$2:$X$1001,MATCH(ROWS($V$2:V276),$V$2:$V$1001,0),0), INDEX($AC$1004:$AS$1004,1,MATCH(COLUMNS($AC$1006:AL1006),$AC$1006:$AS$1006,0)))),"Fix")))</f>
        <v>0</v>
      </c>
      <c r="L276" s="5">
        <f>IF(OR(INDEX($W$2:$W$1001,MATCH(ROWS($V$2:V276),$V$2:$V$1001,0),1)&gt;=100000,INDEX($AC$1005:$AS$1005,1,MATCH(COLUMNS($AC$1006:AM1006),$AC$1006:$AS$1006,0))&gt;=100000), " ",IF(INDEX($AC$2:$AS$1001,MATCH(ROWS($V$2:V276),$V$2:$V$1001,0),MATCH(COLUMNS($AC$1006:AM1006),$AC$1006:$AS$1006,0)), HYPERLINK("#",""), HYPERLINK(CONCATENATE("#Metadata!", ADDRESS(INDEX($X$2:$X$1001,MATCH(ROWS($V$2:V276),$V$2:$V$1001,0),0), INDEX($AC$1004:$AS$1004,1,MATCH(COLUMNS($AC$1006:AM1006),$AC$1006:$AS$1006,0)))),"Fix")))</f>
        <v>0</v>
      </c>
      <c r="M276" s="5">
        <f>IF(OR(INDEX($W$2:$W$1001,MATCH(ROWS($V$2:V276),$V$2:$V$1001,0),1)&gt;=100000,INDEX($AC$1005:$AS$1005,1,MATCH(COLUMNS($AC$1006:AN1006),$AC$1006:$AS$1006,0))&gt;=100000), " ",IF(INDEX($AC$2:$AS$1001,MATCH(ROWS($V$2:V276),$V$2:$V$1001,0),MATCH(COLUMNS($AC$1006:AN1006),$AC$1006:$AS$1006,0)), HYPERLINK("#",""), HYPERLINK(CONCATENATE("#Metadata!", ADDRESS(INDEX($X$2:$X$1001,MATCH(ROWS($V$2:V276),$V$2:$V$1001,0),0), INDEX($AC$1004:$AS$1004,1,MATCH(COLUMNS($AC$1006:AN1006),$AC$1006:$AS$1006,0)))),"Fix")))</f>
        <v>0</v>
      </c>
      <c r="N276" s="5">
        <f>IF(OR(INDEX($W$2:$W$1001,MATCH(ROWS($V$2:V276),$V$2:$V$1001,0),1)&gt;=100000,INDEX($AC$1005:$AS$1005,1,MATCH(COLUMNS($AC$1006:AO1006),$AC$1006:$AS$1006,0))&gt;=100000), " ",IF(INDEX($AC$2:$AS$1001,MATCH(ROWS($V$2:V276),$V$2:$V$1001,0),MATCH(COLUMNS($AC$1006:AO1006),$AC$1006:$AS$1006,0)), HYPERLINK("#",""), HYPERLINK(CONCATENATE("#Metadata!", ADDRESS(INDEX($X$2:$X$1001,MATCH(ROWS($V$2:V276),$V$2:$V$1001,0),0), INDEX($AC$1004:$AS$1004,1,MATCH(COLUMNS($AC$1006:AO1006),$AC$1006:$AS$1006,0)))),"Fix")))</f>
        <v>0</v>
      </c>
      <c r="O276" s="5">
        <f>IF(OR(INDEX($W$2:$W$1001,MATCH(ROWS($V$2:V276),$V$2:$V$1001,0),1)&gt;=100000,INDEX($AC$1005:$AS$1005,1,MATCH(COLUMNS($AC$1006:AP1006),$AC$1006:$AS$1006,0))&gt;=100000), " ",IF(INDEX($AC$2:$AS$1001,MATCH(ROWS($V$2:V276),$V$2:$V$1001,0),MATCH(COLUMNS($AC$1006:AP1006),$AC$1006:$AS$1006,0)), HYPERLINK("#",""), HYPERLINK(CONCATENATE("#Metadata!", ADDRESS(INDEX($X$2:$X$1001,MATCH(ROWS($V$2:V276),$V$2:$V$1001,0),0), INDEX($AC$1004:$AS$1004,1,MATCH(COLUMNS($AC$1006:AP1006),$AC$1006:$AS$1006,0)))),"Fix")))</f>
        <v>0</v>
      </c>
      <c r="P276" s="5">
        <f>IF(OR(INDEX($W$2:$W$1001,MATCH(ROWS($V$2:V276),$V$2:$V$1001,0),1)&gt;=100000,INDEX($AC$1005:$AS$1005,1,MATCH(COLUMNS($AC$1006:AQ1006),$AC$1006:$AS$1006,0))&gt;=100000), " ",IF(INDEX($AC$2:$AS$1001,MATCH(ROWS($V$2:V276),$V$2:$V$1001,0),MATCH(COLUMNS($AC$1006:AQ1006),$AC$1006:$AS$1006,0)), HYPERLINK("#",""), HYPERLINK(CONCATENATE("#Metadata!", ADDRESS(INDEX($X$2:$X$1001,MATCH(ROWS($V$2:V276),$V$2:$V$1001,0),0), INDEX($AC$1004:$AS$1004,1,MATCH(COLUMNS($AC$1006:AQ1006),$AC$1006:$AS$1006,0)))),"Fix")))</f>
        <v>0</v>
      </c>
      <c r="Q276" s="5">
        <f>IF(OR(INDEX($W$2:$W$1001,MATCH(ROWS($V$2:V276),$V$2:$V$1001,0),1)&gt;=100000,INDEX($AC$1005:$AS$1005,1,MATCH(COLUMNS($AC$1006:AR1006),$AC$1006:$AS$1006,0))&gt;=100000), " ",IF(INDEX($AC$2:$AS$1001,MATCH(ROWS($V$2:V276),$V$2:$V$1001,0),MATCH(COLUMNS($AC$1006:AR1006),$AC$1006:$AS$1006,0)), HYPERLINK("#",""), HYPERLINK(CONCATENATE("#Metadata!", ADDRESS(INDEX($X$2:$X$1001,MATCH(ROWS($V$2:V276),$V$2:$V$1001,0),0), INDEX($AC$1004:$AS$1004,1,MATCH(COLUMNS($AC$1006:AR1006),$AC$1006:$AS$1006,0)))),"Fix")))</f>
        <v>0</v>
      </c>
      <c r="R276" s="5">
        <f>IF(OR(INDEX($W$2:$W$1001,MATCH(ROWS($V$2:V276),$V$2:$V$1001,0),1)&gt;=100000,INDEX($AC$1005:$AS$1005,1,MATCH(COLUMNS($AC$1006:AS1006),$AC$1006:$AS$1006,0))&gt;=100000), " ",IF(INDEX($AC$2:$AS$1001,MATCH(ROWS($V$2:V276),$V$2:$V$1001,0),MATCH(COLUMNS($AC$1006:AS1006),$AC$1006:$AS$1006,0)), HYPERLINK("#",""), HYPERLINK(CONCATENATE("#Metadata!", ADDRESS(INDEX($X$2:$X$1001,MATCH(ROWS($V$2:V276),$V$2:$V$1001,0),0), INDEX($AC$1004:$AS$1004,1,MATCH(COLUMNS($AC$1006:AS1006),$AC$1006:$AS$1006,0)))),"Fix")))</f>
        <v>0</v>
      </c>
      <c r="V276">
        <v>0</v>
      </c>
      <c r="W276">
        <v>0</v>
      </c>
      <c r="X276">
        <v>0</v>
      </c>
      <c r="Y276">
        <f>IF(Z276,TRUE,AND(AC276:AS276))</f>
        <v>0</v>
      </c>
      <c r="Z276">
        <f>COUNTBLANK(Metadata!B276:R276)=COLUMNS(Metadata!B276:R276)</f>
        <v>0</v>
      </c>
      <c r="AA276">
        <v>0</v>
      </c>
      <c r="AC276">
        <f>AND(IF(Metadata!B276="",FALSE,TRUE),COUNTIF(Metadata!B:B, Metadata!B276) = 1,NOT(ISERROR(SUMPRODUCT(SEARCH(MID(Metadata!B276,ROW(INDIRECT("1:"&amp;LEN(Metadata!B276))), 1),"0123456789abcdefghijklmnopqrstuvwxyzABCDEFGHIJKLMNOPQRSTUVWXYZ.")))))</f>
        <v>0</v>
      </c>
      <c r="AD276">
        <f>AND(IF(Metadata!C276="",FALSE,TRUE),exact(Metadata!C276,"Host-associated"))</f>
        <v>0</v>
      </c>
      <c r="AE276">
        <f>AND(IF(Metadata!D276="",FALSE,TRUE),OR(exact(Metadata!D276,"Animal"),exact(Metadata!D276,"Fungus"),exact(Metadata!D276,"Plant")))</f>
        <v>0</v>
      </c>
      <c r="AF276">
        <f>AND(IF(Metadata!E276="",FALSE,TRUE),OR(exact(Metadata!E276,"Plant secretion"),exact(Metadata!E276,"Plant rhizosphere"),exact(Metadata!E276,"Plant surface"),exact(Metadata!E276,"Plant corpus"),exact(Metadata!E276,"Fungus surface"),exact(Metadata!E276,"Fungus corpus"),exact(Metadata!E276,"Animal surface"),exact(Metadata!E276,"Animal proximal gut"),exact(Metadata!E276,"Animal corpus"),exact(Metadata!E276,"Animal distal gut"),exact(Metadata!E276,"Animal secretion")))</f>
        <v>0</v>
      </c>
      <c r="AG276">
        <f>OR(AND(IF(Metadata!F276="",FALSE,TRUE),OR(exact(Metadata!F276,"not collected"),exact(Metadata!F276,"not provided"),exact(Metadata!F276,"restricted access"))),AND(IF(Metadata!F276="",FALSE,TRUE),OR(exact(Metadata!F276,"organism-associated habitat"),exact(Metadata!F276,"plant-associated habitat"),exact(Metadata!F276,"animal-associated habitat"),exact(Metadata!F276,"insecta-associated habitat"),exact(Metadata!F276,"mammalia-associated habitat"),exact(Metadata!F276,"human-associated habitat"),exact(Metadata!F276,"livestock-associated habitat"))))</f>
        <v>0</v>
      </c>
      <c r="AH276">
        <f>AND(IF(Metadata!G276="",FALSE,TRUE),exact(Metadata!G276,"host-associated"))</f>
        <v>0</v>
      </c>
      <c r="AI276">
        <f>OR(AND(IF(Metadata!H276="",FALSE,TRUE),OR(exact(Metadata!H276,"not collected"),exact(Metadata!H276,"not provided"))),AND(IF(Metadata!H276="",FALSE,ISNUMBER(VALUE(Metadata!H276))),Metadata!H276&gt;0))</f>
        <v>0</v>
      </c>
      <c r="AJ276">
        <f>AND(IF(Metadata!I276="",FALSE,TRUE),exact(Metadata!I276,"years"))</f>
        <v>0</v>
      </c>
      <c r="AK276">
        <f>IF(Metadata!J276="",FALSE,TRUE)</f>
        <v>0</v>
      </c>
      <c r="AL276">
        <f>OR(AND(IF(Metadata!K276="",FALSE,TRUE),OR(exact(Metadata!K276,"not collected"),exact(Metadata!K276,"not provided"))),AND(IF(Metadata!K276="",FALSE,ISNUMBER(VALUE(Metadata!K276))),Metadata!K276&gt;0))</f>
        <v>0</v>
      </c>
      <c r="AM276">
        <f>AND(IF(Metadata!L276="",FALSE,TRUE),exact(Metadata!L276,"cm"))</f>
        <v>0</v>
      </c>
      <c r="AN276">
        <f>IF(Metadata!M276="",FALSE,TRUE)</f>
        <v>0</v>
      </c>
      <c r="AO276">
        <f>OR(AND(IF(Metadata!N276="",FALSE,TRUE),OR(exact(Metadata!N276,"not applicable"),exact(Metadata!N276,"not collected"),exact(Metadata!N276,"not provided"))),AND(IF(Metadata!N276="",FALSE,IF(ISERROR(INT(Metadata!N276)),FALSE,INT(Metadata!N276)=Metadata!N276)),Metadata!N276&gt;0))</f>
        <v>0</v>
      </c>
      <c r="AP276">
        <f>OR(AND(IF(Metadata!O276="",FALSE,TRUE),OR(exact(Metadata!O276,"not collected"),exact(Metadata!O276,"not provided"))),AND(IF(Metadata!O276="",FALSE,ISNUMBER(VALUE(Metadata!O276))),Metadata!O276&gt;0))</f>
        <v>0</v>
      </c>
      <c r="AQ276">
        <f>AND(IF(Metadata!P276="",FALSE,TRUE),exact(Metadata!P276,"kg"))</f>
        <v>0</v>
      </c>
      <c r="AR276">
        <f>OR(AND(IF(Metadata!Q276="",FALSE,TRUE),OR(exact(Metadata!Q276,"not applicable"),exact(Metadata!Q276,"not collected"),exact(Metadata!Q276,"not provided"),exact(Metadata!Q276,"restricted access"))),IF(Metadata!Q276="",FALSE,IF(ISERROR(INT(Metadata!Q276)),FALSE,INT(Metadata!Q276)=Metadata!Q276)))</f>
        <v>0</v>
      </c>
      <c r="AS276">
        <f>AND(IF(Metadata!R276="",FALSE,TRUE),exact(Metadata!R276,"Not applicable"))</f>
        <v>0</v>
      </c>
    </row>
    <row r="277" spans="1:45">
      <c r="A277" s="4">
        <f>IF(B277=" "," ",HYPERLINK(CONCATENATE("#metadata!",ADDRESS(INDEX($X$2:$X$1001,MATCH(ROWS($V$2:V277),$V$2:$V$1001,0),0),2)),INDEX($AA$2:$AA$1001,MATCH(ROWS($V$2:V277),$V$2:$V$1001,0),0)))</f>
        <v>0</v>
      </c>
      <c r="B277" s="5">
        <f>IF(OR(INDEX($W$2:$W$1001,MATCH(ROWS($V$2:V277),$V$2:$V$1001,0),1)&gt;=100000,INDEX($AC$1005:$AS$1005,1,MATCH(COLUMNS($AC$1006:AC1006),$AC$1006:$AS$1006,0))&gt;=100000), " ",IF(INDEX($AC$2:$AS$1001,MATCH(ROWS($V$2:V277),$V$2:$V$1001,0),MATCH(COLUMNS($AC$1006:AC1006),$AC$1006:$AS$1006,0)), HYPERLINK("#",""), HYPERLINK(CONCATENATE("#Metadata!", ADDRESS(INDEX($X$2:$X$1001,MATCH(ROWS($V$2:V277),$V$2:$V$1001,0),0), INDEX($AC$1004:$AS$1004,1,MATCH(COLUMNS($AC$1006:AC1006),$AC$1006:$AS$1006,0)))),"Fix")))</f>
        <v>0</v>
      </c>
      <c r="C277" s="5">
        <f>IF(OR(INDEX($W$2:$W$1001,MATCH(ROWS($V$2:V277),$V$2:$V$1001,0),1)&gt;=100000,INDEX($AC$1005:$AS$1005,1,MATCH(COLUMNS($AC$1006:AD1006),$AC$1006:$AS$1006,0))&gt;=100000), " ",IF(INDEX($AC$2:$AS$1001,MATCH(ROWS($V$2:V277),$V$2:$V$1001,0),MATCH(COLUMNS($AC$1006:AD1006),$AC$1006:$AS$1006,0)), HYPERLINK("#",""), HYPERLINK(CONCATENATE("#Metadata!", ADDRESS(INDEX($X$2:$X$1001,MATCH(ROWS($V$2:V277),$V$2:$V$1001,0),0), INDEX($AC$1004:$AS$1004,1,MATCH(COLUMNS($AC$1006:AD1006),$AC$1006:$AS$1006,0)))),"Fix")))</f>
        <v>0</v>
      </c>
      <c r="D277" s="5">
        <f>IF(OR(INDEX($W$2:$W$1001,MATCH(ROWS($V$2:V277),$V$2:$V$1001,0),1)&gt;=100000,INDEX($AC$1005:$AS$1005,1,MATCH(COLUMNS($AC$1006:AE1006),$AC$1006:$AS$1006,0))&gt;=100000), " ",IF(INDEX($AC$2:$AS$1001,MATCH(ROWS($V$2:V277),$V$2:$V$1001,0),MATCH(COLUMNS($AC$1006:AE1006),$AC$1006:$AS$1006,0)), HYPERLINK("#",""), HYPERLINK(CONCATENATE("#Metadata!", ADDRESS(INDEX($X$2:$X$1001,MATCH(ROWS($V$2:V277),$V$2:$V$1001,0),0), INDEX($AC$1004:$AS$1004,1,MATCH(COLUMNS($AC$1006:AE1006),$AC$1006:$AS$1006,0)))),"Fix")))</f>
        <v>0</v>
      </c>
      <c r="E277" s="5">
        <f>IF(OR(INDEX($W$2:$W$1001,MATCH(ROWS($V$2:V277),$V$2:$V$1001,0),1)&gt;=100000,INDEX($AC$1005:$AS$1005,1,MATCH(COLUMNS($AC$1006:AF1006),$AC$1006:$AS$1006,0))&gt;=100000), " ",IF(INDEX($AC$2:$AS$1001,MATCH(ROWS($V$2:V277),$V$2:$V$1001,0),MATCH(COLUMNS($AC$1006:AF1006),$AC$1006:$AS$1006,0)), HYPERLINK("#",""), HYPERLINK(CONCATENATE("#Metadata!", ADDRESS(INDEX($X$2:$X$1001,MATCH(ROWS($V$2:V277),$V$2:$V$1001,0),0), INDEX($AC$1004:$AS$1004,1,MATCH(COLUMNS($AC$1006:AF1006),$AC$1006:$AS$1006,0)))),"Fix")))</f>
        <v>0</v>
      </c>
      <c r="F277" s="5">
        <f>IF(OR(INDEX($W$2:$W$1001,MATCH(ROWS($V$2:V277),$V$2:$V$1001,0),1)&gt;=100000,INDEX($AC$1005:$AS$1005,1,MATCH(COLUMNS($AC$1006:AG1006),$AC$1006:$AS$1006,0))&gt;=100000), " ",IF(INDEX($AC$2:$AS$1001,MATCH(ROWS($V$2:V277),$V$2:$V$1001,0),MATCH(COLUMNS($AC$1006:AG1006),$AC$1006:$AS$1006,0)), HYPERLINK("#",""), HYPERLINK(CONCATENATE("#Metadata!", ADDRESS(INDEX($X$2:$X$1001,MATCH(ROWS($V$2:V277),$V$2:$V$1001,0),0), INDEX($AC$1004:$AS$1004,1,MATCH(COLUMNS($AC$1006:AG1006),$AC$1006:$AS$1006,0)))),"Fix")))</f>
        <v>0</v>
      </c>
      <c r="G277" s="5">
        <f>IF(OR(INDEX($W$2:$W$1001,MATCH(ROWS($V$2:V277),$V$2:$V$1001,0),1)&gt;=100000,INDEX($AC$1005:$AS$1005,1,MATCH(COLUMNS($AC$1006:AH1006),$AC$1006:$AS$1006,0))&gt;=100000), " ",IF(INDEX($AC$2:$AS$1001,MATCH(ROWS($V$2:V277),$V$2:$V$1001,0),MATCH(COLUMNS($AC$1006:AH1006),$AC$1006:$AS$1006,0)), HYPERLINK("#",""), HYPERLINK(CONCATENATE("#Metadata!", ADDRESS(INDEX($X$2:$X$1001,MATCH(ROWS($V$2:V277),$V$2:$V$1001,0),0), INDEX($AC$1004:$AS$1004,1,MATCH(COLUMNS($AC$1006:AH1006),$AC$1006:$AS$1006,0)))),"Fix")))</f>
        <v>0</v>
      </c>
      <c r="H277" s="5">
        <f>IF(OR(INDEX($W$2:$W$1001,MATCH(ROWS($V$2:V277),$V$2:$V$1001,0),1)&gt;=100000,INDEX($AC$1005:$AS$1005,1,MATCH(COLUMNS($AC$1006:AI1006),$AC$1006:$AS$1006,0))&gt;=100000), " ",IF(INDEX($AC$2:$AS$1001,MATCH(ROWS($V$2:V277),$V$2:$V$1001,0),MATCH(COLUMNS($AC$1006:AI1006),$AC$1006:$AS$1006,0)), HYPERLINK("#",""), HYPERLINK(CONCATENATE("#Metadata!", ADDRESS(INDEX($X$2:$X$1001,MATCH(ROWS($V$2:V277),$V$2:$V$1001,0),0), INDEX($AC$1004:$AS$1004,1,MATCH(COLUMNS($AC$1006:AI1006),$AC$1006:$AS$1006,0)))),"Fix")))</f>
        <v>0</v>
      </c>
      <c r="I277" s="5">
        <f>IF(OR(INDEX($W$2:$W$1001,MATCH(ROWS($V$2:V277),$V$2:$V$1001,0),1)&gt;=100000,INDEX($AC$1005:$AS$1005,1,MATCH(COLUMNS($AC$1006:AJ1006),$AC$1006:$AS$1006,0))&gt;=100000), " ",IF(INDEX($AC$2:$AS$1001,MATCH(ROWS($V$2:V277),$V$2:$V$1001,0),MATCH(COLUMNS($AC$1006:AJ1006),$AC$1006:$AS$1006,0)), HYPERLINK("#",""), HYPERLINK(CONCATENATE("#Metadata!", ADDRESS(INDEX($X$2:$X$1001,MATCH(ROWS($V$2:V277),$V$2:$V$1001,0),0), INDEX($AC$1004:$AS$1004,1,MATCH(COLUMNS($AC$1006:AJ1006),$AC$1006:$AS$1006,0)))),"Fix")))</f>
        <v>0</v>
      </c>
      <c r="J277" s="5">
        <f>IF(OR(INDEX($W$2:$W$1001,MATCH(ROWS($V$2:V277),$V$2:$V$1001,0),1)&gt;=100000,INDEX($AC$1005:$AS$1005,1,MATCH(COLUMNS($AC$1006:AK1006),$AC$1006:$AS$1006,0))&gt;=100000), " ",IF(INDEX($AC$2:$AS$1001,MATCH(ROWS($V$2:V277),$V$2:$V$1001,0),MATCH(COLUMNS($AC$1006:AK1006),$AC$1006:$AS$1006,0)), HYPERLINK("#",""), HYPERLINK(CONCATENATE("#Metadata!", ADDRESS(INDEX($X$2:$X$1001,MATCH(ROWS($V$2:V277),$V$2:$V$1001,0),0), INDEX($AC$1004:$AS$1004,1,MATCH(COLUMNS($AC$1006:AK1006),$AC$1006:$AS$1006,0)))),"Fix")))</f>
        <v>0</v>
      </c>
      <c r="K277" s="5">
        <f>IF(OR(INDEX($W$2:$W$1001,MATCH(ROWS($V$2:V277),$V$2:$V$1001,0),1)&gt;=100000,INDEX($AC$1005:$AS$1005,1,MATCH(COLUMNS($AC$1006:AL1006),$AC$1006:$AS$1006,0))&gt;=100000), " ",IF(INDEX($AC$2:$AS$1001,MATCH(ROWS($V$2:V277),$V$2:$V$1001,0),MATCH(COLUMNS($AC$1006:AL1006),$AC$1006:$AS$1006,0)), HYPERLINK("#",""), HYPERLINK(CONCATENATE("#Metadata!", ADDRESS(INDEX($X$2:$X$1001,MATCH(ROWS($V$2:V277),$V$2:$V$1001,0),0), INDEX($AC$1004:$AS$1004,1,MATCH(COLUMNS($AC$1006:AL1006),$AC$1006:$AS$1006,0)))),"Fix")))</f>
        <v>0</v>
      </c>
      <c r="L277" s="5">
        <f>IF(OR(INDEX($W$2:$W$1001,MATCH(ROWS($V$2:V277),$V$2:$V$1001,0),1)&gt;=100000,INDEX($AC$1005:$AS$1005,1,MATCH(COLUMNS($AC$1006:AM1006),$AC$1006:$AS$1006,0))&gt;=100000), " ",IF(INDEX($AC$2:$AS$1001,MATCH(ROWS($V$2:V277),$V$2:$V$1001,0),MATCH(COLUMNS($AC$1006:AM1006),$AC$1006:$AS$1006,0)), HYPERLINK("#",""), HYPERLINK(CONCATENATE("#Metadata!", ADDRESS(INDEX($X$2:$X$1001,MATCH(ROWS($V$2:V277),$V$2:$V$1001,0),0), INDEX($AC$1004:$AS$1004,1,MATCH(COLUMNS($AC$1006:AM1006),$AC$1006:$AS$1006,0)))),"Fix")))</f>
        <v>0</v>
      </c>
      <c r="M277" s="5">
        <f>IF(OR(INDEX($W$2:$W$1001,MATCH(ROWS($V$2:V277),$V$2:$V$1001,0),1)&gt;=100000,INDEX($AC$1005:$AS$1005,1,MATCH(COLUMNS($AC$1006:AN1006),$AC$1006:$AS$1006,0))&gt;=100000), " ",IF(INDEX($AC$2:$AS$1001,MATCH(ROWS($V$2:V277),$V$2:$V$1001,0),MATCH(COLUMNS($AC$1006:AN1006),$AC$1006:$AS$1006,0)), HYPERLINK("#",""), HYPERLINK(CONCATENATE("#Metadata!", ADDRESS(INDEX($X$2:$X$1001,MATCH(ROWS($V$2:V277),$V$2:$V$1001,0),0), INDEX($AC$1004:$AS$1004,1,MATCH(COLUMNS($AC$1006:AN1006),$AC$1006:$AS$1006,0)))),"Fix")))</f>
        <v>0</v>
      </c>
      <c r="N277" s="5">
        <f>IF(OR(INDEX($W$2:$W$1001,MATCH(ROWS($V$2:V277),$V$2:$V$1001,0),1)&gt;=100000,INDEX($AC$1005:$AS$1005,1,MATCH(COLUMNS($AC$1006:AO1006),$AC$1006:$AS$1006,0))&gt;=100000), " ",IF(INDEX($AC$2:$AS$1001,MATCH(ROWS($V$2:V277),$V$2:$V$1001,0),MATCH(COLUMNS($AC$1006:AO1006),$AC$1006:$AS$1006,0)), HYPERLINK("#",""), HYPERLINK(CONCATENATE("#Metadata!", ADDRESS(INDEX($X$2:$X$1001,MATCH(ROWS($V$2:V277),$V$2:$V$1001,0),0), INDEX($AC$1004:$AS$1004,1,MATCH(COLUMNS($AC$1006:AO1006),$AC$1006:$AS$1006,0)))),"Fix")))</f>
        <v>0</v>
      </c>
      <c r="O277" s="5">
        <f>IF(OR(INDEX($W$2:$W$1001,MATCH(ROWS($V$2:V277),$V$2:$V$1001,0),1)&gt;=100000,INDEX($AC$1005:$AS$1005,1,MATCH(COLUMNS($AC$1006:AP1006),$AC$1006:$AS$1006,0))&gt;=100000), " ",IF(INDEX($AC$2:$AS$1001,MATCH(ROWS($V$2:V277),$V$2:$V$1001,0),MATCH(COLUMNS($AC$1006:AP1006),$AC$1006:$AS$1006,0)), HYPERLINK("#",""), HYPERLINK(CONCATENATE("#Metadata!", ADDRESS(INDEX($X$2:$X$1001,MATCH(ROWS($V$2:V277),$V$2:$V$1001,0),0), INDEX($AC$1004:$AS$1004,1,MATCH(COLUMNS($AC$1006:AP1006),$AC$1006:$AS$1006,0)))),"Fix")))</f>
        <v>0</v>
      </c>
      <c r="P277" s="5">
        <f>IF(OR(INDEX($W$2:$W$1001,MATCH(ROWS($V$2:V277),$V$2:$V$1001,0),1)&gt;=100000,INDEX($AC$1005:$AS$1005,1,MATCH(COLUMNS($AC$1006:AQ1006),$AC$1006:$AS$1006,0))&gt;=100000), " ",IF(INDEX($AC$2:$AS$1001,MATCH(ROWS($V$2:V277),$V$2:$V$1001,0),MATCH(COLUMNS($AC$1006:AQ1006),$AC$1006:$AS$1006,0)), HYPERLINK("#",""), HYPERLINK(CONCATENATE("#Metadata!", ADDRESS(INDEX($X$2:$X$1001,MATCH(ROWS($V$2:V277),$V$2:$V$1001,0),0), INDEX($AC$1004:$AS$1004,1,MATCH(COLUMNS($AC$1006:AQ1006),$AC$1006:$AS$1006,0)))),"Fix")))</f>
        <v>0</v>
      </c>
      <c r="Q277" s="5">
        <f>IF(OR(INDEX($W$2:$W$1001,MATCH(ROWS($V$2:V277),$V$2:$V$1001,0),1)&gt;=100000,INDEX($AC$1005:$AS$1005,1,MATCH(COLUMNS($AC$1006:AR1006),$AC$1006:$AS$1006,0))&gt;=100000), " ",IF(INDEX($AC$2:$AS$1001,MATCH(ROWS($V$2:V277),$V$2:$V$1001,0),MATCH(COLUMNS($AC$1006:AR1006),$AC$1006:$AS$1006,0)), HYPERLINK("#",""), HYPERLINK(CONCATENATE("#Metadata!", ADDRESS(INDEX($X$2:$X$1001,MATCH(ROWS($V$2:V277),$V$2:$V$1001,0),0), INDEX($AC$1004:$AS$1004,1,MATCH(COLUMNS($AC$1006:AR1006),$AC$1006:$AS$1006,0)))),"Fix")))</f>
        <v>0</v>
      </c>
      <c r="R277" s="5">
        <f>IF(OR(INDEX($W$2:$W$1001,MATCH(ROWS($V$2:V277),$V$2:$V$1001,0),1)&gt;=100000,INDEX($AC$1005:$AS$1005,1,MATCH(COLUMNS($AC$1006:AS1006),$AC$1006:$AS$1006,0))&gt;=100000), " ",IF(INDEX($AC$2:$AS$1001,MATCH(ROWS($V$2:V277),$V$2:$V$1001,0),MATCH(COLUMNS($AC$1006:AS1006),$AC$1006:$AS$1006,0)), HYPERLINK("#",""), HYPERLINK(CONCATENATE("#Metadata!", ADDRESS(INDEX($X$2:$X$1001,MATCH(ROWS($V$2:V277),$V$2:$V$1001,0),0), INDEX($AC$1004:$AS$1004,1,MATCH(COLUMNS($AC$1006:AS1006),$AC$1006:$AS$1006,0)))),"Fix")))</f>
        <v>0</v>
      </c>
      <c r="V277">
        <v>0</v>
      </c>
      <c r="W277">
        <v>0</v>
      </c>
      <c r="X277">
        <v>0</v>
      </c>
      <c r="Y277">
        <f>IF(Z277,TRUE,AND(AC277:AS277))</f>
        <v>0</v>
      </c>
      <c r="Z277">
        <f>COUNTBLANK(Metadata!B277:R277)=COLUMNS(Metadata!B277:R277)</f>
        <v>0</v>
      </c>
      <c r="AA277">
        <v>0</v>
      </c>
      <c r="AC277">
        <f>AND(IF(Metadata!B277="",FALSE,TRUE),COUNTIF(Metadata!B:B, Metadata!B277) = 1,NOT(ISERROR(SUMPRODUCT(SEARCH(MID(Metadata!B277,ROW(INDIRECT("1:"&amp;LEN(Metadata!B277))), 1),"0123456789abcdefghijklmnopqrstuvwxyzABCDEFGHIJKLMNOPQRSTUVWXYZ.")))))</f>
        <v>0</v>
      </c>
      <c r="AD277">
        <f>AND(IF(Metadata!C277="",FALSE,TRUE),exact(Metadata!C277,"Host-associated"))</f>
        <v>0</v>
      </c>
      <c r="AE277">
        <f>AND(IF(Metadata!D277="",FALSE,TRUE),OR(exact(Metadata!D277,"Animal"),exact(Metadata!D277,"Fungus"),exact(Metadata!D277,"Plant")))</f>
        <v>0</v>
      </c>
      <c r="AF277">
        <f>AND(IF(Metadata!E277="",FALSE,TRUE),OR(exact(Metadata!E277,"Plant secretion"),exact(Metadata!E277,"Plant rhizosphere"),exact(Metadata!E277,"Plant surface"),exact(Metadata!E277,"Plant corpus"),exact(Metadata!E277,"Fungus surface"),exact(Metadata!E277,"Fungus corpus"),exact(Metadata!E277,"Animal surface"),exact(Metadata!E277,"Animal proximal gut"),exact(Metadata!E277,"Animal corpus"),exact(Metadata!E277,"Animal distal gut"),exact(Metadata!E277,"Animal secretion")))</f>
        <v>0</v>
      </c>
      <c r="AG277">
        <f>OR(AND(IF(Metadata!F277="",FALSE,TRUE),OR(exact(Metadata!F277,"not collected"),exact(Metadata!F277,"not provided"),exact(Metadata!F277,"restricted access"))),AND(IF(Metadata!F277="",FALSE,TRUE),OR(exact(Metadata!F277,"organism-associated habitat"),exact(Metadata!F277,"plant-associated habitat"),exact(Metadata!F277,"animal-associated habitat"),exact(Metadata!F277,"insecta-associated habitat"),exact(Metadata!F277,"mammalia-associated habitat"),exact(Metadata!F277,"human-associated habitat"),exact(Metadata!F277,"livestock-associated habitat"))))</f>
        <v>0</v>
      </c>
      <c r="AH277">
        <f>AND(IF(Metadata!G277="",FALSE,TRUE),exact(Metadata!G277,"host-associated"))</f>
        <v>0</v>
      </c>
      <c r="AI277">
        <f>OR(AND(IF(Metadata!H277="",FALSE,TRUE),OR(exact(Metadata!H277,"not collected"),exact(Metadata!H277,"not provided"))),AND(IF(Metadata!H277="",FALSE,ISNUMBER(VALUE(Metadata!H277))),Metadata!H277&gt;0))</f>
        <v>0</v>
      </c>
      <c r="AJ277">
        <f>AND(IF(Metadata!I277="",FALSE,TRUE),exact(Metadata!I277,"years"))</f>
        <v>0</v>
      </c>
      <c r="AK277">
        <f>IF(Metadata!J277="",FALSE,TRUE)</f>
        <v>0</v>
      </c>
      <c r="AL277">
        <f>OR(AND(IF(Metadata!K277="",FALSE,TRUE),OR(exact(Metadata!K277,"not collected"),exact(Metadata!K277,"not provided"))),AND(IF(Metadata!K277="",FALSE,ISNUMBER(VALUE(Metadata!K277))),Metadata!K277&gt;0))</f>
        <v>0</v>
      </c>
      <c r="AM277">
        <f>AND(IF(Metadata!L277="",FALSE,TRUE),exact(Metadata!L277,"cm"))</f>
        <v>0</v>
      </c>
      <c r="AN277">
        <f>IF(Metadata!M277="",FALSE,TRUE)</f>
        <v>0</v>
      </c>
      <c r="AO277">
        <f>OR(AND(IF(Metadata!N277="",FALSE,TRUE),OR(exact(Metadata!N277,"not applicable"),exact(Metadata!N277,"not collected"),exact(Metadata!N277,"not provided"))),AND(IF(Metadata!N277="",FALSE,IF(ISERROR(INT(Metadata!N277)),FALSE,INT(Metadata!N277)=Metadata!N277)),Metadata!N277&gt;0))</f>
        <v>0</v>
      </c>
      <c r="AP277">
        <f>OR(AND(IF(Metadata!O277="",FALSE,TRUE),OR(exact(Metadata!O277,"not collected"),exact(Metadata!O277,"not provided"))),AND(IF(Metadata!O277="",FALSE,ISNUMBER(VALUE(Metadata!O277))),Metadata!O277&gt;0))</f>
        <v>0</v>
      </c>
      <c r="AQ277">
        <f>AND(IF(Metadata!P277="",FALSE,TRUE),exact(Metadata!P277,"kg"))</f>
        <v>0</v>
      </c>
      <c r="AR277">
        <f>OR(AND(IF(Metadata!Q277="",FALSE,TRUE),OR(exact(Metadata!Q277,"not applicable"),exact(Metadata!Q277,"not collected"),exact(Metadata!Q277,"not provided"),exact(Metadata!Q277,"restricted access"))),IF(Metadata!Q277="",FALSE,IF(ISERROR(INT(Metadata!Q277)),FALSE,INT(Metadata!Q277)=Metadata!Q277)))</f>
        <v>0</v>
      </c>
      <c r="AS277">
        <f>AND(IF(Metadata!R277="",FALSE,TRUE),exact(Metadata!R277,"Not applicable"))</f>
        <v>0</v>
      </c>
    </row>
    <row r="278" spans="1:45">
      <c r="A278" s="4">
        <f>IF(B278=" "," ",HYPERLINK(CONCATENATE("#metadata!",ADDRESS(INDEX($X$2:$X$1001,MATCH(ROWS($V$2:V278),$V$2:$V$1001,0),0),2)),INDEX($AA$2:$AA$1001,MATCH(ROWS($V$2:V278),$V$2:$V$1001,0),0)))</f>
        <v>0</v>
      </c>
      <c r="B278" s="5">
        <f>IF(OR(INDEX($W$2:$W$1001,MATCH(ROWS($V$2:V278),$V$2:$V$1001,0),1)&gt;=100000,INDEX($AC$1005:$AS$1005,1,MATCH(COLUMNS($AC$1006:AC1006),$AC$1006:$AS$1006,0))&gt;=100000), " ",IF(INDEX($AC$2:$AS$1001,MATCH(ROWS($V$2:V278),$V$2:$V$1001,0),MATCH(COLUMNS($AC$1006:AC1006),$AC$1006:$AS$1006,0)), HYPERLINK("#",""), HYPERLINK(CONCATENATE("#Metadata!", ADDRESS(INDEX($X$2:$X$1001,MATCH(ROWS($V$2:V278),$V$2:$V$1001,0),0), INDEX($AC$1004:$AS$1004,1,MATCH(COLUMNS($AC$1006:AC1006),$AC$1006:$AS$1006,0)))),"Fix")))</f>
        <v>0</v>
      </c>
      <c r="C278" s="5">
        <f>IF(OR(INDEX($W$2:$W$1001,MATCH(ROWS($V$2:V278),$V$2:$V$1001,0),1)&gt;=100000,INDEX($AC$1005:$AS$1005,1,MATCH(COLUMNS($AC$1006:AD1006),$AC$1006:$AS$1006,0))&gt;=100000), " ",IF(INDEX($AC$2:$AS$1001,MATCH(ROWS($V$2:V278),$V$2:$V$1001,0),MATCH(COLUMNS($AC$1006:AD1006),$AC$1006:$AS$1006,0)), HYPERLINK("#",""), HYPERLINK(CONCATENATE("#Metadata!", ADDRESS(INDEX($X$2:$X$1001,MATCH(ROWS($V$2:V278),$V$2:$V$1001,0),0), INDEX($AC$1004:$AS$1004,1,MATCH(COLUMNS($AC$1006:AD1006),$AC$1006:$AS$1006,0)))),"Fix")))</f>
        <v>0</v>
      </c>
      <c r="D278" s="5">
        <f>IF(OR(INDEX($W$2:$W$1001,MATCH(ROWS($V$2:V278),$V$2:$V$1001,0),1)&gt;=100000,INDEX($AC$1005:$AS$1005,1,MATCH(COLUMNS($AC$1006:AE1006),$AC$1006:$AS$1006,0))&gt;=100000), " ",IF(INDEX($AC$2:$AS$1001,MATCH(ROWS($V$2:V278),$V$2:$V$1001,0),MATCH(COLUMNS($AC$1006:AE1006),$AC$1006:$AS$1006,0)), HYPERLINK("#",""), HYPERLINK(CONCATENATE("#Metadata!", ADDRESS(INDEX($X$2:$X$1001,MATCH(ROWS($V$2:V278),$V$2:$V$1001,0),0), INDEX($AC$1004:$AS$1004,1,MATCH(COLUMNS($AC$1006:AE1006),$AC$1006:$AS$1006,0)))),"Fix")))</f>
        <v>0</v>
      </c>
      <c r="E278" s="5">
        <f>IF(OR(INDEX($W$2:$W$1001,MATCH(ROWS($V$2:V278),$V$2:$V$1001,0),1)&gt;=100000,INDEX($AC$1005:$AS$1005,1,MATCH(COLUMNS($AC$1006:AF1006),$AC$1006:$AS$1006,0))&gt;=100000), " ",IF(INDEX($AC$2:$AS$1001,MATCH(ROWS($V$2:V278),$V$2:$V$1001,0),MATCH(COLUMNS($AC$1006:AF1006),$AC$1006:$AS$1006,0)), HYPERLINK("#",""), HYPERLINK(CONCATENATE("#Metadata!", ADDRESS(INDEX($X$2:$X$1001,MATCH(ROWS($V$2:V278),$V$2:$V$1001,0),0), INDEX($AC$1004:$AS$1004,1,MATCH(COLUMNS($AC$1006:AF1006),$AC$1006:$AS$1006,0)))),"Fix")))</f>
        <v>0</v>
      </c>
      <c r="F278" s="5">
        <f>IF(OR(INDEX($W$2:$W$1001,MATCH(ROWS($V$2:V278),$V$2:$V$1001,0),1)&gt;=100000,INDEX($AC$1005:$AS$1005,1,MATCH(COLUMNS($AC$1006:AG1006),$AC$1006:$AS$1006,0))&gt;=100000), " ",IF(INDEX($AC$2:$AS$1001,MATCH(ROWS($V$2:V278),$V$2:$V$1001,0),MATCH(COLUMNS($AC$1006:AG1006),$AC$1006:$AS$1006,0)), HYPERLINK("#",""), HYPERLINK(CONCATENATE("#Metadata!", ADDRESS(INDEX($X$2:$X$1001,MATCH(ROWS($V$2:V278),$V$2:$V$1001,0),0), INDEX($AC$1004:$AS$1004,1,MATCH(COLUMNS($AC$1006:AG1006),$AC$1006:$AS$1006,0)))),"Fix")))</f>
        <v>0</v>
      </c>
      <c r="G278" s="5">
        <f>IF(OR(INDEX($W$2:$W$1001,MATCH(ROWS($V$2:V278),$V$2:$V$1001,0),1)&gt;=100000,INDEX($AC$1005:$AS$1005,1,MATCH(COLUMNS($AC$1006:AH1006),$AC$1006:$AS$1006,0))&gt;=100000), " ",IF(INDEX($AC$2:$AS$1001,MATCH(ROWS($V$2:V278),$V$2:$V$1001,0),MATCH(COLUMNS($AC$1006:AH1006),$AC$1006:$AS$1006,0)), HYPERLINK("#",""), HYPERLINK(CONCATENATE("#Metadata!", ADDRESS(INDEX($X$2:$X$1001,MATCH(ROWS($V$2:V278),$V$2:$V$1001,0),0), INDEX($AC$1004:$AS$1004,1,MATCH(COLUMNS($AC$1006:AH1006),$AC$1006:$AS$1006,0)))),"Fix")))</f>
        <v>0</v>
      </c>
      <c r="H278" s="5">
        <f>IF(OR(INDEX($W$2:$W$1001,MATCH(ROWS($V$2:V278),$V$2:$V$1001,0),1)&gt;=100000,INDEX($AC$1005:$AS$1005,1,MATCH(COLUMNS($AC$1006:AI1006),$AC$1006:$AS$1006,0))&gt;=100000), " ",IF(INDEX($AC$2:$AS$1001,MATCH(ROWS($V$2:V278),$V$2:$V$1001,0),MATCH(COLUMNS($AC$1006:AI1006),$AC$1006:$AS$1006,0)), HYPERLINK("#",""), HYPERLINK(CONCATENATE("#Metadata!", ADDRESS(INDEX($X$2:$X$1001,MATCH(ROWS($V$2:V278),$V$2:$V$1001,0),0), INDEX($AC$1004:$AS$1004,1,MATCH(COLUMNS($AC$1006:AI1006),$AC$1006:$AS$1006,0)))),"Fix")))</f>
        <v>0</v>
      </c>
      <c r="I278" s="5">
        <f>IF(OR(INDEX($W$2:$W$1001,MATCH(ROWS($V$2:V278),$V$2:$V$1001,0),1)&gt;=100000,INDEX($AC$1005:$AS$1005,1,MATCH(COLUMNS($AC$1006:AJ1006),$AC$1006:$AS$1006,0))&gt;=100000), " ",IF(INDEX($AC$2:$AS$1001,MATCH(ROWS($V$2:V278),$V$2:$V$1001,0),MATCH(COLUMNS($AC$1006:AJ1006),$AC$1006:$AS$1006,0)), HYPERLINK("#",""), HYPERLINK(CONCATENATE("#Metadata!", ADDRESS(INDEX($X$2:$X$1001,MATCH(ROWS($V$2:V278),$V$2:$V$1001,0),0), INDEX($AC$1004:$AS$1004,1,MATCH(COLUMNS($AC$1006:AJ1006),$AC$1006:$AS$1006,0)))),"Fix")))</f>
        <v>0</v>
      </c>
      <c r="J278" s="5">
        <f>IF(OR(INDEX($W$2:$W$1001,MATCH(ROWS($V$2:V278),$V$2:$V$1001,0),1)&gt;=100000,INDEX($AC$1005:$AS$1005,1,MATCH(COLUMNS($AC$1006:AK1006),$AC$1006:$AS$1006,0))&gt;=100000), " ",IF(INDEX($AC$2:$AS$1001,MATCH(ROWS($V$2:V278),$V$2:$V$1001,0),MATCH(COLUMNS($AC$1006:AK1006),$AC$1006:$AS$1006,0)), HYPERLINK("#",""), HYPERLINK(CONCATENATE("#Metadata!", ADDRESS(INDEX($X$2:$X$1001,MATCH(ROWS($V$2:V278),$V$2:$V$1001,0),0), INDEX($AC$1004:$AS$1004,1,MATCH(COLUMNS($AC$1006:AK1006),$AC$1006:$AS$1006,0)))),"Fix")))</f>
        <v>0</v>
      </c>
      <c r="K278" s="5">
        <f>IF(OR(INDEX($W$2:$W$1001,MATCH(ROWS($V$2:V278),$V$2:$V$1001,0),1)&gt;=100000,INDEX($AC$1005:$AS$1005,1,MATCH(COLUMNS($AC$1006:AL1006),$AC$1006:$AS$1006,0))&gt;=100000), " ",IF(INDEX($AC$2:$AS$1001,MATCH(ROWS($V$2:V278),$V$2:$V$1001,0),MATCH(COLUMNS($AC$1006:AL1006),$AC$1006:$AS$1006,0)), HYPERLINK("#",""), HYPERLINK(CONCATENATE("#Metadata!", ADDRESS(INDEX($X$2:$X$1001,MATCH(ROWS($V$2:V278),$V$2:$V$1001,0),0), INDEX($AC$1004:$AS$1004,1,MATCH(COLUMNS($AC$1006:AL1006),$AC$1006:$AS$1006,0)))),"Fix")))</f>
        <v>0</v>
      </c>
      <c r="L278" s="5">
        <f>IF(OR(INDEX($W$2:$W$1001,MATCH(ROWS($V$2:V278),$V$2:$V$1001,0),1)&gt;=100000,INDEX($AC$1005:$AS$1005,1,MATCH(COLUMNS($AC$1006:AM1006),$AC$1006:$AS$1006,0))&gt;=100000), " ",IF(INDEX($AC$2:$AS$1001,MATCH(ROWS($V$2:V278),$V$2:$V$1001,0),MATCH(COLUMNS($AC$1006:AM1006),$AC$1006:$AS$1006,0)), HYPERLINK("#",""), HYPERLINK(CONCATENATE("#Metadata!", ADDRESS(INDEX($X$2:$X$1001,MATCH(ROWS($V$2:V278),$V$2:$V$1001,0),0), INDEX($AC$1004:$AS$1004,1,MATCH(COLUMNS($AC$1006:AM1006),$AC$1006:$AS$1006,0)))),"Fix")))</f>
        <v>0</v>
      </c>
      <c r="M278" s="5">
        <f>IF(OR(INDEX($W$2:$W$1001,MATCH(ROWS($V$2:V278),$V$2:$V$1001,0),1)&gt;=100000,INDEX($AC$1005:$AS$1005,1,MATCH(COLUMNS($AC$1006:AN1006),$AC$1006:$AS$1006,0))&gt;=100000), " ",IF(INDEX($AC$2:$AS$1001,MATCH(ROWS($V$2:V278),$V$2:$V$1001,0),MATCH(COLUMNS($AC$1006:AN1006),$AC$1006:$AS$1006,0)), HYPERLINK("#",""), HYPERLINK(CONCATENATE("#Metadata!", ADDRESS(INDEX($X$2:$X$1001,MATCH(ROWS($V$2:V278),$V$2:$V$1001,0),0), INDEX($AC$1004:$AS$1004,1,MATCH(COLUMNS($AC$1006:AN1006),$AC$1006:$AS$1006,0)))),"Fix")))</f>
        <v>0</v>
      </c>
      <c r="N278" s="5">
        <f>IF(OR(INDEX($W$2:$W$1001,MATCH(ROWS($V$2:V278),$V$2:$V$1001,0),1)&gt;=100000,INDEX($AC$1005:$AS$1005,1,MATCH(COLUMNS($AC$1006:AO1006),$AC$1006:$AS$1006,0))&gt;=100000), " ",IF(INDEX($AC$2:$AS$1001,MATCH(ROWS($V$2:V278),$V$2:$V$1001,0),MATCH(COLUMNS($AC$1006:AO1006),$AC$1006:$AS$1006,0)), HYPERLINK("#",""), HYPERLINK(CONCATENATE("#Metadata!", ADDRESS(INDEX($X$2:$X$1001,MATCH(ROWS($V$2:V278),$V$2:$V$1001,0),0), INDEX($AC$1004:$AS$1004,1,MATCH(COLUMNS($AC$1006:AO1006),$AC$1006:$AS$1006,0)))),"Fix")))</f>
        <v>0</v>
      </c>
      <c r="O278" s="5">
        <f>IF(OR(INDEX($W$2:$W$1001,MATCH(ROWS($V$2:V278),$V$2:$V$1001,0),1)&gt;=100000,INDEX($AC$1005:$AS$1005,1,MATCH(COLUMNS($AC$1006:AP1006),$AC$1006:$AS$1006,0))&gt;=100000), " ",IF(INDEX($AC$2:$AS$1001,MATCH(ROWS($V$2:V278),$V$2:$V$1001,0),MATCH(COLUMNS($AC$1006:AP1006),$AC$1006:$AS$1006,0)), HYPERLINK("#",""), HYPERLINK(CONCATENATE("#Metadata!", ADDRESS(INDEX($X$2:$X$1001,MATCH(ROWS($V$2:V278),$V$2:$V$1001,0),0), INDEX($AC$1004:$AS$1004,1,MATCH(COLUMNS($AC$1006:AP1006),$AC$1006:$AS$1006,0)))),"Fix")))</f>
        <v>0</v>
      </c>
      <c r="P278" s="5">
        <f>IF(OR(INDEX($W$2:$W$1001,MATCH(ROWS($V$2:V278),$V$2:$V$1001,0),1)&gt;=100000,INDEX($AC$1005:$AS$1005,1,MATCH(COLUMNS($AC$1006:AQ1006),$AC$1006:$AS$1006,0))&gt;=100000), " ",IF(INDEX($AC$2:$AS$1001,MATCH(ROWS($V$2:V278),$V$2:$V$1001,0),MATCH(COLUMNS($AC$1006:AQ1006),$AC$1006:$AS$1006,0)), HYPERLINK("#",""), HYPERLINK(CONCATENATE("#Metadata!", ADDRESS(INDEX($X$2:$X$1001,MATCH(ROWS($V$2:V278),$V$2:$V$1001,0),0), INDEX($AC$1004:$AS$1004,1,MATCH(COLUMNS($AC$1006:AQ1006),$AC$1006:$AS$1006,0)))),"Fix")))</f>
        <v>0</v>
      </c>
      <c r="Q278" s="5">
        <f>IF(OR(INDEX($W$2:$W$1001,MATCH(ROWS($V$2:V278),$V$2:$V$1001,0),1)&gt;=100000,INDEX($AC$1005:$AS$1005,1,MATCH(COLUMNS($AC$1006:AR1006),$AC$1006:$AS$1006,0))&gt;=100000), " ",IF(INDEX($AC$2:$AS$1001,MATCH(ROWS($V$2:V278),$V$2:$V$1001,0),MATCH(COLUMNS($AC$1006:AR1006),$AC$1006:$AS$1006,0)), HYPERLINK("#",""), HYPERLINK(CONCATENATE("#Metadata!", ADDRESS(INDEX($X$2:$X$1001,MATCH(ROWS($V$2:V278),$V$2:$V$1001,0),0), INDEX($AC$1004:$AS$1004,1,MATCH(COLUMNS($AC$1006:AR1006),$AC$1006:$AS$1006,0)))),"Fix")))</f>
        <v>0</v>
      </c>
      <c r="R278" s="5">
        <f>IF(OR(INDEX($W$2:$W$1001,MATCH(ROWS($V$2:V278),$V$2:$V$1001,0),1)&gt;=100000,INDEX($AC$1005:$AS$1005,1,MATCH(COLUMNS($AC$1006:AS1006),$AC$1006:$AS$1006,0))&gt;=100000), " ",IF(INDEX($AC$2:$AS$1001,MATCH(ROWS($V$2:V278),$V$2:$V$1001,0),MATCH(COLUMNS($AC$1006:AS1006),$AC$1006:$AS$1006,0)), HYPERLINK("#",""), HYPERLINK(CONCATENATE("#Metadata!", ADDRESS(INDEX($X$2:$X$1001,MATCH(ROWS($V$2:V278),$V$2:$V$1001,0),0), INDEX($AC$1004:$AS$1004,1,MATCH(COLUMNS($AC$1006:AS1006),$AC$1006:$AS$1006,0)))),"Fix")))</f>
        <v>0</v>
      </c>
      <c r="V278">
        <v>0</v>
      </c>
      <c r="W278">
        <v>0</v>
      </c>
      <c r="X278">
        <v>0</v>
      </c>
      <c r="Y278">
        <f>IF(Z278,TRUE,AND(AC278:AS278))</f>
        <v>0</v>
      </c>
      <c r="Z278">
        <f>COUNTBLANK(Metadata!B278:R278)=COLUMNS(Metadata!B278:R278)</f>
        <v>0</v>
      </c>
      <c r="AA278">
        <v>0</v>
      </c>
      <c r="AC278">
        <f>AND(IF(Metadata!B278="",FALSE,TRUE),COUNTIF(Metadata!B:B, Metadata!B278) = 1,NOT(ISERROR(SUMPRODUCT(SEARCH(MID(Metadata!B278,ROW(INDIRECT("1:"&amp;LEN(Metadata!B278))), 1),"0123456789abcdefghijklmnopqrstuvwxyzABCDEFGHIJKLMNOPQRSTUVWXYZ.")))))</f>
        <v>0</v>
      </c>
      <c r="AD278">
        <f>AND(IF(Metadata!C278="",FALSE,TRUE),exact(Metadata!C278,"Host-associated"))</f>
        <v>0</v>
      </c>
      <c r="AE278">
        <f>AND(IF(Metadata!D278="",FALSE,TRUE),OR(exact(Metadata!D278,"Animal"),exact(Metadata!D278,"Fungus"),exact(Metadata!D278,"Plant")))</f>
        <v>0</v>
      </c>
      <c r="AF278">
        <f>AND(IF(Metadata!E278="",FALSE,TRUE),OR(exact(Metadata!E278,"Plant secretion"),exact(Metadata!E278,"Plant rhizosphere"),exact(Metadata!E278,"Plant surface"),exact(Metadata!E278,"Plant corpus"),exact(Metadata!E278,"Fungus surface"),exact(Metadata!E278,"Fungus corpus"),exact(Metadata!E278,"Animal surface"),exact(Metadata!E278,"Animal proximal gut"),exact(Metadata!E278,"Animal corpus"),exact(Metadata!E278,"Animal distal gut"),exact(Metadata!E278,"Animal secretion")))</f>
        <v>0</v>
      </c>
      <c r="AG278">
        <f>OR(AND(IF(Metadata!F278="",FALSE,TRUE),OR(exact(Metadata!F278,"not collected"),exact(Metadata!F278,"not provided"),exact(Metadata!F278,"restricted access"))),AND(IF(Metadata!F278="",FALSE,TRUE),OR(exact(Metadata!F278,"organism-associated habitat"),exact(Metadata!F278,"plant-associated habitat"),exact(Metadata!F278,"animal-associated habitat"),exact(Metadata!F278,"insecta-associated habitat"),exact(Metadata!F278,"mammalia-associated habitat"),exact(Metadata!F278,"human-associated habitat"),exact(Metadata!F278,"livestock-associated habitat"))))</f>
        <v>0</v>
      </c>
      <c r="AH278">
        <f>AND(IF(Metadata!G278="",FALSE,TRUE),exact(Metadata!G278,"host-associated"))</f>
        <v>0</v>
      </c>
      <c r="AI278">
        <f>OR(AND(IF(Metadata!H278="",FALSE,TRUE),OR(exact(Metadata!H278,"not collected"),exact(Metadata!H278,"not provided"))),AND(IF(Metadata!H278="",FALSE,ISNUMBER(VALUE(Metadata!H278))),Metadata!H278&gt;0))</f>
        <v>0</v>
      </c>
      <c r="AJ278">
        <f>AND(IF(Metadata!I278="",FALSE,TRUE),exact(Metadata!I278,"years"))</f>
        <v>0</v>
      </c>
      <c r="AK278">
        <f>IF(Metadata!J278="",FALSE,TRUE)</f>
        <v>0</v>
      </c>
      <c r="AL278">
        <f>OR(AND(IF(Metadata!K278="",FALSE,TRUE),OR(exact(Metadata!K278,"not collected"),exact(Metadata!K278,"not provided"))),AND(IF(Metadata!K278="",FALSE,ISNUMBER(VALUE(Metadata!K278))),Metadata!K278&gt;0))</f>
        <v>0</v>
      </c>
      <c r="AM278">
        <f>AND(IF(Metadata!L278="",FALSE,TRUE),exact(Metadata!L278,"cm"))</f>
        <v>0</v>
      </c>
      <c r="AN278">
        <f>IF(Metadata!M278="",FALSE,TRUE)</f>
        <v>0</v>
      </c>
      <c r="AO278">
        <f>OR(AND(IF(Metadata!N278="",FALSE,TRUE),OR(exact(Metadata!N278,"not applicable"),exact(Metadata!N278,"not collected"),exact(Metadata!N278,"not provided"))),AND(IF(Metadata!N278="",FALSE,IF(ISERROR(INT(Metadata!N278)),FALSE,INT(Metadata!N278)=Metadata!N278)),Metadata!N278&gt;0))</f>
        <v>0</v>
      </c>
      <c r="AP278">
        <f>OR(AND(IF(Metadata!O278="",FALSE,TRUE),OR(exact(Metadata!O278,"not collected"),exact(Metadata!O278,"not provided"))),AND(IF(Metadata!O278="",FALSE,ISNUMBER(VALUE(Metadata!O278))),Metadata!O278&gt;0))</f>
        <v>0</v>
      </c>
      <c r="AQ278">
        <f>AND(IF(Metadata!P278="",FALSE,TRUE),exact(Metadata!P278,"kg"))</f>
        <v>0</v>
      </c>
      <c r="AR278">
        <f>OR(AND(IF(Metadata!Q278="",FALSE,TRUE),OR(exact(Metadata!Q278,"not applicable"),exact(Metadata!Q278,"not collected"),exact(Metadata!Q278,"not provided"),exact(Metadata!Q278,"restricted access"))),IF(Metadata!Q278="",FALSE,IF(ISERROR(INT(Metadata!Q278)),FALSE,INT(Metadata!Q278)=Metadata!Q278)))</f>
        <v>0</v>
      </c>
      <c r="AS278">
        <f>AND(IF(Metadata!R278="",FALSE,TRUE),exact(Metadata!R278,"Not applicable"))</f>
        <v>0</v>
      </c>
    </row>
    <row r="279" spans="1:45">
      <c r="A279" s="4">
        <f>IF(B279=" "," ",HYPERLINK(CONCATENATE("#metadata!",ADDRESS(INDEX($X$2:$X$1001,MATCH(ROWS($V$2:V279),$V$2:$V$1001,0),0),2)),INDEX($AA$2:$AA$1001,MATCH(ROWS($V$2:V279),$V$2:$V$1001,0),0)))</f>
        <v>0</v>
      </c>
      <c r="B279" s="5">
        <f>IF(OR(INDEX($W$2:$W$1001,MATCH(ROWS($V$2:V279),$V$2:$V$1001,0),1)&gt;=100000,INDEX($AC$1005:$AS$1005,1,MATCH(COLUMNS($AC$1006:AC1006),$AC$1006:$AS$1006,0))&gt;=100000), " ",IF(INDEX($AC$2:$AS$1001,MATCH(ROWS($V$2:V279),$V$2:$V$1001,0),MATCH(COLUMNS($AC$1006:AC1006),$AC$1006:$AS$1006,0)), HYPERLINK("#",""), HYPERLINK(CONCATENATE("#Metadata!", ADDRESS(INDEX($X$2:$X$1001,MATCH(ROWS($V$2:V279),$V$2:$V$1001,0),0), INDEX($AC$1004:$AS$1004,1,MATCH(COLUMNS($AC$1006:AC1006),$AC$1006:$AS$1006,0)))),"Fix")))</f>
        <v>0</v>
      </c>
      <c r="C279" s="5">
        <f>IF(OR(INDEX($W$2:$W$1001,MATCH(ROWS($V$2:V279),$V$2:$V$1001,0),1)&gt;=100000,INDEX($AC$1005:$AS$1005,1,MATCH(COLUMNS($AC$1006:AD1006),$AC$1006:$AS$1006,0))&gt;=100000), " ",IF(INDEX($AC$2:$AS$1001,MATCH(ROWS($V$2:V279),$V$2:$V$1001,0),MATCH(COLUMNS($AC$1006:AD1006),$AC$1006:$AS$1006,0)), HYPERLINK("#",""), HYPERLINK(CONCATENATE("#Metadata!", ADDRESS(INDEX($X$2:$X$1001,MATCH(ROWS($V$2:V279),$V$2:$V$1001,0),0), INDEX($AC$1004:$AS$1004,1,MATCH(COLUMNS($AC$1006:AD1006),$AC$1006:$AS$1006,0)))),"Fix")))</f>
        <v>0</v>
      </c>
      <c r="D279" s="5">
        <f>IF(OR(INDEX($W$2:$W$1001,MATCH(ROWS($V$2:V279),$V$2:$V$1001,0),1)&gt;=100000,INDEX($AC$1005:$AS$1005,1,MATCH(COLUMNS($AC$1006:AE1006),$AC$1006:$AS$1006,0))&gt;=100000), " ",IF(INDEX($AC$2:$AS$1001,MATCH(ROWS($V$2:V279),$V$2:$V$1001,0),MATCH(COLUMNS($AC$1006:AE1006),$AC$1006:$AS$1006,0)), HYPERLINK("#",""), HYPERLINK(CONCATENATE("#Metadata!", ADDRESS(INDEX($X$2:$X$1001,MATCH(ROWS($V$2:V279),$V$2:$V$1001,0),0), INDEX($AC$1004:$AS$1004,1,MATCH(COLUMNS($AC$1006:AE1006),$AC$1006:$AS$1006,0)))),"Fix")))</f>
        <v>0</v>
      </c>
      <c r="E279" s="5">
        <f>IF(OR(INDEX($W$2:$W$1001,MATCH(ROWS($V$2:V279),$V$2:$V$1001,0),1)&gt;=100000,INDEX($AC$1005:$AS$1005,1,MATCH(COLUMNS($AC$1006:AF1006),$AC$1006:$AS$1006,0))&gt;=100000), " ",IF(INDEX($AC$2:$AS$1001,MATCH(ROWS($V$2:V279),$V$2:$V$1001,0),MATCH(COLUMNS($AC$1006:AF1006),$AC$1006:$AS$1006,0)), HYPERLINK("#",""), HYPERLINK(CONCATENATE("#Metadata!", ADDRESS(INDEX($X$2:$X$1001,MATCH(ROWS($V$2:V279),$V$2:$V$1001,0),0), INDEX($AC$1004:$AS$1004,1,MATCH(COLUMNS($AC$1006:AF1006),$AC$1006:$AS$1006,0)))),"Fix")))</f>
        <v>0</v>
      </c>
      <c r="F279" s="5">
        <f>IF(OR(INDEX($W$2:$W$1001,MATCH(ROWS($V$2:V279),$V$2:$V$1001,0),1)&gt;=100000,INDEX($AC$1005:$AS$1005,1,MATCH(COLUMNS($AC$1006:AG1006),$AC$1006:$AS$1006,0))&gt;=100000), " ",IF(INDEX($AC$2:$AS$1001,MATCH(ROWS($V$2:V279),$V$2:$V$1001,0),MATCH(COLUMNS($AC$1006:AG1006),$AC$1006:$AS$1006,0)), HYPERLINK("#",""), HYPERLINK(CONCATENATE("#Metadata!", ADDRESS(INDEX($X$2:$X$1001,MATCH(ROWS($V$2:V279),$V$2:$V$1001,0),0), INDEX($AC$1004:$AS$1004,1,MATCH(COLUMNS($AC$1006:AG1006),$AC$1006:$AS$1006,0)))),"Fix")))</f>
        <v>0</v>
      </c>
      <c r="G279" s="5">
        <f>IF(OR(INDEX($W$2:$W$1001,MATCH(ROWS($V$2:V279),$V$2:$V$1001,0),1)&gt;=100000,INDEX($AC$1005:$AS$1005,1,MATCH(COLUMNS($AC$1006:AH1006),$AC$1006:$AS$1006,0))&gt;=100000), " ",IF(INDEX($AC$2:$AS$1001,MATCH(ROWS($V$2:V279),$V$2:$V$1001,0),MATCH(COLUMNS($AC$1006:AH1006),$AC$1006:$AS$1006,0)), HYPERLINK("#",""), HYPERLINK(CONCATENATE("#Metadata!", ADDRESS(INDEX($X$2:$X$1001,MATCH(ROWS($V$2:V279),$V$2:$V$1001,0),0), INDEX($AC$1004:$AS$1004,1,MATCH(COLUMNS($AC$1006:AH1006),$AC$1006:$AS$1006,0)))),"Fix")))</f>
        <v>0</v>
      </c>
      <c r="H279" s="5">
        <f>IF(OR(INDEX($W$2:$W$1001,MATCH(ROWS($V$2:V279),$V$2:$V$1001,0),1)&gt;=100000,INDEX($AC$1005:$AS$1005,1,MATCH(COLUMNS($AC$1006:AI1006),$AC$1006:$AS$1006,0))&gt;=100000), " ",IF(INDEX($AC$2:$AS$1001,MATCH(ROWS($V$2:V279),$V$2:$V$1001,0),MATCH(COLUMNS($AC$1006:AI1006),$AC$1006:$AS$1006,0)), HYPERLINK("#",""), HYPERLINK(CONCATENATE("#Metadata!", ADDRESS(INDEX($X$2:$X$1001,MATCH(ROWS($V$2:V279),$V$2:$V$1001,0),0), INDEX($AC$1004:$AS$1004,1,MATCH(COLUMNS($AC$1006:AI1006),$AC$1006:$AS$1006,0)))),"Fix")))</f>
        <v>0</v>
      </c>
      <c r="I279" s="5">
        <f>IF(OR(INDEX($W$2:$W$1001,MATCH(ROWS($V$2:V279),$V$2:$V$1001,0),1)&gt;=100000,INDEX($AC$1005:$AS$1005,1,MATCH(COLUMNS($AC$1006:AJ1006),$AC$1006:$AS$1006,0))&gt;=100000), " ",IF(INDEX($AC$2:$AS$1001,MATCH(ROWS($V$2:V279),$V$2:$V$1001,0),MATCH(COLUMNS($AC$1006:AJ1006),$AC$1006:$AS$1006,0)), HYPERLINK("#",""), HYPERLINK(CONCATENATE("#Metadata!", ADDRESS(INDEX($X$2:$X$1001,MATCH(ROWS($V$2:V279),$V$2:$V$1001,0),0), INDEX($AC$1004:$AS$1004,1,MATCH(COLUMNS($AC$1006:AJ1006),$AC$1006:$AS$1006,0)))),"Fix")))</f>
        <v>0</v>
      </c>
      <c r="J279" s="5">
        <f>IF(OR(INDEX($W$2:$W$1001,MATCH(ROWS($V$2:V279),$V$2:$V$1001,0),1)&gt;=100000,INDEX($AC$1005:$AS$1005,1,MATCH(COLUMNS($AC$1006:AK1006),$AC$1006:$AS$1006,0))&gt;=100000), " ",IF(INDEX($AC$2:$AS$1001,MATCH(ROWS($V$2:V279),$V$2:$V$1001,0),MATCH(COLUMNS($AC$1006:AK1006),$AC$1006:$AS$1006,0)), HYPERLINK("#",""), HYPERLINK(CONCATENATE("#Metadata!", ADDRESS(INDEX($X$2:$X$1001,MATCH(ROWS($V$2:V279),$V$2:$V$1001,0),0), INDEX($AC$1004:$AS$1004,1,MATCH(COLUMNS($AC$1006:AK1006),$AC$1006:$AS$1006,0)))),"Fix")))</f>
        <v>0</v>
      </c>
      <c r="K279" s="5">
        <f>IF(OR(INDEX($W$2:$W$1001,MATCH(ROWS($V$2:V279),$V$2:$V$1001,0),1)&gt;=100000,INDEX($AC$1005:$AS$1005,1,MATCH(COLUMNS($AC$1006:AL1006),$AC$1006:$AS$1006,0))&gt;=100000), " ",IF(INDEX($AC$2:$AS$1001,MATCH(ROWS($V$2:V279),$V$2:$V$1001,0),MATCH(COLUMNS($AC$1006:AL1006),$AC$1006:$AS$1006,0)), HYPERLINK("#",""), HYPERLINK(CONCATENATE("#Metadata!", ADDRESS(INDEX($X$2:$X$1001,MATCH(ROWS($V$2:V279),$V$2:$V$1001,0),0), INDEX($AC$1004:$AS$1004,1,MATCH(COLUMNS($AC$1006:AL1006),$AC$1006:$AS$1006,0)))),"Fix")))</f>
        <v>0</v>
      </c>
      <c r="L279" s="5">
        <f>IF(OR(INDEX($W$2:$W$1001,MATCH(ROWS($V$2:V279),$V$2:$V$1001,0),1)&gt;=100000,INDEX($AC$1005:$AS$1005,1,MATCH(COLUMNS($AC$1006:AM1006),$AC$1006:$AS$1006,0))&gt;=100000), " ",IF(INDEX($AC$2:$AS$1001,MATCH(ROWS($V$2:V279),$V$2:$V$1001,0),MATCH(COLUMNS($AC$1006:AM1006),$AC$1006:$AS$1006,0)), HYPERLINK("#",""), HYPERLINK(CONCATENATE("#Metadata!", ADDRESS(INDEX($X$2:$X$1001,MATCH(ROWS($V$2:V279),$V$2:$V$1001,0),0), INDEX($AC$1004:$AS$1004,1,MATCH(COLUMNS($AC$1006:AM1006),$AC$1006:$AS$1006,0)))),"Fix")))</f>
        <v>0</v>
      </c>
      <c r="M279" s="5">
        <f>IF(OR(INDEX($W$2:$W$1001,MATCH(ROWS($V$2:V279),$V$2:$V$1001,0),1)&gt;=100000,INDEX($AC$1005:$AS$1005,1,MATCH(COLUMNS($AC$1006:AN1006),$AC$1006:$AS$1006,0))&gt;=100000), " ",IF(INDEX($AC$2:$AS$1001,MATCH(ROWS($V$2:V279),$V$2:$V$1001,0),MATCH(COLUMNS($AC$1006:AN1006),$AC$1006:$AS$1006,0)), HYPERLINK("#",""), HYPERLINK(CONCATENATE("#Metadata!", ADDRESS(INDEX($X$2:$X$1001,MATCH(ROWS($V$2:V279),$V$2:$V$1001,0),0), INDEX($AC$1004:$AS$1004,1,MATCH(COLUMNS($AC$1006:AN1006),$AC$1006:$AS$1006,0)))),"Fix")))</f>
        <v>0</v>
      </c>
      <c r="N279" s="5">
        <f>IF(OR(INDEX($W$2:$W$1001,MATCH(ROWS($V$2:V279),$V$2:$V$1001,0),1)&gt;=100000,INDEX($AC$1005:$AS$1005,1,MATCH(COLUMNS($AC$1006:AO1006),$AC$1006:$AS$1006,0))&gt;=100000), " ",IF(INDEX($AC$2:$AS$1001,MATCH(ROWS($V$2:V279),$V$2:$V$1001,0),MATCH(COLUMNS($AC$1006:AO1006),$AC$1006:$AS$1006,0)), HYPERLINK("#",""), HYPERLINK(CONCATENATE("#Metadata!", ADDRESS(INDEX($X$2:$X$1001,MATCH(ROWS($V$2:V279),$V$2:$V$1001,0),0), INDEX($AC$1004:$AS$1004,1,MATCH(COLUMNS($AC$1006:AO1006),$AC$1006:$AS$1006,0)))),"Fix")))</f>
        <v>0</v>
      </c>
      <c r="O279" s="5">
        <f>IF(OR(INDEX($W$2:$W$1001,MATCH(ROWS($V$2:V279),$V$2:$V$1001,0),1)&gt;=100000,INDEX($AC$1005:$AS$1005,1,MATCH(COLUMNS($AC$1006:AP1006),$AC$1006:$AS$1006,0))&gt;=100000), " ",IF(INDEX($AC$2:$AS$1001,MATCH(ROWS($V$2:V279),$V$2:$V$1001,0),MATCH(COLUMNS($AC$1006:AP1006),$AC$1006:$AS$1006,0)), HYPERLINK("#",""), HYPERLINK(CONCATENATE("#Metadata!", ADDRESS(INDEX($X$2:$X$1001,MATCH(ROWS($V$2:V279),$V$2:$V$1001,0),0), INDEX($AC$1004:$AS$1004,1,MATCH(COLUMNS($AC$1006:AP1006),$AC$1006:$AS$1006,0)))),"Fix")))</f>
        <v>0</v>
      </c>
      <c r="P279" s="5">
        <f>IF(OR(INDEX($W$2:$W$1001,MATCH(ROWS($V$2:V279),$V$2:$V$1001,0),1)&gt;=100000,INDEX($AC$1005:$AS$1005,1,MATCH(COLUMNS($AC$1006:AQ1006),$AC$1006:$AS$1006,0))&gt;=100000), " ",IF(INDEX($AC$2:$AS$1001,MATCH(ROWS($V$2:V279),$V$2:$V$1001,0),MATCH(COLUMNS($AC$1006:AQ1006),$AC$1006:$AS$1006,0)), HYPERLINK("#",""), HYPERLINK(CONCATENATE("#Metadata!", ADDRESS(INDEX($X$2:$X$1001,MATCH(ROWS($V$2:V279),$V$2:$V$1001,0),0), INDEX($AC$1004:$AS$1004,1,MATCH(COLUMNS($AC$1006:AQ1006),$AC$1006:$AS$1006,0)))),"Fix")))</f>
        <v>0</v>
      </c>
      <c r="Q279" s="5">
        <f>IF(OR(INDEX($W$2:$W$1001,MATCH(ROWS($V$2:V279),$V$2:$V$1001,0),1)&gt;=100000,INDEX($AC$1005:$AS$1005,1,MATCH(COLUMNS($AC$1006:AR1006),$AC$1006:$AS$1006,0))&gt;=100000), " ",IF(INDEX($AC$2:$AS$1001,MATCH(ROWS($V$2:V279),$V$2:$V$1001,0),MATCH(COLUMNS($AC$1006:AR1006),$AC$1006:$AS$1006,0)), HYPERLINK("#",""), HYPERLINK(CONCATENATE("#Metadata!", ADDRESS(INDEX($X$2:$X$1001,MATCH(ROWS($V$2:V279),$V$2:$V$1001,0),0), INDEX($AC$1004:$AS$1004,1,MATCH(COLUMNS($AC$1006:AR1006),$AC$1006:$AS$1006,0)))),"Fix")))</f>
        <v>0</v>
      </c>
      <c r="R279" s="5">
        <f>IF(OR(INDEX($W$2:$W$1001,MATCH(ROWS($V$2:V279),$V$2:$V$1001,0),1)&gt;=100000,INDEX($AC$1005:$AS$1005,1,MATCH(COLUMNS($AC$1006:AS1006),$AC$1006:$AS$1006,0))&gt;=100000), " ",IF(INDEX($AC$2:$AS$1001,MATCH(ROWS($V$2:V279),$V$2:$V$1001,0),MATCH(COLUMNS($AC$1006:AS1006),$AC$1006:$AS$1006,0)), HYPERLINK("#",""), HYPERLINK(CONCATENATE("#Metadata!", ADDRESS(INDEX($X$2:$X$1001,MATCH(ROWS($V$2:V279),$V$2:$V$1001,0),0), INDEX($AC$1004:$AS$1004,1,MATCH(COLUMNS($AC$1006:AS1006),$AC$1006:$AS$1006,0)))),"Fix")))</f>
        <v>0</v>
      </c>
      <c r="V279">
        <v>0</v>
      </c>
      <c r="W279">
        <v>0</v>
      </c>
      <c r="X279">
        <v>0</v>
      </c>
      <c r="Y279">
        <f>IF(Z279,TRUE,AND(AC279:AS279))</f>
        <v>0</v>
      </c>
      <c r="Z279">
        <f>COUNTBLANK(Metadata!B279:R279)=COLUMNS(Metadata!B279:R279)</f>
        <v>0</v>
      </c>
      <c r="AA279">
        <v>0</v>
      </c>
      <c r="AC279">
        <f>AND(IF(Metadata!B279="",FALSE,TRUE),COUNTIF(Metadata!B:B, Metadata!B279) = 1,NOT(ISERROR(SUMPRODUCT(SEARCH(MID(Metadata!B279,ROW(INDIRECT("1:"&amp;LEN(Metadata!B279))), 1),"0123456789abcdefghijklmnopqrstuvwxyzABCDEFGHIJKLMNOPQRSTUVWXYZ.")))))</f>
        <v>0</v>
      </c>
      <c r="AD279">
        <f>AND(IF(Metadata!C279="",FALSE,TRUE),exact(Metadata!C279,"Host-associated"))</f>
        <v>0</v>
      </c>
      <c r="AE279">
        <f>AND(IF(Metadata!D279="",FALSE,TRUE),OR(exact(Metadata!D279,"Animal"),exact(Metadata!D279,"Fungus"),exact(Metadata!D279,"Plant")))</f>
        <v>0</v>
      </c>
      <c r="AF279">
        <f>AND(IF(Metadata!E279="",FALSE,TRUE),OR(exact(Metadata!E279,"Plant secretion"),exact(Metadata!E279,"Plant rhizosphere"),exact(Metadata!E279,"Plant surface"),exact(Metadata!E279,"Plant corpus"),exact(Metadata!E279,"Fungus surface"),exact(Metadata!E279,"Fungus corpus"),exact(Metadata!E279,"Animal surface"),exact(Metadata!E279,"Animal proximal gut"),exact(Metadata!E279,"Animal corpus"),exact(Metadata!E279,"Animal distal gut"),exact(Metadata!E279,"Animal secretion")))</f>
        <v>0</v>
      </c>
      <c r="AG279">
        <f>OR(AND(IF(Metadata!F279="",FALSE,TRUE),OR(exact(Metadata!F279,"not collected"),exact(Metadata!F279,"not provided"),exact(Metadata!F279,"restricted access"))),AND(IF(Metadata!F279="",FALSE,TRUE),OR(exact(Metadata!F279,"organism-associated habitat"),exact(Metadata!F279,"plant-associated habitat"),exact(Metadata!F279,"animal-associated habitat"),exact(Metadata!F279,"insecta-associated habitat"),exact(Metadata!F279,"mammalia-associated habitat"),exact(Metadata!F279,"human-associated habitat"),exact(Metadata!F279,"livestock-associated habitat"))))</f>
        <v>0</v>
      </c>
      <c r="AH279">
        <f>AND(IF(Metadata!G279="",FALSE,TRUE),exact(Metadata!G279,"host-associated"))</f>
        <v>0</v>
      </c>
      <c r="AI279">
        <f>OR(AND(IF(Metadata!H279="",FALSE,TRUE),OR(exact(Metadata!H279,"not collected"),exact(Metadata!H279,"not provided"))),AND(IF(Metadata!H279="",FALSE,ISNUMBER(VALUE(Metadata!H279))),Metadata!H279&gt;0))</f>
        <v>0</v>
      </c>
      <c r="AJ279">
        <f>AND(IF(Metadata!I279="",FALSE,TRUE),exact(Metadata!I279,"years"))</f>
        <v>0</v>
      </c>
      <c r="AK279">
        <f>IF(Metadata!J279="",FALSE,TRUE)</f>
        <v>0</v>
      </c>
      <c r="AL279">
        <f>OR(AND(IF(Metadata!K279="",FALSE,TRUE),OR(exact(Metadata!K279,"not collected"),exact(Metadata!K279,"not provided"))),AND(IF(Metadata!K279="",FALSE,ISNUMBER(VALUE(Metadata!K279))),Metadata!K279&gt;0))</f>
        <v>0</v>
      </c>
      <c r="AM279">
        <f>AND(IF(Metadata!L279="",FALSE,TRUE),exact(Metadata!L279,"cm"))</f>
        <v>0</v>
      </c>
      <c r="AN279">
        <f>IF(Metadata!M279="",FALSE,TRUE)</f>
        <v>0</v>
      </c>
      <c r="AO279">
        <f>OR(AND(IF(Metadata!N279="",FALSE,TRUE),OR(exact(Metadata!N279,"not applicable"),exact(Metadata!N279,"not collected"),exact(Metadata!N279,"not provided"))),AND(IF(Metadata!N279="",FALSE,IF(ISERROR(INT(Metadata!N279)),FALSE,INT(Metadata!N279)=Metadata!N279)),Metadata!N279&gt;0))</f>
        <v>0</v>
      </c>
      <c r="AP279">
        <f>OR(AND(IF(Metadata!O279="",FALSE,TRUE),OR(exact(Metadata!O279,"not collected"),exact(Metadata!O279,"not provided"))),AND(IF(Metadata!O279="",FALSE,ISNUMBER(VALUE(Metadata!O279))),Metadata!O279&gt;0))</f>
        <v>0</v>
      </c>
      <c r="AQ279">
        <f>AND(IF(Metadata!P279="",FALSE,TRUE),exact(Metadata!P279,"kg"))</f>
        <v>0</v>
      </c>
      <c r="AR279">
        <f>OR(AND(IF(Metadata!Q279="",FALSE,TRUE),OR(exact(Metadata!Q279,"not applicable"),exact(Metadata!Q279,"not collected"),exact(Metadata!Q279,"not provided"),exact(Metadata!Q279,"restricted access"))),IF(Metadata!Q279="",FALSE,IF(ISERROR(INT(Metadata!Q279)),FALSE,INT(Metadata!Q279)=Metadata!Q279)))</f>
        <v>0</v>
      </c>
      <c r="AS279">
        <f>AND(IF(Metadata!R279="",FALSE,TRUE),exact(Metadata!R279,"Not applicable"))</f>
        <v>0</v>
      </c>
    </row>
    <row r="280" spans="1:45">
      <c r="A280" s="4">
        <f>IF(B280=" "," ",HYPERLINK(CONCATENATE("#metadata!",ADDRESS(INDEX($X$2:$X$1001,MATCH(ROWS($V$2:V280),$V$2:$V$1001,0),0),2)),INDEX($AA$2:$AA$1001,MATCH(ROWS($V$2:V280),$V$2:$V$1001,0),0)))</f>
        <v>0</v>
      </c>
      <c r="B280" s="5">
        <f>IF(OR(INDEX($W$2:$W$1001,MATCH(ROWS($V$2:V280),$V$2:$V$1001,0),1)&gt;=100000,INDEX($AC$1005:$AS$1005,1,MATCH(COLUMNS($AC$1006:AC1006),$AC$1006:$AS$1006,0))&gt;=100000), " ",IF(INDEX($AC$2:$AS$1001,MATCH(ROWS($V$2:V280),$V$2:$V$1001,0),MATCH(COLUMNS($AC$1006:AC1006),$AC$1006:$AS$1006,0)), HYPERLINK("#",""), HYPERLINK(CONCATENATE("#Metadata!", ADDRESS(INDEX($X$2:$X$1001,MATCH(ROWS($V$2:V280),$V$2:$V$1001,0),0), INDEX($AC$1004:$AS$1004,1,MATCH(COLUMNS($AC$1006:AC1006),$AC$1006:$AS$1006,0)))),"Fix")))</f>
        <v>0</v>
      </c>
      <c r="C280" s="5">
        <f>IF(OR(INDEX($W$2:$W$1001,MATCH(ROWS($V$2:V280),$V$2:$V$1001,0),1)&gt;=100000,INDEX($AC$1005:$AS$1005,1,MATCH(COLUMNS($AC$1006:AD1006),$AC$1006:$AS$1006,0))&gt;=100000), " ",IF(INDEX($AC$2:$AS$1001,MATCH(ROWS($V$2:V280),$V$2:$V$1001,0),MATCH(COLUMNS($AC$1006:AD1006),$AC$1006:$AS$1006,0)), HYPERLINK("#",""), HYPERLINK(CONCATENATE("#Metadata!", ADDRESS(INDEX($X$2:$X$1001,MATCH(ROWS($V$2:V280),$V$2:$V$1001,0),0), INDEX($AC$1004:$AS$1004,1,MATCH(COLUMNS($AC$1006:AD1006),$AC$1006:$AS$1006,0)))),"Fix")))</f>
        <v>0</v>
      </c>
      <c r="D280" s="5">
        <f>IF(OR(INDEX($W$2:$W$1001,MATCH(ROWS($V$2:V280),$V$2:$V$1001,0),1)&gt;=100000,INDEX($AC$1005:$AS$1005,1,MATCH(COLUMNS($AC$1006:AE1006),$AC$1006:$AS$1006,0))&gt;=100000), " ",IF(INDEX($AC$2:$AS$1001,MATCH(ROWS($V$2:V280),$V$2:$V$1001,0),MATCH(COLUMNS($AC$1006:AE1006),$AC$1006:$AS$1006,0)), HYPERLINK("#",""), HYPERLINK(CONCATENATE("#Metadata!", ADDRESS(INDEX($X$2:$X$1001,MATCH(ROWS($V$2:V280),$V$2:$V$1001,0),0), INDEX($AC$1004:$AS$1004,1,MATCH(COLUMNS($AC$1006:AE1006),$AC$1006:$AS$1006,0)))),"Fix")))</f>
        <v>0</v>
      </c>
      <c r="E280" s="5">
        <f>IF(OR(INDEX($W$2:$W$1001,MATCH(ROWS($V$2:V280),$V$2:$V$1001,0),1)&gt;=100000,INDEX($AC$1005:$AS$1005,1,MATCH(COLUMNS($AC$1006:AF1006),$AC$1006:$AS$1006,0))&gt;=100000), " ",IF(INDEX($AC$2:$AS$1001,MATCH(ROWS($V$2:V280),$V$2:$V$1001,0),MATCH(COLUMNS($AC$1006:AF1006),$AC$1006:$AS$1006,0)), HYPERLINK("#",""), HYPERLINK(CONCATENATE("#Metadata!", ADDRESS(INDEX($X$2:$X$1001,MATCH(ROWS($V$2:V280),$V$2:$V$1001,0),0), INDEX($AC$1004:$AS$1004,1,MATCH(COLUMNS($AC$1006:AF1006),$AC$1006:$AS$1006,0)))),"Fix")))</f>
        <v>0</v>
      </c>
      <c r="F280" s="5">
        <f>IF(OR(INDEX($W$2:$W$1001,MATCH(ROWS($V$2:V280),$V$2:$V$1001,0),1)&gt;=100000,INDEX($AC$1005:$AS$1005,1,MATCH(COLUMNS($AC$1006:AG1006),$AC$1006:$AS$1006,0))&gt;=100000), " ",IF(INDEX($AC$2:$AS$1001,MATCH(ROWS($V$2:V280),$V$2:$V$1001,0),MATCH(COLUMNS($AC$1006:AG1006),$AC$1006:$AS$1006,0)), HYPERLINK("#",""), HYPERLINK(CONCATENATE("#Metadata!", ADDRESS(INDEX($X$2:$X$1001,MATCH(ROWS($V$2:V280),$V$2:$V$1001,0),0), INDEX($AC$1004:$AS$1004,1,MATCH(COLUMNS($AC$1006:AG1006),$AC$1006:$AS$1006,0)))),"Fix")))</f>
        <v>0</v>
      </c>
      <c r="G280" s="5">
        <f>IF(OR(INDEX($W$2:$W$1001,MATCH(ROWS($V$2:V280),$V$2:$V$1001,0),1)&gt;=100000,INDEX($AC$1005:$AS$1005,1,MATCH(COLUMNS($AC$1006:AH1006),$AC$1006:$AS$1006,0))&gt;=100000), " ",IF(INDEX($AC$2:$AS$1001,MATCH(ROWS($V$2:V280),$V$2:$V$1001,0),MATCH(COLUMNS($AC$1006:AH1006),$AC$1006:$AS$1006,0)), HYPERLINK("#",""), HYPERLINK(CONCATENATE("#Metadata!", ADDRESS(INDEX($X$2:$X$1001,MATCH(ROWS($V$2:V280),$V$2:$V$1001,0),0), INDEX($AC$1004:$AS$1004,1,MATCH(COLUMNS($AC$1006:AH1006),$AC$1006:$AS$1006,0)))),"Fix")))</f>
        <v>0</v>
      </c>
      <c r="H280" s="5">
        <f>IF(OR(INDEX($W$2:$W$1001,MATCH(ROWS($V$2:V280),$V$2:$V$1001,0),1)&gt;=100000,INDEX($AC$1005:$AS$1005,1,MATCH(COLUMNS($AC$1006:AI1006),$AC$1006:$AS$1006,0))&gt;=100000), " ",IF(INDEX($AC$2:$AS$1001,MATCH(ROWS($V$2:V280),$V$2:$V$1001,0),MATCH(COLUMNS($AC$1006:AI1006),$AC$1006:$AS$1006,0)), HYPERLINK("#",""), HYPERLINK(CONCATENATE("#Metadata!", ADDRESS(INDEX($X$2:$X$1001,MATCH(ROWS($V$2:V280),$V$2:$V$1001,0),0), INDEX($AC$1004:$AS$1004,1,MATCH(COLUMNS($AC$1006:AI1006),$AC$1006:$AS$1006,0)))),"Fix")))</f>
        <v>0</v>
      </c>
      <c r="I280" s="5">
        <f>IF(OR(INDEX($W$2:$W$1001,MATCH(ROWS($V$2:V280),$V$2:$V$1001,0),1)&gt;=100000,INDEX($AC$1005:$AS$1005,1,MATCH(COLUMNS($AC$1006:AJ1006),$AC$1006:$AS$1006,0))&gt;=100000), " ",IF(INDEX($AC$2:$AS$1001,MATCH(ROWS($V$2:V280),$V$2:$V$1001,0),MATCH(COLUMNS($AC$1006:AJ1006),$AC$1006:$AS$1006,0)), HYPERLINK("#",""), HYPERLINK(CONCATENATE("#Metadata!", ADDRESS(INDEX($X$2:$X$1001,MATCH(ROWS($V$2:V280),$V$2:$V$1001,0),0), INDEX($AC$1004:$AS$1004,1,MATCH(COLUMNS($AC$1006:AJ1006),$AC$1006:$AS$1006,0)))),"Fix")))</f>
        <v>0</v>
      </c>
      <c r="J280" s="5">
        <f>IF(OR(INDEX($W$2:$W$1001,MATCH(ROWS($V$2:V280),$V$2:$V$1001,0),1)&gt;=100000,INDEX($AC$1005:$AS$1005,1,MATCH(COLUMNS($AC$1006:AK1006),$AC$1006:$AS$1006,0))&gt;=100000), " ",IF(INDEX($AC$2:$AS$1001,MATCH(ROWS($V$2:V280),$V$2:$V$1001,0),MATCH(COLUMNS($AC$1006:AK1006),$AC$1006:$AS$1006,0)), HYPERLINK("#",""), HYPERLINK(CONCATENATE("#Metadata!", ADDRESS(INDEX($X$2:$X$1001,MATCH(ROWS($V$2:V280),$V$2:$V$1001,0),0), INDEX($AC$1004:$AS$1004,1,MATCH(COLUMNS($AC$1006:AK1006),$AC$1006:$AS$1006,0)))),"Fix")))</f>
        <v>0</v>
      </c>
      <c r="K280" s="5">
        <f>IF(OR(INDEX($W$2:$W$1001,MATCH(ROWS($V$2:V280),$V$2:$V$1001,0),1)&gt;=100000,INDEX($AC$1005:$AS$1005,1,MATCH(COLUMNS($AC$1006:AL1006),$AC$1006:$AS$1006,0))&gt;=100000), " ",IF(INDEX($AC$2:$AS$1001,MATCH(ROWS($V$2:V280),$V$2:$V$1001,0),MATCH(COLUMNS($AC$1006:AL1006),$AC$1006:$AS$1006,0)), HYPERLINK("#",""), HYPERLINK(CONCATENATE("#Metadata!", ADDRESS(INDEX($X$2:$X$1001,MATCH(ROWS($V$2:V280),$V$2:$V$1001,0),0), INDEX($AC$1004:$AS$1004,1,MATCH(COLUMNS($AC$1006:AL1006),$AC$1006:$AS$1006,0)))),"Fix")))</f>
        <v>0</v>
      </c>
      <c r="L280" s="5">
        <f>IF(OR(INDEX($W$2:$W$1001,MATCH(ROWS($V$2:V280),$V$2:$V$1001,0),1)&gt;=100000,INDEX($AC$1005:$AS$1005,1,MATCH(COLUMNS($AC$1006:AM1006),$AC$1006:$AS$1006,0))&gt;=100000), " ",IF(INDEX($AC$2:$AS$1001,MATCH(ROWS($V$2:V280),$V$2:$V$1001,0),MATCH(COLUMNS($AC$1006:AM1006),$AC$1006:$AS$1006,0)), HYPERLINK("#",""), HYPERLINK(CONCATENATE("#Metadata!", ADDRESS(INDEX($X$2:$X$1001,MATCH(ROWS($V$2:V280),$V$2:$V$1001,0),0), INDEX($AC$1004:$AS$1004,1,MATCH(COLUMNS($AC$1006:AM1006),$AC$1006:$AS$1006,0)))),"Fix")))</f>
        <v>0</v>
      </c>
      <c r="M280" s="5">
        <f>IF(OR(INDEX($W$2:$W$1001,MATCH(ROWS($V$2:V280),$V$2:$V$1001,0),1)&gt;=100000,INDEX($AC$1005:$AS$1005,1,MATCH(COLUMNS($AC$1006:AN1006),$AC$1006:$AS$1006,0))&gt;=100000), " ",IF(INDEX($AC$2:$AS$1001,MATCH(ROWS($V$2:V280),$V$2:$V$1001,0),MATCH(COLUMNS($AC$1006:AN1006),$AC$1006:$AS$1006,0)), HYPERLINK("#",""), HYPERLINK(CONCATENATE("#Metadata!", ADDRESS(INDEX($X$2:$X$1001,MATCH(ROWS($V$2:V280),$V$2:$V$1001,0),0), INDEX($AC$1004:$AS$1004,1,MATCH(COLUMNS($AC$1006:AN1006),$AC$1006:$AS$1006,0)))),"Fix")))</f>
        <v>0</v>
      </c>
      <c r="N280" s="5">
        <f>IF(OR(INDEX($W$2:$W$1001,MATCH(ROWS($V$2:V280),$V$2:$V$1001,0),1)&gt;=100000,INDEX($AC$1005:$AS$1005,1,MATCH(COLUMNS($AC$1006:AO1006),$AC$1006:$AS$1006,0))&gt;=100000), " ",IF(INDEX($AC$2:$AS$1001,MATCH(ROWS($V$2:V280),$V$2:$V$1001,0),MATCH(COLUMNS($AC$1006:AO1006),$AC$1006:$AS$1006,0)), HYPERLINK("#",""), HYPERLINK(CONCATENATE("#Metadata!", ADDRESS(INDEX($X$2:$X$1001,MATCH(ROWS($V$2:V280),$V$2:$V$1001,0),0), INDEX($AC$1004:$AS$1004,1,MATCH(COLUMNS($AC$1006:AO1006),$AC$1006:$AS$1006,0)))),"Fix")))</f>
        <v>0</v>
      </c>
      <c r="O280" s="5">
        <f>IF(OR(INDEX($W$2:$W$1001,MATCH(ROWS($V$2:V280),$V$2:$V$1001,0),1)&gt;=100000,INDEX($AC$1005:$AS$1005,1,MATCH(COLUMNS($AC$1006:AP1006),$AC$1006:$AS$1006,0))&gt;=100000), " ",IF(INDEX($AC$2:$AS$1001,MATCH(ROWS($V$2:V280),$V$2:$V$1001,0),MATCH(COLUMNS($AC$1006:AP1006),$AC$1006:$AS$1006,0)), HYPERLINK("#",""), HYPERLINK(CONCATENATE("#Metadata!", ADDRESS(INDEX($X$2:$X$1001,MATCH(ROWS($V$2:V280),$V$2:$V$1001,0),0), INDEX($AC$1004:$AS$1004,1,MATCH(COLUMNS($AC$1006:AP1006),$AC$1006:$AS$1006,0)))),"Fix")))</f>
        <v>0</v>
      </c>
      <c r="P280" s="5">
        <f>IF(OR(INDEX($W$2:$W$1001,MATCH(ROWS($V$2:V280),$V$2:$V$1001,0),1)&gt;=100000,INDEX($AC$1005:$AS$1005,1,MATCH(COLUMNS($AC$1006:AQ1006),$AC$1006:$AS$1006,0))&gt;=100000), " ",IF(INDEX($AC$2:$AS$1001,MATCH(ROWS($V$2:V280),$V$2:$V$1001,0),MATCH(COLUMNS($AC$1006:AQ1006),$AC$1006:$AS$1006,0)), HYPERLINK("#",""), HYPERLINK(CONCATENATE("#Metadata!", ADDRESS(INDEX($X$2:$X$1001,MATCH(ROWS($V$2:V280),$V$2:$V$1001,0),0), INDEX($AC$1004:$AS$1004,1,MATCH(COLUMNS($AC$1006:AQ1006),$AC$1006:$AS$1006,0)))),"Fix")))</f>
        <v>0</v>
      </c>
      <c r="Q280" s="5">
        <f>IF(OR(INDEX($W$2:$W$1001,MATCH(ROWS($V$2:V280),$V$2:$V$1001,0),1)&gt;=100000,INDEX($AC$1005:$AS$1005,1,MATCH(COLUMNS($AC$1006:AR1006),$AC$1006:$AS$1006,0))&gt;=100000), " ",IF(INDEX($AC$2:$AS$1001,MATCH(ROWS($V$2:V280),$V$2:$V$1001,0),MATCH(COLUMNS($AC$1006:AR1006),$AC$1006:$AS$1006,0)), HYPERLINK("#",""), HYPERLINK(CONCATENATE("#Metadata!", ADDRESS(INDEX($X$2:$X$1001,MATCH(ROWS($V$2:V280),$V$2:$V$1001,0),0), INDEX($AC$1004:$AS$1004,1,MATCH(COLUMNS($AC$1006:AR1006),$AC$1006:$AS$1006,0)))),"Fix")))</f>
        <v>0</v>
      </c>
      <c r="R280" s="5">
        <f>IF(OR(INDEX($W$2:$W$1001,MATCH(ROWS($V$2:V280),$V$2:$V$1001,0),1)&gt;=100000,INDEX($AC$1005:$AS$1005,1,MATCH(COLUMNS($AC$1006:AS1006),$AC$1006:$AS$1006,0))&gt;=100000), " ",IF(INDEX($AC$2:$AS$1001,MATCH(ROWS($V$2:V280),$V$2:$V$1001,0),MATCH(COLUMNS($AC$1006:AS1006),$AC$1006:$AS$1006,0)), HYPERLINK("#",""), HYPERLINK(CONCATENATE("#Metadata!", ADDRESS(INDEX($X$2:$X$1001,MATCH(ROWS($V$2:V280),$V$2:$V$1001,0),0), INDEX($AC$1004:$AS$1004,1,MATCH(COLUMNS($AC$1006:AS1006),$AC$1006:$AS$1006,0)))),"Fix")))</f>
        <v>0</v>
      </c>
      <c r="V280">
        <v>0</v>
      </c>
      <c r="W280">
        <v>0</v>
      </c>
      <c r="X280">
        <v>0</v>
      </c>
      <c r="Y280">
        <f>IF(Z280,TRUE,AND(AC280:AS280))</f>
        <v>0</v>
      </c>
      <c r="Z280">
        <f>COUNTBLANK(Metadata!B280:R280)=COLUMNS(Metadata!B280:R280)</f>
        <v>0</v>
      </c>
      <c r="AA280">
        <v>0</v>
      </c>
      <c r="AC280">
        <f>AND(IF(Metadata!B280="",FALSE,TRUE),COUNTIF(Metadata!B:B, Metadata!B280) = 1,NOT(ISERROR(SUMPRODUCT(SEARCH(MID(Metadata!B280,ROW(INDIRECT("1:"&amp;LEN(Metadata!B280))), 1),"0123456789abcdefghijklmnopqrstuvwxyzABCDEFGHIJKLMNOPQRSTUVWXYZ.")))))</f>
        <v>0</v>
      </c>
      <c r="AD280">
        <f>AND(IF(Metadata!C280="",FALSE,TRUE),exact(Metadata!C280,"Host-associated"))</f>
        <v>0</v>
      </c>
      <c r="AE280">
        <f>AND(IF(Metadata!D280="",FALSE,TRUE),OR(exact(Metadata!D280,"Animal"),exact(Metadata!D280,"Fungus"),exact(Metadata!D280,"Plant")))</f>
        <v>0</v>
      </c>
      <c r="AF280">
        <f>AND(IF(Metadata!E280="",FALSE,TRUE),OR(exact(Metadata!E280,"Plant secretion"),exact(Metadata!E280,"Plant rhizosphere"),exact(Metadata!E280,"Plant surface"),exact(Metadata!E280,"Plant corpus"),exact(Metadata!E280,"Fungus surface"),exact(Metadata!E280,"Fungus corpus"),exact(Metadata!E280,"Animal surface"),exact(Metadata!E280,"Animal proximal gut"),exact(Metadata!E280,"Animal corpus"),exact(Metadata!E280,"Animal distal gut"),exact(Metadata!E280,"Animal secretion")))</f>
        <v>0</v>
      </c>
      <c r="AG280">
        <f>OR(AND(IF(Metadata!F280="",FALSE,TRUE),OR(exact(Metadata!F280,"not collected"),exact(Metadata!F280,"not provided"),exact(Metadata!F280,"restricted access"))),AND(IF(Metadata!F280="",FALSE,TRUE),OR(exact(Metadata!F280,"organism-associated habitat"),exact(Metadata!F280,"plant-associated habitat"),exact(Metadata!F280,"animal-associated habitat"),exact(Metadata!F280,"insecta-associated habitat"),exact(Metadata!F280,"mammalia-associated habitat"),exact(Metadata!F280,"human-associated habitat"),exact(Metadata!F280,"livestock-associated habitat"))))</f>
        <v>0</v>
      </c>
      <c r="AH280">
        <f>AND(IF(Metadata!G280="",FALSE,TRUE),exact(Metadata!G280,"host-associated"))</f>
        <v>0</v>
      </c>
      <c r="AI280">
        <f>OR(AND(IF(Metadata!H280="",FALSE,TRUE),OR(exact(Metadata!H280,"not collected"),exact(Metadata!H280,"not provided"))),AND(IF(Metadata!H280="",FALSE,ISNUMBER(VALUE(Metadata!H280))),Metadata!H280&gt;0))</f>
        <v>0</v>
      </c>
      <c r="AJ280">
        <f>AND(IF(Metadata!I280="",FALSE,TRUE),exact(Metadata!I280,"years"))</f>
        <v>0</v>
      </c>
      <c r="AK280">
        <f>IF(Metadata!J280="",FALSE,TRUE)</f>
        <v>0</v>
      </c>
      <c r="AL280">
        <f>OR(AND(IF(Metadata!K280="",FALSE,TRUE),OR(exact(Metadata!K280,"not collected"),exact(Metadata!K280,"not provided"))),AND(IF(Metadata!K280="",FALSE,ISNUMBER(VALUE(Metadata!K280))),Metadata!K280&gt;0))</f>
        <v>0</v>
      </c>
      <c r="AM280">
        <f>AND(IF(Metadata!L280="",FALSE,TRUE),exact(Metadata!L280,"cm"))</f>
        <v>0</v>
      </c>
      <c r="AN280">
        <f>IF(Metadata!M280="",FALSE,TRUE)</f>
        <v>0</v>
      </c>
      <c r="AO280">
        <f>OR(AND(IF(Metadata!N280="",FALSE,TRUE),OR(exact(Metadata!N280,"not applicable"),exact(Metadata!N280,"not collected"),exact(Metadata!N280,"not provided"))),AND(IF(Metadata!N280="",FALSE,IF(ISERROR(INT(Metadata!N280)),FALSE,INT(Metadata!N280)=Metadata!N280)),Metadata!N280&gt;0))</f>
        <v>0</v>
      </c>
      <c r="AP280">
        <f>OR(AND(IF(Metadata!O280="",FALSE,TRUE),OR(exact(Metadata!O280,"not collected"),exact(Metadata!O280,"not provided"))),AND(IF(Metadata!O280="",FALSE,ISNUMBER(VALUE(Metadata!O280))),Metadata!O280&gt;0))</f>
        <v>0</v>
      </c>
      <c r="AQ280">
        <f>AND(IF(Metadata!P280="",FALSE,TRUE),exact(Metadata!P280,"kg"))</f>
        <v>0</v>
      </c>
      <c r="AR280">
        <f>OR(AND(IF(Metadata!Q280="",FALSE,TRUE),OR(exact(Metadata!Q280,"not applicable"),exact(Metadata!Q280,"not collected"),exact(Metadata!Q280,"not provided"),exact(Metadata!Q280,"restricted access"))),IF(Metadata!Q280="",FALSE,IF(ISERROR(INT(Metadata!Q280)),FALSE,INT(Metadata!Q280)=Metadata!Q280)))</f>
        <v>0</v>
      </c>
      <c r="AS280">
        <f>AND(IF(Metadata!R280="",FALSE,TRUE),exact(Metadata!R280,"Not applicable"))</f>
        <v>0</v>
      </c>
    </row>
    <row r="281" spans="1:45">
      <c r="A281" s="4">
        <f>IF(B281=" "," ",HYPERLINK(CONCATENATE("#metadata!",ADDRESS(INDEX($X$2:$X$1001,MATCH(ROWS($V$2:V281),$V$2:$V$1001,0),0),2)),INDEX($AA$2:$AA$1001,MATCH(ROWS($V$2:V281),$V$2:$V$1001,0),0)))</f>
        <v>0</v>
      </c>
      <c r="B281" s="5">
        <f>IF(OR(INDEX($W$2:$W$1001,MATCH(ROWS($V$2:V281),$V$2:$V$1001,0),1)&gt;=100000,INDEX($AC$1005:$AS$1005,1,MATCH(COLUMNS($AC$1006:AC1006),$AC$1006:$AS$1006,0))&gt;=100000), " ",IF(INDEX($AC$2:$AS$1001,MATCH(ROWS($V$2:V281),$V$2:$V$1001,0),MATCH(COLUMNS($AC$1006:AC1006),$AC$1006:$AS$1006,0)), HYPERLINK("#",""), HYPERLINK(CONCATENATE("#Metadata!", ADDRESS(INDEX($X$2:$X$1001,MATCH(ROWS($V$2:V281),$V$2:$V$1001,0),0), INDEX($AC$1004:$AS$1004,1,MATCH(COLUMNS($AC$1006:AC1006),$AC$1006:$AS$1006,0)))),"Fix")))</f>
        <v>0</v>
      </c>
      <c r="C281" s="5">
        <f>IF(OR(INDEX($W$2:$W$1001,MATCH(ROWS($V$2:V281),$V$2:$V$1001,0),1)&gt;=100000,INDEX($AC$1005:$AS$1005,1,MATCH(COLUMNS($AC$1006:AD1006),$AC$1006:$AS$1006,0))&gt;=100000), " ",IF(INDEX($AC$2:$AS$1001,MATCH(ROWS($V$2:V281),$V$2:$V$1001,0),MATCH(COLUMNS($AC$1006:AD1006),$AC$1006:$AS$1006,0)), HYPERLINK("#",""), HYPERLINK(CONCATENATE("#Metadata!", ADDRESS(INDEX($X$2:$X$1001,MATCH(ROWS($V$2:V281),$V$2:$V$1001,0),0), INDEX($AC$1004:$AS$1004,1,MATCH(COLUMNS($AC$1006:AD1006),$AC$1006:$AS$1006,0)))),"Fix")))</f>
        <v>0</v>
      </c>
      <c r="D281" s="5">
        <f>IF(OR(INDEX($W$2:$W$1001,MATCH(ROWS($V$2:V281),$V$2:$V$1001,0),1)&gt;=100000,INDEX($AC$1005:$AS$1005,1,MATCH(COLUMNS($AC$1006:AE1006),$AC$1006:$AS$1006,0))&gt;=100000), " ",IF(INDEX($AC$2:$AS$1001,MATCH(ROWS($V$2:V281),$V$2:$V$1001,0),MATCH(COLUMNS($AC$1006:AE1006),$AC$1006:$AS$1006,0)), HYPERLINK("#",""), HYPERLINK(CONCATENATE("#Metadata!", ADDRESS(INDEX($X$2:$X$1001,MATCH(ROWS($V$2:V281),$V$2:$V$1001,0),0), INDEX($AC$1004:$AS$1004,1,MATCH(COLUMNS($AC$1006:AE1006),$AC$1006:$AS$1006,0)))),"Fix")))</f>
        <v>0</v>
      </c>
      <c r="E281" s="5">
        <f>IF(OR(INDEX($W$2:$W$1001,MATCH(ROWS($V$2:V281),$V$2:$V$1001,0),1)&gt;=100000,INDEX($AC$1005:$AS$1005,1,MATCH(COLUMNS($AC$1006:AF1006),$AC$1006:$AS$1006,0))&gt;=100000), " ",IF(INDEX($AC$2:$AS$1001,MATCH(ROWS($V$2:V281),$V$2:$V$1001,0),MATCH(COLUMNS($AC$1006:AF1006),$AC$1006:$AS$1006,0)), HYPERLINK("#",""), HYPERLINK(CONCATENATE("#Metadata!", ADDRESS(INDEX($X$2:$X$1001,MATCH(ROWS($V$2:V281),$V$2:$V$1001,0),0), INDEX($AC$1004:$AS$1004,1,MATCH(COLUMNS($AC$1006:AF1006),$AC$1006:$AS$1006,0)))),"Fix")))</f>
        <v>0</v>
      </c>
      <c r="F281" s="5">
        <f>IF(OR(INDEX($W$2:$W$1001,MATCH(ROWS($V$2:V281),$V$2:$V$1001,0),1)&gt;=100000,INDEX($AC$1005:$AS$1005,1,MATCH(COLUMNS($AC$1006:AG1006),$AC$1006:$AS$1006,0))&gt;=100000), " ",IF(INDEX($AC$2:$AS$1001,MATCH(ROWS($V$2:V281),$V$2:$V$1001,0),MATCH(COLUMNS($AC$1006:AG1006),$AC$1006:$AS$1006,0)), HYPERLINK("#",""), HYPERLINK(CONCATENATE("#Metadata!", ADDRESS(INDEX($X$2:$X$1001,MATCH(ROWS($V$2:V281),$V$2:$V$1001,0),0), INDEX($AC$1004:$AS$1004,1,MATCH(COLUMNS($AC$1006:AG1006),$AC$1006:$AS$1006,0)))),"Fix")))</f>
        <v>0</v>
      </c>
      <c r="G281" s="5">
        <f>IF(OR(INDEX($W$2:$W$1001,MATCH(ROWS($V$2:V281),$V$2:$V$1001,0),1)&gt;=100000,INDEX($AC$1005:$AS$1005,1,MATCH(COLUMNS($AC$1006:AH1006),$AC$1006:$AS$1006,0))&gt;=100000), " ",IF(INDEX($AC$2:$AS$1001,MATCH(ROWS($V$2:V281),$V$2:$V$1001,0),MATCH(COLUMNS($AC$1006:AH1006),$AC$1006:$AS$1006,0)), HYPERLINK("#",""), HYPERLINK(CONCATENATE("#Metadata!", ADDRESS(INDEX($X$2:$X$1001,MATCH(ROWS($V$2:V281),$V$2:$V$1001,0),0), INDEX($AC$1004:$AS$1004,1,MATCH(COLUMNS($AC$1006:AH1006),$AC$1006:$AS$1006,0)))),"Fix")))</f>
        <v>0</v>
      </c>
      <c r="H281" s="5">
        <f>IF(OR(INDEX($W$2:$W$1001,MATCH(ROWS($V$2:V281),$V$2:$V$1001,0),1)&gt;=100000,INDEX($AC$1005:$AS$1005,1,MATCH(COLUMNS($AC$1006:AI1006),$AC$1006:$AS$1006,0))&gt;=100000), " ",IF(INDEX($AC$2:$AS$1001,MATCH(ROWS($V$2:V281),$V$2:$V$1001,0),MATCH(COLUMNS($AC$1006:AI1006),$AC$1006:$AS$1006,0)), HYPERLINK("#",""), HYPERLINK(CONCATENATE("#Metadata!", ADDRESS(INDEX($X$2:$X$1001,MATCH(ROWS($V$2:V281),$V$2:$V$1001,0),0), INDEX($AC$1004:$AS$1004,1,MATCH(COLUMNS($AC$1006:AI1006),$AC$1006:$AS$1006,0)))),"Fix")))</f>
        <v>0</v>
      </c>
      <c r="I281" s="5">
        <f>IF(OR(INDEX($W$2:$W$1001,MATCH(ROWS($V$2:V281),$V$2:$V$1001,0),1)&gt;=100000,INDEX($AC$1005:$AS$1005,1,MATCH(COLUMNS($AC$1006:AJ1006),$AC$1006:$AS$1006,0))&gt;=100000), " ",IF(INDEX($AC$2:$AS$1001,MATCH(ROWS($V$2:V281),$V$2:$V$1001,0),MATCH(COLUMNS($AC$1006:AJ1006),$AC$1006:$AS$1006,0)), HYPERLINK("#",""), HYPERLINK(CONCATENATE("#Metadata!", ADDRESS(INDEX($X$2:$X$1001,MATCH(ROWS($V$2:V281),$V$2:$V$1001,0),0), INDEX($AC$1004:$AS$1004,1,MATCH(COLUMNS($AC$1006:AJ1006),$AC$1006:$AS$1006,0)))),"Fix")))</f>
        <v>0</v>
      </c>
      <c r="J281" s="5">
        <f>IF(OR(INDEX($W$2:$W$1001,MATCH(ROWS($V$2:V281),$V$2:$V$1001,0),1)&gt;=100000,INDEX($AC$1005:$AS$1005,1,MATCH(COLUMNS($AC$1006:AK1006),$AC$1006:$AS$1006,0))&gt;=100000), " ",IF(INDEX($AC$2:$AS$1001,MATCH(ROWS($V$2:V281),$V$2:$V$1001,0),MATCH(COLUMNS($AC$1006:AK1006),$AC$1006:$AS$1006,0)), HYPERLINK("#",""), HYPERLINK(CONCATENATE("#Metadata!", ADDRESS(INDEX($X$2:$X$1001,MATCH(ROWS($V$2:V281),$V$2:$V$1001,0),0), INDEX($AC$1004:$AS$1004,1,MATCH(COLUMNS($AC$1006:AK1006),$AC$1006:$AS$1006,0)))),"Fix")))</f>
        <v>0</v>
      </c>
      <c r="K281" s="5">
        <f>IF(OR(INDEX($W$2:$W$1001,MATCH(ROWS($V$2:V281),$V$2:$V$1001,0),1)&gt;=100000,INDEX($AC$1005:$AS$1005,1,MATCH(COLUMNS($AC$1006:AL1006),$AC$1006:$AS$1006,0))&gt;=100000), " ",IF(INDEX($AC$2:$AS$1001,MATCH(ROWS($V$2:V281),$V$2:$V$1001,0),MATCH(COLUMNS($AC$1006:AL1006),$AC$1006:$AS$1006,0)), HYPERLINK("#",""), HYPERLINK(CONCATENATE("#Metadata!", ADDRESS(INDEX($X$2:$X$1001,MATCH(ROWS($V$2:V281),$V$2:$V$1001,0),0), INDEX($AC$1004:$AS$1004,1,MATCH(COLUMNS($AC$1006:AL1006),$AC$1006:$AS$1006,0)))),"Fix")))</f>
        <v>0</v>
      </c>
      <c r="L281" s="5">
        <f>IF(OR(INDEX($W$2:$W$1001,MATCH(ROWS($V$2:V281),$V$2:$V$1001,0),1)&gt;=100000,INDEX($AC$1005:$AS$1005,1,MATCH(COLUMNS($AC$1006:AM1006),$AC$1006:$AS$1006,0))&gt;=100000), " ",IF(INDEX($AC$2:$AS$1001,MATCH(ROWS($V$2:V281),$V$2:$V$1001,0),MATCH(COLUMNS($AC$1006:AM1006),$AC$1006:$AS$1006,0)), HYPERLINK("#",""), HYPERLINK(CONCATENATE("#Metadata!", ADDRESS(INDEX($X$2:$X$1001,MATCH(ROWS($V$2:V281),$V$2:$V$1001,0),0), INDEX($AC$1004:$AS$1004,1,MATCH(COLUMNS($AC$1006:AM1006),$AC$1006:$AS$1006,0)))),"Fix")))</f>
        <v>0</v>
      </c>
      <c r="M281" s="5">
        <f>IF(OR(INDEX($W$2:$W$1001,MATCH(ROWS($V$2:V281),$V$2:$V$1001,0),1)&gt;=100000,INDEX($AC$1005:$AS$1005,1,MATCH(COLUMNS($AC$1006:AN1006),$AC$1006:$AS$1006,0))&gt;=100000), " ",IF(INDEX($AC$2:$AS$1001,MATCH(ROWS($V$2:V281),$V$2:$V$1001,0),MATCH(COLUMNS($AC$1006:AN1006),$AC$1006:$AS$1006,0)), HYPERLINK("#",""), HYPERLINK(CONCATENATE("#Metadata!", ADDRESS(INDEX($X$2:$X$1001,MATCH(ROWS($V$2:V281),$V$2:$V$1001,0),0), INDEX($AC$1004:$AS$1004,1,MATCH(COLUMNS($AC$1006:AN1006),$AC$1006:$AS$1006,0)))),"Fix")))</f>
        <v>0</v>
      </c>
      <c r="N281" s="5">
        <f>IF(OR(INDEX($W$2:$W$1001,MATCH(ROWS($V$2:V281),$V$2:$V$1001,0),1)&gt;=100000,INDEX($AC$1005:$AS$1005,1,MATCH(COLUMNS($AC$1006:AO1006),$AC$1006:$AS$1006,0))&gt;=100000), " ",IF(INDEX($AC$2:$AS$1001,MATCH(ROWS($V$2:V281),$V$2:$V$1001,0),MATCH(COLUMNS($AC$1006:AO1006),$AC$1006:$AS$1006,0)), HYPERLINK("#",""), HYPERLINK(CONCATENATE("#Metadata!", ADDRESS(INDEX($X$2:$X$1001,MATCH(ROWS($V$2:V281),$V$2:$V$1001,0),0), INDEX($AC$1004:$AS$1004,1,MATCH(COLUMNS($AC$1006:AO1006),$AC$1006:$AS$1006,0)))),"Fix")))</f>
        <v>0</v>
      </c>
      <c r="O281" s="5">
        <f>IF(OR(INDEX($W$2:$W$1001,MATCH(ROWS($V$2:V281),$V$2:$V$1001,0),1)&gt;=100000,INDEX($AC$1005:$AS$1005,1,MATCH(COLUMNS($AC$1006:AP1006),$AC$1006:$AS$1006,0))&gt;=100000), " ",IF(INDEX($AC$2:$AS$1001,MATCH(ROWS($V$2:V281),$V$2:$V$1001,0),MATCH(COLUMNS($AC$1006:AP1006),$AC$1006:$AS$1006,0)), HYPERLINK("#",""), HYPERLINK(CONCATENATE("#Metadata!", ADDRESS(INDEX($X$2:$X$1001,MATCH(ROWS($V$2:V281),$V$2:$V$1001,0),0), INDEX($AC$1004:$AS$1004,1,MATCH(COLUMNS($AC$1006:AP1006),$AC$1006:$AS$1006,0)))),"Fix")))</f>
        <v>0</v>
      </c>
      <c r="P281" s="5">
        <f>IF(OR(INDEX($W$2:$W$1001,MATCH(ROWS($V$2:V281),$V$2:$V$1001,0),1)&gt;=100000,INDEX($AC$1005:$AS$1005,1,MATCH(COLUMNS($AC$1006:AQ1006),$AC$1006:$AS$1006,0))&gt;=100000), " ",IF(INDEX($AC$2:$AS$1001,MATCH(ROWS($V$2:V281),$V$2:$V$1001,0),MATCH(COLUMNS($AC$1006:AQ1006),$AC$1006:$AS$1006,0)), HYPERLINK("#",""), HYPERLINK(CONCATENATE("#Metadata!", ADDRESS(INDEX($X$2:$X$1001,MATCH(ROWS($V$2:V281),$V$2:$V$1001,0),0), INDEX($AC$1004:$AS$1004,1,MATCH(COLUMNS($AC$1006:AQ1006),$AC$1006:$AS$1006,0)))),"Fix")))</f>
        <v>0</v>
      </c>
      <c r="Q281" s="5">
        <f>IF(OR(INDEX($W$2:$W$1001,MATCH(ROWS($V$2:V281),$V$2:$V$1001,0),1)&gt;=100000,INDEX($AC$1005:$AS$1005,1,MATCH(COLUMNS($AC$1006:AR1006),$AC$1006:$AS$1006,0))&gt;=100000), " ",IF(INDEX($AC$2:$AS$1001,MATCH(ROWS($V$2:V281),$V$2:$V$1001,0),MATCH(COLUMNS($AC$1006:AR1006),$AC$1006:$AS$1006,0)), HYPERLINK("#",""), HYPERLINK(CONCATENATE("#Metadata!", ADDRESS(INDEX($X$2:$X$1001,MATCH(ROWS($V$2:V281),$V$2:$V$1001,0),0), INDEX($AC$1004:$AS$1004,1,MATCH(COLUMNS($AC$1006:AR1006),$AC$1006:$AS$1006,0)))),"Fix")))</f>
        <v>0</v>
      </c>
      <c r="R281" s="5">
        <f>IF(OR(INDEX($W$2:$W$1001,MATCH(ROWS($V$2:V281),$V$2:$V$1001,0),1)&gt;=100000,INDEX($AC$1005:$AS$1005,1,MATCH(COLUMNS($AC$1006:AS1006),$AC$1006:$AS$1006,0))&gt;=100000), " ",IF(INDEX($AC$2:$AS$1001,MATCH(ROWS($V$2:V281),$V$2:$V$1001,0),MATCH(COLUMNS($AC$1006:AS1006),$AC$1006:$AS$1006,0)), HYPERLINK("#",""), HYPERLINK(CONCATENATE("#Metadata!", ADDRESS(INDEX($X$2:$X$1001,MATCH(ROWS($V$2:V281),$V$2:$V$1001,0),0), INDEX($AC$1004:$AS$1004,1,MATCH(COLUMNS($AC$1006:AS1006),$AC$1006:$AS$1006,0)))),"Fix")))</f>
        <v>0</v>
      </c>
      <c r="V281">
        <v>0</v>
      </c>
      <c r="W281">
        <v>0</v>
      </c>
      <c r="X281">
        <v>0</v>
      </c>
      <c r="Y281">
        <f>IF(Z281,TRUE,AND(AC281:AS281))</f>
        <v>0</v>
      </c>
      <c r="Z281">
        <f>COUNTBLANK(Metadata!B281:R281)=COLUMNS(Metadata!B281:R281)</f>
        <v>0</v>
      </c>
      <c r="AA281">
        <v>0</v>
      </c>
      <c r="AC281">
        <f>AND(IF(Metadata!B281="",FALSE,TRUE),COUNTIF(Metadata!B:B, Metadata!B281) = 1,NOT(ISERROR(SUMPRODUCT(SEARCH(MID(Metadata!B281,ROW(INDIRECT("1:"&amp;LEN(Metadata!B281))), 1),"0123456789abcdefghijklmnopqrstuvwxyzABCDEFGHIJKLMNOPQRSTUVWXYZ.")))))</f>
        <v>0</v>
      </c>
      <c r="AD281">
        <f>AND(IF(Metadata!C281="",FALSE,TRUE),exact(Metadata!C281,"Host-associated"))</f>
        <v>0</v>
      </c>
      <c r="AE281">
        <f>AND(IF(Metadata!D281="",FALSE,TRUE),OR(exact(Metadata!D281,"Animal"),exact(Metadata!D281,"Fungus"),exact(Metadata!D281,"Plant")))</f>
        <v>0</v>
      </c>
      <c r="AF281">
        <f>AND(IF(Metadata!E281="",FALSE,TRUE),OR(exact(Metadata!E281,"Plant secretion"),exact(Metadata!E281,"Plant rhizosphere"),exact(Metadata!E281,"Plant surface"),exact(Metadata!E281,"Plant corpus"),exact(Metadata!E281,"Fungus surface"),exact(Metadata!E281,"Fungus corpus"),exact(Metadata!E281,"Animal surface"),exact(Metadata!E281,"Animal proximal gut"),exact(Metadata!E281,"Animal corpus"),exact(Metadata!E281,"Animal distal gut"),exact(Metadata!E281,"Animal secretion")))</f>
        <v>0</v>
      </c>
      <c r="AG281">
        <f>OR(AND(IF(Metadata!F281="",FALSE,TRUE),OR(exact(Metadata!F281,"not collected"),exact(Metadata!F281,"not provided"),exact(Metadata!F281,"restricted access"))),AND(IF(Metadata!F281="",FALSE,TRUE),OR(exact(Metadata!F281,"organism-associated habitat"),exact(Metadata!F281,"plant-associated habitat"),exact(Metadata!F281,"animal-associated habitat"),exact(Metadata!F281,"insecta-associated habitat"),exact(Metadata!F281,"mammalia-associated habitat"),exact(Metadata!F281,"human-associated habitat"),exact(Metadata!F281,"livestock-associated habitat"))))</f>
        <v>0</v>
      </c>
      <c r="AH281">
        <f>AND(IF(Metadata!G281="",FALSE,TRUE),exact(Metadata!G281,"host-associated"))</f>
        <v>0</v>
      </c>
      <c r="AI281">
        <f>OR(AND(IF(Metadata!H281="",FALSE,TRUE),OR(exact(Metadata!H281,"not collected"),exact(Metadata!H281,"not provided"))),AND(IF(Metadata!H281="",FALSE,ISNUMBER(VALUE(Metadata!H281))),Metadata!H281&gt;0))</f>
        <v>0</v>
      </c>
      <c r="AJ281">
        <f>AND(IF(Metadata!I281="",FALSE,TRUE),exact(Metadata!I281,"years"))</f>
        <v>0</v>
      </c>
      <c r="AK281">
        <f>IF(Metadata!J281="",FALSE,TRUE)</f>
        <v>0</v>
      </c>
      <c r="AL281">
        <f>OR(AND(IF(Metadata!K281="",FALSE,TRUE),OR(exact(Metadata!K281,"not collected"),exact(Metadata!K281,"not provided"))),AND(IF(Metadata!K281="",FALSE,ISNUMBER(VALUE(Metadata!K281))),Metadata!K281&gt;0))</f>
        <v>0</v>
      </c>
      <c r="AM281">
        <f>AND(IF(Metadata!L281="",FALSE,TRUE),exact(Metadata!L281,"cm"))</f>
        <v>0</v>
      </c>
      <c r="AN281">
        <f>IF(Metadata!M281="",FALSE,TRUE)</f>
        <v>0</v>
      </c>
      <c r="AO281">
        <f>OR(AND(IF(Metadata!N281="",FALSE,TRUE),OR(exact(Metadata!N281,"not applicable"),exact(Metadata!N281,"not collected"),exact(Metadata!N281,"not provided"))),AND(IF(Metadata!N281="",FALSE,IF(ISERROR(INT(Metadata!N281)),FALSE,INT(Metadata!N281)=Metadata!N281)),Metadata!N281&gt;0))</f>
        <v>0</v>
      </c>
      <c r="AP281">
        <f>OR(AND(IF(Metadata!O281="",FALSE,TRUE),OR(exact(Metadata!O281,"not collected"),exact(Metadata!O281,"not provided"))),AND(IF(Metadata!O281="",FALSE,ISNUMBER(VALUE(Metadata!O281))),Metadata!O281&gt;0))</f>
        <v>0</v>
      </c>
      <c r="AQ281">
        <f>AND(IF(Metadata!P281="",FALSE,TRUE),exact(Metadata!P281,"kg"))</f>
        <v>0</v>
      </c>
      <c r="AR281">
        <f>OR(AND(IF(Metadata!Q281="",FALSE,TRUE),OR(exact(Metadata!Q281,"not applicable"),exact(Metadata!Q281,"not collected"),exact(Metadata!Q281,"not provided"),exact(Metadata!Q281,"restricted access"))),IF(Metadata!Q281="",FALSE,IF(ISERROR(INT(Metadata!Q281)),FALSE,INT(Metadata!Q281)=Metadata!Q281)))</f>
        <v>0</v>
      </c>
      <c r="AS281">
        <f>AND(IF(Metadata!R281="",FALSE,TRUE),exact(Metadata!R281,"Not applicable"))</f>
        <v>0</v>
      </c>
    </row>
    <row r="282" spans="1:45">
      <c r="A282" s="4">
        <f>IF(B282=" "," ",HYPERLINK(CONCATENATE("#metadata!",ADDRESS(INDEX($X$2:$X$1001,MATCH(ROWS($V$2:V282),$V$2:$V$1001,0),0),2)),INDEX($AA$2:$AA$1001,MATCH(ROWS($V$2:V282),$V$2:$V$1001,0),0)))</f>
        <v>0</v>
      </c>
      <c r="B282" s="5">
        <f>IF(OR(INDEX($W$2:$W$1001,MATCH(ROWS($V$2:V282),$V$2:$V$1001,0),1)&gt;=100000,INDEX($AC$1005:$AS$1005,1,MATCH(COLUMNS($AC$1006:AC1006),$AC$1006:$AS$1006,0))&gt;=100000), " ",IF(INDEX($AC$2:$AS$1001,MATCH(ROWS($V$2:V282),$V$2:$V$1001,0),MATCH(COLUMNS($AC$1006:AC1006),$AC$1006:$AS$1006,0)), HYPERLINK("#",""), HYPERLINK(CONCATENATE("#Metadata!", ADDRESS(INDEX($X$2:$X$1001,MATCH(ROWS($V$2:V282),$V$2:$V$1001,0),0), INDEX($AC$1004:$AS$1004,1,MATCH(COLUMNS($AC$1006:AC1006),$AC$1006:$AS$1006,0)))),"Fix")))</f>
        <v>0</v>
      </c>
      <c r="C282" s="5">
        <f>IF(OR(INDEX($W$2:$W$1001,MATCH(ROWS($V$2:V282),$V$2:$V$1001,0),1)&gt;=100000,INDEX($AC$1005:$AS$1005,1,MATCH(COLUMNS($AC$1006:AD1006),$AC$1006:$AS$1006,0))&gt;=100000), " ",IF(INDEX($AC$2:$AS$1001,MATCH(ROWS($V$2:V282),$V$2:$V$1001,0),MATCH(COLUMNS($AC$1006:AD1006),$AC$1006:$AS$1006,0)), HYPERLINK("#",""), HYPERLINK(CONCATENATE("#Metadata!", ADDRESS(INDEX($X$2:$X$1001,MATCH(ROWS($V$2:V282),$V$2:$V$1001,0),0), INDEX($AC$1004:$AS$1004,1,MATCH(COLUMNS($AC$1006:AD1006),$AC$1006:$AS$1006,0)))),"Fix")))</f>
        <v>0</v>
      </c>
      <c r="D282" s="5">
        <f>IF(OR(INDEX($W$2:$W$1001,MATCH(ROWS($V$2:V282),$V$2:$V$1001,0),1)&gt;=100000,INDEX($AC$1005:$AS$1005,1,MATCH(COLUMNS($AC$1006:AE1006),$AC$1006:$AS$1006,0))&gt;=100000), " ",IF(INDEX($AC$2:$AS$1001,MATCH(ROWS($V$2:V282),$V$2:$V$1001,0),MATCH(COLUMNS($AC$1006:AE1006),$AC$1006:$AS$1006,0)), HYPERLINK("#",""), HYPERLINK(CONCATENATE("#Metadata!", ADDRESS(INDEX($X$2:$X$1001,MATCH(ROWS($V$2:V282),$V$2:$V$1001,0),0), INDEX($AC$1004:$AS$1004,1,MATCH(COLUMNS($AC$1006:AE1006),$AC$1006:$AS$1006,0)))),"Fix")))</f>
        <v>0</v>
      </c>
      <c r="E282" s="5">
        <f>IF(OR(INDEX($W$2:$W$1001,MATCH(ROWS($V$2:V282),$V$2:$V$1001,0),1)&gt;=100000,INDEX($AC$1005:$AS$1005,1,MATCH(COLUMNS($AC$1006:AF1006),$AC$1006:$AS$1006,0))&gt;=100000), " ",IF(INDEX($AC$2:$AS$1001,MATCH(ROWS($V$2:V282),$V$2:$V$1001,0),MATCH(COLUMNS($AC$1006:AF1006),$AC$1006:$AS$1006,0)), HYPERLINK("#",""), HYPERLINK(CONCATENATE("#Metadata!", ADDRESS(INDEX($X$2:$X$1001,MATCH(ROWS($V$2:V282),$V$2:$V$1001,0),0), INDEX($AC$1004:$AS$1004,1,MATCH(COLUMNS($AC$1006:AF1006),$AC$1006:$AS$1006,0)))),"Fix")))</f>
        <v>0</v>
      </c>
      <c r="F282" s="5">
        <f>IF(OR(INDEX($W$2:$W$1001,MATCH(ROWS($V$2:V282),$V$2:$V$1001,0),1)&gt;=100000,INDEX($AC$1005:$AS$1005,1,MATCH(COLUMNS($AC$1006:AG1006),$AC$1006:$AS$1006,0))&gt;=100000), " ",IF(INDEX($AC$2:$AS$1001,MATCH(ROWS($V$2:V282),$V$2:$V$1001,0),MATCH(COLUMNS($AC$1006:AG1006),$AC$1006:$AS$1006,0)), HYPERLINK("#",""), HYPERLINK(CONCATENATE("#Metadata!", ADDRESS(INDEX($X$2:$X$1001,MATCH(ROWS($V$2:V282),$V$2:$V$1001,0),0), INDEX($AC$1004:$AS$1004,1,MATCH(COLUMNS($AC$1006:AG1006),$AC$1006:$AS$1006,0)))),"Fix")))</f>
        <v>0</v>
      </c>
      <c r="G282" s="5">
        <f>IF(OR(INDEX($W$2:$W$1001,MATCH(ROWS($V$2:V282),$V$2:$V$1001,0),1)&gt;=100000,INDEX($AC$1005:$AS$1005,1,MATCH(COLUMNS($AC$1006:AH1006),$AC$1006:$AS$1006,0))&gt;=100000), " ",IF(INDEX($AC$2:$AS$1001,MATCH(ROWS($V$2:V282),$V$2:$V$1001,0),MATCH(COLUMNS($AC$1006:AH1006),$AC$1006:$AS$1006,0)), HYPERLINK("#",""), HYPERLINK(CONCATENATE("#Metadata!", ADDRESS(INDEX($X$2:$X$1001,MATCH(ROWS($V$2:V282),$V$2:$V$1001,0),0), INDEX($AC$1004:$AS$1004,1,MATCH(COLUMNS($AC$1006:AH1006),$AC$1006:$AS$1006,0)))),"Fix")))</f>
        <v>0</v>
      </c>
      <c r="H282" s="5">
        <f>IF(OR(INDEX($W$2:$W$1001,MATCH(ROWS($V$2:V282),$V$2:$V$1001,0),1)&gt;=100000,INDEX($AC$1005:$AS$1005,1,MATCH(COLUMNS($AC$1006:AI1006),$AC$1006:$AS$1006,0))&gt;=100000), " ",IF(INDEX($AC$2:$AS$1001,MATCH(ROWS($V$2:V282),$V$2:$V$1001,0),MATCH(COLUMNS($AC$1006:AI1006),$AC$1006:$AS$1006,0)), HYPERLINK("#",""), HYPERLINK(CONCATENATE("#Metadata!", ADDRESS(INDEX($X$2:$X$1001,MATCH(ROWS($V$2:V282),$V$2:$V$1001,0),0), INDEX($AC$1004:$AS$1004,1,MATCH(COLUMNS($AC$1006:AI1006),$AC$1006:$AS$1006,0)))),"Fix")))</f>
        <v>0</v>
      </c>
      <c r="I282" s="5">
        <f>IF(OR(INDEX($W$2:$W$1001,MATCH(ROWS($V$2:V282),$V$2:$V$1001,0),1)&gt;=100000,INDEX($AC$1005:$AS$1005,1,MATCH(COLUMNS($AC$1006:AJ1006),$AC$1006:$AS$1006,0))&gt;=100000), " ",IF(INDEX($AC$2:$AS$1001,MATCH(ROWS($V$2:V282),$V$2:$V$1001,0),MATCH(COLUMNS($AC$1006:AJ1006),$AC$1006:$AS$1006,0)), HYPERLINK("#",""), HYPERLINK(CONCATENATE("#Metadata!", ADDRESS(INDEX($X$2:$X$1001,MATCH(ROWS($V$2:V282),$V$2:$V$1001,0),0), INDEX($AC$1004:$AS$1004,1,MATCH(COLUMNS($AC$1006:AJ1006),$AC$1006:$AS$1006,0)))),"Fix")))</f>
        <v>0</v>
      </c>
      <c r="J282" s="5">
        <f>IF(OR(INDEX($W$2:$W$1001,MATCH(ROWS($V$2:V282),$V$2:$V$1001,0),1)&gt;=100000,INDEX($AC$1005:$AS$1005,1,MATCH(COLUMNS($AC$1006:AK1006),$AC$1006:$AS$1006,0))&gt;=100000), " ",IF(INDEX($AC$2:$AS$1001,MATCH(ROWS($V$2:V282),$V$2:$V$1001,0),MATCH(COLUMNS($AC$1006:AK1006),$AC$1006:$AS$1006,0)), HYPERLINK("#",""), HYPERLINK(CONCATENATE("#Metadata!", ADDRESS(INDEX($X$2:$X$1001,MATCH(ROWS($V$2:V282),$V$2:$V$1001,0),0), INDEX($AC$1004:$AS$1004,1,MATCH(COLUMNS($AC$1006:AK1006),$AC$1006:$AS$1006,0)))),"Fix")))</f>
        <v>0</v>
      </c>
      <c r="K282" s="5">
        <f>IF(OR(INDEX($W$2:$W$1001,MATCH(ROWS($V$2:V282),$V$2:$V$1001,0),1)&gt;=100000,INDEX($AC$1005:$AS$1005,1,MATCH(COLUMNS($AC$1006:AL1006),$AC$1006:$AS$1006,0))&gt;=100000), " ",IF(INDEX($AC$2:$AS$1001,MATCH(ROWS($V$2:V282),$V$2:$V$1001,0),MATCH(COLUMNS($AC$1006:AL1006),$AC$1006:$AS$1006,0)), HYPERLINK("#",""), HYPERLINK(CONCATENATE("#Metadata!", ADDRESS(INDEX($X$2:$X$1001,MATCH(ROWS($V$2:V282),$V$2:$V$1001,0),0), INDEX($AC$1004:$AS$1004,1,MATCH(COLUMNS($AC$1006:AL1006),$AC$1006:$AS$1006,0)))),"Fix")))</f>
        <v>0</v>
      </c>
      <c r="L282" s="5">
        <f>IF(OR(INDEX($W$2:$W$1001,MATCH(ROWS($V$2:V282),$V$2:$V$1001,0),1)&gt;=100000,INDEX($AC$1005:$AS$1005,1,MATCH(COLUMNS($AC$1006:AM1006),$AC$1006:$AS$1006,0))&gt;=100000), " ",IF(INDEX($AC$2:$AS$1001,MATCH(ROWS($V$2:V282),$V$2:$V$1001,0),MATCH(COLUMNS($AC$1006:AM1006),$AC$1006:$AS$1006,0)), HYPERLINK("#",""), HYPERLINK(CONCATENATE("#Metadata!", ADDRESS(INDEX($X$2:$X$1001,MATCH(ROWS($V$2:V282),$V$2:$V$1001,0),0), INDEX($AC$1004:$AS$1004,1,MATCH(COLUMNS($AC$1006:AM1006),$AC$1006:$AS$1006,0)))),"Fix")))</f>
        <v>0</v>
      </c>
      <c r="M282" s="5">
        <f>IF(OR(INDEX($W$2:$W$1001,MATCH(ROWS($V$2:V282),$V$2:$V$1001,0),1)&gt;=100000,INDEX($AC$1005:$AS$1005,1,MATCH(COLUMNS($AC$1006:AN1006),$AC$1006:$AS$1006,0))&gt;=100000), " ",IF(INDEX($AC$2:$AS$1001,MATCH(ROWS($V$2:V282),$V$2:$V$1001,0),MATCH(COLUMNS($AC$1006:AN1006),$AC$1006:$AS$1006,0)), HYPERLINK("#",""), HYPERLINK(CONCATENATE("#Metadata!", ADDRESS(INDEX($X$2:$X$1001,MATCH(ROWS($V$2:V282),$V$2:$V$1001,0),0), INDEX($AC$1004:$AS$1004,1,MATCH(COLUMNS($AC$1006:AN1006),$AC$1006:$AS$1006,0)))),"Fix")))</f>
        <v>0</v>
      </c>
      <c r="N282" s="5">
        <f>IF(OR(INDEX($W$2:$W$1001,MATCH(ROWS($V$2:V282),$V$2:$V$1001,0),1)&gt;=100000,INDEX($AC$1005:$AS$1005,1,MATCH(COLUMNS($AC$1006:AO1006),$AC$1006:$AS$1006,0))&gt;=100000), " ",IF(INDEX($AC$2:$AS$1001,MATCH(ROWS($V$2:V282),$V$2:$V$1001,0),MATCH(COLUMNS($AC$1006:AO1006),$AC$1006:$AS$1006,0)), HYPERLINK("#",""), HYPERLINK(CONCATENATE("#Metadata!", ADDRESS(INDEX($X$2:$X$1001,MATCH(ROWS($V$2:V282),$V$2:$V$1001,0),0), INDEX($AC$1004:$AS$1004,1,MATCH(COLUMNS($AC$1006:AO1006),$AC$1006:$AS$1006,0)))),"Fix")))</f>
        <v>0</v>
      </c>
      <c r="O282" s="5">
        <f>IF(OR(INDEX($W$2:$W$1001,MATCH(ROWS($V$2:V282),$V$2:$V$1001,0),1)&gt;=100000,INDEX($AC$1005:$AS$1005,1,MATCH(COLUMNS($AC$1006:AP1006),$AC$1006:$AS$1006,0))&gt;=100000), " ",IF(INDEX($AC$2:$AS$1001,MATCH(ROWS($V$2:V282),$V$2:$V$1001,0),MATCH(COLUMNS($AC$1006:AP1006),$AC$1006:$AS$1006,0)), HYPERLINK("#",""), HYPERLINK(CONCATENATE("#Metadata!", ADDRESS(INDEX($X$2:$X$1001,MATCH(ROWS($V$2:V282),$V$2:$V$1001,0),0), INDEX($AC$1004:$AS$1004,1,MATCH(COLUMNS($AC$1006:AP1006),$AC$1006:$AS$1006,0)))),"Fix")))</f>
        <v>0</v>
      </c>
      <c r="P282" s="5">
        <f>IF(OR(INDEX($W$2:$W$1001,MATCH(ROWS($V$2:V282),$V$2:$V$1001,0),1)&gt;=100000,INDEX($AC$1005:$AS$1005,1,MATCH(COLUMNS($AC$1006:AQ1006),$AC$1006:$AS$1006,0))&gt;=100000), " ",IF(INDEX($AC$2:$AS$1001,MATCH(ROWS($V$2:V282),$V$2:$V$1001,0),MATCH(COLUMNS($AC$1006:AQ1006),$AC$1006:$AS$1006,0)), HYPERLINK("#",""), HYPERLINK(CONCATENATE("#Metadata!", ADDRESS(INDEX($X$2:$X$1001,MATCH(ROWS($V$2:V282),$V$2:$V$1001,0),0), INDEX($AC$1004:$AS$1004,1,MATCH(COLUMNS($AC$1006:AQ1006),$AC$1006:$AS$1006,0)))),"Fix")))</f>
        <v>0</v>
      </c>
      <c r="Q282" s="5">
        <f>IF(OR(INDEX($W$2:$W$1001,MATCH(ROWS($V$2:V282),$V$2:$V$1001,0),1)&gt;=100000,INDEX($AC$1005:$AS$1005,1,MATCH(COLUMNS($AC$1006:AR1006),$AC$1006:$AS$1006,0))&gt;=100000), " ",IF(INDEX($AC$2:$AS$1001,MATCH(ROWS($V$2:V282),$V$2:$V$1001,0),MATCH(COLUMNS($AC$1006:AR1006),$AC$1006:$AS$1006,0)), HYPERLINK("#",""), HYPERLINK(CONCATENATE("#Metadata!", ADDRESS(INDEX($X$2:$X$1001,MATCH(ROWS($V$2:V282),$V$2:$V$1001,0),0), INDEX($AC$1004:$AS$1004,1,MATCH(COLUMNS($AC$1006:AR1006),$AC$1006:$AS$1006,0)))),"Fix")))</f>
        <v>0</v>
      </c>
      <c r="R282" s="5">
        <f>IF(OR(INDEX($W$2:$W$1001,MATCH(ROWS($V$2:V282),$V$2:$V$1001,0),1)&gt;=100000,INDEX($AC$1005:$AS$1005,1,MATCH(COLUMNS($AC$1006:AS1006),$AC$1006:$AS$1006,0))&gt;=100000), " ",IF(INDEX($AC$2:$AS$1001,MATCH(ROWS($V$2:V282),$V$2:$V$1001,0),MATCH(COLUMNS($AC$1006:AS1006),$AC$1006:$AS$1006,0)), HYPERLINK("#",""), HYPERLINK(CONCATENATE("#Metadata!", ADDRESS(INDEX($X$2:$X$1001,MATCH(ROWS($V$2:V282),$V$2:$V$1001,0),0), INDEX($AC$1004:$AS$1004,1,MATCH(COLUMNS($AC$1006:AS1006),$AC$1006:$AS$1006,0)))),"Fix")))</f>
        <v>0</v>
      </c>
      <c r="V282">
        <v>0</v>
      </c>
      <c r="W282">
        <v>0</v>
      </c>
      <c r="X282">
        <v>0</v>
      </c>
      <c r="Y282">
        <f>IF(Z282,TRUE,AND(AC282:AS282))</f>
        <v>0</v>
      </c>
      <c r="Z282">
        <f>COUNTBLANK(Metadata!B282:R282)=COLUMNS(Metadata!B282:R282)</f>
        <v>0</v>
      </c>
      <c r="AA282">
        <v>0</v>
      </c>
      <c r="AC282">
        <f>AND(IF(Metadata!B282="",FALSE,TRUE),COUNTIF(Metadata!B:B, Metadata!B282) = 1,NOT(ISERROR(SUMPRODUCT(SEARCH(MID(Metadata!B282,ROW(INDIRECT("1:"&amp;LEN(Metadata!B282))), 1),"0123456789abcdefghijklmnopqrstuvwxyzABCDEFGHIJKLMNOPQRSTUVWXYZ.")))))</f>
        <v>0</v>
      </c>
      <c r="AD282">
        <f>AND(IF(Metadata!C282="",FALSE,TRUE),exact(Metadata!C282,"Host-associated"))</f>
        <v>0</v>
      </c>
      <c r="AE282">
        <f>AND(IF(Metadata!D282="",FALSE,TRUE),OR(exact(Metadata!D282,"Animal"),exact(Metadata!D282,"Fungus"),exact(Metadata!D282,"Plant")))</f>
        <v>0</v>
      </c>
      <c r="AF282">
        <f>AND(IF(Metadata!E282="",FALSE,TRUE),OR(exact(Metadata!E282,"Plant secretion"),exact(Metadata!E282,"Plant rhizosphere"),exact(Metadata!E282,"Plant surface"),exact(Metadata!E282,"Plant corpus"),exact(Metadata!E282,"Fungus surface"),exact(Metadata!E282,"Fungus corpus"),exact(Metadata!E282,"Animal surface"),exact(Metadata!E282,"Animal proximal gut"),exact(Metadata!E282,"Animal corpus"),exact(Metadata!E282,"Animal distal gut"),exact(Metadata!E282,"Animal secretion")))</f>
        <v>0</v>
      </c>
      <c r="AG282">
        <f>OR(AND(IF(Metadata!F282="",FALSE,TRUE),OR(exact(Metadata!F282,"not collected"),exact(Metadata!F282,"not provided"),exact(Metadata!F282,"restricted access"))),AND(IF(Metadata!F282="",FALSE,TRUE),OR(exact(Metadata!F282,"organism-associated habitat"),exact(Metadata!F282,"plant-associated habitat"),exact(Metadata!F282,"animal-associated habitat"),exact(Metadata!F282,"insecta-associated habitat"),exact(Metadata!F282,"mammalia-associated habitat"),exact(Metadata!F282,"human-associated habitat"),exact(Metadata!F282,"livestock-associated habitat"))))</f>
        <v>0</v>
      </c>
      <c r="AH282">
        <f>AND(IF(Metadata!G282="",FALSE,TRUE),exact(Metadata!G282,"host-associated"))</f>
        <v>0</v>
      </c>
      <c r="AI282">
        <f>OR(AND(IF(Metadata!H282="",FALSE,TRUE),OR(exact(Metadata!H282,"not collected"),exact(Metadata!H282,"not provided"))),AND(IF(Metadata!H282="",FALSE,ISNUMBER(VALUE(Metadata!H282))),Metadata!H282&gt;0))</f>
        <v>0</v>
      </c>
      <c r="AJ282">
        <f>AND(IF(Metadata!I282="",FALSE,TRUE),exact(Metadata!I282,"years"))</f>
        <v>0</v>
      </c>
      <c r="AK282">
        <f>IF(Metadata!J282="",FALSE,TRUE)</f>
        <v>0</v>
      </c>
      <c r="AL282">
        <f>OR(AND(IF(Metadata!K282="",FALSE,TRUE),OR(exact(Metadata!K282,"not collected"),exact(Metadata!K282,"not provided"))),AND(IF(Metadata!K282="",FALSE,ISNUMBER(VALUE(Metadata!K282))),Metadata!K282&gt;0))</f>
        <v>0</v>
      </c>
      <c r="AM282">
        <f>AND(IF(Metadata!L282="",FALSE,TRUE),exact(Metadata!L282,"cm"))</f>
        <v>0</v>
      </c>
      <c r="AN282">
        <f>IF(Metadata!M282="",FALSE,TRUE)</f>
        <v>0</v>
      </c>
      <c r="AO282">
        <f>OR(AND(IF(Metadata!N282="",FALSE,TRUE),OR(exact(Metadata!N282,"not applicable"),exact(Metadata!N282,"not collected"),exact(Metadata!N282,"not provided"))),AND(IF(Metadata!N282="",FALSE,IF(ISERROR(INT(Metadata!N282)),FALSE,INT(Metadata!N282)=Metadata!N282)),Metadata!N282&gt;0))</f>
        <v>0</v>
      </c>
      <c r="AP282">
        <f>OR(AND(IF(Metadata!O282="",FALSE,TRUE),OR(exact(Metadata!O282,"not collected"),exact(Metadata!O282,"not provided"))),AND(IF(Metadata!O282="",FALSE,ISNUMBER(VALUE(Metadata!O282))),Metadata!O282&gt;0))</f>
        <v>0</v>
      </c>
      <c r="AQ282">
        <f>AND(IF(Metadata!P282="",FALSE,TRUE),exact(Metadata!P282,"kg"))</f>
        <v>0</v>
      </c>
      <c r="AR282">
        <f>OR(AND(IF(Metadata!Q282="",FALSE,TRUE),OR(exact(Metadata!Q282,"not applicable"),exact(Metadata!Q282,"not collected"),exact(Metadata!Q282,"not provided"),exact(Metadata!Q282,"restricted access"))),IF(Metadata!Q282="",FALSE,IF(ISERROR(INT(Metadata!Q282)),FALSE,INT(Metadata!Q282)=Metadata!Q282)))</f>
        <v>0</v>
      </c>
      <c r="AS282">
        <f>AND(IF(Metadata!R282="",FALSE,TRUE),exact(Metadata!R282,"Not applicable"))</f>
        <v>0</v>
      </c>
    </row>
    <row r="283" spans="1:45">
      <c r="A283" s="4">
        <f>IF(B283=" "," ",HYPERLINK(CONCATENATE("#metadata!",ADDRESS(INDEX($X$2:$X$1001,MATCH(ROWS($V$2:V283),$V$2:$V$1001,0),0),2)),INDEX($AA$2:$AA$1001,MATCH(ROWS($V$2:V283),$V$2:$V$1001,0),0)))</f>
        <v>0</v>
      </c>
      <c r="B283" s="5">
        <f>IF(OR(INDEX($W$2:$W$1001,MATCH(ROWS($V$2:V283),$V$2:$V$1001,0),1)&gt;=100000,INDEX($AC$1005:$AS$1005,1,MATCH(COLUMNS($AC$1006:AC1006),$AC$1006:$AS$1006,0))&gt;=100000), " ",IF(INDEX($AC$2:$AS$1001,MATCH(ROWS($V$2:V283),$V$2:$V$1001,0),MATCH(COLUMNS($AC$1006:AC1006),$AC$1006:$AS$1006,0)), HYPERLINK("#",""), HYPERLINK(CONCATENATE("#Metadata!", ADDRESS(INDEX($X$2:$X$1001,MATCH(ROWS($V$2:V283),$V$2:$V$1001,0),0), INDEX($AC$1004:$AS$1004,1,MATCH(COLUMNS($AC$1006:AC1006),$AC$1006:$AS$1006,0)))),"Fix")))</f>
        <v>0</v>
      </c>
      <c r="C283" s="5">
        <f>IF(OR(INDEX($W$2:$W$1001,MATCH(ROWS($V$2:V283),$V$2:$V$1001,0),1)&gt;=100000,INDEX($AC$1005:$AS$1005,1,MATCH(COLUMNS($AC$1006:AD1006),$AC$1006:$AS$1006,0))&gt;=100000), " ",IF(INDEX($AC$2:$AS$1001,MATCH(ROWS($V$2:V283),$V$2:$V$1001,0),MATCH(COLUMNS($AC$1006:AD1006),$AC$1006:$AS$1006,0)), HYPERLINK("#",""), HYPERLINK(CONCATENATE("#Metadata!", ADDRESS(INDEX($X$2:$X$1001,MATCH(ROWS($V$2:V283),$V$2:$V$1001,0),0), INDEX($AC$1004:$AS$1004,1,MATCH(COLUMNS($AC$1006:AD1006),$AC$1006:$AS$1006,0)))),"Fix")))</f>
        <v>0</v>
      </c>
      <c r="D283" s="5">
        <f>IF(OR(INDEX($W$2:$W$1001,MATCH(ROWS($V$2:V283),$V$2:$V$1001,0),1)&gt;=100000,INDEX($AC$1005:$AS$1005,1,MATCH(COLUMNS($AC$1006:AE1006),$AC$1006:$AS$1006,0))&gt;=100000), " ",IF(INDEX($AC$2:$AS$1001,MATCH(ROWS($V$2:V283),$V$2:$V$1001,0),MATCH(COLUMNS($AC$1006:AE1006),$AC$1006:$AS$1006,0)), HYPERLINK("#",""), HYPERLINK(CONCATENATE("#Metadata!", ADDRESS(INDEX($X$2:$X$1001,MATCH(ROWS($V$2:V283),$V$2:$V$1001,0),0), INDEX($AC$1004:$AS$1004,1,MATCH(COLUMNS($AC$1006:AE1006),$AC$1006:$AS$1006,0)))),"Fix")))</f>
        <v>0</v>
      </c>
      <c r="E283" s="5">
        <f>IF(OR(INDEX($W$2:$W$1001,MATCH(ROWS($V$2:V283),$V$2:$V$1001,0),1)&gt;=100000,INDEX($AC$1005:$AS$1005,1,MATCH(COLUMNS($AC$1006:AF1006),$AC$1006:$AS$1006,0))&gt;=100000), " ",IF(INDEX($AC$2:$AS$1001,MATCH(ROWS($V$2:V283),$V$2:$V$1001,0),MATCH(COLUMNS($AC$1006:AF1006),$AC$1006:$AS$1006,0)), HYPERLINK("#",""), HYPERLINK(CONCATENATE("#Metadata!", ADDRESS(INDEX($X$2:$X$1001,MATCH(ROWS($V$2:V283),$V$2:$V$1001,0),0), INDEX($AC$1004:$AS$1004,1,MATCH(COLUMNS($AC$1006:AF1006),$AC$1006:$AS$1006,0)))),"Fix")))</f>
        <v>0</v>
      </c>
      <c r="F283" s="5">
        <f>IF(OR(INDEX($W$2:$W$1001,MATCH(ROWS($V$2:V283),$V$2:$V$1001,0),1)&gt;=100000,INDEX($AC$1005:$AS$1005,1,MATCH(COLUMNS($AC$1006:AG1006),$AC$1006:$AS$1006,0))&gt;=100000), " ",IF(INDEX($AC$2:$AS$1001,MATCH(ROWS($V$2:V283),$V$2:$V$1001,0),MATCH(COLUMNS($AC$1006:AG1006),$AC$1006:$AS$1006,0)), HYPERLINK("#",""), HYPERLINK(CONCATENATE("#Metadata!", ADDRESS(INDEX($X$2:$X$1001,MATCH(ROWS($V$2:V283),$V$2:$V$1001,0),0), INDEX($AC$1004:$AS$1004,1,MATCH(COLUMNS($AC$1006:AG1006),$AC$1006:$AS$1006,0)))),"Fix")))</f>
        <v>0</v>
      </c>
      <c r="G283" s="5">
        <f>IF(OR(INDEX($W$2:$W$1001,MATCH(ROWS($V$2:V283),$V$2:$V$1001,0),1)&gt;=100000,INDEX($AC$1005:$AS$1005,1,MATCH(COLUMNS($AC$1006:AH1006),$AC$1006:$AS$1006,0))&gt;=100000), " ",IF(INDEX($AC$2:$AS$1001,MATCH(ROWS($V$2:V283),$V$2:$V$1001,0),MATCH(COLUMNS($AC$1006:AH1006),$AC$1006:$AS$1006,0)), HYPERLINK("#",""), HYPERLINK(CONCATENATE("#Metadata!", ADDRESS(INDEX($X$2:$X$1001,MATCH(ROWS($V$2:V283),$V$2:$V$1001,0),0), INDEX($AC$1004:$AS$1004,1,MATCH(COLUMNS($AC$1006:AH1006),$AC$1006:$AS$1006,0)))),"Fix")))</f>
        <v>0</v>
      </c>
      <c r="H283" s="5">
        <f>IF(OR(INDEX($W$2:$W$1001,MATCH(ROWS($V$2:V283),$V$2:$V$1001,0),1)&gt;=100000,INDEX($AC$1005:$AS$1005,1,MATCH(COLUMNS($AC$1006:AI1006),$AC$1006:$AS$1006,0))&gt;=100000), " ",IF(INDEX($AC$2:$AS$1001,MATCH(ROWS($V$2:V283),$V$2:$V$1001,0),MATCH(COLUMNS($AC$1006:AI1006),$AC$1006:$AS$1006,0)), HYPERLINK("#",""), HYPERLINK(CONCATENATE("#Metadata!", ADDRESS(INDEX($X$2:$X$1001,MATCH(ROWS($V$2:V283),$V$2:$V$1001,0),0), INDEX($AC$1004:$AS$1004,1,MATCH(COLUMNS($AC$1006:AI1006),$AC$1006:$AS$1006,0)))),"Fix")))</f>
        <v>0</v>
      </c>
      <c r="I283" s="5">
        <f>IF(OR(INDEX($W$2:$W$1001,MATCH(ROWS($V$2:V283),$V$2:$V$1001,0),1)&gt;=100000,INDEX($AC$1005:$AS$1005,1,MATCH(COLUMNS($AC$1006:AJ1006),$AC$1006:$AS$1006,0))&gt;=100000), " ",IF(INDEX($AC$2:$AS$1001,MATCH(ROWS($V$2:V283),$V$2:$V$1001,0),MATCH(COLUMNS($AC$1006:AJ1006),$AC$1006:$AS$1006,0)), HYPERLINK("#",""), HYPERLINK(CONCATENATE("#Metadata!", ADDRESS(INDEX($X$2:$X$1001,MATCH(ROWS($V$2:V283),$V$2:$V$1001,0),0), INDEX($AC$1004:$AS$1004,1,MATCH(COLUMNS($AC$1006:AJ1006),$AC$1006:$AS$1006,0)))),"Fix")))</f>
        <v>0</v>
      </c>
      <c r="J283" s="5">
        <f>IF(OR(INDEX($W$2:$W$1001,MATCH(ROWS($V$2:V283),$V$2:$V$1001,0),1)&gt;=100000,INDEX($AC$1005:$AS$1005,1,MATCH(COLUMNS($AC$1006:AK1006),$AC$1006:$AS$1006,0))&gt;=100000), " ",IF(INDEX($AC$2:$AS$1001,MATCH(ROWS($V$2:V283),$V$2:$V$1001,0),MATCH(COLUMNS($AC$1006:AK1006),$AC$1006:$AS$1006,0)), HYPERLINK("#",""), HYPERLINK(CONCATENATE("#Metadata!", ADDRESS(INDEX($X$2:$X$1001,MATCH(ROWS($V$2:V283),$V$2:$V$1001,0),0), INDEX($AC$1004:$AS$1004,1,MATCH(COLUMNS($AC$1006:AK1006),$AC$1006:$AS$1006,0)))),"Fix")))</f>
        <v>0</v>
      </c>
      <c r="K283" s="5">
        <f>IF(OR(INDEX($W$2:$W$1001,MATCH(ROWS($V$2:V283),$V$2:$V$1001,0),1)&gt;=100000,INDEX($AC$1005:$AS$1005,1,MATCH(COLUMNS($AC$1006:AL1006),$AC$1006:$AS$1006,0))&gt;=100000), " ",IF(INDEX($AC$2:$AS$1001,MATCH(ROWS($V$2:V283),$V$2:$V$1001,0),MATCH(COLUMNS($AC$1006:AL1006),$AC$1006:$AS$1006,0)), HYPERLINK("#",""), HYPERLINK(CONCATENATE("#Metadata!", ADDRESS(INDEX($X$2:$X$1001,MATCH(ROWS($V$2:V283),$V$2:$V$1001,0),0), INDEX($AC$1004:$AS$1004,1,MATCH(COLUMNS($AC$1006:AL1006),$AC$1006:$AS$1006,0)))),"Fix")))</f>
        <v>0</v>
      </c>
      <c r="L283" s="5">
        <f>IF(OR(INDEX($W$2:$W$1001,MATCH(ROWS($V$2:V283),$V$2:$V$1001,0),1)&gt;=100000,INDEX($AC$1005:$AS$1005,1,MATCH(COLUMNS($AC$1006:AM1006),$AC$1006:$AS$1006,0))&gt;=100000), " ",IF(INDEX($AC$2:$AS$1001,MATCH(ROWS($V$2:V283),$V$2:$V$1001,0),MATCH(COLUMNS($AC$1006:AM1006),$AC$1006:$AS$1006,0)), HYPERLINK("#",""), HYPERLINK(CONCATENATE("#Metadata!", ADDRESS(INDEX($X$2:$X$1001,MATCH(ROWS($V$2:V283),$V$2:$V$1001,0),0), INDEX($AC$1004:$AS$1004,1,MATCH(COLUMNS($AC$1006:AM1006),$AC$1006:$AS$1006,0)))),"Fix")))</f>
        <v>0</v>
      </c>
      <c r="M283" s="5">
        <f>IF(OR(INDEX($W$2:$W$1001,MATCH(ROWS($V$2:V283),$V$2:$V$1001,0),1)&gt;=100000,INDEX($AC$1005:$AS$1005,1,MATCH(COLUMNS($AC$1006:AN1006),$AC$1006:$AS$1006,0))&gt;=100000), " ",IF(INDEX($AC$2:$AS$1001,MATCH(ROWS($V$2:V283),$V$2:$V$1001,0),MATCH(COLUMNS($AC$1006:AN1006),$AC$1006:$AS$1006,0)), HYPERLINK("#",""), HYPERLINK(CONCATENATE("#Metadata!", ADDRESS(INDEX($X$2:$X$1001,MATCH(ROWS($V$2:V283),$V$2:$V$1001,0),0), INDEX($AC$1004:$AS$1004,1,MATCH(COLUMNS($AC$1006:AN1006),$AC$1006:$AS$1006,0)))),"Fix")))</f>
        <v>0</v>
      </c>
      <c r="N283" s="5">
        <f>IF(OR(INDEX($W$2:$W$1001,MATCH(ROWS($V$2:V283),$V$2:$V$1001,0),1)&gt;=100000,INDEX($AC$1005:$AS$1005,1,MATCH(COLUMNS($AC$1006:AO1006),$AC$1006:$AS$1006,0))&gt;=100000), " ",IF(INDEX($AC$2:$AS$1001,MATCH(ROWS($V$2:V283),$V$2:$V$1001,0),MATCH(COLUMNS($AC$1006:AO1006),$AC$1006:$AS$1006,0)), HYPERLINK("#",""), HYPERLINK(CONCATENATE("#Metadata!", ADDRESS(INDEX($X$2:$X$1001,MATCH(ROWS($V$2:V283),$V$2:$V$1001,0),0), INDEX($AC$1004:$AS$1004,1,MATCH(COLUMNS($AC$1006:AO1006),$AC$1006:$AS$1006,0)))),"Fix")))</f>
        <v>0</v>
      </c>
      <c r="O283" s="5">
        <f>IF(OR(INDEX($W$2:$W$1001,MATCH(ROWS($V$2:V283),$V$2:$V$1001,0),1)&gt;=100000,INDEX($AC$1005:$AS$1005,1,MATCH(COLUMNS($AC$1006:AP1006),$AC$1006:$AS$1006,0))&gt;=100000), " ",IF(INDEX($AC$2:$AS$1001,MATCH(ROWS($V$2:V283),$V$2:$V$1001,0),MATCH(COLUMNS($AC$1006:AP1006),$AC$1006:$AS$1006,0)), HYPERLINK("#",""), HYPERLINK(CONCATENATE("#Metadata!", ADDRESS(INDEX($X$2:$X$1001,MATCH(ROWS($V$2:V283),$V$2:$V$1001,0),0), INDEX($AC$1004:$AS$1004,1,MATCH(COLUMNS($AC$1006:AP1006),$AC$1006:$AS$1006,0)))),"Fix")))</f>
        <v>0</v>
      </c>
      <c r="P283" s="5">
        <f>IF(OR(INDEX($W$2:$W$1001,MATCH(ROWS($V$2:V283),$V$2:$V$1001,0),1)&gt;=100000,INDEX($AC$1005:$AS$1005,1,MATCH(COLUMNS($AC$1006:AQ1006),$AC$1006:$AS$1006,0))&gt;=100000), " ",IF(INDEX($AC$2:$AS$1001,MATCH(ROWS($V$2:V283),$V$2:$V$1001,0),MATCH(COLUMNS($AC$1006:AQ1006),$AC$1006:$AS$1006,0)), HYPERLINK("#",""), HYPERLINK(CONCATENATE("#Metadata!", ADDRESS(INDEX($X$2:$X$1001,MATCH(ROWS($V$2:V283),$V$2:$V$1001,0),0), INDEX($AC$1004:$AS$1004,1,MATCH(COLUMNS($AC$1006:AQ1006),$AC$1006:$AS$1006,0)))),"Fix")))</f>
        <v>0</v>
      </c>
      <c r="Q283" s="5">
        <f>IF(OR(INDEX($W$2:$W$1001,MATCH(ROWS($V$2:V283),$V$2:$V$1001,0),1)&gt;=100000,INDEX($AC$1005:$AS$1005,1,MATCH(COLUMNS($AC$1006:AR1006),$AC$1006:$AS$1006,0))&gt;=100000), " ",IF(INDEX($AC$2:$AS$1001,MATCH(ROWS($V$2:V283),$V$2:$V$1001,0),MATCH(COLUMNS($AC$1006:AR1006),$AC$1006:$AS$1006,0)), HYPERLINK("#",""), HYPERLINK(CONCATENATE("#Metadata!", ADDRESS(INDEX($X$2:$X$1001,MATCH(ROWS($V$2:V283),$V$2:$V$1001,0),0), INDEX($AC$1004:$AS$1004,1,MATCH(COLUMNS($AC$1006:AR1006),$AC$1006:$AS$1006,0)))),"Fix")))</f>
        <v>0</v>
      </c>
      <c r="R283" s="5">
        <f>IF(OR(INDEX($W$2:$W$1001,MATCH(ROWS($V$2:V283),$V$2:$V$1001,0),1)&gt;=100000,INDEX($AC$1005:$AS$1005,1,MATCH(COLUMNS($AC$1006:AS1006),$AC$1006:$AS$1006,0))&gt;=100000), " ",IF(INDEX($AC$2:$AS$1001,MATCH(ROWS($V$2:V283),$V$2:$V$1001,0),MATCH(COLUMNS($AC$1006:AS1006),$AC$1006:$AS$1006,0)), HYPERLINK("#",""), HYPERLINK(CONCATENATE("#Metadata!", ADDRESS(INDEX($X$2:$X$1001,MATCH(ROWS($V$2:V283),$V$2:$V$1001,0),0), INDEX($AC$1004:$AS$1004,1,MATCH(COLUMNS($AC$1006:AS1006),$AC$1006:$AS$1006,0)))),"Fix")))</f>
        <v>0</v>
      </c>
      <c r="V283">
        <v>0</v>
      </c>
      <c r="W283">
        <v>0</v>
      </c>
      <c r="X283">
        <v>0</v>
      </c>
      <c r="Y283">
        <f>IF(Z283,TRUE,AND(AC283:AS283))</f>
        <v>0</v>
      </c>
      <c r="Z283">
        <f>COUNTBLANK(Metadata!B283:R283)=COLUMNS(Metadata!B283:R283)</f>
        <v>0</v>
      </c>
      <c r="AA283">
        <v>0</v>
      </c>
      <c r="AC283">
        <f>AND(IF(Metadata!B283="",FALSE,TRUE),COUNTIF(Metadata!B:B, Metadata!B283) = 1,NOT(ISERROR(SUMPRODUCT(SEARCH(MID(Metadata!B283,ROW(INDIRECT("1:"&amp;LEN(Metadata!B283))), 1),"0123456789abcdefghijklmnopqrstuvwxyzABCDEFGHIJKLMNOPQRSTUVWXYZ.")))))</f>
        <v>0</v>
      </c>
      <c r="AD283">
        <f>AND(IF(Metadata!C283="",FALSE,TRUE),exact(Metadata!C283,"Host-associated"))</f>
        <v>0</v>
      </c>
      <c r="AE283">
        <f>AND(IF(Metadata!D283="",FALSE,TRUE),OR(exact(Metadata!D283,"Animal"),exact(Metadata!D283,"Fungus"),exact(Metadata!D283,"Plant")))</f>
        <v>0</v>
      </c>
      <c r="AF283">
        <f>AND(IF(Metadata!E283="",FALSE,TRUE),OR(exact(Metadata!E283,"Plant secretion"),exact(Metadata!E283,"Plant rhizosphere"),exact(Metadata!E283,"Plant surface"),exact(Metadata!E283,"Plant corpus"),exact(Metadata!E283,"Fungus surface"),exact(Metadata!E283,"Fungus corpus"),exact(Metadata!E283,"Animal surface"),exact(Metadata!E283,"Animal proximal gut"),exact(Metadata!E283,"Animal corpus"),exact(Metadata!E283,"Animal distal gut"),exact(Metadata!E283,"Animal secretion")))</f>
        <v>0</v>
      </c>
      <c r="AG283">
        <f>OR(AND(IF(Metadata!F283="",FALSE,TRUE),OR(exact(Metadata!F283,"not collected"),exact(Metadata!F283,"not provided"),exact(Metadata!F283,"restricted access"))),AND(IF(Metadata!F283="",FALSE,TRUE),OR(exact(Metadata!F283,"organism-associated habitat"),exact(Metadata!F283,"plant-associated habitat"),exact(Metadata!F283,"animal-associated habitat"),exact(Metadata!F283,"insecta-associated habitat"),exact(Metadata!F283,"mammalia-associated habitat"),exact(Metadata!F283,"human-associated habitat"),exact(Metadata!F283,"livestock-associated habitat"))))</f>
        <v>0</v>
      </c>
      <c r="AH283">
        <f>AND(IF(Metadata!G283="",FALSE,TRUE),exact(Metadata!G283,"host-associated"))</f>
        <v>0</v>
      </c>
      <c r="AI283">
        <f>OR(AND(IF(Metadata!H283="",FALSE,TRUE),OR(exact(Metadata!H283,"not collected"),exact(Metadata!H283,"not provided"))),AND(IF(Metadata!H283="",FALSE,ISNUMBER(VALUE(Metadata!H283))),Metadata!H283&gt;0))</f>
        <v>0</v>
      </c>
      <c r="AJ283">
        <f>AND(IF(Metadata!I283="",FALSE,TRUE),exact(Metadata!I283,"years"))</f>
        <v>0</v>
      </c>
      <c r="AK283">
        <f>IF(Metadata!J283="",FALSE,TRUE)</f>
        <v>0</v>
      </c>
      <c r="AL283">
        <f>OR(AND(IF(Metadata!K283="",FALSE,TRUE),OR(exact(Metadata!K283,"not collected"),exact(Metadata!K283,"not provided"))),AND(IF(Metadata!K283="",FALSE,ISNUMBER(VALUE(Metadata!K283))),Metadata!K283&gt;0))</f>
        <v>0</v>
      </c>
      <c r="AM283">
        <f>AND(IF(Metadata!L283="",FALSE,TRUE),exact(Metadata!L283,"cm"))</f>
        <v>0</v>
      </c>
      <c r="AN283">
        <f>IF(Metadata!M283="",FALSE,TRUE)</f>
        <v>0</v>
      </c>
      <c r="AO283">
        <f>OR(AND(IF(Metadata!N283="",FALSE,TRUE),OR(exact(Metadata!N283,"not applicable"),exact(Metadata!N283,"not collected"),exact(Metadata!N283,"not provided"))),AND(IF(Metadata!N283="",FALSE,IF(ISERROR(INT(Metadata!N283)),FALSE,INT(Metadata!N283)=Metadata!N283)),Metadata!N283&gt;0))</f>
        <v>0</v>
      </c>
      <c r="AP283">
        <f>OR(AND(IF(Metadata!O283="",FALSE,TRUE),OR(exact(Metadata!O283,"not collected"),exact(Metadata!O283,"not provided"))),AND(IF(Metadata!O283="",FALSE,ISNUMBER(VALUE(Metadata!O283))),Metadata!O283&gt;0))</f>
        <v>0</v>
      </c>
      <c r="AQ283">
        <f>AND(IF(Metadata!P283="",FALSE,TRUE),exact(Metadata!P283,"kg"))</f>
        <v>0</v>
      </c>
      <c r="AR283">
        <f>OR(AND(IF(Metadata!Q283="",FALSE,TRUE),OR(exact(Metadata!Q283,"not applicable"),exact(Metadata!Q283,"not collected"),exact(Metadata!Q283,"not provided"),exact(Metadata!Q283,"restricted access"))),IF(Metadata!Q283="",FALSE,IF(ISERROR(INT(Metadata!Q283)),FALSE,INT(Metadata!Q283)=Metadata!Q283)))</f>
        <v>0</v>
      </c>
      <c r="AS283">
        <f>AND(IF(Metadata!R283="",FALSE,TRUE),exact(Metadata!R283,"Not applicable"))</f>
        <v>0</v>
      </c>
    </row>
    <row r="284" spans="1:45">
      <c r="A284" s="4">
        <f>IF(B284=" "," ",HYPERLINK(CONCATENATE("#metadata!",ADDRESS(INDEX($X$2:$X$1001,MATCH(ROWS($V$2:V284),$V$2:$V$1001,0),0),2)),INDEX($AA$2:$AA$1001,MATCH(ROWS($V$2:V284),$V$2:$V$1001,0),0)))</f>
        <v>0</v>
      </c>
      <c r="B284" s="5">
        <f>IF(OR(INDEX($W$2:$W$1001,MATCH(ROWS($V$2:V284),$V$2:$V$1001,0),1)&gt;=100000,INDEX($AC$1005:$AS$1005,1,MATCH(COLUMNS($AC$1006:AC1006),$AC$1006:$AS$1006,0))&gt;=100000), " ",IF(INDEX($AC$2:$AS$1001,MATCH(ROWS($V$2:V284),$V$2:$V$1001,0),MATCH(COLUMNS($AC$1006:AC1006),$AC$1006:$AS$1006,0)), HYPERLINK("#",""), HYPERLINK(CONCATENATE("#Metadata!", ADDRESS(INDEX($X$2:$X$1001,MATCH(ROWS($V$2:V284),$V$2:$V$1001,0),0), INDEX($AC$1004:$AS$1004,1,MATCH(COLUMNS($AC$1006:AC1006),$AC$1006:$AS$1006,0)))),"Fix")))</f>
        <v>0</v>
      </c>
      <c r="C284" s="5">
        <f>IF(OR(INDEX($W$2:$W$1001,MATCH(ROWS($V$2:V284),$V$2:$V$1001,0),1)&gt;=100000,INDEX($AC$1005:$AS$1005,1,MATCH(COLUMNS($AC$1006:AD1006),$AC$1006:$AS$1006,0))&gt;=100000), " ",IF(INDEX($AC$2:$AS$1001,MATCH(ROWS($V$2:V284),$V$2:$V$1001,0),MATCH(COLUMNS($AC$1006:AD1006),$AC$1006:$AS$1006,0)), HYPERLINK("#",""), HYPERLINK(CONCATENATE("#Metadata!", ADDRESS(INDEX($X$2:$X$1001,MATCH(ROWS($V$2:V284),$V$2:$V$1001,0),0), INDEX($AC$1004:$AS$1004,1,MATCH(COLUMNS($AC$1006:AD1006),$AC$1006:$AS$1006,0)))),"Fix")))</f>
        <v>0</v>
      </c>
      <c r="D284" s="5">
        <f>IF(OR(INDEX($W$2:$W$1001,MATCH(ROWS($V$2:V284),$V$2:$V$1001,0),1)&gt;=100000,INDEX($AC$1005:$AS$1005,1,MATCH(COLUMNS($AC$1006:AE1006),$AC$1006:$AS$1006,0))&gt;=100000), " ",IF(INDEX($AC$2:$AS$1001,MATCH(ROWS($V$2:V284),$V$2:$V$1001,0),MATCH(COLUMNS($AC$1006:AE1006),$AC$1006:$AS$1006,0)), HYPERLINK("#",""), HYPERLINK(CONCATENATE("#Metadata!", ADDRESS(INDEX($X$2:$X$1001,MATCH(ROWS($V$2:V284),$V$2:$V$1001,0),0), INDEX($AC$1004:$AS$1004,1,MATCH(COLUMNS($AC$1006:AE1006),$AC$1006:$AS$1006,0)))),"Fix")))</f>
        <v>0</v>
      </c>
      <c r="E284" s="5">
        <f>IF(OR(INDEX($W$2:$W$1001,MATCH(ROWS($V$2:V284),$V$2:$V$1001,0),1)&gt;=100000,INDEX($AC$1005:$AS$1005,1,MATCH(COLUMNS($AC$1006:AF1006),$AC$1006:$AS$1006,0))&gt;=100000), " ",IF(INDEX($AC$2:$AS$1001,MATCH(ROWS($V$2:V284),$V$2:$V$1001,0),MATCH(COLUMNS($AC$1006:AF1006),$AC$1006:$AS$1006,0)), HYPERLINK("#",""), HYPERLINK(CONCATENATE("#Metadata!", ADDRESS(INDEX($X$2:$X$1001,MATCH(ROWS($V$2:V284),$V$2:$V$1001,0),0), INDEX($AC$1004:$AS$1004,1,MATCH(COLUMNS($AC$1006:AF1006),$AC$1006:$AS$1006,0)))),"Fix")))</f>
        <v>0</v>
      </c>
      <c r="F284" s="5">
        <f>IF(OR(INDEX($W$2:$W$1001,MATCH(ROWS($V$2:V284),$V$2:$V$1001,0),1)&gt;=100000,INDEX($AC$1005:$AS$1005,1,MATCH(COLUMNS($AC$1006:AG1006),$AC$1006:$AS$1006,0))&gt;=100000), " ",IF(INDEX($AC$2:$AS$1001,MATCH(ROWS($V$2:V284),$V$2:$V$1001,0),MATCH(COLUMNS($AC$1006:AG1006),$AC$1006:$AS$1006,0)), HYPERLINK("#",""), HYPERLINK(CONCATENATE("#Metadata!", ADDRESS(INDEX($X$2:$X$1001,MATCH(ROWS($V$2:V284),$V$2:$V$1001,0),0), INDEX($AC$1004:$AS$1004,1,MATCH(COLUMNS($AC$1006:AG1006),$AC$1006:$AS$1006,0)))),"Fix")))</f>
        <v>0</v>
      </c>
      <c r="G284" s="5">
        <f>IF(OR(INDEX($W$2:$W$1001,MATCH(ROWS($V$2:V284),$V$2:$V$1001,0),1)&gt;=100000,INDEX($AC$1005:$AS$1005,1,MATCH(COLUMNS($AC$1006:AH1006),$AC$1006:$AS$1006,0))&gt;=100000), " ",IF(INDEX($AC$2:$AS$1001,MATCH(ROWS($V$2:V284),$V$2:$V$1001,0),MATCH(COLUMNS($AC$1006:AH1006),$AC$1006:$AS$1006,0)), HYPERLINK("#",""), HYPERLINK(CONCATENATE("#Metadata!", ADDRESS(INDEX($X$2:$X$1001,MATCH(ROWS($V$2:V284),$V$2:$V$1001,0),0), INDEX($AC$1004:$AS$1004,1,MATCH(COLUMNS($AC$1006:AH1006),$AC$1006:$AS$1006,0)))),"Fix")))</f>
        <v>0</v>
      </c>
      <c r="H284" s="5">
        <f>IF(OR(INDEX($W$2:$W$1001,MATCH(ROWS($V$2:V284),$V$2:$V$1001,0),1)&gt;=100000,INDEX($AC$1005:$AS$1005,1,MATCH(COLUMNS($AC$1006:AI1006),$AC$1006:$AS$1006,0))&gt;=100000), " ",IF(INDEX($AC$2:$AS$1001,MATCH(ROWS($V$2:V284),$V$2:$V$1001,0),MATCH(COLUMNS($AC$1006:AI1006),$AC$1006:$AS$1006,0)), HYPERLINK("#",""), HYPERLINK(CONCATENATE("#Metadata!", ADDRESS(INDEX($X$2:$X$1001,MATCH(ROWS($V$2:V284),$V$2:$V$1001,0),0), INDEX($AC$1004:$AS$1004,1,MATCH(COLUMNS($AC$1006:AI1006),$AC$1006:$AS$1006,0)))),"Fix")))</f>
        <v>0</v>
      </c>
      <c r="I284" s="5">
        <f>IF(OR(INDEX($W$2:$W$1001,MATCH(ROWS($V$2:V284),$V$2:$V$1001,0),1)&gt;=100000,INDEX($AC$1005:$AS$1005,1,MATCH(COLUMNS($AC$1006:AJ1006),$AC$1006:$AS$1006,0))&gt;=100000), " ",IF(INDEX($AC$2:$AS$1001,MATCH(ROWS($V$2:V284),$V$2:$V$1001,0),MATCH(COLUMNS($AC$1006:AJ1006),$AC$1006:$AS$1006,0)), HYPERLINK("#",""), HYPERLINK(CONCATENATE("#Metadata!", ADDRESS(INDEX($X$2:$X$1001,MATCH(ROWS($V$2:V284),$V$2:$V$1001,0),0), INDEX($AC$1004:$AS$1004,1,MATCH(COLUMNS($AC$1006:AJ1006),$AC$1006:$AS$1006,0)))),"Fix")))</f>
        <v>0</v>
      </c>
      <c r="J284" s="5">
        <f>IF(OR(INDEX($W$2:$W$1001,MATCH(ROWS($V$2:V284),$V$2:$V$1001,0),1)&gt;=100000,INDEX($AC$1005:$AS$1005,1,MATCH(COLUMNS($AC$1006:AK1006),$AC$1006:$AS$1006,0))&gt;=100000), " ",IF(INDEX($AC$2:$AS$1001,MATCH(ROWS($V$2:V284),$V$2:$V$1001,0),MATCH(COLUMNS($AC$1006:AK1006),$AC$1006:$AS$1006,0)), HYPERLINK("#",""), HYPERLINK(CONCATENATE("#Metadata!", ADDRESS(INDEX($X$2:$X$1001,MATCH(ROWS($V$2:V284),$V$2:$V$1001,0),0), INDEX($AC$1004:$AS$1004,1,MATCH(COLUMNS($AC$1006:AK1006),$AC$1006:$AS$1006,0)))),"Fix")))</f>
        <v>0</v>
      </c>
      <c r="K284" s="5">
        <f>IF(OR(INDEX($W$2:$W$1001,MATCH(ROWS($V$2:V284),$V$2:$V$1001,0),1)&gt;=100000,INDEX($AC$1005:$AS$1005,1,MATCH(COLUMNS($AC$1006:AL1006),$AC$1006:$AS$1006,0))&gt;=100000), " ",IF(INDEX($AC$2:$AS$1001,MATCH(ROWS($V$2:V284),$V$2:$V$1001,0),MATCH(COLUMNS($AC$1006:AL1006),$AC$1006:$AS$1006,0)), HYPERLINK("#",""), HYPERLINK(CONCATENATE("#Metadata!", ADDRESS(INDEX($X$2:$X$1001,MATCH(ROWS($V$2:V284),$V$2:$V$1001,0),0), INDEX($AC$1004:$AS$1004,1,MATCH(COLUMNS($AC$1006:AL1006),$AC$1006:$AS$1006,0)))),"Fix")))</f>
        <v>0</v>
      </c>
      <c r="L284" s="5">
        <f>IF(OR(INDEX($W$2:$W$1001,MATCH(ROWS($V$2:V284),$V$2:$V$1001,0),1)&gt;=100000,INDEX($AC$1005:$AS$1005,1,MATCH(COLUMNS($AC$1006:AM1006),$AC$1006:$AS$1006,0))&gt;=100000), " ",IF(INDEX($AC$2:$AS$1001,MATCH(ROWS($V$2:V284),$V$2:$V$1001,0),MATCH(COLUMNS($AC$1006:AM1006),$AC$1006:$AS$1006,0)), HYPERLINK("#",""), HYPERLINK(CONCATENATE("#Metadata!", ADDRESS(INDEX($X$2:$X$1001,MATCH(ROWS($V$2:V284),$V$2:$V$1001,0),0), INDEX($AC$1004:$AS$1004,1,MATCH(COLUMNS($AC$1006:AM1006),$AC$1006:$AS$1006,0)))),"Fix")))</f>
        <v>0</v>
      </c>
      <c r="M284" s="5">
        <f>IF(OR(INDEX($W$2:$W$1001,MATCH(ROWS($V$2:V284),$V$2:$V$1001,0),1)&gt;=100000,INDEX($AC$1005:$AS$1005,1,MATCH(COLUMNS($AC$1006:AN1006),$AC$1006:$AS$1006,0))&gt;=100000), " ",IF(INDEX($AC$2:$AS$1001,MATCH(ROWS($V$2:V284),$V$2:$V$1001,0),MATCH(COLUMNS($AC$1006:AN1006),$AC$1006:$AS$1006,0)), HYPERLINK("#",""), HYPERLINK(CONCATENATE("#Metadata!", ADDRESS(INDEX($X$2:$X$1001,MATCH(ROWS($V$2:V284),$V$2:$V$1001,0),0), INDEX($AC$1004:$AS$1004,1,MATCH(COLUMNS($AC$1006:AN1006),$AC$1006:$AS$1006,0)))),"Fix")))</f>
        <v>0</v>
      </c>
      <c r="N284" s="5">
        <f>IF(OR(INDEX($W$2:$W$1001,MATCH(ROWS($V$2:V284),$V$2:$V$1001,0),1)&gt;=100000,INDEX($AC$1005:$AS$1005,1,MATCH(COLUMNS($AC$1006:AO1006),$AC$1006:$AS$1006,0))&gt;=100000), " ",IF(INDEX($AC$2:$AS$1001,MATCH(ROWS($V$2:V284),$V$2:$V$1001,0),MATCH(COLUMNS($AC$1006:AO1006),$AC$1006:$AS$1006,0)), HYPERLINK("#",""), HYPERLINK(CONCATENATE("#Metadata!", ADDRESS(INDEX($X$2:$X$1001,MATCH(ROWS($V$2:V284),$V$2:$V$1001,0),0), INDEX($AC$1004:$AS$1004,1,MATCH(COLUMNS($AC$1006:AO1006),$AC$1006:$AS$1006,0)))),"Fix")))</f>
        <v>0</v>
      </c>
      <c r="O284" s="5">
        <f>IF(OR(INDEX($W$2:$W$1001,MATCH(ROWS($V$2:V284),$V$2:$V$1001,0),1)&gt;=100000,INDEX($AC$1005:$AS$1005,1,MATCH(COLUMNS($AC$1006:AP1006),$AC$1006:$AS$1006,0))&gt;=100000), " ",IF(INDEX($AC$2:$AS$1001,MATCH(ROWS($V$2:V284),$V$2:$V$1001,0),MATCH(COLUMNS($AC$1006:AP1006),$AC$1006:$AS$1006,0)), HYPERLINK("#",""), HYPERLINK(CONCATENATE("#Metadata!", ADDRESS(INDEX($X$2:$X$1001,MATCH(ROWS($V$2:V284),$V$2:$V$1001,0),0), INDEX($AC$1004:$AS$1004,1,MATCH(COLUMNS($AC$1006:AP1006),$AC$1006:$AS$1006,0)))),"Fix")))</f>
        <v>0</v>
      </c>
      <c r="P284" s="5">
        <f>IF(OR(INDEX($W$2:$W$1001,MATCH(ROWS($V$2:V284),$V$2:$V$1001,0),1)&gt;=100000,INDEX($AC$1005:$AS$1005,1,MATCH(COLUMNS($AC$1006:AQ1006),$AC$1006:$AS$1006,0))&gt;=100000), " ",IF(INDEX($AC$2:$AS$1001,MATCH(ROWS($V$2:V284),$V$2:$V$1001,0),MATCH(COLUMNS($AC$1006:AQ1006),$AC$1006:$AS$1006,0)), HYPERLINK("#",""), HYPERLINK(CONCATENATE("#Metadata!", ADDRESS(INDEX($X$2:$X$1001,MATCH(ROWS($V$2:V284),$V$2:$V$1001,0),0), INDEX($AC$1004:$AS$1004,1,MATCH(COLUMNS($AC$1006:AQ1006),$AC$1006:$AS$1006,0)))),"Fix")))</f>
        <v>0</v>
      </c>
      <c r="Q284" s="5">
        <f>IF(OR(INDEX($W$2:$W$1001,MATCH(ROWS($V$2:V284),$V$2:$V$1001,0),1)&gt;=100000,INDEX($AC$1005:$AS$1005,1,MATCH(COLUMNS($AC$1006:AR1006),$AC$1006:$AS$1006,0))&gt;=100000), " ",IF(INDEX($AC$2:$AS$1001,MATCH(ROWS($V$2:V284),$V$2:$V$1001,0),MATCH(COLUMNS($AC$1006:AR1006),$AC$1006:$AS$1006,0)), HYPERLINK("#",""), HYPERLINK(CONCATENATE("#Metadata!", ADDRESS(INDEX($X$2:$X$1001,MATCH(ROWS($V$2:V284),$V$2:$V$1001,0),0), INDEX($AC$1004:$AS$1004,1,MATCH(COLUMNS($AC$1006:AR1006),$AC$1006:$AS$1006,0)))),"Fix")))</f>
        <v>0</v>
      </c>
      <c r="R284" s="5">
        <f>IF(OR(INDEX($W$2:$W$1001,MATCH(ROWS($V$2:V284),$V$2:$V$1001,0),1)&gt;=100000,INDEX($AC$1005:$AS$1005,1,MATCH(COLUMNS($AC$1006:AS1006),$AC$1006:$AS$1006,0))&gt;=100000), " ",IF(INDEX($AC$2:$AS$1001,MATCH(ROWS($V$2:V284),$V$2:$V$1001,0),MATCH(COLUMNS($AC$1006:AS1006),$AC$1006:$AS$1006,0)), HYPERLINK("#",""), HYPERLINK(CONCATENATE("#Metadata!", ADDRESS(INDEX($X$2:$X$1001,MATCH(ROWS($V$2:V284),$V$2:$V$1001,0),0), INDEX($AC$1004:$AS$1004,1,MATCH(COLUMNS($AC$1006:AS1006),$AC$1006:$AS$1006,0)))),"Fix")))</f>
        <v>0</v>
      </c>
      <c r="V284">
        <v>0</v>
      </c>
      <c r="W284">
        <v>0</v>
      </c>
      <c r="X284">
        <v>0</v>
      </c>
      <c r="Y284">
        <f>IF(Z284,TRUE,AND(AC284:AS284))</f>
        <v>0</v>
      </c>
      <c r="Z284">
        <f>COUNTBLANK(Metadata!B284:R284)=COLUMNS(Metadata!B284:R284)</f>
        <v>0</v>
      </c>
      <c r="AA284">
        <v>0</v>
      </c>
      <c r="AC284">
        <f>AND(IF(Metadata!B284="",FALSE,TRUE),COUNTIF(Metadata!B:B, Metadata!B284) = 1,NOT(ISERROR(SUMPRODUCT(SEARCH(MID(Metadata!B284,ROW(INDIRECT("1:"&amp;LEN(Metadata!B284))), 1),"0123456789abcdefghijklmnopqrstuvwxyzABCDEFGHIJKLMNOPQRSTUVWXYZ.")))))</f>
        <v>0</v>
      </c>
      <c r="AD284">
        <f>AND(IF(Metadata!C284="",FALSE,TRUE),exact(Metadata!C284,"Host-associated"))</f>
        <v>0</v>
      </c>
      <c r="AE284">
        <f>AND(IF(Metadata!D284="",FALSE,TRUE),OR(exact(Metadata!D284,"Animal"),exact(Metadata!D284,"Fungus"),exact(Metadata!D284,"Plant")))</f>
        <v>0</v>
      </c>
      <c r="AF284">
        <f>AND(IF(Metadata!E284="",FALSE,TRUE),OR(exact(Metadata!E284,"Plant secretion"),exact(Metadata!E284,"Plant rhizosphere"),exact(Metadata!E284,"Plant surface"),exact(Metadata!E284,"Plant corpus"),exact(Metadata!E284,"Fungus surface"),exact(Metadata!E284,"Fungus corpus"),exact(Metadata!E284,"Animal surface"),exact(Metadata!E284,"Animal proximal gut"),exact(Metadata!E284,"Animal corpus"),exact(Metadata!E284,"Animal distal gut"),exact(Metadata!E284,"Animal secretion")))</f>
        <v>0</v>
      </c>
      <c r="AG284">
        <f>OR(AND(IF(Metadata!F284="",FALSE,TRUE),OR(exact(Metadata!F284,"not collected"),exact(Metadata!F284,"not provided"),exact(Metadata!F284,"restricted access"))),AND(IF(Metadata!F284="",FALSE,TRUE),OR(exact(Metadata!F284,"organism-associated habitat"),exact(Metadata!F284,"plant-associated habitat"),exact(Metadata!F284,"animal-associated habitat"),exact(Metadata!F284,"insecta-associated habitat"),exact(Metadata!F284,"mammalia-associated habitat"),exact(Metadata!F284,"human-associated habitat"),exact(Metadata!F284,"livestock-associated habitat"))))</f>
        <v>0</v>
      </c>
      <c r="AH284">
        <f>AND(IF(Metadata!G284="",FALSE,TRUE),exact(Metadata!G284,"host-associated"))</f>
        <v>0</v>
      </c>
      <c r="AI284">
        <f>OR(AND(IF(Metadata!H284="",FALSE,TRUE),OR(exact(Metadata!H284,"not collected"),exact(Metadata!H284,"not provided"))),AND(IF(Metadata!H284="",FALSE,ISNUMBER(VALUE(Metadata!H284))),Metadata!H284&gt;0))</f>
        <v>0</v>
      </c>
      <c r="AJ284">
        <f>AND(IF(Metadata!I284="",FALSE,TRUE),exact(Metadata!I284,"years"))</f>
        <v>0</v>
      </c>
      <c r="AK284">
        <f>IF(Metadata!J284="",FALSE,TRUE)</f>
        <v>0</v>
      </c>
      <c r="AL284">
        <f>OR(AND(IF(Metadata!K284="",FALSE,TRUE),OR(exact(Metadata!K284,"not collected"),exact(Metadata!K284,"not provided"))),AND(IF(Metadata!K284="",FALSE,ISNUMBER(VALUE(Metadata!K284))),Metadata!K284&gt;0))</f>
        <v>0</v>
      </c>
      <c r="AM284">
        <f>AND(IF(Metadata!L284="",FALSE,TRUE),exact(Metadata!L284,"cm"))</f>
        <v>0</v>
      </c>
      <c r="AN284">
        <f>IF(Metadata!M284="",FALSE,TRUE)</f>
        <v>0</v>
      </c>
      <c r="AO284">
        <f>OR(AND(IF(Metadata!N284="",FALSE,TRUE),OR(exact(Metadata!N284,"not applicable"),exact(Metadata!N284,"not collected"),exact(Metadata!N284,"not provided"))),AND(IF(Metadata!N284="",FALSE,IF(ISERROR(INT(Metadata!N284)),FALSE,INT(Metadata!N284)=Metadata!N284)),Metadata!N284&gt;0))</f>
        <v>0</v>
      </c>
      <c r="AP284">
        <f>OR(AND(IF(Metadata!O284="",FALSE,TRUE),OR(exact(Metadata!O284,"not collected"),exact(Metadata!O284,"not provided"))),AND(IF(Metadata!O284="",FALSE,ISNUMBER(VALUE(Metadata!O284))),Metadata!O284&gt;0))</f>
        <v>0</v>
      </c>
      <c r="AQ284">
        <f>AND(IF(Metadata!P284="",FALSE,TRUE),exact(Metadata!P284,"kg"))</f>
        <v>0</v>
      </c>
      <c r="AR284">
        <f>OR(AND(IF(Metadata!Q284="",FALSE,TRUE),OR(exact(Metadata!Q284,"not applicable"),exact(Metadata!Q284,"not collected"),exact(Metadata!Q284,"not provided"),exact(Metadata!Q284,"restricted access"))),IF(Metadata!Q284="",FALSE,IF(ISERROR(INT(Metadata!Q284)),FALSE,INT(Metadata!Q284)=Metadata!Q284)))</f>
        <v>0</v>
      </c>
      <c r="AS284">
        <f>AND(IF(Metadata!R284="",FALSE,TRUE),exact(Metadata!R284,"Not applicable"))</f>
        <v>0</v>
      </c>
    </row>
    <row r="285" spans="1:45">
      <c r="A285" s="4">
        <f>IF(B285=" "," ",HYPERLINK(CONCATENATE("#metadata!",ADDRESS(INDEX($X$2:$X$1001,MATCH(ROWS($V$2:V285),$V$2:$V$1001,0),0),2)),INDEX($AA$2:$AA$1001,MATCH(ROWS($V$2:V285),$V$2:$V$1001,0),0)))</f>
        <v>0</v>
      </c>
      <c r="B285" s="5">
        <f>IF(OR(INDEX($W$2:$W$1001,MATCH(ROWS($V$2:V285),$V$2:$V$1001,0),1)&gt;=100000,INDEX($AC$1005:$AS$1005,1,MATCH(COLUMNS($AC$1006:AC1006),$AC$1006:$AS$1006,0))&gt;=100000), " ",IF(INDEX($AC$2:$AS$1001,MATCH(ROWS($V$2:V285),$V$2:$V$1001,0),MATCH(COLUMNS($AC$1006:AC1006),$AC$1006:$AS$1006,0)), HYPERLINK("#",""), HYPERLINK(CONCATENATE("#Metadata!", ADDRESS(INDEX($X$2:$X$1001,MATCH(ROWS($V$2:V285),$V$2:$V$1001,0),0), INDEX($AC$1004:$AS$1004,1,MATCH(COLUMNS($AC$1006:AC1006),$AC$1006:$AS$1006,0)))),"Fix")))</f>
        <v>0</v>
      </c>
      <c r="C285" s="5">
        <f>IF(OR(INDEX($W$2:$W$1001,MATCH(ROWS($V$2:V285),$V$2:$V$1001,0),1)&gt;=100000,INDEX($AC$1005:$AS$1005,1,MATCH(COLUMNS($AC$1006:AD1006),$AC$1006:$AS$1006,0))&gt;=100000), " ",IF(INDEX($AC$2:$AS$1001,MATCH(ROWS($V$2:V285),$V$2:$V$1001,0),MATCH(COLUMNS($AC$1006:AD1006),$AC$1006:$AS$1006,0)), HYPERLINK("#",""), HYPERLINK(CONCATENATE("#Metadata!", ADDRESS(INDEX($X$2:$X$1001,MATCH(ROWS($V$2:V285),$V$2:$V$1001,0),0), INDEX($AC$1004:$AS$1004,1,MATCH(COLUMNS($AC$1006:AD1006),$AC$1006:$AS$1006,0)))),"Fix")))</f>
        <v>0</v>
      </c>
      <c r="D285" s="5">
        <f>IF(OR(INDEX($W$2:$W$1001,MATCH(ROWS($V$2:V285),$V$2:$V$1001,0),1)&gt;=100000,INDEX($AC$1005:$AS$1005,1,MATCH(COLUMNS($AC$1006:AE1006),$AC$1006:$AS$1006,0))&gt;=100000), " ",IF(INDEX($AC$2:$AS$1001,MATCH(ROWS($V$2:V285),$V$2:$V$1001,0),MATCH(COLUMNS($AC$1006:AE1006),$AC$1006:$AS$1006,0)), HYPERLINK("#",""), HYPERLINK(CONCATENATE("#Metadata!", ADDRESS(INDEX($X$2:$X$1001,MATCH(ROWS($V$2:V285),$V$2:$V$1001,0),0), INDEX($AC$1004:$AS$1004,1,MATCH(COLUMNS($AC$1006:AE1006),$AC$1006:$AS$1006,0)))),"Fix")))</f>
        <v>0</v>
      </c>
      <c r="E285" s="5">
        <f>IF(OR(INDEX($W$2:$W$1001,MATCH(ROWS($V$2:V285),$V$2:$V$1001,0),1)&gt;=100000,INDEX($AC$1005:$AS$1005,1,MATCH(COLUMNS($AC$1006:AF1006),$AC$1006:$AS$1006,0))&gt;=100000), " ",IF(INDEX($AC$2:$AS$1001,MATCH(ROWS($V$2:V285),$V$2:$V$1001,0),MATCH(COLUMNS($AC$1006:AF1006),$AC$1006:$AS$1006,0)), HYPERLINK("#",""), HYPERLINK(CONCATENATE("#Metadata!", ADDRESS(INDEX($X$2:$X$1001,MATCH(ROWS($V$2:V285),$V$2:$V$1001,0),0), INDEX($AC$1004:$AS$1004,1,MATCH(COLUMNS($AC$1006:AF1006),$AC$1006:$AS$1006,0)))),"Fix")))</f>
        <v>0</v>
      </c>
      <c r="F285" s="5">
        <f>IF(OR(INDEX($W$2:$W$1001,MATCH(ROWS($V$2:V285),$V$2:$V$1001,0),1)&gt;=100000,INDEX($AC$1005:$AS$1005,1,MATCH(COLUMNS($AC$1006:AG1006),$AC$1006:$AS$1006,0))&gt;=100000), " ",IF(INDEX($AC$2:$AS$1001,MATCH(ROWS($V$2:V285),$V$2:$V$1001,0),MATCH(COLUMNS($AC$1006:AG1006),$AC$1006:$AS$1006,0)), HYPERLINK("#",""), HYPERLINK(CONCATENATE("#Metadata!", ADDRESS(INDEX($X$2:$X$1001,MATCH(ROWS($V$2:V285),$V$2:$V$1001,0),0), INDEX($AC$1004:$AS$1004,1,MATCH(COLUMNS($AC$1006:AG1006),$AC$1006:$AS$1006,0)))),"Fix")))</f>
        <v>0</v>
      </c>
      <c r="G285" s="5">
        <f>IF(OR(INDEX($W$2:$W$1001,MATCH(ROWS($V$2:V285),$V$2:$V$1001,0),1)&gt;=100000,INDEX($AC$1005:$AS$1005,1,MATCH(COLUMNS($AC$1006:AH1006),$AC$1006:$AS$1006,0))&gt;=100000), " ",IF(INDEX($AC$2:$AS$1001,MATCH(ROWS($V$2:V285),$V$2:$V$1001,0),MATCH(COLUMNS($AC$1006:AH1006),$AC$1006:$AS$1006,0)), HYPERLINK("#",""), HYPERLINK(CONCATENATE("#Metadata!", ADDRESS(INDEX($X$2:$X$1001,MATCH(ROWS($V$2:V285),$V$2:$V$1001,0),0), INDEX($AC$1004:$AS$1004,1,MATCH(COLUMNS($AC$1006:AH1006),$AC$1006:$AS$1006,0)))),"Fix")))</f>
        <v>0</v>
      </c>
      <c r="H285" s="5">
        <f>IF(OR(INDEX($W$2:$W$1001,MATCH(ROWS($V$2:V285),$V$2:$V$1001,0),1)&gt;=100000,INDEX($AC$1005:$AS$1005,1,MATCH(COLUMNS($AC$1006:AI1006),$AC$1006:$AS$1006,0))&gt;=100000), " ",IF(INDEX($AC$2:$AS$1001,MATCH(ROWS($V$2:V285),$V$2:$V$1001,0),MATCH(COLUMNS($AC$1006:AI1006),$AC$1006:$AS$1006,0)), HYPERLINK("#",""), HYPERLINK(CONCATENATE("#Metadata!", ADDRESS(INDEX($X$2:$X$1001,MATCH(ROWS($V$2:V285),$V$2:$V$1001,0),0), INDEX($AC$1004:$AS$1004,1,MATCH(COLUMNS($AC$1006:AI1006),$AC$1006:$AS$1006,0)))),"Fix")))</f>
        <v>0</v>
      </c>
      <c r="I285" s="5">
        <f>IF(OR(INDEX($W$2:$W$1001,MATCH(ROWS($V$2:V285),$V$2:$V$1001,0),1)&gt;=100000,INDEX($AC$1005:$AS$1005,1,MATCH(COLUMNS($AC$1006:AJ1006),$AC$1006:$AS$1006,0))&gt;=100000), " ",IF(INDEX($AC$2:$AS$1001,MATCH(ROWS($V$2:V285),$V$2:$V$1001,0),MATCH(COLUMNS($AC$1006:AJ1006),$AC$1006:$AS$1006,0)), HYPERLINK("#",""), HYPERLINK(CONCATENATE("#Metadata!", ADDRESS(INDEX($X$2:$X$1001,MATCH(ROWS($V$2:V285),$V$2:$V$1001,0),0), INDEX($AC$1004:$AS$1004,1,MATCH(COLUMNS($AC$1006:AJ1006),$AC$1006:$AS$1006,0)))),"Fix")))</f>
        <v>0</v>
      </c>
      <c r="J285" s="5">
        <f>IF(OR(INDEX($W$2:$W$1001,MATCH(ROWS($V$2:V285),$V$2:$V$1001,0),1)&gt;=100000,INDEX($AC$1005:$AS$1005,1,MATCH(COLUMNS($AC$1006:AK1006),$AC$1006:$AS$1006,0))&gt;=100000), " ",IF(INDEX($AC$2:$AS$1001,MATCH(ROWS($V$2:V285),$V$2:$V$1001,0),MATCH(COLUMNS($AC$1006:AK1006),$AC$1006:$AS$1006,0)), HYPERLINK("#",""), HYPERLINK(CONCATENATE("#Metadata!", ADDRESS(INDEX($X$2:$X$1001,MATCH(ROWS($V$2:V285),$V$2:$V$1001,0),0), INDEX($AC$1004:$AS$1004,1,MATCH(COLUMNS($AC$1006:AK1006),$AC$1006:$AS$1006,0)))),"Fix")))</f>
        <v>0</v>
      </c>
      <c r="K285" s="5">
        <f>IF(OR(INDEX($W$2:$W$1001,MATCH(ROWS($V$2:V285),$V$2:$V$1001,0),1)&gt;=100000,INDEX($AC$1005:$AS$1005,1,MATCH(COLUMNS($AC$1006:AL1006),$AC$1006:$AS$1006,0))&gt;=100000), " ",IF(INDEX($AC$2:$AS$1001,MATCH(ROWS($V$2:V285),$V$2:$V$1001,0),MATCH(COLUMNS($AC$1006:AL1006),$AC$1006:$AS$1006,0)), HYPERLINK("#",""), HYPERLINK(CONCATENATE("#Metadata!", ADDRESS(INDEX($X$2:$X$1001,MATCH(ROWS($V$2:V285),$V$2:$V$1001,0),0), INDEX($AC$1004:$AS$1004,1,MATCH(COLUMNS($AC$1006:AL1006),$AC$1006:$AS$1006,0)))),"Fix")))</f>
        <v>0</v>
      </c>
      <c r="L285" s="5">
        <f>IF(OR(INDEX($W$2:$W$1001,MATCH(ROWS($V$2:V285),$V$2:$V$1001,0),1)&gt;=100000,INDEX($AC$1005:$AS$1005,1,MATCH(COLUMNS($AC$1006:AM1006),$AC$1006:$AS$1006,0))&gt;=100000), " ",IF(INDEX($AC$2:$AS$1001,MATCH(ROWS($V$2:V285),$V$2:$V$1001,0),MATCH(COLUMNS($AC$1006:AM1006),$AC$1006:$AS$1006,0)), HYPERLINK("#",""), HYPERLINK(CONCATENATE("#Metadata!", ADDRESS(INDEX($X$2:$X$1001,MATCH(ROWS($V$2:V285),$V$2:$V$1001,0),0), INDEX($AC$1004:$AS$1004,1,MATCH(COLUMNS($AC$1006:AM1006),$AC$1006:$AS$1006,0)))),"Fix")))</f>
        <v>0</v>
      </c>
      <c r="M285" s="5">
        <f>IF(OR(INDEX($W$2:$W$1001,MATCH(ROWS($V$2:V285),$V$2:$V$1001,0),1)&gt;=100000,INDEX($AC$1005:$AS$1005,1,MATCH(COLUMNS($AC$1006:AN1006),$AC$1006:$AS$1006,0))&gt;=100000), " ",IF(INDEX($AC$2:$AS$1001,MATCH(ROWS($V$2:V285),$V$2:$V$1001,0),MATCH(COLUMNS($AC$1006:AN1006),$AC$1006:$AS$1006,0)), HYPERLINK("#",""), HYPERLINK(CONCATENATE("#Metadata!", ADDRESS(INDEX($X$2:$X$1001,MATCH(ROWS($V$2:V285),$V$2:$V$1001,0),0), INDEX($AC$1004:$AS$1004,1,MATCH(COLUMNS($AC$1006:AN1006),$AC$1006:$AS$1006,0)))),"Fix")))</f>
        <v>0</v>
      </c>
      <c r="N285" s="5">
        <f>IF(OR(INDEX($W$2:$W$1001,MATCH(ROWS($V$2:V285),$V$2:$V$1001,0),1)&gt;=100000,INDEX($AC$1005:$AS$1005,1,MATCH(COLUMNS($AC$1006:AO1006),$AC$1006:$AS$1006,0))&gt;=100000), " ",IF(INDEX($AC$2:$AS$1001,MATCH(ROWS($V$2:V285),$V$2:$V$1001,0),MATCH(COLUMNS($AC$1006:AO1006),$AC$1006:$AS$1006,0)), HYPERLINK("#",""), HYPERLINK(CONCATENATE("#Metadata!", ADDRESS(INDEX($X$2:$X$1001,MATCH(ROWS($V$2:V285),$V$2:$V$1001,0),0), INDEX($AC$1004:$AS$1004,1,MATCH(COLUMNS($AC$1006:AO1006),$AC$1006:$AS$1006,0)))),"Fix")))</f>
        <v>0</v>
      </c>
      <c r="O285" s="5">
        <f>IF(OR(INDEX($W$2:$W$1001,MATCH(ROWS($V$2:V285),$V$2:$V$1001,0),1)&gt;=100000,INDEX($AC$1005:$AS$1005,1,MATCH(COLUMNS($AC$1006:AP1006),$AC$1006:$AS$1006,0))&gt;=100000), " ",IF(INDEX($AC$2:$AS$1001,MATCH(ROWS($V$2:V285),$V$2:$V$1001,0),MATCH(COLUMNS($AC$1006:AP1006),$AC$1006:$AS$1006,0)), HYPERLINK("#",""), HYPERLINK(CONCATENATE("#Metadata!", ADDRESS(INDEX($X$2:$X$1001,MATCH(ROWS($V$2:V285),$V$2:$V$1001,0),0), INDEX($AC$1004:$AS$1004,1,MATCH(COLUMNS($AC$1006:AP1006),$AC$1006:$AS$1006,0)))),"Fix")))</f>
        <v>0</v>
      </c>
      <c r="P285" s="5">
        <f>IF(OR(INDEX($W$2:$W$1001,MATCH(ROWS($V$2:V285),$V$2:$V$1001,0),1)&gt;=100000,INDEX($AC$1005:$AS$1005,1,MATCH(COLUMNS($AC$1006:AQ1006),$AC$1006:$AS$1006,0))&gt;=100000), " ",IF(INDEX($AC$2:$AS$1001,MATCH(ROWS($V$2:V285),$V$2:$V$1001,0),MATCH(COLUMNS($AC$1006:AQ1006),$AC$1006:$AS$1006,0)), HYPERLINK("#",""), HYPERLINK(CONCATENATE("#Metadata!", ADDRESS(INDEX($X$2:$X$1001,MATCH(ROWS($V$2:V285),$V$2:$V$1001,0),0), INDEX($AC$1004:$AS$1004,1,MATCH(COLUMNS($AC$1006:AQ1006),$AC$1006:$AS$1006,0)))),"Fix")))</f>
        <v>0</v>
      </c>
      <c r="Q285" s="5">
        <f>IF(OR(INDEX($W$2:$W$1001,MATCH(ROWS($V$2:V285),$V$2:$V$1001,0),1)&gt;=100000,INDEX($AC$1005:$AS$1005,1,MATCH(COLUMNS($AC$1006:AR1006),$AC$1006:$AS$1006,0))&gt;=100000), " ",IF(INDEX($AC$2:$AS$1001,MATCH(ROWS($V$2:V285),$V$2:$V$1001,0),MATCH(COLUMNS($AC$1006:AR1006),$AC$1006:$AS$1006,0)), HYPERLINK("#",""), HYPERLINK(CONCATENATE("#Metadata!", ADDRESS(INDEX($X$2:$X$1001,MATCH(ROWS($V$2:V285),$V$2:$V$1001,0),0), INDEX($AC$1004:$AS$1004,1,MATCH(COLUMNS($AC$1006:AR1006),$AC$1006:$AS$1006,0)))),"Fix")))</f>
        <v>0</v>
      </c>
      <c r="R285" s="5">
        <f>IF(OR(INDEX($W$2:$W$1001,MATCH(ROWS($V$2:V285),$V$2:$V$1001,0),1)&gt;=100000,INDEX($AC$1005:$AS$1005,1,MATCH(COLUMNS($AC$1006:AS1006),$AC$1006:$AS$1006,0))&gt;=100000), " ",IF(INDEX($AC$2:$AS$1001,MATCH(ROWS($V$2:V285),$V$2:$V$1001,0),MATCH(COLUMNS($AC$1006:AS1006),$AC$1006:$AS$1006,0)), HYPERLINK("#",""), HYPERLINK(CONCATENATE("#Metadata!", ADDRESS(INDEX($X$2:$X$1001,MATCH(ROWS($V$2:V285),$V$2:$V$1001,0),0), INDEX($AC$1004:$AS$1004,1,MATCH(COLUMNS($AC$1006:AS1006),$AC$1006:$AS$1006,0)))),"Fix")))</f>
        <v>0</v>
      </c>
      <c r="V285">
        <v>0</v>
      </c>
      <c r="W285">
        <v>0</v>
      </c>
      <c r="X285">
        <v>0</v>
      </c>
      <c r="Y285">
        <f>IF(Z285,TRUE,AND(AC285:AS285))</f>
        <v>0</v>
      </c>
      <c r="Z285">
        <f>COUNTBLANK(Metadata!B285:R285)=COLUMNS(Metadata!B285:R285)</f>
        <v>0</v>
      </c>
      <c r="AA285">
        <v>0</v>
      </c>
      <c r="AC285">
        <f>AND(IF(Metadata!B285="",FALSE,TRUE),COUNTIF(Metadata!B:B, Metadata!B285) = 1,NOT(ISERROR(SUMPRODUCT(SEARCH(MID(Metadata!B285,ROW(INDIRECT("1:"&amp;LEN(Metadata!B285))), 1),"0123456789abcdefghijklmnopqrstuvwxyzABCDEFGHIJKLMNOPQRSTUVWXYZ.")))))</f>
        <v>0</v>
      </c>
      <c r="AD285">
        <f>AND(IF(Metadata!C285="",FALSE,TRUE),exact(Metadata!C285,"Host-associated"))</f>
        <v>0</v>
      </c>
      <c r="AE285">
        <f>AND(IF(Metadata!D285="",FALSE,TRUE),OR(exact(Metadata!D285,"Animal"),exact(Metadata!D285,"Fungus"),exact(Metadata!D285,"Plant")))</f>
        <v>0</v>
      </c>
      <c r="AF285">
        <f>AND(IF(Metadata!E285="",FALSE,TRUE),OR(exact(Metadata!E285,"Plant secretion"),exact(Metadata!E285,"Plant rhizosphere"),exact(Metadata!E285,"Plant surface"),exact(Metadata!E285,"Plant corpus"),exact(Metadata!E285,"Fungus surface"),exact(Metadata!E285,"Fungus corpus"),exact(Metadata!E285,"Animal surface"),exact(Metadata!E285,"Animal proximal gut"),exact(Metadata!E285,"Animal corpus"),exact(Metadata!E285,"Animal distal gut"),exact(Metadata!E285,"Animal secretion")))</f>
        <v>0</v>
      </c>
      <c r="AG285">
        <f>OR(AND(IF(Metadata!F285="",FALSE,TRUE),OR(exact(Metadata!F285,"not collected"),exact(Metadata!F285,"not provided"),exact(Metadata!F285,"restricted access"))),AND(IF(Metadata!F285="",FALSE,TRUE),OR(exact(Metadata!F285,"organism-associated habitat"),exact(Metadata!F285,"plant-associated habitat"),exact(Metadata!F285,"animal-associated habitat"),exact(Metadata!F285,"insecta-associated habitat"),exact(Metadata!F285,"mammalia-associated habitat"),exact(Metadata!F285,"human-associated habitat"),exact(Metadata!F285,"livestock-associated habitat"))))</f>
        <v>0</v>
      </c>
      <c r="AH285">
        <f>AND(IF(Metadata!G285="",FALSE,TRUE),exact(Metadata!G285,"host-associated"))</f>
        <v>0</v>
      </c>
      <c r="AI285">
        <f>OR(AND(IF(Metadata!H285="",FALSE,TRUE),OR(exact(Metadata!H285,"not collected"),exact(Metadata!H285,"not provided"))),AND(IF(Metadata!H285="",FALSE,ISNUMBER(VALUE(Metadata!H285))),Metadata!H285&gt;0))</f>
        <v>0</v>
      </c>
      <c r="AJ285">
        <f>AND(IF(Metadata!I285="",FALSE,TRUE),exact(Metadata!I285,"years"))</f>
        <v>0</v>
      </c>
      <c r="AK285">
        <f>IF(Metadata!J285="",FALSE,TRUE)</f>
        <v>0</v>
      </c>
      <c r="AL285">
        <f>OR(AND(IF(Metadata!K285="",FALSE,TRUE),OR(exact(Metadata!K285,"not collected"),exact(Metadata!K285,"not provided"))),AND(IF(Metadata!K285="",FALSE,ISNUMBER(VALUE(Metadata!K285))),Metadata!K285&gt;0))</f>
        <v>0</v>
      </c>
      <c r="AM285">
        <f>AND(IF(Metadata!L285="",FALSE,TRUE),exact(Metadata!L285,"cm"))</f>
        <v>0</v>
      </c>
      <c r="AN285">
        <f>IF(Metadata!M285="",FALSE,TRUE)</f>
        <v>0</v>
      </c>
      <c r="AO285">
        <f>OR(AND(IF(Metadata!N285="",FALSE,TRUE),OR(exact(Metadata!N285,"not applicable"),exact(Metadata!N285,"not collected"),exact(Metadata!N285,"not provided"))),AND(IF(Metadata!N285="",FALSE,IF(ISERROR(INT(Metadata!N285)),FALSE,INT(Metadata!N285)=Metadata!N285)),Metadata!N285&gt;0))</f>
        <v>0</v>
      </c>
      <c r="AP285">
        <f>OR(AND(IF(Metadata!O285="",FALSE,TRUE),OR(exact(Metadata!O285,"not collected"),exact(Metadata!O285,"not provided"))),AND(IF(Metadata!O285="",FALSE,ISNUMBER(VALUE(Metadata!O285))),Metadata!O285&gt;0))</f>
        <v>0</v>
      </c>
      <c r="AQ285">
        <f>AND(IF(Metadata!P285="",FALSE,TRUE),exact(Metadata!P285,"kg"))</f>
        <v>0</v>
      </c>
      <c r="AR285">
        <f>OR(AND(IF(Metadata!Q285="",FALSE,TRUE),OR(exact(Metadata!Q285,"not applicable"),exact(Metadata!Q285,"not collected"),exact(Metadata!Q285,"not provided"),exact(Metadata!Q285,"restricted access"))),IF(Metadata!Q285="",FALSE,IF(ISERROR(INT(Metadata!Q285)),FALSE,INT(Metadata!Q285)=Metadata!Q285)))</f>
        <v>0</v>
      </c>
      <c r="AS285">
        <f>AND(IF(Metadata!R285="",FALSE,TRUE),exact(Metadata!R285,"Not applicable"))</f>
        <v>0</v>
      </c>
    </row>
    <row r="286" spans="1:45">
      <c r="A286" s="4">
        <f>IF(B286=" "," ",HYPERLINK(CONCATENATE("#metadata!",ADDRESS(INDEX($X$2:$X$1001,MATCH(ROWS($V$2:V286),$V$2:$V$1001,0),0),2)),INDEX($AA$2:$AA$1001,MATCH(ROWS($V$2:V286),$V$2:$V$1001,0),0)))</f>
        <v>0</v>
      </c>
      <c r="B286" s="5">
        <f>IF(OR(INDEX($W$2:$W$1001,MATCH(ROWS($V$2:V286),$V$2:$V$1001,0),1)&gt;=100000,INDEX($AC$1005:$AS$1005,1,MATCH(COLUMNS($AC$1006:AC1006),$AC$1006:$AS$1006,0))&gt;=100000), " ",IF(INDEX($AC$2:$AS$1001,MATCH(ROWS($V$2:V286),$V$2:$V$1001,0),MATCH(COLUMNS($AC$1006:AC1006),$AC$1006:$AS$1006,0)), HYPERLINK("#",""), HYPERLINK(CONCATENATE("#Metadata!", ADDRESS(INDEX($X$2:$X$1001,MATCH(ROWS($V$2:V286),$V$2:$V$1001,0),0), INDEX($AC$1004:$AS$1004,1,MATCH(COLUMNS($AC$1006:AC1006),$AC$1006:$AS$1006,0)))),"Fix")))</f>
        <v>0</v>
      </c>
      <c r="C286" s="5">
        <f>IF(OR(INDEX($W$2:$W$1001,MATCH(ROWS($V$2:V286),$V$2:$V$1001,0),1)&gt;=100000,INDEX($AC$1005:$AS$1005,1,MATCH(COLUMNS($AC$1006:AD1006),$AC$1006:$AS$1006,0))&gt;=100000), " ",IF(INDEX($AC$2:$AS$1001,MATCH(ROWS($V$2:V286),$V$2:$V$1001,0),MATCH(COLUMNS($AC$1006:AD1006),$AC$1006:$AS$1006,0)), HYPERLINK("#",""), HYPERLINK(CONCATENATE("#Metadata!", ADDRESS(INDEX($X$2:$X$1001,MATCH(ROWS($V$2:V286),$V$2:$V$1001,0),0), INDEX($AC$1004:$AS$1004,1,MATCH(COLUMNS($AC$1006:AD1006),$AC$1006:$AS$1006,0)))),"Fix")))</f>
        <v>0</v>
      </c>
      <c r="D286" s="5">
        <f>IF(OR(INDEX($W$2:$W$1001,MATCH(ROWS($V$2:V286),$V$2:$V$1001,0),1)&gt;=100000,INDEX($AC$1005:$AS$1005,1,MATCH(COLUMNS($AC$1006:AE1006),$AC$1006:$AS$1006,0))&gt;=100000), " ",IF(INDEX($AC$2:$AS$1001,MATCH(ROWS($V$2:V286),$V$2:$V$1001,0),MATCH(COLUMNS($AC$1006:AE1006),$AC$1006:$AS$1006,0)), HYPERLINK("#",""), HYPERLINK(CONCATENATE("#Metadata!", ADDRESS(INDEX($X$2:$X$1001,MATCH(ROWS($V$2:V286),$V$2:$V$1001,0),0), INDEX($AC$1004:$AS$1004,1,MATCH(COLUMNS($AC$1006:AE1006),$AC$1006:$AS$1006,0)))),"Fix")))</f>
        <v>0</v>
      </c>
      <c r="E286" s="5">
        <f>IF(OR(INDEX($W$2:$W$1001,MATCH(ROWS($V$2:V286),$V$2:$V$1001,0),1)&gt;=100000,INDEX($AC$1005:$AS$1005,1,MATCH(COLUMNS($AC$1006:AF1006),$AC$1006:$AS$1006,0))&gt;=100000), " ",IF(INDEX($AC$2:$AS$1001,MATCH(ROWS($V$2:V286),$V$2:$V$1001,0),MATCH(COLUMNS($AC$1006:AF1006),$AC$1006:$AS$1006,0)), HYPERLINK("#",""), HYPERLINK(CONCATENATE("#Metadata!", ADDRESS(INDEX($X$2:$X$1001,MATCH(ROWS($V$2:V286),$V$2:$V$1001,0),0), INDEX($AC$1004:$AS$1004,1,MATCH(COLUMNS($AC$1006:AF1006),$AC$1006:$AS$1006,0)))),"Fix")))</f>
        <v>0</v>
      </c>
      <c r="F286" s="5">
        <f>IF(OR(INDEX($W$2:$W$1001,MATCH(ROWS($V$2:V286),$V$2:$V$1001,0),1)&gt;=100000,INDEX($AC$1005:$AS$1005,1,MATCH(COLUMNS($AC$1006:AG1006),$AC$1006:$AS$1006,0))&gt;=100000), " ",IF(INDEX($AC$2:$AS$1001,MATCH(ROWS($V$2:V286),$V$2:$V$1001,0),MATCH(COLUMNS($AC$1006:AG1006),$AC$1006:$AS$1006,0)), HYPERLINK("#",""), HYPERLINK(CONCATENATE("#Metadata!", ADDRESS(INDEX($X$2:$X$1001,MATCH(ROWS($V$2:V286),$V$2:$V$1001,0),0), INDEX($AC$1004:$AS$1004,1,MATCH(COLUMNS($AC$1006:AG1006),$AC$1006:$AS$1006,0)))),"Fix")))</f>
        <v>0</v>
      </c>
      <c r="G286" s="5">
        <f>IF(OR(INDEX($W$2:$W$1001,MATCH(ROWS($V$2:V286),$V$2:$V$1001,0),1)&gt;=100000,INDEX($AC$1005:$AS$1005,1,MATCH(COLUMNS($AC$1006:AH1006),$AC$1006:$AS$1006,0))&gt;=100000), " ",IF(INDEX($AC$2:$AS$1001,MATCH(ROWS($V$2:V286),$V$2:$V$1001,0),MATCH(COLUMNS($AC$1006:AH1006),$AC$1006:$AS$1006,0)), HYPERLINK("#",""), HYPERLINK(CONCATENATE("#Metadata!", ADDRESS(INDEX($X$2:$X$1001,MATCH(ROWS($V$2:V286),$V$2:$V$1001,0),0), INDEX($AC$1004:$AS$1004,1,MATCH(COLUMNS($AC$1006:AH1006),$AC$1006:$AS$1006,0)))),"Fix")))</f>
        <v>0</v>
      </c>
      <c r="H286" s="5">
        <f>IF(OR(INDEX($W$2:$W$1001,MATCH(ROWS($V$2:V286),$V$2:$V$1001,0),1)&gt;=100000,INDEX($AC$1005:$AS$1005,1,MATCH(COLUMNS($AC$1006:AI1006),$AC$1006:$AS$1006,0))&gt;=100000), " ",IF(INDEX($AC$2:$AS$1001,MATCH(ROWS($V$2:V286),$V$2:$V$1001,0),MATCH(COLUMNS($AC$1006:AI1006),$AC$1006:$AS$1006,0)), HYPERLINK("#",""), HYPERLINK(CONCATENATE("#Metadata!", ADDRESS(INDEX($X$2:$X$1001,MATCH(ROWS($V$2:V286),$V$2:$V$1001,0),0), INDEX($AC$1004:$AS$1004,1,MATCH(COLUMNS($AC$1006:AI1006),$AC$1006:$AS$1006,0)))),"Fix")))</f>
        <v>0</v>
      </c>
      <c r="I286" s="5">
        <f>IF(OR(INDEX($W$2:$W$1001,MATCH(ROWS($V$2:V286),$V$2:$V$1001,0),1)&gt;=100000,INDEX($AC$1005:$AS$1005,1,MATCH(COLUMNS($AC$1006:AJ1006),$AC$1006:$AS$1006,0))&gt;=100000), " ",IF(INDEX($AC$2:$AS$1001,MATCH(ROWS($V$2:V286),$V$2:$V$1001,0),MATCH(COLUMNS($AC$1006:AJ1006),$AC$1006:$AS$1006,0)), HYPERLINK("#",""), HYPERLINK(CONCATENATE("#Metadata!", ADDRESS(INDEX($X$2:$X$1001,MATCH(ROWS($V$2:V286),$V$2:$V$1001,0),0), INDEX($AC$1004:$AS$1004,1,MATCH(COLUMNS($AC$1006:AJ1006),$AC$1006:$AS$1006,0)))),"Fix")))</f>
        <v>0</v>
      </c>
      <c r="J286" s="5">
        <f>IF(OR(INDEX($W$2:$W$1001,MATCH(ROWS($V$2:V286),$V$2:$V$1001,0),1)&gt;=100000,INDEX($AC$1005:$AS$1005,1,MATCH(COLUMNS($AC$1006:AK1006),$AC$1006:$AS$1006,0))&gt;=100000), " ",IF(INDEX($AC$2:$AS$1001,MATCH(ROWS($V$2:V286),$V$2:$V$1001,0),MATCH(COLUMNS($AC$1006:AK1006),$AC$1006:$AS$1006,0)), HYPERLINK("#",""), HYPERLINK(CONCATENATE("#Metadata!", ADDRESS(INDEX($X$2:$X$1001,MATCH(ROWS($V$2:V286),$V$2:$V$1001,0),0), INDEX($AC$1004:$AS$1004,1,MATCH(COLUMNS($AC$1006:AK1006),$AC$1006:$AS$1006,0)))),"Fix")))</f>
        <v>0</v>
      </c>
      <c r="K286" s="5">
        <f>IF(OR(INDEX($W$2:$W$1001,MATCH(ROWS($V$2:V286),$V$2:$V$1001,0),1)&gt;=100000,INDEX($AC$1005:$AS$1005,1,MATCH(COLUMNS($AC$1006:AL1006),$AC$1006:$AS$1006,0))&gt;=100000), " ",IF(INDEX($AC$2:$AS$1001,MATCH(ROWS($V$2:V286),$V$2:$V$1001,0),MATCH(COLUMNS($AC$1006:AL1006),$AC$1006:$AS$1006,0)), HYPERLINK("#",""), HYPERLINK(CONCATENATE("#Metadata!", ADDRESS(INDEX($X$2:$X$1001,MATCH(ROWS($V$2:V286),$V$2:$V$1001,0),0), INDEX($AC$1004:$AS$1004,1,MATCH(COLUMNS($AC$1006:AL1006),$AC$1006:$AS$1006,0)))),"Fix")))</f>
        <v>0</v>
      </c>
      <c r="L286" s="5">
        <f>IF(OR(INDEX($W$2:$W$1001,MATCH(ROWS($V$2:V286),$V$2:$V$1001,0),1)&gt;=100000,INDEX($AC$1005:$AS$1005,1,MATCH(COLUMNS($AC$1006:AM1006),$AC$1006:$AS$1006,0))&gt;=100000), " ",IF(INDEX($AC$2:$AS$1001,MATCH(ROWS($V$2:V286),$V$2:$V$1001,0),MATCH(COLUMNS($AC$1006:AM1006),$AC$1006:$AS$1006,0)), HYPERLINK("#",""), HYPERLINK(CONCATENATE("#Metadata!", ADDRESS(INDEX($X$2:$X$1001,MATCH(ROWS($V$2:V286),$V$2:$V$1001,0),0), INDEX($AC$1004:$AS$1004,1,MATCH(COLUMNS($AC$1006:AM1006),$AC$1006:$AS$1006,0)))),"Fix")))</f>
        <v>0</v>
      </c>
      <c r="M286" s="5">
        <f>IF(OR(INDEX($W$2:$W$1001,MATCH(ROWS($V$2:V286),$V$2:$V$1001,0),1)&gt;=100000,INDEX($AC$1005:$AS$1005,1,MATCH(COLUMNS($AC$1006:AN1006),$AC$1006:$AS$1006,0))&gt;=100000), " ",IF(INDEX($AC$2:$AS$1001,MATCH(ROWS($V$2:V286),$V$2:$V$1001,0),MATCH(COLUMNS($AC$1006:AN1006),$AC$1006:$AS$1006,0)), HYPERLINK("#",""), HYPERLINK(CONCATENATE("#Metadata!", ADDRESS(INDEX($X$2:$X$1001,MATCH(ROWS($V$2:V286),$V$2:$V$1001,0),0), INDEX($AC$1004:$AS$1004,1,MATCH(COLUMNS($AC$1006:AN1006),$AC$1006:$AS$1006,0)))),"Fix")))</f>
        <v>0</v>
      </c>
      <c r="N286" s="5">
        <f>IF(OR(INDEX($W$2:$W$1001,MATCH(ROWS($V$2:V286),$V$2:$V$1001,0),1)&gt;=100000,INDEX($AC$1005:$AS$1005,1,MATCH(COLUMNS($AC$1006:AO1006),$AC$1006:$AS$1006,0))&gt;=100000), " ",IF(INDEX($AC$2:$AS$1001,MATCH(ROWS($V$2:V286),$V$2:$V$1001,0),MATCH(COLUMNS($AC$1006:AO1006),$AC$1006:$AS$1006,0)), HYPERLINK("#",""), HYPERLINK(CONCATENATE("#Metadata!", ADDRESS(INDEX($X$2:$X$1001,MATCH(ROWS($V$2:V286),$V$2:$V$1001,0),0), INDEX($AC$1004:$AS$1004,1,MATCH(COLUMNS($AC$1006:AO1006),$AC$1006:$AS$1006,0)))),"Fix")))</f>
        <v>0</v>
      </c>
      <c r="O286" s="5">
        <f>IF(OR(INDEX($W$2:$W$1001,MATCH(ROWS($V$2:V286),$V$2:$V$1001,0),1)&gt;=100000,INDEX($AC$1005:$AS$1005,1,MATCH(COLUMNS($AC$1006:AP1006),$AC$1006:$AS$1006,0))&gt;=100000), " ",IF(INDEX($AC$2:$AS$1001,MATCH(ROWS($V$2:V286),$V$2:$V$1001,0),MATCH(COLUMNS($AC$1006:AP1006),$AC$1006:$AS$1006,0)), HYPERLINK("#",""), HYPERLINK(CONCATENATE("#Metadata!", ADDRESS(INDEX($X$2:$X$1001,MATCH(ROWS($V$2:V286),$V$2:$V$1001,0),0), INDEX($AC$1004:$AS$1004,1,MATCH(COLUMNS($AC$1006:AP1006),$AC$1006:$AS$1006,0)))),"Fix")))</f>
        <v>0</v>
      </c>
      <c r="P286" s="5">
        <f>IF(OR(INDEX($W$2:$W$1001,MATCH(ROWS($V$2:V286),$V$2:$V$1001,0),1)&gt;=100000,INDEX($AC$1005:$AS$1005,1,MATCH(COLUMNS($AC$1006:AQ1006),$AC$1006:$AS$1006,0))&gt;=100000), " ",IF(INDEX($AC$2:$AS$1001,MATCH(ROWS($V$2:V286),$V$2:$V$1001,0),MATCH(COLUMNS($AC$1006:AQ1006),$AC$1006:$AS$1006,0)), HYPERLINK("#",""), HYPERLINK(CONCATENATE("#Metadata!", ADDRESS(INDEX($X$2:$X$1001,MATCH(ROWS($V$2:V286),$V$2:$V$1001,0),0), INDEX($AC$1004:$AS$1004,1,MATCH(COLUMNS($AC$1006:AQ1006),$AC$1006:$AS$1006,0)))),"Fix")))</f>
        <v>0</v>
      </c>
      <c r="Q286" s="5">
        <f>IF(OR(INDEX($W$2:$W$1001,MATCH(ROWS($V$2:V286),$V$2:$V$1001,0),1)&gt;=100000,INDEX($AC$1005:$AS$1005,1,MATCH(COLUMNS($AC$1006:AR1006),$AC$1006:$AS$1006,0))&gt;=100000), " ",IF(INDEX($AC$2:$AS$1001,MATCH(ROWS($V$2:V286),$V$2:$V$1001,0),MATCH(COLUMNS($AC$1006:AR1006),$AC$1006:$AS$1006,0)), HYPERLINK("#",""), HYPERLINK(CONCATENATE("#Metadata!", ADDRESS(INDEX($X$2:$X$1001,MATCH(ROWS($V$2:V286),$V$2:$V$1001,0),0), INDEX($AC$1004:$AS$1004,1,MATCH(COLUMNS($AC$1006:AR1006),$AC$1006:$AS$1006,0)))),"Fix")))</f>
        <v>0</v>
      </c>
      <c r="R286" s="5">
        <f>IF(OR(INDEX($W$2:$W$1001,MATCH(ROWS($V$2:V286),$V$2:$V$1001,0),1)&gt;=100000,INDEX($AC$1005:$AS$1005,1,MATCH(COLUMNS($AC$1006:AS1006),$AC$1006:$AS$1006,0))&gt;=100000), " ",IF(INDEX($AC$2:$AS$1001,MATCH(ROWS($V$2:V286),$V$2:$V$1001,0),MATCH(COLUMNS($AC$1006:AS1006),$AC$1006:$AS$1006,0)), HYPERLINK("#",""), HYPERLINK(CONCATENATE("#Metadata!", ADDRESS(INDEX($X$2:$X$1001,MATCH(ROWS($V$2:V286),$V$2:$V$1001,0),0), INDEX($AC$1004:$AS$1004,1,MATCH(COLUMNS($AC$1006:AS1006),$AC$1006:$AS$1006,0)))),"Fix")))</f>
        <v>0</v>
      </c>
      <c r="V286">
        <v>0</v>
      </c>
      <c r="W286">
        <v>0</v>
      </c>
      <c r="X286">
        <v>0</v>
      </c>
      <c r="Y286">
        <f>IF(Z286,TRUE,AND(AC286:AS286))</f>
        <v>0</v>
      </c>
      <c r="Z286">
        <f>COUNTBLANK(Metadata!B286:R286)=COLUMNS(Metadata!B286:R286)</f>
        <v>0</v>
      </c>
      <c r="AA286">
        <v>0</v>
      </c>
      <c r="AC286">
        <f>AND(IF(Metadata!B286="",FALSE,TRUE),COUNTIF(Metadata!B:B, Metadata!B286) = 1,NOT(ISERROR(SUMPRODUCT(SEARCH(MID(Metadata!B286,ROW(INDIRECT("1:"&amp;LEN(Metadata!B286))), 1),"0123456789abcdefghijklmnopqrstuvwxyzABCDEFGHIJKLMNOPQRSTUVWXYZ.")))))</f>
        <v>0</v>
      </c>
      <c r="AD286">
        <f>AND(IF(Metadata!C286="",FALSE,TRUE),exact(Metadata!C286,"Host-associated"))</f>
        <v>0</v>
      </c>
      <c r="AE286">
        <f>AND(IF(Metadata!D286="",FALSE,TRUE),OR(exact(Metadata!D286,"Animal"),exact(Metadata!D286,"Fungus"),exact(Metadata!D286,"Plant")))</f>
        <v>0</v>
      </c>
      <c r="AF286">
        <f>AND(IF(Metadata!E286="",FALSE,TRUE),OR(exact(Metadata!E286,"Plant secretion"),exact(Metadata!E286,"Plant rhizosphere"),exact(Metadata!E286,"Plant surface"),exact(Metadata!E286,"Plant corpus"),exact(Metadata!E286,"Fungus surface"),exact(Metadata!E286,"Fungus corpus"),exact(Metadata!E286,"Animal surface"),exact(Metadata!E286,"Animal proximal gut"),exact(Metadata!E286,"Animal corpus"),exact(Metadata!E286,"Animal distal gut"),exact(Metadata!E286,"Animal secretion")))</f>
        <v>0</v>
      </c>
      <c r="AG286">
        <f>OR(AND(IF(Metadata!F286="",FALSE,TRUE),OR(exact(Metadata!F286,"not collected"),exact(Metadata!F286,"not provided"),exact(Metadata!F286,"restricted access"))),AND(IF(Metadata!F286="",FALSE,TRUE),OR(exact(Metadata!F286,"organism-associated habitat"),exact(Metadata!F286,"plant-associated habitat"),exact(Metadata!F286,"animal-associated habitat"),exact(Metadata!F286,"insecta-associated habitat"),exact(Metadata!F286,"mammalia-associated habitat"),exact(Metadata!F286,"human-associated habitat"),exact(Metadata!F286,"livestock-associated habitat"))))</f>
        <v>0</v>
      </c>
      <c r="AH286">
        <f>AND(IF(Metadata!G286="",FALSE,TRUE),exact(Metadata!G286,"host-associated"))</f>
        <v>0</v>
      </c>
      <c r="AI286">
        <f>OR(AND(IF(Metadata!H286="",FALSE,TRUE),OR(exact(Metadata!H286,"not collected"),exact(Metadata!H286,"not provided"))),AND(IF(Metadata!H286="",FALSE,ISNUMBER(VALUE(Metadata!H286))),Metadata!H286&gt;0))</f>
        <v>0</v>
      </c>
      <c r="AJ286">
        <f>AND(IF(Metadata!I286="",FALSE,TRUE),exact(Metadata!I286,"years"))</f>
        <v>0</v>
      </c>
      <c r="AK286">
        <f>IF(Metadata!J286="",FALSE,TRUE)</f>
        <v>0</v>
      </c>
      <c r="AL286">
        <f>OR(AND(IF(Metadata!K286="",FALSE,TRUE),OR(exact(Metadata!K286,"not collected"),exact(Metadata!K286,"not provided"))),AND(IF(Metadata!K286="",FALSE,ISNUMBER(VALUE(Metadata!K286))),Metadata!K286&gt;0))</f>
        <v>0</v>
      </c>
      <c r="AM286">
        <f>AND(IF(Metadata!L286="",FALSE,TRUE),exact(Metadata!L286,"cm"))</f>
        <v>0</v>
      </c>
      <c r="AN286">
        <f>IF(Metadata!M286="",FALSE,TRUE)</f>
        <v>0</v>
      </c>
      <c r="AO286">
        <f>OR(AND(IF(Metadata!N286="",FALSE,TRUE),OR(exact(Metadata!N286,"not applicable"),exact(Metadata!N286,"not collected"),exact(Metadata!N286,"not provided"))),AND(IF(Metadata!N286="",FALSE,IF(ISERROR(INT(Metadata!N286)),FALSE,INT(Metadata!N286)=Metadata!N286)),Metadata!N286&gt;0))</f>
        <v>0</v>
      </c>
      <c r="AP286">
        <f>OR(AND(IF(Metadata!O286="",FALSE,TRUE),OR(exact(Metadata!O286,"not collected"),exact(Metadata!O286,"not provided"))),AND(IF(Metadata!O286="",FALSE,ISNUMBER(VALUE(Metadata!O286))),Metadata!O286&gt;0))</f>
        <v>0</v>
      </c>
      <c r="AQ286">
        <f>AND(IF(Metadata!P286="",FALSE,TRUE),exact(Metadata!P286,"kg"))</f>
        <v>0</v>
      </c>
      <c r="AR286">
        <f>OR(AND(IF(Metadata!Q286="",FALSE,TRUE),OR(exact(Metadata!Q286,"not applicable"),exact(Metadata!Q286,"not collected"),exact(Metadata!Q286,"not provided"),exact(Metadata!Q286,"restricted access"))),IF(Metadata!Q286="",FALSE,IF(ISERROR(INT(Metadata!Q286)),FALSE,INT(Metadata!Q286)=Metadata!Q286)))</f>
        <v>0</v>
      </c>
      <c r="AS286">
        <f>AND(IF(Metadata!R286="",FALSE,TRUE),exact(Metadata!R286,"Not applicable"))</f>
        <v>0</v>
      </c>
    </row>
    <row r="287" spans="1:45">
      <c r="A287" s="4">
        <f>IF(B287=" "," ",HYPERLINK(CONCATENATE("#metadata!",ADDRESS(INDEX($X$2:$X$1001,MATCH(ROWS($V$2:V287),$V$2:$V$1001,0),0),2)),INDEX($AA$2:$AA$1001,MATCH(ROWS($V$2:V287),$V$2:$V$1001,0),0)))</f>
        <v>0</v>
      </c>
      <c r="B287" s="5">
        <f>IF(OR(INDEX($W$2:$W$1001,MATCH(ROWS($V$2:V287),$V$2:$V$1001,0),1)&gt;=100000,INDEX($AC$1005:$AS$1005,1,MATCH(COLUMNS($AC$1006:AC1006),$AC$1006:$AS$1006,0))&gt;=100000), " ",IF(INDEX($AC$2:$AS$1001,MATCH(ROWS($V$2:V287),$V$2:$V$1001,0),MATCH(COLUMNS($AC$1006:AC1006),$AC$1006:$AS$1006,0)), HYPERLINK("#",""), HYPERLINK(CONCATENATE("#Metadata!", ADDRESS(INDEX($X$2:$X$1001,MATCH(ROWS($V$2:V287),$V$2:$V$1001,0),0), INDEX($AC$1004:$AS$1004,1,MATCH(COLUMNS($AC$1006:AC1006),$AC$1006:$AS$1006,0)))),"Fix")))</f>
        <v>0</v>
      </c>
      <c r="C287" s="5">
        <f>IF(OR(INDEX($W$2:$W$1001,MATCH(ROWS($V$2:V287),$V$2:$V$1001,0),1)&gt;=100000,INDEX($AC$1005:$AS$1005,1,MATCH(COLUMNS($AC$1006:AD1006),$AC$1006:$AS$1006,0))&gt;=100000), " ",IF(INDEX($AC$2:$AS$1001,MATCH(ROWS($V$2:V287),$V$2:$V$1001,0),MATCH(COLUMNS($AC$1006:AD1006),$AC$1006:$AS$1006,0)), HYPERLINK("#",""), HYPERLINK(CONCATENATE("#Metadata!", ADDRESS(INDEX($X$2:$X$1001,MATCH(ROWS($V$2:V287),$V$2:$V$1001,0),0), INDEX($AC$1004:$AS$1004,1,MATCH(COLUMNS($AC$1006:AD1006),$AC$1006:$AS$1006,0)))),"Fix")))</f>
        <v>0</v>
      </c>
      <c r="D287" s="5">
        <f>IF(OR(INDEX($W$2:$W$1001,MATCH(ROWS($V$2:V287),$V$2:$V$1001,0),1)&gt;=100000,INDEX($AC$1005:$AS$1005,1,MATCH(COLUMNS($AC$1006:AE1006),$AC$1006:$AS$1006,0))&gt;=100000), " ",IF(INDEX($AC$2:$AS$1001,MATCH(ROWS($V$2:V287),$V$2:$V$1001,0),MATCH(COLUMNS($AC$1006:AE1006),$AC$1006:$AS$1006,0)), HYPERLINK("#",""), HYPERLINK(CONCATENATE("#Metadata!", ADDRESS(INDEX($X$2:$X$1001,MATCH(ROWS($V$2:V287),$V$2:$V$1001,0),0), INDEX($AC$1004:$AS$1004,1,MATCH(COLUMNS($AC$1006:AE1006),$AC$1006:$AS$1006,0)))),"Fix")))</f>
        <v>0</v>
      </c>
      <c r="E287" s="5">
        <f>IF(OR(INDEX($W$2:$W$1001,MATCH(ROWS($V$2:V287),$V$2:$V$1001,0),1)&gt;=100000,INDEX($AC$1005:$AS$1005,1,MATCH(COLUMNS($AC$1006:AF1006),$AC$1006:$AS$1006,0))&gt;=100000), " ",IF(INDEX($AC$2:$AS$1001,MATCH(ROWS($V$2:V287),$V$2:$V$1001,0),MATCH(COLUMNS($AC$1006:AF1006),$AC$1006:$AS$1006,0)), HYPERLINK("#",""), HYPERLINK(CONCATENATE("#Metadata!", ADDRESS(INDEX($X$2:$X$1001,MATCH(ROWS($V$2:V287),$V$2:$V$1001,0),0), INDEX($AC$1004:$AS$1004,1,MATCH(COLUMNS($AC$1006:AF1006),$AC$1006:$AS$1006,0)))),"Fix")))</f>
        <v>0</v>
      </c>
      <c r="F287" s="5">
        <f>IF(OR(INDEX($W$2:$W$1001,MATCH(ROWS($V$2:V287),$V$2:$V$1001,0),1)&gt;=100000,INDEX($AC$1005:$AS$1005,1,MATCH(COLUMNS($AC$1006:AG1006),$AC$1006:$AS$1006,0))&gt;=100000), " ",IF(INDEX($AC$2:$AS$1001,MATCH(ROWS($V$2:V287),$V$2:$V$1001,0),MATCH(COLUMNS($AC$1006:AG1006),$AC$1006:$AS$1006,0)), HYPERLINK("#",""), HYPERLINK(CONCATENATE("#Metadata!", ADDRESS(INDEX($X$2:$X$1001,MATCH(ROWS($V$2:V287),$V$2:$V$1001,0),0), INDEX($AC$1004:$AS$1004,1,MATCH(COLUMNS($AC$1006:AG1006),$AC$1006:$AS$1006,0)))),"Fix")))</f>
        <v>0</v>
      </c>
      <c r="G287" s="5">
        <f>IF(OR(INDEX($W$2:$W$1001,MATCH(ROWS($V$2:V287),$V$2:$V$1001,0),1)&gt;=100000,INDEX($AC$1005:$AS$1005,1,MATCH(COLUMNS($AC$1006:AH1006),$AC$1006:$AS$1006,0))&gt;=100000), " ",IF(INDEX($AC$2:$AS$1001,MATCH(ROWS($V$2:V287),$V$2:$V$1001,0),MATCH(COLUMNS($AC$1006:AH1006),$AC$1006:$AS$1006,0)), HYPERLINK("#",""), HYPERLINK(CONCATENATE("#Metadata!", ADDRESS(INDEX($X$2:$X$1001,MATCH(ROWS($V$2:V287),$V$2:$V$1001,0),0), INDEX($AC$1004:$AS$1004,1,MATCH(COLUMNS($AC$1006:AH1006),$AC$1006:$AS$1006,0)))),"Fix")))</f>
        <v>0</v>
      </c>
      <c r="H287" s="5">
        <f>IF(OR(INDEX($W$2:$W$1001,MATCH(ROWS($V$2:V287),$V$2:$V$1001,0),1)&gt;=100000,INDEX($AC$1005:$AS$1005,1,MATCH(COLUMNS($AC$1006:AI1006),$AC$1006:$AS$1006,0))&gt;=100000), " ",IF(INDEX($AC$2:$AS$1001,MATCH(ROWS($V$2:V287),$V$2:$V$1001,0),MATCH(COLUMNS($AC$1006:AI1006),$AC$1006:$AS$1006,0)), HYPERLINK("#",""), HYPERLINK(CONCATENATE("#Metadata!", ADDRESS(INDEX($X$2:$X$1001,MATCH(ROWS($V$2:V287),$V$2:$V$1001,0),0), INDEX($AC$1004:$AS$1004,1,MATCH(COLUMNS($AC$1006:AI1006),$AC$1006:$AS$1006,0)))),"Fix")))</f>
        <v>0</v>
      </c>
      <c r="I287" s="5">
        <f>IF(OR(INDEX($W$2:$W$1001,MATCH(ROWS($V$2:V287),$V$2:$V$1001,0),1)&gt;=100000,INDEX($AC$1005:$AS$1005,1,MATCH(COLUMNS($AC$1006:AJ1006),$AC$1006:$AS$1006,0))&gt;=100000), " ",IF(INDEX($AC$2:$AS$1001,MATCH(ROWS($V$2:V287),$V$2:$V$1001,0),MATCH(COLUMNS($AC$1006:AJ1006),$AC$1006:$AS$1006,0)), HYPERLINK("#",""), HYPERLINK(CONCATENATE("#Metadata!", ADDRESS(INDEX($X$2:$X$1001,MATCH(ROWS($V$2:V287),$V$2:$V$1001,0),0), INDEX($AC$1004:$AS$1004,1,MATCH(COLUMNS($AC$1006:AJ1006),$AC$1006:$AS$1006,0)))),"Fix")))</f>
        <v>0</v>
      </c>
      <c r="J287" s="5">
        <f>IF(OR(INDEX($W$2:$W$1001,MATCH(ROWS($V$2:V287),$V$2:$V$1001,0),1)&gt;=100000,INDEX($AC$1005:$AS$1005,1,MATCH(COLUMNS($AC$1006:AK1006),$AC$1006:$AS$1006,0))&gt;=100000), " ",IF(INDEX($AC$2:$AS$1001,MATCH(ROWS($V$2:V287),$V$2:$V$1001,0),MATCH(COLUMNS($AC$1006:AK1006),$AC$1006:$AS$1006,0)), HYPERLINK("#",""), HYPERLINK(CONCATENATE("#Metadata!", ADDRESS(INDEX($X$2:$X$1001,MATCH(ROWS($V$2:V287),$V$2:$V$1001,0),0), INDEX($AC$1004:$AS$1004,1,MATCH(COLUMNS($AC$1006:AK1006),$AC$1006:$AS$1006,0)))),"Fix")))</f>
        <v>0</v>
      </c>
      <c r="K287" s="5">
        <f>IF(OR(INDEX($W$2:$W$1001,MATCH(ROWS($V$2:V287),$V$2:$V$1001,0),1)&gt;=100000,INDEX($AC$1005:$AS$1005,1,MATCH(COLUMNS($AC$1006:AL1006),$AC$1006:$AS$1006,0))&gt;=100000), " ",IF(INDEX($AC$2:$AS$1001,MATCH(ROWS($V$2:V287),$V$2:$V$1001,0),MATCH(COLUMNS($AC$1006:AL1006),$AC$1006:$AS$1006,0)), HYPERLINK("#",""), HYPERLINK(CONCATENATE("#Metadata!", ADDRESS(INDEX($X$2:$X$1001,MATCH(ROWS($V$2:V287),$V$2:$V$1001,0),0), INDEX($AC$1004:$AS$1004,1,MATCH(COLUMNS($AC$1006:AL1006),$AC$1006:$AS$1006,0)))),"Fix")))</f>
        <v>0</v>
      </c>
      <c r="L287" s="5">
        <f>IF(OR(INDEX($W$2:$W$1001,MATCH(ROWS($V$2:V287),$V$2:$V$1001,0),1)&gt;=100000,INDEX($AC$1005:$AS$1005,1,MATCH(COLUMNS($AC$1006:AM1006),$AC$1006:$AS$1006,0))&gt;=100000), " ",IF(INDEX($AC$2:$AS$1001,MATCH(ROWS($V$2:V287),$V$2:$V$1001,0),MATCH(COLUMNS($AC$1006:AM1006),$AC$1006:$AS$1006,0)), HYPERLINK("#",""), HYPERLINK(CONCATENATE("#Metadata!", ADDRESS(INDEX($X$2:$X$1001,MATCH(ROWS($V$2:V287),$V$2:$V$1001,0),0), INDEX($AC$1004:$AS$1004,1,MATCH(COLUMNS($AC$1006:AM1006),$AC$1006:$AS$1006,0)))),"Fix")))</f>
        <v>0</v>
      </c>
      <c r="M287" s="5">
        <f>IF(OR(INDEX($W$2:$W$1001,MATCH(ROWS($V$2:V287),$V$2:$V$1001,0),1)&gt;=100000,INDEX($AC$1005:$AS$1005,1,MATCH(COLUMNS($AC$1006:AN1006),$AC$1006:$AS$1006,0))&gt;=100000), " ",IF(INDEX($AC$2:$AS$1001,MATCH(ROWS($V$2:V287),$V$2:$V$1001,0),MATCH(COLUMNS($AC$1006:AN1006),$AC$1006:$AS$1006,0)), HYPERLINK("#",""), HYPERLINK(CONCATENATE("#Metadata!", ADDRESS(INDEX($X$2:$X$1001,MATCH(ROWS($V$2:V287),$V$2:$V$1001,0),0), INDEX($AC$1004:$AS$1004,1,MATCH(COLUMNS($AC$1006:AN1006),$AC$1006:$AS$1006,0)))),"Fix")))</f>
        <v>0</v>
      </c>
      <c r="N287" s="5">
        <f>IF(OR(INDEX($W$2:$W$1001,MATCH(ROWS($V$2:V287),$V$2:$V$1001,0),1)&gt;=100000,INDEX($AC$1005:$AS$1005,1,MATCH(COLUMNS($AC$1006:AO1006),$AC$1006:$AS$1006,0))&gt;=100000), " ",IF(INDEX($AC$2:$AS$1001,MATCH(ROWS($V$2:V287),$V$2:$V$1001,0),MATCH(COLUMNS($AC$1006:AO1006),$AC$1006:$AS$1006,0)), HYPERLINK("#",""), HYPERLINK(CONCATENATE("#Metadata!", ADDRESS(INDEX($X$2:$X$1001,MATCH(ROWS($V$2:V287),$V$2:$V$1001,0),0), INDEX($AC$1004:$AS$1004,1,MATCH(COLUMNS($AC$1006:AO1006),$AC$1006:$AS$1006,0)))),"Fix")))</f>
        <v>0</v>
      </c>
      <c r="O287" s="5">
        <f>IF(OR(INDEX($W$2:$W$1001,MATCH(ROWS($V$2:V287),$V$2:$V$1001,0),1)&gt;=100000,INDEX($AC$1005:$AS$1005,1,MATCH(COLUMNS($AC$1006:AP1006),$AC$1006:$AS$1006,0))&gt;=100000), " ",IF(INDEX($AC$2:$AS$1001,MATCH(ROWS($V$2:V287),$V$2:$V$1001,0),MATCH(COLUMNS($AC$1006:AP1006),$AC$1006:$AS$1006,0)), HYPERLINK("#",""), HYPERLINK(CONCATENATE("#Metadata!", ADDRESS(INDEX($X$2:$X$1001,MATCH(ROWS($V$2:V287),$V$2:$V$1001,0),0), INDEX($AC$1004:$AS$1004,1,MATCH(COLUMNS($AC$1006:AP1006),$AC$1006:$AS$1006,0)))),"Fix")))</f>
        <v>0</v>
      </c>
      <c r="P287" s="5">
        <f>IF(OR(INDEX($W$2:$W$1001,MATCH(ROWS($V$2:V287),$V$2:$V$1001,0),1)&gt;=100000,INDEX($AC$1005:$AS$1005,1,MATCH(COLUMNS($AC$1006:AQ1006),$AC$1006:$AS$1006,0))&gt;=100000), " ",IF(INDEX($AC$2:$AS$1001,MATCH(ROWS($V$2:V287),$V$2:$V$1001,0),MATCH(COLUMNS($AC$1006:AQ1006),$AC$1006:$AS$1006,0)), HYPERLINK("#",""), HYPERLINK(CONCATENATE("#Metadata!", ADDRESS(INDEX($X$2:$X$1001,MATCH(ROWS($V$2:V287),$V$2:$V$1001,0),0), INDEX($AC$1004:$AS$1004,1,MATCH(COLUMNS($AC$1006:AQ1006),$AC$1006:$AS$1006,0)))),"Fix")))</f>
        <v>0</v>
      </c>
      <c r="Q287" s="5">
        <f>IF(OR(INDEX($W$2:$W$1001,MATCH(ROWS($V$2:V287),$V$2:$V$1001,0),1)&gt;=100000,INDEX($AC$1005:$AS$1005,1,MATCH(COLUMNS($AC$1006:AR1006),$AC$1006:$AS$1006,0))&gt;=100000), " ",IF(INDEX($AC$2:$AS$1001,MATCH(ROWS($V$2:V287),$V$2:$V$1001,0),MATCH(COLUMNS($AC$1006:AR1006),$AC$1006:$AS$1006,0)), HYPERLINK("#",""), HYPERLINK(CONCATENATE("#Metadata!", ADDRESS(INDEX($X$2:$X$1001,MATCH(ROWS($V$2:V287),$V$2:$V$1001,0),0), INDEX($AC$1004:$AS$1004,1,MATCH(COLUMNS($AC$1006:AR1006),$AC$1006:$AS$1006,0)))),"Fix")))</f>
        <v>0</v>
      </c>
      <c r="R287" s="5">
        <f>IF(OR(INDEX($W$2:$W$1001,MATCH(ROWS($V$2:V287),$V$2:$V$1001,0),1)&gt;=100000,INDEX($AC$1005:$AS$1005,1,MATCH(COLUMNS($AC$1006:AS1006),$AC$1006:$AS$1006,0))&gt;=100000), " ",IF(INDEX($AC$2:$AS$1001,MATCH(ROWS($V$2:V287),$V$2:$V$1001,0),MATCH(COLUMNS($AC$1006:AS1006),$AC$1006:$AS$1006,0)), HYPERLINK("#",""), HYPERLINK(CONCATENATE("#Metadata!", ADDRESS(INDEX($X$2:$X$1001,MATCH(ROWS($V$2:V287),$V$2:$V$1001,0),0), INDEX($AC$1004:$AS$1004,1,MATCH(COLUMNS($AC$1006:AS1006),$AC$1006:$AS$1006,0)))),"Fix")))</f>
        <v>0</v>
      </c>
      <c r="V287">
        <v>0</v>
      </c>
      <c r="W287">
        <v>0</v>
      </c>
      <c r="X287">
        <v>0</v>
      </c>
      <c r="Y287">
        <f>IF(Z287,TRUE,AND(AC287:AS287))</f>
        <v>0</v>
      </c>
      <c r="Z287">
        <f>COUNTBLANK(Metadata!B287:R287)=COLUMNS(Metadata!B287:R287)</f>
        <v>0</v>
      </c>
      <c r="AA287">
        <v>0</v>
      </c>
      <c r="AC287">
        <f>AND(IF(Metadata!B287="",FALSE,TRUE),COUNTIF(Metadata!B:B, Metadata!B287) = 1,NOT(ISERROR(SUMPRODUCT(SEARCH(MID(Metadata!B287,ROW(INDIRECT("1:"&amp;LEN(Metadata!B287))), 1),"0123456789abcdefghijklmnopqrstuvwxyzABCDEFGHIJKLMNOPQRSTUVWXYZ.")))))</f>
        <v>0</v>
      </c>
      <c r="AD287">
        <f>AND(IF(Metadata!C287="",FALSE,TRUE),exact(Metadata!C287,"Host-associated"))</f>
        <v>0</v>
      </c>
      <c r="AE287">
        <f>AND(IF(Metadata!D287="",FALSE,TRUE),OR(exact(Metadata!D287,"Animal"),exact(Metadata!D287,"Fungus"),exact(Metadata!D287,"Plant")))</f>
        <v>0</v>
      </c>
      <c r="AF287">
        <f>AND(IF(Metadata!E287="",FALSE,TRUE),OR(exact(Metadata!E287,"Plant secretion"),exact(Metadata!E287,"Plant rhizosphere"),exact(Metadata!E287,"Plant surface"),exact(Metadata!E287,"Plant corpus"),exact(Metadata!E287,"Fungus surface"),exact(Metadata!E287,"Fungus corpus"),exact(Metadata!E287,"Animal surface"),exact(Metadata!E287,"Animal proximal gut"),exact(Metadata!E287,"Animal corpus"),exact(Metadata!E287,"Animal distal gut"),exact(Metadata!E287,"Animal secretion")))</f>
        <v>0</v>
      </c>
      <c r="AG287">
        <f>OR(AND(IF(Metadata!F287="",FALSE,TRUE),OR(exact(Metadata!F287,"not collected"),exact(Metadata!F287,"not provided"),exact(Metadata!F287,"restricted access"))),AND(IF(Metadata!F287="",FALSE,TRUE),OR(exact(Metadata!F287,"organism-associated habitat"),exact(Metadata!F287,"plant-associated habitat"),exact(Metadata!F287,"animal-associated habitat"),exact(Metadata!F287,"insecta-associated habitat"),exact(Metadata!F287,"mammalia-associated habitat"),exact(Metadata!F287,"human-associated habitat"),exact(Metadata!F287,"livestock-associated habitat"))))</f>
        <v>0</v>
      </c>
      <c r="AH287">
        <f>AND(IF(Metadata!G287="",FALSE,TRUE),exact(Metadata!G287,"host-associated"))</f>
        <v>0</v>
      </c>
      <c r="AI287">
        <f>OR(AND(IF(Metadata!H287="",FALSE,TRUE),OR(exact(Metadata!H287,"not collected"),exact(Metadata!H287,"not provided"))),AND(IF(Metadata!H287="",FALSE,ISNUMBER(VALUE(Metadata!H287))),Metadata!H287&gt;0))</f>
        <v>0</v>
      </c>
      <c r="AJ287">
        <f>AND(IF(Metadata!I287="",FALSE,TRUE),exact(Metadata!I287,"years"))</f>
        <v>0</v>
      </c>
      <c r="AK287">
        <f>IF(Metadata!J287="",FALSE,TRUE)</f>
        <v>0</v>
      </c>
      <c r="AL287">
        <f>OR(AND(IF(Metadata!K287="",FALSE,TRUE),OR(exact(Metadata!K287,"not collected"),exact(Metadata!K287,"not provided"))),AND(IF(Metadata!K287="",FALSE,ISNUMBER(VALUE(Metadata!K287))),Metadata!K287&gt;0))</f>
        <v>0</v>
      </c>
      <c r="AM287">
        <f>AND(IF(Metadata!L287="",FALSE,TRUE),exact(Metadata!L287,"cm"))</f>
        <v>0</v>
      </c>
      <c r="AN287">
        <f>IF(Metadata!M287="",FALSE,TRUE)</f>
        <v>0</v>
      </c>
      <c r="AO287">
        <f>OR(AND(IF(Metadata!N287="",FALSE,TRUE),OR(exact(Metadata!N287,"not applicable"),exact(Metadata!N287,"not collected"),exact(Metadata!N287,"not provided"))),AND(IF(Metadata!N287="",FALSE,IF(ISERROR(INT(Metadata!N287)),FALSE,INT(Metadata!N287)=Metadata!N287)),Metadata!N287&gt;0))</f>
        <v>0</v>
      </c>
      <c r="AP287">
        <f>OR(AND(IF(Metadata!O287="",FALSE,TRUE),OR(exact(Metadata!O287,"not collected"),exact(Metadata!O287,"not provided"))),AND(IF(Metadata!O287="",FALSE,ISNUMBER(VALUE(Metadata!O287))),Metadata!O287&gt;0))</f>
        <v>0</v>
      </c>
      <c r="AQ287">
        <f>AND(IF(Metadata!P287="",FALSE,TRUE),exact(Metadata!P287,"kg"))</f>
        <v>0</v>
      </c>
      <c r="AR287">
        <f>OR(AND(IF(Metadata!Q287="",FALSE,TRUE),OR(exact(Metadata!Q287,"not applicable"),exact(Metadata!Q287,"not collected"),exact(Metadata!Q287,"not provided"),exact(Metadata!Q287,"restricted access"))),IF(Metadata!Q287="",FALSE,IF(ISERROR(INT(Metadata!Q287)),FALSE,INT(Metadata!Q287)=Metadata!Q287)))</f>
        <v>0</v>
      </c>
      <c r="AS287">
        <f>AND(IF(Metadata!R287="",FALSE,TRUE),exact(Metadata!R287,"Not applicable"))</f>
        <v>0</v>
      </c>
    </row>
    <row r="288" spans="1:45">
      <c r="A288" s="4">
        <f>IF(B288=" "," ",HYPERLINK(CONCATENATE("#metadata!",ADDRESS(INDEX($X$2:$X$1001,MATCH(ROWS($V$2:V288),$V$2:$V$1001,0),0),2)),INDEX($AA$2:$AA$1001,MATCH(ROWS($V$2:V288),$V$2:$V$1001,0),0)))</f>
        <v>0</v>
      </c>
      <c r="B288" s="5">
        <f>IF(OR(INDEX($W$2:$W$1001,MATCH(ROWS($V$2:V288),$V$2:$V$1001,0),1)&gt;=100000,INDEX($AC$1005:$AS$1005,1,MATCH(COLUMNS($AC$1006:AC1006),$AC$1006:$AS$1006,0))&gt;=100000), " ",IF(INDEX($AC$2:$AS$1001,MATCH(ROWS($V$2:V288),$V$2:$V$1001,0),MATCH(COLUMNS($AC$1006:AC1006),$AC$1006:$AS$1006,0)), HYPERLINK("#",""), HYPERLINK(CONCATENATE("#Metadata!", ADDRESS(INDEX($X$2:$X$1001,MATCH(ROWS($V$2:V288),$V$2:$V$1001,0),0), INDEX($AC$1004:$AS$1004,1,MATCH(COLUMNS($AC$1006:AC1006),$AC$1006:$AS$1006,0)))),"Fix")))</f>
        <v>0</v>
      </c>
      <c r="C288" s="5">
        <f>IF(OR(INDEX($W$2:$W$1001,MATCH(ROWS($V$2:V288),$V$2:$V$1001,0),1)&gt;=100000,INDEX($AC$1005:$AS$1005,1,MATCH(COLUMNS($AC$1006:AD1006),$AC$1006:$AS$1006,0))&gt;=100000), " ",IF(INDEX($AC$2:$AS$1001,MATCH(ROWS($V$2:V288),$V$2:$V$1001,0),MATCH(COLUMNS($AC$1006:AD1006),$AC$1006:$AS$1006,0)), HYPERLINK("#",""), HYPERLINK(CONCATENATE("#Metadata!", ADDRESS(INDEX($X$2:$X$1001,MATCH(ROWS($V$2:V288),$V$2:$V$1001,0),0), INDEX($AC$1004:$AS$1004,1,MATCH(COLUMNS($AC$1006:AD1006),$AC$1006:$AS$1006,0)))),"Fix")))</f>
        <v>0</v>
      </c>
      <c r="D288" s="5">
        <f>IF(OR(INDEX($W$2:$W$1001,MATCH(ROWS($V$2:V288),$V$2:$V$1001,0),1)&gt;=100000,INDEX($AC$1005:$AS$1005,1,MATCH(COLUMNS($AC$1006:AE1006),$AC$1006:$AS$1006,0))&gt;=100000), " ",IF(INDEX($AC$2:$AS$1001,MATCH(ROWS($V$2:V288),$V$2:$V$1001,0),MATCH(COLUMNS($AC$1006:AE1006),$AC$1006:$AS$1006,0)), HYPERLINK("#",""), HYPERLINK(CONCATENATE("#Metadata!", ADDRESS(INDEX($X$2:$X$1001,MATCH(ROWS($V$2:V288),$V$2:$V$1001,0),0), INDEX($AC$1004:$AS$1004,1,MATCH(COLUMNS($AC$1006:AE1006),$AC$1006:$AS$1006,0)))),"Fix")))</f>
        <v>0</v>
      </c>
      <c r="E288" s="5">
        <f>IF(OR(INDEX($W$2:$W$1001,MATCH(ROWS($V$2:V288),$V$2:$V$1001,0),1)&gt;=100000,INDEX($AC$1005:$AS$1005,1,MATCH(COLUMNS($AC$1006:AF1006),$AC$1006:$AS$1006,0))&gt;=100000), " ",IF(INDEX($AC$2:$AS$1001,MATCH(ROWS($V$2:V288),$V$2:$V$1001,0),MATCH(COLUMNS($AC$1006:AF1006),$AC$1006:$AS$1006,0)), HYPERLINK("#",""), HYPERLINK(CONCATENATE("#Metadata!", ADDRESS(INDEX($X$2:$X$1001,MATCH(ROWS($V$2:V288),$V$2:$V$1001,0),0), INDEX($AC$1004:$AS$1004,1,MATCH(COLUMNS($AC$1006:AF1006),$AC$1006:$AS$1006,0)))),"Fix")))</f>
        <v>0</v>
      </c>
      <c r="F288" s="5">
        <f>IF(OR(INDEX($W$2:$W$1001,MATCH(ROWS($V$2:V288),$V$2:$V$1001,0),1)&gt;=100000,INDEX($AC$1005:$AS$1005,1,MATCH(COLUMNS($AC$1006:AG1006),$AC$1006:$AS$1006,0))&gt;=100000), " ",IF(INDEX($AC$2:$AS$1001,MATCH(ROWS($V$2:V288),$V$2:$V$1001,0),MATCH(COLUMNS($AC$1006:AG1006),$AC$1006:$AS$1006,0)), HYPERLINK("#",""), HYPERLINK(CONCATENATE("#Metadata!", ADDRESS(INDEX($X$2:$X$1001,MATCH(ROWS($V$2:V288),$V$2:$V$1001,0),0), INDEX($AC$1004:$AS$1004,1,MATCH(COLUMNS($AC$1006:AG1006),$AC$1006:$AS$1006,0)))),"Fix")))</f>
        <v>0</v>
      </c>
      <c r="G288" s="5">
        <f>IF(OR(INDEX($W$2:$W$1001,MATCH(ROWS($V$2:V288),$V$2:$V$1001,0),1)&gt;=100000,INDEX($AC$1005:$AS$1005,1,MATCH(COLUMNS($AC$1006:AH1006),$AC$1006:$AS$1006,0))&gt;=100000), " ",IF(INDEX($AC$2:$AS$1001,MATCH(ROWS($V$2:V288),$V$2:$V$1001,0),MATCH(COLUMNS($AC$1006:AH1006),$AC$1006:$AS$1006,0)), HYPERLINK("#",""), HYPERLINK(CONCATENATE("#Metadata!", ADDRESS(INDEX($X$2:$X$1001,MATCH(ROWS($V$2:V288),$V$2:$V$1001,0),0), INDEX($AC$1004:$AS$1004,1,MATCH(COLUMNS($AC$1006:AH1006),$AC$1006:$AS$1006,0)))),"Fix")))</f>
        <v>0</v>
      </c>
      <c r="H288" s="5">
        <f>IF(OR(INDEX($W$2:$W$1001,MATCH(ROWS($V$2:V288),$V$2:$V$1001,0),1)&gt;=100000,INDEX($AC$1005:$AS$1005,1,MATCH(COLUMNS($AC$1006:AI1006),$AC$1006:$AS$1006,0))&gt;=100000), " ",IF(INDEX($AC$2:$AS$1001,MATCH(ROWS($V$2:V288),$V$2:$V$1001,0),MATCH(COLUMNS($AC$1006:AI1006),$AC$1006:$AS$1006,0)), HYPERLINK("#",""), HYPERLINK(CONCATENATE("#Metadata!", ADDRESS(INDEX($X$2:$X$1001,MATCH(ROWS($V$2:V288),$V$2:$V$1001,0),0), INDEX($AC$1004:$AS$1004,1,MATCH(COLUMNS($AC$1006:AI1006),$AC$1006:$AS$1006,0)))),"Fix")))</f>
        <v>0</v>
      </c>
      <c r="I288" s="5">
        <f>IF(OR(INDEX($W$2:$W$1001,MATCH(ROWS($V$2:V288),$V$2:$V$1001,0),1)&gt;=100000,INDEX($AC$1005:$AS$1005,1,MATCH(COLUMNS($AC$1006:AJ1006),$AC$1006:$AS$1006,0))&gt;=100000), " ",IF(INDEX($AC$2:$AS$1001,MATCH(ROWS($V$2:V288),$V$2:$V$1001,0),MATCH(COLUMNS($AC$1006:AJ1006),$AC$1006:$AS$1006,0)), HYPERLINK("#",""), HYPERLINK(CONCATENATE("#Metadata!", ADDRESS(INDEX($X$2:$X$1001,MATCH(ROWS($V$2:V288),$V$2:$V$1001,0),0), INDEX($AC$1004:$AS$1004,1,MATCH(COLUMNS($AC$1006:AJ1006),$AC$1006:$AS$1006,0)))),"Fix")))</f>
        <v>0</v>
      </c>
      <c r="J288" s="5">
        <f>IF(OR(INDEX($W$2:$W$1001,MATCH(ROWS($V$2:V288),$V$2:$V$1001,0),1)&gt;=100000,INDEX($AC$1005:$AS$1005,1,MATCH(COLUMNS($AC$1006:AK1006),$AC$1006:$AS$1006,0))&gt;=100000), " ",IF(INDEX($AC$2:$AS$1001,MATCH(ROWS($V$2:V288),$V$2:$V$1001,0),MATCH(COLUMNS($AC$1006:AK1006),$AC$1006:$AS$1006,0)), HYPERLINK("#",""), HYPERLINK(CONCATENATE("#Metadata!", ADDRESS(INDEX($X$2:$X$1001,MATCH(ROWS($V$2:V288),$V$2:$V$1001,0),0), INDEX($AC$1004:$AS$1004,1,MATCH(COLUMNS($AC$1006:AK1006),$AC$1006:$AS$1006,0)))),"Fix")))</f>
        <v>0</v>
      </c>
      <c r="K288" s="5">
        <f>IF(OR(INDEX($W$2:$W$1001,MATCH(ROWS($V$2:V288),$V$2:$V$1001,0),1)&gt;=100000,INDEX($AC$1005:$AS$1005,1,MATCH(COLUMNS($AC$1006:AL1006),$AC$1006:$AS$1006,0))&gt;=100000), " ",IF(INDEX($AC$2:$AS$1001,MATCH(ROWS($V$2:V288),$V$2:$V$1001,0),MATCH(COLUMNS($AC$1006:AL1006),$AC$1006:$AS$1006,0)), HYPERLINK("#",""), HYPERLINK(CONCATENATE("#Metadata!", ADDRESS(INDEX($X$2:$X$1001,MATCH(ROWS($V$2:V288),$V$2:$V$1001,0),0), INDEX($AC$1004:$AS$1004,1,MATCH(COLUMNS($AC$1006:AL1006),$AC$1006:$AS$1006,0)))),"Fix")))</f>
        <v>0</v>
      </c>
      <c r="L288" s="5">
        <f>IF(OR(INDEX($W$2:$W$1001,MATCH(ROWS($V$2:V288),$V$2:$V$1001,0),1)&gt;=100000,INDEX($AC$1005:$AS$1005,1,MATCH(COLUMNS($AC$1006:AM1006),$AC$1006:$AS$1006,0))&gt;=100000), " ",IF(INDEX($AC$2:$AS$1001,MATCH(ROWS($V$2:V288),$V$2:$V$1001,0),MATCH(COLUMNS($AC$1006:AM1006),$AC$1006:$AS$1006,0)), HYPERLINK("#",""), HYPERLINK(CONCATENATE("#Metadata!", ADDRESS(INDEX($X$2:$X$1001,MATCH(ROWS($V$2:V288),$V$2:$V$1001,0),0), INDEX($AC$1004:$AS$1004,1,MATCH(COLUMNS($AC$1006:AM1006),$AC$1006:$AS$1006,0)))),"Fix")))</f>
        <v>0</v>
      </c>
      <c r="M288" s="5">
        <f>IF(OR(INDEX($W$2:$W$1001,MATCH(ROWS($V$2:V288),$V$2:$V$1001,0),1)&gt;=100000,INDEX($AC$1005:$AS$1005,1,MATCH(COLUMNS($AC$1006:AN1006),$AC$1006:$AS$1006,0))&gt;=100000), " ",IF(INDEX($AC$2:$AS$1001,MATCH(ROWS($V$2:V288),$V$2:$V$1001,0),MATCH(COLUMNS($AC$1006:AN1006),$AC$1006:$AS$1006,0)), HYPERLINK("#",""), HYPERLINK(CONCATENATE("#Metadata!", ADDRESS(INDEX($X$2:$X$1001,MATCH(ROWS($V$2:V288),$V$2:$V$1001,0),0), INDEX($AC$1004:$AS$1004,1,MATCH(COLUMNS($AC$1006:AN1006),$AC$1006:$AS$1006,0)))),"Fix")))</f>
        <v>0</v>
      </c>
      <c r="N288" s="5">
        <f>IF(OR(INDEX($W$2:$W$1001,MATCH(ROWS($V$2:V288),$V$2:$V$1001,0),1)&gt;=100000,INDEX($AC$1005:$AS$1005,1,MATCH(COLUMNS($AC$1006:AO1006),$AC$1006:$AS$1006,0))&gt;=100000), " ",IF(INDEX($AC$2:$AS$1001,MATCH(ROWS($V$2:V288),$V$2:$V$1001,0),MATCH(COLUMNS($AC$1006:AO1006),$AC$1006:$AS$1006,0)), HYPERLINK("#",""), HYPERLINK(CONCATENATE("#Metadata!", ADDRESS(INDEX($X$2:$X$1001,MATCH(ROWS($V$2:V288),$V$2:$V$1001,0),0), INDEX($AC$1004:$AS$1004,1,MATCH(COLUMNS($AC$1006:AO1006),$AC$1006:$AS$1006,0)))),"Fix")))</f>
        <v>0</v>
      </c>
      <c r="O288" s="5">
        <f>IF(OR(INDEX($W$2:$W$1001,MATCH(ROWS($V$2:V288),$V$2:$V$1001,0),1)&gt;=100000,INDEX($AC$1005:$AS$1005,1,MATCH(COLUMNS($AC$1006:AP1006),$AC$1006:$AS$1006,0))&gt;=100000), " ",IF(INDEX($AC$2:$AS$1001,MATCH(ROWS($V$2:V288),$V$2:$V$1001,0),MATCH(COLUMNS($AC$1006:AP1006),$AC$1006:$AS$1006,0)), HYPERLINK("#",""), HYPERLINK(CONCATENATE("#Metadata!", ADDRESS(INDEX($X$2:$X$1001,MATCH(ROWS($V$2:V288),$V$2:$V$1001,0),0), INDEX($AC$1004:$AS$1004,1,MATCH(COLUMNS($AC$1006:AP1006),$AC$1006:$AS$1006,0)))),"Fix")))</f>
        <v>0</v>
      </c>
      <c r="P288" s="5">
        <f>IF(OR(INDEX($W$2:$W$1001,MATCH(ROWS($V$2:V288),$V$2:$V$1001,0),1)&gt;=100000,INDEX($AC$1005:$AS$1005,1,MATCH(COLUMNS($AC$1006:AQ1006),$AC$1006:$AS$1006,0))&gt;=100000), " ",IF(INDEX($AC$2:$AS$1001,MATCH(ROWS($V$2:V288),$V$2:$V$1001,0),MATCH(COLUMNS($AC$1006:AQ1006),$AC$1006:$AS$1006,0)), HYPERLINK("#",""), HYPERLINK(CONCATENATE("#Metadata!", ADDRESS(INDEX($X$2:$X$1001,MATCH(ROWS($V$2:V288),$V$2:$V$1001,0),0), INDEX($AC$1004:$AS$1004,1,MATCH(COLUMNS($AC$1006:AQ1006),$AC$1006:$AS$1006,0)))),"Fix")))</f>
        <v>0</v>
      </c>
      <c r="Q288" s="5">
        <f>IF(OR(INDEX($W$2:$W$1001,MATCH(ROWS($V$2:V288),$V$2:$V$1001,0),1)&gt;=100000,INDEX($AC$1005:$AS$1005,1,MATCH(COLUMNS($AC$1006:AR1006),$AC$1006:$AS$1006,0))&gt;=100000), " ",IF(INDEX($AC$2:$AS$1001,MATCH(ROWS($V$2:V288),$V$2:$V$1001,0),MATCH(COLUMNS($AC$1006:AR1006),$AC$1006:$AS$1006,0)), HYPERLINK("#",""), HYPERLINK(CONCATENATE("#Metadata!", ADDRESS(INDEX($X$2:$X$1001,MATCH(ROWS($V$2:V288),$V$2:$V$1001,0),0), INDEX($AC$1004:$AS$1004,1,MATCH(COLUMNS($AC$1006:AR1006),$AC$1006:$AS$1006,0)))),"Fix")))</f>
        <v>0</v>
      </c>
      <c r="R288" s="5">
        <f>IF(OR(INDEX($W$2:$W$1001,MATCH(ROWS($V$2:V288),$V$2:$V$1001,0),1)&gt;=100000,INDEX($AC$1005:$AS$1005,1,MATCH(COLUMNS($AC$1006:AS1006),$AC$1006:$AS$1006,0))&gt;=100000), " ",IF(INDEX($AC$2:$AS$1001,MATCH(ROWS($V$2:V288),$V$2:$V$1001,0),MATCH(COLUMNS($AC$1006:AS1006),$AC$1006:$AS$1006,0)), HYPERLINK("#",""), HYPERLINK(CONCATENATE("#Metadata!", ADDRESS(INDEX($X$2:$X$1001,MATCH(ROWS($V$2:V288),$V$2:$V$1001,0),0), INDEX($AC$1004:$AS$1004,1,MATCH(COLUMNS($AC$1006:AS1006),$AC$1006:$AS$1006,0)))),"Fix")))</f>
        <v>0</v>
      </c>
      <c r="V288">
        <v>0</v>
      </c>
      <c r="W288">
        <v>0</v>
      </c>
      <c r="X288">
        <v>0</v>
      </c>
      <c r="Y288">
        <f>IF(Z288,TRUE,AND(AC288:AS288))</f>
        <v>0</v>
      </c>
      <c r="Z288">
        <f>COUNTBLANK(Metadata!B288:R288)=COLUMNS(Metadata!B288:R288)</f>
        <v>0</v>
      </c>
      <c r="AA288">
        <v>0</v>
      </c>
      <c r="AC288">
        <f>AND(IF(Metadata!B288="",FALSE,TRUE),COUNTIF(Metadata!B:B, Metadata!B288) = 1,NOT(ISERROR(SUMPRODUCT(SEARCH(MID(Metadata!B288,ROW(INDIRECT("1:"&amp;LEN(Metadata!B288))), 1),"0123456789abcdefghijklmnopqrstuvwxyzABCDEFGHIJKLMNOPQRSTUVWXYZ.")))))</f>
        <v>0</v>
      </c>
      <c r="AD288">
        <f>AND(IF(Metadata!C288="",FALSE,TRUE),exact(Metadata!C288,"Host-associated"))</f>
        <v>0</v>
      </c>
      <c r="AE288">
        <f>AND(IF(Metadata!D288="",FALSE,TRUE),OR(exact(Metadata!D288,"Animal"),exact(Metadata!D288,"Fungus"),exact(Metadata!D288,"Plant")))</f>
        <v>0</v>
      </c>
      <c r="AF288">
        <f>AND(IF(Metadata!E288="",FALSE,TRUE),OR(exact(Metadata!E288,"Plant secretion"),exact(Metadata!E288,"Plant rhizosphere"),exact(Metadata!E288,"Plant surface"),exact(Metadata!E288,"Plant corpus"),exact(Metadata!E288,"Fungus surface"),exact(Metadata!E288,"Fungus corpus"),exact(Metadata!E288,"Animal surface"),exact(Metadata!E288,"Animal proximal gut"),exact(Metadata!E288,"Animal corpus"),exact(Metadata!E288,"Animal distal gut"),exact(Metadata!E288,"Animal secretion")))</f>
        <v>0</v>
      </c>
      <c r="AG288">
        <f>OR(AND(IF(Metadata!F288="",FALSE,TRUE),OR(exact(Metadata!F288,"not collected"),exact(Metadata!F288,"not provided"),exact(Metadata!F288,"restricted access"))),AND(IF(Metadata!F288="",FALSE,TRUE),OR(exact(Metadata!F288,"organism-associated habitat"),exact(Metadata!F288,"plant-associated habitat"),exact(Metadata!F288,"animal-associated habitat"),exact(Metadata!F288,"insecta-associated habitat"),exact(Metadata!F288,"mammalia-associated habitat"),exact(Metadata!F288,"human-associated habitat"),exact(Metadata!F288,"livestock-associated habitat"))))</f>
        <v>0</v>
      </c>
      <c r="AH288">
        <f>AND(IF(Metadata!G288="",FALSE,TRUE),exact(Metadata!G288,"host-associated"))</f>
        <v>0</v>
      </c>
      <c r="AI288">
        <f>OR(AND(IF(Metadata!H288="",FALSE,TRUE),OR(exact(Metadata!H288,"not collected"),exact(Metadata!H288,"not provided"))),AND(IF(Metadata!H288="",FALSE,ISNUMBER(VALUE(Metadata!H288))),Metadata!H288&gt;0))</f>
        <v>0</v>
      </c>
      <c r="AJ288">
        <f>AND(IF(Metadata!I288="",FALSE,TRUE),exact(Metadata!I288,"years"))</f>
        <v>0</v>
      </c>
      <c r="AK288">
        <f>IF(Metadata!J288="",FALSE,TRUE)</f>
        <v>0</v>
      </c>
      <c r="AL288">
        <f>OR(AND(IF(Metadata!K288="",FALSE,TRUE),OR(exact(Metadata!K288,"not collected"),exact(Metadata!K288,"not provided"))),AND(IF(Metadata!K288="",FALSE,ISNUMBER(VALUE(Metadata!K288))),Metadata!K288&gt;0))</f>
        <v>0</v>
      </c>
      <c r="AM288">
        <f>AND(IF(Metadata!L288="",FALSE,TRUE),exact(Metadata!L288,"cm"))</f>
        <v>0</v>
      </c>
      <c r="AN288">
        <f>IF(Metadata!M288="",FALSE,TRUE)</f>
        <v>0</v>
      </c>
      <c r="AO288">
        <f>OR(AND(IF(Metadata!N288="",FALSE,TRUE),OR(exact(Metadata!N288,"not applicable"),exact(Metadata!N288,"not collected"),exact(Metadata!N288,"not provided"))),AND(IF(Metadata!N288="",FALSE,IF(ISERROR(INT(Metadata!N288)),FALSE,INT(Metadata!N288)=Metadata!N288)),Metadata!N288&gt;0))</f>
        <v>0</v>
      </c>
      <c r="AP288">
        <f>OR(AND(IF(Metadata!O288="",FALSE,TRUE),OR(exact(Metadata!O288,"not collected"),exact(Metadata!O288,"not provided"))),AND(IF(Metadata!O288="",FALSE,ISNUMBER(VALUE(Metadata!O288))),Metadata!O288&gt;0))</f>
        <v>0</v>
      </c>
      <c r="AQ288">
        <f>AND(IF(Metadata!P288="",FALSE,TRUE),exact(Metadata!P288,"kg"))</f>
        <v>0</v>
      </c>
      <c r="AR288">
        <f>OR(AND(IF(Metadata!Q288="",FALSE,TRUE),OR(exact(Metadata!Q288,"not applicable"),exact(Metadata!Q288,"not collected"),exact(Metadata!Q288,"not provided"),exact(Metadata!Q288,"restricted access"))),IF(Metadata!Q288="",FALSE,IF(ISERROR(INT(Metadata!Q288)),FALSE,INT(Metadata!Q288)=Metadata!Q288)))</f>
        <v>0</v>
      </c>
      <c r="AS288">
        <f>AND(IF(Metadata!R288="",FALSE,TRUE),exact(Metadata!R288,"Not applicable"))</f>
        <v>0</v>
      </c>
    </row>
    <row r="289" spans="1:45">
      <c r="A289" s="4">
        <f>IF(B289=" "," ",HYPERLINK(CONCATENATE("#metadata!",ADDRESS(INDEX($X$2:$X$1001,MATCH(ROWS($V$2:V289),$V$2:$V$1001,0),0),2)),INDEX($AA$2:$AA$1001,MATCH(ROWS($V$2:V289),$V$2:$V$1001,0),0)))</f>
        <v>0</v>
      </c>
      <c r="B289" s="5">
        <f>IF(OR(INDEX($W$2:$W$1001,MATCH(ROWS($V$2:V289),$V$2:$V$1001,0),1)&gt;=100000,INDEX($AC$1005:$AS$1005,1,MATCH(COLUMNS($AC$1006:AC1006),$AC$1006:$AS$1006,0))&gt;=100000), " ",IF(INDEX($AC$2:$AS$1001,MATCH(ROWS($V$2:V289),$V$2:$V$1001,0),MATCH(COLUMNS($AC$1006:AC1006),$AC$1006:$AS$1006,0)), HYPERLINK("#",""), HYPERLINK(CONCATENATE("#Metadata!", ADDRESS(INDEX($X$2:$X$1001,MATCH(ROWS($V$2:V289),$V$2:$V$1001,0),0), INDEX($AC$1004:$AS$1004,1,MATCH(COLUMNS($AC$1006:AC1006),$AC$1006:$AS$1006,0)))),"Fix")))</f>
        <v>0</v>
      </c>
      <c r="C289" s="5">
        <f>IF(OR(INDEX($W$2:$W$1001,MATCH(ROWS($V$2:V289),$V$2:$V$1001,0),1)&gt;=100000,INDEX($AC$1005:$AS$1005,1,MATCH(COLUMNS($AC$1006:AD1006),$AC$1006:$AS$1006,0))&gt;=100000), " ",IF(INDEX($AC$2:$AS$1001,MATCH(ROWS($V$2:V289),$V$2:$V$1001,0),MATCH(COLUMNS($AC$1006:AD1006),$AC$1006:$AS$1006,0)), HYPERLINK("#",""), HYPERLINK(CONCATENATE("#Metadata!", ADDRESS(INDEX($X$2:$X$1001,MATCH(ROWS($V$2:V289),$V$2:$V$1001,0),0), INDEX($AC$1004:$AS$1004,1,MATCH(COLUMNS($AC$1006:AD1006),$AC$1006:$AS$1006,0)))),"Fix")))</f>
        <v>0</v>
      </c>
      <c r="D289" s="5">
        <f>IF(OR(INDEX($W$2:$W$1001,MATCH(ROWS($V$2:V289),$V$2:$V$1001,0),1)&gt;=100000,INDEX($AC$1005:$AS$1005,1,MATCH(COLUMNS($AC$1006:AE1006),$AC$1006:$AS$1006,0))&gt;=100000), " ",IF(INDEX($AC$2:$AS$1001,MATCH(ROWS($V$2:V289),$V$2:$V$1001,0),MATCH(COLUMNS($AC$1006:AE1006),$AC$1006:$AS$1006,0)), HYPERLINK("#",""), HYPERLINK(CONCATENATE("#Metadata!", ADDRESS(INDEX($X$2:$X$1001,MATCH(ROWS($V$2:V289),$V$2:$V$1001,0),0), INDEX($AC$1004:$AS$1004,1,MATCH(COLUMNS($AC$1006:AE1006),$AC$1006:$AS$1006,0)))),"Fix")))</f>
        <v>0</v>
      </c>
      <c r="E289" s="5">
        <f>IF(OR(INDEX($W$2:$W$1001,MATCH(ROWS($V$2:V289),$V$2:$V$1001,0),1)&gt;=100000,INDEX($AC$1005:$AS$1005,1,MATCH(COLUMNS($AC$1006:AF1006),$AC$1006:$AS$1006,0))&gt;=100000), " ",IF(INDEX($AC$2:$AS$1001,MATCH(ROWS($V$2:V289),$V$2:$V$1001,0),MATCH(COLUMNS($AC$1006:AF1006),$AC$1006:$AS$1006,0)), HYPERLINK("#",""), HYPERLINK(CONCATENATE("#Metadata!", ADDRESS(INDEX($X$2:$X$1001,MATCH(ROWS($V$2:V289),$V$2:$V$1001,0),0), INDEX($AC$1004:$AS$1004,1,MATCH(COLUMNS($AC$1006:AF1006),$AC$1006:$AS$1006,0)))),"Fix")))</f>
        <v>0</v>
      </c>
      <c r="F289" s="5">
        <f>IF(OR(INDEX($W$2:$W$1001,MATCH(ROWS($V$2:V289),$V$2:$V$1001,0),1)&gt;=100000,INDEX($AC$1005:$AS$1005,1,MATCH(COLUMNS($AC$1006:AG1006),$AC$1006:$AS$1006,0))&gt;=100000), " ",IF(INDEX($AC$2:$AS$1001,MATCH(ROWS($V$2:V289),$V$2:$V$1001,0),MATCH(COLUMNS($AC$1006:AG1006),$AC$1006:$AS$1006,0)), HYPERLINK("#",""), HYPERLINK(CONCATENATE("#Metadata!", ADDRESS(INDEX($X$2:$X$1001,MATCH(ROWS($V$2:V289),$V$2:$V$1001,0),0), INDEX($AC$1004:$AS$1004,1,MATCH(COLUMNS($AC$1006:AG1006),$AC$1006:$AS$1006,0)))),"Fix")))</f>
        <v>0</v>
      </c>
      <c r="G289" s="5">
        <f>IF(OR(INDEX($W$2:$W$1001,MATCH(ROWS($V$2:V289),$V$2:$V$1001,0),1)&gt;=100000,INDEX($AC$1005:$AS$1005,1,MATCH(COLUMNS($AC$1006:AH1006),$AC$1006:$AS$1006,0))&gt;=100000), " ",IF(INDEX($AC$2:$AS$1001,MATCH(ROWS($V$2:V289),$V$2:$V$1001,0),MATCH(COLUMNS($AC$1006:AH1006),$AC$1006:$AS$1006,0)), HYPERLINK("#",""), HYPERLINK(CONCATENATE("#Metadata!", ADDRESS(INDEX($X$2:$X$1001,MATCH(ROWS($V$2:V289),$V$2:$V$1001,0),0), INDEX($AC$1004:$AS$1004,1,MATCH(COLUMNS($AC$1006:AH1006),$AC$1006:$AS$1006,0)))),"Fix")))</f>
        <v>0</v>
      </c>
      <c r="H289" s="5">
        <f>IF(OR(INDEX($W$2:$W$1001,MATCH(ROWS($V$2:V289),$V$2:$V$1001,0),1)&gt;=100000,INDEX($AC$1005:$AS$1005,1,MATCH(COLUMNS($AC$1006:AI1006),$AC$1006:$AS$1006,0))&gt;=100000), " ",IF(INDEX($AC$2:$AS$1001,MATCH(ROWS($V$2:V289),$V$2:$V$1001,0),MATCH(COLUMNS($AC$1006:AI1006),$AC$1006:$AS$1006,0)), HYPERLINK("#",""), HYPERLINK(CONCATENATE("#Metadata!", ADDRESS(INDEX($X$2:$X$1001,MATCH(ROWS($V$2:V289),$V$2:$V$1001,0),0), INDEX($AC$1004:$AS$1004,1,MATCH(COLUMNS($AC$1006:AI1006),$AC$1006:$AS$1006,0)))),"Fix")))</f>
        <v>0</v>
      </c>
      <c r="I289" s="5">
        <f>IF(OR(INDEX($W$2:$W$1001,MATCH(ROWS($V$2:V289),$V$2:$V$1001,0),1)&gt;=100000,INDEX($AC$1005:$AS$1005,1,MATCH(COLUMNS($AC$1006:AJ1006),$AC$1006:$AS$1006,0))&gt;=100000), " ",IF(INDEX($AC$2:$AS$1001,MATCH(ROWS($V$2:V289),$V$2:$V$1001,0),MATCH(COLUMNS($AC$1006:AJ1006),$AC$1006:$AS$1006,0)), HYPERLINK("#",""), HYPERLINK(CONCATENATE("#Metadata!", ADDRESS(INDEX($X$2:$X$1001,MATCH(ROWS($V$2:V289),$V$2:$V$1001,0),0), INDEX($AC$1004:$AS$1004,1,MATCH(COLUMNS($AC$1006:AJ1006),$AC$1006:$AS$1006,0)))),"Fix")))</f>
        <v>0</v>
      </c>
      <c r="J289" s="5">
        <f>IF(OR(INDEX($W$2:$W$1001,MATCH(ROWS($V$2:V289),$V$2:$V$1001,0),1)&gt;=100000,INDEX($AC$1005:$AS$1005,1,MATCH(COLUMNS($AC$1006:AK1006),$AC$1006:$AS$1006,0))&gt;=100000), " ",IF(INDEX($AC$2:$AS$1001,MATCH(ROWS($V$2:V289),$V$2:$V$1001,0),MATCH(COLUMNS($AC$1006:AK1006),$AC$1006:$AS$1006,0)), HYPERLINK("#",""), HYPERLINK(CONCATENATE("#Metadata!", ADDRESS(INDEX($X$2:$X$1001,MATCH(ROWS($V$2:V289),$V$2:$V$1001,0),0), INDEX($AC$1004:$AS$1004,1,MATCH(COLUMNS($AC$1006:AK1006),$AC$1006:$AS$1006,0)))),"Fix")))</f>
        <v>0</v>
      </c>
      <c r="K289" s="5">
        <f>IF(OR(INDEX($W$2:$W$1001,MATCH(ROWS($V$2:V289),$V$2:$V$1001,0),1)&gt;=100000,INDEX($AC$1005:$AS$1005,1,MATCH(COLUMNS($AC$1006:AL1006),$AC$1006:$AS$1006,0))&gt;=100000), " ",IF(INDEX($AC$2:$AS$1001,MATCH(ROWS($V$2:V289),$V$2:$V$1001,0),MATCH(COLUMNS($AC$1006:AL1006),$AC$1006:$AS$1006,0)), HYPERLINK("#",""), HYPERLINK(CONCATENATE("#Metadata!", ADDRESS(INDEX($X$2:$X$1001,MATCH(ROWS($V$2:V289),$V$2:$V$1001,0),0), INDEX($AC$1004:$AS$1004,1,MATCH(COLUMNS($AC$1006:AL1006),$AC$1006:$AS$1006,0)))),"Fix")))</f>
        <v>0</v>
      </c>
      <c r="L289" s="5">
        <f>IF(OR(INDEX($W$2:$W$1001,MATCH(ROWS($V$2:V289),$V$2:$V$1001,0),1)&gt;=100000,INDEX($AC$1005:$AS$1005,1,MATCH(COLUMNS($AC$1006:AM1006),$AC$1006:$AS$1006,0))&gt;=100000), " ",IF(INDEX($AC$2:$AS$1001,MATCH(ROWS($V$2:V289),$V$2:$V$1001,0),MATCH(COLUMNS($AC$1006:AM1006),$AC$1006:$AS$1006,0)), HYPERLINK("#",""), HYPERLINK(CONCATENATE("#Metadata!", ADDRESS(INDEX($X$2:$X$1001,MATCH(ROWS($V$2:V289),$V$2:$V$1001,0),0), INDEX($AC$1004:$AS$1004,1,MATCH(COLUMNS($AC$1006:AM1006),$AC$1006:$AS$1006,0)))),"Fix")))</f>
        <v>0</v>
      </c>
      <c r="M289" s="5">
        <f>IF(OR(INDEX($W$2:$W$1001,MATCH(ROWS($V$2:V289),$V$2:$V$1001,0),1)&gt;=100000,INDEX($AC$1005:$AS$1005,1,MATCH(COLUMNS($AC$1006:AN1006),$AC$1006:$AS$1006,0))&gt;=100000), " ",IF(INDEX($AC$2:$AS$1001,MATCH(ROWS($V$2:V289),$V$2:$V$1001,0),MATCH(COLUMNS($AC$1006:AN1006),$AC$1006:$AS$1006,0)), HYPERLINK("#",""), HYPERLINK(CONCATENATE("#Metadata!", ADDRESS(INDEX($X$2:$X$1001,MATCH(ROWS($V$2:V289),$V$2:$V$1001,0),0), INDEX($AC$1004:$AS$1004,1,MATCH(COLUMNS($AC$1006:AN1006),$AC$1006:$AS$1006,0)))),"Fix")))</f>
        <v>0</v>
      </c>
      <c r="N289" s="5">
        <f>IF(OR(INDEX($W$2:$W$1001,MATCH(ROWS($V$2:V289),$V$2:$V$1001,0),1)&gt;=100000,INDEX($AC$1005:$AS$1005,1,MATCH(COLUMNS($AC$1006:AO1006),$AC$1006:$AS$1006,0))&gt;=100000), " ",IF(INDEX($AC$2:$AS$1001,MATCH(ROWS($V$2:V289),$V$2:$V$1001,0),MATCH(COLUMNS($AC$1006:AO1006),$AC$1006:$AS$1006,0)), HYPERLINK("#",""), HYPERLINK(CONCATENATE("#Metadata!", ADDRESS(INDEX($X$2:$X$1001,MATCH(ROWS($V$2:V289),$V$2:$V$1001,0),0), INDEX($AC$1004:$AS$1004,1,MATCH(COLUMNS($AC$1006:AO1006),$AC$1006:$AS$1006,0)))),"Fix")))</f>
        <v>0</v>
      </c>
      <c r="O289" s="5">
        <f>IF(OR(INDEX($W$2:$W$1001,MATCH(ROWS($V$2:V289),$V$2:$V$1001,0),1)&gt;=100000,INDEX($AC$1005:$AS$1005,1,MATCH(COLUMNS($AC$1006:AP1006),$AC$1006:$AS$1006,0))&gt;=100000), " ",IF(INDEX($AC$2:$AS$1001,MATCH(ROWS($V$2:V289),$V$2:$V$1001,0),MATCH(COLUMNS($AC$1006:AP1006),$AC$1006:$AS$1006,0)), HYPERLINK("#",""), HYPERLINK(CONCATENATE("#Metadata!", ADDRESS(INDEX($X$2:$X$1001,MATCH(ROWS($V$2:V289),$V$2:$V$1001,0),0), INDEX($AC$1004:$AS$1004,1,MATCH(COLUMNS($AC$1006:AP1006),$AC$1006:$AS$1006,0)))),"Fix")))</f>
        <v>0</v>
      </c>
      <c r="P289" s="5">
        <f>IF(OR(INDEX($W$2:$W$1001,MATCH(ROWS($V$2:V289),$V$2:$V$1001,0),1)&gt;=100000,INDEX($AC$1005:$AS$1005,1,MATCH(COLUMNS($AC$1006:AQ1006),$AC$1006:$AS$1006,0))&gt;=100000), " ",IF(INDEX($AC$2:$AS$1001,MATCH(ROWS($V$2:V289),$V$2:$V$1001,0),MATCH(COLUMNS($AC$1006:AQ1006),$AC$1006:$AS$1006,0)), HYPERLINK("#",""), HYPERLINK(CONCATENATE("#Metadata!", ADDRESS(INDEX($X$2:$X$1001,MATCH(ROWS($V$2:V289),$V$2:$V$1001,0),0), INDEX($AC$1004:$AS$1004,1,MATCH(COLUMNS($AC$1006:AQ1006),$AC$1006:$AS$1006,0)))),"Fix")))</f>
        <v>0</v>
      </c>
      <c r="Q289" s="5">
        <f>IF(OR(INDEX($W$2:$W$1001,MATCH(ROWS($V$2:V289),$V$2:$V$1001,0),1)&gt;=100000,INDEX($AC$1005:$AS$1005,1,MATCH(COLUMNS($AC$1006:AR1006),$AC$1006:$AS$1006,0))&gt;=100000), " ",IF(INDEX($AC$2:$AS$1001,MATCH(ROWS($V$2:V289),$V$2:$V$1001,0),MATCH(COLUMNS($AC$1006:AR1006),$AC$1006:$AS$1006,0)), HYPERLINK("#",""), HYPERLINK(CONCATENATE("#Metadata!", ADDRESS(INDEX($X$2:$X$1001,MATCH(ROWS($V$2:V289),$V$2:$V$1001,0),0), INDEX($AC$1004:$AS$1004,1,MATCH(COLUMNS($AC$1006:AR1006),$AC$1006:$AS$1006,0)))),"Fix")))</f>
        <v>0</v>
      </c>
      <c r="R289" s="5">
        <f>IF(OR(INDEX($W$2:$W$1001,MATCH(ROWS($V$2:V289),$V$2:$V$1001,0),1)&gt;=100000,INDEX($AC$1005:$AS$1005,1,MATCH(COLUMNS($AC$1006:AS1006),$AC$1006:$AS$1006,0))&gt;=100000), " ",IF(INDEX($AC$2:$AS$1001,MATCH(ROWS($V$2:V289),$V$2:$V$1001,0),MATCH(COLUMNS($AC$1006:AS1006),$AC$1006:$AS$1006,0)), HYPERLINK("#",""), HYPERLINK(CONCATENATE("#Metadata!", ADDRESS(INDEX($X$2:$X$1001,MATCH(ROWS($V$2:V289),$V$2:$V$1001,0),0), INDEX($AC$1004:$AS$1004,1,MATCH(COLUMNS($AC$1006:AS1006),$AC$1006:$AS$1006,0)))),"Fix")))</f>
        <v>0</v>
      </c>
      <c r="V289">
        <v>0</v>
      </c>
      <c r="W289">
        <v>0</v>
      </c>
      <c r="X289">
        <v>0</v>
      </c>
      <c r="Y289">
        <f>IF(Z289,TRUE,AND(AC289:AS289))</f>
        <v>0</v>
      </c>
      <c r="Z289">
        <f>COUNTBLANK(Metadata!B289:R289)=COLUMNS(Metadata!B289:R289)</f>
        <v>0</v>
      </c>
      <c r="AA289">
        <v>0</v>
      </c>
      <c r="AC289">
        <f>AND(IF(Metadata!B289="",FALSE,TRUE),COUNTIF(Metadata!B:B, Metadata!B289) = 1,NOT(ISERROR(SUMPRODUCT(SEARCH(MID(Metadata!B289,ROW(INDIRECT("1:"&amp;LEN(Metadata!B289))), 1),"0123456789abcdefghijklmnopqrstuvwxyzABCDEFGHIJKLMNOPQRSTUVWXYZ.")))))</f>
        <v>0</v>
      </c>
      <c r="AD289">
        <f>AND(IF(Metadata!C289="",FALSE,TRUE),exact(Metadata!C289,"Host-associated"))</f>
        <v>0</v>
      </c>
      <c r="AE289">
        <f>AND(IF(Metadata!D289="",FALSE,TRUE),OR(exact(Metadata!D289,"Animal"),exact(Metadata!D289,"Fungus"),exact(Metadata!D289,"Plant")))</f>
        <v>0</v>
      </c>
      <c r="AF289">
        <f>AND(IF(Metadata!E289="",FALSE,TRUE),OR(exact(Metadata!E289,"Plant secretion"),exact(Metadata!E289,"Plant rhizosphere"),exact(Metadata!E289,"Plant surface"),exact(Metadata!E289,"Plant corpus"),exact(Metadata!E289,"Fungus surface"),exact(Metadata!E289,"Fungus corpus"),exact(Metadata!E289,"Animal surface"),exact(Metadata!E289,"Animal proximal gut"),exact(Metadata!E289,"Animal corpus"),exact(Metadata!E289,"Animal distal gut"),exact(Metadata!E289,"Animal secretion")))</f>
        <v>0</v>
      </c>
      <c r="AG289">
        <f>OR(AND(IF(Metadata!F289="",FALSE,TRUE),OR(exact(Metadata!F289,"not collected"),exact(Metadata!F289,"not provided"),exact(Metadata!F289,"restricted access"))),AND(IF(Metadata!F289="",FALSE,TRUE),OR(exact(Metadata!F289,"organism-associated habitat"),exact(Metadata!F289,"plant-associated habitat"),exact(Metadata!F289,"animal-associated habitat"),exact(Metadata!F289,"insecta-associated habitat"),exact(Metadata!F289,"mammalia-associated habitat"),exact(Metadata!F289,"human-associated habitat"),exact(Metadata!F289,"livestock-associated habitat"))))</f>
        <v>0</v>
      </c>
      <c r="AH289">
        <f>AND(IF(Metadata!G289="",FALSE,TRUE),exact(Metadata!G289,"host-associated"))</f>
        <v>0</v>
      </c>
      <c r="AI289">
        <f>OR(AND(IF(Metadata!H289="",FALSE,TRUE),OR(exact(Metadata!H289,"not collected"),exact(Metadata!H289,"not provided"))),AND(IF(Metadata!H289="",FALSE,ISNUMBER(VALUE(Metadata!H289))),Metadata!H289&gt;0))</f>
        <v>0</v>
      </c>
      <c r="AJ289">
        <f>AND(IF(Metadata!I289="",FALSE,TRUE),exact(Metadata!I289,"years"))</f>
        <v>0</v>
      </c>
      <c r="AK289">
        <f>IF(Metadata!J289="",FALSE,TRUE)</f>
        <v>0</v>
      </c>
      <c r="AL289">
        <f>OR(AND(IF(Metadata!K289="",FALSE,TRUE),OR(exact(Metadata!K289,"not collected"),exact(Metadata!K289,"not provided"))),AND(IF(Metadata!K289="",FALSE,ISNUMBER(VALUE(Metadata!K289))),Metadata!K289&gt;0))</f>
        <v>0</v>
      </c>
      <c r="AM289">
        <f>AND(IF(Metadata!L289="",FALSE,TRUE),exact(Metadata!L289,"cm"))</f>
        <v>0</v>
      </c>
      <c r="AN289">
        <f>IF(Metadata!M289="",FALSE,TRUE)</f>
        <v>0</v>
      </c>
      <c r="AO289">
        <f>OR(AND(IF(Metadata!N289="",FALSE,TRUE),OR(exact(Metadata!N289,"not applicable"),exact(Metadata!N289,"not collected"),exact(Metadata!N289,"not provided"))),AND(IF(Metadata!N289="",FALSE,IF(ISERROR(INT(Metadata!N289)),FALSE,INT(Metadata!N289)=Metadata!N289)),Metadata!N289&gt;0))</f>
        <v>0</v>
      </c>
      <c r="AP289">
        <f>OR(AND(IF(Metadata!O289="",FALSE,TRUE),OR(exact(Metadata!O289,"not collected"),exact(Metadata!O289,"not provided"))),AND(IF(Metadata!O289="",FALSE,ISNUMBER(VALUE(Metadata!O289))),Metadata!O289&gt;0))</f>
        <v>0</v>
      </c>
      <c r="AQ289">
        <f>AND(IF(Metadata!P289="",FALSE,TRUE),exact(Metadata!P289,"kg"))</f>
        <v>0</v>
      </c>
      <c r="AR289">
        <f>OR(AND(IF(Metadata!Q289="",FALSE,TRUE),OR(exact(Metadata!Q289,"not applicable"),exact(Metadata!Q289,"not collected"),exact(Metadata!Q289,"not provided"),exact(Metadata!Q289,"restricted access"))),IF(Metadata!Q289="",FALSE,IF(ISERROR(INT(Metadata!Q289)),FALSE,INT(Metadata!Q289)=Metadata!Q289)))</f>
        <v>0</v>
      </c>
      <c r="AS289">
        <f>AND(IF(Metadata!R289="",FALSE,TRUE),exact(Metadata!R289,"Not applicable"))</f>
        <v>0</v>
      </c>
    </row>
    <row r="290" spans="1:45">
      <c r="A290" s="4">
        <f>IF(B290=" "," ",HYPERLINK(CONCATENATE("#metadata!",ADDRESS(INDEX($X$2:$X$1001,MATCH(ROWS($V$2:V290),$V$2:$V$1001,0),0),2)),INDEX($AA$2:$AA$1001,MATCH(ROWS($V$2:V290),$V$2:$V$1001,0),0)))</f>
        <v>0</v>
      </c>
      <c r="B290" s="5">
        <f>IF(OR(INDEX($W$2:$W$1001,MATCH(ROWS($V$2:V290),$V$2:$V$1001,0),1)&gt;=100000,INDEX($AC$1005:$AS$1005,1,MATCH(COLUMNS($AC$1006:AC1006),$AC$1006:$AS$1006,0))&gt;=100000), " ",IF(INDEX($AC$2:$AS$1001,MATCH(ROWS($V$2:V290),$V$2:$V$1001,0),MATCH(COLUMNS($AC$1006:AC1006),$AC$1006:$AS$1006,0)), HYPERLINK("#",""), HYPERLINK(CONCATENATE("#Metadata!", ADDRESS(INDEX($X$2:$X$1001,MATCH(ROWS($V$2:V290),$V$2:$V$1001,0),0), INDEX($AC$1004:$AS$1004,1,MATCH(COLUMNS($AC$1006:AC1006),$AC$1006:$AS$1006,0)))),"Fix")))</f>
        <v>0</v>
      </c>
      <c r="C290" s="5">
        <f>IF(OR(INDEX($W$2:$W$1001,MATCH(ROWS($V$2:V290),$V$2:$V$1001,0),1)&gt;=100000,INDEX($AC$1005:$AS$1005,1,MATCH(COLUMNS($AC$1006:AD1006),$AC$1006:$AS$1006,0))&gt;=100000), " ",IF(INDEX($AC$2:$AS$1001,MATCH(ROWS($V$2:V290),$V$2:$V$1001,0),MATCH(COLUMNS($AC$1006:AD1006),$AC$1006:$AS$1006,0)), HYPERLINK("#",""), HYPERLINK(CONCATENATE("#Metadata!", ADDRESS(INDEX($X$2:$X$1001,MATCH(ROWS($V$2:V290),$V$2:$V$1001,0),0), INDEX($AC$1004:$AS$1004,1,MATCH(COLUMNS($AC$1006:AD1006),$AC$1006:$AS$1006,0)))),"Fix")))</f>
        <v>0</v>
      </c>
      <c r="D290" s="5">
        <f>IF(OR(INDEX($W$2:$W$1001,MATCH(ROWS($V$2:V290),$V$2:$V$1001,0),1)&gt;=100000,INDEX($AC$1005:$AS$1005,1,MATCH(COLUMNS($AC$1006:AE1006),$AC$1006:$AS$1006,0))&gt;=100000), " ",IF(INDEX($AC$2:$AS$1001,MATCH(ROWS($V$2:V290),$V$2:$V$1001,0),MATCH(COLUMNS($AC$1006:AE1006),$AC$1006:$AS$1006,0)), HYPERLINK("#",""), HYPERLINK(CONCATENATE("#Metadata!", ADDRESS(INDEX($X$2:$X$1001,MATCH(ROWS($V$2:V290),$V$2:$V$1001,0),0), INDEX($AC$1004:$AS$1004,1,MATCH(COLUMNS($AC$1006:AE1006),$AC$1006:$AS$1006,0)))),"Fix")))</f>
        <v>0</v>
      </c>
      <c r="E290" s="5">
        <f>IF(OR(INDEX($W$2:$W$1001,MATCH(ROWS($V$2:V290),$V$2:$V$1001,0),1)&gt;=100000,INDEX($AC$1005:$AS$1005,1,MATCH(COLUMNS($AC$1006:AF1006),$AC$1006:$AS$1006,0))&gt;=100000), " ",IF(INDEX($AC$2:$AS$1001,MATCH(ROWS($V$2:V290),$V$2:$V$1001,0),MATCH(COLUMNS($AC$1006:AF1006),$AC$1006:$AS$1006,0)), HYPERLINK("#",""), HYPERLINK(CONCATENATE("#Metadata!", ADDRESS(INDEX($X$2:$X$1001,MATCH(ROWS($V$2:V290),$V$2:$V$1001,0),0), INDEX($AC$1004:$AS$1004,1,MATCH(COLUMNS($AC$1006:AF1006),$AC$1006:$AS$1006,0)))),"Fix")))</f>
        <v>0</v>
      </c>
      <c r="F290" s="5">
        <f>IF(OR(INDEX($W$2:$W$1001,MATCH(ROWS($V$2:V290),$V$2:$V$1001,0),1)&gt;=100000,INDEX($AC$1005:$AS$1005,1,MATCH(COLUMNS($AC$1006:AG1006),$AC$1006:$AS$1006,0))&gt;=100000), " ",IF(INDEX($AC$2:$AS$1001,MATCH(ROWS($V$2:V290),$V$2:$V$1001,0),MATCH(COLUMNS($AC$1006:AG1006),$AC$1006:$AS$1006,0)), HYPERLINK("#",""), HYPERLINK(CONCATENATE("#Metadata!", ADDRESS(INDEX($X$2:$X$1001,MATCH(ROWS($V$2:V290),$V$2:$V$1001,0),0), INDEX($AC$1004:$AS$1004,1,MATCH(COLUMNS($AC$1006:AG1006),$AC$1006:$AS$1006,0)))),"Fix")))</f>
        <v>0</v>
      </c>
      <c r="G290" s="5">
        <f>IF(OR(INDEX($W$2:$W$1001,MATCH(ROWS($V$2:V290),$V$2:$V$1001,0),1)&gt;=100000,INDEX($AC$1005:$AS$1005,1,MATCH(COLUMNS($AC$1006:AH1006),$AC$1006:$AS$1006,0))&gt;=100000), " ",IF(INDEX($AC$2:$AS$1001,MATCH(ROWS($V$2:V290),$V$2:$V$1001,0),MATCH(COLUMNS($AC$1006:AH1006),$AC$1006:$AS$1006,0)), HYPERLINK("#",""), HYPERLINK(CONCATENATE("#Metadata!", ADDRESS(INDEX($X$2:$X$1001,MATCH(ROWS($V$2:V290),$V$2:$V$1001,0),0), INDEX($AC$1004:$AS$1004,1,MATCH(COLUMNS($AC$1006:AH1006),$AC$1006:$AS$1006,0)))),"Fix")))</f>
        <v>0</v>
      </c>
      <c r="H290" s="5">
        <f>IF(OR(INDEX($W$2:$W$1001,MATCH(ROWS($V$2:V290),$V$2:$V$1001,0),1)&gt;=100000,INDEX($AC$1005:$AS$1005,1,MATCH(COLUMNS($AC$1006:AI1006),$AC$1006:$AS$1006,0))&gt;=100000), " ",IF(INDEX($AC$2:$AS$1001,MATCH(ROWS($V$2:V290),$V$2:$V$1001,0),MATCH(COLUMNS($AC$1006:AI1006),$AC$1006:$AS$1006,0)), HYPERLINK("#",""), HYPERLINK(CONCATENATE("#Metadata!", ADDRESS(INDEX($X$2:$X$1001,MATCH(ROWS($V$2:V290),$V$2:$V$1001,0),0), INDEX($AC$1004:$AS$1004,1,MATCH(COLUMNS($AC$1006:AI1006),$AC$1006:$AS$1006,0)))),"Fix")))</f>
        <v>0</v>
      </c>
      <c r="I290" s="5">
        <f>IF(OR(INDEX($W$2:$W$1001,MATCH(ROWS($V$2:V290),$V$2:$V$1001,0),1)&gt;=100000,INDEX($AC$1005:$AS$1005,1,MATCH(COLUMNS($AC$1006:AJ1006),$AC$1006:$AS$1006,0))&gt;=100000), " ",IF(INDEX($AC$2:$AS$1001,MATCH(ROWS($V$2:V290),$V$2:$V$1001,0),MATCH(COLUMNS($AC$1006:AJ1006),$AC$1006:$AS$1006,0)), HYPERLINK("#",""), HYPERLINK(CONCATENATE("#Metadata!", ADDRESS(INDEX($X$2:$X$1001,MATCH(ROWS($V$2:V290),$V$2:$V$1001,0),0), INDEX($AC$1004:$AS$1004,1,MATCH(COLUMNS($AC$1006:AJ1006),$AC$1006:$AS$1006,0)))),"Fix")))</f>
        <v>0</v>
      </c>
      <c r="J290" s="5">
        <f>IF(OR(INDEX($W$2:$W$1001,MATCH(ROWS($V$2:V290),$V$2:$V$1001,0),1)&gt;=100000,INDEX($AC$1005:$AS$1005,1,MATCH(COLUMNS($AC$1006:AK1006),$AC$1006:$AS$1006,0))&gt;=100000), " ",IF(INDEX($AC$2:$AS$1001,MATCH(ROWS($V$2:V290),$V$2:$V$1001,0),MATCH(COLUMNS($AC$1006:AK1006),$AC$1006:$AS$1006,0)), HYPERLINK("#",""), HYPERLINK(CONCATENATE("#Metadata!", ADDRESS(INDEX($X$2:$X$1001,MATCH(ROWS($V$2:V290),$V$2:$V$1001,0),0), INDEX($AC$1004:$AS$1004,1,MATCH(COLUMNS($AC$1006:AK1006),$AC$1006:$AS$1006,0)))),"Fix")))</f>
        <v>0</v>
      </c>
      <c r="K290" s="5">
        <f>IF(OR(INDEX($W$2:$W$1001,MATCH(ROWS($V$2:V290),$V$2:$V$1001,0),1)&gt;=100000,INDEX($AC$1005:$AS$1005,1,MATCH(COLUMNS($AC$1006:AL1006),$AC$1006:$AS$1006,0))&gt;=100000), " ",IF(INDEX($AC$2:$AS$1001,MATCH(ROWS($V$2:V290),$V$2:$V$1001,0),MATCH(COLUMNS($AC$1006:AL1006),$AC$1006:$AS$1006,0)), HYPERLINK("#",""), HYPERLINK(CONCATENATE("#Metadata!", ADDRESS(INDEX($X$2:$X$1001,MATCH(ROWS($V$2:V290),$V$2:$V$1001,0),0), INDEX($AC$1004:$AS$1004,1,MATCH(COLUMNS($AC$1006:AL1006),$AC$1006:$AS$1006,0)))),"Fix")))</f>
        <v>0</v>
      </c>
      <c r="L290" s="5">
        <f>IF(OR(INDEX($W$2:$W$1001,MATCH(ROWS($V$2:V290),$V$2:$V$1001,0),1)&gt;=100000,INDEX($AC$1005:$AS$1005,1,MATCH(COLUMNS($AC$1006:AM1006),$AC$1006:$AS$1006,0))&gt;=100000), " ",IF(INDEX($AC$2:$AS$1001,MATCH(ROWS($V$2:V290),$V$2:$V$1001,0),MATCH(COLUMNS($AC$1006:AM1006),$AC$1006:$AS$1006,0)), HYPERLINK("#",""), HYPERLINK(CONCATENATE("#Metadata!", ADDRESS(INDEX($X$2:$X$1001,MATCH(ROWS($V$2:V290),$V$2:$V$1001,0),0), INDEX($AC$1004:$AS$1004,1,MATCH(COLUMNS($AC$1006:AM1006),$AC$1006:$AS$1006,0)))),"Fix")))</f>
        <v>0</v>
      </c>
      <c r="M290" s="5">
        <f>IF(OR(INDEX($W$2:$W$1001,MATCH(ROWS($V$2:V290),$V$2:$V$1001,0),1)&gt;=100000,INDEX($AC$1005:$AS$1005,1,MATCH(COLUMNS($AC$1006:AN1006),$AC$1006:$AS$1006,0))&gt;=100000), " ",IF(INDEX($AC$2:$AS$1001,MATCH(ROWS($V$2:V290),$V$2:$V$1001,0),MATCH(COLUMNS($AC$1006:AN1006),$AC$1006:$AS$1006,0)), HYPERLINK("#",""), HYPERLINK(CONCATENATE("#Metadata!", ADDRESS(INDEX($X$2:$X$1001,MATCH(ROWS($V$2:V290),$V$2:$V$1001,0),0), INDEX($AC$1004:$AS$1004,1,MATCH(COLUMNS($AC$1006:AN1006),$AC$1006:$AS$1006,0)))),"Fix")))</f>
        <v>0</v>
      </c>
      <c r="N290" s="5">
        <f>IF(OR(INDEX($W$2:$W$1001,MATCH(ROWS($V$2:V290),$V$2:$V$1001,0),1)&gt;=100000,INDEX($AC$1005:$AS$1005,1,MATCH(COLUMNS($AC$1006:AO1006),$AC$1006:$AS$1006,0))&gt;=100000), " ",IF(INDEX($AC$2:$AS$1001,MATCH(ROWS($V$2:V290),$V$2:$V$1001,0),MATCH(COLUMNS($AC$1006:AO1006),$AC$1006:$AS$1006,0)), HYPERLINK("#",""), HYPERLINK(CONCATENATE("#Metadata!", ADDRESS(INDEX($X$2:$X$1001,MATCH(ROWS($V$2:V290),$V$2:$V$1001,0),0), INDEX($AC$1004:$AS$1004,1,MATCH(COLUMNS($AC$1006:AO1006),$AC$1006:$AS$1006,0)))),"Fix")))</f>
        <v>0</v>
      </c>
      <c r="O290" s="5">
        <f>IF(OR(INDEX($W$2:$W$1001,MATCH(ROWS($V$2:V290),$V$2:$V$1001,0),1)&gt;=100000,INDEX($AC$1005:$AS$1005,1,MATCH(COLUMNS($AC$1006:AP1006),$AC$1006:$AS$1006,0))&gt;=100000), " ",IF(INDEX($AC$2:$AS$1001,MATCH(ROWS($V$2:V290),$V$2:$V$1001,0),MATCH(COLUMNS($AC$1006:AP1006),$AC$1006:$AS$1006,0)), HYPERLINK("#",""), HYPERLINK(CONCATENATE("#Metadata!", ADDRESS(INDEX($X$2:$X$1001,MATCH(ROWS($V$2:V290),$V$2:$V$1001,0),0), INDEX($AC$1004:$AS$1004,1,MATCH(COLUMNS($AC$1006:AP1006),$AC$1006:$AS$1006,0)))),"Fix")))</f>
        <v>0</v>
      </c>
      <c r="P290" s="5">
        <f>IF(OR(INDEX($W$2:$W$1001,MATCH(ROWS($V$2:V290),$V$2:$V$1001,0),1)&gt;=100000,INDEX($AC$1005:$AS$1005,1,MATCH(COLUMNS($AC$1006:AQ1006),$AC$1006:$AS$1006,0))&gt;=100000), " ",IF(INDEX($AC$2:$AS$1001,MATCH(ROWS($V$2:V290),$V$2:$V$1001,0),MATCH(COLUMNS($AC$1006:AQ1006),$AC$1006:$AS$1006,0)), HYPERLINK("#",""), HYPERLINK(CONCATENATE("#Metadata!", ADDRESS(INDEX($X$2:$X$1001,MATCH(ROWS($V$2:V290),$V$2:$V$1001,0),0), INDEX($AC$1004:$AS$1004,1,MATCH(COLUMNS($AC$1006:AQ1006),$AC$1006:$AS$1006,0)))),"Fix")))</f>
        <v>0</v>
      </c>
      <c r="Q290" s="5">
        <f>IF(OR(INDEX($W$2:$W$1001,MATCH(ROWS($V$2:V290),$V$2:$V$1001,0),1)&gt;=100000,INDEX($AC$1005:$AS$1005,1,MATCH(COLUMNS($AC$1006:AR1006),$AC$1006:$AS$1006,0))&gt;=100000), " ",IF(INDEX($AC$2:$AS$1001,MATCH(ROWS($V$2:V290),$V$2:$V$1001,0),MATCH(COLUMNS($AC$1006:AR1006),$AC$1006:$AS$1006,0)), HYPERLINK("#",""), HYPERLINK(CONCATENATE("#Metadata!", ADDRESS(INDEX($X$2:$X$1001,MATCH(ROWS($V$2:V290),$V$2:$V$1001,0),0), INDEX($AC$1004:$AS$1004,1,MATCH(COLUMNS($AC$1006:AR1006),$AC$1006:$AS$1006,0)))),"Fix")))</f>
        <v>0</v>
      </c>
      <c r="R290" s="5">
        <f>IF(OR(INDEX($W$2:$W$1001,MATCH(ROWS($V$2:V290),$V$2:$V$1001,0),1)&gt;=100000,INDEX($AC$1005:$AS$1005,1,MATCH(COLUMNS($AC$1006:AS1006),$AC$1006:$AS$1006,0))&gt;=100000), " ",IF(INDEX($AC$2:$AS$1001,MATCH(ROWS($V$2:V290),$V$2:$V$1001,0),MATCH(COLUMNS($AC$1006:AS1006),$AC$1006:$AS$1006,0)), HYPERLINK("#",""), HYPERLINK(CONCATENATE("#Metadata!", ADDRESS(INDEX($X$2:$X$1001,MATCH(ROWS($V$2:V290),$V$2:$V$1001,0),0), INDEX($AC$1004:$AS$1004,1,MATCH(COLUMNS($AC$1006:AS1006),$AC$1006:$AS$1006,0)))),"Fix")))</f>
        <v>0</v>
      </c>
      <c r="V290">
        <v>0</v>
      </c>
      <c r="W290">
        <v>0</v>
      </c>
      <c r="X290">
        <v>0</v>
      </c>
      <c r="Y290">
        <f>IF(Z290,TRUE,AND(AC290:AS290))</f>
        <v>0</v>
      </c>
      <c r="Z290">
        <f>COUNTBLANK(Metadata!B290:R290)=COLUMNS(Metadata!B290:R290)</f>
        <v>0</v>
      </c>
      <c r="AA290">
        <v>0</v>
      </c>
      <c r="AC290">
        <f>AND(IF(Metadata!B290="",FALSE,TRUE),COUNTIF(Metadata!B:B, Metadata!B290) = 1,NOT(ISERROR(SUMPRODUCT(SEARCH(MID(Metadata!B290,ROW(INDIRECT("1:"&amp;LEN(Metadata!B290))), 1),"0123456789abcdefghijklmnopqrstuvwxyzABCDEFGHIJKLMNOPQRSTUVWXYZ.")))))</f>
        <v>0</v>
      </c>
      <c r="AD290">
        <f>AND(IF(Metadata!C290="",FALSE,TRUE),exact(Metadata!C290,"Host-associated"))</f>
        <v>0</v>
      </c>
      <c r="AE290">
        <f>AND(IF(Metadata!D290="",FALSE,TRUE),OR(exact(Metadata!D290,"Animal"),exact(Metadata!D290,"Fungus"),exact(Metadata!D290,"Plant")))</f>
        <v>0</v>
      </c>
      <c r="AF290">
        <f>AND(IF(Metadata!E290="",FALSE,TRUE),OR(exact(Metadata!E290,"Plant secretion"),exact(Metadata!E290,"Plant rhizosphere"),exact(Metadata!E290,"Plant surface"),exact(Metadata!E290,"Plant corpus"),exact(Metadata!E290,"Fungus surface"),exact(Metadata!E290,"Fungus corpus"),exact(Metadata!E290,"Animal surface"),exact(Metadata!E290,"Animal proximal gut"),exact(Metadata!E290,"Animal corpus"),exact(Metadata!E290,"Animal distal gut"),exact(Metadata!E290,"Animal secretion")))</f>
        <v>0</v>
      </c>
      <c r="AG290">
        <f>OR(AND(IF(Metadata!F290="",FALSE,TRUE),OR(exact(Metadata!F290,"not collected"),exact(Metadata!F290,"not provided"),exact(Metadata!F290,"restricted access"))),AND(IF(Metadata!F290="",FALSE,TRUE),OR(exact(Metadata!F290,"organism-associated habitat"),exact(Metadata!F290,"plant-associated habitat"),exact(Metadata!F290,"animal-associated habitat"),exact(Metadata!F290,"insecta-associated habitat"),exact(Metadata!F290,"mammalia-associated habitat"),exact(Metadata!F290,"human-associated habitat"),exact(Metadata!F290,"livestock-associated habitat"))))</f>
        <v>0</v>
      </c>
      <c r="AH290">
        <f>AND(IF(Metadata!G290="",FALSE,TRUE),exact(Metadata!G290,"host-associated"))</f>
        <v>0</v>
      </c>
      <c r="AI290">
        <f>OR(AND(IF(Metadata!H290="",FALSE,TRUE),OR(exact(Metadata!H290,"not collected"),exact(Metadata!H290,"not provided"))),AND(IF(Metadata!H290="",FALSE,ISNUMBER(VALUE(Metadata!H290))),Metadata!H290&gt;0))</f>
        <v>0</v>
      </c>
      <c r="AJ290">
        <f>AND(IF(Metadata!I290="",FALSE,TRUE),exact(Metadata!I290,"years"))</f>
        <v>0</v>
      </c>
      <c r="AK290">
        <f>IF(Metadata!J290="",FALSE,TRUE)</f>
        <v>0</v>
      </c>
      <c r="AL290">
        <f>OR(AND(IF(Metadata!K290="",FALSE,TRUE),OR(exact(Metadata!K290,"not collected"),exact(Metadata!K290,"not provided"))),AND(IF(Metadata!K290="",FALSE,ISNUMBER(VALUE(Metadata!K290))),Metadata!K290&gt;0))</f>
        <v>0</v>
      </c>
      <c r="AM290">
        <f>AND(IF(Metadata!L290="",FALSE,TRUE),exact(Metadata!L290,"cm"))</f>
        <v>0</v>
      </c>
      <c r="AN290">
        <f>IF(Metadata!M290="",FALSE,TRUE)</f>
        <v>0</v>
      </c>
      <c r="AO290">
        <f>OR(AND(IF(Metadata!N290="",FALSE,TRUE),OR(exact(Metadata!N290,"not applicable"),exact(Metadata!N290,"not collected"),exact(Metadata!N290,"not provided"))),AND(IF(Metadata!N290="",FALSE,IF(ISERROR(INT(Metadata!N290)),FALSE,INT(Metadata!N290)=Metadata!N290)),Metadata!N290&gt;0))</f>
        <v>0</v>
      </c>
      <c r="AP290">
        <f>OR(AND(IF(Metadata!O290="",FALSE,TRUE),OR(exact(Metadata!O290,"not collected"),exact(Metadata!O290,"not provided"))),AND(IF(Metadata!O290="",FALSE,ISNUMBER(VALUE(Metadata!O290))),Metadata!O290&gt;0))</f>
        <v>0</v>
      </c>
      <c r="AQ290">
        <f>AND(IF(Metadata!P290="",FALSE,TRUE),exact(Metadata!P290,"kg"))</f>
        <v>0</v>
      </c>
      <c r="AR290">
        <f>OR(AND(IF(Metadata!Q290="",FALSE,TRUE),OR(exact(Metadata!Q290,"not applicable"),exact(Metadata!Q290,"not collected"),exact(Metadata!Q290,"not provided"),exact(Metadata!Q290,"restricted access"))),IF(Metadata!Q290="",FALSE,IF(ISERROR(INT(Metadata!Q290)),FALSE,INT(Metadata!Q290)=Metadata!Q290)))</f>
        <v>0</v>
      </c>
      <c r="AS290">
        <f>AND(IF(Metadata!R290="",FALSE,TRUE),exact(Metadata!R290,"Not applicable"))</f>
        <v>0</v>
      </c>
    </row>
    <row r="291" spans="1:45">
      <c r="A291" s="4">
        <f>IF(B291=" "," ",HYPERLINK(CONCATENATE("#metadata!",ADDRESS(INDEX($X$2:$X$1001,MATCH(ROWS($V$2:V291),$V$2:$V$1001,0),0),2)),INDEX($AA$2:$AA$1001,MATCH(ROWS($V$2:V291),$V$2:$V$1001,0),0)))</f>
        <v>0</v>
      </c>
      <c r="B291" s="5">
        <f>IF(OR(INDEX($W$2:$W$1001,MATCH(ROWS($V$2:V291),$V$2:$V$1001,0),1)&gt;=100000,INDEX($AC$1005:$AS$1005,1,MATCH(COLUMNS($AC$1006:AC1006),$AC$1006:$AS$1006,0))&gt;=100000), " ",IF(INDEX($AC$2:$AS$1001,MATCH(ROWS($V$2:V291),$V$2:$V$1001,0),MATCH(COLUMNS($AC$1006:AC1006),$AC$1006:$AS$1006,0)), HYPERLINK("#",""), HYPERLINK(CONCATENATE("#Metadata!", ADDRESS(INDEX($X$2:$X$1001,MATCH(ROWS($V$2:V291),$V$2:$V$1001,0),0), INDEX($AC$1004:$AS$1004,1,MATCH(COLUMNS($AC$1006:AC1006),$AC$1006:$AS$1006,0)))),"Fix")))</f>
        <v>0</v>
      </c>
      <c r="C291" s="5">
        <f>IF(OR(INDEX($W$2:$W$1001,MATCH(ROWS($V$2:V291),$V$2:$V$1001,0),1)&gt;=100000,INDEX($AC$1005:$AS$1005,1,MATCH(COLUMNS($AC$1006:AD1006),$AC$1006:$AS$1006,0))&gt;=100000), " ",IF(INDEX($AC$2:$AS$1001,MATCH(ROWS($V$2:V291),$V$2:$V$1001,0),MATCH(COLUMNS($AC$1006:AD1006),$AC$1006:$AS$1006,0)), HYPERLINK("#",""), HYPERLINK(CONCATENATE("#Metadata!", ADDRESS(INDEX($X$2:$X$1001,MATCH(ROWS($V$2:V291),$V$2:$V$1001,0),0), INDEX($AC$1004:$AS$1004,1,MATCH(COLUMNS($AC$1006:AD1006),$AC$1006:$AS$1006,0)))),"Fix")))</f>
        <v>0</v>
      </c>
      <c r="D291" s="5">
        <f>IF(OR(INDEX($W$2:$W$1001,MATCH(ROWS($V$2:V291),$V$2:$V$1001,0),1)&gt;=100000,INDEX($AC$1005:$AS$1005,1,MATCH(COLUMNS($AC$1006:AE1006),$AC$1006:$AS$1006,0))&gt;=100000), " ",IF(INDEX($AC$2:$AS$1001,MATCH(ROWS($V$2:V291),$V$2:$V$1001,0),MATCH(COLUMNS($AC$1006:AE1006),$AC$1006:$AS$1006,0)), HYPERLINK("#",""), HYPERLINK(CONCATENATE("#Metadata!", ADDRESS(INDEX($X$2:$X$1001,MATCH(ROWS($V$2:V291),$V$2:$V$1001,0),0), INDEX($AC$1004:$AS$1004,1,MATCH(COLUMNS($AC$1006:AE1006),$AC$1006:$AS$1006,0)))),"Fix")))</f>
        <v>0</v>
      </c>
      <c r="E291" s="5">
        <f>IF(OR(INDEX($W$2:$W$1001,MATCH(ROWS($V$2:V291),$V$2:$V$1001,0),1)&gt;=100000,INDEX($AC$1005:$AS$1005,1,MATCH(COLUMNS($AC$1006:AF1006),$AC$1006:$AS$1006,0))&gt;=100000), " ",IF(INDEX($AC$2:$AS$1001,MATCH(ROWS($V$2:V291),$V$2:$V$1001,0),MATCH(COLUMNS($AC$1006:AF1006),$AC$1006:$AS$1006,0)), HYPERLINK("#",""), HYPERLINK(CONCATENATE("#Metadata!", ADDRESS(INDEX($X$2:$X$1001,MATCH(ROWS($V$2:V291),$V$2:$V$1001,0),0), INDEX($AC$1004:$AS$1004,1,MATCH(COLUMNS($AC$1006:AF1006),$AC$1006:$AS$1006,0)))),"Fix")))</f>
        <v>0</v>
      </c>
      <c r="F291" s="5">
        <f>IF(OR(INDEX($W$2:$W$1001,MATCH(ROWS($V$2:V291),$V$2:$V$1001,0),1)&gt;=100000,INDEX($AC$1005:$AS$1005,1,MATCH(COLUMNS($AC$1006:AG1006),$AC$1006:$AS$1006,0))&gt;=100000), " ",IF(INDEX($AC$2:$AS$1001,MATCH(ROWS($V$2:V291),$V$2:$V$1001,0),MATCH(COLUMNS($AC$1006:AG1006),$AC$1006:$AS$1006,0)), HYPERLINK("#",""), HYPERLINK(CONCATENATE("#Metadata!", ADDRESS(INDEX($X$2:$X$1001,MATCH(ROWS($V$2:V291),$V$2:$V$1001,0),0), INDEX($AC$1004:$AS$1004,1,MATCH(COLUMNS($AC$1006:AG1006),$AC$1006:$AS$1006,0)))),"Fix")))</f>
        <v>0</v>
      </c>
      <c r="G291" s="5">
        <f>IF(OR(INDEX($W$2:$W$1001,MATCH(ROWS($V$2:V291),$V$2:$V$1001,0),1)&gt;=100000,INDEX($AC$1005:$AS$1005,1,MATCH(COLUMNS($AC$1006:AH1006),$AC$1006:$AS$1006,0))&gt;=100000), " ",IF(INDEX($AC$2:$AS$1001,MATCH(ROWS($V$2:V291),$V$2:$V$1001,0),MATCH(COLUMNS($AC$1006:AH1006),$AC$1006:$AS$1006,0)), HYPERLINK("#",""), HYPERLINK(CONCATENATE("#Metadata!", ADDRESS(INDEX($X$2:$X$1001,MATCH(ROWS($V$2:V291),$V$2:$V$1001,0),0), INDEX($AC$1004:$AS$1004,1,MATCH(COLUMNS($AC$1006:AH1006),$AC$1006:$AS$1006,0)))),"Fix")))</f>
        <v>0</v>
      </c>
      <c r="H291" s="5">
        <f>IF(OR(INDEX($W$2:$W$1001,MATCH(ROWS($V$2:V291),$V$2:$V$1001,0),1)&gt;=100000,INDEX($AC$1005:$AS$1005,1,MATCH(COLUMNS($AC$1006:AI1006),$AC$1006:$AS$1006,0))&gt;=100000), " ",IF(INDEX($AC$2:$AS$1001,MATCH(ROWS($V$2:V291),$V$2:$V$1001,0),MATCH(COLUMNS($AC$1006:AI1006),$AC$1006:$AS$1006,0)), HYPERLINK("#",""), HYPERLINK(CONCATENATE("#Metadata!", ADDRESS(INDEX($X$2:$X$1001,MATCH(ROWS($V$2:V291),$V$2:$V$1001,0),0), INDEX($AC$1004:$AS$1004,1,MATCH(COLUMNS($AC$1006:AI1006),$AC$1006:$AS$1006,0)))),"Fix")))</f>
        <v>0</v>
      </c>
      <c r="I291" s="5">
        <f>IF(OR(INDEX($W$2:$W$1001,MATCH(ROWS($V$2:V291),$V$2:$V$1001,0),1)&gt;=100000,INDEX($AC$1005:$AS$1005,1,MATCH(COLUMNS($AC$1006:AJ1006),$AC$1006:$AS$1006,0))&gt;=100000), " ",IF(INDEX($AC$2:$AS$1001,MATCH(ROWS($V$2:V291),$V$2:$V$1001,0),MATCH(COLUMNS($AC$1006:AJ1006),$AC$1006:$AS$1006,0)), HYPERLINK("#",""), HYPERLINK(CONCATENATE("#Metadata!", ADDRESS(INDEX($X$2:$X$1001,MATCH(ROWS($V$2:V291),$V$2:$V$1001,0),0), INDEX($AC$1004:$AS$1004,1,MATCH(COLUMNS($AC$1006:AJ1006),$AC$1006:$AS$1006,0)))),"Fix")))</f>
        <v>0</v>
      </c>
      <c r="J291" s="5">
        <f>IF(OR(INDEX($W$2:$W$1001,MATCH(ROWS($V$2:V291),$V$2:$V$1001,0),1)&gt;=100000,INDEX($AC$1005:$AS$1005,1,MATCH(COLUMNS($AC$1006:AK1006),$AC$1006:$AS$1006,0))&gt;=100000), " ",IF(INDEX($AC$2:$AS$1001,MATCH(ROWS($V$2:V291),$V$2:$V$1001,0),MATCH(COLUMNS($AC$1006:AK1006),$AC$1006:$AS$1006,0)), HYPERLINK("#",""), HYPERLINK(CONCATENATE("#Metadata!", ADDRESS(INDEX($X$2:$X$1001,MATCH(ROWS($V$2:V291),$V$2:$V$1001,0),0), INDEX($AC$1004:$AS$1004,1,MATCH(COLUMNS($AC$1006:AK1006),$AC$1006:$AS$1006,0)))),"Fix")))</f>
        <v>0</v>
      </c>
      <c r="K291" s="5">
        <f>IF(OR(INDEX($W$2:$W$1001,MATCH(ROWS($V$2:V291),$V$2:$V$1001,0),1)&gt;=100000,INDEX($AC$1005:$AS$1005,1,MATCH(COLUMNS($AC$1006:AL1006),$AC$1006:$AS$1006,0))&gt;=100000), " ",IF(INDEX($AC$2:$AS$1001,MATCH(ROWS($V$2:V291),$V$2:$V$1001,0),MATCH(COLUMNS($AC$1006:AL1006),$AC$1006:$AS$1006,0)), HYPERLINK("#",""), HYPERLINK(CONCATENATE("#Metadata!", ADDRESS(INDEX($X$2:$X$1001,MATCH(ROWS($V$2:V291),$V$2:$V$1001,0),0), INDEX($AC$1004:$AS$1004,1,MATCH(COLUMNS($AC$1006:AL1006),$AC$1006:$AS$1006,0)))),"Fix")))</f>
        <v>0</v>
      </c>
      <c r="L291" s="5">
        <f>IF(OR(INDEX($W$2:$W$1001,MATCH(ROWS($V$2:V291),$V$2:$V$1001,0),1)&gt;=100000,INDEX($AC$1005:$AS$1005,1,MATCH(COLUMNS($AC$1006:AM1006),$AC$1006:$AS$1006,0))&gt;=100000), " ",IF(INDEX($AC$2:$AS$1001,MATCH(ROWS($V$2:V291),$V$2:$V$1001,0),MATCH(COLUMNS($AC$1006:AM1006),$AC$1006:$AS$1006,0)), HYPERLINK("#",""), HYPERLINK(CONCATENATE("#Metadata!", ADDRESS(INDEX($X$2:$X$1001,MATCH(ROWS($V$2:V291),$V$2:$V$1001,0),0), INDEX($AC$1004:$AS$1004,1,MATCH(COLUMNS($AC$1006:AM1006),$AC$1006:$AS$1006,0)))),"Fix")))</f>
        <v>0</v>
      </c>
      <c r="M291" s="5">
        <f>IF(OR(INDEX($W$2:$W$1001,MATCH(ROWS($V$2:V291),$V$2:$V$1001,0),1)&gt;=100000,INDEX($AC$1005:$AS$1005,1,MATCH(COLUMNS($AC$1006:AN1006),$AC$1006:$AS$1006,0))&gt;=100000), " ",IF(INDEX($AC$2:$AS$1001,MATCH(ROWS($V$2:V291),$V$2:$V$1001,0),MATCH(COLUMNS($AC$1006:AN1006),$AC$1006:$AS$1006,0)), HYPERLINK("#",""), HYPERLINK(CONCATENATE("#Metadata!", ADDRESS(INDEX($X$2:$X$1001,MATCH(ROWS($V$2:V291),$V$2:$V$1001,0),0), INDEX($AC$1004:$AS$1004,1,MATCH(COLUMNS($AC$1006:AN1006),$AC$1006:$AS$1006,0)))),"Fix")))</f>
        <v>0</v>
      </c>
      <c r="N291" s="5">
        <f>IF(OR(INDEX($W$2:$W$1001,MATCH(ROWS($V$2:V291),$V$2:$V$1001,0),1)&gt;=100000,INDEX($AC$1005:$AS$1005,1,MATCH(COLUMNS($AC$1006:AO1006),$AC$1006:$AS$1006,0))&gt;=100000), " ",IF(INDEX($AC$2:$AS$1001,MATCH(ROWS($V$2:V291),$V$2:$V$1001,0),MATCH(COLUMNS($AC$1006:AO1006),$AC$1006:$AS$1006,0)), HYPERLINK("#",""), HYPERLINK(CONCATENATE("#Metadata!", ADDRESS(INDEX($X$2:$X$1001,MATCH(ROWS($V$2:V291),$V$2:$V$1001,0),0), INDEX($AC$1004:$AS$1004,1,MATCH(COLUMNS($AC$1006:AO1006),$AC$1006:$AS$1006,0)))),"Fix")))</f>
        <v>0</v>
      </c>
      <c r="O291" s="5">
        <f>IF(OR(INDEX($W$2:$W$1001,MATCH(ROWS($V$2:V291),$V$2:$V$1001,0),1)&gt;=100000,INDEX($AC$1005:$AS$1005,1,MATCH(COLUMNS($AC$1006:AP1006),$AC$1006:$AS$1006,0))&gt;=100000), " ",IF(INDEX($AC$2:$AS$1001,MATCH(ROWS($V$2:V291),$V$2:$V$1001,0),MATCH(COLUMNS($AC$1006:AP1006),$AC$1006:$AS$1006,0)), HYPERLINK("#",""), HYPERLINK(CONCATENATE("#Metadata!", ADDRESS(INDEX($X$2:$X$1001,MATCH(ROWS($V$2:V291),$V$2:$V$1001,0),0), INDEX($AC$1004:$AS$1004,1,MATCH(COLUMNS($AC$1006:AP1006),$AC$1006:$AS$1006,0)))),"Fix")))</f>
        <v>0</v>
      </c>
      <c r="P291" s="5">
        <f>IF(OR(INDEX($W$2:$W$1001,MATCH(ROWS($V$2:V291),$V$2:$V$1001,0),1)&gt;=100000,INDEX($AC$1005:$AS$1005,1,MATCH(COLUMNS($AC$1006:AQ1006),$AC$1006:$AS$1006,0))&gt;=100000), " ",IF(INDEX($AC$2:$AS$1001,MATCH(ROWS($V$2:V291),$V$2:$V$1001,0),MATCH(COLUMNS($AC$1006:AQ1006),$AC$1006:$AS$1006,0)), HYPERLINK("#",""), HYPERLINK(CONCATENATE("#Metadata!", ADDRESS(INDEX($X$2:$X$1001,MATCH(ROWS($V$2:V291),$V$2:$V$1001,0),0), INDEX($AC$1004:$AS$1004,1,MATCH(COLUMNS($AC$1006:AQ1006),$AC$1006:$AS$1006,0)))),"Fix")))</f>
        <v>0</v>
      </c>
      <c r="Q291" s="5">
        <f>IF(OR(INDEX($W$2:$W$1001,MATCH(ROWS($V$2:V291),$V$2:$V$1001,0),1)&gt;=100000,INDEX($AC$1005:$AS$1005,1,MATCH(COLUMNS($AC$1006:AR1006),$AC$1006:$AS$1006,0))&gt;=100000), " ",IF(INDEX($AC$2:$AS$1001,MATCH(ROWS($V$2:V291),$V$2:$V$1001,0),MATCH(COLUMNS($AC$1006:AR1006),$AC$1006:$AS$1006,0)), HYPERLINK("#",""), HYPERLINK(CONCATENATE("#Metadata!", ADDRESS(INDEX($X$2:$X$1001,MATCH(ROWS($V$2:V291),$V$2:$V$1001,0),0), INDEX($AC$1004:$AS$1004,1,MATCH(COLUMNS($AC$1006:AR1006),$AC$1006:$AS$1006,0)))),"Fix")))</f>
        <v>0</v>
      </c>
      <c r="R291" s="5">
        <f>IF(OR(INDEX($W$2:$W$1001,MATCH(ROWS($V$2:V291),$V$2:$V$1001,0),1)&gt;=100000,INDEX($AC$1005:$AS$1005,1,MATCH(COLUMNS($AC$1006:AS1006),$AC$1006:$AS$1006,0))&gt;=100000), " ",IF(INDEX($AC$2:$AS$1001,MATCH(ROWS($V$2:V291),$V$2:$V$1001,0),MATCH(COLUMNS($AC$1006:AS1006),$AC$1006:$AS$1006,0)), HYPERLINK("#",""), HYPERLINK(CONCATENATE("#Metadata!", ADDRESS(INDEX($X$2:$X$1001,MATCH(ROWS($V$2:V291),$V$2:$V$1001,0),0), INDEX($AC$1004:$AS$1004,1,MATCH(COLUMNS($AC$1006:AS1006),$AC$1006:$AS$1006,0)))),"Fix")))</f>
        <v>0</v>
      </c>
      <c r="V291">
        <v>0</v>
      </c>
      <c r="W291">
        <v>0</v>
      </c>
      <c r="X291">
        <v>0</v>
      </c>
      <c r="Y291">
        <f>IF(Z291,TRUE,AND(AC291:AS291))</f>
        <v>0</v>
      </c>
      <c r="Z291">
        <f>COUNTBLANK(Metadata!B291:R291)=COLUMNS(Metadata!B291:R291)</f>
        <v>0</v>
      </c>
      <c r="AA291">
        <v>0</v>
      </c>
      <c r="AC291">
        <f>AND(IF(Metadata!B291="",FALSE,TRUE),COUNTIF(Metadata!B:B, Metadata!B291) = 1,NOT(ISERROR(SUMPRODUCT(SEARCH(MID(Metadata!B291,ROW(INDIRECT("1:"&amp;LEN(Metadata!B291))), 1),"0123456789abcdefghijklmnopqrstuvwxyzABCDEFGHIJKLMNOPQRSTUVWXYZ.")))))</f>
        <v>0</v>
      </c>
      <c r="AD291">
        <f>AND(IF(Metadata!C291="",FALSE,TRUE),exact(Metadata!C291,"Host-associated"))</f>
        <v>0</v>
      </c>
      <c r="AE291">
        <f>AND(IF(Metadata!D291="",FALSE,TRUE),OR(exact(Metadata!D291,"Animal"),exact(Metadata!D291,"Fungus"),exact(Metadata!D291,"Plant")))</f>
        <v>0</v>
      </c>
      <c r="AF291">
        <f>AND(IF(Metadata!E291="",FALSE,TRUE),OR(exact(Metadata!E291,"Plant secretion"),exact(Metadata!E291,"Plant rhizosphere"),exact(Metadata!E291,"Plant surface"),exact(Metadata!E291,"Plant corpus"),exact(Metadata!E291,"Fungus surface"),exact(Metadata!E291,"Fungus corpus"),exact(Metadata!E291,"Animal surface"),exact(Metadata!E291,"Animal proximal gut"),exact(Metadata!E291,"Animal corpus"),exact(Metadata!E291,"Animal distal gut"),exact(Metadata!E291,"Animal secretion")))</f>
        <v>0</v>
      </c>
      <c r="AG291">
        <f>OR(AND(IF(Metadata!F291="",FALSE,TRUE),OR(exact(Metadata!F291,"not collected"),exact(Metadata!F291,"not provided"),exact(Metadata!F291,"restricted access"))),AND(IF(Metadata!F291="",FALSE,TRUE),OR(exact(Metadata!F291,"organism-associated habitat"),exact(Metadata!F291,"plant-associated habitat"),exact(Metadata!F291,"animal-associated habitat"),exact(Metadata!F291,"insecta-associated habitat"),exact(Metadata!F291,"mammalia-associated habitat"),exact(Metadata!F291,"human-associated habitat"),exact(Metadata!F291,"livestock-associated habitat"))))</f>
        <v>0</v>
      </c>
      <c r="AH291">
        <f>AND(IF(Metadata!G291="",FALSE,TRUE),exact(Metadata!G291,"host-associated"))</f>
        <v>0</v>
      </c>
      <c r="AI291">
        <f>OR(AND(IF(Metadata!H291="",FALSE,TRUE),OR(exact(Metadata!H291,"not collected"),exact(Metadata!H291,"not provided"))),AND(IF(Metadata!H291="",FALSE,ISNUMBER(VALUE(Metadata!H291))),Metadata!H291&gt;0))</f>
        <v>0</v>
      </c>
      <c r="AJ291">
        <f>AND(IF(Metadata!I291="",FALSE,TRUE),exact(Metadata!I291,"years"))</f>
        <v>0</v>
      </c>
      <c r="AK291">
        <f>IF(Metadata!J291="",FALSE,TRUE)</f>
        <v>0</v>
      </c>
      <c r="AL291">
        <f>OR(AND(IF(Metadata!K291="",FALSE,TRUE),OR(exact(Metadata!K291,"not collected"),exact(Metadata!K291,"not provided"))),AND(IF(Metadata!K291="",FALSE,ISNUMBER(VALUE(Metadata!K291))),Metadata!K291&gt;0))</f>
        <v>0</v>
      </c>
      <c r="AM291">
        <f>AND(IF(Metadata!L291="",FALSE,TRUE),exact(Metadata!L291,"cm"))</f>
        <v>0</v>
      </c>
      <c r="AN291">
        <f>IF(Metadata!M291="",FALSE,TRUE)</f>
        <v>0</v>
      </c>
      <c r="AO291">
        <f>OR(AND(IF(Metadata!N291="",FALSE,TRUE),OR(exact(Metadata!N291,"not applicable"),exact(Metadata!N291,"not collected"),exact(Metadata!N291,"not provided"))),AND(IF(Metadata!N291="",FALSE,IF(ISERROR(INT(Metadata!N291)),FALSE,INT(Metadata!N291)=Metadata!N291)),Metadata!N291&gt;0))</f>
        <v>0</v>
      </c>
      <c r="AP291">
        <f>OR(AND(IF(Metadata!O291="",FALSE,TRUE),OR(exact(Metadata!O291,"not collected"),exact(Metadata!O291,"not provided"))),AND(IF(Metadata!O291="",FALSE,ISNUMBER(VALUE(Metadata!O291))),Metadata!O291&gt;0))</f>
        <v>0</v>
      </c>
      <c r="AQ291">
        <f>AND(IF(Metadata!P291="",FALSE,TRUE),exact(Metadata!P291,"kg"))</f>
        <v>0</v>
      </c>
      <c r="AR291">
        <f>OR(AND(IF(Metadata!Q291="",FALSE,TRUE),OR(exact(Metadata!Q291,"not applicable"),exact(Metadata!Q291,"not collected"),exact(Metadata!Q291,"not provided"),exact(Metadata!Q291,"restricted access"))),IF(Metadata!Q291="",FALSE,IF(ISERROR(INT(Metadata!Q291)),FALSE,INT(Metadata!Q291)=Metadata!Q291)))</f>
        <v>0</v>
      </c>
      <c r="AS291">
        <f>AND(IF(Metadata!R291="",FALSE,TRUE),exact(Metadata!R291,"Not applicable"))</f>
        <v>0</v>
      </c>
    </row>
    <row r="292" spans="1:45">
      <c r="A292" s="4">
        <f>IF(B292=" "," ",HYPERLINK(CONCATENATE("#metadata!",ADDRESS(INDEX($X$2:$X$1001,MATCH(ROWS($V$2:V292),$V$2:$V$1001,0),0),2)),INDEX($AA$2:$AA$1001,MATCH(ROWS($V$2:V292),$V$2:$V$1001,0),0)))</f>
        <v>0</v>
      </c>
      <c r="B292" s="5">
        <f>IF(OR(INDEX($W$2:$W$1001,MATCH(ROWS($V$2:V292),$V$2:$V$1001,0),1)&gt;=100000,INDEX($AC$1005:$AS$1005,1,MATCH(COLUMNS($AC$1006:AC1006),$AC$1006:$AS$1006,0))&gt;=100000), " ",IF(INDEX($AC$2:$AS$1001,MATCH(ROWS($V$2:V292),$V$2:$V$1001,0),MATCH(COLUMNS($AC$1006:AC1006),$AC$1006:$AS$1006,0)), HYPERLINK("#",""), HYPERLINK(CONCATENATE("#Metadata!", ADDRESS(INDEX($X$2:$X$1001,MATCH(ROWS($V$2:V292),$V$2:$V$1001,0),0), INDEX($AC$1004:$AS$1004,1,MATCH(COLUMNS($AC$1006:AC1006),$AC$1006:$AS$1006,0)))),"Fix")))</f>
        <v>0</v>
      </c>
      <c r="C292" s="5">
        <f>IF(OR(INDEX($W$2:$W$1001,MATCH(ROWS($V$2:V292),$V$2:$V$1001,0),1)&gt;=100000,INDEX($AC$1005:$AS$1005,1,MATCH(COLUMNS($AC$1006:AD1006),$AC$1006:$AS$1006,0))&gt;=100000), " ",IF(INDEX($AC$2:$AS$1001,MATCH(ROWS($V$2:V292),$V$2:$V$1001,0),MATCH(COLUMNS($AC$1006:AD1006),$AC$1006:$AS$1006,0)), HYPERLINK("#",""), HYPERLINK(CONCATENATE("#Metadata!", ADDRESS(INDEX($X$2:$X$1001,MATCH(ROWS($V$2:V292),$V$2:$V$1001,0),0), INDEX($AC$1004:$AS$1004,1,MATCH(COLUMNS($AC$1006:AD1006),$AC$1006:$AS$1006,0)))),"Fix")))</f>
        <v>0</v>
      </c>
      <c r="D292" s="5">
        <f>IF(OR(INDEX($W$2:$W$1001,MATCH(ROWS($V$2:V292),$V$2:$V$1001,0),1)&gt;=100000,INDEX($AC$1005:$AS$1005,1,MATCH(COLUMNS($AC$1006:AE1006),$AC$1006:$AS$1006,0))&gt;=100000), " ",IF(INDEX($AC$2:$AS$1001,MATCH(ROWS($V$2:V292),$V$2:$V$1001,0),MATCH(COLUMNS($AC$1006:AE1006),$AC$1006:$AS$1006,0)), HYPERLINK("#",""), HYPERLINK(CONCATENATE("#Metadata!", ADDRESS(INDEX($X$2:$X$1001,MATCH(ROWS($V$2:V292),$V$2:$V$1001,0),0), INDEX($AC$1004:$AS$1004,1,MATCH(COLUMNS($AC$1006:AE1006),$AC$1006:$AS$1006,0)))),"Fix")))</f>
        <v>0</v>
      </c>
      <c r="E292" s="5">
        <f>IF(OR(INDEX($W$2:$W$1001,MATCH(ROWS($V$2:V292),$V$2:$V$1001,0),1)&gt;=100000,INDEX($AC$1005:$AS$1005,1,MATCH(COLUMNS($AC$1006:AF1006),$AC$1006:$AS$1006,0))&gt;=100000), " ",IF(INDEX($AC$2:$AS$1001,MATCH(ROWS($V$2:V292),$V$2:$V$1001,0),MATCH(COLUMNS($AC$1006:AF1006),$AC$1006:$AS$1006,0)), HYPERLINK("#",""), HYPERLINK(CONCATENATE("#Metadata!", ADDRESS(INDEX($X$2:$X$1001,MATCH(ROWS($V$2:V292),$V$2:$V$1001,0),0), INDEX($AC$1004:$AS$1004,1,MATCH(COLUMNS($AC$1006:AF1006),$AC$1006:$AS$1006,0)))),"Fix")))</f>
        <v>0</v>
      </c>
      <c r="F292" s="5">
        <f>IF(OR(INDEX($W$2:$W$1001,MATCH(ROWS($V$2:V292),$V$2:$V$1001,0),1)&gt;=100000,INDEX($AC$1005:$AS$1005,1,MATCH(COLUMNS($AC$1006:AG1006),$AC$1006:$AS$1006,0))&gt;=100000), " ",IF(INDEX($AC$2:$AS$1001,MATCH(ROWS($V$2:V292),$V$2:$V$1001,0),MATCH(COLUMNS($AC$1006:AG1006),$AC$1006:$AS$1006,0)), HYPERLINK("#",""), HYPERLINK(CONCATENATE("#Metadata!", ADDRESS(INDEX($X$2:$X$1001,MATCH(ROWS($V$2:V292),$V$2:$V$1001,0),0), INDEX($AC$1004:$AS$1004,1,MATCH(COLUMNS($AC$1006:AG1006),$AC$1006:$AS$1006,0)))),"Fix")))</f>
        <v>0</v>
      </c>
      <c r="G292" s="5">
        <f>IF(OR(INDEX($W$2:$W$1001,MATCH(ROWS($V$2:V292),$V$2:$V$1001,0),1)&gt;=100000,INDEX($AC$1005:$AS$1005,1,MATCH(COLUMNS($AC$1006:AH1006),$AC$1006:$AS$1006,0))&gt;=100000), " ",IF(INDEX($AC$2:$AS$1001,MATCH(ROWS($V$2:V292),$V$2:$V$1001,0),MATCH(COLUMNS($AC$1006:AH1006),$AC$1006:$AS$1006,0)), HYPERLINK("#",""), HYPERLINK(CONCATENATE("#Metadata!", ADDRESS(INDEX($X$2:$X$1001,MATCH(ROWS($V$2:V292),$V$2:$V$1001,0),0), INDEX($AC$1004:$AS$1004,1,MATCH(COLUMNS($AC$1006:AH1006),$AC$1006:$AS$1006,0)))),"Fix")))</f>
        <v>0</v>
      </c>
      <c r="H292" s="5">
        <f>IF(OR(INDEX($W$2:$W$1001,MATCH(ROWS($V$2:V292),$V$2:$V$1001,0),1)&gt;=100000,INDEX($AC$1005:$AS$1005,1,MATCH(COLUMNS($AC$1006:AI1006),$AC$1006:$AS$1006,0))&gt;=100000), " ",IF(INDEX($AC$2:$AS$1001,MATCH(ROWS($V$2:V292),$V$2:$V$1001,0),MATCH(COLUMNS($AC$1006:AI1006),$AC$1006:$AS$1006,0)), HYPERLINK("#",""), HYPERLINK(CONCATENATE("#Metadata!", ADDRESS(INDEX($X$2:$X$1001,MATCH(ROWS($V$2:V292),$V$2:$V$1001,0),0), INDEX($AC$1004:$AS$1004,1,MATCH(COLUMNS($AC$1006:AI1006),$AC$1006:$AS$1006,0)))),"Fix")))</f>
        <v>0</v>
      </c>
      <c r="I292" s="5">
        <f>IF(OR(INDEX($W$2:$W$1001,MATCH(ROWS($V$2:V292),$V$2:$V$1001,0),1)&gt;=100000,INDEX($AC$1005:$AS$1005,1,MATCH(COLUMNS($AC$1006:AJ1006),$AC$1006:$AS$1006,0))&gt;=100000), " ",IF(INDEX($AC$2:$AS$1001,MATCH(ROWS($V$2:V292),$V$2:$V$1001,0),MATCH(COLUMNS($AC$1006:AJ1006),$AC$1006:$AS$1006,0)), HYPERLINK("#",""), HYPERLINK(CONCATENATE("#Metadata!", ADDRESS(INDEX($X$2:$X$1001,MATCH(ROWS($V$2:V292),$V$2:$V$1001,0),0), INDEX($AC$1004:$AS$1004,1,MATCH(COLUMNS($AC$1006:AJ1006),$AC$1006:$AS$1006,0)))),"Fix")))</f>
        <v>0</v>
      </c>
      <c r="J292" s="5">
        <f>IF(OR(INDEX($W$2:$W$1001,MATCH(ROWS($V$2:V292),$V$2:$V$1001,0),1)&gt;=100000,INDEX($AC$1005:$AS$1005,1,MATCH(COLUMNS($AC$1006:AK1006),$AC$1006:$AS$1006,0))&gt;=100000), " ",IF(INDEX($AC$2:$AS$1001,MATCH(ROWS($V$2:V292),$V$2:$V$1001,0),MATCH(COLUMNS($AC$1006:AK1006),$AC$1006:$AS$1006,0)), HYPERLINK("#",""), HYPERLINK(CONCATENATE("#Metadata!", ADDRESS(INDEX($X$2:$X$1001,MATCH(ROWS($V$2:V292),$V$2:$V$1001,0),0), INDEX($AC$1004:$AS$1004,1,MATCH(COLUMNS($AC$1006:AK1006),$AC$1006:$AS$1006,0)))),"Fix")))</f>
        <v>0</v>
      </c>
      <c r="K292" s="5">
        <f>IF(OR(INDEX($W$2:$W$1001,MATCH(ROWS($V$2:V292),$V$2:$V$1001,0),1)&gt;=100000,INDEX($AC$1005:$AS$1005,1,MATCH(COLUMNS($AC$1006:AL1006),$AC$1006:$AS$1006,0))&gt;=100000), " ",IF(INDEX($AC$2:$AS$1001,MATCH(ROWS($V$2:V292),$V$2:$V$1001,0),MATCH(COLUMNS($AC$1006:AL1006),$AC$1006:$AS$1006,0)), HYPERLINK("#",""), HYPERLINK(CONCATENATE("#Metadata!", ADDRESS(INDEX($X$2:$X$1001,MATCH(ROWS($V$2:V292),$V$2:$V$1001,0),0), INDEX($AC$1004:$AS$1004,1,MATCH(COLUMNS($AC$1006:AL1006),$AC$1006:$AS$1006,0)))),"Fix")))</f>
        <v>0</v>
      </c>
      <c r="L292" s="5">
        <f>IF(OR(INDEX($W$2:$W$1001,MATCH(ROWS($V$2:V292),$V$2:$V$1001,0),1)&gt;=100000,INDEX($AC$1005:$AS$1005,1,MATCH(COLUMNS($AC$1006:AM1006),$AC$1006:$AS$1006,0))&gt;=100000), " ",IF(INDEX($AC$2:$AS$1001,MATCH(ROWS($V$2:V292),$V$2:$V$1001,0),MATCH(COLUMNS($AC$1006:AM1006),$AC$1006:$AS$1006,0)), HYPERLINK("#",""), HYPERLINK(CONCATENATE("#Metadata!", ADDRESS(INDEX($X$2:$X$1001,MATCH(ROWS($V$2:V292),$V$2:$V$1001,0),0), INDEX($AC$1004:$AS$1004,1,MATCH(COLUMNS($AC$1006:AM1006),$AC$1006:$AS$1006,0)))),"Fix")))</f>
        <v>0</v>
      </c>
      <c r="M292" s="5">
        <f>IF(OR(INDEX($W$2:$W$1001,MATCH(ROWS($V$2:V292),$V$2:$V$1001,0),1)&gt;=100000,INDEX($AC$1005:$AS$1005,1,MATCH(COLUMNS($AC$1006:AN1006),$AC$1006:$AS$1006,0))&gt;=100000), " ",IF(INDEX($AC$2:$AS$1001,MATCH(ROWS($V$2:V292),$V$2:$V$1001,0),MATCH(COLUMNS($AC$1006:AN1006),$AC$1006:$AS$1006,0)), HYPERLINK("#",""), HYPERLINK(CONCATENATE("#Metadata!", ADDRESS(INDEX($X$2:$X$1001,MATCH(ROWS($V$2:V292),$V$2:$V$1001,0),0), INDEX($AC$1004:$AS$1004,1,MATCH(COLUMNS($AC$1006:AN1006),$AC$1006:$AS$1006,0)))),"Fix")))</f>
        <v>0</v>
      </c>
      <c r="N292" s="5">
        <f>IF(OR(INDEX($W$2:$W$1001,MATCH(ROWS($V$2:V292),$V$2:$V$1001,0),1)&gt;=100000,INDEX($AC$1005:$AS$1005,1,MATCH(COLUMNS($AC$1006:AO1006),$AC$1006:$AS$1006,0))&gt;=100000), " ",IF(INDEX($AC$2:$AS$1001,MATCH(ROWS($V$2:V292),$V$2:$V$1001,0),MATCH(COLUMNS($AC$1006:AO1006),$AC$1006:$AS$1006,0)), HYPERLINK("#",""), HYPERLINK(CONCATENATE("#Metadata!", ADDRESS(INDEX($X$2:$X$1001,MATCH(ROWS($V$2:V292),$V$2:$V$1001,0),0), INDEX($AC$1004:$AS$1004,1,MATCH(COLUMNS($AC$1006:AO1006),$AC$1006:$AS$1006,0)))),"Fix")))</f>
        <v>0</v>
      </c>
      <c r="O292" s="5">
        <f>IF(OR(INDEX($W$2:$W$1001,MATCH(ROWS($V$2:V292),$V$2:$V$1001,0),1)&gt;=100000,INDEX($AC$1005:$AS$1005,1,MATCH(COLUMNS($AC$1006:AP1006),$AC$1006:$AS$1006,0))&gt;=100000), " ",IF(INDEX($AC$2:$AS$1001,MATCH(ROWS($V$2:V292),$V$2:$V$1001,0),MATCH(COLUMNS($AC$1006:AP1006),$AC$1006:$AS$1006,0)), HYPERLINK("#",""), HYPERLINK(CONCATENATE("#Metadata!", ADDRESS(INDEX($X$2:$X$1001,MATCH(ROWS($V$2:V292),$V$2:$V$1001,0),0), INDEX($AC$1004:$AS$1004,1,MATCH(COLUMNS($AC$1006:AP1006),$AC$1006:$AS$1006,0)))),"Fix")))</f>
        <v>0</v>
      </c>
      <c r="P292" s="5">
        <f>IF(OR(INDEX($W$2:$W$1001,MATCH(ROWS($V$2:V292),$V$2:$V$1001,0),1)&gt;=100000,INDEX($AC$1005:$AS$1005,1,MATCH(COLUMNS($AC$1006:AQ1006),$AC$1006:$AS$1006,0))&gt;=100000), " ",IF(INDEX($AC$2:$AS$1001,MATCH(ROWS($V$2:V292),$V$2:$V$1001,0),MATCH(COLUMNS($AC$1006:AQ1006),$AC$1006:$AS$1006,0)), HYPERLINK("#",""), HYPERLINK(CONCATENATE("#Metadata!", ADDRESS(INDEX($X$2:$X$1001,MATCH(ROWS($V$2:V292),$V$2:$V$1001,0),0), INDEX($AC$1004:$AS$1004,1,MATCH(COLUMNS($AC$1006:AQ1006),$AC$1006:$AS$1006,0)))),"Fix")))</f>
        <v>0</v>
      </c>
      <c r="Q292" s="5">
        <f>IF(OR(INDEX($W$2:$W$1001,MATCH(ROWS($V$2:V292),$V$2:$V$1001,0),1)&gt;=100000,INDEX($AC$1005:$AS$1005,1,MATCH(COLUMNS($AC$1006:AR1006),$AC$1006:$AS$1006,0))&gt;=100000), " ",IF(INDEX($AC$2:$AS$1001,MATCH(ROWS($V$2:V292),$V$2:$V$1001,0),MATCH(COLUMNS($AC$1006:AR1006),$AC$1006:$AS$1006,0)), HYPERLINK("#",""), HYPERLINK(CONCATENATE("#Metadata!", ADDRESS(INDEX($X$2:$X$1001,MATCH(ROWS($V$2:V292),$V$2:$V$1001,0),0), INDEX($AC$1004:$AS$1004,1,MATCH(COLUMNS($AC$1006:AR1006),$AC$1006:$AS$1006,0)))),"Fix")))</f>
        <v>0</v>
      </c>
      <c r="R292" s="5">
        <f>IF(OR(INDEX($W$2:$W$1001,MATCH(ROWS($V$2:V292),$V$2:$V$1001,0),1)&gt;=100000,INDEX($AC$1005:$AS$1005,1,MATCH(COLUMNS($AC$1006:AS1006),$AC$1006:$AS$1006,0))&gt;=100000), " ",IF(INDEX($AC$2:$AS$1001,MATCH(ROWS($V$2:V292),$V$2:$V$1001,0),MATCH(COLUMNS($AC$1006:AS1006),$AC$1006:$AS$1006,0)), HYPERLINK("#",""), HYPERLINK(CONCATENATE("#Metadata!", ADDRESS(INDEX($X$2:$X$1001,MATCH(ROWS($V$2:V292),$V$2:$V$1001,0),0), INDEX($AC$1004:$AS$1004,1,MATCH(COLUMNS($AC$1006:AS1006),$AC$1006:$AS$1006,0)))),"Fix")))</f>
        <v>0</v>
      </c>
      <c r="V292">
        <v>0</v>
      </c>
      <c r="W292">
        <v>0</v>
      </c>
      <c r="X292">
        <v>0</v>
      </c>
      <c r="Y292">
        <f>IF(Z292,TRUE,AND(AC292:AS292))</f>
        <v>0</v>
      </c>
      <c r="Z292">
        <f>COUNTBLANK(Metadata!B292:R292)=COLUMNS(Metadata!B292:R292)</f>
        <v>0</v>
      </c>
      <c r="AA292">
        <v>0</v>
      </c>
      <c r="AC292">
        <f>AND(IF(Metadata!B292="",FALSE,TRUE),COUNTIF(Metadata!B:B, Metadata!B292) = 1,NOT(ISERROR(SUMPRODUCT(SEARCH(MID(Metadata!B292,ROW(INDIRECT("1:"&amp;LEN(Metadata!B292))), 1),"0123456789abcdefghijklmnopqrstuvwxyzABCDEFGHIJKLMNOPQRSTUVWXYZ.")))))</f>
        <v>0</v>
      </c>
      <c r="AD292">
        <f>AND(IF(Metadata!C292="",FALSE,TRUE),exact(Metadata!C292,"Host-associated"))</f>
        <v>0</v>
      </c>
      <c r="AE292">
        <f>AND(IF(Metadata!D292="",FALSE,TRUE),OR(exact(Metadata!D292,"Animal"),exact(Metadata!D292,"Fungus"),exact(Metadata!D292,"Plant")))</f>
        <v>0</v>
      </c>
      <c r="AF292">
        <f>AND(IF(Metadata!E292="",FALSE,TRUE),OR(exact(Metadata!E292,"Plant secretion"),exact(Metadata!E292,"Plant rhizosphere"),exact(Metadata!E292,"Plant surface"),exact(Metadata!E292,"Plant corpus"),exact(Metadata!E292,"Fungus surface"),exact(Metadata!E292,"Fungus corpus"),exact(Metadata!E292,"Animal surface"),exact(Metadata!E292,"Animal proximal gut"),exact(Metadata!E292,"Animal corpus"),exact(Metadata!E292,"Animal distal gut"),exact(Metadata!E292,"Animal secretion")))</f>
        <v>0</v>
      </c>
      <c r="AG292">
        <f>OR(AND(IF(Metadata!F292="",FALSE,TRUE),OR(exact(Metadata!F292,"not collected"),exact(Metadata!F292,"not provided"),exact(Metadata!F292,"restricted access"))),AND(IF(Metadata!F292="",FALSE,TRUE),OR(exact(Metadata!F292,"organism-associated habitat"),exact(Metadata!F292,"plant-associated habitat"),exact(Metadata!F292,"animal-associated habitat"),exact(Metadata!F292,"insecta-associated habitat"),exact(Metadata!F292,"mammalia-associated habitat"),exact(Metadata!F292,"human-associated habitat"),exact(Metadata!F292,"livestock-associated habitat"))))</f>
        <v>0</v>
      </c>
      <c r="AH292">
        <f>AND(IF(Metadata!G292="",FALSE,TRUE),exact(Metadata!G292,"host-associated"))</f>
        <v>0</v>
      </c>
      <c r="AI292">
        <f>OR(AND(IF(Metadata!H292="",FALSE,TRUE),OR(exact(Metadata!H292,"not collected"),exact(Metadata!H292,"not provided"))),AND(IF(Metadata!H292="",FALSE,ISNUMBER(VALUE(Metadata!H292))),Metadata!H292&gt;0))</f>
        <v>0</v>
      </c>
      <c r="AJ292">
        <f>AND(IF(Metadata!I292="",FALSE,TRUE),exact(Metadata!I292,"years"))</f>
        <v>0</v>
      </c>
      <c r="AK292">
        <f>IF(Metadata!J292="",FALSE,TRUE)</f>
        <v>0</v>
      </c>
      <c r="AL292">
        <f>OR(AND(IF(Metadata!K292="",FALSE,TRUE),OR(exact(Metadata!K292,"not collected"),exact(Metadata!K292,"not provided"))),AND(IF(Metadata!K292="",FALSE,ISNUMBER(VALUE(Metadata!K292))),Metadata!K292&gt;0))</f>
        <v>0</v>
      </c>
      <c r="AM292">
        <f>AND(IF(Metadata!L292="",FALSE,TRUE),exact(Metadata!L292,"cm"))</f>
        <v>0</v>
      </c>
      <c r="AN292">
        <f>IF(Metadata!M292="",FALSE,TRUE)</f>
        <v>0</v>
      </c>
      <c r="AO292">
        <f>OR(AND(IF(Metadata!N292="",FALSE,TRUE),OR(exact(Metadata!N292,"not applicable"),exact(Metadata!N292,"not collected"),exact(Metadata!N292,"not provided"))),AND(IF(Metadata!N292="",FALSE,IF(ISERROR(INT(Metadata!N292)),FALSE,INT(Metadata!N292)=Metadata!N292)),Metadata!N292&gt;0))</f>
        <v>0</v>
      </c>
      <c r="AP292">
        <f>OR(AND(IF(Metadata!O292="",FALSE,TRUE),OR(exact(Metadata!O292,"not collected"),exact(Metadata!O292,"not provided"))),AND(IF(Metadata!O292="",FALSE,ISNUMBER(VALUE(Metadata!O292))),Metadata!O292&gt;0))</f>
        <v>0</v>
      </c>
      <c r="AQ292">
        <f>AND(IF(Metadata!P292="",FALSE,TRUE),exact(Metadata!P292,"kg"))</f>
        <v>0</v>
      </c>
      <c r="AR292">
        <f>OR(AND(IF(Metadata!Q292="",FALSE,TRUE),OR(exact(Metadata!Q292,"not applicable"),exact(Metadata!Q292,"not collected"),exact(Metadata!Q292,"not provided"),exact(Metadata!Q292,"restricted access"))),IF(Metadata!Q292="",FALSE,IF(ISERROR(INT(Metadata!Q292)),FALSE,INT(Metadata!Q292)=Metadata!Q292)))</f>
        <v>0</v>
      </c>
      <c r="AS292">
        <f>AND(IF(Metadata!R292="",FALSE,TRUE),exact(Metadata!R292,"Not applicable"))</f>
        <v>0</v>
      </c>
    </row>
    <row r="293" spans="1:45">
      <c r="A293" s="4">
        <f>IF(B293=" "," ",HYPERLINK(CONCATENATE("#metadata!",ADDRESS(INDEX($X$2:$X$1001,MATCH(ROWS($V$2:V293),$V$2:$V$1001,0),0),2)),INDEX($AA$2:$AA$1001,MATCH(ROWS($V$2:V293),$V$2:$V$1001,0),0)))</f>
        <v>0</v>
      </c>
      <c r="B293" s="5">
        <f>IF(OR(INDEX($W$2:$W$1001,MATCH(ROWS($V$2:V293),$V$2:$V$1001,0),1)&gt;=100000,INDEX($AC$1005:$AS$1005,1,MATCH(COLUMNS($AC$1006:AC1006),$AC$1006:$AS$1006,0))&gt;=100000), " ",IF(INDEX($AC$2:$AS$1001,MATCH(ROWS($V$2:V293),$V$2:$V$1001,0),MATCH(COLUMNS($AC$1006:AC1006),$AC$1006:$AS$1006,0)), HYPERLINK("#",""), HYPERLINK(CONCATENATE("#Metadata!", ADDRESS(INDEX($X$2:$X$1001,MATCH(ROWS($V$2:V293),$V$2:$V$1001,0),0), INDEX($AC$1004:$AS$1004,1,MATCH(COLUMNS($AC$1006:AC1006),$AC$1006:$AS$1006,0)))),"Fix")))</f>
        <v>0</v>
      </c>
      <c r="C293" s="5">
        <f>IF(OR(INDEX($W$2:$W$1001,MATCH(ROWS($V$2:V293),$V$2:$V$1001,0),1)&gt;=100000,INDEX($AC$1005:$AS$1005,1,MATCH(COLUMNS($AC$1006:AD1006),$AC$1006:$AS$1006,0))&gt;=100000), " ",IF(INDEX($AC$2:$AS$1001,MATCH(ROWS($V$2:V293),$V$2:$V$1001,0),MATCH(COLUMNS($AC$1006:AD1006),$AC$1006:$AS$1006,0)), HYPERLINK("#",""), HYPERLINK(CONCATENATE("#Metadata!", ADDRESS(INDEX($X$2:$X$1001,MATCH(ROWS($V$2:V293),$V$2:$V$1001,0),0), INDEX($AC$1004:$AS$1004,1,MATCH(COLUMNS($AC$1006:AD1006),$AC$1006:$AS$1006,0)))),"Fix")))</f>
        <v>0</v>
      </c>
      <c r="D293" s="5">
        <f>IF(OR(INDEX($W$2:$W$1001,MATCH(ROWS($V$2:V293),$V$2:$V$1001,0),1)&gt;=100000,INDEX($AC$1005:$AS$1005,1,MATCH(COLUMNS($AC$1006:AE1006),$AC$1006:$AS$1006,0))&gt;=100000), " ",IF(INDEX($AC$2:$AS$1001,MATCH(ROWS($V$2:V293),$V$2:$V$1001,0),MATCH(COLUMNS($AC$1006:AE1006),$AC$1006:$AS$1006,0)), HYPERLINK("#",""), HYPERLINK(CONCATENATE("#Metadata!", ADDRESS(INDEX($X$2:$X$1001,MATCH(ROWS($V$2:V293),$V$2:$V$1001,0),0), INDEX($AC$1004:$AS$1004,1,MATCH(COLUMNS($AC$1006:AE1006),$AC$1006:$AS$1006,0)))),"Fix")))</f>
        <v>0</v>
      </c>
      <c r="E293" s="5">
        <f>IF(OR(INDEX($W$2:$W$1001,MATCH(ROWS($V$2:V293),$V$2:$V$1001,0),1)&gt;=100000,INDEX($AC$1005:$AS$1005,1,MATCH(COLUMNS($AC$1006:AF1006),$AC$1006:$AS$1006,0))&gt;=100000), " ",IF(INDEX($AC$2:$AS$1001,MATCH(ROWS($V$2:V293),$V$2:$V$1001,0),MATCH(COLUMNS($AC$1006:AF1006),$AC$1006:$AS$1006,0)), HYPERLINK("#",""), HYPERLINK(CONCATENATE("#Metadata!", ADDRESS(INDEX($X$2:$X$1001,MATCH(ROWS($V$2:V293),$V$2:$V$1001,0),0), INDEX($AC$1004:$AS$1004,1,MATCH(COLUMNS($AC$1006:AF1006),$AC$1006:$AS$1006,0)))),"Fix")))</f>
        <v>0</v>
      </c>
      <c r="F293" s="5">
        <f>IF(OR(INDEX($W$2:$W$1001,MATCH(ROWS($V$2:V293),$V$2:$V$1001,0),1)&gt;=100000,INDEX($AC$1005:$AS$1005,1,MATCH(COLUMNS($AC$1006:AG1006),$AC$1006:$AS$1006,0))&gt;=100000), " ",IF(INDEX($AC$2:$AS$1001,MATCH(ROWS($V$2:V293),$V$2:$V$1001,0),MATCH(COLUMNS($AC$1006:AG1006),$AC$1006:$AS$1006,0)), HYPERLINK("#",""), HYPERLINK(CONCATENATE("#Metadata!", ADDRESS(INDEX($X$2:$X$1001,MATCH(ROWS($V$2:V293),$V$2:$V$1001,0),0), INDEX($AC$1004:$AS$1004,1,MATCH(COLUMNS($AC$1006:AG1006),$AC$1006:$AS$1006,0)))),"Fix")))</f>
        <v>0</v>
      </c>
      <c r="G293" s="5">
        <f>IF(OR(INDEX($W$2:$W$1001,MATCH(ROWS($V$2:V293),$V$2:$V$1001,0),1)&gt;=100000,INDEX($AC$1005:$AS$1005,1,MATCH(COLUMNS($AC$1006:AH1006),$AC$1006:$AS$1006,0))&gt;=100000), " ",IF(INDEX($AC$2:$AS$1001,MATCH(ROWS($V$2:V293),$V$2:$V$1001,0),MATCH(COLUMNS($AC$1006:AH1006),$AC$1006:$AS$1006,0)), HYPERLINK("#",""), HYPERLINK(CONCATENATE("#Metadata!", ADDRESS(INDEX($X$2:$X$1001,MATCH(ROWS($V$2:V293),$V$2:$V$1001,0),0), INDEX($AC$1004:$AS$1004,1,MATCH(COLUMNS($AC$1006:AH1006),$AC$1006:$AS$1006,0)))),"Fix")))</f>
        <v>0</v>
      </c>
      <c r="H293" s="5">
        <f>IF(OR(INDEX($W$2:$W$1001,MATCH(ROWS($V$2:V293),$V$2:$V$1001,0),1)&gt;=100000,INDEX($AC$1005:$AS$1005,1,MATCH(COLUMNS($AC$1006:AI1006),$AC$1006:$AS$1006,0))&gt;=100000), " ",IF(INDEX($AC$2:$AS$1001,MATCH(ROWS($V$2:V293),$V$2:$V$1001,0),MATCH(COLUMNS($AC$1006:AI1006),$AC$1006:$AS$1006,0)), HYPERLINK("#",""), HYPERLINK(CONCATENATE("#Metadata!", ADDRESS(INDEX($X$2:$X$1001,MATCH(ROWS($V$2:V293),$V$2:$V$1001,0),0), INDEX($AC$1004:$AS$1004,1,MATCH(COLUMNS($AC$1006:AI1006),$AC$1006:$AS$1006,0)))),"Fix")))</f>
        <v>0</v>
      </c>
      <c r="I293" s="5">
        <f>IF(OR(INDEX($W$2:$W$1001,MATCH(ROWS($V$2:V293),$V$2:$V$1001,0),1)&gt;=100000,INDEX($AC$1005:$AS$1005,1,MATCH(COLUMNS($AC$1006:AJ1006),$AC$1006:$AS$1006,0))&gt;=100000), " ",IF(INDEX($AC$2:$AS$1001,MATCH(ROWS($V$2:V293),$V$2:$V$1001,0),MATCH(COLUMNS($AC$1006:AJ1006),$AC$1006:$AS$1006,0)), HYPERLINK("#",""), HYPERLINK(CONCATENATE("#Metadata!", ADDRESS(INDEX($X$2:$X$1001,MATCH(ROWS($V$2:V293),$V$2:$V$1001,0),0), INDEX($AC$1004:$AS$1004,1,MATCH(COLUMNS($AC$1006:AJ1006),$AC$1006:$AS$1006,0)))),"Fix")))</f>
        <v>0</v>
      </c>
      <c r="J293" s="5">
        <f>IF(OR(INDEX($W$2:$W$1001,MATCH(ROWS($V$2:V293),$V$2:$V$1001,0),1)&gt;=100000,INDEX($AC$1005:$AS$1005,1,MATCH(COLUMNS($AC$1006:AK1006),$AC$1006:$AS$1006,0))&gt;=100000), " ",IF(INDEX($AC$2:$AS$1001,MATCH(ROWS($V$2:V293),$V$2:$V$1001,0),MATCH(COLUMNS($AC$1006:AK1006),$AC$1006:$AS$1006,0)), HYPERLINK("#",""), HYPERLINK(CONCATENATE("#Metadata!", ADDRESS(INDEX($X$2:$X$1001,MATCH(ROWS($V$2:V293),$V$2:$V$1001,0),0), INDEX($AC$1004:$AS$1004,1,MATCH(COLUMNS($AC$1006:AK1006),$AC$1006:$AS$1006,0)))),"Fix")))</f>
        <v>0</v>
      </c>
      <c r="K293" s="5">
        <f>IF(OR(INDEX($W$2:$W$1001,MATCH(ROWS($V$2:V293),$V$2:$V$1001,0),1)&gt;=100000,INDEX($AC$1005:$AS$1005,1,MATCH(COLUMNS($AC$1006:AL1006),$AC$1006:$AS$1006,0))&gt;=100000), " ",IF(INDEX($AC$2:$AS$1001,MATCH(ROWS($V$2:V293),$V$2:$V$1001,0),MATCH(COLUMNS($AC$1006:AL1006),$AC$1006:$AS$1006,0)), HYPERLINK("#",""), HYPERLINK(CONCATENATE("#Metadata!", ADDRESS(INDEX($X$2:$X$1001,MATCH(ROWS($V$2:V293),$V$2:$V$1001,0),0), INDEX($AC$1004:$AS$1004,1,MATCH(COLUMNS($AC$1006:AL1006),$AC$1006:$AS$1006,0)))),"Fix")))</f>
        <v>0</v>
      </c>
      <c r="L293" s="5">
        <f>IF(OR(INDEX($W$2:$W$1001,MATCH(ROWS($V$2:V293),$V$2:$V$1001,0),1)&gt;=100000,INDEX($AC$1005:$AS$1005,1,MATCH(COLUMNS($AC$1006:AM1006),$AC$1006:$AS$1006,0))&gt;=100000), " ",IF(INDEX($AC$2:$AS$1001,MATCH(ROWS($V$2:V293),$V$2:$V$1001,0),MATCH(COLUMNS($AC$1006:AM1006),$AC$1006:$AS$1006,0)), HYPERLINK("#",""), HYPERLINK(CONCATENATE("#Metadata!", ADDRESS(INDEX($X$2:$X$1001,MATCH(ROWS($V$2:V293),$V$2:$V$1001,0),0), INDEX($AC$1004:$AS$1004,1,MATCH(COLUMNS($AC$1006:AM1006),$AC$1006:$AS$1006,0)))),"Fix")))</f>
        <v>0</v>
      </c>
      <c r="M293" s="5">
        <f>IF(OR(INDEX($W$2:$W$1001,MATCH(ROWS($V$2:V293),$V$2:$V$1001,0),1)&gt;=100000,INDEX($AC$1005:$AS$1005,1,MATCH(COLUMNS($AC$1006:AN1006),$AC$1006:$AS$1006,0))&gt;=100000), " ",IF(INDEX($AC$2:$AS$1001,MATCH(ROWS($V$2:V293),$V$2:$V$1001,0),MATCH(COLUMNS($AC$1006:AN1006),$AC$1006:$AS$1006,0)), HYPERLINK("#",""), HYPERLINK(CONCATENATE("#Metadata!", ADDRESS(INDEX($X$2:$X$1001,MATCH(ROWS($V$2:V293),$V$2:$V$1001,0),0), INDEX($AC$1004:$AS$1004,1,MATCH(COLUMNS($AC$1006:AN1006),$AC$1006:$AS$1006,0)))),"Fix")))</f>
        <v>0</v>
      </c>
      <c r="N293" s="5">
        <f>IF(OR(INDEX($W$2:$W$1001,MATCH(ROWS($V$2:V293),$V$2:$V$1001,0),1)&gt;=100000,INDEX($AC$1005:$AS$1005,1,MATCH(COLUMNS($AC$1006:AO1006),$AC$1006:$AS$1006,0))&gt;=100000), " ",IF(INDEX($AC$2:$AS$1001,MATCH(ROWS($V$2:V293),$V$2:$V$1001,0),MATCH(COLUMNS($AC$1006:AO1006),$AC$1006:$AS$1006,0)), HYPERLINK("#",""), HYPERLINK(CONCATENATE("#Metadata!", ADDRESS(INDEX($X$2:$X$1001,MATCH(ROWS($V$2:V293),$V$2:$V$1001,0),0), INDEX($AC$1004:$AS$1004,1,MATCH(COLUMNS($AC$1006:AO1006),$AC$1006:$AS$1006,0)))),"Fix")))</f>
        <v>0</v>
      </c>
      <c r="O293" s="5">
        <f>IF(OR(INDEX($W$2:$W$1001,MATCH(ROWS($V$2:V293),$V$2:$V$1001,0),1)&gt;=100000,INDEX($AC$1005:$AS$1005,1,MATCH(COLUMNS($AC$1006:AP1006),$AC$1006:$AS$1006,0))&gt;=100000), " ",IF(INDEX($AC$2:$AS$1001,MATCH(ROWS($V$2:V293),$V$2:$V$1001,0),MATCH(COLUMNS($AC$1006:AP1006),$AC$1006:$AS$1006,0)), HYPERLINK("#",""), HYPERLINK(CONCATENATE("#Metadata!", ADDRESS(INDEX($X$2:$X$1001,MATCH(ROWS($V$2:V293),$V$2:$V$1001,0),0), INDEX($AC$1004:$AS$1004,1,MATCH(COLUMNS($AC$1006:AP1006),$AC$1006:$AS$1006,0)))),"Fix")))</f>
        <v>0</v>
      </c>
      <c r="P293" s="5">
        <f>IF(OR(INDEX($W$2:$W$1001,MATCH(ROWS($V$2:V293),$V$2:$V$1001,0),1)&gt;=100000,INDEX($AC$1005:$AS$1005,1,MATCH(COLUMNS($AC$1006:AQ1006),$AC$1006:$AS$1006,0))&gt;=100000), " ",IF(INDEX($AC$2:$AS$1001,MATCH(ROWS($V$2:V293),$V$2:$V$1001,0),MATCH(COLUMNS($AC$1006:AQ1006),$AC$1006:$AS$1006,0)), HYPERLINK("#",""), HYPERLINK(CONCATENATE("#Metadata!", ADDRESS(INDEX($X$2:$X$1001,MATCH(ROWS($V$2:V293),$V$2:$V$1001,0),0), INDEX($AC$1004:$AS$1004,1,MATCH(COLUMNS($AC$1006:AQ1006),$AC$1006:$AS$1006,0)))),"Fix")))</f>
        <v>0</v>
      </c>
      <c r="Q293" s="5">
        <f>IF(OR(INDEX($W$2:$W$1001,MATCH(ROWS($V$2:V293),$V$2:$V$1001,0),1)&gt;=100000,INDEX($AC$1005:$AS$1005,1,MATCH(COLUMNS($AC$1006:AR1006),$AC$1006:$AS$1006,0))&gt;=100000), " ",IF(INDEX($AC$2:$AS$1001,MATCH(ROWS($V$2:V293),$V$2:$V$1001,0),MATCH(COLUMNS($AC$1006:AR1006),$AC$1006:$AS$1006,0)), HYPERLINK("#",""), HYPERLINK(CONCATENATE("#Metadata!", ADDRESS(INDEX($X$2:$X$1001,MATCH(ROWS($V$2:V293),$V$2:$V$1001,0),0), INDEX($AC$1004:$AS$1004,1,MATCH(COLUMNS($AC$1006:AR1006),$AC$1006:$AS$1006,0)))),"Fix")))</f>
        <v>0</v>
      </c>
      <c r="R293" s="5">
        <f>IF(OR(INDEX($W$2:$W$1001,MATCH(ROWS($V$2:V293),$V$2:$V$1001,0),1)&gt;=100000,INDEX($AC$1005:$AS$1005,1,MATCH(COLUMNS($AC$1006:AS1006),$AC$1006:$AS$1006,0))&gt;=100000), " ",IF(INDEX($AC$2:$AS$1001,MATCH(ROWS($V$2:V293),$V$2:$V$1001,0),MATCH(COLUMNS($AC$1006:AS1006),$AC$1006:$AS$1006,0)), HYPERLINK("#",""), HYPERLINK(CONCATENATE("#Metadata!", ADDRESS(INDEX($X$2:$X$1001,MATCH(ROWS($V$2:V293),$V$2:$V$1001,0),0), INDEX($AC$1004:$AS$1004,1,MATCH(COLUMNS($AC$1006:AS1006),$AC$1006:$AS$1006,0)))),"Fix")))</f>
        <v>0</v>
      </c>
      <c r="V293">
        <v>0</v>
      </c>
      <c r="W293">
        <v>0</v>
      </c>
      <c r="X293">
        <v>0</v>
      </c>
      <c r="Y293">
        <f>IF(Z293,TRUE,AND(AC293:AS293))</f>
        <v>0</v>
      </c>
      <c r="Z293">
        <f>COUNTBLANK(Metadata!B293:R293)=COLUMNS(Metadata!B293:R293)</f>
        <v>0</v>
      </c>
      <c r="AA293">
        <v>0</v>
      </c>
      <c r="AC293">
        <f>AND(IF(Metadata!B293="",FALSE,TRUE),COUNTIF(Metadata!B:B, Metadata!B293) = 1,NOT(ISERROR(SUMPRODUCT(SEARCH(MID(Metadata!B293,ROW(INDIRECT("1:"&amp;LEN(Metadata!B293))), 1),"0123456789abcdefghijklmnopqrstuvwxyzABCDEFGHIJKLMNOPQRSTUVWXYZ.")))))</f>
        <v>0</v>
      </c>
      <c r="AD293">
        <f>AND(IF(Metadata!C293="",FALSE,TRUE),exact(Metadata!C293,"Host-associated"))</f>
        <v>0</v>
      </c>
      <c r="AE293">
        <f>AND(IF(Metadata!D293="",FALSE,TRUE),OR(exact(Metadata!D293,"Animal"),exact(Metadata!D293,"Fungus"),exact(Metadata!D293,"Plant")))</f>
        <v>0</v>
      </c>
      <c r="AF293">
        <f>AND(IF(Metadata!E293="",FALSE,TRUE),OR(exact(Metadata!E293,"Plant secretion"),exact(Metadata!E293,"Plant rhizosphere"),exact(Metadata!E293,"Plant surface"),exact(Metadata!E293,"Plant corpus"),exact(Metadata!E293,"Fungus surface"),exact(Metadata!E293,"Fungus corpus"),exact(Metadata!E293,"Animal surface"),exact(Metadata!E293,"Animal proximal gut"),exact(Metadata!E293,"Animal corpus"),exact(Metadata!E293,"Animal distal gut"),exact(Metadata!E293,"Animal secretion")))</f>
        <v>0</v>
      </c>
      <c r="AG293">
        <f>OR(AND(IF(Metadata!F293="",FALSE,TRUE),OR(exact(Metadata!F293,"not collected"),exact(Metadata!F293,"not provided"),exact(Metadata!F293,"restricted access"))),AND(IF(Metadata!F293="",FALSE,TRUE),OR(exact(Metadata!F293,"organism-associated habitat"),exact(Metadata!F293,"plant-associated habitat"),exact(Metadata!F293,"animal-associated habitat"),exact(Metadata!F293,"insecta-associated habitat"),exact(Metadata!F293,"mammalia-associated habitat"),exact(Metadata!F293,"human-associated habitat"),exact(Metadata!F293,"livestock-associated habitat"))))</f>
        <v>0</v>
      </c>
      <c r="AH293">
        <f>AND(IF(Metadata!G293="",FALSE,TRUE),exact(Metadata!G293,"host-associated"))</f>
        <v>0</v>
      </c>
      <c r="AI293">
        <f>OR(AND(IF(Metadata!H293="",FALSE,TRUE),OR(exact(Metadata!H293,"not collected"),exact(Metadata!H293,"not provided"))),AND(IF(Metadata!H293="",FALSE,ISNUMBER(VALUE(Metadata!H293))),Metadata!H293&gt;0))</f>
        <v>0</v>
      </c>
      <c r="AJ293">
        <f>AND(IF(Metadata!I293="",FALSE,TRUE),exact(Metadata!I293,"years"))</f>
        <v>0</v>
      </c>
      <c r="AK293">
        <f>IF(Metadata!J293="",FALSE,TRUE)</f>
        <v>0</v>
      </c>
      <c r="AL293">
        <f>OR(AND(IF(Metadata!K293="",FALSE,TRUE),OR(exact(Metadata!K293,"not collected"),exact(Metadata!K293,"not provided"))),AND(IF(Metadata!K293="",FALSE,ISNUMBER(VALUE(Metadata!K293))),Metadata!K293&gt;0))</f>
        <v>0</v>
      </c>
      <c r="AM293">
        <f>AND(IF(Metadata!L293="",FALSE,TRUE),exact(Metadata!L293,"cm"))</f>
        <v>0</v>
      </c>
      <c r="AN293">
        <f>IF(Metadata!M293="",FALSE,TRUE)</f>
        <v>0</v>
      </c>
      <c r="AO293">
        <f>OR(AND(IF(Metadata!N293="",FALSE,TRUE),OR(exact(Metadata!N293,"not applicable"),exact(Metadata!N293,"not collected"),exact(Metadata!N293,"not provided"))),AND(IF(Metadata!N293="",FALSE,IF(ISERROR(INT(Metadata!N293)),FALSE,INT(Metadata!N293)=Metadata!N293)),Metadata!N293&gt;0))</f>
        <v>0</v>
      </c>
      <c r="AP293">
        <f>OR(AND(IF(Metadata!O293="",FALSE,TRUE),OR(exact(Metadata!O293,"not collected"),exact(Metadata!O293,"not provided"))),AND(IF(Metadata!O293="",FALSE,ISNUMBER(VALUE(Metadata!O293))),Metadata!O293&gt;0))</f>
        <v>0</v>
      </c>
      <c r="AQ293">
        <f>AND(IF(Metadata!P293="",FALSE,TRUE),exact(Metadata!P293,"kg"))</f>
        <v>0</v>
      </c>
      <c r="AR293">
        <f>OR(AND(IF(Metadata!Q293="",FALSE,TRUE),OR(exact(Metadata!Q293,"not applicable"),exact(Metadata!Q293,"not collected"),exact(Metadata!Q293,"not provided"),exact(Metadata!Q293,"restricted access"))),IF(Metadata!Q293="",FALSE,IF(ISERROR(INT(Metadata!Q293)),FALSE,INT(Metadata!Q293)=Metadata!Q293)))</f>
        <v>0</v>
      </c>
      <c r="AS293">
        <f>AND(IF(Metadata!R293="",FALSE,TRUE),exact(Metadata!R293,"Not applicable"))</f>
        <v>0</v>
      </c>
    </row>
    <row r="294" spans="1:45">
      <c r="A294" s="4">
        <f>IF(B294=" "," ",HYPERLINK(CONCATENATE("#metadata!",ADDRESS(INDEX($X$2:$X$1001,MATCH(ROWS($V$2:V294),$V$2:$V$1001,0),0),2)),INDEX($AA$2:$AA$1001,MATCH(ROWS($V$2:V294),$V$2:$V$1001,0),0)))</f>
        <v>0</v>
      </c>
      <c r="B294" s="5">
        <f>IF(OR(INDEX($W$2:$W$1001,MATCH(ROWS($V$2:V294),$V$2:$V$1001,0),1)&gt;=100000,INDEX($AC$1005:$AS$1005,1,MATCH(COLUMNS($AC$1006:AC1006),$AC$1006:$AS$1006,0))&gt;=100000), " ",IF(INDEX($AC$2:$AS$1001,MATCH(ROWS($V$2:V294),$V$2:$V$1001,0),MATCH(COLUMNS($AC$1006:AC1006),$AC$1006:$AS$1006,0)), HYPERLINK("#",""), HYPERLINK(CONCATENATE("#Metadata!", ADDRESS(INDEX($X$2:$X$1001,MATCH(ROWS($V$2:V294),$V$2:$V$1001,0),0), INDEX($AC$1004:$AS$1004,1,MATCH(COLUMNS($AC$1006:AC1006),$AC$1006:$AS$1006,0)))),"Fix")))</f>
        <v>0</v>
      </c>
      <c r="C294" s="5">
        <f>IF(OR(INDEX($W$2:$W$1001,MATCH(ROWS($V$2:V294),$V$2:$V$1001,0),1)&gt;=100000,INDEX($AC$1005:$AS$1005,1,MATCH(COLUMNS($AC$1006:AD1006),$AC$1006:$AS$1006,0))&gt;=100000), " ",IF(INDEX($AC$2:$AS$1001,MATCH(ROWS($V$2:V294),$V$2:$V$1001,0),MATCH(COLUMNS($AC$1006:AD1006),$AC$1006:$AS$1006,0)), HYPERLINK("#",""), HYPERLINK(CONCATENATE("#Metadata!", ADDRESS(INDEX($X$2:$X$1001,MATCH(ROWS($V$2:V294),$V$2:$V$1001,0),0), INDEX($AC$1004:$AS$1004,1,MATCH(COLUMNS($AC$1006:AD1006),$AC$1006:$AS$1006,0)))),"Fix")))</f>
        <v>0</v>
      </c>
      <c r="D294" s="5">
        <f>IF(OR(INDEX($W$2:$W$1001,MATCH(ROWS($V$2:V294),$V$2:$V$1001,0),1)&gt;=100000,INDEX($AC$1005:$AS$1005,1,MATCH(COLUMNS($AC$1006:AE1006),$AC$1006:$AS$1006,0))&gt;=100000), " ",IF(INDEX($AC$2:$AS$1001,MATCH(ROWS($V$2:V294),$V$2:$V$1001,0),MATCH(COLUMNS($AC$1006:AE1006),$AC$1006:$AS$1006,0)), HYPERLINK("#",""), HYPERLINK(CONCATENATE("#Metadata!", ADDRESS(INDEX($X$2:$X$1001,MATCH(ROWS($V$2:V294),$V$2:$V$1001,0),0), INDEX($AC$1004:$AS$1004,1,MATCH(COLUMNS($AC$1006:AE1006),$AC$1006:$AS$1006,0)))),"Fix")))</f>
        <v>0</v>
      </c>
      <c r="E294" s="5">
        <f>IF(OR(INDEX($W$2:$W$1001,MATCH(ROWS($V$2:V294),$V$2:$V$1001,0),1)&gt;=100000,INDEX($AC$1005:$AS$1005,1,MATCH(COLUMNS($AC$1006:AF1006),$AC$1006:$AS$1006,0))&gt;=100000), " ",IF(INDEX($AC$2:$AS$1001,MATCH(ROWS($V$2:V294),$V$2:$V$1001,0),MATCH(COLUMNS($AC$1006:AF1006),$AC$1006:$AS$1006,0)), HYPERLINK("#",""), HYPERLINK(CONCATENATE("#Metadata!", ADDRESS(INDEX($X$2:$X$1001,MATCH(ROWS($V$2:V294),$V$2:$V$1001,0),0), INDEX($AC$1004:$AS$1004,1,MATCH(COLUMNS($AC$1006:AF1006),$AC$1006:$AS$1006,0)))),"Fix")))</f>
        <v>0</v>
      </c>
      <c r="F294" s="5">
        <f>IF(OR(INDEX($W$2:$W$1001,MATCH(ROWS($V$2:V294),$V$2:$V$1001,0),1)&gt;=100000,INDEX($AC$1005:$AS$1005,1,MATCH(COLUMNS($AC$1006:AG1006),$AC$1006:$AS$1006,0))&gt;=100000), " ",IF(INDEX($AC$2:$AS$1001,MATCH(ROWS($V$2:V294),$V$2:$V$1001,0),MATCH(COLUMNS($AC$1006:AG1006),$AC$1006:$AS$1006,0)), HYPERLINK("#",""), HYPERLINK(CONCATENATE("#Metadata!", ADDRESS(INDEX($X$2:$X$1001,MATCH(ROWS($V$2:V294),$V$2:$V$1001,0),0), INDEX($AC$1004:$AS$1004,1,MATCH(COLUMNS($AC$1006:AG1006),$AC$1006:$AS$1006,0)))),"Fix")))</f>
        <v>0</v>
      </c>
      <c r="G294" s="5">
        <f>IF(OR(INDEX($W$2:$W$1001,MATCH(ROWS($V$2:V294),$V$2:$V$1001,0),1)&gt;=100000,INDEX($AC$1005:$AS$1005,1,MATCH(COLUMNS($AC$1006:AH1006),$AC$1006:$AS$1006,0))&gt;=100000), " ",IF(INDEX($AC$2:$AS$1001,MATCH(ROWS($V$2:V294),$V$2:$V$1001,0),MATCH(COLUMNS($AC$1006:AH1006),$AC$1006:$AS$1006,0)), HYPERLINK("#",""), HYPERLINK(CONCATENATE("#Metadata!", ADDRESS(INDEX($X$2:$X$1001,MATCH(ROWS($V$2:V294),$V$2:$V$1001,0),0), INDEX($AC$1004:$AS$1004,1,MATCH(COLUMNS($AC$1006:AH1006),$AC$1006:$AS$1006,0)))),"Fix")))</f>
        <v>0</v>
      </c>
      <c r="H294" s="5">
        <f>IF(OR(INDEX($W$2:$W$1001,MATCH(ROWS($V$2:V294),$V$2:$V$1001,0),1)&gt;=100000,INDEX($AC$1005:$AS$1005,1,MATCH(COLUMNS($AC$1006:AI1006),$AC$1006:$AS$1006,0))&gt;=100000), " ",IF(INDEX($AC$2:$AS$1001,MATCH(ROWS($V$2:V294),$V$2:$V$1001,0),MATCH(COLUMNS($AC$1006:AI1006),$AC$1006:$AS$1006,0)), HYPERLINK("#",""), HYPERLINK(CONCATENATE("#Metadata!", ADDRESS(INDEX($X$2:$X$1001,MATCH(ROWS($V$2:V294),$V$2:$V$1001,0),0), INDEX($AC$1004:$AS$1004,1,MATCH(COLUMNS($AC$1006:AI1006),$AC$1006:$AS$1006,0)))),"Fix")))</f>
        <v>0</v>
      </c>
      <c r="I294" s="5">
        <f>IF(OR(INDEX($W$2:$W$1001,MATCH(ROWS($V$2:V294),$V$2:$V$1001,0),1)&gt;=100000,INDEX($AC$1005:$AS$1005,1,MATCH(COLUMNS($AC$1006:AJ1006),$AC$1006:$AS$1006,0))&gt;=100000), " ",IF(INDEX($AC$2:$AS$1001,MATCH(ROWS($V$2:V294),$V$2:$V$1001,0),MATCH(COLUMNS($AC$1006:AJ1006),$AC$1006:$AS$1006,0)), HYPERLINK("#",""), HYPERLINK(CONCATENATE("#Metadata!", ADDRESS(INDEX($X$2:$X$1001,MATCH(ROWS($V$2:V294),$V$2:$V$1001,0),0), INDEX($AC$1004:$AS$1004,1,MATCH(COLUMNS($AC$1006:AJ1006),$AC$1006:$AS$1006,0)))),"Fix")))</f>
        <v>0</v>
      </c>
      <c r="J294" s="5">
        <f>IF(OR(INDEX($W$2:$W$1001,MATCH(ROWS($V$2:V294),$V$2:$V$1001,0),1)&gt;=100000,INDEX($AC$1005:$AS$1005,1,MATCH(COLUMNS($AC$1006:AK1006),$AC$1006:$AS$1006,0))&gt;=100000), " ",IF(INDEX($AC$2:$AS$1001,MATCH(ROWS($V$2:V294),$V$2:$V$1001,0),MATCH(COLUMNS($AC$1006:AK1006),$AC$1006:$AS$1006,0)), HYPERLINK("#",""), HYPERLINK(CONCATENATE("#Metadata!", ADDRESS(INDEX($X$2:$X$1001,MATCH(ROWS($V$2:V294),$V$2:$V$1001,0),0), INDEX($AC$1004:$AS$1004,1,MATCH(COLUMNS($AC$1006:AK1006),$AC$1006:$AS$1006,0)))),"Fix")))</f>
        <v>0</v>
      </c>
      <c r="K294" s="5">
        <f>IF(OR(INDEX($W$2:$W$1001,MATCH(ROWS($V$2:V294),$V$2:$V$1001,0),1)&gt;=100000,INDEX($AC$1005:$AS$1005,1,MATCH(COLUMNS($AC$1006:AL1006),$AC$1006:$AS$1006,0))&gt;=100000), " ",IF(INDEX($AC$2:$AS$1001,MATCH(ROWS($V$2:V294),$V$2:$V$1001,0),MATCH(COLUMNS($AC$1006:AL1006),$AC$1006:$AS$1006,0)), HYPERLINK("#",""), HYPERLINK(CONCATENATE("#Metadata!", ADDRESS(INDEX($X$2:$X$1001,MATCH(ROWS($V$2:V294),$V$2:$V$1001,0),0), INDEX($AC$1004:$AS$1004,1,MATCH(COLUMNS($AC$1006:AL1006),$AC$1006:$AS$1006,0)))),"Fix")))</f>
        <v>0</v>
      </c>
      <c r="L294" s="5">
        <f>IF(OR(INDEX($W$2:$W$1001,MATCH(ROWS($V$2:V294),$V$2:$V$1001,0),1)&gt;=100000,INDEX($AC$1005:$AS$1005,1,MATCH(COLUMNS($AC$1006:AM1006),$AC$1006:$AS$1006,0))&gt;=100000), " ",IF(INDEX($AC$2:$AS$1001,MATCH(ROWS($V$2:V294),$V$2:$V$1001,0),MATCH(COLUMNS($AC$1006:AM1006),$AC$1006:$AS$1006,0)), HYPERLINK("#",""), HYPERLINK(CONCATENATE("#Metadata!", ADDRESS(INDEX($X$2:$X$1001,MATCH(ROWS($V$2:V294),$V$2:$V$1001,0),0), INDEX($AC$1004:$AS$1004,1,MATCH(COLUMNS($AC$1006:AM1006),$AC$1006:$AS$1006,0)))),"Fix")))</f>
        <v>0</v>
      </c>
      <c r="M294" s="5">
        <f>IF(OR(INDEX($W$2:$W$1001,MATCH(ROWS($V$2:V294),$V$2:$V$1001,0),1)&gt;=100000,INDEX($AC$1005:$AS$1005,1,MATCH(COLUMNS($AC$1006:AN1006),$AC$1006:$AS$1006,0))&gt;=100000), " ",IF(INDEX($AC$2:$AS$1001,MATCH(ROWS($V$2:V294),$V$2:$V$1001,0),MATCH(COLUMNS($AC$1006:AN1006),$AC$1006:$AS$1006,0)), HYPERLINK("#",""), HYPERLINK(CONCATENATE("#Metadata!", ADDRESS(INDEX($X$2:$X$1001,MATCH(ROWS($V$2:V294),$V$2:$V$1001,0),0), INDEX($AC$1004:$AS$1004,1,MATCH(COLUMNS($AC$1006:AN1006),$AC$1006:$AS$1006,0)))),"Fix")))</f>
        <v>0</v>
      </c>
      <c r="N294" s="5">
        <f>IF(OR(INDEX($W$2:$W$1001,MATCH(ROWS($V$2:V294),$V$2:$V$1001,0),1)&gt;=100000,INDEX($AC$1005:$AS$1005,1,MATCH(COLUMNS($AC$1006:AO1006),$AC$1006:$AS$1006,0))&gt;=100000), " ",IF(INDEX($AC$2:$AS$1001,MATCH(ROWS($V$2:V294),$V$2:$V$1001,0),MATCH(COLUMNS($AC$1006:AO1006),$AC$1006:$AS$1006,0)), HYPERLINK("#",""), HYPERLINK(CONCATENATE("#Metadata!", ADDRESS(INDEX($X$2:$X$1001,MATCH(ROWS($V$2:V294),$V$2:$V$1001,0),0), INDEX($AC$1004:$AS$1004,1,MATCH(COLUMNS($AC$1006:AO1006),$AC$1006:$AS$1006,0)))),"Fix")))</f>
        <v>0</v>
      </c>
      <c r="O294" s="5">
        <f>IF(OR(INDEX($W$2:$W$1001,MATCH(ROWS($V$2:V294),$V$2:$V$1001,0),1)&gt;=100000,INDEX($AC$1005:$AS$1005,1,MATCH(COLUMNS($AC$1006:AP1006),$AC$1006:$AS$1006,0))&gt;=100000), " ",IF(INDEX($AC$2:$AS$1001,MATCH(ROWS($V$2:V294),$V$2:$V$1001,0),MATCH(COLUMNS($AC$1006:AP1006),$AC$1006:$AS$1006,0)), HYPERLINK("#",""), HYPERLINK(CONCATENATE("#Metadata!", ADDRESS(INDEX($X$2:$X$1001,MATCH(ROWS($V$2:V294),$V$2:$V$1001,0),0), INDEX($AC$1004:$AS$1004,1,MATCH(COLUMNS($AC$1006:AP1006),$AC$1006:$AS$1006,0)))),"Fix")))</f>
        <v>0</v>
      </c>
      <c r="P294" s="5">
        <f>IF(OR(INDEX($W$2:$W$1001,MATCH(ROWS($V$2:V294),$V$2:$V$1001,0),1)&gt;=100000,INDEX($AC$1005:$AS$1005,1,MATCH(COLUMNS($AC$1006:AQ1006),$AC$1006:$AS$1006,0))&gt;=100000), " ",IF(INDEX($AC$2:$AS$1001,MATCH(ROWS($V$2:V294),$V$2:$V$1001,0),MATCH(COLUMNS($AC$1006:AQ1006),$AC$1006:$AS$1006,0)), HYPERLINK("#",""), HYPERLINK(CONCATENATE("#Metadata!", ADDRESS(INDEX($X$2:$X$1001,MATCH(ROWS($V$2:V294),$V$2:$V$1001,0),0), INDEX($AC$1004:$AS$1004,1,MATCH(COLUMNS($AC$1006:AQ1006),$AC$1006:$AS$1006,0)))),"Fix")))</f>
        <v>0</v>
      </c>
      <c r="Q294" s="5">
        <f>IF(OR(INDEX($W$2:$W$1001,MATCH(ROWS($V$2:V294),$V$2:$V$1001,0),1)&gt;=100000,INDEX($AC$1005:$AS$1005,1,MATCH(COLUMNS($AC$1006:AR1006),$AC$1006:$AS$1006,0))&gt;=100000), " ",IF(INDEX($AC$2:$AS$1001,MATCH(ROWS($V$2:V294),$V$2:$V$1001,0),MATCH(COLUMNS($AC$1006:AR1006),$AC$1006:$AS$1006,0)), HYPERLINK("#",""), HYPERLINK(CONCATENATE("#Metadata!", ADDRESS(INDEX($X$2:$X$1001,MATCH(ROWS($V$2:V294),$V$2:$V$1001,0),0), INDEX($AC$1004:$AS$1004,1,MATCH(COLUMNS($AC$1006:AR1006),$AC$1006:$AS$1006,0)))),"Fix")))</f>
        <v>0</v>
      </c>
      <c r="R294" s="5">
        <f>IF(OR(INDEX($W$2:$W$1001,MATCH(ROWS($V$2:V294),$V$2:$V$1001,0),1)&gt;=100000,INDEX($AC$1005:$AS$1005,1,MATCH(COLUMNS($AC$1006:AS1006),$AC$1006:$AS$1006,0))&gt;=100000), " ",IF(INDEX($AC$2:$AS$1001,MATCH(ROWS($V$2:V294),$V$2:$V$1001,0),MATCH(COLUMNS($AC$1006:AS1006),$AC$1006:$AS$1006,0)), HYPERLINK("#",""), HYPERLINK(CONCATENATE("#Metadata!", ADDRESS(INDEX($X$2:$X$1001,MATCH(ROWS($V$2:V294),$V$2:$V$1001,0),0), INDEX($AC$1004:$AS$1004,1,MATCH(COLUMNS($AC$1006:AS1006),$AC$1006:$AS$1006,0)))),"Fix")))</f>
        <v>0</v>
      </c>
      <c r="V294">
        <v>0</v>
      </c>
      <c r="W294">
        <v>0</v>
      </c>
      <c r="X294">
        <v>0</v>
      </c>
      <c r="Y294">
        <f>IF(Z294,TRUE,AND(AC294:AS294))</f>
        <v>0</v>
      </c>
      <c r="Z294">
        <f>COUNTBLANK(Metadata!B294:R294)=COLUMNS(Metadata!B294:R294)</f>
        <v>0</v>
      </c>
      <c r="AA294">
        <v>0</v>
      </c>
      <c r="AC294">
        <f>AND(IF(Metadata!B294="",FALSE,TRUE),COUNTIF(Metadata!B:B, Metadata!B294) = 1,NOT(ISERROR(SUMPRODUCT(SEARCH(MID(Metadata!B294,ROW(INDIRECT("1:"&amp;LEN(Metadata!B294))), 1),"0123456789abcdefghijklmnopqrstuvwxyzABCDEFGHIJKLMNOPQRSTUVWXYZ.")))))</f>
        <v>0</v>
      </c>
      <c r="AD294">
        <f>AND(IF(Metadata!C294="",FALSE,TRUE),exact(Metadata!C294,"Host-associated"))</f>
        <v>0</v>
      </c>
      <c r="AE294">
        <f>AND(IF(Metadata!D294="",FALSE,TRUE),OR(exact(Metadata!D294,"Animal"),exact(Metadata!D294,"Fungus"),exact(Metadata!D294,"Plant")))</f>
        <v>0</v>
      </c>
      <c r="AF294">
        <f>AND(IF(Metadata!E294="",FALSE,TRUE),OR(exact(Metadata!E294,"Plant secretion"),exact(Metadata!E294,"Plant rhizosphere"),exact(Metadata!E294,"Plant surface"),exact(Metadata!E294,"Plant corpus"),exact(Metadata!E294,"Fungus surface"),exact(Metadata!E294,"Fungus corpus"),exact(Metadata!E294,"Animal surface"),exact(Metadata!E294,"Animal proximal gut"),exact(Metadata!E294,"Animal corpus"),exact(Metadata!E294,"Animal distal gut"),exact(Metadata!E294,"Animal secretion")))</f>
        <v>0</v>
      </c>
      <c r="AG294">
        <f>OR(AND(IF(Metadata!F294="",FALSE,TRUE),OR(exact(Metadata!F294,"not collected"),exact(Metadata!F294,"not provided"),exact(Metadata!F294,"restricted access"))),AND(IF(Metadata!F294="",FALSE,TRUE),OR(exact(Metadata!F294,"organism-associated habitat"),exact(Metadata!F294,"plant-associated habitat"),exact(Metadata!F294,"animal-associated habitat"),exact(Metadata!F294,"insecta-associated habitat"),exact(Metadata!F294,"mammalia-associated habitat"),exact(Metadata!F294,"human-associated habitat"),exact(Metadata!F294,"livestock-associated habitat"))))</f>
        <v>0</v>
      </c>
      <c r="AH294">
        <f>AND(IF(Metadata!G294="",FALSE,TRUE),exact(Metadata!G294,"host-associated"))</f>
        <v>0</v>
      </c>
      <c r="AI294">
        <f>OR(AND(IF(Metadata!H294="",FALSE,TRUE),OR(exact(Metadata!H294,"not collected"),exact(Metadata!H294,"not provided"))),AND(IF(Metadata!H294="",FALSE,ISNUMBER(VALUE(Metadata!H294))),Metadata!H294&gt;0))</f>
        <v>0</v>
      </c>
      <c r="AJ294">
        <f>AND(IF(Metadata!I294="",FALSE,TRUE),exact(Metadata!I294,"years"))</f>
        <v>0</v>
      </c>
      <c r="AK294">
        <f>IF(Metadata!J294="",FALSE,TRUE)</f>
        <v>0</v>
      </c>
      <c r="AL294">
        <f>OR(AND(IF(Metadata!K294="",FALSE,TRUE),OR(exact(Metadata!K294,"not collected"),exact(Metadata!K294,"not provided"))),AND(IF(Metadata!K294="",FALSE,ISNUMBER(VALUE(Metadata!K294))),Metadata!K294&gt;0))</f>
        <v>0</v>
      </c>
      <c r="AM294">
        <f>AND(IF(Metadata!L294="",FALSE,TRUE),exact(Metadata!L294,"cm"))</f>
        <v>0</v>
      </c>
      <c r="AN294">
        <f>IF(Metadata!M294="",FALSE,TRUE)</f>
        <v>0</v>
      </c>
      <c r="AO294">
        <f>OR(AND(IF(Metadata!N294="",FALSE,TRUE),OR(exact(Metadata!N294,"not applicable"),exact(Metadata!N294,"not collected"),exact(Metadata!N294,"not provided"))),AND(IF(Metadata!N294="",FALSE,IF(ISERROR(INT(Metadata!N294)),FALSE,INT(Metadata!N294)=Metadata!N294)),Metadata!N294&gt;0))</f>
        <v>0</v>
      </c>
      <c r="AP294">
        <f>OR(AND(IF(Metadata!O294="",FALSE,TRUE),OR(exact(Metadata!O294,"not collected"),exact(Metadata!O294,"not provided"))),AND(IF(Metadata!O294="",FALSE,ISNUMBER(VALUE(Metadata!O294))),Metadata!O294&gt;0))</f>
        <v>0</v>
      </c>
      <c r="AQ294">
        <f>AND(IF(Metadata!P294="",FALSE,TRUE),exact(Metadata!P294,"kg"))</f>
        <v>0</v>
      </c>
      <c r="AR294">
        <f>OR(AND(IF(Metadata!Q294="",FALSE,TRUE),OR(exact(Metadata!Q294,"not applicable"),exact(Metadata!Q294,"not collected"),exact(Metadata!Q294,"not provided"),exact(Metadata!Q294,"restricted access"))),IF(Metadata!Q294="",FALSE,IF(ISERROR(INT(Metadata!Q294)),FALSE,INT(Metadata!Q294)=Metadata!Q294)))</f>
        <v>0</v>
      </c>
      <c r="AS294">
        <f>AND(IF(Metadata!R294="",FALSE,TRUE),exact(Metadata!R294,"Not applicable"))</f>
        <v>0</v>
      </c>
    </row>
    <row r="295" spans="1:45">
      <c r="A295" s="4">
        <f>IF(B295=" "," ",HYPERLINK(CONCATENATE("#metadata!",ADDRESS(INDEX($X$2:$X$1001,MATCH(ROWS($V$2:V295),$V$2:$V$1001,0),0),2)),INDEX($AA$2:$AA$1001,MATCH(ROWS($V$2:V295),$V$2:$V$1001,0),0)))</f>
        <v>0</v>
      </c>
      <c r="B295" s="5">
        <f>IF(OR(INDEX($W$2:$W$1001,MATCH(ROWS($V$2:V295),$V$2:$V$1001,0),1)&gt;=100000,INDEX($AC$1005:$AS$1005,1,MATCH(COLUMNS($AC$1006:AC1006),$AC$1006:$AS$1006,0))&gt;=100000), " ",IF(INDEX($AC$2:$AS$1001,MATCH(ROWS($V$2:V295),$V$2:$V$1001,0),MATCH(COLUMNS($AC$1006:AC1006),$AC$1006:$AS$1006,0)), HYPERLINK("#",""), HYPERLINK(CONCATENATE("#Metadata!", ADDRESS(INDEX($X$2:$X$1001,MATCH(ROWS($V$2:V295),$V$2:$V$1001,0),0), INDEX($AC$1004:$AS$1004,1,MATCH(COLUMNS($AC$1006:AC1006),$AC$1006:$AS$1006,0)))),"Fix")))</f>
        <v>0</v>
      </c>
      <c r="C295" s="5">
        <f>IF(OR(INDEX($W$2:$W$1001,MATCH(ROWS($V$2:V295),$V$2:$V$1001,0),1)&gt;=100000,INDEX($AC$1005:$AS$1005,1,MATCH(COLUMNS($AC$1006:AD1006),$AC$1006:$AS$1006,0))&gt;=100000), " ",IF(INDEX($AC$2:$AS$1001,MATCH(ROWS($V$2:V295),$V$2:$V$1001,0),MATCH(COLUMNS($AC$1006:AD1006),$AC$1006:$AS$1006,0)), HYPERLINK("#",""), HYPERLINK(CONCATENATE("#Metadata!", ADDRESS(INDEX($X$2:$X$1001,MATCH(ROWS($V$2:V295),$V$2:$V$1001,0),0), INDEX($AC$1004:$AS$1004,1,MATCH(COLUMNS($AC$1006:AD1006),$AC$1006:$AS$1006,0)))),"Fix")))</f>
        <v>0</v>
      </c>
      <c r="D295" s="5">
        <f>IF(OR(INDEX($W$2:$W$1001,MATCH(ROWS($V$2:V295),$V$2:$V$1001,0),1)&gt;=100000,INDEX($AC$1005:$AS$1005,1,MATCH(COLUMNS($AC$1006:AE1006),$AC$1006:$AS$1006,0))&gt;=100000), " ",IF(INDEX($AC$2:$AS$1001,MATCH(ROWS($V$2:V295),$V$2:$V$1001,0),MATCH(COLUMNS($AC$1006:AE1006),$AC$1006:$AS$1006,0)), HYPERLINK("#",""), HYPERLINK(CONCATENATE("#Metadata!", ADDRESS(INDEX($X$2:$X$1001,MATCH(ROWS($V$2:V295),$V$2:$V$1001,0),0), INDEX($AC$1004:$AS$1004,1,MATCH(COLUMNS($AC$1006:AE1006),$AC$1006:$AS$1006,0)))),"Fix")))</f>
        <v>0</v>
      </c>
      <c r="E295" s="5">
        <f>IF(OR(INDEX($W$2:$W$1001,MATCH(ROWS($V$2:V295),$V$2:$V$1001,0),1)&gt;=100000,INDEX($AC$1005:$AS$1005,1,MATCH(COLUMNS($AC$1006:AF1006),$AC$1006:$AS$1006,0))&gt;=100000), " ",IF(INDEX($AC$2:$AS$1001,MATCH(ROWS($V$2:V295),$V$2:$V$1001,0),MATCH(COLUMNS($AC$1006:AF1006),$AC$1006:$AS$1006,0)), HYPERLINK("#",""), HYPERLINK(CONCATENATE("#Metadata!", ADDRESS(INDEX($X$2:$X$1001,MATCH(ROWS($V$2:V295),$V$2:$V$1001,0),0), INDEX($AC$1004:$AS$1004,1,MATCH(COLUMNS($AC$1006:AF1006),$AC$1006:$AS$1006,0)))),"Fix")))</f>
        <v>0</v>
      </c>
      <c r="F295" s="5">
        <f>IF(OR(INDEX($W$2:$W$1001,MATCH(ROWS($V$2:V295),$V$2:$V$1001,0),1)&gt;=100000,INDEX($AC$1005:$AS$1005,1,MATCH(COLUMNS($AC$1006:AG1006),$AC$1006:$AS$1006,0))&gt;=100000), " ",IF(INDEX($AC$2:$AS$1001,MATCH(ROWS($V$2:V295),$V$2:$V$1001,0),MATCH(COLUMNS($AC$1006:AG1006),$AC$1006:$AS$1006,0)), HYPERLINK("#",""), HYPERLINK(CONCATENATE("#Metadata!", ADDRESS(INDEX($X$2:$X$1001,MATCH(ROWS($V$2:V295),$V$2:$V$1001,0),0), INDEX($AC$1004:$AS$1004,1,MATCH(COLUMNS($AC$1006:AG1006),$AC$1006:$AS$1006,0)))),"Fix")))</f>
        <v>0</v>
      </c>
      <c r="G295" s="5">
        <f>IF(OR(INDEX($W$2:$W$1001,MATCH(ROWS($V$2:V295),$V$2:$V$1001,0),1)&gt;=100000,INDEX($AC$1005:$AS$1005,1,MATCH(COLUMNS($AC$1006:AH1006),$AC$1006:$AS$1006,0))&gt;=100000), " ",IF(INDEX($AC$2:$AS$1001,MATCH(ROWS($V$2:V295),$V$2:$V$1001,0),MATCH(COLUMNS($AC$1006:AH1006),$AC$1006:$AS$1006,0)), HYPERLINK("#",""), HYPERLINK(CONCATENATE("#Metadata!", ADDRESS(INDEX($X$2:$X$1001,MATCH(ROWS($V$2:V295),$V$2:$V$1001,0),0), INDEX($AC$1004:$AS$1004,1,MATCH(COLUMNS($AC$1006:AH1006),$AC$1006:$AS$1006,0)))),"Fix")))</f>
        <v>0</v>
      </c>
      <c r="H295" s="5">
        <f>IF(OR(INDEX($W$2:$W$1001,MATCH(ROWS($V$2:V295),$V$2:$V$1001,0),1)&gt;=100000,INDEX($AC$1005:$AS$1005,1,MATCH(COLUMNS($AC$1006:AI1006),$AC$1006:$AS$1006,0))&gt;=100000), " ",IF(INDEX($AC$2:$AS$1001,MATCH(ROWS($V$2:V295),$V$2:$V$1001,0),MATCH(COLUMNS($AC$1006:AI1006),$AC$1006:$AS$1006,0)), HYPERLINK("#",""), HYPERLINK(CONCATENATE("#Metadata!", ADDRESS(INDEX($X$2:$X$1001,MATCH(ROWS($V$2:V295),$V$2:$V$1001,0),0), INDEX($AC$1004:$AS$1004,1,MATCH(COLUMNS($AC$1006:AI1006),$AC$1006:$AS$1006,0)))),"Fix")))</f>
        <v>0</v>
      </c>
      <c r="I295" s="5">
        <f>IF(OR(INDEX($W$2:$W$1001,MATCH(ROWS($V$2:V295),$V$2:$V$1001,0),1)&gt;=100000,INDEX($AC$1005:$AS$1005,1,MATCH(COLUMNS($AC$1006:AJ1006),$AC$1006:$AS$1006,0))&gt;=100000), " ",IF(INDEX($AC$2:$AS$1001,MATCH(ROWS($V$2:V295),$V$2:$V$1001,0),MATCH(COLUMNS($AC$1006:AJ1006),$AC$1006:$AS$1006,0)), HYPERLINK("#",""), HYPERLINK(CONCATENATE("#Metadata!", ADDRESS(INDEX($X$2:$X$1001,MATCH(ROWS($V$2:V295),$V$2:$V$1001,0),0), INDEX($AC$1004:$AS$1004,1,MATCH(COLUMNS($AC$1006:AJ1006),$AC$1006:$AS$1006,0)))),"Fix")))</f>
        <v>0</v>
      </c>
      <c r="J295" s="5">
        <f>IF(OR(INDEX($W$2:$W$1001,MATCH(ROWS($V$2:V295),$V$2:$V$1001,0),1)&gt;=100000,INDEX($AC$1005:$AS$1005,1,MATCH(COLUMNS($AC$1006:AK1006),$AC$1006:$AS$1006,0))&gt;=100000), " ",IF(INDEX($AC$2:$AS$1001,MATCH(ROWS($V$2:V295),$V$2:$V$1001,0),MATCH(COLUMNS($AC$1006:AK1006),$AC$1006:$AS$1006,0)), HYPERLINK("#",""), HYPERLINK(CONCATENATE("#Metadata!", ADDRESS(INDEX($X$2:$X$1001,MATCH(ROWS($V$2:V295),$V$2:$V$1001,0),0), INDEX($AC$1004:$AS$1004,1,MATCH(COLUMNS($AC$1006:AK1006),$AC$1006:$AS$1006,0)))),"Fix")))</f>
        <v>0</v>
      </c>
      <c r="K295" s="5">
        <f>IF(OR(INDEX($W$2:$W$1001,MATCH(ROWS($V$2:V295),$V$2:$V$1001,0),1)&gt;=100000,INDEX($AC$1005:$AS$1005,1,MATCH(COLUMNS($AC$1006:AL1006),$AC$1006:$AS$1006,0))&gt;=100000), " ",IF(INDEX($AC$2:$AS$1001,MATCH(ROWS($V$2:V295),$V$2:$V$1001,0),MATCH(COLUMNS($AC$1006:AL1006),$AC$1006:$AS$1006,0)), HYPERLINK("#",""), HYPERLINK(CONCATENATE("#Metadata!", ADDRESS(INDEX($X$2:$X$1001,MATCH(ROWS($V$2:V295),$V$2:$V$1001,0),0), INDEX($AC$1004:$AS$1004,1,MATCH(COLUMNS($AC$1006:AL1006),$AC$1006:$AS$1006,0)))),"Fix")))</f>
        <v>0</v>
      </c>
      <c r="L295" s="5">
        <f>IF(OR(INDEX($W$2:$W$1001,MATCH(ROWS($V$2:V295),$V$2:$V$1001,0),1)&gt;=100000,INDEX($AC$1005:$AS$1005,1,MATCH(COLUMNS($AC$1006:AM1006),$AC$1006:$AS$1006,0))&gt;=100000), " ",IF(INDEX($AC$2:$AS$1001,MATCH(ROWS($V$2:V295),$V$2:$V$1001,0),MATCH(COLUMNS($AC$1006:AM1006),$AC$1006:$AS$1006,0)), HYPERLINK("#",""), HYPERLINK(CONCATENATE("#Metadata!", ADDRESS(INDEX($X$2:$X$1001,MATCH(ROWS($V$2:V295),$V$2:$V$1001,0),0), INDEX($AC$1004:$AS$1004,1,MATCH(COLUMNS($AC$1006:AM1006),$AC$1006:$AS$1006,0)))),"Fix")))</f>
        <v>0</v>
      </c>
      <c r="M295" s="5">
        <f>IF(OR(INDEX($W$2:$W$1001,MATCH(ROWS($V$2:V295),$V$2:$V$1001,0),1)&gt;=100000,INDEX($AC$1005:$AS$1005,1,MATCH(COLUMNS($AC$1006:AN1006),$AC$1006:$AS$1006,0))&gt;=100000), " ",IF(INDEX($AC$2:$AS$1001,MATCH(ROWS($V$2:V295),$V$2:$V$1001,0),MATCH(COLUMNS($AC$1006:AN1006),$AC$1006:$AS$1006,0)), HYPERLINK("#",""), HYPERLINK(CONCATENATE("#Metadata!", ADDRESS(INDEX($X$2:$X$1001,MATCH(ROWS($V$2:V295),$V$2:$V$1001,0),0), INDEX($AC$1004:$AS$1004,1,MATCH(COLUMNS($AC$1006:AN1006),$AC$1006:$AS$1006,0)))),"Fix")))</f>
        <v>0</v>
      </c>
      <c r="N295" s="5">
        <f>IF(OR(INDEX($W$2:$W$1001,MATCH(ROWS($V$2:V295),$V$2:$V$1001,0),1)&gt;=100000,INDEX($AC$1005:$AS$1005,1,MATCH(COLUMNS($AC$1006:AO1006),$AC$1006:$AS$1006,0))&gt;=100000), " ",IF(INDEX($AC$2:$AS$1001,MATCH(ROWS($V$2:V295),$V$2:$V$1001,0),MATCH(COLUMNS($AC$1006:AO1006),$AC$1006:$AS$1006,0)), HYPERLINK("#",""), HYPERLINK(CONCATENATE("#Metadata!", ADDRESS(INDEX($X$2:$X$1001,MATCH(ROWS($V$2:V295),$V$2:$V$1001,0),0), INDEX($AC$1004:$AS$1004,1,MATCH(COLUMNS($AC$1006:AO1006),$AC$1006:$AS$1006,0)))),"Fix")))</f>
        <v>0</v>
      </c>
      <c r="O295" s="5">
        <f>IF(OR(INDEX($W$2:$W$1001,MATCH(ROWS($V$2:V295),$V$2:$V$1001,0),1)&gt;=100000,INDEX($AC$1005:$AS$1005,1,MATCH(COLUMNS($AC$1006:AP1006),$AC$1006:$AS$1006,0))&gt;=100000), " ",IF(INDEX($AC$2:$AS$1001,MATCH(ROWS($V$2:V295),$V$2:$V$1001,0),MATCH(COLUMNS($AC$1006:AP1006),$AC$1006:$AS$1006,0)), HYPERLINK("#",""), HYPERLINK(CONCATENATE("#Metadata!", ADDRESS(INDEX($X$2:$X$1001,MATCH(ROWS($V$2:V295),$V$2:$V$1001,0),0), INDEX($AC$1004:$AS$1004,1,MATCH(COLUMNS($AC$1006:AP1006),$AC$1006:$AS$1006,0)))),"Fix")))</f>
        <v>0</v>
      </c>
      <c r="P295" s="5">
        <f>IF(OR(INDEX($W$2:$W$1001,MATCH(ROWS($V$2:V295),$V$2:$V$1001,0),1)&gt;=100000,INDEX($AC$1005:$AS$1005,1,MATCH(COLUMNS($AC$1006:AQ1006),$AC$1006:$AS$1006,0))&gt;=100000), " ",IF(INDEX($AC$2:$AS$1001,MATCH(ROWS($V$2:V295),$V$2:$V$1001,0),MATCH(COLUMNS($AC$1006:AQ1006),$AC$1006:$AS$1006,0)), HYPERLINK("#",""), HYPERLINK(CONCATENATE("#Metadata!", ADDRESS(INDEX($X$2:$X$1001,MATCH(ROWS($V$2:V295),$V$2:$V$1001,0),0), INDEX($AC$1004:$AS$1004,1,MATCH(COLUMNS($AC$1006:AQ1006),$AC$1006:$AS$1006,0)))),"Fix")))</f>
        <v>0</v>
      </c>
      <c r="Q295" s="5">
        <f>IF(OR(INDEX($W$2:$W$1001,MATCH(ROWS($V$2:V295),$V$2:$V$1001,0),1)&gt;=100000,INDEX($AC$1005:$AS$1005,1,MATCH(COLUMNS($AC$1006:AR1006),$AC$1006:$AS$1006,0))&gt;=100000), " ",IF(INDEX($AC$2:$AS$1001,MATCH(ROWS($V$2:V295),$V$2:$V$1001,0),MATCH(COLUMNS($AC$1006:AR1006),$AC$1006:$AS$1006,0)), HYPERLINK("#",""), HYPERLINK(CONCATENATE("#Metadata!", ADDRESS(INDEX($X$2:$X$1001,MATCH(ROWS($V$2:V295),$V$2:$V$1001,0),0), INDEX($AC$1004:$AS$1004,1,MATCH(COLUMNS($AC$1006:AR1006),$AC$1006:$AS$1006,0)))),"Fix")))</f>
        <v>0</v>
      </c>
      <c r="R295" s="5">
        <f>IF(OR(INDEX($W$2:$W$1001,MATCH(ROWS($V$2:V295),$V$2:$V$1001,0),1)&gt;=100000,INDEX($AC$1005:$AS$1005,1,MATCH(COLUMNS($AC$1006:AS1006),$AC$1006:$AS$1006,0))&gt;=100000), " ",IF(INDEX($AC$2:$AS$1001,MATCH(ROWS($V$2:V295),$V$2:$V$1001,0),MATCH(COLUMNS($AC$1006:AS1006),$AC$1006:$AS$1006,0)), HYPERLINK("#",""), HYPERLINK(CONCATENATE("#Metadata!", ADDRESS(INDEX($X$2:$X$1001,MATCH(ROWS($V$2:V295),$V$2:$V$1001,0),0), INDEX($AC$1004:$AS$1004,1,MATCH(COLUMNS($AC$1006:AS1006),$AC$1006:$AS$1006,0)))),"Fix")))</f>
        <v>0</v>
      </c>
      <c r="V295">
        <v>0</v>
      </c>
      <c r="W295">
        <v>0</v>
      </c>
      <c r="X295">
        <v>0</v>
      </c>
      <c r="Y295">
        <f>IF(Z295,TRUE,AND(AC295:AS295))</f>
        <v>0</v>
      </c>
      <c r="Z295">
        <f>COUNTBLANK(Metadata!B295:R295)=COLUMNS(Metadata!B295:R295)</f>
        <v>0</v>
      </c>
      <c r="AA295">
        <v>0</v>
      </c>
      <c r="AC295">
        <f>AND(IF(Metadata!B295="",FALSE,TRUE),COUNTIF(Metadata!B:B, Metadata!B295) = 1,NOT(ISERROR(SUMPRODUCT(SEARCH(MID(Metadata!B295,ROW(INDIRECT("1:"&amp;LEN(Metadata!B295))), 1),"0123456789abcdefghijklmnopqrstuvwxyzABCDEFGHIJKLMNOPQRSTUVWXYZ.")))))</f>
        <v>0</v>
      </c>
      <c r="AD295">
        <f>AND(IF(Metadata!C295="",FALSE,TRUE),exact(Metadata!C295,"Host-associated"))</f>
        <v>0</v>
      </c>
      <c r="AE295">
        <f>AND(IF(Metadata!D295="",FALSE,TRUE),OR(exact(Metadata!D295,"Animal"),exact(Metadata!D295,"Fungus"),exact(Metadata!D295,"Plant")))</f>
        <v>0</v>
      </c>
      <c r="AF295">
        <f>AND(IF(Metadata!E295="",FALSE,TRUE),OR(exact(Metadata!E295,"Plant secretion"),exact(Metadata!E295,"Plant rhizosphere"),exact(Metadata!E295,"Plant surface"),exact(Metadata!E295,"Plant corpus"),exact(Metadata!E295,"Fungus surface"),exact(Metadata!E295,"Fungus corpus"),exact(Metadata!E295,"Animal surface"),exact(Metadata!E295,"Animal proximal gut"),exact(Metadata!E295,"Animal corpus"),exact(Metadata!E295,"Animal distal gut"),exact(Metadata!E295,"Animal secretion")))</f>
        <v>0</v>
      </c>
      <c r="AG295">
        <f>OR(AND(IF(Metadata!F295="",FALSE,TRUE),OR(exact(Metadata!F295,"not collected"),exact(Metadata!F295,"not provided"),exact(Metadata!F295,"restricted access"))),AND(IF(Metadata!F295="",FALSE,TRUE),OR(exact(Metadata!F295,"organism-associated habitat"),exact(Metadata!F295,"plant-associated habitat"),exact(Metadata!F295,"animal-associated habitat"),exact(Metadata!F295,"insecta-associated habitat"),exact(Metadata!F295,"mammalia-associated habitat"),exact(Metadata!F295,"human-associated habitat"),exact(Metadata!F295,"livestock-associated habitat"))))</f>
        <v>0</v>
      </c>
      <c r="AH295">
        <f>AND(IF(Metadata!G295="",FALSE,TRUE),exact(Metadata!G295,"host-associated"))</f>
        <v>0</v>
      </c>
      <c r="AI295">
        <f>OR(AND(IF(Metadata!H295="",FALSE,TRUE),OR(exact(Metadata!H295,"not collected"),exact(Metadata!H295,"not provided"))),AND(IF(Metadata!H295="",FALSE,ISNUMBER(VALUE(Metadata!H295))),Metadata!H295&gt;0))</f>
        <v>0</v>
      </c>
      <c r="AJ295">
        <f>AND(IF(Metadata!I295="",FALSE,TRUE),exact(Metadata!I295,"years"))</f>
        <v>0</v>
      </c>
      <c r="AK295">
        <f>IF(Metadata!J295="",FALSE,TRUE)</f>
        <v>0</v>
      </c>
      <c r="AL295">
        <f>OR(AND(IF(Metadata!K295="",FALSE,TRUE),OR(exact(Metadata!K295,"not collected"),exact(Metadata!K295,"not provided"))),AND(IF(Metadata!K295="",FALSE,ISNUMBER(VALUE(Metadata!K295))),Metadata!K295&gt;0))</f>
        <v>0</v>
      </c>
      <c r="AM295">
        <f>AND(IF(Metadata!L295="",FALSE,TRUE),exact(Metadata!L295,"cm"))</f>
        <v>0</v>
      </c>
      <c r="AN295">
        <f>IF(Metadata!M295="",FALSE,TRUE)</f>
        <v>0</v>
      </c>
      <c r="AO295">
        <f>OR(AND(IF(Metadata!N295="",FALSE,TRUE),OR(exact(Metadata!N295,"not applicable"),exact(Metadata!N295,"not collected"),exact(Metadata!N295,"not provided"))),AND(IF(Metadata!N295="",FALSE,IF(ISERROR(INT(Metadata!N295)),FALSE,INT(Metadata!N295)=Metadata!N295)),Metadata!N295&gt;0))</f>
        <v>0</v>
      </c>
      <c r="AP295">
        <f>OR(AND(IF(Metadata!O295="",FALSE,TRUE),OR(exact(Metadata!O295,"not collected"),exact(Metadata!O295,"not provided"))),AND(IF(Metadata!O295="",FALSE,ISNUMBER(VALUE(Metadata!O295))),Metadata!O295&gt;0))</f>
        <v>0</v>
      </c>
      <c r="AQ295">
        <f>AND(IF(Metadata!P295="",FALSE,TRUE),exact(Metadata!P295,"kg"))</f>
        <v>0</v>
      </c>
      <c r="AR295">
        <f>OR(AND(IF(Metadata!Q295="",FALSE,TRUE),OR(exact(Metadata!Q295,"not applicable"),exact(Metadata!Q295,"not collected"),exact(Metadata!Q295,"not provided"),exact(Metadata!Q295,"restricted access"))),IF(Metadata!Q295="",FALSE,IF(ISERROR(INT(Metadata!Q295)),FALSE,INT(Metadata!Q295)=Metadata!Q295)))</f>
        <v>0</v>
      </c>
      <c r="AS295">
        <f>AND(IF(Metadata!R295="",FALSE,TRUE),exact(Metadata!R295,"Not applicable"))</f>
        <v>0</v>
      </c>
    </row>
    <row r="296" spans="1:45">
      <c r="A296" s="4">
        <f>IF(B296=" "," ",HYPERLINK(CONCATENATE("#metadata!",ADDRESS(INDEX($X$2:$X$1001,MATCH(ROWS($V$2:V296),$V$2:$V$1001,0),0),2)),INDEX($AA$2:$AA$1001,MATCH(ROWS($V$2:V296),$V$2:$V$1001,0),0)))</f>
        <v>0</v>
      </c>
      <c r="B296" s="5">
        <f>IF(OR(INDEX($W$2:$W$1001,MATCH(ROWS($V$2:V296),$V$2:$V$1001,0),1)&gt;=100000,INDEX($AC$1005:$AS$1005,1,MATCH(COLUMNS($AC$1006:AC1006),$AC$1006:$AS$1006,0))&gt;=100000), " ",IF(INDEX($AC$2:$AS$1001,MATCH(ROWS($V$2:V296),$V$2:$V$1001,0),MATCH(COLUMNS($AC$1006:AC1006),$AC$1006:$AS$1006,0)), HYPERLINK("#",""), HYPERLINK(CONCATENATE("#Metadata!", ADDRESS(INDEX($X$2:$X$1001,MATCH(ROWS($V$2:V296),$V$2:$V$1001,0),0), INDEX($AC$1004:$AS$1004,1,MATCH(COLUMNS($AC$1006:AC1006),$AC$1006:$AS$1006,0)))),"Fix")))</f>
        <v>0</v>
      </c>
      <c r="C296" s="5">
        <f>IF(OR(INDEX($W$2:$W$1001,MATCH(ROWS($V$2:V296),$V$2:$V$1001,0),1)&gt;=100000,INDEX($AC$1005:$AS$1005,1,MATCH(COLUMNS($AC$1006:AD1006),$AC$1006:$AS$1006,0))&gt;=100000), " ",IF(INDEX($AC$2:$AS$1001,MATCH(ROWS($V$2:V296),$V$2:$V$1001,0),MATCH(COLUMNS($AC$1006:AD1006),$AC$1006:$AS$1006,0)), HYPERLINK("#",""), HYPERLINK(CONCATENATE("#Metadata!", ADDRESS(INDEX($X$2:$X$1001,MATCH(ROWS($V$2:V296),$V$2:$V$1001,0),0), INDEX($AC$1004:$AS$1004,1,MATCH(COLUMNS($AC$1006:AD1006),$AC$1006:$AS$1006,0)))),"Fix")))</f>
        <v>0</v>
      </c>
      <c r="D296" s="5">
        <f>IF(OR(INDEX($W$2:$W$1001,MATCH(ROWS($V$2:V296),$V$2:$V$1001,0),1)&gt;=100000,INDEX($AC$1005:$AS$1005,1,MATCH(COLUMNS($AC$1006:AE1006),$AC$1006:$AS$1006,0))&gt;=100000), " ",IF(INDEX($AC$2:$AS$1001,MATCH(ROWS($V$2:V296),$V$2:$V$1001,0),MATCH(COLUMNS($AC$1006:AE1006),$AC$1006:$AS$1006,0)), HYPERLINK("#",""), HYPERLINK(CONCATENATE("#Metadata!", ADDRESS(INDEX($X$2:$X$1001,MATCH(ROWS($V$2:V296),$V$2:$V$1001,0),0), INDEX($AC$1004:$AS$1004,1,MATCH(COLUMNS($AC$1006:AE1006),$AC$1006:$AS$1006,0)))),"Fix")))</f>
        <v>0</v>
      </c>
      <c r="E296" s="5">
        <f>IF(OR(INDEX($W$2:$W$1001,MATCH(ROWS($V$2:V296),$V$2:$V$1001,0),1)&gt;=100000,INDEX($AC$1005:$AS$1005,1,MATCH(COLUMNS($AC$1006:AF1006),$AC$1006:$AS$1006,0))&gt;=100000), " ",IF(INDEX($AC$2:$AS$1001,MATCH(ROWS($V$2:V296),$V$2:$V$1001,0),MATCH(COLUMNS($AC$1006:AF1006),$AC$1006:$AS$1006,0)), HYPERLINK("#",""), HYPERLINK(CONCATENATE("#Metadata!", ADDRESS(INDEX($X$2:$X$1001,MATCH(ROWS($V$2:V296),$V$2:$V$1001,0),0), INDEX($AC$1004:$AS$1004,1,MATCH(COLUMNS($AC$1006:AF1006),$AC$1006:$AS$1006,0)))),"Fix")))</f>
        <v>0</v>
      </c>
      <c r="F296" s="5">
        <f>IF(OR(INDEX($W$2:$W$1001,MATCH(ROWS($V$2:V296),$V$2:$V$1001,0),1)&gt;=100000,INDEX($AC$1005:$AS$1005,1,MATCH(COLUMNS($AC$1006:AG1006),$AC$1006:$AS$1006,0))&gt;=100000), " ",IF(INDEX($AC$2:$AS$1001,MATCH(ROWS($V$2:V296),$V$2:$V$1001,0),MATCH(COLUMNS($AC$1006:AG1006),$AC$1006:$AS$1006,0)), HYPERLINK("#",""), HYPERLINK(CONCATENATE("#Metadata!", ADDRESS(INDEX($X$2:$X$1001,MATCH(ROWS($V$2:V296),$V$2:$V$1001,0),0), INDEX($AC$1004:$AS$1004,1,MATCH(COLUMNS($AC$1006:AG1006),$AC$1006:$AS$1006,0)))),"Fix")))</f>
        <v>0</v>
      </c>
      <c r="G296" s="5">
        <f>IF(OR(INDEX($W$2:$W$1001,MATCH(ROWS($V$2:V296),$V$2:$V$1001,0),1)&gt;=100000,INDEX($AC$1005:$AS$1005,1,MATCH(COLUMNS($AC$1006:AH1006),$AC$1006:$AS$1006,0))&gt;=100000), " ",IF(INDEX($AC$2:$AS$1001,MATCH(ROWS($V$2:V296),$V$2:$V$1001,0),MATCH(COLUMNS($AC$1006:AH1006),$AC$1006:$AS$1006,0)), HYPERLINK("#",""), HYPERLINK(CONCATENATE("#Metadata!", ADDRESS(INDEX($X$2:$X$1001,MATCH(ROWS($V$2:V296),$V$2:$V$1001,0),0), INDEX($AC$1004:$AS$1004,1,MATCH(COLUMNS($AC$1006:AH1006),$AC$1006:$AS$1006,0)))),"Fix")))</f>
        <v>0</v>
      </c>
      <c r="H296" s="5">
        <f>IF(OR(INDEX($W$2:$W$1001,MATCH(ROWS($V$2:V296),$V$2:$V$1001,0),1)&gt;=100000,INDEX($AC$1005:$AS$1005,1,MATCH(COLUMNS($AC$1006:AI1006),$AC$1006:$AS$1006,0))&gt;=100000), " ",IF(INDEX($AC$2:$AS$1001,MATCH(ROWS($V$2:V296),$V$2:$V$1001,0),MATCH(COLUMNS($AC$1006:AI1006),$AC$1006:$AS$1006,0)), HYPERLINK("#",""), HYPERLINK(CONCATENATE("#Metadata!", ADDRESS(INDEX($X$2:$X$1001,MATCH(ROWS($V$2:V296),$V$2:$V$1001,0),0), INDEX($AC$1004:$AS$1004,1,MATCH(COLUMNS($AC$1006:AI1006),$AC$1006:$AS$1006,0)))),"Fix")))</f>
        <v>0</v>
      </c>
      <c r="I296" s="5">
        <f>IF(OR(INDEX($W$2:$W$1001,MATCH(ROWS($V$2:V296),$V$2:$V$1001,0),1)&gt;=100000,INDEX($AC$1005:$AS$1005,1,MATCH(COLUMNS($AC$1006:AJ1006),$AC$1006:$AS$1006,0))&gt;=100000), " ",IF(INDEX($AC$2:$AS$1001,MATCH(ROWS($V$2:V296),$V$2:$V$1001,0),MATCH(COLUMNS($AC$1006:AJ1006),$AC$1006:$AS$1006,0)), HYPERLINK("#",""), HYPERLINK(CONCATENATE("#Metadata!", ADDRESS(INDEX($X$2:$X$1001,MATCH(ROWS($V$2:V296),$V$2:$V$1001,0),0), INDEX($AC$1004:$AS$1004,1,MATCH(COLUMNS($AC$1006:AJ1006),$AC$1006:$AS$1006,0)))),"Fix")))</f>
        <v>0</v>
      </c>
      <c r="J296" s="5">
        <f>IF(OR(INDEX($W$2:$W$1001,MATCH(ROWS($V$2:V296),$V$2:$V$1001,0),1)&gt;=100000,INDEX($AC$1005:$AS$1005,1,MATCH(COLUMNS($AC$1006:AK1006),$AC$1006:$AS$1006,0))&gt;=100000), " ",IF(INDEX($AC$2:$AS$1001,MATCH(ROWS($V$2:V296),$V$2:$V$1001,0),MATCH(COLUMNS($AC$1006:AK1006),$AC$1006:$AS$1006,0)), HYPERLINK("#",""), HYPERLINK(CONCATENATE("#Metadata!", ADDRESS(INDEX($X$2:$X$1001,MATCH(ROWS($V$2:V296),$V$2:$V$1001,0),0), INDEX($AC$1004:$AS$1004,1,MATCH(COLUMNS($AC$1006:AK1006),$AC$1006:$AS$1006,0)))),"Fix")))</f>
        <v>0</v>
      </c>
      <c r="K296" s="5">
        <f>IF(OR(INDEX($W$2:$W$1001,MATCH(ROWS($V$2:V296),$V$2:$V$1001,0),1)&gt;=100000,INDEX($AC$1005:$AS$1005,1,MATCH(COLUMNS($AC$1006:AL1006),$AC$1006:$AS$1006,0))&gt;=100000), " ",IF(INDEX($AC$2:$AS$1001,MATCH(ROWS($V$2:V296),$V$2:$V$1001,0),MATCH(COLUMNS($AC$1006:AL1006),$AC$1006:$AS$1006,0)), HYPERLINK("#",""), HYPERLINK(CONCATENATE("#Metadata!", ADDRESS(INDEX($X$2:$X$1001,MATCH(ROWS($V$2:V296),$V$2:$V$1001,0),0), INDEX($AC$1004:$AS$1004,1,MATCH(COLUMNS($AC$1006:AL1006),$AC$1006:$AS$1006,0)))),"Fix")))</f>
        <v>0</v>
      </c>
      <c r="L296" s="5">
        <f>IF(OR(INDEX($W$2:$W$1001,MATCH(ROWS($V$2:V296),$V$2:$V$1001,0),1)&gt;=100000,INDEX($AC$1005:$AS$1005,1,MATCH(COLUMNS($AC$1006:AM1006),$AC$1006:$AS$1006,0))&gt;=100000), " ",IF(INDEX($AC$2:$AS$1001,MATCH(ROWS($V$2:V296),$V$2:$V$1001,0),MATCH(COLUMNS($AC$1006:AM1006),$AC$1006:$AS$1006,0)), HYPERLINK("#",""), HYPERLINK(CONCATENATE("#Metadata!", ADDRESS(INDEX($X$2:$X$1001,MATCH(ROWS($V$2:V296),$V$2:$V$1001,0),0), INDEX($AC$1004:$AS$1004,1,MATCH(COLUMNS($AC$1006:AM1006),$AC$1006:$AS$1006,0)))),"Fix")))</f>
        <v>0</v>
      </c>
      <c r="M296" s="5">
        <f>IF(OR(INDEX($W$2:$W$1001,MATCH(ROWS($V$2:V296),$V$2:$V$1001,0),1)&gt;=100000,INDEX($AC$1005:$AS$1005,1,MATCH(COLUMNS($AC$1006:AN1006),$AC$1006:$AS$1006,0))&gt;=100000), " ",IF(INDEX($AC$2:$AS$1001,MATCH(ROWS($V$2:V296),$V$2:$V$1001,0),MATCH(COLUMNS($AC$1006:AN1006),$AC$1006:$AS$1006,0)), HYPERLINK("#",""), HYPERLINK(CONCATENATE("#Metadata!", ADDRESS(INDEX($X$2:$X$1001,MATCH(ROWS($V$2:V296),$V$2:$V$1001,0),0), INDEX($AC$1004:$AS$1004,1,MATCH(COLUMNS($AC$1006:AN1006),$AC$1006:$AS$1006,0)))),"Fix")))</f>
        <v>0</v>
      </c>
      <c r="N296" s="5">
        <f>IF(OR(INDEX($W$2:$W$1001,MATCH(ROWS($V$2:V296),$V$2:$V$1001,0),1)&gt;=100000,INDEX($AC$1005:$AS$1005,1,MATCH(COLUMNS($AC$1006:AO1006),$AC$1006:$AS$1006,0))&gt;=100000), " ",IF(INDEX($AC$2:$AS$1001,MATCH(ROWS($V$2:V296),$V$2:$V$1001,0),MATCH(COLUMNS($AC$1006:AO1006),$AC$1006:$AS$1006,0)), HYPERLINK("#",""), HYPERLINK(CONCATENATE("#Metadata!", ADDRESS(INDEX($X$2:$X$1001,MATCH(ROWS($V$2:V296),$V$2:$V$1001,0),0), INDEX($AC$1004:$AS$1004,1,MATCH(COLUMNS($AC$1006:AO1006),$AC$1006:$AS$1006,0)))),"Fix")))</f>
        <v>0</v>
      </c>
      <c r="O296" s="5">
        <f>IF(OR(INDEX($W$2:$W$1001,MATCH(ROWS($V$2:V296),$V$2:$V$1001,0),1)&gt;=100000,INDEX($AC$1005:$AS$1005,1,MATCH(COLUMNS($AC$1006:AP1006),$AC$1006:$AS$1006,0))&gt;=100000), " ",IF(INDEX($AC$2:$AS$1001,MATCH(ROWS($V$2:V296),$V$2:$V$1001,0),MATCH(COLUMNS($AC$1006:AP1006),$AC$1006:$AS$1006,0)), HYPERLINK("#",""), HYPERLINK(CONCATENATE("#Metadata!", ADDRESS(INDEX($X$2:$X$1001,MATCH(ROWS($V$2:V296),$V$2:$V$1001,0),0), INDEX($AC$1004:$AS$1004,1,MATCH(COLUMNS($AC$1006:AP1006),$AC$1006:$AS$1006,0)))),"Fix")))</f>
        <v>0</v>
      </c>
      <c r="P296" s="5">
        <f>IF(OR(INDEX($W$2:$W$1001,MATCH(ROWS($V$2:V296),$V$2:$V$1001,0),1)&gt;=100000,INDEX($AC$1005:$AS$1005,1,MATCH(COLUMNS($AC$1006:AQ1006),$AC$1006:$AS$1006,0))&gt;=100000), " ",IF(INDEX($AC$2:$AS$1001,MATCH(ROWS($V$2:V296),$V$2:$V$1001,0),MATCH(COLUMNS($AC$1006:AQ1006),$AC$1006:$AS$1006,0)), HYPERLINK("#",""), HYPERLINK(CONCATENATE("#Metadata!", ADDRESS(INDEX($X$2:$X$1001,MATCH(ROWS($V$2:V296),$V$2:$V$1001,0),0), INDEX($AC$1004:$AS$1004,1,MATCH(COLUMNS($AC$1006:AQ1006),$AC$1006:$AS$1006,0)))),"Fix")))</f>
        <v>0</v>
      </c>
      <c r="Q296" s="5">
        <f>IF(OR(INDEX($W$2:$W$1001,MATCH(ROWS($V$2:V296),$V$2:$V$1001,0),1)&gt;=100000,INDEX($AC$1005:$AS$1005,1,MATCH(COLUMNS($AC$1006:AR1006),$AC$1006:$AS$1006,0))&gt;=100000), " ",IF(INDEX($AC$2:$AS$1001,MATCH(ROWS($V$2:V296),$V$2:$V$1001,0),MATCH(COLUMNS($AC$1006:AR1006),$AC$1006:$AS$1006,0)), HYPERLINK("#",""), HYPERLINK(CONCATENATE("#Metadata!", ADDRESS(INDEX($X$2:$X$1001,MATCH(ROWS($V$2:V296),$V$2:$V$1001,0),0), INDEX($AC$1004:$AS$1004,1,MATCH(COLUMNS($AC$1006:AR1006),$AC$1006:$AS$1006,0)))),"Fix")))</f>
        <v>0</v>
      </c>
      <c r="R296" s="5">
        <f>IF(OR(INDEX($W$2:$W$1001,MATCH(ROWS($V$2:V296),$V$2:$V$1001,0),1)&gt;=100000,INDEX($AC$1005:$AS$1005,1,MATCH(COLUMNS($AC$1006:AS1006),$AC$1006:$AS$1006,0))&gt;=100000), " ",IF(INDEX($AC$2:$AS$1001,MATCH(ROWS($V$2:V296),$V$2:$V$1001,0),MATCH(COLUMNS($AC$1006:AS1006),$AC$1006:$AS$1006,0)), HYPERLINK("#",""), HYPERLINK(CONCATENATE("#Metadata!", ADDRESS(INDEX($X$2:$X$1001,MATCH(ROWS($V$2:V296),$V$2:$V$1001,0),0), INDEX($AC$1004:$AS$1004,1,MATCH(COLUMNS($AC$1006:AS1006),$AC$1006:$AS$1006,0)))),"Fix")))</f>
        <v>0</v>
      </c>
      <c r="V296">
        <v>0</v>
      </c>
      <c r="W296">
        <v>0</v>
      </c>
      <c r="X296">
        <v>0</v>
      </c>
      <c r="Y296">
        <f>IF(Z296,TRUE,AND(AC296:AS296))</f>
        <v>0</v>
      </c>
      <c r="Z296">
        <f>COUNTBLANK(Metadata!B296:R296)=COLUMNS(Metadata!B296:R296)</f>
        <v>0</v>
      </c>
      <c r="AA296">
        <v>0</v>
      </c>
      <c r="AC296">
        <f>AND(IF(Metadata!B296="",FALSE,TRUE),COUNTIF(Metadata!B:B, Metadata!B296) = 1,NOT(ISERROR(SUMPRODUCT(SEARCH(MID(Metadata!B296,ROW(INDIRECT("1:"&amp;LEN(Metadata!B296))), 1),"0123456789abcdefghijklmnopqrstuvwxyzABCDEFGHIJKLMNOPQRSTUVWXYZ.")))))</f>
        <v>0</v>
      </c>
      <c r="AD296">
        <f>AND(IF(Metadata!C296="",FALSE,TRUE),exact(Metadata!C296,"Host-associated"))</f>
        <v>0</v>
      </c>
      <c r="AE296">
        <f>AND(IF(Metadata!D296="",FALSE,TRUE),OR(exact(Metadata!D296,"Animal"),exact(Metadata!D296,"Fungus"),exact(Metadata!D296,"Plant")))</f>
        <v>0</v>
      </c>
      <c r="AF296">
        <f>AND(IF(Metadata!E296="",FALSE,TRUE),OR(exact(Metadata!E296,"Plant secretion"),exact(Metadata!E296,"Plant rhizosphere"),exact(Metadata!E296,"Plant surface"),exact(Metadata!E296,"Plant corpus"),exact(Metadata!E296,"Fungus surface"),exact(Metadata!E296,"Fungus corpus"),exact(Metadata!E296,"Animal surface"),exact(Metadata!E296,"Animal proximal gut"),exact(Metadata!E296,"Animal corpus"),exact(Metadata!E296,"Animal distal gut"),exact(Metadata!E296,"Animal secretion")))</f>
        <v>0</v>
      </c>
      <c r="AG296">
        <f>OR(AND(IF(Metadata!F296="",FALSE,TRUE),OR(exact(Metadata!F296,"not collected"),exact(Metadata!F296,"not provided"),exact(Metadata!F296,"restricted access"))),AND(IF(Metadata!F296="",FALSE,TRUE),OR(exact(Metadata!F296,"organism-associated habitat"),exact(Metadata!F296,"plant-associated habitat"),exact(Metadata!F296,"animal-associated habitat"),exact(Metadata!F296,"insecta-associated habitat"),exact(Metadata!F296,"mammalia-associated habitat"),exact(Metadata!F296,"human-associated habitat"),exact(Metadata!F296,"livestock-associated habitat"))))</f>
        <v>0</v>
      </c>
      <c r="AH296">
        <f>AND(IF(Metadata!G296="",FALSE,TRUE),exact(Metadata!G296,"host-associated"))</f>
        <v>0</v>
      </c>
      <c r="AI296">
        <f>OR(AND(IF(Metadata!H296="",FALSE,TRUE),OR(exact(Metadata!H296,"not collected"),exact(Metadata!H296,"not provided"))),AND(IF(Metadata!H296="",FALSE,ISNUMBER(VALUE(Metadata!H296))),Metadata!H296&gt;0))</f>
        <v>0</v>
      </c>
      <c r="AJ296">
        <f>AND(IF(Metadata!I296="",FALSE,TRUE),exact(Metadata!I296,"years"))</f>
        <v>0</v>
      </c>
      <c r="AK296">
        <f>IF(Metadata!J296="",FALSE,TRUE)</f>
        <v>0</v>
      </c>
      <c r="AL296">
        <f>OR(AND(IF(Metadata!K296="",FALSE,TRUE),OR(exact(Metadata!K296,"not collected"),exact(Metadata!K296,"not provided"))),AND(IF(Metadata!K296="",FALSE,ISNUMBER(VALUE(Metadata!K296))),Metadata!K296&gt;0))</f>
        <v>0</v>
      </c>
      <c r="AM296">
        <f>AND(IF(Metadata!L296="",FALSE,TRUE),exact(Metadata!L296,"cm"))</f>
        <v>0</v>
      </c>
      <c r="AN296">
        <f>IF(Metadata!M296="",FALSE,TRUE)</f>
        <v>0</v>
      </c>
      <c r="AO296">
        <f>OR(AND(IF(Metadata!N296="",FALSE,TRUE),OR(exact(Metadata!N296,"not applicable"),exact(Metadata!N296,"not collected"),exact(Metadata!N296,"not provided"))),AND(IF(Metadata!N296="",FALSE,IF(ISERROR(INT(Metadata!N296)),FALSE,INT(Metadata!N296)=Metadata!N296)),Metadata!N296&gt;0))</f>
        <v>0</v>
      </c>
      <c r="AP296">
        <f>OR(AND(IF(Metadata!O296="",FALSE,TRUE),OR(exact(Metadata!O296,"not collected"),exact(Metadata!O296,"not provided"))),AND(IF(Metadata!O296="",FALSE,ISNUMBER(VALUE(Metadata!O296))),Metadata!O296&gt;0))</f>
        <v>0</v>
      </c>
      <c r="AQ296">
        <f>AND(IF(Metadata!P296="",FALSE,TRUE),exact(Metadata!P296,"kg"))</f>
        <v>0</v>
      </c>
      <c r="AR296">
        <f>OR(AND(IF(Metadata!Q296="",FALSE,TRUE),OR(exact(Metadata!Q296,"not applicable"),exact(Metadata!Q296,"not collected"),exact(Metadata!Q296,"not provided"),exact(Metadata!Q296,"restricted access"))),IF(Metadata!Q296="",FALSE,IF(ISERROR(INT(Metadata!Q296)),FALSE,INT(Metadata!Q296)=Metadata!Q296)))</f>
        <v>0</v>
      </c>
      <c r="AS296">
        <f>AND(IF(Metadata!R296="",FALSE,TRUE),exact(Metadata!R296,"Not applicable"))</f>
        <v>0</v>
      </c>
    </row>
    <row r="297" spans="1:45">
      <c r="A297" s="4">
        <f>IF(B297=" "," ",HYPERLINK(CONCATENATE("#metadata!",ADDRESS(INDEX($X$2:$X$1001,MATCH(ROWS($V$2:V297),$V$2:$V$1001,0),0),2)),INDEX($AA$2:$AA$1001,MATCH(ROWS($V$2:V297),$V$2:$V$1001,0),0)))</f>
        <v>0</v>
      </c>
      <c r="B297" s="5">
        <f>IF(OR(INDEX($W$2:$W$1001,MATCH(ROWS($V$2:V297),$V$2:$V$1001,0),1)&gt;=100000,INDEX($AC$1005:$AS$1005,1,MATCH(COLUMNS($AC$1006:AC1006),$AC$1006:$AS$1006,0))&gt;=100000), " ",IF(INDEX($AC$2:$AS$1001,MATCH(ROWS($V$2:V297),$V$2:$V$1001,0),MATCH(COLUMNS($AC$1006:AC1006),$AC$1006:$AS$1006,0)), HYPERLINK("#",""), HYPERLINK(CONCATENATE("#Metadata!", ADDRESS(INDEX($X$2:$X$1001,MATCH(ROWS($V$2:V297),$V$2:$V$1001,0),0), INDEX($AC$1004:$AS$1004,1,MATCH(COLUMNS($AC$1006:AC1006),$AC$1006:$AS$1006,0)))),"Fix")))</f>
        <v>0</v>
      </c>
      <c r="C297" s="5">
        <f>IF(OR(INDEX($W$2:$W$1001,MATCH(ROWS($V$2:V297),$V$2:$V$1001,0),1)&gt;=100000,INDEX($AC$1005:$AS$1005,1,MATCH(COLUMNS($AC$1006:AD1006),$AC$1006:$AS$1006,0))&gt;=100000), " ",IF(INDEX($AC$2:$AS$1001,MATCH(ROWS($V$2:V297),$V$2:$V$1001,0),MATCH(COLUMNS($AC$1006:AD1006),$AC$1006:$AS$1006,0)), HYPERLINK("#",""), HYPERLINK(CONCATENATE("#Metadata!", ADDRESS(INDEX($X$2:$X$1001,MATCH(ROWS($V$2:V297),$V$2:$V$1001,0),0), INDEX($AC$1004:$AS$1004,1,MATCH(COLUMNS($AC$1006:AD1006),$AC$1006:$AS$1006,0)))),"Fix")))</f>
        <v>0</v>
      </c>
      <c r="D297" s="5">
        <f>IF(OR(INDEX($W$2:$W$1001,MATCH(ROWS($V$2:V297),$V$2:$V$1001,0),1)&gt;=100000,INDEX($AC$1005:$AS$1005,1,MATCH(COLUMNS($AC$1006:AE1006),$AC$1006:$AS$1006,0))&gt;=100000), " ",IF(INDEX($AC$2:$AS$1001,MATCH(ROWS($V$2:V297),$V$2:$V$1001,0),MATCH(COLUMNS($AC$1006:AE1006),$AC$1006:$AS$1006,0)), HYPERLINK("#",""), HYPERLINK(CONCATENATE("#Metadata!", ADDRESS(INDEX($X$2:$X$1001,MATCH(ROWS($V$2:V297),$V$2:$V$1001,0),0), INDEX($AC$1004:$AS$1004,1,MATCH(COLUMNS($AC$1006:AE1006),$AC$1006:$AS$1006,0)))),"Fix")))</f>
        <v>0</v>
      </c>
      <c r="E297" s="5">
        <f>IF(OR(INDEX($W$2:$W$1001,MATCH(ROWS($V$2:V297),$V$2:$V$1001,0),1)&gt;=100000,INDEX($AC$1005:$AS$1005,1,MATCH(COLUMNS($AC$1006:AF1006),$AC$1006:$AS$1006,0))&gt;=100000), " ",IF(INDEX($AC$2:$AS$1001,MATCH(ROWS($V$2:V297),$V$2:$V$1001,0),MATCH(COLUMNS($AC$1006:AF1006),$AC$1006:$AS$1006,0)), HYPERLINK("#",""), HYPERLINK(CONCATENATE("#Metadata!", ADDRESS(INDEX($X$2:$X$1001,MATCH(ROWS($V$2:V297),$V$2:$V$1001,0),0), INDEX($AC$1004:$AS$1004,1,MATCH(COLUMNS($AC$1006:AF1006),$AC$1006:$AS$1006,0)))),"Fix")))</f>
        <v>0</v>
      </c>
      <c r="F297" s="5">
        <f>IF(OR(INDEX($W$2:$W$1001,MATCH(ROWS($V$2:V297),$V$2:$V$1001,0),1)&gt;=100000,INDEX($AC$1005:$AS$1005,1,MATCH(COLUMNS($AC$1006:AG1006),$AC$1006:$AS$1006,0))&gt;=100000), " ",IF(INDEX($AC$2:$AS$1001,MATCH(ROWS($V$2:V297),$V$2:$V$1001,0),MATCH(COLUMNS($AC$1006:AG1006),$AC$1006:$AS$1006,0)), HYPERLINK("#",""), HYPERLINK(CONCATENATE("#Metadata!", ADDRESS(INDEX($X$2:$X$1001,MATCH(ROWS($V$2:V297),$V$2:$V$1001,0),0), INDEX($AC$1004:$AS$1004,1,MATCH(COLUMNS($AC$1006:AG1006),$AC$1006:$AS$1006,0)))),"Fix")))</f>
        <v>0</v>
      </c>
      <c r="G297" s="5">
        <f>IF(OR(INDEX($W$2:$W$1001,MATCH(ROWS($V$2:V297),$V$2:$V$1001,0),1)&gt;=100000,INDEX($AC$1005:$AS$1005,1,MATCH(COLUMNS($AC$1006:AH1006),$AC$1006:$AS$1006,0))&gt;=100000), " ",IF(INDEX($AC$2:$AS$1001,MATCH(ROWS($V$2:V297),$V$2:$V$1001,0),MATCH(COLUMNS($AC$1006:AH1006),$AC$1006:$AS$1006,0)), HYPERLINK("#",""), HYPERLINK(CONCATENATE("#Metadata!", ADDRESS(INDEX($X$2:$X$1001,MATCH(ROWS($V$2:V297),$V$2:$V$1001,0),0), INDEX($AC$1004:$AS$1004,1,MATCH(COLUMNS($AC$1006:AH1006),$AC$1006:$AS$1006,0)))),"Fix")))</f>
        <v>0</v>
      </c>
      <c r="H297" s="5">
        <f>IF(OR(INDEX($W$2:$W$1001,MATCH(ROWS($V$2:V297),$V$2:$V$1001,0),1)&gt;=100000,INDEX($AC$1005:$AS$1005,1,MATCH(COLUMNS($AC$1006:AI1006),$AC$1006:$AS$1006,0))&gt;=100000), " ",IF(INDEX($AC$2:$AS$1001,MATCH(ROWS($V$2:V297),$V$2:$V$1001,0),MATCH(COLUMNS($AC$1006:AI1006),$AC$1006:$AS$1006,0)), HYPERLINK("#",""), HYPERLINK(CONCATENATE("#Metadata!", ADDRESS(INDEX($X$2:$X$1001,MATCH(ROWS($V$2:V297),$V$2:$V$1001,0),0), INDEX($AC$1004:$AS$1004,1,MATCH(COLUMNS($AC$1006:AI1006),$AC$1006:$AS$1006,0)))),"Fix")))</f>
        <v>0</v>
      </c>
      <c r="I297" s="5">
        <f>IF(OR(INDEX($W$2:$W$1001,MATCH(ROWS($V$2:V297),$V$2:$V$1001,0),1)&gt;=100000,INDEX($AC$1005:$AS$1005,1,MATCH(COLUMNS($AC$1006:AJ1006),$AC$1006:$AS$1006,0))&gt;=100000), " ",IF(INDEX($AC$2:$AS$1001,MATCH(ROWS($V$2:V297),$V$2:$V$1001,0),MATCH(COLUMNS($AC$1006:AJ1006),$AC$1006:$AS$1006,0)), HYPERLINK("#",""), HYPERLINK(CONCATENATE("#Metadata!", ADDRESS(INDEX($X$2:$X$1001,MATCH(ROWS($V$2:V297),$V$2:$V$1001,0),0), INDEX($AC$1004:$AS$1004,1,MATCH(COLUMNS($AC$1006:AJ1006),$AC$1006:$AS$1006,0)))),"Fix")))</f>
        <v>0</v>
      </c>
      <c r="J297" s="5">
        <f>IF(OR(INDEX($W$2:$W$1001,MATCH(ROWS($V$2:V297),$V$2:$V$1001,0),1)&gt;=100000,INDEX($AC$1005:$AS$1005,1,MATCH(COLUMNS($AC$1006:AK1006),$AC$1006:$AS$1006,0))&gt;=100000), " ",IF(INDEX($AC$2:$AS$1001,MATCH(ROWS($V$2:V297),$V$2:$V$1001,0),MATCH(COLUMNS($AC$1006:AK1006),$AC$1006:$AS$1006,0)), HYPERLINK("#",""), HYPERLINK(CONCATENATE("#Metadata!", ADDRESS(INDEX($X$2:$X$1001,MATCH(ROWS($V$2:V297),$V$2:$V$1001,0),0), INDEX($AC$1004:$AS$1004,1,MATCH(COLUMNS($AC$1006:AK1006),$AC$1006:$AS$1006,0)))),"Fix")))</f>
        <v>0</v>
      </c>
      <c r="K297" s="5">
        <f>IF(OR(INDEX($W$2:$W$1001,MATCH(ROWS($V$2:V297),$V$2:$V$1001,0),1)&gt;=100000,INDEX($AC$1005:$AS$1005,1,MATCH(COLUMNS($AC$1006:AL1006),$AC$1006:$AS$1006,0))&gt;=100000), " ",IF(INDEX($AC$2:$AS$1001,MATCH(ROWS($V$2:V297),$V$2:$V$1001,0),MATCH(COLUMNS($AC$1006:AL1006),$AC$1006:$AS$1006,0)), HYPERLINK("#",""), HYPERLINK(CONCATENATE("#Metadata!", ADDRESS(INDEX($X$2:$X$1001,MATCH(ROWS($V$2:V297),$V$2:$V$1001,0),0), INDEX($AC$1004:$AS$1004,1,MATCH(COLUMNS($AC$1006:AL1006),$AC$1006:$AS$1006,0)))),"Fix")))</f>
        <v>0</v>
      </c>
      <c r="L297" s="5">
        <f>IF(OR(INDEX($W$2:$W$1001,MATCH(ROWS($V$2:V297),$V$2:$V$1001,0),1)&gt;=100000,INDEX($AC$1005:$AS$1005,1,MATCH(COLUMNS($AC$1006:AM1006),$AC$1006:$AS$1006,0))&gt;=100000), " ",IF(INDEX($AC$2:$AS$1001,MATCH(ROWS($V$2:V297),$V$2:$V$1001,0),MATCH(COLUMNS($AC$1006:AM1006),$AC$1006:$AS$1006,0)), HYPERLINK("#",""), HYPERLINK(CONCATENATE("#Metadata!", ADDRESS(INDEX($X$2:$X$1001,MATCH(ROWS($V$2:V297),$V$2:$V$1001,0),0), INDEX($AC$1004:$AS$1004,1,MATCH(COLUMNS($AC$1006:AM1006),$AC$1006:$AS$1006,0)))),"Fix")))</f>
        <v>0</v>
      </c>
      <c r="M297" s="5">
        <f>IF(OR(INDEX($W$2:$W$1001,MATCH(ROWS($V$2:V297),$V$2:$V$1001,0),1)&gt;=100000,INDEX($AC$1005:$AS$1005,1,MATCH(COLUMNS($AC$1006:AN1006),$AC$1006:$AS$1006,0))&gt;=100000), " ",IF(INDEX($AC$2:$AS$1001,MATCH(ROWS($V$2:V297),$V$2:$V$1001,0),MATCH(COLUMNS($AC$1006:AN1006),$AC$1006:$AS$1006,0)), HYPERLINK("#",""), HYPERLINK(CONCATENATE("#Metadata!", ADDRESS(INDEX($X$2:$X$1001,MATCH(ROWS($V$2:V297),$V$2:$V$1001,0),0), INDEX($AC$1004:$AS$1004,1,MATCH(COLUMNS($AC$1006:AN1006),$AC$1006:$AS$1006,0)))),"Fix")))</f>
        <v>0</v>
      </c>
      <c r="N297" s="5">
        <f>IF(OR(INDEX($W$2:$W$1001,MATCH(ROWS($V$2:V297),$V$2:$V$1001,0),1)&gt;=100000,INDEX($AC$1005:$AS$1005,1,MATCH(COLUMNS($AC$1006:AO1006),$AC$1006:$AS$1006,0))&gt;=100000), " ",IF(INDEX($AC$2:$AS$1001,MATCH(ROWS($V$2:V297),$V$2:$V$1001,0),MATCH(COLUMNS($AC$1006:AO1006),$AC$1006:$AS$1006,0)), HYPERLINK("#",""), HYPERLINK(CONCATENATE("#Metadata!", ADDRESS(INDEX($X$2:$X$1001,MATCH(ROWS($V$2:V297),$V$2:$V$1001,0),0), INDEX($AC$1004:$AS$1004,1,MATCH(COLUMNS($AC$1006:AO1006),$AC$1006:$AS$1006,0)))),"Fix")))</f>
        <v>0</v>
      </c>
      <c r="O297" s="5">
        <f>IF(OR(INDEX($W$2:$W$1001,MATCH(ROWS($V$2:V297),$V$2:$V$1001,0),1)&gt;=100000,INDEX($AC$1005:$AS$1005,1,MATCH(COLUMNS($AC$1006:AP1006),$AC$1006:$AS$1006,0))&gt;=100000), " ",IF(INDEX($AC$2:$AS$1001,MATCH(ROWS($V$2:V297),$V$2:$V$1001,0),MATCH(COLUMNS($AC$1006:AP1006),$AC$1006:$AS$1006,0)), HYPERLINK("#",""), HYPERLINK(CONCATENATE("#Metadata!", ADDRESS(INDEX($X$2:$X$1001,MATCH(ROWS($V$2:V297),$V$2:$V$1001,0),0), INDEX($AC$1004:$AS$1004,1,MATCH(COLUMNS($AC$1006:AP1006),$AC$1006:$AS$1006,0)))),"Fix")))</f>
        <v>0</v>
      </c>
      <c r="P297" s="5">
        <f>IF(OR(INDEX($W$2:$W$1001,MATCH(ROWS($V$2:V297),$V$2:$V$1001,0),1)&gt;=100000,INDEX($AC$1005:$AS$1005,1,MATCH(COLUMNS($AC$1006:AQ1006),$AC$1006:$AS$1006,0))&gt;=100000), " ",IF(INDEX($AC$2:$AS$1001,MATCH(ROWS($V$2:V297),$V$2:$V$1001,0),MATCH(COLUMNS($AC$1006:AQ1006),$AC$1006:$AS$1006,0)), HYPERLINK("#",""), HYPERLINK(CONCATENATE("#Metadata!", ADDRESS(INDEX($X$2:$X$1001,MATCH(ROWS($V$2:V297),$V$2:$V$1001,0),0), INDEX($AC$1004:$AS$1004,1,MATCH(COLUMNS($AC$1006:AQ1006),$AC$1006:$AS$1006,0)))),"Fix")))</f>
        <v>0</v>
      </c>
      <c r="Q297" s="5">
        <f>IF(OR(INDEX($W$2:$W$1001,MATCH(ROWS($V$2:V297),$V$2:$V$1001,0),1)&gt;=100000,INDEX($AC$1005:$AS$1005,1,MATCH(COLUMNS($AC$1006:AR1006),$AC$1006:$AS$1006,0))&gt;=100000), " ",IF(INDEX($AC$2:$AS$1001,MATCH(ROWS($V$2:V297),$V$2:$V$1001,0),MATCH(COLUMNS($AC$1006:AR1006),$AC$1006:$AS$1006,0)), HYPERLINK("#",""), HYPERLINK(CONCATENATE("#Metadata!", ADDRESS(INDEX($X$2:$X$1001,MATCH(ROWS($V$2:V297),$V$2:$V$1001,0),0), INDEX($AC$1004:$AS$1004,1,MATCH(COLUMNS($AC$1006:AR1006),$AC$1006:$AS$1006,0)))),"Fix")))</f>
        <v>0</v>
      </c>
      <c r="R297" s="5">
        <f>IF(OR(INDEX($W$2:$W$1001,MATCH(ROWS($V$2:V297),$V$2:$V$1001,0),1)&gt;=100000,INDEX($AC$1005:$AS$1005,1,MATCH(COLUMNS($AC$1006:AS1006),$AC$1006:$AS$1006,0))&gt;=100000), " ",IF(INDEX($AC$2:$AS$1001,MATCH(ROWS($V$2:V297),$V$2:$V$1001,0),MATCH(COLUMNS($AC$1006:AS1006),$AC$1006:$AS$1006,0)), HYPERLINK("#",""), HYPERLINK(CONCATENATE("#Metadata!", ADDRESS(INDEX($X$2:$X$1001,MATCH(ROWS($V$2:V297),$V$2:$V$1001,0),0), INDEX($AC$1004:$AS$1004,1,MATCH(COLUMNS($AC$1006:AS1006),$AC$1006:$AS$1006,0)))),"Fix")))</f>
        <v>0</v>
      </c>
      <c r="V297">
        <v>0</v>
      </c>
      <c r="W297">
        <v>0</v>
      </c>
      <c r="X297">
        <v>0</v>
      </c>
      <c r="Y297">
        <f>IF(Z297,TRUE,AND(AC297:AS297))</f>
        <v>0</v>
      </c>
      <c r="Z297">
        <f>COUNTBLANK(Metadata!B297:R297)=COLUMNS(Metadata!B297:R297)</f>
        <v>0</v>
      </c>
      <c r="AA297">
        <v>0</v>
      </c>
      <c r="AC297">
        <f>AND(IF(Metadata!B297="",FALSE,TRUE),COUNTIF(Metadata!B:B, Metadata!B297) = 1,NOT(ISERROR(SUMPRODUCT(SEARCH(MID(Metadata!B297,ROW(INDIRECT("1:"&amp;LEN(Metadata!B297))), 1),"0123456789abcdefghijklmnopqrstuvwxyzABCDEFGHIJKLMNOPQRSTUVWXYZ.")))))</f>
        <v>0</v>
      </c>
      <c r="AD297">
        <f>AND(IF(Metadata!C297="",FALSE,TRUE),exact(Metadata!C297,"Host-associated"))</f>
        <v>0</v>
      </c>
      <c r="AE297">
        <f>AND(IF(Metadata!D297="",FALSE,TRUE),OR(exact(Metadata!D297,"Animal"),exact(Metadata!D297,"Fungus"),exact(Metadata!D297,"Plant")))</f>
        <v>0</v>
      </c>
      <c r="AF297">
        <f>AND(IF(Metadata!E297="",FALSE,TRUE),OR(exact(Metadata!E297,"Plant secretion"),exact(Metadata!E297,"Plant rhizosphere"),exact(Metadata!E297,"Plant surface"),exact(Metadata!E297,"Plant corpus"),exact(Metadata!E297,"Fungus surface"),exact(Metadata!E297,"Fungus corpus"),exact(Metadata!E297,"Animal surface"),exact(Metadata!E297,"Animal proximal gut"),exact(Metadata!E297,"Animal corpus"),exact(Metadata!E297,"Animal distal gut"),exact(Metadata!E297,"Animal secretion")))</f>
        <v>0</v>
      </c>
      <c r="AG297">
        <f>OR(AND(IF(Metadata!F297="",FALSE,TRUE),OR(exact(Metadata!F297,"not collected"),exact(Metadata!F297,"not provided"),exact(Metadata!F297,"restricted access"))),AND(IF(Metadata!F297="",FALSE,TRUE),OR(exact(Metadata!F297,"organism-associated habitat"),exact(Metadata!F297,"plant-associated habitat"),exact(Metadata!F297,"animal-associated habitat"),exact(Metadata!F297,"insecta-associated habitat"),exact(Metadata!F297,"mammalia-associated habitat"),exact(Metadata!F297,"human-associated habitat"),exact(Metadata!F297,"livestock-associated habitat"))))</f>
        <v>0</v>
      </c>
      <c r="AH297">
        <f>AND(IF(Metadata!G297="",FALSE,TRUE),exact(Metadata!G297,"host-associated"))</f>
        <v>0</v>
      </c>
      <c r="AI297">
        <f>OR(AND(IF(Metadata!H297="",FALSE,TRUE),OR(exact(Metadata!H297,"not collected"),exact(Metadata!H297,"not provided"))),AND(IF(Metadata!H297="",FALSE,ISNUMBER(VALUE(Metadata!H297))),Metadata!H297&gt;0))</f>
        <v>0</v>
      </c>
      <c r="AJ297">
        <f>AND(IF(Metadata!I297="",FALSE,TRUE),exact(Metadata!I297,"years"))</f>
        <v>0</v>
      </c>
      <c r="AK297">
        <f>IF(Metadata!J297="",FALSE,TRUE)</f>
        <v>0</v>
      </c>
      <c r="AL297">
        <f>OR(AND(IF(Metadata!K297="",FALSE,TRUE),OR(exact(Metadata!K297,"not collected"),exact(Metadata!K297,"not provided"))),AND(IF(Metadata!K297="",FALSE,ISNUMBER(VALUE(Metadata!K297))),Metadata!K297&gt;0))</f>
        <v>0</v>
      </c>
      <c r="AM297">
        <f>AND(IF(Metadata!L297="",FALSE,TRUE),exact(Metadata!L297,"cm"))</f>
        <v>0</v>
      </c>
      <c r="AN297">
        <f>IF(Metadata!M297="",FALSE,TRUE)</f>
        <v>0</v>
      </c>
      <c r="AO297">
        <f>OR(AND(IF(Metadata!N297="",FALSE,TRUE),OR(exact(Metadata!N297,"not applicable"),exact(Metadata!N297,"not collected"),exact(Metadata!N297,"not provided"))),AND(IF(Metadata!N297="",FALSE,IF(ISERROR(INT(Metadata!N297)),FALSE,INT(Metadata!N297)=Metadata!N297)),Metadata!N297&gt;0))</f>
        <v>0</v>
      </c>
      <c r="AP297">
        <f>OR(AND(IF(Metadata!O297="",FALSE,TRUE),OR(exact(Metadata!O297,"not collected"),exact(Metadata!O297,"not provided"))),AND(IF(Metadata!O297="",FALSE,ISNUMBER(VALUE(Metadata!O297))),Metadata!O297&gt;0))</f>
        <v>0</v>
      </c>
      <c r="AQ297">
        <f>AND(IF(Metadata!P297="",FALSE,TRUE),exact(Metadata!P297,"kg"))</f>
        <v>0</v>
      </c>
      <c r="AR297">
        <f>OR(AND(IF(Metadata!Q297="",FALSE,TRUE),OR(exact(Metadata!Q297,"not applicable"),exact(Metadata!Q297,"not collected"),exact(Metadata!Q297,"not provided"),exact(Metadata!Q297,"restricted access"))),IF(Metadata!Q297="",FALSE,IF(ISERROR(INT(Metadata!Q297)),FALSE,INT(Metadata!Q297)=Metadata!Q297)))</f>
        <v>0</v>
      </c>
      <c r="AS297">
        <f>AND(IF(Metadata!R297="",FALSE,TRUE),exact(Metadata!R297,"Not applicable"))</f>
        <v>0</v>
      </c>
    </row>
    <row r="298" spans="1:45">
      <c r="A298" s="4">
        <f>IF(B298=" "," ",HYPERLINK(CONCATENATE("#metadata!",ADDRESS(INDEX($X$2:$X$1001,MATCH(ROWS($V$2:V298),$V$2:$V$1001,0),0),2)),INDEX($AA$2:$AA$1001,MATCH(ROWS($V$2:V298),$V$2:$V$1001,0),0)))</f>
        <v>0</v>
      </c>
      <c r="B298" s="5">
        <f>IF(OR(INDEX($W$2:$W$1001,MATCH(ROWS($V$2:V298),$V$2:$V$1001,0),1)&gt;=100000,INDEX($AC$1005:$AS$1005,1,MATCH(COLUMNS($AC$1006:AC1006),$AC$1006:$AS$1006,0))&gt;=100000), " ",IF(INDEX($AC$2:$AS$1001,MATCH(ROWS($V$2:V298),$V$2:$V$1001,0),MATCH(COLUMNS($AC$1006:AC1006),$AC$1006:$AS$1006,0)), HYPERLINK("#",""), HYPERLINK(CONCATENATE("#Metadata!", ADDRESS(INDEX($X$2:$X$1001,MATCH(ROWS($V$2:V298),$V$2:$V$1001,0),0), INDEX($AC$1004:$AS$1004,1,MATCH(COLUMNS($AC$1006:AC1006),$AC$1006:$AS$1006,0)))),"Fix")))</f>
        <v>0</v>
      </c>
      <c r="C298" s="5">
        <f>IF(OR(INDEX($W$2:$W$1001,MATCH(ROWS($V$2:V298),$V$2:$V$1001,0),1)&gt;=100000,INDEX($AC$1005:$AS$1005,1,MATCH(COLUMNS($AC$1006:AD1006),$AC$1006:$AS$1006,0))&gt;=100000), " ",IF(INDEX($AC$2:$AS$1001,MATCH(ROWS($V$2:V298),$V$2:$V$1001,0),MATCH(COLUMNS($AC$1006:AD1006),$AC$1006:$AS$1006,0)), HYPERLINK("#",""), HYPERLINK(CONCATENATE("#Metadata!", ADDRESS(INDEX($X$2:$X$1001,MATCH(ROWS($V$2:V298),$V$2:$V$1001,0),0), INDEX($AC$1004:$AS$1004,1,MATCH(COLUMNS($AC$1006:AD1006),$AC$1006:$AS$1006,0)))),"Fix")))</f>
        <v>0</v>
      </c>
      <c r="D298" s="5">
        <f>IF(OR(INDEX($W$2:$W$1001,MATCH(ROWS($V$2:V298),$V$2:$V$1001,0),1)&gt;=100000,INDEX($AC$1005:$AS$1005,1,MATCH(COLUMNS($AC$1006:AE1006),$AC$1006:$AS$1006,0))&gt;=100000), " ",IF(INDEX($AC$2:$AS$1001,MATCH(ROWS($V$2:V298),$V$2:$V$1001,0),MATCH(COLUMNS($AC$1006:AE1006),$AC$1006:$AS$1006,0)), HYPERLINK("#",""), HYPERLINK(CONCATENATE("#Metadata!", ADDRESS(INDEX($X$2:$X$1001,MATCH(ROWS($V$2:V298),$V$2:$V$1001,0),0), INDEX($AC$1004:$AS$1004,1,MATCH(COLUMNS($AC$1006:AE1006),$AC$1006:$AS$1006,0)))),"Fix")))</f>
        <v>0</v>
      </c>
      <c r="E298" s="5">
        <f>IF(OR(INDEX($W$2:$W$1001,MATCH(ROWS($V$2:V298),$V$2:$V$1001,0),1)&gt;=100000,INDEX($AC$1005:$AS$1005,1,MATCH(COLUMNS($AC$1006:AF1006),$AC$1006:$AS$1006,0))&gt;=100000), " ",IF(INDEX($AC$2:$AS$1001,MATCH(ROWS($V$2:V298),$V$2:$V$1001,0),MATCH(COLUMNS($AC$1006:AF1006),$AC$1006:$AS$1006,0)), HYPERLINK("#",""), HYPERLINK(CONCATENATE("#Metadata!", ADDRESS(INDEX($X$2:$X$1001,MATCH(ROWS($V$2:V298),$V$2:$V$1001,0),0), INDEX($AC$1004:$AS$1004,1,MATCH(COLUMNS($AC$1006:AF1006),$AC$1006:$AS$1006,0)))),"Fix")))</f>
        <v>0</v>
      </c>
      <c r="F298" s="5">
        <f>IF(OR(INDEX($W$2:$W$1001,MATCH(ROWS($V$2:V298),$V$2:$V$1001,0),1)&gt;=100000,INDEX($AC$1005:$AS$1005,1,MATCH(COLUMNS($AC$1006:AG1006),$AC$1006:$AS$1006,0))&gt;=100000), " ",IF(INDEX($AC$2:$AS$1001,MATCH(ROWS($V$2:V298),$V$2:$V$1001,0),MATCH(COLUMNS($AC$1006:AG1006),$AC$1006:$AS$1006,0)), HYPERLINK("#",""), HYPERLINK(CONCATENATE("#Metadata!", ADDRESS(INDEX($X$2:$X$1001,MATCH(ROWS($V$2:V298),$V$2:$V$1001,0),0), INDEX($AC$1004:$AS$1004,1,MATCH(COLUMNS($AC$1006:AG1006),$AC$1006:$AS$1006,0)))),"Fix")))</f>
        <v>0</v>
      </c>
      <c r="G298" s="5">
        <f>IF(OR(INDEX($W$2:$W$1001,MATCH(ROWS($V$2:V298),$V$2:$V$1001,0),1)&gt;=100000,INDEX($AC$1005:$AS$1005,1,MATCH(COLUMNS($AC$1006:AH1006),$AC$1006:$AS$1006,0))&gt;=100000), " ",IF(INDEX($AC$2:$AS$1001,MATCH(ROWS($V$2:V298),$V$2:$V$1001,0),MATCH(COLUMNS($AC$1006:AH1006),$AC$1006:$AS$1006,0)), HYPERLINK("#",""), HYPERLINK(CONCATENATE("#Metadata!", ADDRESS(INDEX($X$2:$X$1001,MATCH(ROWS($V$2:V298),$V$2:$V$1001,0),0), INDEX($AC$1004:$AS$1004,1,MATCH(COLUMNS($AC$1006:AH1006),$AC$1006:$AS$1006,0)))),"Fix")))</f>
        <v>0</v>
      </c>
      <c r="H298" s="5">
        <f>IF(OR(INDEX($W$2:$W$1001,MATCH(ROWS($V$2:V298),$V$2:$V$1001,0),1)&gt;=100000,INDEX($AC$1005:$AS$1005,1,MATCH(COLUMNS($AC$1006:AI1006),$AC$1006:$AS$1006,0))&gt;=100000), " ",IF(INDEX($AC$2:$AS$1001,MATCH(ROWS($V$2:V298),$V$2:$V$1001,0),MATCH(COLUMNS($AC$1006:AI1006),$AC$1006:$AS$1006,0)), HYPERLINK("#",""), HYPERLINK(CONCATENATE("#Metadata!", ADDRESS(INDEX($X$2:$X$1001,MATCH(ROWS($V$2:V298),$V$2:$V$1001,0),0), INDEX($AC$1004:$AS$1004,1,MATCH(COLUMNS($AC$1006:AI1006),$AC$1006:$AS$1006,0)))),"Fix")))</f>
        <v>0</v>
      </c>
      <c r="I298" s="5">
        <f>IF(OR(INDEX($W$2:$W$1001,MATCH(ROWS($V$2:V298),$V$2:$V$1001,0),1)&gt;=100000,INDEX($AC$1005:$AS$1005,1,MATCH(COLUMNS($AC$1006:AJ1006),$AC$1006:$AS$1006,0))&gt;=100000), " ",IF(INDEX($AC$2:$AS$1001,MATCH(ROWS($V$2:V298),$V$2:$V$1001,0),MATCH(COLUMNS($AC$1006:AJ1006),$AC$1006:$AS$1006,0)), HYPERLINK("#",""), HYPERLINK(CONCATENATE("#Metadata!", ADDRESS(INDEX($X$2:$X$1001,MATCH(ROWS($V$2:V298),$V$2:$V$1001,0),0), INDEX($AC$1004:$AS$1004,1,MATCH(COLUMNS($AC$1006:AJ1006),$AC$1006:$AS$1006,0)))),"Fix")))</f>
        <v>0</v>
      </c>
      <c r="J298" s="5">
        <f>IF(OR(INDEX($W$2:$W$1001,MATCH(ROWS($V$2:V298),$V$2:$V$1001,0),1)&gt;=100000,INDEX($AC$1005:$AS$1005,1,MATCH(COLUMNS($AC$1006:AK1006),$AC$1006:$AS$1006,0))&gt;=100000), " ",IF(INDEX($AC$2:$AS$1001,MATCH(ROWS($V$2:V298),$V$2:$V$1001,0),MATCH(COLUMNS($AC$1006:AK1006),$AC$1006:$AS$1006,0)), HYPERLINK("#",""), HYPERLINK(CONCATENATE("#Metadata!", ADDRESS(INDEX($X$2:$X$1001,MATCH(ROWS($V$2:V298),$V$2:$V$1001,0),0), INDEX($AC$1004:$AS$1004,1,MATCH(COLUMNS($AC$1006:AK1006),$AC$1006:$AS$1006,0)))),"Fix")))</f>
        <v>0</v>
      </c>
      <c r="K298" s="5">
        <f>IF(OR(INDEX($W$2:$W$1001,MATCH(ROWS($V$2:V298),$V$2:$V$1001,0),1)&gt;=100000,INDEX($AC$1005:$AS$1005,1,MATCH(COLUMNS($AC$1006:AL1006),$AC$1006:$AS$1006,0))&gt;=100000), " ",IF(INDEX($AC$2:$AS$1001,MATCH(ROWS($V$2:V298),$V$2:$V$1001,0),MATCH(COLUMNS($AC$1006:AL1006),$AC$1006:$AS$1006,0)), HYPERLINK("#",""), HYPERLINK(CONCATENATE("#Metadata!", ADDRESS(INDEX($X$2:$X$1001,MATCH(ROWS($V$2:V298),$V$2:$V$1001,0),0), INDEX($AC$1004:$AS$1004,1,MATCH(COLUMNS($AC$1006:AL1006),$AC$1006:$AS$1006,0)))),"Fix")))</f>
        <v>0</v>
      </c>
      <c r="L298" s="5">
        <f>IF(OR(INDEX($W$2:$W$1001,MATCH(ROWS($V$2:V298),$V$2:$V$1001,0),1)&gt;=100000,INDEX($AC$1005:$AS$1005,1,MATCH(COLUMNS($AC$1006:AM1006),$AC$1006:$AS$1006,0))&gt;=100000), " ",IF(INDEX($AC$2:$AS$1001,MATCH(ROWS($V$2:V298),$V$2:$V$1001,0),MATCH(COLUMNS($AC$1006:AM1006),$AC$1006:$AS$1006,0)), HYPERLINK("#",""), HYPERLINK(CONCATENATE("#Metadata!", ADDRESS(INDEX($X$2:$X$1001,MATCH(ROWS($V$2:V298),$V$2:$V$1001,0),0), INDEX($AC$1004:$AS$1004,1,MATCH(COLUMNS($AC$1006:AM1006),$AC$1006:$AS$1006,0)))),"Fix")))</f>
        <v>0</v>
      </c>
      <c r="M298" s="5">
        <f>IF(OR(INDEX($W$2:$W$1001,MATCH(ROWS($V$2:V298),$V$2:$V$1001,0),1)&gt;=100000,INDEX($AC$1005:$AS$1005,1,MATCH(COLUMNS($AC$1006:AN1006),$AC$1006:$AS$1006,0))&gt;=100000), " ",IF(INDEX($AC$2:$AS$1001,MATCH(ROWS($V$2:V298),$V$2:$V$1001,0),MATCH(COLUMNS($AC$1006:AN1006),$AC$1006:$AS$1006,0)), HYPERLINK("#",""), HYPERLINK(CONCATENATE("#Metadata!", ADDRESS(INDEX($X$2:$X$1001,MATCH(ROWS($V$2:V298),$V$2:$V$1001,0),0), INDEX($AC$1004:$AS$1004,1,MATCH(COLUMNS($AC$1006:AN1006),$AC$1006:$AS$1006,0)))),"Fix")))</f>
        <v>0</v>
      </c>
      <c r="N298" s="5">
        <f>IF(OR(INDEX($W$2:$W$1001,MATCH(ROWS($V$2:V298),$V$2:$V$1001,0),1)&gt;=100000,INDEX($AC$1005:$AS$1005,1,MATCH(COLUMNS($AC$1006:AO1006),$AC$1006:$AS$1006,0))&gt;=100000), " ",IF(INDEX($AC$2:$AS$1001,MATCH(ROWS($V$2:V298),$V$2:$V$1001,0),MATCH(COLUMNS($AC$1006:AO1006),$AC$1006:$AS$1006,0)), HYPERLINK("#",""), HYPERLINK(CONCATENATE("#Metadata!", ADDRESS(INDEX($X$2:$X$1001,MATCH(ROWS($V$2:V298),$V$2:$V$1001,0),0), INDEX($AC$1004:$AS$1004,1,MATCH(COLUMNS($AC$1006:AO1006),$AC$1006:$AS$1006,0)))),"Fix")))</f>
        <v>0</v>
      </c>
      <c r="O298" s="5">
        <f>IF(OR(INDEX($W$2:$W$1001,MATCH(ROWS($V$2:V298),$V$2:$V$1001,0),1)&gt;=100000,INDEX($AC$1005:$AS$1005,1,MATCH(COLUMNS($AC$1006:AP1006),$AC$1006:$AS$1006,0))&gt;=100000), " ",IF(INDEX($AC$2:$AS$1001,MATCH(ROWS($V$2:V298),$V$2:$V$1001,0),MATCH(COLUMNS($AC$1006:AP1006),$AC$1006:$AS$1006,0)), HYPERLINK("#",""), HYPERLINK(CONCATENATE("#Metadata!", ADDRESS(INDEX($X$2:$X$1001,MATCH(ROWS($V$2:V298),$V$2:$V$1001,0),0), INDEX($AC$1004:$AS$1004,1,MATCH(COLUMNS($AC$1006:AP1006),$AC$1006:$AS$1006,0)))),"Fix")))</f>
        <v>0</v>
      </c>
      <c r="P298" s="5">
        <f>IF(OR(INDEX($W$2:$W$1001,MATCH(ROWS($V$2:V298),$V$2:$V$1001,0),1)&gt;=100000,INDEX($AC$1005:$AS$1005,1,MATCH(COLUMNS($AC$1006:AQ1006),$AC$1006:$AS$1006,0))&gt;=100000), " ",IF(INDEX($AC$2:$AS$1001,MATCH(ROWS($V$2:V298),$V$2:$V$1001,0),MATCH(COLUMNS($AC$1006:AQ1006),$AC$1006:$AS$1006,0)), HYPERLINK("#",""), HYPERLINK(CONCATENATE("#Metadata!", ADDRESS(INDEX($X$2:$X$1001,MATCH(ROWS($V$2:V298),$V$2:$V$1001,0),0), INDEX($AC$1004:$AS$1004,1,MATCH(COLUMNS($AC$1006:AQ1006),$AC$1006:$AS$1006,0)))),"Fix")))</f>
        <v>0</v>
      </c>
      <c r="Q298" s="5">
        <f>IF(OR(INDEX($W$2:$W$1001,MATCH(ROWS($V$2:V298),$V$2:$V$1001,0),1)&gt;=100000,INDEX($AC$1005:$AS$1005,1,MATCH(COLUMNS($AC$1006:AR1006),$AC$1006:$AS$1006,0))&gt;=100000), " ",IF(INDEX($AC$2:$AS$1001,MATCH(ROWS($V$2:V298),$V$2:$V$1001,0),MATCH(COLUMNS($AC$1006:AR1006),$AC$1006:$AS$1006,0)), HYPERLINK("#",""), HYPERLINK(CONCATENATE("#Metadata!", ADDRESS(INDEX($X$2:$X$1001,MATCH(ROWS($V$2:V298),$V$2:$V$1001,0),0), INDEX($AC$1004:$AS$1004,1,MATCH(COLUMNS($AC$1006:AR1006),$AC$1006:$AS$1006,0)))),"Fix")))</f>
        <v>0</v>
      </c>
      <c r="R298" s="5">
        <f>IF(OR(INDEX($W$2:$W$1001,MATCH(ROWS($V$2:V298),$V$2:$V$1001,0),1)&gt;=100000,INDEX($AC$1005:$AS$1005,1,MATCH(COLUMNS($AC$1006:AS1006),$AC$1006:$AS$1006,0))&gt;=100000), " ",IF(INDEX($AC$2:$AS$1001,MATCH(ROWS($V$2:V298),$V$2:$V$1001,0),MATCH(COLUMNS($AC$1006:AS1006),$AC$1006:$AS$1006,0)), HYPERLINK("#",""), HYPERLINK(CONCATENATE("#Metadata!", ADDRESS(INDEX($X$2:$X$1001,MATCH(ROWS($V$2:V298),$V$2:$V$1001,0),0), INDEX($AC$1004:$AS$1004,1,MATCH(COLUMNS($AC$1006:AS1006),$AC$1006:$AS$1006,0)))),"Fix")))</f>
        <v>0</v>
      </c>
      <c r="V298">
        <v>0</v>
      </c>
      <c r="W298">
        <v>0</v>
      </c>
      <c r="X298">
        <v>0</v>
      </c>
      <c r="Y298">
        <f>IF(Z298,TRUE,AND(AC298:AS298))</f>
        <v>0</v>
      </c>
      <c r="Z298">
        <f>COUNTBLANK(Metadata!B298:R298)=COLUMNS(Metadata!B298:R298)</f>
        <v>0</v>
      </c>
      <c r="AA298">
        <v>0</v>
      </c>
      <c r="AC298">
        <f>AND(IF(Metadata!B298="",FALSE,TRUE),COUNTIF(Metadata!B:B, Metadata!B298) = 1,NOT(ISERROR(SUMPRODUCT(SEARCH(MID(Metadata!B298,ROW(INDIRECT("1:"&amp;LEN(Metadata!B298))), 1),"0123456789abcdefghijklmnopqrstuvwxyzABCDEFGHIJKLMNOPQRSTUVWXYZ.")))))</f>
        <v>0</v>
      </c>
      <c r="AD298">
        <f>AND(IF(Metadata!C298="",FALSE,TRUE),exact(Metadata!C298,"Host-associated"))</f>
        <v>0</v>
      </c>
      <c r="AE298">
        <f>AND(IF(Metadata!D298="",FALSE,TRUE),OR(exact(Metadata!D298,"Animal"),exact(Metadata!D298,"Fungus"),exact(Metadata!D298,"Plant")))</f>
        <v>0</v>
      </c>
      <c r="AF298">
        <f>AND(IF(Metadata!E298="",FALSE,TRUE),OR(exact(Metadata!E298,"Plant secretion"),exact(Metadata!E298,"Plant rhizosphere"),exact(Metadata!E298,"Plant surface"),exact(Metadata!E298,"Plant corpus"),exact(Metadata!E298,"Fungus surface"),exact(Metadata!E298,"Fungus corpus"),exact(Metadata!E298,"Animal surface"),exact(Metadata!E298,"Animal proximal gut"),exact(Metadata!E298,"Animal corpus"),exact(Metadata!E298,"Animal distal gut"),exact(Metadata!E298,"Animal secretion")))</f>
        <v>0</v>
      </c>
      <c r="AG298">
        <f>OR(AND(IF(Metadata!F298="",FALSE,TRUE),OR(exact(Metadata!F298,"not collected"),exact(Metadata!F298,"not provided"),exact(Metadata!F298,"restricted access"))),AND(IF(Metadata!F298="",FALSE,TRUE),OR(exact(Metadata!F298,"organism-associated habitat"),exact(Metadata!F298,"plant-associated habitat"),exact(Metadata!F298,"animal-associated habitat"),exact(Metadata!F298,"insecta-associated habitat"),exact(Metadata!F298,"mammalia-associated habitat"),exact(Metadata!F298,"human-associated habitat"),exact(Metadata!F298,"livestock-associated habitat"))))</f>
        <v>0</v>
      </c>
      <c r="AH298">
        <f>AND(IF(Metadata!G298="",FALSE,TRUE),exact(Metadata!G298,"host-associated"))</f>
        <v>0</v>
      </c>
      <c r="AI298">
        <f>OR(AND(IF(Metadata!H298="",FALSE,TRUE),OR(exact(Metadata!H298,"not collected"),exact(Metadata!H298,"not provided"))),AND(IF(Metadata!H298="",FALSE,ISNUMBER(VALUE(Metadata!H298))),Metadata!H298&gt;0))</f>
        <v>0</v>
      </c>
      <c r="AJ298">
        <f>AND(IF(Metadata!I298="",FALSE,TRUE),exact(Metadata!I298,"years"))</f>
        <v>0</v>
      </c>
      <c r="AK298">
        <f>IF(Metadata!J298="",FALSE,TRUE)</f>
        <v>0</v>
      </c>
      <c r="AL298">
        <f>OR(AND(IF(Metadata!K298="",FALSE,TRUE),OR(exact(Metadata!K298,"not collected"),exact(Metadata!K298,"not provided"))),AND(IF(Metadata!K298="",FALSE,ISNUMBER(VALUE(Metadata!K298))),Metadata!K298&gt;0))</f>
        <v>0</v>
      </c>
      <c r="AM298">
        <f>AND(IF(Metadata!L298="",FALSE,TRUE),exact(Metadata!L298,"cm"))</f>
        <v>0</v>
      </c>
      <c r="AN298">
        <f>IF(Metadata!M298="",FALSE,TRUE)</f>
        <v>0</v>
      </c>
      <c r="AO298">
        <f>OR(AND(IF(Metadata!N298="",FALSE,TRUE),OR(exact(Metadata!N298,"not applicable"),exact(Metadata!N298,"not collected"),exact(Metadata!N298,"not provided"))),AND(IF(Metadata!N298="",FALSE,IF(ISERROR(INT(Metadata!N298)),FALSE,INT(Metadata!N298)=Metadata!N298)),Metadata!N298&gt;0))</f>
        <v>0</v>
      </c>
      <c r="AP298">
        <f>OR(AND(IF(Metadata!O298="",FALSE,TRUE),OR(exact(Metadata!O298,"not collected"),exact(Metadata!O298,"not provided"))),AND(IF(Metadata!O298="",FALSE,ISNUMBER(VALUE(Metadata!O298))),Metadata!O298&gt;0))</f>
        <v>0</v>
      </c>
      <c r="AQ298">
        <f>AND(IF(Metadata!P298="",FALSE,TRUE),exact(Metadata!P298,"kg"))</f>
        <v>0</v>
      </c>
      <c r="AR298">
        <f>OR(AND(IF(Metadata!Q298="",FALSE,TRUE),OR(exact(Metadata!Q298,"not applicable"),exact(Metadata!Q298,"not collected"),exact(Metadata!Q298,"not provided"),exact(Metadata!Q298,"restricted access"))),IF(Metadata!Q298="",FALSE,IF(ISERROR(INT(Metadata!Q298)),FALSE,INT(Metadata!Q298)=Metadata!Q298)))</f>
        <v>0</v>
      </c>
      <c r="AS298">
        <f>AND(IF(Metadata!R298="",FALSE,TRUE),exact(Metadata!R298,"Not applicable"))</f>
        <v>0</v>
      </c>
    </row>
    <row r="299" spans="1:45">
      <c r="A299" s="4">
        <f>IF(B299=" "," ",HYPERLINK(CONCATENATE("#metadata!",ADDRESS(INDEX($X$2:$X$1001,MATCH(ROWS($V$2:V299),$V$2:$V$1001,0),0),2)),INDEX($AA$2:$AA$1001,MATCH(ROWS($V$2:V299),$V$2:$V$1001,0),0)))</f>
        <v>0</v>
      </c>
      <c r="B299" s="5">
        <f>IF(OR(INDEX($W$2:$W$1001,MATCH(ROWS($V$2:V299),$V$2:$V$1001,0),1)&gt;=100000,INDEX($AC$1005:$AS$1005,1,MATCH(COLUMNS($AC$1006:AC1006),$AC$1006:$AS$1006,0))&gt;=100000), " ",IF(INDEX($AC$2:$AS$1001,MATCH(ROWS($V$2:V299),$V$2:$V$1001,0),MATCH(COLUMNS($AC$1006:AC1006),$AC$1006:$AS$1006,0)), HYPERLINK("#",""), HYPERLINK(CONCATENATE("#Metadata!", ADDRESS(INDEX($X$2:$X$1001,MATCH(ROWS($V$2:V299),$V$2:$V$1001,0),0), INDEX($AC$1004:$AS$1004,1,MATCH(COLUMNS($AC$1006:AC1006),$AC$1006:$AS$1006,0)))),"Fix")))</f>
        <v>0</v>
      </c>
      <c r="C299" s="5">
        <f>IF(OR(INDEX($W$2:$W$1001,MATCH(ROWS($V$2:V299),$V$2:$V$1001,0),1)&gt;=100000,INDEX($AC$1005:$AS$1005,1,MATCH(COLUMNS($AC$1006:AD1006),$AC$1006:$AS$1006,0))&gt;=100000), " ",IF(INDEX($AC$2:$AS$1001,MATCH(ROWS($V$2:V299),$V$2:$V$1001,0),MATCH(COLUMNS($AC$1006:AD1006),$AC$1006:$AS$1006,0)), HYPERLINK("#",""), HYPERLINK(CONCATENATE("#Metadata!", ADDRESS(INDEX($X$2:$X$1001,MATCH(ROWS($V$2:V299),$V$2:$V$1001,0),0), INDEX($AC$1004:$AS$1004,1,MATCH(COLUMNS($AC$1006:AD1006),$AC$1006:$AS$1006,0)))),"Fix")))</f>
        <v>0</v>
      </c>
      <c r="D299" s="5">
        <f>IF(OR(INDEX($W$2:$W$1001,MATCH(ROWS($V$2:V299),$V$2:$V$1001,0),1)&gt;=100000,INDEX($AC$1005:$AS$1005,1,MATCH(COLUMNS($AC$1006:AE1006),$AC$1006:$AS$1006,0))&gt;=100000), " ",IF(INDEX($AC$2:$AS$1001,MATCH(ROWS($V$2:V299),$V$2:$V$1001,0),MATCH(COLUMNS($AC$1006:AE1006),$AC$1006:$AS$1006,0)), HYPERLINK("#",""), HYPERLINK(CONCATENATE("#Metadata!", ADDRESS(INDEX($X$2:$X$1001,MATCH(ROWS($V$2:V299),$V$2:$V$1001,0),0), INDEX($AC$1004:$AS$1004,1,MATCH(COLUMNS($AC$1006:AE1006),$AC$1006:$AS$1006,0)))),"Fix")))</f>
        <v>0</v>
      </c>
      <c r="E299" s="5">
        <f>IF(OR(INDEX($W$2:$W$1001,MATCH(ROWS($V$2:V299),$V$2:$V$1001,0),1)&gt;=100000,INDEX($AC$1005:$AS$1005,1,MATCH(COLUMNS($AC$1006:AF1006),$AC$1006:$AS$1006,0))&gt;=100000), " ",IF(INDEX($AC$2:$AS$1001,MATCH(ROWS($V$2:V299),$V$2:$V$1001,0),MATCH(COLUMNS($AC$1006:AF1006),$AC$1006:$AS$1006,0)), HYPERLINK("#",""), HYPERLINK(CONCATENATE("#Metadata!", ADDRESS(INDEX($X$2:$X$1001,MATCH(ROWS($V$2:V299),$V$2:$V$1001,0),0), INDEX($AC$1004:$AS$1004,1,MATCH(COLUMNS($AC$1006:AF1006),$AC$1006:$AS$1006,0)))),"Fix")))</f>
        <v>0</v>
      </c>
      <c r="F299" s="5">
        <f>IF(OR(INDEX($W$2:$W$1001,MATCH(ROWS($V$2:V299),$V$2:$V$1001,0),1)&gt;=100000,INDEX($AC$1005:$AS$1005,1,MATCH(COLUMNS($AC$1006:AG1006),$AC$1006:$AS$1006,0))&gt;=100000), " ",IF(INDEX($AC$2:$AS$1001,MATCH(ROWS($V$2:V299),$V$2:$V$1001,0),MATCH(COLUMNS($AC$1006:AG1006),$AC$1006:$AS$1006,0)), HYPERLINK("#",""), HYPERLINK(CONCATENATE("#Metadata!", ADDRESS(INDEX($X$2:$X$1001,MATCH(ROWS($V$2:V299),$V$2:$V$1001,0),0), INDEX($AC$1004:$AS$1004,1,MATCH(COLUMNS($AC$1006:AG1006),$AC$1006:$AS$1006,0)))),"Fix")))</f>
        <v>0</v>
      </c>
      <c r="G299" s="5">
        <f>IF(OR(INDEX($W$2:$W$1001,MATCH(ROWS($V$2:V299),$V$2:$V$1001,0),1)&gt;=100000,INDEX($AC$1005:$AS$1005,1,MATCH(COLUMNS($AC$1006:AH1006),$AC$1006:$AS$1006,0))&gt;=100000), " ",IF(INDEX($AC$2:$AS$1001,MATCH(ROWS($V$2:V299),$V$2:$V$1001,0),MATCH(COLUMNS($AC$1006:AH1006),$AC$1006:$AS$1006,0)), HYPERLINK("#",""), HYPERLINK(CONCATENATE("#Metadata!", ADDRESS(INDEX($X$2:$X$1001,MATCH(ROWS($V$2:V299),$V$2:$V$1001,0),0), INDEX($AC$1004:$AS$1004,1,MATCH(COLUMNS($AC$1006:AH1006),$AC$1006:$AS$1006,0)))),"Fix")))</f>
        <v>0</v>
      </c>
      <c r="H299" s="5">
        <f>IF(OR(INDEX($W$2:$W$1001,MATCH(ROWS($V$2:V299),$V$2:$V$1001,0),1)&gt;=100000,INDEX($AC$1005:$AS$1005,1,MATCH(COLUMNS($AC$1006:AI1006),$AC$1006:$AS$1006,0))&gt;=100000), " ",IF(INDEX($AC$2:$AS$1001,MATCH(ROWS($V$2:V299),$V$2:$V$1001,0),MATCH(COLUMNS($AC$1006:AI1006),$AC$1006:$AS$1006,0)), HYPERLINK("#",""), HYPERLINK(CONCATENATE("#Metadata!", ADDRESS(INDEX($X$2:$X$1001,MATCH(ROWS($V$2:V299),$V$2:$V$1001,0),0), INDEX($AC$1004:$AS$1004,1,MATCH(COLUMNS($AC$1006:AI1006),$AC$1006:$AS$1006,0)))),"Fix")))</f>
        <v>0</v>
      </c>
      <c r="I299" s="5">
        <f>IF(OR(INDEX($W$2:$W$1001,MATCH(ROWS($V$2:V299),$V$2:$V$1001,0),1)&gt;=100000,INDEX($AC$1005:$AS$1005,1,MATCH(COLUMNS($AC$1006:AJ1006),$AC$1006:$AS$1006,0))&gt;=100000), " ",IF(INDEX($AC$2:$AS$1001,MATCH(ROWS($V$2:V299),$V$2:$V$1001,0),MATCH(COLUMNS($AC$1006:AJ1006),$AC$1006:$AS$1006,0)), HYPERLINK("#",""), HYPERLINK(CONCATENATE("#Metadata!", ADDRESS(INDEX($X$2:$X$1001,MATCH(ROWS($V$2:V299),$V$2:$V$1001,0),0), INDEX($AC$1004:$AS$1004,1,MATCH(COLUMNS($AC$1006:AJ1006),$AC$1006:$AS$1006,0)))),"Fix")))</f>
        <v>0</v>
      </c>
      <c r="J299" s="5">
        <f>IF(OR(INDEX($W$2:$W$1001,MATCH(ROWS($V$2:V299),$V$2:$V$1001,0),1)&gt;=100000,INDEX($AC$1005:$AS$1005,1,MATCH(COLUMNS($AC$1006:AK1006),$AC$1006:$AS$1006,0))&gt;=100000), " ",IF(INDEX($AC$2:$AS$1001,MATCH(ROWS($V$2:V299),$V$2:$V$1001,0),MATCH(COLUMNS($AC$1006:AK1006),$AC$1006:$AS$1006,0)), HYPERLINK("#",""), HYPERLINK(CONCATENATE("#Metadata!", ADDRESS(INDEX($X$2:$X$1001,MATCH(ROWS($V$2:V299),$V$2:$V$1001,0),0), INDEX($AC$1004:$AS$1004,1,MATCH(COLUMNS($AC$1006:AK1006),$AC$1006:$AS$1006,0)))),"Fix")))</f>
        <v>0</v>
      </c>
      <c r="K299" s="5">
        <f>IF(OR(INDEX($W$2:$W$1001,MATCH(ROWS($V$2:V299),$V$2:$V$1001,0),1)&gt;=100000,INDEX($AC$1005:$AS$1005,1,MATCH(COLUMNS($AC$1006:AL1006),$AC$1006:$AS$1006,0))&gt;=100000), " ",IF(INDEX($AC$2:$AS$1001,MATCH(ROWS($V$2:V299),$V$2:$V$1001,0),MATCH(COLUMNS($AC$1006:AL1006),$AC$1006:$AS$1006,0)), HYPERLINK("#",""), HYPERLINK(CONCATENATE("#Metadata!", ADDRESS(INDEX($X$2:$X$1001,MATCH(ROWS($V$2:V299),$V$2:$V$1001,0),0), INDEX($AC$1004:$AS$1004,1,MATCH(COLUMNS($AC$1006:AL1006),$AC$1006:$AS$1006,0)))),"Fix")))</f>
        <v>0</v>
      </c>
      <c r="L299" s="5">
        <f>IF(OR(INDEX($W$2:$W$1001,MATCH(ROWS($V$2:V299),$V$2:$V$1001,0),1)&gt;=100000,INDEX($AC$1005:$AS$1005,1,MATCH(COLUMNS($AC$1006:AM1006),$AC$1006:$AS$1006,0))&gt;=100000), " ",IF(INDEX($AC$2:$AS$1001,MATCH(ROWS($V$2:V299),$V$2:$V$1001,0),MATCH(COLUMNS($AC$1006:AM1006),$AC$1006:$AS$1006,0)), HYPERLINK("#",""), HYPERLINK(CONCATENATE("#Metadata!", ADDRESS(INDEX($X$2:$X$1001,MATCH(ROWS($V$2:V299),$V$2:$V$1001,0),0), INDEX($AC$1004:$AS$1004,1,MATCH(COLUMNS($AC$1006:AM1006),$AC$1006:$AS$1006,0)))),"Fix")))</f>
        <v>0</v>
      </c>
      <c r="M299" s="5">
        <f>IF(OR(INDEX($W$2:$W$1001,MATCH(ROWS($V$2:V299),$V$2:$V$1001,0),1)&gt;=100000,INDEX($AC$1005:$AS$1005,1,MATCH(COLUMNS($AC$1006:AN1006),$AC$1006:$AS$1006,0))&gt;=100000), " ",IF(INDEX($AC$2:$AS$1001,MATCH(ROWS($V$2:V299),$V$2:$V$1001,0),MATCH(COLUMNS($AC$1006:AN1006),$AC$1006:$AS$1006,0)), HYPERLINK("#",""), HYPERLINK(CONCATENATE("#Metadata!", ADDRESS(INDEX($X$2:$X$1001,MATCH(ROWS($V$2:V299),$V$2:$V$1001,0),0), INDEX($AC$1004:$AS$1004,1,MATCH(COLUMNS($AC$1006:AN1006),$AC$1006:$AS$1006,0)))),"Fix")))</f>
        <v>0</v>
      </c>
      <c r="N299" s="5">
        <f>IF(OR(INDEX($W$2:$W$1001,MATCH(ROWS($V$2:V299),$V$2:$V$1001,0),1)&gt;=100000,INDEX($AC$1005:$AS$1005,1,MATCH(COLUMNS($AC$1006:AO1006),$AC$1006:$AS$1006,0))&gt;=100000), " ",IF(INDEX($AC$2:$AS$1001,MATCH(ROWS($V$2:V299),$V$2:$V$1001,0),MATCH(COLUMNS($AC$1006:AO1006),$AC$1006:$AS$1006,0)), HYPERLINK("#",""), HYPERLINK(CONCATENATE("#Metadata!", ADDRESS(INDEX($X$2:$X$1001,MATCH(ROWS($V$2:V299),$V$2:$V$1001,0),0), INDEX($AC$1004:$AS$1004,1,MATCH(COLUMNS($AC$1006:AO1006),$AC$1006:$AS$1006,0)))),"Fix")))</f>
        <v>0</v>
      </c>
      <c r="O299" s="5">
        <f>IF(OR(INDEX($W$2:$W$1001,MATCH(ROWS($V$2:V299),$V$2:$V$1001,0),1)&gt;=100000,INDEX($AC$1005:$AS$1005,1,MATCH(COLUMNS($AC$1006:AP1006),$AC$1006:$AS$1006,0))&gt;=100000), " ",IF(INDEX($AC$2:$AS$1001,MATCH(ROWS($V$2:V299),$V$2:$V$1001,0),MATCH(COLUMNS($AC$1006:AP1006),$AC$1006:$AS$1006,0)), HYPERLINK("#",""), HYPERLINK(CONCATENATE("#Metadata!", ADDRESS(INDEX($X$2:$X$1001,MATCH(ROWS($V$2:V299),$V$2:$V$1001,0),0), INDEX($AC$1004:$AS$1004,1,MATCH(COLUMNS($AC$1006:AP1006),$AC$1006:$AS$1006,0)))),"Fix")))</f>
        <v>0</v>
      </c>
      <c r="P299" s="5">
        <f>IF(OR(INDEX($W$2:$W$1001,MATCH(ROWS($V$2:V299),$V$2:$V$1001,0),1)&gt;=100000,INDEX($AC$1005:$AS$1005,1,MATCH(COLUMNS($AC$1006:AQ1006),$AC$1006:$AS$1006,0))&gt;=100000), " ",IF(INDEX($AC$2:$AS$1001,MATCH(ROWS($V$2:V299),$V$2:$V$1001,0),MATCH(COLUMNS($AC$1006:AQ1006),$AC$1006:$AS$1006,0)), HYPERLINK("#",""), HYPERLINK(CONCATENATE("#Metadata!", ADDRESS(INDEX($X$2:$X$1001,MATCH(ROWS($V$2:V299),$V$2:$V$1001,0),0), INDEX($AC$1004:$AS$1004,1,MATCH(COLUMNS($AC$1006:AQ1006),$AC$1006:$AS$1006,0)))),"Fix")))</f>
        <v>0</v>
      </c>
      <c r="Q299" s="5">
        <f>IF(OR(INDEX($W$2:$W$1001,MATCH(ROWS($V$2:V299),$V$2:$V$1001,0),1)&gt;=100000,INDEX($AC$1005:$AS$1005,1,MATCH(COLUMNS($AC$1006:AR1006),$AC$1006:$AS$1006,0))&gt;=100000), " ",IF(INDEX($AC$2:$AS$1001,MATCH(ROWS($V$2:V299),$V$2:$V$1001,0),MATCH(COLUMNS($AC$1006:AR1006),$AC$1006:$AS$1006,0)), HYPERLINK("#",""), HYPERLINK(CONCATENATE("#Metadata!", ADDRESS(INDEX($X$2:$X$1001,MATCH(ROWS($V$2:V299),$V$2:$V$1001,0),0), INDEX($AC$1004:$AS$1004,1,MATCH(COLUMNS($AC$1006:AR1006),$AC$1006:$AS$1006,0)))),"Fix")))</f>
        <v>0</v>
      </c>
      <c r="R299" s="5">
        <f>IF(OR(INDEX($W$2:$W$1001,MATCH(ROWS($V$2:V299),$V$2:$V$1001,0),1)&gt;=100000,INDEX($AC$1005:$AS$1005,1,MATCH(COLUMNS($AC$1006:AS1006),$AC$1006:$AS$1006,0))&gt;=100000), " ",IF(INDEX($AC$2:$AS$1001,MATCH(ROWS($V$2:V299),$V$2:$V$1001,0),MATCH(COLUMNS($AC$1006:AS1006),$AC$1006:$AS$1006,0)), HYPERLINK("#",""), HYPERLINK(CONCATENATE("#Metadata!", ADDRESS(INDEX($X$2:$X$1001,MATCH(ROWS($V$2:V299),$V$2:$V$1001,0),0), INDEX($AC$1004:$AS$1004,1,MATCH(COLUMNS($AC$1006:AS1006),$AC$1006:$AS$1006,0)))),"Fix")))</f>
        <v>0</v>
      </c>
      <c r="V299">
        <v>0</v>
      </c>
      <c r="W299">
        <v>0</v>
      </c>
      <c r="X299">
        <v>0</v>
      </c>
      <c r="Y299">
        <f>IF(Z299,TRUE,AND(AC299:AS299))</f>
        <v>0</v>
      </c>
      <c r="Z299">
        <f>COUNTBLANK(Metadata!B299:R299)=COLUMNS(Metadata!B299:R299)</f>
        <v>0</v>
      </c>
      <c r="AA299">
        <v>0</v>
      </c>
      <c r="AC299">
        <f>AND(IF(Metadata!B299="",FALSE,TRUE),COUNTIF(Metadata!B:B, Metadata!B299) = 1,NOT(ISERROR(SUMPRODUCT(SEARCH(MID(Metadata!B299,ROW(INDIRECT("1:"&amp;LEN(Metadata!B299))), 1),"0123456789abcdefghijklmnopqrstuvwxyzABCDEFGHIJKLMNOPQRSTUVWXYZ.")))))</f>
        <v>0</v>
      </c>
      <c r="AD299">
        <f>AND(IF(Metadata!C299="",FALSE,TRUE),exact(Metadata!C299,"Host-associated"))</f>
        <v>0</v>
      </c>
      <c r="AE299">
        <f>AND(IF(Metadata!D299="",FALSE,TRUE),OR(exact(Metadata!D299,"Animal"),exact(Metadata!D299,"Fungus"),exact(Metadata!D299,"Plant")))</f>
        <v>0</v>
      </c>
      <c r="AF299">
        <f>AND(IF(Metadata!E299="",FALSE,TRUE),OR(exact(Metadata!E299,"Plant secretion"),exact(Metadata!E299,"Plant rhizosphere"),exact(Metadata!E299,"Plant surface"),exact(Metadata!E299,"Plant corpus"),exact(Metadata!E299,"Fungus surface"),exact(Metadata!E299,"Fungus corpus"),exact(Metadata!E299,"Animal surface"),exact(Metadata!E299,"Animal proximal gut"),exact(Metadata!E299,"Animal corpus"),exact(Metadata!E299,"Animal distal gut"),exact(Metadata!E299,"Animal secretion")))</f>
        <v>0</v>
      </c>
      <c r="AG299">
        <f>OR(AND(IF(Metadata!F299="",FALSE,TRUE),OR(exact(Metadata!F299,"not collected"),exact(Metadata!F299,"not provided"),exact(Metadata!F299,"restricted access"))),AND(IF(Metadata!F299="",FALSE,TRUE),OR(exact(Metadata!F299,"organism-associated habitat"),exact(Metadata!F299,"plant-associated habitat"),exact(Metadata!F299,"animal-associated habitat"),exact(Metadata!F299,"insecta-associated habitat"),exact(Metadata!F299,"mammalia-associated habitat"),exact(Metadata!F299,"human-associated habitat"),exact(Metadata!F299,"livestock-associated habitat"))))</f>
        <v>0</v>
      </c>
      <c r="AH299">
        <f>AND(IF(Metadata!G299="",FALSE,TRUE),exact(Metadata!G299,"host-associated"))</f>
        <v>0</v>
      </c>
      <c r="AI299">
        <f>OR(AND(IF(Metadata!H299="",FALSE,TRUE),OR(exact(Metadata!H299,"not collected"),exact(Metadata!H299,"not provided"))),AND(IF(Metadata!H299="",FALSE,ISNUMBER(VALUE(Metadata!H299))),Metadata!H299&gt;0))</f>
        <v>0</v>
      </c>
      <c r="AJ299">
        <f>AND(IF(Metadata!I299="",FALSE,TRUE),exact(Metadata!I299,"years"))</f>
        <v>0</v>
      </c>
      <c r="AK299">
        <f>IF(Metadata!J299="",FALSE,TRUE)</f>
        <v>0</v>
      </c>
      <c r="AL299">
        <f>OR(AND(IF(Metadata!K299="",FALSE,TRUE),OR(exact(Metadata!K299,"not collected"),exact(Metadata!K299,"not provided"))),AND(IF(Metadata!K299="",FALSE,ISNUMBER(VALUE(Metadata!K299))),Metadata!K299&gt;0))</f>
        <v>0</v>
      </c>
      <c r="AM299">
        <f>AND(IF(Metadata!L299="",FALSE,TRUE),exact(Metadata!L299,"cm"))</f>
        <v>0</v>
      </c>
      <c r="AN299">
        <f>IF(Metadata!M299="",FALSE,TRUE)</f>
        <v>0</v>
      </c>
      <c r="AO299">
        <f>OR(AND(IF(Metadata!N299="",FALSE,TRUE),OR(exact(Metadata!N299,"not applicable"),exact(Metadata!N299,"not collected"),exact(Metadata!N299,"not provided"))),AND(IF(Metadata!N299="",FALSE,IF(ISERROR(INT(Metadata!N299)),FALSE,INT(Metadata!N299)=Metadata!N299)),Metadata!N299&gt;0))</f>
        <v>0</v>
      </c>
      <c r="AP299">
        <f>OR(AND(IF(Metadata!O299="",FALSE,TRUE),OR(exact(Metadata!O299,"not collected"),exact(Metadata!O299,"not provided"))),AND(IF(Metadata!O299="",FALSE,ISNUMBER(VALUE(Metadata!O299))),Metadata!O299&gt;0))</f>
        <v>0</v>
      </c>
      <c r="AQ299">
        <f>AND(IF(Metadata!P299="",FALSE,TRUE),exact(Metadata!P299,"kg"))</f>
        <v>0</v>
      </c>
      <c r="AR299">
        <f>OR(AND(IF(Metadata!Q299="",FALSE,TRUE),OR(exact(Metadata!Q299,"not applicable"),exact(Metadata!Q299,"not collected"),exact(Metadata!Q299,"not provided"),exact(Metadata!Q299,"restricted access"))),IF(Metadata!Q299="",FALSE,IF(ISERROR(INT(Metadata!Q299)),FALSE,INT(Metadata!Q299)=Metadata!Q299)))</f>
        <v>0</v>
      </c>
      <c r="AS299">
        <f>AND(IF(Metadata!R299="",FALSE,TRUE),exact(Metadata!R299,"Not applicable"))</f>
        <v>0</v>
      </c>
    </row>
    <row r="300" spans="1:45">
      <c r="A300" s="4">
        <f>IF(B300=" "," ",HYPERLINK(CONCATENATE("#metadata!",ADDRESS(INDEX($X$2:$X$1001,MATCH(ROWS($V$2:V300),$V$2:$V$1001,0),0),2)),INDEX($AA$2:$AA$1001,MATCH(ROWS($V$2:V300),$V$2:$V$1001,0),0)))</f>
        <v>0</v>
      </c>
      <c r="B300" s="5">
        <f>IF(OR(INDEX($W$2:$W$1001,MATCH(ROWS($V$2:V300),$V$2:$V$1001,0),1)&gt;=100000,INDEX($AC$1005:$AS$1005,1,MATCH(COLUMNS($AC$1006:AC1006),$AC$1006:$AS$1006,0))&gt;=100000), " ",IF(INDEX($AC$2:$AS$1001,MATCH(ROWS($V$2:V300),$V$2:$V$1001,0),MATCH(COLUMNS($AC$1006:AC1006),$AC$1006:$AS$1006,0)), HYPERLINK("#",""), HYPERLINK(CONCATENATE("#Metadata!", ADDRESS(INDEX($X$2:$X$1001,MATCH(ROWS($V$2:V300),$V$2:$V$1001,0),0), INDEX($AC$1004:$AS$1004,1,MATCH(COLUMNS($AC$1006:AC1006),$AC$1006:$AS$1006,0)))),"Fix")))</f>
        <v>0</v>
      </c>
      <c r="C300" s="5">
        <f>IF(OR(INDEX($W$2:$W$1001,MATCH(ROWS($V$2:V300),$V$2:$V$1001,0),1)&gt;=100000,INDEX($AC$1005:$AS$1005,1,MATCH(COLUMNS($AC$1006:AD1006),$AC$1006:$AS$1006,0))&gt;=100000), " ",IF(INDEX($AC$2:$AS$1001,MATCH(ROWS($V$2:V300),$V$2:$V$1001,0),MATCH(COLUMNS($AC$1006:AD1006),$AC$1006:$AS$1006,0)), HYPERLINK("#",""), HYPERLINK(CONCATENATE("#Metadata!", ADDRESS(INDEX($X$2:$X$1001,MATCH(ROWS($V$2:V300),$V$2:$V$1001,0),0), INDEX($AC$1004:$AS$1004,1,MATCH(COLUMNS($AC$1006:AD1006),$AC$1006:$AS$1006,0)))),"Fix")))</f>
        <v>0</v>
      </c>
      <c r="D300" s="5">
        <f>IF(OR(INDEX($W$2:$W$1001,MATCH(ROWS($V$2:V300),$V$2:$V$1001,0),1)&gt;=100000,INDEX($AC$1005:$AS$1005,1,MATCH(COLUMNS($AC$1006:AE1006),$AC$1006:$AS$1006,0))&gt;=100000), " ",IF(INDEX($AC$2:$AS$1001,MATCH(ROWS($V$2:V300),$V$2:$V$1001,0),MATCH(COLUMNS($AC$1006:AE1006),$AC$1006:$AS$1006,0)), HYPERLINK("#",""), HYPERLINK(CONCATENATE("#Metadata!", ADDRESS(INDEX($X$2:$X$1001,MATCH(ROWS($V$2:V300),$V$2:$V$1001,0),0), INDEX($AC$1004:$AS$1004,1,MATCH(COLUMNS($AC$1006:AE1006),$AC$1006:$AS$1006,0)))),"Fix")))</f>
        <v>0</v>
      </c>
      <c r="E300" s="5">
        <f>IF(OR(INDEX($W$2:$W$1001,MATCH(ROWS($V$2:V300),$V$2:$V$1001,0),1)&gt;=100000,INDEX($AC$1005:$AS$1005,1,MATCH(COLUMNS($AC$1006:AF1006),$AC$1006:$AS$1006,0))&gt;=100000), " ",IF(INDEX($AC$2:$AS$1001,MATCH(ROWS($V$2:V300),$V$2:$V$1001,0),MATCH(COLUMNS($AC$1006:AF1006),$AC$1006:$AS$1006,0)), HYPERLINK("#",""), HYPERLINK(CONCATENATE("#Metadata!", ADDRESS(INDEX($X$2:$X$1001,MATCH(ROWS($V$2:V300),$V$2:$V$1001,0),0), INDEX($AC$1004:$AS$1004,1,MATCH(COLUMNS($AC$1006:AF1006),$AC$1006:$AS$1006,0)))),"Fix")))</f>
        <v>0</v>
      </c>
      <c r="F300" s="5">
        <f>IF(OR(INDEX($W$2:$W$1001,MATCH(ROWS($V$2:V300),$V$2:$V$1001,0),1)&gt;=100000,INDEX($AC$1005:$AS$1005,1,MATCH(COLUMNS($AC$1006:AG1006),$AC$1006:$AS$1006,0))&gt;=100000), " ",IF(INDEX($AC$2:$AS$1001,MATCH(ROWS($V$2:V300),$V$2:$V$1001,0),MATCH(COLUMNS($AC$1006:AG1006),$AC$1006:$AS$1006,0)), HYPERLINK("#",""), HYPERLINK(CONCATENATE("#Metadata!", ADDRESS(INDEX($X$2:$X$1001,MATCH(ROWS($V$2:V300),$V$2:$V$1001,0),0), INDEX($AC$1004:$AS$1004,1,MATCH(COLUMNS($AC$1006:AG1006),$AC$1006:$AS$1006,0)))),"Fix")))</f>
        <v>0</v>
      </c>
      <c r="G300" s="5">
        <f>IF(OR(INDEX($W$2:$W$1001,MATCH(ROWS($V$2:V300),$V$2:$V$1001,0),1)&gt;=100000,INDEX($AC$1005:$AS$1005,1,MATCH(COLUMNS($AC$1006:AH1006),$AC$1006:$AS$1006,0))&gt;=100000), " ",IF(INDEX($AC$2:$AS$1001,MATCH(ROWS($V$2:V300),$V$2:$V$1001,0),MATCH(COLUMNS($AC$1006:AH1006),$AC$1006:$AS$1006,0)), HYPERLINK("#",""), HYPERLINK(CONCATENATE("#Metadata!", ADDRESS(INDEX($X$2:$X$1001,MATCH(ROWS($V$2:V300),$V$2:$V$1001,0),0), INDEX($AC$1004:$AS$1004,1,MATCH(COLUMNS($AC$1006:AH1006),$AC$1006:$AS$1006,0)))),"Fix")))</f>
        <v>0</v>
      </c>
      <c r="H300" s="5">
        <f>IF(OR(INDEX($W$2:$W$1001,MATCH(ROWS($V$2:V300),$V$2:$V$1001,0),1)&gt;=100000,INDEX($AC$1005:$AS$1005,1,MATCH(COLUMNS($AC$1006:AI1006),$AC$1006:$AS$1006,0))&gt;=100000), " ",IF(INDEX($AC$2:$AS$1001,MATCH(ROWS($V$2:V300),$V$2:$V$1001,0),MATCH(COLUMNS($AC$1006:AI1006),$AC$1006:$AS$1006,0)), HYPERLINK("#",""), HYPERLINK(CONCATENATE("#Metadata!", ADDRESS(INDEX($X$2:$X$1001,MATCH(ROWS($V$2:V300),$V$2:$V$1001,0),0), INDEX($AC$1004:$AS$1004,1,MATCH(COLUMNS($AC$1006:AI1006),$AC$1006:$AS$1006,0)))),"Fix")))</f>
        <v>0</v>
      </c>
      <c r="I300" s="5">
        <f>IF(OR(INDEX($W$2:$W$1001,MATCH(ROWS($V$2:V300),$V$2:$V$1001,0),1)&gt;=100000,INDEX($AC$1005:$AS$1005,1,MATCH(COLUMNS($AC$1006:AJ1006),$AC$1006:$AS$1006,0))&gt;=100000), " ",IF(INDEX($AC$2:$AS$1001,MATCH(ROWS($V$2:V300),$V$2:$V$1001,0),MATCH(COLUMNS($AC$1006:AJ1006),$AC$1006:$AS$1006,0)), HYPERLINK("#",""), HYPERLINK(CONCATENATE("#Metadata!", ADDRESS(INDEX($X$2:$X$1001,MATCH(ROWS($V$2:V300),$V$2:$V$1001,0),0), INDEX($AC$1004:$AS$1004,1,MATCH(COLUMNS($AC$1006:AJ1006),$AC$1006:$AS$1006,0)))),"Fix")))</f>
        <v>0</v>
      </c>
      <c r="J300" s="5">
        <f>IF(OR(INDEX($W$2:$W$1001,MATCH(ROWS($V$2:V300),$V$2:$V$1001,0),1)&gt;=100000,INDEX($AC$1005:$AS$1005,1,MATCH(COLUMNS($AC$1006:AK1006),$AC$1006:$AS$1006,0))&gt;=100000), " ",IF(INDEX($AC$2:$AS$1001,MATCH(ROWS($V$2:V300),$V$2:$V$1001,0),MATCH(COLUMNS($AC$1006:AK1006),$AC$1006:$AS$1006,0)), HYPERLINK("#",""), HYPERLINK(CONCATENATE("#Metadata!", ADDRESS(INDEX($X$2:$X$1001,MATCH(ROWS($V$2:V300),$V$2:$V$1001,0),0), INDEX($AC$1004:$AS$1004,1,MATCH(COLUMNS($AC$1006:AK1006),$AC$1006:$AS$1006,0)))),"Fix")))</f>
        <v>0</v>
      </c>
      <c r="K300" s="5">
        <f>IF(OR(INDEX($W$2:$W$1001,MATCH(ROWS($V$2:V300),$V$2:$V$1001,0),1)&gt;=100000,INDEX($AC$1005:$AS$1005,1,MATCH(COLUMNS($AC$1006:AL1006),$AC$1006:$AS$1006,0))&gt;=100000), " ",IF(INDEX($AC$2:$AS$1001,MATCH(ROWS($V$2:V300),$V$2:$V$1001,0),MATCH(COLUMNS($AC$1006:AL1006),$AC$1006:$AS$1006,0)), HYPERLINK("#",""), HYPERLINK(CONCATENATE("#Metadata!", ADDRESS(INDEX($X$2:$X$1001,MATCH(ROWS($V$2:V300),$V$2:$V$1001,0),0), INDEX($AC$1004:$AS$1004,1,MATCH(COLUMNS($AC$1006:AL1006),$AC$1006:$AS$1006,0)))),"Fix")))</f>
        <v>0</v>
      </c>
      <c r="L300" s="5">
        <f>IF(OR(INDEX($W$2:$W$1001,MATCH(ROWS($V$2:V300),$V$2:$V$1001,0),1)&gt;=100000,INDEX($AC$1005:$AS$1005,1,MATCH(COLUMNS($AC$1006:AM1006),$AC$1006:$AS$1006,0))&gt;=100000), " ",IF(INDEX($AC$2:$AS$1001,MATCH(ROWS($V$2:V300),$V$2:$V$1001,0),MATCH(COLUMNS($AC$1006:AM1006),$AC$1006:$AS$1006,0)), HYPERLINK("#",""), HYPERLINK(CONCATENATE("#Metadata!", ADDRESS(INDEX($X$2:$X$1001,MATCH(ROWS($V$2:V300),$V$2:$V$1001,0),0), INDEX($AC$1004:$AS$1004,1,MATCH(COLUMNS($AC$1006:AM1006),$AC$1006:$AS$1006,0)))),"Fix")))</f>
        <v>0</v>
      </c>
      <c r="M300" s="5">
        <f>IF(OR(INDEX($W$2:$W$1001,MATCH(ROWS($V$2:V300),$V$2:$V$1001,0),1)&gt;=100000,INDEX($AC$1005:$AS$1005,1,MATCH(COLUMNS($AC$1006:AN1006),$AC$1006:$AS$1006,0))&gt;=100000), " ",IF(INDEX($AC$2:$AS$1001,MATCH(ROWS($V$2:V300),$V$2:$V$1001,0),MATCH(COLUMNS($AC$1006:AN1006),$AC$1006:$AS$1006,0)), HYPERLINK("#",""), HYPERLINK(CONCATENATE("#Metadata!", ADDRESS(INDEX($X$2:$X$1001,MATCH(ROWS($V$2:V300),$V$2:$V$1001,0),0), INDEX($AC$1004:$AS$1004,1,MATCH(COLUMNS($AC$1006:AN1006),$AC$1006:$AS$1006,0)))),"Fix")))</f>
        <v>0</v>
      </c>
      <c r="N300" s="5">
        <f>IF(OR(INDEX($W$2:$W$1001,MATCH(ROWS($V$2:V300),$V$2:$V$1001,0),1)&gt;=100000,INDEX($AC$1005:$AS$1005,1,MATCH(COLUMNS($AC$1006:AO1006),$AC$1006:$AS$1006,0))&gt;=100000), " ",IF(INDEX($AC$2:$AS$1001,MATCH(ROWS($V$2:V300),$V$2:$V$1001,0),MATCH(COLUMNS($AC$1006:AO1006),$AC$1006:$AS$1006,0)), HYPERLINK("#",""), HYPERLINK(CONCATENATE("#Metadata!", ADDRESS(INDEX($X$2:$X$1001,MATCH(ROWS($V$2:V300),$V$2:$V$1001,0),0), INDEX($AC$1004:$AS$1004,1,MATCH(COLUMNS($AC$1006:AO1006),$AC$1006:$AS$1006,0)))),"Fix")))</f>
        <v>0</v>
      </c>
      <c r="O300" s="5">
        <f>IF(OR(INDEX($W$2:$W$1001,MATCH(ROWS($V$2:V300),$V$2:$V$1001,0),1)&gt;=100000,INDEX($AC$1005:$AS$1005,1,MATCH(COLUMNS($AC$1006:AP1006),$AC$1006:$AS$1006,0))&gt;=100000), " ",IF(INDEX($AC$2:$AS$1001,MATCH(ROWS($V$2:V300),$V$2:$V$1001,0),MATCH(COLUMNS($AC$1006:AP1006),$AC$1006:$AS$1006,0)), HYPERLINK("#",""), HYPERLINK(CONCATENATE("#Metadata!", ADDRESS(INDEX($X$2:$X$1001,MATCH(ROWS($V$2:V300),$V$2:$V$1001,0),0), INDEX($AC$1004:$AS$1004,1,MATCH(COLUMNS($AC$1006:AP1006),$AC$1006:$AS$1006,0)))),"Fix")))</f>
        <v>0</v>
      </c>
      <c r="P300" s="5">
        <f>IF(OR(INDEX($W$2:$W$1001,MATCH(ROWS($V$2:V300),$V$2:$V$1001,0),1)&gt;=100000,INDEX($AC$1005:$AS$1005,1,MATCH(COLUMNS($AC$1006:AQ1006),$AC$1006:$AS$1006,0))&gt;=100000), " ",IF(INDEX($AC$2:$AS$1001,MATCH(ROWS($V$2:V300),$V$2:$V$1001,0),MATCH(COLUMNS($AC$1006:AQ1006),$AC$1006:$AS$1006,0)), HYPERLINK("#",""), HYPERLINK(CONCATENATE("#Metadata!", ADDRESS(INDEX($X$2:$X$1001,MATCH(ROWS($V$2:V300),$V$2:$V$1001,0),0), INDEX($AC$1004:$AS$1004,1,MATCH(COLUMNS($AC$1006:AQ1006),$AC$1006:$AS$1006,0)))),"Fix")))</f>
        <v>0</v>
      </c>
      <c r="Q300" s="5">
        <f>IF(OR(INDEX($W$2:$W$1001,MATCH(ROWS($V$2:V300),$V$2:$V$1001,0),1)&gt;=100000,INDEX($AC$1005:$AS$1005,1,MATCH(COLUMNS($AC$1006:AR1006),$AC$1006:$AS$1006,0))&gt;=100000), " ",IF(INDEX($AC$2:$AS$1001,MATCH(ROWS($V$2:V300),$V$2:$V$1001,0),MATCH(COLUMNS($AC$1006:AR1006),$AC$1006:$AS$1006,0)), HYPERLINK("#",""), HYPERLINK(CONCATENATE("#Metadata!", ADDRESS(INDEX($X$2:$X$1001,MATCH(ROWS($V$2:V300),$V$2:$V$1001,0),0), INDEX($AC$1004:$AS$1004,1,MATCH(COLUMNS($AC$1006:AR1006),$AC$1006:$AS$1006,0)))),"Fix")))</f>
        <v>0</v>
      </c>
      <c r="R300" s="5">
        <f>IF(OR(INDEX($W$2:$W$1001,MATCH(ROWS($V$2:V300),$V$2:$V$1001,0),1)&gt;=100000,INDEX($AC$1005:$AS$1005,1,MATCH(COLUMNS($AC$1006:AS1006),$AC$1006:$AS$1006,0))&gt;=100000), " ",IF(INDEX($AC$2:$AS$1001,MATCH(ROWS($V$2:V300),$V$2:$V$1001,0),MATCH(COLUMNS($AC$1006:AS1006),$AC$1006:$AS$1006,0)), HYPERLINK("#",""), HYPERLINK(CONCATENATE("#Metadata!", ADDRESS(INDEX($X$2:$X$1001,MATCH(ROWS($V$2:V300),$V$2:$V$1001,0),0), INDEX($AC$1004:$AS$1004,1,MATCH(COLUMNS($AC$1006:AS1006),$AC$1006:$AS$1006,0)))),"Fix")))</f>
        <v>0</v>
      </c>
      <c r="V300">
        <v>0</v>
      </c>
      <c r="W300">
        <v>0</v>
      </c>
      <c r="X300">
        <v>0</v>
      </c>
      <c r="Y300">
        <f>IF(Z300,TRUE,AND(AC300:AS300))</f>
        <v>0</v>
      </c>
      <c r="Z300">
        <f>COUNTBLANK(Metadata!B300:R300)=COLUMNS(Metadata!B300:R300)</f>
        <v>0</v>
      </c>
      <c r="AA300">
        <v>0</v>
      </c>
      <c r="AC300">
        <f>AND(IF(Metadata!B300="",FALSE,TRUE),COUNTIF(Metadata!B:B, Metadata!B300) = 1,NOT(ISERROR(SUMPRODUCT(SEARCH(MID(Metadata!B300,ROW(INDIRECT("1:"&amp;LEN(Metadata!B300))), 1),"0123456789abcdefghijklmnopqrstuvwxyzABCDEFGHIJKLMNOPQRSTUVWXYZ.")))))</f>
        <v>0</v>
      </c>
      <c r="AD300">
        <f>AND(IF(Metadata!C300="",FALSE,TRUE),exact(Metadata!C300,"Host-associated"))</f>
        <v>0</v>
      </c>
      <c r="AE300">
        <f>AND(IF(Metadata!D300="",FALSE,TRUE),OR(exact(Metadata!D300,"Animal"),exact(Metadata!D300,"Fungus"),exact(Metadata!D300,"Plant")))</f>
        <v>0</v>
      </c>
      <c r="AF300">
        <f>AND(IF(Metadata!E300="",FALSE,TRUE),OR(exact(Metadata!E300,"Plant secretion"),exact(Metadata!E300,"Plant rhizosphere"),exact(Metadata!E300,"Plant surface"),exact(Metadata!E300,"Plant corpus"),exact(Metadata!E300,"Fungus surface"),exact(Metadata!E300,"Fungus corpus"),exact(Metadata!E300,"Animal surface"),exact(Metadata!E300,"Animal proximal gut"),exact(Metadata!E300,"Animal corpus"),exact(Metadata!E300,"Animal distal gut"),exact(Metadata!E300,"Animal secretion")))</f>
        <v>0</v>
      </c>
      <c r="AG300">
        <f>OR(AND(IF(Metadata!F300="",FALSE,TRUE),OR(exact(Metadata!F300,"not collected"),exact(Metadata!F300,"not provided"),exact(Metadata!F300,"restricted access"))),AND(IF(Metadata!F300="",FALSE,TRUE),OR(exact(Metadata!F300,"organism-associated habitat"),exact(Metadata!F300,"plant-associated habitat"),exact(Metadata!F300,"animal-associated habitat"),exact(Metadata!F300,"insecta-associated habitat"),exact(Metadata!F300,"mammalia-associated habitat"),exact(Metadata!F300,"human-associated habitat"),exact(Metadata!F300,"livestock-associated habitat"))))</f>
        <v>0</v>
      </c>
      <c r="AH300">
        <f>AND(IF(Metadata!G300="",FALSE,TRUE),exact(Metadata!G300,"host-associated"))</f>
        <v>0</v>
      </c>
      <c r="AI300">
        <f>OR(AND(IF(Metadata!H300="",FALSE,TRUE),OR(exact(Metadata!H300,"not collected"),exact(Metadata!H300,"not provided"))),AND(IF(Metadata!H300="",FALSE,ISNUMBER(VALUE(Metadata!H300))),Metadata!H300&gt;0))</f>
        <v>0</v>
      </c>
      <c r="AJ300">
        <f>AND(IF(Metadata!I300="",FALSE,TRUE),exact(Metadata!I300,"years"))</f>
        <v>0</v>
      </c>
      <c r="AK300">
        <f>IF(Metadata!J300="",FALSE,TRUE)</f>
        <v>0</v>
      </c>
      <c r="AL300">
        <f>OR(AND(IF(Metadata!K300="",FALSE,TRUE),OR(exact(Metadata!K300,"not collected"),exact(Metadata!K300,"not provided"))),AND(IF(Metadata!K300="",FALSE,ISNUMBER(VALUE(Metadata!K300))),Metadata!K300&gt;0))</f>
        <v>0</v>
      </c>
      <c r="AM300">
        <f>AND(IF(Metadata!L300="",FALSE,TRUE),exact(Metadata!L300,"cm"))</f>
        <v>0</v>
      </c>
      <c r="AN300">
        <f>IF(Metadata!M300="",FALSE,TRUE)</f>
        <v>0</v>
      </c>
      <c r="AO300">
        <f>OR(AND(IF(Metadata!N300="",FALSE,TRUE),OR(exact(Metadata!N300,"not applicable"),exact(Metadata!N300,"not collected"),exact(Metadata!N300,"not provided"))),AND(IF(Metadata!N300="",FALSE,IF(ISERROR(INT(Metadata!N300)),FALSE,INT(Metadata!N300)=Metadata!N300)),Metadata!N300&gt;0))</f>
        <v>0</v>
      </c>
      <c r="AP300">
        <f>OR(AND(IF(Metadata!O300="",FALSE,TRUE),OR(exact(Metadata!O300,"not collected"),exact(Metadata!O300,"not provided"))),AND(IF(Metadata!O300="",FALSE,ISNUMBER(VALUE(Metadata!O300))),Metadata!O300&gt;0))</f>
        <v>0</v>
      </c>
      <c r="AQ300">
        <f>AND(IF(Metadata!P300="",FALSE,TRUE),exact(Metadata!P300,"kg"))</f>
        <v>0</v>
      </c>
      <c r="AR300">
        <f>OR(AND(IF(Metadata!Q300="",FALSE,TRUE),OR(exact(Metadata!Q300,"not applicable"),exact(Metadata!Q300,"not collected"),exact(Metadata!Q300,"not provided"),exact(Metadata!Q300,"restricted access"))),IF(Metadata!Q300="",FALSE,IF(ISERROR(INT(Metadata!Q300)),FALSE,INT(Metadata!Q300)=Metadata!Q300)))</f>
        <v>0</v>
      </c>
      <c r="AS300">
        <f>AND(IF(Metadata!R300="",FALSE,TRUE),exact(Metadata!R300,"Not applicable"))</f>
        <v>0</v>
      </c>
    </row>
    <row r="301" spans="1:45">
      <c r="A301" s="4">
        <f>IF(B301=" "," ",HYPERLINK(CONCATENATE("#metadata!",ADDRESS(INDEX($X$2:$X$1001,MATCH(ROWS($V$2:V301),$V$2:$V$1001,0),0),2)),INDEX($AA$2:$AA$1001,MATCH(ROWS($V$2:V301),$V$2:$V$1001,0),0)))</f>
        <v>0</v>
      </c>
      <c r="B301" s="5">
        <f>IF(OR(INDEX($W$2:$W$1001,MATCH(ROWS($V$2:V301),$V$2:$V$1001,0),1)&gt;=100000,INDEX($AC$1005:$AS$1005,1,MATCH(COLUMNS($AC$1006:AC1006),$AC$1006:$AS$1006,0))&gt;=100000), " ",IF(INDEX($AC$2:$AS$1001,MATCH(ROWS($V$2:V301),$V$2:$V$1001,0),MATCH(COLUMNS($AC$1006:AC1006),$AC$1006:$AS$1006,0)), HYPERLINK("#",""), HYPERLINK(CONCATENATE("#Metadata!", ADDRESS(INDEX($X$2:$X$1001,MATCH(ROWS($V$2:V301),$V$2:$V$1001,0),0), INDEX($AC$1004:$AS$1004,1,MATCH(COLUMNS($AC$1006:AC1006),$AC$1006:$AS$1006,0)))),"Fix")))</f>
        <v>0</v>
      </c>
      <c r="C301" s="5">
        <f>IF(OR(INDEX($W$2:$W$1001,MATCH(ROWS($V$2:V301),$V$2:$V$1001,0),1)&gt;=100000,INDEX($AC$1005:$AS$1005,1,MATCH(COLUMNS($AC$1006:AD1006),$AC$1006:$AS$1006,0))&gt;=100000), " ",IF(INDEX($AC$2:$AS$1001,MATCH(ROWS($V$2:V301),$V$2:$V$1001,0),MATCH(COLUMNS($AC$1006:AD1006),$AC$1006:$AS$1006,0)), HYPERLINK("#",""), HYPERLINK(CONCATENATE("#Metadata!", ADDRESS(INDEX($X$2:$X$1001,MATCH(ROWS($V$2:V301),$V$2:$V$1001,0),0), INDEX($AC$1004:$AS$1004,1,MATCH(COLUMNS($AC$1006:AD1006),$AC$1006:$AS$1006,0)))),"Fix")))</f>
        <v>0</v>
      </c>
      <c r="D301" s="5">
        <f>IF(OR(INDEX($W$2:$W$1001,MATCH(ROWS($V$2:V301),$V$2:$V$1001,0),1)&gt;=100000,INDEX($AC$1005:$AS$1005,1,MATCH(COLUMNS($AC$1006:AE1006),$AC$1006:$AS$1006,0))&gt;=100000), " ",IF(INDEX($AC$2:$AS$1001,MATCH(ROWS($V$2:V301),$V$2:$V$1001,0),MATCH(COLUMNS($AC$1006:AE1006),$AC$1006:$AS$1006,0)), HYPERLINK("#",""), HYPERLINK(CONCATENATE("#Metadata!", ADDRESS(INDEX($X$2:$X$1001,MATCH(ROWS($V$2:V301),$V$2:$V$1001,0),0), INDEX($AC$1004:$AS$1004,1,MATCH(COLUMNS($AC$1006:AE1006),$AC$1006:$AS$1006,0)))),"Fix")))</f>
        <v>0</v>
      </c>
      <c r="E301" s="5">
        <f>IF(OR(INDEX($W$2:$W$1001,MATCH(ROWS($V$2:V301),$V$2:$V$1001,0),1)&gt;=100000,INDEX($AC$1005:$AS$1005,1,MATCH(COLUMNS($AC$1006:AF1006),$AC$1006:$AS$1006,0))&gt;=100000), " ",IF(INDEX($AC$2:$AS$1001,MATCH(ROWS($V$2:V301),$V$2:$V$1001,0),MATCH(COLUMNS($AC$1006:AF1006),$AC$1006:$AS$1006,0)), HYPERLINK("#",""), HYPERLINK(CONCATENATE("#Metadata!", ADDRESS(INDEX($X$2:$X$1001,MATCH(ROWS($V$2:V301),$V$2:$V$1001,0),0), INDEX($AC$1004:$AS$1004,1,MATCH(COLUMNS($AC$1006:AF1006),$AC$1006:$AS$1006,0)))),"Fix")))</f>
        <v>0</v>
      </c>
      <c r="F301" s="5">
        <f>IF(OR(INDEX($W$2:$W$1001,MATCH(ROWS($V$2:V301),$V$2:$V$1001,0),1)&gt;=100000,INDEX($AC$1005:$AS$1005,1,MATCH(COLUMNS($AC$1006:AG1006),$AC$1006:$AS$1006,0))&gt;=100000), " ",IF(INDEX($AC$2:$AS$1001,MATCH(ROWS($V$2:V301),$V$2:$V$1001,0),MATCH(COLUMNS($AC$1006:AG1006),$AC$1006:$AS$1006,0)), HYPERLINK("#",""), HYPERLINK(CONCATENATE("#Metadata!", ADDRESS(INDEX($X$2:$X$1001,MATCH(ROWS($V$2:V301),$V$2:$V$1001,0),0), INDEX($AC$1004:$AS$1004,1,MATCH(COLUMNS($AC$1006:AG1006),$AC$1006:$AS$1006,0)))),"Fix")))</f>
        <v>0</v>
      </c>
      <c r="G301" s="5">
        <f>IF(OR(INDEX($W$2:$W$1001,MATCH(ROWS($V$2:V301),$V$2:$V$1001,0),1)&gt;=100000,INDEX($AC$1005:$AS$1005,1,MATCH(COLUMNS($AC$1006:AH1006),$AC$1006:$AS$1006,0))&gt;=100000), " ",IF(INDEX($AC$2:$AS$1001,MATCH(ROWS($V$2:V301),$V$2:$V$1001,0),MATCH(COLUMNS($AC$1006:AH1006),$AC$1006:$AS$1006,0)), HYPERLINK("#",""), HYPERLINK(CONCATENATE("#Metadata!", ADDRESS(INDEX($X$2:$X$1001,MATCH(ROWS($V$2:V301),$V$2:$V$1001,0),0), INDEX($AC$1004:$AS$1004,1,MATCH(COLUMNS($AC$1006:AH1006),$AC$1006:$AS$1006,0)))),"Fix")))</f>
        <v>0</v>
      </c>
      <c r="H301" s="5">
        <f>IF(OR(INDEX($W$2:$W$1001,MATCH(ROWS($V$2:V301),$V$2:$V$1001,0),1)&gt;=100000,INDEX($AC$1005:$AS$1005,1,MATCH(COLUMNS($AC$1006:AI1006),$AC$1006:$AS$1006,0))&gt;=100000), " ",IF(INDEX($AC$2:$AS$1001,MATCH(ROWS($V$2:V301),$V$2:$V$1001,0),MATCH(COLUMNS($AC$1006:AI1006),$AC$1006:$AS$1006,0)), HYPERLINK("#",""), HYPERLINK(CONCATENATE("#Metadata!", ADDRESS(INDEX($X$2:$X$1001,MATCH(ROWS($V$2:V301),$V$2:$V$1001,0),0), INDEX($AC$1004:$AS$1004,1,MATCH(COLUMNS($AC$1006:AI1006),$AC$1006:$AS$1006,0)))),"Fix")))</f>
        <v>0</v>
      </c>
      <c r="I301" s="5">
        <f>IF(OR(INDEX($W$2:$W$1001,MATCH(ROWS($V$2:V301),$V$2:$V$1001,0),1)&gt;=100000,INDEX($AC$1005:$AS$1005,1,MATCH(COLUMNS($AC$1006:AJ1006),$AC$1006:$AS$1006,0))&gt;=100000), " ",IF(INDEX($AC$2:$AS$1001,MATCH(ROWS($V$2:V301),$V$2:$V$1001,0),MATCH(COLUMNS($AC$1006:AJ1006),$AC$1006:$AS$1006,0)), HYPERLINK("#",""), HYPERLINK(CONCATENATE("#Metadata!", ADDRESS(INDEX($X$2:$X$1001,MATCH(ROWS($V$2:V301),$V$2:$V$1001,0),0), INDEX($AC$1004:$AS$1004,1,MATCH(COLUMNS($AC$1006:AJ1006),$AC$1006:$AS$1006,0)))),"Fix")))</f>
        <v>0</v>
      </c>
      <c r="J301" s="5">
        <f>IF(OR(INDEX($W$2:$W$1001,MATCH(ROWS($V$2:V301),$V$2:$V$1001,0),1)&gt;=100000,INDEX($AC$1005:$AS$1005,1,MATCH(COLUMNS($AC$1006:AK1006),$AC$1006:$AS$1006,0))&gt;=100000), " ",IF(INDEX($AC$2:$AS$1001,MATCH(ROWS($V$2:V301),$V$2:$V$1001,0),MATCH(COLUMNS($AC$1006:AK1006),$AC$1006:$AS$1006,0)), HYPERLINK("#",""), HYPERLINK(CONCATENATE("#Metadata!", ADDRESS(INDEX($X$2:$X$1001,MATCH(ROWS($V$2:V301),$V$2:$V$1001,0),0), INDEX($AC$1004:$AS$1004,1,MATCH(COLUMNS($AC$1006:AK1006),$AC$1006:$AS$1006,0)))),"Fix")))</f>
        <v>0</v>
      </c>
      <c r="K301" s="5">
        <f>IF(OR(INDEX($W$2:$W$1001,MATCH(ROWS($V$2:V301),$V$2:$V$1001,0),1)&gt;=100000,INDEX($AC$1005:$AS$1005,1,MATCH(COLUMNS($AC$1006:AL1006),$AC$1006:$AS$1006,0))&gt;=100000), " ",IF(INDEX($AC$2:$AS$1001,MATCH(ROWS($V$2:V301),$V$2:$V$1001,0),MATCH(COLUMNS($AC$1006:AL1006),$AC$1006:$AS$1006,0)), HYPERLINK("#",""), HYPERLINK(CONCATENATE("#Metadata!", ADDRESS(INDEX($X$2:$X$1001,MATCH(ROWS($V$2:V301),$V$2:$V$1001,0),0), INDEX($AC$1004:$AS$1004,1,MATCH(COLUMNS($AC$1006:AL1006),$AC$1006:$AS$1006,0)))),"Fix")))</f>
        <v>0</v>
      </c>
      <c r="L301" s="5">
        <f>IF(OR(INDEX($W$2:$W$1001,MATCH(ROWS($V$2:V301),$V$2:$V$1001,0),1)&gt;=100000,INDEX($AC$1005:$AS$1005,1,MATCH(COLUMNS($AC$1006:AM1006),$AC$1006:$AS$1006,0))&gt;=100000), " ",IF(INDEX($AC$2:$AS$1001,MATCH(ROWS($V$2:V301),$V$2:$V$1001,0),MATCH(COLUMNS($AC$1006:AM1006),$AC$1006:$AS$1006,0)), HYPERLINK("#",""), HYPERLINK(CONCATENATE("#Metadata!", ADDRESS(INDEX($X$2:$X$1001,MATCH(ROWS($V$2:V301),$V$2:$V$1001,0),0), INDEX($AC$1004:$AS$1004,1,MATCH(COLUMNS($AC$1006:AM1006),$AC$1006:$AS$1006,0)))),"Fix")))</f>
        <v>0</v>
      </c>
      <c r="M301" s="5">
        <f>IF(OR(INDEX($W$2:$W$1001,MATCH(ROWS($V$2:V301),$V$2:$V$1001,0),1)&gt;=100000,INDEX($AC$1005:$AS$1005,1,MATCH(COLUMNS($AC$1006:AN1006),$AC$1006:$AS$1006,0))&gt;=100000), " ",IF(INDEX($AC$2:$AS$1001,MATCH(ROWS($V$2:V301),$V$2:$V$1001,0),MATCH(COLUMNS($AC$1006:AN1006),$AC$1006:$AS$1006,0)), HYPERLINK("#",""), HYPERLINK(CONCATENATE("#Metadata!", ADDRESS(INDEX($X$2:$X$1001,MATCH(ROWS($V$2:V301),$V$2:$V$1001,0),0), INDEX($AC$1004:$AS$1004,1,MATCH(COLUMNS($AC$1006:AN1006),$AC$1006:$AS$1006,0)))),"Fix")))</f>
        <v>0</v>
      </c>
      <c r="N301" s="5">
        <f>IF(OR(INDEX($W$2:$W$1001,MATCH(ROWS($V$2:V301),$V$2:$V$1001,0),1)&gt;=100000,INDEX($AC$1005:$AS$1005,1,MATCH(COLUMNS($AC$1006:AO1006),$AC$1006:$AS$1006,0))&gt;=100000), " ",IF(INDEX($AC$2:$AS$1001,MATCH(ROWS($V$2:V301),$V$2:$V$1001,0),MATCH(COLUMNS($AC$1006:AO1006),$AC$1006:$AS$1006,0)), HYPERLINK("#",""), HYPERLINK(CONCATENATE("#Metadata!", ADDRESS(INDEX($X$2:$X$1001,MATCH(ROWS($V$2:V301),$V$2:$V$1001,0),0), INDEX($AC$1004:$AS$1004,1,MATCH(COLUMNS($AC$1006:AO1006),$AC$1006:$AS$1006,0)))),"Fix")))</f>
        <v>0</v>
      </c>
      <c r="O301" s="5">
        <f>IF(OR(INDEX($W$2:$W$1001,MATCH(ROWS($V$2:V301),$V$2:$V$1001,0),1)&gt;=100000,INDEX($AC$1005:$AS$1005,1,MATCH(COLUMNS($AC$1006:AP1006),$AC$1006:$AS$1006,0))&gt;=100000), " ",IF(INDEX($AC$2:$AS$1001,MATCH(ROWS($V$2:V301),$V$2:$V$1001,0),MATCH(COLUMNS($AC$1006:AP1006),$AC$1006:$AS$1006,0)), HYPERLINK("#",""), HYPERLINK(CONCATENATE("#Metadata!", ADDRESS(INDEX($X$2:$X$1001,MATCH(ROWS($V$2:V301),$V$2:$V$1001,0),0), INDEX($AC$1004:$AS$1004,1,MATCH(COLUMNS($AC$1006:AP1006),$AC$1006:$AS$1006,0)))),"Fix")))</f>
        <v>0</v>
      </c>
      <c r="P301" s="5">
        <f>IF(OR(INDEX($W$2:$W$1001,MATCH(ROWS($V$2:V301),$V$2:$V$1001,0),1)&gt;=100000,INDEX($AC$1005:$AS$1005,1,MATCH(COLUMNS($AC$1006:AQ1006),$AC$1006:$AS$1006,0))&gt;=100000), " ",IF(INDEX($AC$2:$AS$1001,MATCH(ROWS($V$2:V301),$V$2:$V$1001,0),MATCH(COLUMNS($AC$1006:AQ1006),$AC$1006:$AS$1006,0)), HYPERLINK("#",""), HYPERLINK(CONCATENATE("#Metadata!", ADDRESS(INDEX($X$2:$X$1001,MATCH(ROWS($V$2:V301),$V$2:$V$1001,0),0), INDEX($AC$1004:$AS$1004,1,MATCH(COLUMNS($AC$1006:AQ1006),$AC$1006:$AS$1006,0)))),"Fix")))</f>
        <v>0</v>
      </c>
      <c r="Q301" s="5">
        <f>IF(OR(INDEX($W$2:$W$1001,MATCH(ROWS($V$2:V301),$V$2:$V$1001,0),1)&gt;=100000,INDEX($AC$1005:$AS$1005,1,MATCH(COLUMNS($AC$1006:AR1006),$AC$1006:$AS$1006,0))&gt;=100000), " ",IF(INDEX($AC$2:$AS$1001,MATCH(ROWS($V$2:V301),$V$2:$V$1001,0),MATCH(COLUMNS($AC$1006:AR1006),$AC$1006:$AS$1006,0)), HYPERLINK("#",""), HYPERLINK(CONCATENATE("#Metadata!", ADDRESS(INDEX($X$2:$X$1001,MATCH(ROWS($V$2:V301),$V$2:$V$1001,0),0), INDEX($AC$1004:$AS$1004,1,MATCH(COLUMNS($AC$1006:AR1006),$AC$1006:$AS$1006,0)))),"Fix")))</f>
        <v>0</v>
      </c>
      <c r="R301" s="5">
        <f>IF(OR(INDEX($W$2:$W$1001,MATCH(ROWS($V$2:V301),$V$2:$V$1001,0),1)&gt;=100000,INDEX($AC$1005:$AS$1005,1,MATCH(COLUMNS($AC$1006:AS1006),$AC$1006:$AS$1006,0))&gt;=100000), " ",IF(INDEX($AC$2:$AS$1001,MATCH(ROWS($V$2:V301),$V$2:$V$1001,0),MATCH(COLUMNS($AC$1006:AS1006),$AC$1006:$AS$1006,0)), HYPERLINK("#",""), HYPERLINK(CONCATENATE("#Metadata!", ADDRESS(INDEX($X$2:$X$1001,MATCH(ROWS($V$2:V301),$V$2:$V$1001,0),0), INDEX($AC$1004:$AS$1004,1,MATCH(COLUMNS($AC$1006:AS1006),$AC$1006:$AS$1006,0)))),"Fix")))</f>
        <v>0</v>
      </c>
      <c r="V301">
        <v>0</v>
      </c>
      <c r="W301">
        <v>0</v>
      </c>
      <c r="X301">
        <v>0</v>
      </c>
      <c r="Y301">
        <f>IF(Z301,TRUE,AND(AC301:AS301))</f>
        <v>0</v>
      </c>
      <c r="Z301">
        <f>COUNTBLANK(Metadata!B301:R301)=COLUMNS(Metadata!B301:R301)</f>
        <v>0</v>
      </c>
      <c r="AA301">
        <v>0</v>
      </c>
      <c r="AC301">
        <f>AND(IF(Metadata!B301="",FALSE,TRUE),COUNTIF(Metadata!B:B, Metadata!B301) = 1,NOT(ISERROR(SUMPRODUCT(SEARCH(MID(Metadata!B301,ROW(INDIRECT("1:"&amp;LEN(Metadata!B301))), 1),"0123456789abcdefghijklmnopqrstuvwxyzABCDEFGHIJKLMNOPQRSTUVWXYZ.")))))</f>
        <v>0</v>
      </c>
      <c r="AD301">
        <f>AND(IF(Metadata!C301="",FALSE,TRUE),exact(Metadata!C301,"Host-associated"))</f>
        <v>0</v>
      </c>
      <c r="AE301">
        <f>AND(IF(Metadata!D301="",FALSE,TRUE),OR(exact(Metadata!D301,"Animal"),exact(Metadata!D301,"Fungus"),exact(Metadata!D301,"Plant")))</f>
        <v>0</v>
      </c>
      <c r="AF301">
        <f>AND(IF(Metadata!E301="",FALSE,TRUE),OR(exact(Metadata!E301,"Plant secretion"),exact(Metadata!E301,"Plant rhizosphere"),exact(Metadata!E301,"Plant surface"),exact(Metadata!E301,"Plant corpus"),exact(Metadata!E301,"Fungus surface"),exact(Metadata!E301,"Fungus corpus"),exact(Metadata!E301,"Animal surface"),exact(Metadata!E301,"Animal proximal gut"),exact(Metadata!E301,"Animal corpus"),exact(Metadata!E301,"Animal distal gut"),exact(Metadata!E301,"Animal secretion")))</f>
        <v>0</v>
      </c>
      <c r="AG301">
        <f>OR(AND(IF(Metadata!F301="",FALSE,TRUE),OR(exact(Metadata!F301,"not collected"),exact(Metadata!F301,"not provided"),exact(Metadata!F301,"restricted access"))),AND(IF(Metadata!F301="",FALSE,TRUE),OR(exact(Metadata!F301,"organism-associated habitat"),exact(Metadata!F301,"plant-associated habitat"),exact(Metadata!F301,"animal-associated habitat"),exact(Metadata!F301,"insecta-associated habitat"),exact(Metadata!F301,"mammalia-associated habitat"),exact(Metadata!F301,"human-associated habitat"),exact(Metadata!F301,"livestock-associated habitat"))))</f>
        <v>0</v>
      </c>
      <c r="AH301">
        <f>AND(IF(Metadata!G301="",FALSE,TRUE),exact(Metadata!G301,"host-associated"))</f>
        <v>0</v>
      </c>
      <c r="AI301">
        <f>OR(AND(IF(Metadata!H301="",FALSE,TRUE),OR(exact(Metadata!H301,"not collected"),exact(Metadata!H301,"not provided"))),AND(IF(Metadata!H301="",FALSE,ISNUMBER(VALUE(Metadata!H301))),Metadata!H301&gt;0))</f>
        <v>0</v>
      </c>
      <c r="AJ301">
        <f>AND(IF(Metadata!I301="",FALSE,TRUE),exact(Metadata!I301,"years"))</f>
        <v>0</v>
      </c>
      <c r="AK301">
        <f>IF(Metadata!J301="",FALSE,TRUE)</f>
        <v>0</v>
      </c>
      <c r="AL301">
        <f>OR(AND(IF(Metadata!K301="",FALSE,TRUE),OR(exact(Metadata!K301,"not collected"),exact(Metadata!K301,"not provided"))),AND(IF(Metadata!K301="",FALSE,ISNUMBER(VALUE(Metadata!K301))),Metadata!K301&gt;0))</f>
        <v>0</v>
      </c>
      <c r="AM301">
        <f>AND(IF(Metadata!L301="",FALSE,TRUE),exact(Metadata!L301,"cm"))</f>
        <v>0</v>
      </c>
      <c r="AN301">
        <f>IF(Metadata!M301="",FALSE,TRUE)</f>
        <v>0</v>
      </c>
      <c r="AO301">
        <f>OR(AND(IF(Metadata!N301="",FALSE,TRUE),OR(exact(Metadata!N301,"not applicable"),exact(Metadata!N301,"not collected"),exact(Metadata!N301,"not provided"))),AND(IF(Metadata!N301="",FALSE,IF(ISERROR(INT(Metadata!N301)),FALSE,INT(Metadata!N301)=Metadata!N301)),Metadata!N301&gt;0))</f>
        <v>0</v>
      </c>
      <c r="AP301">
        <f>OR(AND(IF(Metadata!O301="",FALSE,TRUE),OR(exact(Metadata!O301,"not collected"),exact(Metadata!O301,"not provided"))),AND(IF(Metadata!O301="",FALSE,ISNUMBER(VALUE(Metadata!O301))),Metadata!O301&gt;0))</f>
        <v>0</v>
      </c>
      <c r="AQ301">
        <f>AND(IF(Metadata!P301="",FALSE,TRUE),exact(Metadata!P301,"kg"))</f>
        <v>0</v>
      </c>
      <c r="AR301">
        <f>OR(AND(IF(Metadata!Q301="",FALSE,TRUE),OR(exact(Metadata!Q301,"not applicable"),exact(Metadata!Q301,"not collected"),exact(Metadata!Q301,"not provided"),exact(Metadata!Q301,"restricted access"))),IF(Metadata!Q301="",FALSE,IF(ISERROR(INT(Metadata!Q301)),FALSE,INT(Metadata!Q301)=Metadata!Q301)))</f>
        <v>0</v>
      </c>
      <c r="AS301">
        <f>AND(IF(Metadata!R301="",FALSE,TRUE),exact(Metadata!R301,"Not applicable"))</f>
        <v>0</v>
      </c>
    </row>
    <row r="302" spans="1:45">
      <c r="A302" s="4">
        <f>IF(B302=" "," ",HYPERLINK(CONCATENATE("#metadata!",ADDRESS(INDEX($X$2:$X$1001,MATCH(ROWS($V$2:V302),$V$2:$V$1001,0),0),2)),INDEX($AA$2:$AA$1001,MATCH(ROWS($V$2:V302),$V$2:$V$1001,0),0)))</f>
        <v>0</v>
      </c>
      <c r="B302" s="5">
        <f>IF(OR(INDEX($W$2:$W$1001,MATCH(ROWS($V$2:V302),$V$2:$V$1001,0),1)&gt;=100000,INDEX($AC$1005:$AS$1005,1,MATCH(COLUMNS($AC$1006:AC1006),$AC$1006:$AS$1006,0))&gt;=100000), " ",IF(INDEX($AC$2:$AS$1001,MATCH(ROWS($V$2:V302),$V$2:$V$1001,0),MATCH(COLUMNS($AC$1006:AC1006),$AC$1006:$AS$1006,0)), HYPERLINK("#",""), HYPERLINK(CONCATENATE("#Metadata!", ADDRESS(INDEX($X$2:$X$1001,MATCH(ROWS($V$2:V302),$V$2:$V$1001,0),0), INDEX($AC$1004:$AS$1004,1,MATCH(COLUMNS($AC$1006:AC1006),$AC$1006:$AS$1006,0)))),"Fix")))</f>
        <v>0</v>
      </c>
      <c r="C302" s="5">
        <f>IF(OR(INDEX($W$2:$W$1001,MATCH(ROWS($V$2:V302),$V$2:$V$1001,0),1)&gt;=100000,INDEX($AC$1005:$AS$1005,1,MATCH(COLUMNS($AC$1006:AD1006),$AC$1006:$AS$1006,0))&gt;=100000), " ",IF(INDEX($AC$2:$AS$1001,MATCH(ROWS($V$2:V302),$V$2:$V$1001,0),MATCH(COLUMNS($AC$1006:AD1006),$AC$1006:$AS$1006,0)), HYPERLINK("#",""), HYPERLINK(CONCATENATE("#Metadata!", ADDRESS(INDEX($X$2:$X$1001,MATCH(ROWS($V$2:V302),$V$2:$V$1001,0),0), INDEX($AC$1004:$AS$1004,1,MATCH(COLUMNS($AC$1006:AD1006),$AC$1006:$AS$1006,0)))),"Fix")))</f>
        <v>0</v>
      </c>
      <c r="D302" s="5">
        <f>IF(OR(INDEX($W$2:$W$1001,MATCH(ROWS($V$2:V302),$V$2:$V$1001,0),1)&gt;=100000,INDEX($AC$1005:$AS$1005,1,MATCH(COLUMNS($AC$1006:AE1006),$AC$1006:$AS$1006,0))&gt;=100000), " ",IF(INDEX($AC$2:$AS$1001,MATCH(ROWS($V$2:V302),$V$2:$V$1001,0),MATCH(COLUMNS($AC$1006:AE1006),$AC$1006:$AS$1006,0)), HYPERLINK("#",""), HYPERLINK(CONCATENATE("#Metadata!", ADDRESS(INDEX($X$2:$X$1001,MATCH(ROWS($V$2:V302),$V$2:$V$1001,0),0), INDEX($AC$1004:$AS$1004,1,MATCH(COLUMNS($AC$1006:AE1006),$AC$1006:$AS$1006,0)))),"Fix")))</f>
        <v>0</v>
      </c>
      <c r="E302" s="5">
        <f>IF(OR(INDEX($W$2:$W$1001,MATCH(ROWS($V$2:V302),$V$2:$V$1001,0),1)&gt;=100000,INDEX($AC$1005:$AS$1005,1,MATCH(COLUMNS($AC$1006:AF1006),$AC$1006:$AS$1006,0))&gt;=100000), " ",IF(INDEX($AC$2:$AS$1001,MATCH(ROWS($V$2:V302),$V$2:$V$1001,0),MATCH(COLUMNS($AC$1006:AF1006),$AC$1006:$AS$1006,0)), HYPERLINK("#",""), HYPERLINK(CONCATENATE("#Metadata!", ADDRESS(INDEX($X$2:$X$1001,MATCH(ROWS($V$2:V302),$V$2:$V$1001,0),0), INDEX($AC$1004:$AS$1004,1,MATCH(COLUMNS($AC$1006:AF1006),$AC$1006:$AS$1006,0)))),"Fix")))</f>
        <v>0</v>
      </c>
      <c r="F302" s="5">
        <f>IF(OR(INDEX($W$2:$W$1001,MATCH(ROWS($V$2:V302),$V$2:$V$1001,0),1)&gt;=100000,INDEX($AC$1005:$AS$1005,1,MATCH(COLUMNS($AC$1006:AG1006),$AC$1006:$AS$1006,0))&gt;=100000), " ",IF(INDEX($AC$2:$AS$1001,MATCH(ROWS($V$2:V302),$V$2:$V$1001,0),MATCH(COLUMNS($AC$1006:AG1006),$AC$1006:$AS$1006,0)), HYPERLINK("#",""), HYPERLINK(CONCATENATE("#Metadata!", ADDRESS(INDEX($X$2:$X$1001,MATCH(ROWS($V$2:V302),$V$2:$V$1001,0),0), INDEX($AC$1004:$AS$1004,1,MATCH(COLUMNS($AC$1006:AG1006),$AC$1006:$AS$1006,0)))),"Fix")))</f>
        <v>0</v>
      </c>
      <c r="G302" s="5">
        <f>IF(OR(INDEX($W$2:$W$1001,MATCH(ROWS($V$2:V302),$V$2:$V$1001,0),1)&gt;=100000,INDEX($AC$1005:$AS$1005,1,MATCH(COLUMNS($AC$1006:AH1006),$AC$1006:$AS$1006,0))&gt;=100000), " ",IF(INDEX($AC$2:$AS$1001,MATCH(ROWS($V$2:V302),$V$2:$V$1001,0),MATCH(COLUMNS($AC$1006:AH1006),$AC$1006:$AS$1006,0)), HYPERLINK("#",""), HYPERLINK(CONCATENATE("#Metadata!", ADDRESS(INDEX($X$2:$X$1001,MATCH(ROWS($V$2:V302),$V$2:$V$1001,0),0), INDEX($AC$1004:$AS$1004,1,MATCH(COLUMNS($AC$1006:AH1006),$AC$1006:$AS$1006,0)))),"Fix")))</f>
        <v>0</v>
      </c>
      <c r="H302" s="5">
        <f>IF(OR(INDEX($W$2:$W$1001,MATCH(ROWS($V$2:V302),$V$2:$V$1001,0),1)&gt;=100000,INDEX($AC$1005:$AS$1005,1,MATCH(COLUMNS($AC$1006:AI1006),$AC$1006:$AS$1006,0))&gt;=100000), " ",IF(INDEX($AC$2:$AS$1001,MATCH(ROWS($V$2:V302),$V$2:$V$1001,0),MATCH(COLUMNS($AC$1006:AI1006),$AC$1006:$AS$1006,0)), HYPERLINK("#",""), HYPERLINK(CONCATENATE("#Metadata!", ADDRESS(INDEX($X$2:$X$1001,MATCH(ROWS($V$2:V302),$V$2:$V$1001,0),0), INDEX($AC$1004:$AS$1004,1,MATCH(COLUMNS($AC$1006:AI1006),$AC$1006:$AS$1006,0)))),"Fix")))</f>
        <v>0</v>
      </c>
      <c r="I302" s="5">
        <f>IF(OR(INDEX($W$2:$W$1001,MATCH(ROWS($V$2:V302),$V$2:$V$1001,0),1)&gt;=100000,INDEX($AC$1005:$AS$1005,1,MATCH(COLUMNS($AC$1006:AJ1006),$AC$1006:$AS$1006,0))&gt;=100000), " ",IF(INDEX($AC$2:$AS$1001,MATCH(ROWS($V$2:V302),$V$2:$V$1001,0),MATCH(COLUMNS($AC$1006:AJ1006),$AC$1006:$AS$1006,0)), HYPERLINK("#",""), HYPERLINK(CONCATENATE("#Metadata!", ADDRESS(INDEX($X$2:$X$1001,MATCH(ROWS($V$2:V302),$V$2:$V$1001,0),0), INDEX($AC$1004:$AS$1004,1,MATCH(COLUMNS($AC$1006:AJ1006),$AC$1006:$AS$1006,0)))),"Fix")))</f>
        <v>0</v>
      </c>
      <c r="J302" s="5">
        <f>IF(OR(INDEX($W$2:$W$1001,MATCH(ROWS($V$2:V302),$V$2:$V$1001,0),1)&gt;=100000,INDEX($AC$1005:$AS$1005,1,MATCH(COLUMNS($AC$1006:AK1006),$AC$1006:$AS$1006,0))&gt;=100000), " ",IF(INDEX($AC$2:$AS$1001,MATCH(ROWS($V$2:V302),$V$2:$V$1001,0),MATCH(COLUMNS($AC$1006:AK1006),$AC$1006:$AS$1006,0)), HYPERLINK("#",""), HYPERLINK(CONCATENATE("#Metadata!", ADDRESS(INDEX($X$2:$X$1001,MATCH(ROWS($V$2:V302),$V$2:$V$1001,0),0), INDEX($AC$1004:$AS$1004,1,MATCH(COLUMNS($AC$1006:AK1006),$AC$1006:$AS$1006,0)))),"Fix")))</f>
        <v>0</v>
      </c>
      <c r="K302" s="5">
        <f>IF(OR(INDEX($W$2:$W$1001,MATCH(ROWS($V$2:V302),$V$2:$V$1001,0),1)&gt;=100000,INDEX($AC$1005:$AS$1005,1,MATCH(COLUMNS($AC$1006:AL1006),$AC$1006:$AS$1006,0))&gt;=100000), " ",IF(INDEX($AC$2:$AS$1001,MATCH(ROWS($V$2:V302),$V$2:$V$1001,0),MATCH(COLUMNS($AC$1006:AL1006),$AC$1006:$AS$1006,0)), HYPERLINK("#",""), HYPERLINK(CONCATENATE("#Metadata!", ADDRESS(INDEX($X$2:$X$1001,MATCH(ROWS($V$2:V302),$V$2:$V$1001,0),0), INDEX($AC$1004:$AS$1004,1,MATCH(COLUMNS($AC$1006:AL1006),$AC$1006:$AS$1006,0)))),"Fix")))</f>
        <v>0</v>
      </c>
      <c r="L302" s="5">
        <f>IF(OR(INDEX($W$2:$W$1001,MATCH(ROWS($V$2:V302),$V$2:$V$1001,0),1)&gt;=100000,INDEX($AC$1005:$AS$1005,1,MATCH(COLUMNS($AC$1006:AM1006),$AC$1006:$AS$1006,0))&gt;=100000), " ",IF(INDEX($AC$2:$AS$1001,MATCH(ROWS($V$2:V302),$V$2:$V$1001,0),MATCH(COLUMNS($AC$1006:AM1006),$AC$1006:$AS$1006,0)), HYPERLINK("#",""), HYPERLINK(CONCATENATE("#Metadata!", ADDRESS(INDEX($X$2:$X$1001,MATCH(ROWS($V$2:V302),$V$2:$V$1001,0),0), INDEX($AC$1004:$AS$1004,1,MATCH(COLUMNS($AC$1006:AM1006),$AC$1006:$AS$1006,0)))),"Fix")))</f>
        <v>0</v>
      </c>
      <c r="M302" s="5">
        <f>IF(OR(INDEX($W$2:$W$1001,MATCH(ROWS($V$2:V302),$V$2:$V$1001,0),1)&gt;=100000,INDEX($AC$1005:$AS$1005,1,MATCH(COLUMNS($AC$1006:AN1006),$AC$1006:$AS$1006,0))&gt;=100000), " ",IF(INDEX($AC$2:$AS$1001,MATCH(ROWS($V$2:V302),$V$2:$V$1001,0),MATCH(COLUMNS($AC$1006:AN1006),$AC$1006:$AS$1006,0)), HYPERLINK("#",""), HYPERLINK(CONCATENATE("#Metadata!", ADDRESS(INDEX($X$2:$X$1001,MATCH(ROWS($V$2:V302),$V$2:$V$1001,0),0), INDEX($AC$1004:$AS$1004,1,MATCH(COLUMNS($AC$1006:AN1006),$AC$1006:$AS$1006,0)))),"Fix")))</f>
        <v>0</v>
      </c>
      <c r="N302" s="5">
        <f>IF(OR(INDEX($W$2:$W$1001,MATCH(ROWS($V$2:V302),$V$2:$V$1001,0),1)&gt;=100000,INDEX($AC$1005:$AS$1005,1,MATCH(COLUMNS($AC$1006:AO1006),$AC$1006:$AS$1006,0))&gt;=100000), " ",IF(INDEX($AC$2:$AS$1001,MATCH(ROWS($V$2:V302),$V$2:$V$1001,0),MATCH(COLUMNS($AC$1006:AO1006),$AC$1006:$AS$1006,0)), HYPERLINK("#",""), HYPERLINK(CONCATENATE("#Metadata!", ADDRESS(INDEX($X$2:$X$1001,MATCH(ROWS($V$2:V302),$V$2:$V$1001,0),0), INDEX($AC$1004:$AS$1004,1,MATCH(COLUMNS($AC$1006:AO1006),$AC$1006:$AS$1006,0)))),"Fix")))</f>
        <v>0</v>
      </c>
      <c r="O302" s="5">
        <f>IF(OR(INDEX($W$2:$W$1001,MATCH(ROWS($V$2:V302),$V$2:$V$1001,0),1)&gt;=100000,INDEX($AC$1005:$AS$1005,1,MATCH(COLUMNS($AC$1006:AP1006),$AC$1006:$AS$1006,0))&gt;=100000), " ",IF(INDEX($AC$2:$AS$1001,MATCH(ROWS($V$2:V302),$V$2:$V$1001,0),MATCH(COLUMNS($AC$1006:AP1006),$AC$1006:$AS$1006,0)), HYPERLINK("#",""), HYPERLINK(CONCATENATE("#Metadata!", ADDRESS(INDEX($X$2:$X$1001,MATCH(ROWS($V$2:V302),$V$2:$V$1001,0),0), INDEX($AC$1004:$AS$1004,1,MATCH(COLUMNS($AC$1006:AP1006),$AC$1006:$AS$1006,0)))),"Fix")))</f>
        <v>0</v>
      </c>
      <c r="P302" s="5">
        <f>IF(OR(INDEX($W$2:$W$1001,MATCH(ROWS($V$2:V302),$V$2:$V$1001,0),1)&gt;=100000,INDEX($AC$1005:$AS$1005,1,MATCH(COLUMNS($AC$1006:AQ1006),$AC$1006:$AS$1006,0))&gt;=100000), " ",IF(INDEX($AC$2:$AS$1001,MATCH(ROWS($V$2:V302),$V$2:$V$1001,0),MATCH(COLUMNS($AC$1006:AQ1006),$AC$1006:$AS$1006,0)), HYPERLINK("#",""), HYPERLINK(CONCATENATE("#Metadata!", ADDRESS(INDEX($X$2:$X$1001,MATCH(ROWS($V$2:V302),$V$2:$V$1001,0),0), INDEX($AC$1004:$AS$1004,1,MATCH(COLUMNS($AC$1006:AQ1006),$AC$1006:$AS$1006,0)))),"Fix")))</f>
        <v>0</v>
      </c>
      <c r="Q302" s="5">
        <f>IF(OR(INDEX($W$2:$W$1001,MATCH(ROWS($V$2:V302),$V$2:$V$1001,0),1)&gt;=100000,INDEX($AC$1005:$AS$1005,1,MATCH(COLUMNS($AC$1006:AR1006),$AC$1006:$AS$1006,0))&gt;=100000), " ",IF(INDEX($AC$2:$AS$1001,MATCH(ROWS($V$2:V302),$V$2:$V$1001,0),MATCH(COLUMNS($AC$1006:AR1006),$AC$1006:$AS$1006,0)), HYPERLINK("#",""), HYPERLINK(CONCATENATE("#Metadata!", ADDRESS(INDEX($X$2:$X$1001,MATCH(ROWS($V$2:V302),$V$2:$V$1001,0),0), INDEX($AC$1004:$AS$1004,1,MATCH(COLUMNS($AC$1006:AR1006),$AC$1006:$AS$1006,0)))),"Fix")))</f>
        <v>0</v>
      </c>
      <c r="R302" s="5">
        <f>IF(OR(INDEX($W$2:$W$1001,MATCH(ROWS($V$2:V302),$V$2:$V$1001,0),1)&gt;=100000,INDEX($AC$1005:$AS$1005,1,MATCH(COLUMNS($AC$1006:AS1006),$AC$1006:$AS$1006,0))&gt;=100000), " ",IF(INDEX($AC$2:$AS$1001,MATCH(ROWS($V$2:V302),$V$2:$V$1001,0),MATCH(COLUMNS($AC$1006:AS1006),$AC$1006:$AS$1006,0)), HYPERLINK("#",""), HYPERLINK(CONCATENATE("#Metadata!", ADDRESS(INDEX($X$2:$X$1001,MATCH(ROWS($V$2:V302),$V$2:$V$1001,0),0), INDEX($AC$1004:$AS$1004,1,MATCH(COLUMNS($AC$1006:AS1006),$AC$1006:$AS$1006,0)))),"Fix")))</f>
        <v>0</v>
      </c>
      <c r="V302">
        <v>0</v>
      </c>
      <c r="W302">
        <v>0</v>
      </c>
      <c r="X302">
        <v>0</v>
      </c>
      <c r="Y302">
        <f>IF(Z302,TRUE,AND(AC302:AS302))</f>
        <v>0</v>
      </c>
      <c r="Z302">
        <f>COUNTBLANK(Metadata!B302:R302)=COLUMNS(Metadata!B302:R302)</f>
        <v>0</v>
      </c>
      <c r="AA302">
        <v>0</v>
      </c>
      <c r="AC302">
        <f>AND(IF(Metadata!B302="",FALSE,TRUE),COUNTIF(Metadata!B:B, Metadata!B302) = 1,NOT(ISERROR(SUMPRODUCT(SEARCH(MID(Metadata!B302,ROW(INDIRECT("1:"&amp;LEN(Metadata!B302))), 1),"0123456789abcdefghijklmnopqrstuvwxyzABCDEFGHIJKLMNOPQRSTUVWXYZ.")))))</f>
        <v>0</v>
      </c>
      <c r="AD302">
        <f>AND(IF(Metadata!C302="",FALSE,TRUE),exact(Metadata!C302,"Host-associated"))</f>
        <v>0</v>
      </c>
      <c r="AE302">
        <f>AND(IF(Metadata!D302="",FALSE,TRUE),OR(exact(Metadata!D302,"Animal"),exact(Metadata!D302,"Fungus"),exact(Metadata!D302,"Plant")))</f>
        <v>0</v>
      </c>
      <c r="AF302">
        <f>AND(IF(Metadata!E302="",FALSE,TRUE),OR(exact(Metadata!E302,"Plant secretion"),exact(Metadata!E302,"Plant rhizosphere"),exact(Metadata!E302,"Plant surface"),exact(Metadata!E302,"Plant corpus"),exact(Metadata!E302,"Fungus surface"),exact(Metadata!E302,"Fungus corpus"),exact(Metadata!E302,"Animal surface"),exact(Metadata!E302,"Animal proximal gut"),exact(Metadata!E302,"Animal corpus"),exact(Metadata!E302,"Animal distal gut"),exact(Metadata!E302,"Animal secretion")))</f>
        <v>0</v>
      </c>
      <c r="AG302">
        <f>OR(AND(IF(Metadata!F302="",FALSE,TRUE),OR(exact(Metadata!F302,"not collected"),exact(Metadata!F302,"not provided"),exact(Metadata!F302,"restricted access"))),AND(IF(Metadata!F302="",FALSE,TRUE),OR(exact(Metadata!F302,"organism-associated habitat"),exact(Metadata!F302,"plant-associated habitat"),exact(Metadata!F302,"animal-associated habitat"),exact(Metadata!F302,"insecta-associated habitat"),exact(Metadata!F302,"mammalia-associated habitat"),exact(Metadata!F302,"human-associated habitat"),exact(Metadata!F302,"livestock-associated habitat"))))</f>
        <v>0</v>
      </c>
      <c r="AH302">
        <f>AND(IF(Metadata!G302="",FALSE,TRUE),exact(Metadata!G302,"host-associated"))</f>
        <v>0</v>
      </c>
      <c r="AI302">
        <f>OR(AND(IF(Metadata!H302="",FALSE,TRUE),OR(exact(Metadata!H302,"not collected"),exact(Metadata!H302,"not provided"))),AND(IF(Metadata!H302="",FALSE,ISNUMBER(VALUE(Metadata!H302))),Metadata!H302&gt;0))</f>
        <v>0</v>
      </c>
      <c r="AJ302">
        <f>AND(IF(Metadata!I302="",FALSE,TRUE),exact(Metadata!I302,"years"))</f>
        <v>0</v>
      </c>
      <c r="AK302">
        <f>IF(Metadata!J302="",FALSE,TRUE)</f>
        <v>0</v>
      </c>
      <c r="AL302">
        <f>OR(AND(IF(Metadata!K302="",FALSE,TRUE),OR(exact(Metadata!K302,"not collected"),exact(Metadata!K302,"not provided"))),AND(IF(Metadata!K302="",FALSE,ISNUMBER(VALUE(Metadata!K302))),Metadata!K302&gt;0))</f>
        <v>0</v>
      </c>
      <c r="AM302">
        <f>AND(IF(Metadata!L302="",FALSE,TRUE),exact(Metadata!L302,"cm"))</f>
        <v>0</v>
      </c>
      <c r="AN302">
        <f>IF(Metadata!M302="",FALSE,TRUE)</f>
        <v>0</v>
      </c>
      <c r="AO302">
        <f>OR(AND(IF(Metadata!N302="",FALSE,TRUE),OR(exact(Metadata!N302,"not applicable"),exact(Metadata!N302,"not collected"),exact(Metadata!N302,"not provided"))),AND(IF(Metadata!N302="",FALSE,IF(ISERROR(INT(Metadata!N302)),FALSE,INT(Metadata!N302)=Metadata!N302)),Metadata!N302&gt;0))</f>
        <v>0</v>
      </c>
      <c r="AP302">
        <f>OR(AND(IF(Metadata!O302="",FALSE,TRUE),OR(exact(Metadata!O302,"not collected"),exact(Metadata!O302,"not provided"))),AND(IF(Metadata!O302="",FALSE,ISNUMBER(VALUE(Metadata!O302))),Metadata!O302&gt;0))</f>
        <v>0</v>
      </c>
      <c r="AQ302">
        <f>AND(IF(Metadata!P302="",FALSE,TRUE),exact(Metadata!P302,"kg"))</f>
        <v>0</v>
      </c>
      <c r="AR302">
        <f>OR(AND(IF(Metadata!Q302="",FALSE,TRUE),OR(exact(Metadata!Q302,"not applicable"),exact(Metadata!Q302,"not collected"),exact(Metadata!Q302,"not provided"),exact(Metadata!Q302,"restricted access"))),IF(Metadata!Q302="",FALSE,IF(ISERROR(INT(Metadata!Q302)),FALSE,INT(Metadata!Q302)=Metadata!Q302)))</f>
        <v>0</v>
      </c>
      <c r="AS302">
        <f>AND(IF(Metadata!R302="",FALSE,TRUE),exact(Metadata!R302,"Not applicable"))</f>
        <v>0</v>
      </c>
    </row>
    <row r="303" spans="1:45">
      <c r="A303" s="4">
        <f>IF(B303=" "," ",HYPERLINK(CONCATENATE("#metadata!",ADDRESS(INDEX($X$2:$X$1001,MATCH(ROWS($V$2:V303),$V$2:$V$1001,0),0),2)),INDEX($AA$2:$AA$1001,MATCH(ROWS($V$2:V303),$V$2:$V$1001,0),0)))</f>
        <v>0</v>
      </c>
      <c r="B303" s="5">
        <f>IF(OR(INDEX($W$2:$W$1001,MATCH(ROWS($V$2:V303),$V$2:$V$1001,0),1)&gt;=100000,INDEX($AC$1005:$AS$1005,1,MATCH(COLUMNS($AC$1006:AC1006),$AC$1006:$AS$1006,0))&gt;=100000), " ",IF(INDEX($AC$2:$AS$1001,MATCH(ROWS($V$2:V303),$V$2:$V$1001,0),MATCH(COLUMNS($AC$1006:AC1006),$AC$1006:$AS$1006,0)), HYPERLINK("#",""), HYPERLINK(CONCATENATE("#Metadata!", ADDRESS(INDEX($X$2:$X$1001,MATCH(ROWS($V$2:V303),$V$2:$V$1001,0),0), INDEX($AC$1004:$AS$1004,1,MATCH(COLUMNS($AC$1006:AC1006),$AC$1006:$AS$1006,0)))),"Fix")))</f>
        <v>0</v>
      </c>
      <c r="C303" s="5">
        <f>IF(OR(INDEX($W$2:$W$1001,MATCH(ROWS($V$2:V303),$V$2:$V$1001,0),1)&gt;=100000,INDEX($AC$1005:$AS$1005,1,MATCH(COLUMNS($AC$1006:AD1006),$AC$1006:$AS$1006,0))&gt;=100000), " ",IF(INDEX($AC$2:$AS$1001,MATCH(ROWS($V$2:V303),$V$2:$V$1001,0),MATCH(COLUMNS($AC$1006:AD1006),$AC$1006:$AS$1006,0)), HYPERLINK("#",""), HYPERLINK(CONCATENATE("#Metadata!", ADDRESS(INDEX($X$2:$X$1001,MATCH(ROWS($V$2:V303),$V$2:$V$1001,0),0), INDEX($AC$1004:$AS$1004,1,MATCH(COLUMNS($AC$1006:AD1006),$AC$1006:$AS$1006,0)))),"Fix")))</f>
        <v>0</v>
      </c>
      <c r="D303" s="5">
        <f>IF(OR(INDEX($W$2:$W$1001,MATCH(ROWS($V$2:V303),$V$2:$V$1001,0),1)&gt;=100000,INDEX($AC$1005:$AS$1005,1,MATCH(COLUMNS($AC$1006:AE1006),$AC$1006:$AS$1006,0))&gt;=100000), " ",IF(INDEX($AC$2:$AS$1001,MATCH(ROWS($V$2:V303),$V$2:$V$1001,0),MATCH(COLUMNS($AC$1006:AE1006),$AC$1006:$AS$1006,0)), HYPERLINK("#",""), HYPERLINK(CONCATENATE("#Metadata!", ADDRESS(INDEX($X$2:$X$1001,MATCH(ROWS($V$2:V303),$V$2:$V$1001,0),0), INDEX($AC$1004:$AS$1004,1,MATCH(COLUMNS($AC$1006:AE1006),$AC$1006:$AS$1006,0)))),"Fix")))</f>
        <v>0</v>
      </c>
      <c r="E303" s="5">
        <f>IF(OR(INDEX($W$2:$W$1001,MATCH(ROWS($V$2:V303),$V$2:$V$1001,0),1)&gt;=100000,INDEX($AC$1005:$AS$1005,1,MATCH(COLUMNS($AC$1006:AF1006),$AC$1006:$AS$1006,0))&gt;=100000), " ",IF(INDEX($AC$2:$AS$1001,MATCH(ROWS($V$2:V303),$V$2:$V$1001,0),MATCH(COLUMNS($AC$1006:AF1006),$AC$1006:$AS$1006,0)), HYPERLINK("#",""), HYPERLINK(CONCATENATE("#Metadata!", ADDRESS(INDEX($X$2:$X$1001,MATCH(ROWS($V$2:V303),$V$2:$V$1001,0),0), INDEX($AC$1004:$AS$1004,1,MATCH(COLUMNS($AC$1006:AF1006),$AC$1006:$AS$1006,0)))),"Fix")))</f>
        <v>0</v>
      </c>
      <c r="F303" s="5">
        <f>IF(OR(INDEX($W$2:$W$1001,MATCH(ROWS($V$2:V303),$V$2:$V$1001,0),1)&gt;=100000,INDEX($AC$1005:$AS$1005,1,MATCH(COLUMNS($AC$1006:AG1006),$AC$1006:$AS$1006,0))&gt;=100000), " ",IF(INDEX($AC$2:$AS$1001,MATCH(ROWS($V$2:V303),$V$2:$V$1001,0),MATCH(COLUMNS($AC$1006:AG1006),$AC$1006:$AS$1006,0)), HYPERLINK("#",""), HYPERLINK(CONCATENATE("#Metadata!", ADDRESS(INDEX($X$2:$X$1001,MATCH(ROWS($V$2:V303),$V$2:$V$1001,0),0), INDEX($AC$1004:$AS$1004,1,MATCH(COLUMNS($AC$1006:AG1006),$AC$1006:$AS$1006,0)))),"Fix")))</f>
        <v>0</v>
      </c>
      <c r="G303" s="5">
        <f>IF(OR(INDEX($W$2:$W$1001,MATCH(ROWS($V$2:V303),$V$2:$V$1001,0),1)&gt;=100000,INDEX($AC$1005:$AS$1005,1,MATCH(COLUMNS($AC$1006:AH1006),$AC$1006:$AS$1006,0))&gt;=100000), " ",IF(INDEX($AC$2:$AS$1001,MATCH(ROWS($V$2:V303),$V$2:$V$1001,0),MATCH(COLUMNS($AC$1006:AH1006),$AC$1006:$AS$1006,0)), HYPERLINK("#",""), HYPERLINK(CONCATENATE("#Metadata!", ADDRESS(INDEX($X$2:$X$1001,MATCH(ROWS($V$2:V303),$V$2:$V$1001,0),0), INDEX($AC$1004:$AS$1004,1,MATCH(COLUMNS($AC$1006:AH1006),$AC$1006:$AS$1006,0)))),"Fix")))</f>
        <v>0</v>
      </c>
      <c r="H303" s="5">
        <f>IF(OR(INDEX($W$2:$W$1001,MATCH(ROWS($V$2:V303),$V$2:$V$1001,0),1)&gt;=100000,INDEX($AC$1005:$AS$1005,1,MATCH(COLUMNS($AC$1006:AI1006),$AC$1006:$AS$1006,0))&gt;=100000), " ",IF(INDEX($AC$2:$AS$1001,MATCH(ROWS($V$2:V303),$V$2:$V$1001,0),MATCH(COLUMNS($AC$1006:AI1006),$AC$1006:$AS$1006,0)), HYPERLINK("#",""), HYPERLINK(CONCATENATE("#Metadata!", ADDRESS(INDEX($X$2:$X$1001,MATCH(ROWS($V$2:V303),$V$2:$V$1001,0),0), INDEX($AC$1004:$AS$1004,1,MATCH(COLUMNS($AC$1006:AI1006),$AC$1006:$AS$1006,0)))),"Fix")))</f>
        <v>0</v>
      </c>
      <c r="I303" s="5">
        <f>IF(OR(INDEX($W$2:$W$1001,MATCH(ROWS($V$2:V303),$V$2:$V$1001,0),1)&gt;=100000,INDEX($AC$1005:$AS$1005,1,MATCH(COLUMNS($AC$1006:AJ1006),$AC$1006:$AS$1006,0))&gt;=100000), " ",IF(INDEX($AC$2:$AS$1001,MATCH(ROWS($V$2:V303),$V$2:$V$1001,0),MATCH(COLUMNS($AC$1006:AJ1006),$AC$1006:$AS$1006,0)), HYPERLINK("#",""), HYPERLINK(CONCATENATE("#Metadata!", ADDRESS(INDEX($X$2:$X$1001,MATCH(ROWS($V$2:V303),$V$2:$V$1001,0),0), INDEX($AC$1004:$AS$1004,1,MATCH(COLUMNS($AC$1006:AJ1006),$AC$1006:$AS$1006,0)))),"Fix")))</f>
        <v>0</v>
      </c>
      <c r="J303" s="5">
        <f>IF(OR(INDEX($W$2:$W$1001,MATCH(ROWS($V$2:V303),$V$2:$V$1001,0),1)&gt;=100000,INDEX($AC$1005:$AS$1005,1,MATCH(COLUMNS($AC$1006:AK1006),$AC$1006:$AS$1006,0))&gt;=100000), " ",IF(INDEX($AC$2:$AS$1001,MATCH(ROWS($V$2:V303),$V$2:$V$1001,0),MATCH(COLUMNS($AC$1006:AK1006),$AC$1006:$AS$1006,0)), HYPERLINK("#",""), HYPERLINK(CONCATENATE("#Metadata!", ADDRESS(INDEX($X$2:$X$1001,MATCH(ROWS($V$2:V303),$V$2:$V$1001,0),0), INDEX($AC$1004:$AS$1004,1,MATCH(COLUMNS($AC$1006:AK1006),$AC$1006:$AS$1006,0)))),"Fix")))</f>
        <v>0</v>
      </c>
      <c r="K303" s="5">
        <f>IF(OR(INDEX($W$2:$W$1001,MATCH(ROWS($V$2:V303),$V$2:$V$1001,0),1)&gt;=100000,INDEX($AC$1005:$AS$1005,1,MATCH(COLUMNS($AC$1006:AL1006),$AC$1006:$AS$1006,0))&gt;=100000), " ",IF(INDEX($AC$2:$AS$1001,MATCH(ROWS($V$2:V303),$V$2:$V$1001,0),MATCH(COLUMNS($AC$1006:AL1006),$AC$1006:$AS$1006,0)), HYPERLINK("#",""), HYPERLINK(CONCATENATE("#Metadata!", ADDRESS(INDEX($X$2:$X$1001,MATCH(ROWS($V$2:V303),$V$2:$V$1001,0),0), INDEX($AC$1004:$AS$1004,1,MATCH(COLUMNS($AC$1006:AL1006),$AC$1006:$AS$1006,0)))),"Fix")))</f>
        <v>0</v>
      </c>
      <c r="L303" s="5">
        <f>IF(OR(INDEX($W$2:$W$1001,MATCH(ROWS($V$2:V303),$V$2:$V$1001,0),1)&gt;=100000,INDEX($AC$1005:$AS$1005,1,MATCH(COLUMNS($AC$1006:AM1006),$AC$1006:$AS$1006,0))&gt;=100000), " ",IF(INDEX($AC$2:$AS$1001,MATCH(ROWS($V$2:V303),$V$2:$V$1001,0),MATCH(COLUMNS($AC$1006:AM1006),$AC$1006:$AS$1006,0)), HYPERLINK("#",""), HYPERLINK(CONCATENATE("#Metadata!", ADDRESS(INDEX($X$2:$X$1001,MATCH(ROWS($V$2:V303),$V$2:$V$1001,0),0), INDEX($AC$1004:$AS$1004,1,MATCH(COLUMNS($AC$1006:AM1006),$AC$1006:$AS$1006,0)))),"Fix")))</f>
        <v>0</v>
      </c>
      <c r="M303" s="5">
        <f>IF(OR(INDEX($W$2:$W$1001,MATCH(ROWS($V$2:V303),$V$2:$V$1001,0),1)&gt;=100000,INDEX($AC$1005:$AS$1005,1,MATCH(COLUMNS($AC$1006:AN1006),$AC$1006:$AS$1006,0))&gt;=100000), " ",IF(INDEX($AC$2:$AS$1001,MATCH(ROWS($V$2:V303),$V$2:$V$1001,0),MATCH(COLUMNS($AC$1006:AN1006),$AC$1006:$AS$1006,0)), HYPERLINK("#",""), HYPERLINK(CONCATENATE("#Metadata!", ADDRESS(INDEX($X$2:$X$1001,MATCH(ROWS($V$2:V303),$V$2:$V$1001,0),0), INDEX($AC$1004:$AS$1004,1,MATCH(COLUMNS($AC$1006:AN1006),$AC$1006:$AS$1006,0)))),"Fix")))</f>
        <v>0</v>
      </c>
      <c r="N303" s="5">
        <f>IF(OR(INDEX($W$2:$W$1001,MATCH(ROWS($V$2:V303),$V$2:$V$1001,0),1)&gt;=100000,INDEX($AC$1005:$AS$1005,1,MATCH(COLUMNS($AC$1006:AO1006),$AC$1006:$AS$1006,0))&gt;=100000), " ",IF(INDEX($AC$2:$AS$1001,MATCH(ROWS($V$2:V303),$V$2:$V$1001,0),MATCH(COLUMNS($AC$1006:AO1006),$AC$1006:$AS$1006,0)), HYPERLINK("#",""), HYPERLINK(CONCATENATE("#Metadata!", ADDRESS(INDEX($X$2:$X$1001,MATCH(ROWS($V$2:V303),$V$2:$V$1001,0),0), INDEX($AC$1004:$AS$1004,1,MATCH(COLUMNS($AC$1006:AO1006),$AC$1006:$AS$1006,0)))),"Fix")))</f>
        <v>0</v>
      </c>
      <c r="O303" s="5">
        <f>IF(OR(INDEX($W$2:$W$1001,MATCH(ROWS($V$2:V303),$V$2:$V$1001,0),1)&gt;=100000,INDEX($AC$1005:$AS$1005,1,MATCH(COLUMNS($AC$1006:AP1006),$AC$1006:$AS$1006,0))&gt;=100000), " ",IF(INDEX($AC$2:$AS$1001,MATCH(ROWS($V$2:V303),$V$2:$V$1001,0),MATCH(COLUMNS($AC$1006:AP1006),$AC$1006:$AS$1006,0)), HYPERLINK("#",""), HYPERLINK(CONCATENATE("#Metadata!", ADDRESS(INDEX($X$2:$X$1001,MATCH(ROWS($V$2:V303),$V$2:$V$1001,0),0), INDEX($AC$1004:$AS$1004,1,MATCH(COLUMNS($AC$1006:AP1006),$AC$1006:$AS$1006,0)))),"Fix")))</f>
        <v>0</v>
      </c>
      <c r="P303" s="5">
        <f>IF(OR(INDEX($W$2:$W$1001,MATCH(ROWS($V$2:V303),$V$2:$V$1001,0),1)&gt;=100000,INDEX($AC$1005:$AS$1005,1,MATCH(COLUMNS($AC$1006:AQ1006),$AC$1006:$AS$1006,0))&gt;=100000), " ",IF(INDEX($AC$2:$AS$1001,MATCH(ROWS($V$2:V303),$V$2:$V$1001,0),MATCH(COLUMNS($AC$1006:AQ1006),$AC$1006:$AS$1006,0)), HYPERLINK("#",""), HYPERLINK(CONCATENATE("#Metadata!", ADDRESS(INDEX($X$2:$X$1001,MATCH(ROWS($V$2:V303),$V$2:$V$1001,0),0), INDEX($AC$1004:$AS$1004,1,MATCH(COLUMNS($AC$1006:AQ1006),$AC$1006:$AS$1006,0)))),"Fix")))</f>
        <v>0</v>
      </c>
      <c r="Q303" s="5">
        <f>IF(OR(INDEX($W$2:$W$1001,MATCH(ROWS($V$2:V303),$V$2:$V$1001,0),1)&gt;=100000,INDEX($AC$1005:$AS$1005,1,MATCH(COLUMNS($AC$1006:AR1006),$AC$1006:$AS$1006,0))&gt;=100000), " ",IF(INDEX($AC$2:$AS$1001,MATCH(ROWS($V$2:V303),$V$2:$V$1001,0),MATCH(COLUMNS($AC$1006:AR1006),$AC$1006:$AS$1006,0)), HYPERLINK("#",""), HYPERLINK(CONCATENATE("#Metadata!", ADDRESS(INDEX($X$2:$X$1001,MATCH(ROWS($V$2:V303),$V$2:$V$1001,0),0), INDEX($AC$1004:$AS$1004,1,MATCH(COLUMNS($AC$1006:AR1006),$AC$1006:$AS$1006,0)))),"Fix")))</f>
        <v>0</v>
      </c>
      <c r="R303" s="5">
        <f>IF(OR(INDEX($W$2:$W$1001,MATCH(ROWS($V$2:V303),$V$2:$V$1001,0),1)&gt;=100000,INDEX($AC$1005:$AS$1005,1,MATCH(COLUMNS($AC$1006:AS1006),$AC$1006:$AS$1006,0))&gt;=100000), " ",IF(INDEX($AC$2:$AS$1001,MATCH(ROWS($V$2:V303),$V$2:$V$1001,0),MATCH(COLUMNS($AC$1006:AS1006),$AC$1006:$AS$1006,0)), HYPERLINK("#",""), HYPERLINK(CONCATENATE("#Metadata!", ADDRESS(INDEX($X$2:$X$1001,MATCH(ROWS($V$2:V303),$V$2:$V$1001,0),0), INDEX($AC$1004:$AS$1004,1,MATCH(COLUMNS($AC$1006:AS1006),$AC$1006:$AS$1006,0)))),"Fix")))</f>
        <v>0</v>
      </c>
      <c r="V303">
        <v>0</v>
      </c>
      <c r="W303">
        <v>0</v>
      </c>
      <c r="X303">
        <v>0</v>
      </c>
      <c r="Y303">
        <f>IF(Z303,TRUE,AND(AC303:AS303))</f>
        <v>0</v>
      </c>
      <c r="Z303">
        <f>COUNTBLANK(Metadata!B303:R303)=COLUMNS(Metadata!B303:R303)</f>
        <v>0</v>
      </c>
      <c r="AA303">
        <v>0</v>
      </c>
      <c r="AC303">
        <f>AND(IF(Metadata!B303="",FALSE,TRUE),COUNTIF(Metadata!B:B, Metadata!B303) = 1,NOT(ISERROR(SUMPRODUCT(SEARCH(MID(Metadata!B303,ROW(INDIRECT("1:"&amp;LEN(Metadata!B303))), 1),"0123456789abcdefghijklmnopqrstuvwxyzABCDEFGHIJKLMNOPQRSTUVWXYZ.")))))</f>
        <v>0</v>
      </c>
      <c r="AD303">
        <f>AND(IF(Metadata!C303="",FALSE,TRUE),exact(Metadata!C303,"Host-associated"))</f>
        <v>0</v>
      </c>
      <c r="AE303">
        <f>AND(IF(Metadata!D303="",FALSE,TRUE),OR(exact(Metadata!D303,"Animal"),exact(Metadata!D303,"Fungus"),exact(Metadata!D303,"Plant")))</f>
        <v>0</v>
      </c>
      <c r="AF303">
        <f>AND(IF(Metadata!E303="",FALSE,TRUE),OR(exact(Metadata!E303,"Plant secretion"),exact(Metadata!E303,"Plant rhizosphere"),exact(Metadata!E303,"Plant surface"),exact(Metadata!E303,"Plant corpus"),exact(Metadata!E303,"Fungus surface"),exact(Metadata!E303,"Fungus corpus"),exact(Metadata!E303,"Animal surface"),exact(Metadata!E303,"Animal proximal gut"),exact(Metadata!E303,"Animal corpus"),exact(Metadata!E303,"Animal distal gut"),exact(Metadata!E303,"Animal secretion")))</f>
        <v>0</v>
      </c>
      <c r="AG303">
        <f>OR(AND(IF(Metadata!F303="",FALSE,TRUE),OR(exact(Metadata!F303,"not collected"),exact(Metadata!F303,"not provided"),exact(Metadata!F303,"restricted access"))),AND(IF(Metadata!F303="",FALSE,TRUE),OR(exact(Metadata!F303,"organism-associated habitat"),exact(Metadata!F303,"plant-associated habitat"),exact(Metadata!F303,"animal-associated habitat"),exact(Metadata!F303,"insecta-associated habitat"),exact(Metadata!F303,"mammalia-associated habitat"),exact(Metadata!F303,"human-associated habitat"),exact(Metadata!F303,"livestock-associated habitat"))))</f>
        <v>0</v>
      </c>
      <c r="AH303">
        <f>AND(IF(Metadata!G303="",FALSE,TRUE),exact(Metadata!G303,"host-associated"))</f>
        <v>0</v>
      </c>
      <c r="AI303">
        <f>OR(AND(IF(Metadata!H303="",FALSE,TRUE),OR(exact(Metadata!H303,"not collected"),exact(Metadata!H303,"not provided"))),AND(IF(Metadata!H303="",FALSE,ISNUMBER(VALUE(Metadata!H303))),Metadata!H303&gt;0))</f>
        <v>0</v>
      </c>
      <c r="AJ303">
        <f>AND(IF(Metadata!I303="",FALSE,TRUE),exact(Metadata!I303,"years"))</f>
        <v>0</v>
      </c>
      <c r="AK303">
        <f>IF(Metadata!J303="",FALSE,TRUE)</f>
        <v>0</v>
      </c>
      <c r="AL303">
        <f>OR(AND(IF(Metadata!K303="",FALSE,TRUE),OR(exact(Metadata!K303,"not collected"),exact(Metadata!K303,"not provided"))),AND(IF(Metadata!K303="",FALSE,ISNUMBER(VALUE(Metadata!K303))),Metadata!K303&gt;0))</f>
        <v>0</v>
      </c>
      <c r="AM303">
        <f>AND(IF(Metadata!L303="",FALSE,TRUE),exact(Metadata!L303,"cm"))</f>
        <v>0</v>
      </c>
      <c r="AN303">
        <f>IF(Metadata!M303="",FALSE,TRUE)</f>
        <v>0</v>
      </c>
      <c r="AO303">
        <f>OR(AND(IF(Metadata!N303="",FALSE,TRUE),OR(exact(Metadata!N303,"not applicable"),exact(Metadata!N303,"not collected"),exact(Metadata!N303,"not provided"))),AND(IF(Metadata!N303="",FALSE,IF(ISERROR(INT(Metadata!N303)),FALSE,INT(Metadata!N303)=Metadata!N303)),Metadata!N303&gt;0))</f>
        <v>0</v>
      </c>
      <c r="AP303">
        <f>OR(AND(IF(Metadata!O303="",FALSE,TRUE),OR(exact(Metadata!O303,"not collected"),exact(Metadata!O303,"not provided"))),AND(IF(Metadata!O303="",FALSE,ISNUMBER(VALUE(Metadata!O303))),Metadata!O303&gt;0))</f>
        <v>0</v>
      </c>
      <c r="AQ303">
        <f>AND(IF(Metadata!P303="",FALSE,TRUE),exact(Metadata!P303,"kg"))</f>
        <v>0</v>
      </c>
      <c r="AR303">
        <f>OR(AND(IF(Metadata!Q303="",FALSE,TRUE),OR(exact(Metadata!Q303,"not applicable"),exact(Metadata!Q303,"not collected"),exact(Metadata!Q303,"not provided"),exact(Metadata!Q303,"restricted access"))),IF(Metadata!Q303="",FALSE,IF(ISERROR(INT(Metadata!Q303)),FALSE,INT(Metadata!Q303)=Metadata!Q303)))</f>
        <v>0</v>
      </c>
      <c r="AS303">
        <f>AND(IF(Metadata!R303="",FALSE,TRUE),exact(Metadata!R303,"Not applicable"))</f>
        <v>0</v>
      </c>
    </row>
    <row r="304" spans="1:45">
      <c r="A304" s="4">
        <f>IF(B304=" "," ",HYPERLINK(CONCATENATE("#metadata!",ADDRESS(INDEX($X$2:$X$1001,MATCH(ROWS($V$2:V304),$V$2:$V$1001,0),0),2)),INDEX($AA$2:$AA$1001,MATCH(ROWS($V$2:V304),$V$2:$V$1001,0),0)))</f>
        <v>0</v>
      </c>
      <c r="B304" s="5">
        <f>IF(OR(INDEX($W$2:$W$1001,MATCH(ROWS($V$2:V304),$V$2:$V$1001,0),1)&gt;=100000,INDEX($AC$1005:$AS$1005,1,MATCH(COLUMNS($AC$1006:AC1006),$AC$1006:$AS$1006,0))&gt;=100000), " ",IF(INDEX($AC$2:$AS$1001,MATCH(ROWS($V$2:V304),$V$2:$V$1001,0),MATCH(COLUMNS($AC$1006:AC1006),$AC$1006:$AS$1006,0)), HYPERLINK("#",""), HYPERLINK(CONCATENATE("#Metadata!", ADDRESS(INDEX($X$2:$X$1001,MATCH(ROWS($V$2:V304),$V$2:$V$1001,0),0), INDEX($AC$1004:$AS$1004,1,MATCH(COLUMNS($AC$1006:AC1006),$AC$1006:$AS$1006,0)))),"Fix")))</f>
        <v>0</v>
      </c>
      <c r="C304" s="5">
        <f>IF(OR(INDEX($W$2:$W$1001,MATCH(ROWS($V$2:V304),$V$2:$V$1001,0),1)&gt;=100000,INDEX($AC$1005:$AS$1005,1,MATCH(COLUMNS($AC$1006:AD1006),$AC$1006:$AS$1006,0))&gt;=100000), " ",IF(INDEX($AC$2:$AS$1001,MATCH(ROWS($V$2:V304),$V$2:$V$1001,0),MATCH(COLUMNS($AC$1006:AD1006),$AC$1006:$AS$1006,0)), HYPERLINK("#",""), HYPERLINK(CONCATENATE("#Metadata!", ADDRESS(INDEX($X$2:$X$1001,MATCH(ROWS($V$2:V304),$V$2:$V$1001,0),0), INDEX($AC$1004:$AS$1004,1,MATCH(COLUMNS($AC$1006:AD1006),$AC$1006:$AS$1006,0)))),"Fix")))</f>
        <v>0</v>
      </c>
      <c r="D304" s="5">
        <f>IF(OR(INDEX($W$2:$W$1001,MATCH(ROWS($V$2:V304),$V$2:$V$1001,0),1)&gt;=100000,INDEX($AC$1005:$AS$1005,1,MATCH(COLUMNS($AC$1006:AE1006),$AC$1006:$AS$1006,0))&gt;=100000), " ",IF(INDEX($AC$2:$AS$1001,MATCH(ROWS($V$2:V304),$V$2:$V$1001,0),MATCH(COLUMNS($AC$1006:AE1006),$AC$1006:$AS$1006,0)), HYPERLINK("#",""), HYPERLINK(CONCATENATE("#Metadata!", ADDRESS(INDEX($X$2:$X$1001,MATCH(ROWS($V$2:V304),$V$2:$V$1001,0),0), INDEX($AC$1004:$AS$1004,1,MATCH(COLUMNS($AC$1006:AE1006),$AC$1006:$AS$1006,0)))),"Fix")))</f>
        <v>0</v>
      </c>
      <c r="E304" s="5">
        <f>IF(OR(INDEX($W$2:$W$1001,MATCH(ROWS($V$2:V304),$V$2:$V$1001,0),1)&gt;=100000,INDEX($AC$1005:$AS$1005,1,MATCH(COLUMNS($AC$1006:AF1006),$AC$1006:$AS$1006,0))&gt;=100000), " ",IF(INDEX($AC$2:$AS$1001,MATCH(ROWS($V$2:V304),$V$2:$V$1001,0),MATCH(COLUMNS($AC$1006:AF1006),$AC$1006:$AS$1006,0)), HYPERLINK("#",""), HYPERLINK(CONCATENATE("#Metadata!", ADDRESS(INDEX($X$2:$X$1001,MATCH(ROWS($V$2:V304),$V$2:$V$1001,0),0), INDEX($AC$1004:$AS$1004,1,MATCH(COLUMNS($AC$1006:AF1006),$AC$1006:$AS$1006,0)))),"Fix")))</f>
        <v>0</v>
      </c>
      <c r="F304" s="5">
        <f>IF(OR(INDEX($W$2:$W$1001,MATCH(ROWS($V$2:V304),$V$2:$V$1001,0),1)&gt;=100000,INDEX($AC$1005:$AS$1005,1,MATCH(COLUMNS($AC$1006:AG1006),$AC$1006:$AS$1006,0))&gt;=100000), " ",IF(INDEX($AC$2:$AS$1001,MATCH(ROWS($V$2:V304),$V$2:$V$1001,0),MATCH(COLUMNS($AC$1006:AG1006),$AC$1006:$AS$1006,0)), HYPERLINK("#",""), HYPERLINK(CONCATENATE("#Metadata!", ADDRESS(INDEX($X$2:$X$1001,MATCH(ROWS($V$2:V304),$V$2:$V$1001,0),0), INDEX($AC$1004:$AS$1004,1,MATCH(COLUMNS($AC$1006:AG1006),$AC$1006:$AS$1006,0)))),"Fix")))</f>
        <v>0</v>
      </c>
      <c r="G304" s="5">
        <f>IF(OR(INDEX($W$2:$W$1001,MATCH(ROWS($V$2:V304),$V$2:$V$1001,0),1)&gt;=100000,INDEX($AC$1005:$AS$1005,1,MATCH(COLUMNS($AC$1006:AH1006),$AC$1006:$AS$1006,0))&gt;=100000), " ",IF(INDEX($AC$2:$AS$1001,MATCH(ROWS($V$2:V304),$V$2:$V$1001,0),MATCH(COLUMNS($AC$1006:AH1006),$AC$1006:$AS$1006,0)), HYPERLINK("#",""), HYPERLINK(CONCATENATE("#Metadata!", ADDRESS(INDEX($X$2:$X$1001,MATCH(ROWS($V$2:V304),$V$2:$V$1001,0),0), INDEX($AC$1004:$AS$1004,1,MATCH(COLUMNS($AC$1006:AH1006),$AC$1006:$AS$1006,0)))),"Fix")))</f>
        <v>0</v>
      </c>
      <c r="H304" s="5">
        <f>IF(OR(INDEX($W$2:$W$1001,MATCH(ROWS($V$2:V304),$V$2:$V$1001,0),1)&gt;=100000,INDEX($AC$1005:$AS$1005,1,MATCH(COLUMNS($AC$1006:AI1006),$AC$1006:$AS$1006,0))&gt;=100000), " ",IF(INDEX($AC$2:$AS$1001,MATCH(ROWS($V$2:V304),$V$2:$V$1001,0),MATCH(COLUMNS($AC$1006:AI1006),$AC$1006:$AS$1006,0)), HYPERLINK("#",""), HYPERLINK(CONCATENATE("#Metadata!", ADDRESS(INDEX($X$2:$X$1001,MATCH(ROWS($V$2:V304),$V$2:$V$1001,0),0), INDEX($AC$1004:$AS$1004,1,MATCH(COLUMNS($AC$1006:AI1006),$AC$1006:$AS$1006,0)))),"Fix")))</f>
        <v>0</v>
      </c>
      <c r="I304" s="5">
        <f>IF(OR(INDEX($W$2:$W$1001,MATCH(ROWS($V$2:V304),$V$2:$V$1001,0),1)&gt;=100000,INDEX($AC$1005:$AS$1005,1,MATCH(COLUMNS($AC$1006:AJ1006),$AC$1006:$AS$1006,0))&gt;=100000), " ",IF(INDEX($AC$2:$AS$1001,MATCH(ROWS($V$2:V304),$V$2:$V$1001,0),MATCH(COLUMNS($AC$1006:AJ1006),$AC$1006:$AS$1006,0)), HYPERLINK("#",""), HYPERLINK(CONCATENATE("#Metadata!", ADDRESS(INDEX($X$2:$X$1001,MATCH(ROWS($V$2:V304),$V$2:$V$1001,0),0), INDEX($AC$1004:$AS$1004,1,MATCH(COLUMNS($AC$1006:AJ1006),$AC$1006:$AS$1006,0)))),"Fix")))</f>
        <v>0</v>
      </c>
      <c r="J304" s="5">
        <f>IF(OR(INDEX($W$2:$W$1001,MATCH(ROWS($V$2:V304),$V$2:$V$1001,0),1)&gt;=100000,INDEX($AC$1005:$AS$1005,1,MATCH(COLUMNS($AC$1006:AK1006),$AC$1006:$AS$1006,0))&gt;=100000), " ",IF(INDEX($AC$2:$AS$1001,MATCH(ROWS($V$2:V304),$V$2:$V$1001,0),MATCH(COLUMNS($AC$1006:AK1006),$AC$1006:$AS$1006,0)), HYPERLINK("#",""), HYPERLINK(CONCATENATE("#Metadata!", ADDRESS(INDEX($X$2:$X$1001,MATCH(ROWS($V$2:V304),$V$2:$V$1001,0),0), INDEX($AC$1004:$AS$1004,1,MATCH(COLUMNS($AC$1006:AK1006),$AC$1006:$AS$1006,0)))),"Fix")))</f>
        <v>0</v>
      </c>
      <c r="K304" s="5">
        <f>IF(OR(INDEX($W$2:$W$1001,MATCH(ROWS($V$2:V304),$V$2:$V$1001,0),1)&gt;=100000,INDEX($AC$1005:$AS$1005,1,MATCH(COLUMNS($AC$1006:AL1006),$AC$1006:$AS$1006,0))&gt;=100000), " ",IF(INDEX($AC$2:$AS$1001,MATCH(ROWS($V$2:V304),$V$2:$V$1001,0),MATCH(COLUMNS($AC$1006:AL1006),$AC$1006:$AS$1006,0)), HYPERLINK("#",""), HYPERLINK(CONCATENATE("#Metadata!", ADDRESS(INDEX($X$2:$X$1001,MATCH(ROWS($V$2:V304),$V$2:$V$1001,0),0), INDEX($AC$1004:$AS$1004,1,MATCH(COLUMNS($AC$1006:AL1006),$AC$1006:$AS$1006,0)))),"Fix")))</f>
        <v>0</v>
      </c>
      <c r="L304" s="5">
        <f>IF(OR(INDEX($W$2:$W$1001,MATCH(ROWS($V$2:V304),$V$2:$V$1001,0),1)&gt;=100000,INDEX($AC$1005:$AS$1005,1,MATCH(COLUMNS($AC$1006:AM1006),$AC$1006:$AS$1006,0))&gt;=100000), " ",IF(INDEX($AC$2:$AS$1001,MATCH(ROWS($V$2:V304),$V$2:$V$1001,0),MATCH(COLUMNS($AC$1006:AM1006),$AC$1006:$AS$1006,0)), HYPERLINK("#",""), HYPERLINK(CONCATENATE("#Metadata!", ADDRESS(INDEX($X$2:$X$1001,MATCH(ROWS($V$2:V304),$V$2:$V$1001,0),0), INDEX($AC$1004:$AS$1004,1,MATCH(COLUMNS($AC$1006:AM1006),$AC$1006:$AS$1006,0)))),"Fix")))</f>
        <v>0</v>
      </c>
      <c r="M304" s="5">
        <f>IF(OR(INDEX($W$2:$W$1001,MATCH(ROWS($V$2:V304),$V$2:$V$1001,0),1)&gt;=100000,INDEX($AC$1005:$AS$1005,1,MATCH(COLUMNS($AC$1006:AN1006),$AC$1006:$AS$1006,0))&gt;=100000), " ",IF(INDEX($AC$2:$AS$1001,MATCH(ROWS($V$2:V304),$V$2:$V$1001,0),MATCH(COLUMNS($AC$1006:AN1006),$AC$1006:$AS$1006,0)), HYPERLINK("#",""), HYPERLINK(CONCATENATE("#Metadata!", ADDRESS(INDEX($X$2:$X$1001,MATCH(ROWS($V$2:V304),$V$2:$V$1001,0),0), INDEX($AC$1004:$AS$1004,1,MATCH(COLUMNS($AC$1006:AN1006),$AC$1006:$AS$1006,0)))),"Fix")))</f>
        <v>0</v>
      </c>
      <c r="N304" s="5">
        <f>IF(OR(INDEX($W$2:$W$1001,MATCH(ROWS($V$2:V304),$V$2:$V$1001,0),1)&gt;=100000,INDEX($AC$1005:$AS$1005,1,MATCH(COLUMNS($AC$1006:AO1006),$AC$1006:$AS$1006,0))&gt;=100000), " ",IF(INDEX($AC$2:$AS$1001,MATCH(ROWS($V$2:V304),$V$2:$V$1001,0),MATCH(COLUMNS($AC$1006:AO1006),$AC$1006:$AS$1006,0)), HYPERLINK("#",""), HYPERLINK(CONCATENATE("#Metadata!", ADDRESS(INDEX($X$2:$X$1001,MATCH(ROWS($V$2:V304),$V$2:$V$1001,0),0), INDEX($AC$1004:$AS$1004,1,MATCH(COLUMNS($AC$1006:AO1006),$AC$1006:$AS$1006,0)))),"Fix")))</f>
        <v>0</v>
      </c>
      <c r="O304" s="5">
        <f>IF(OR(INDEX($W$2:$W$1001,MATCH(ROWS($V$2:V304),$V$2:$V$1001,0),1)&gt;=100000,INDEX($AC$1005:$AS$1005,1,MATCH(COLUMNS($AC$1006:AP1006),$AC$1006:$AS$1006,0))&gt;=100000), " ",IF(INDEX($AC$2:$AS$1001,MATCH(ROWS($V$2:V304),$V$2:$V$1001,0),MATCH(COLUMNS($AC$1006:AP1006),$AC$1006:$AS$1006,0)), HYPERLINK("#",""), HYPERLINK(CONCATENATE("#Metadata!", ADDRESS(INDEX($X$2:$X$1001,MATCH(ROWS($V$2:V304),$V$2:$V$1001,0),0), INDEX($AC$1004:$AS$1004,1,MATCH(COLUMNS($AC$1006:AP1006),$AC$1006:$AS$1006,0)))),"Fix")))</f>
        <v>0</v>
      </c>
      <c r="P304" s="5">
        <f>IF(OR(INDEX($W$2:$W$1001,MATCH(ROWS($V$2:V304),$V$2:$V$1001,0),1)&gt;=100000,INDEX($AC$1005:$AS$1005,1,MATCH(COLUMNS($AC$1006:AQ1006),$AC$1006:$AS$1006,0))&gt;=100000), " ",IF(INDEX($AC$2:$AS$1001,MATCH(ROWS($V$2:V304),$V$2:$V$1001,0),MATCH(COLUMNS($AC$1006:AQ1006),$AC$1006:$AS$1006,0)), HYPERLINK("#",""), HYPERLINK(CONCATENATE("#Metadata!", ADDRESS(INDEX($X$2:$X$1001,MATCH(ROWS($V$2:V304),$V$2:$V$1001,0),0), INDEX($AC$1004:$AS$1004,1,MATCH(COLUMNS($AC$1006:AQ1006),$AC$1006:$AS$1006,0)))),"Fix")))</f>
        <v>0</v>
      </c>
      <c r="Q304" s="5">
        <f>IF(OR(INDEX($W$2:$W$1001,MATCH(ROWS($V$2:V304),$V$2:$V$1001,0),1)&gt;=100000,INDEX($AC$1005:$AS$1005,1,MATCH(COLUMNS($AC$1006:AR1006),$AC$1006:$AS$1006,0))&gt;=100000), " ",IF(INDEX($AC$2:$AS$1001,MATCH(ROWS($V$2:V304),$V$2:$V$1001,0),MATCH(COLUMNS($AC$1006:AR1006),$AC$1006:$AS$1006,0)), HYPERLINK("#",""), HYPERLINK(CONCATENATE("#Metadata!", ADDRESS(INDEX($X$2:$X$1001,MATCH(ROWS($V$2:V304),$V$2:$V$1001,0),0), INDEX($AC$1004:$AS$1004,1,MATCH(COLUMNS($AC$1006:AR1006),$AC$1006:$AS$1006,0)))),"Fix")))</f>
        <v>0</v>
      </c>
      <c r="R304" s="5">
        <f>IF(OR(INDEX($W$2:$W$1001,MATCH(ROWS($V$2:V304),$V$2:$V$1001,0),1)&gt;=100000,INDEX($AC$1005:$AS$1005,1,MATCH(COLUMNS($AC$1006:AS1006),$AC$1006:$AS$1006,0))&gt;=100000), " ",IF(INDEX($AC$2:$AS$1001,MATCH(ROWS($V$2:V304),$V$2:$V$1001,0),MATCH(COLUMNS($AC$1006:AS1006),$AC$1006:$AS$1006,0)), HYPERLINK("#",""), HYPERLINK(CONCATENATE("#Metadata!", ADDRESS(INDEX($X$2:$X$1001,MATCH(ROWS($V$2:V304),$V$2:$V$1001,0),0), INDEX($AC$1004:$AS$1004,1,MATCH(COLUMNS($AC$1006:AS1006),$AC$1006:$AS$1006,0)))),"Fix")))</f>
        <v>0</v>
      </c>
      <c r="V304">
        <v>0</v>
      </c>
      <c r="W304">
        <v>0</v>
      </c>
      <c r="X304">
        <v>0</v>
      </c>
      <c r="Y304">
        <f>IF(Z304,TRUE,AND(AC304:AS304))</f>
        <v>0</v>
      </c>
      <c r="Z304">
        <f>COUNTBLANK(Metadata!B304:R304)=COLUMNS(Metadata!B304:R304)</f>
        <v>0</v>
      </c>
      <c r="AA304">
        <v>0</v>
      </c>
      <c r="AC304">
        <f>AND(IF(Metadata!B304="",FALSE,TRUE),COUNTIF(Metadata!B:B, Metadata!B304) = 1,NOT(ISERROR(SUMPRODUCT(SEARCH(MID(Metadata!B304,ROW(INDIRECT("1:"&amp;LEN(Metadata!B304))), 1),"0123456789abcdefghijklmnopqrstuvwxyzABCDEFGHIJKLMNOPQRSTUVWXYZ.")))))</f>
        <v>0</v>
      </c>
      <c r="AD304">
        <f>AND(IF(Metadata!C304="",FALSE,TRUE),exact(Metadata!C304,"Host-associated"))</f>
        <v>0</v>
      </c>
      <c r="AE304">
        <f>AND(IF(Metadata!D304="",FALSE,TRUE),OR(exact(Metadata!D304,"Animal"),exact(Metadata!D304,"Fungus"),exact(Metadata!D304,"Plant")))</f>
        <v>0</v>
      </c>
      <c r="AF304">
        <f>AND(IF(Metadata!E304="",FALSE,TRUE),OR(exact(Metadata!E304,"Plant secretion"),exact(Metadata!E304,"Plant rhizosphere"),exact(Metadata!E304,"Plant surface"),exact(Metadata!E304,"Plant corpus"),exact(Metadata!E304,"Fungus surface"),exact(Metadata!E304,"Fungus corpus"),exact(Metadata!E304,"Animal surface"),exact(Metadata!E304,"Animal proximal gut"),exact(Metadata!E304,"Animal corpus"),exact(Metadata!E304,"Animal distal gut"),exact(Metadata!E304,"Animal secretion")))</f>
        <v>0</v>
      </c>
      <c r="AG304">
        <f>OR(AND(IF(Metadata!F304="",FALSE,TRUE),OR(exact(Metadata!F304,"not collected"),exact(Metadata!F304,"not provided"),exact(Metadata!F304,"restricted access"))),AND(IF(Metadata!F304="",FALSE,TRUE),OR(exact(Metadata!F304,"organism-associated habitat"),exact(Metadata!F304,"plant-associated habitat"),exact(Metadata!F304,"animal-associated habitat"),exact(Metadata!F304,"insecta-associated habitat"),exact(Metadata!F304,"mammalia-associated habitat"),exact(Metadata!F304,"human-associated habitat"),exact(Metadata!F304,"livestock-associated habitat"))))</f>
        <v>0</v>
      </c>
      <c r="AH304">
        <f>AND(IF(Metadata!G304="",FALSE,TRUE),exact(Metadata!G304,"host-associated"))</f>
        <v>0</v>
      </c>
      <c r="AI304">
        <f>OR(AND(IF(Metadata!H304="",FALSE,TRUE),OR(exact(Metadata!H304,"not collected"),exact(Metadata!H304,"not provided"))),AND(IF(Metadata!H304="",FALSE,ISNUMBER(VALUE(Metadata!H304))),Metadata!H304&gt;0))</f>
        <v>0</v>
      </c>
      <c r="AJ304">
        <f>AND(IF(Metadata!I304="",FALSE,TRUE),exact(Metadata!I304,"years"))</f>
        <v>0</v>
      </c>
      <c r="AK304">
        <f>IF(Metadata!J304="",FALSE,TRUE)</f>
        <v>0</v>
      </c>
      <c r="AL304">
        <f>OR(AND(IF(Metadata!K304="",FALSE,TRUE),OR(exact(Metadata!K304,"not collected"),exact(Metadata!K304,"not provided"))),AND(IF(Metadata!K304="",FALSE,ISNUMBER(VALUE(Metadata!K304))),Metadata!K304&gt;0))</f>
        <v>0</v>
      </c>
      <c r="AM304">
        <f>AND(IF(Metadata!L304="",FALSE,TRUE),exact(Metadata!L304,"cm"))</f>
        <v>0</v>
      </c>
      <c r="AN304">
        <f>IF(Metadata!M304="",FALSE,TRUE)</f>
        <v>0</v>
      </c>
      <c r="AO304">
        <f>OR(AND(IF(Metadata!N304="",FALSE,TRUE),OR(exact(Metadata!N304,"not applicable"),exact(Metadata!N304,"not collected"),exact(Metadata!N304,"not provided"))),AND(IF(Metadata!N304="",FALSE,IF(ISERROR(INT(Metadata!N304)),FALSE,INT(Metadata!N304)=Metadata!N304)),Metadata!N304&gt;0))</f>
        <v>0</v>
      </c>
      <c r="AP304">
        <f>OR(AND(IF(Metadata!O304="",FALSE,TRUE),OR(exact(Metadata!O304,"not collected"),exact(Metadata!O304,"not provided"))),AND(IF(Metadata!O304="",FALSE,ISNUMBER(VALUE(Metadata!O304))),Metadata!O304&gt;0))</f>
        <v>0</v>
      </c>
      <c r="AQ304">
        <f>AND(IF(Metadata!P304="",FALSE,TRUE),exact(Metadata!P304,"kg"))</f>
        <v>0</v>
      </c>
      <c r="AR304">
        <f>OR(AND(IF(Metadata!Q304="",FALSE,TRUE),OR(exact(Metadata!Q304,"not applicable"),exact(Metadata!Q304,"not collected"),exact(Metadata!Q304,"not provided"),exact(Metadata!Q304,"restricted access"))),IF(Metadata!Q304="",FALSE,IF(ISERROR(INT(Metadata!Q304)),FALSE,INT(Metadata!Q304)=Metadata!Q304)))</f>
        <v>0</v>
      </c>
      <c r="AS304">
        <f>AND(IF(Metadata!R304="",FALSE,TRUE),exact(Metadata!R304,"Not applicable"))</f>
        <v>0</v>
      </c>
    </row>
    <row r="305" spans="1:45">
      <c r="A305" s="4">
        <f>IF(B305=" "," ",HYPERLINK(CONCATENATE("#metadata!",ADDRESS(INDEX($X$2:$X$1001,MATCH(ROWS($V$2:V305),$V$2:$V$1001,0),0),2)),INDEX($AA$2:$AA$1001,MATCH(ROWS($V$2:V305),$V$2:$V$1001,0),0)))</f>
        <v>0</v>
      </c>
      <c r="B305" s="5">
        <f>IF(OR(INDEX($W$2:$W$1001,MATCH(ROWS($V$2:V305),$V$2:$V$1001,0),1)&gt;=100000,INDEX($AC$1005:$AS$1005,1,MATCH(COLUMNS($AC$1006:AC1006),$AC$1006:$AS$1006,0))&gt;=100000), " ",IF(INDEX($AC$2:$AS$1001,MATCH(ROWS($V$2:V305),$V$2:$V$1001,0),MATCH(COLUMNS($AC$1006:AC1006),$AC$1006:$AS$1006,0)), HYPERLINK("#",""), HYPERLINK(CONCATENATE("#Metadata!", ADDRESS(INDEX($X$2:$X$1001,MATCH(ROWS($V$2:V305),$V$2:$V$1001,0),0), INDEX($AC$1004:$AS$1004,1,MATCH(COLUMNS($AC$1006:AC1006),$AC$1006:$AS$1006,0)))),"Fix")))</f>
        <v>0</v>
      </c>
      <c r="C305" s="5">
        <f>IF(OR(INDEX($W$2:$W$1001,MATCH(ROWS($V$2:V305),$V$2:$V$1001,0),1)&gt;=100000,INDEX($AC$1005:$AS$1005,1,MATCH(COLUMNS($AC$1006:AD1006),$AC$1006:$AS$1006,0))&gt;=100000), " ",IF(INDEX($AC$2:$AS$1001,MATCH(ROWS($V$2:V305),$V$2:$V$1001,0),MATCH(COLUMNS($AC$1006:AD1006),$AC$1006:$AS$1006,0)), HYPERLINK("#",""), HYPERLINK(CONCATENATE("#Metadata!", ADDRESS(INDEX($X$2:$X$1001,MATCH(ROWS($V$2:V305),$V$2:$V$1001,0),0), INDEX($AC$1004:$AS$1004,1,MATCH(COLUMNS($AC$1006:AD1006),$AC$1006:$AS$1006,0)))),"Fix")))</f>
        <v>0</v>
      </c>
      <c r="D305" s="5">
        <f>IF(OR(INDEX($W$2:$W$1001,MATCH(ROWS($V$2:V305),$V$2:$V$1001,0),1)&gt;=100000,INDEX($AC$1005:$AS$1005,1,MATCH(COLUMNS($AC$1006:AE1006),$AC$1006:$AS$1006,0))&gt;=100000), " ",IF(INDEX($AC$2:$AS$1001,MATCH(ROWS($V$2:V305),$V$2:$V$1001,0),MATCH(COLUMNS($AC$1006:AE1006),$AC$1006:$AS$1006,0)), HYPERLINK("#",""), HYPERLINK(CONCATENATE("#Metadata!", ADDRESS(INDEX($X$2:$X$1001,MATCH(ROWS($V$2:V305),$V$2:$V$1001,0),0), INDEX($AC$1004:$AS$1004,1,MATCH(COLUMNS($AC$1006:AE1006),$AC$1006:$AS$1006,0)))),"Fix")))</f>
        <v>0</v>
      </c>
      <c r="E305" s="5">
        <f>IF(OR(INDEX($W$2:$W$1001,MATCH(ROWS($V$2:V305),$V$2:$V$1001,0),1)&gt;=100000,INDEX($AC$1005:$AS$1005,1,MATCH(COLUMNS($AC$1006:AF1006),$AC$1006:$AS$1006,0))&gt;=100000), " ",IF(INDEX($AC$2:$AS$1001,MATCH(ROWS($V$2:V305),$V$2:$V$1001,0),MATCH(COLUMNS($AC$1006:AF1006),$AC$1006:$AS$1006,0)), HYPERLINK("#",""), HYPERLINK(CONCATENATE("#Metadata!", ADDRESS(INDEX($X$2:$X$1001,MATCH(ROWS($V$2:V305),$V$2:$V$1001,0),0), INDEX($AC$1004:$AS$1004,1,MATCH(COLUMNS($AC$1006:AF1006),$AC$1006:$AS$1006,0)))),"Fix")))</f>
        <v>0</v>
      </c>
      <c r="F305" s="5">
        <f>IF(OR(INDEX($W$2:$W$1001,MATCH(ROWS($V$2:V305),$V$2:$V$1001,0),1)&gt;=100000,INDEX($AC$1005:$AS$1005,1,MATCH(COLUMNS($AC$1006:AG1006),$AC$1006:$AS$1006,0))&gt;=100000), " ",IF(INDEX($AC$2:$AS$1001,MATCH(ROWS($V$2:V305),$V$2:$V$1001,0),MATCH(COLUMNS($AC$1006:AG1006),$AC$1006:$AS$1006,0)), HYPERLINK("#",""), HYPERLINK(CONCATENATE("#Metadata!", ADDRESS(INDEX($X$2:$X$1001,MATCH(ROWS($V$2:V305),$V$2:$V$1001,0),0), INDEX($AC$1004:$AS$1004,1,MATCH(COLUMNS($AC$1006:AG1006),$AC$1006:$AS$1006,0)))),"Fix")))</f>
        <v>0</v>
      </c>
      <c r="G305" s="5">
        <f>IF(OR(INDEX($W$2:$W$1001,MATCH(ROWS($V$2:V305),$V$2:$V$1001,0),1)&gt;=100000,INDEX($AC$1005:$AS$1005,1,MATCH(COLUMNS($AC$1006:AH1006),$AC$1006:$AS$1006,0))&gt;=100000), " ",IF(INDEX($AC$2:$AS$1001,MATCH(ROWS($V$2:V305),$V$2:$V$1001,0),MATCH(COLUMNS($AC$1006:AH1006),$AC$1006:$AS$1006,0)), HYPERLINK("#",""), HYPERLINK(CONCATENATE("#Metadata!", ADDRESS(INDEX($X$2:$X$1001,MATCH(ROWS($V$2:V305),$V$2:$V$1001,0),0), INDEX($AC$1004:$AS$1004,1,MATCH(COLUMNS($AC$1006:AH1006),$AC$1006:$AS$1006,0)))),"Fix")))</f>
        <v>0</v>
      </c>
      <c r="H305" s="5">
        <f>IF(OR(INDEX($W$2:$W$1001,MATCH(ROWS($V$2:V305),$V$2:$V$1001,0),1)&gt;=100000,INDEX($AC$1005:$AS$1005,1,MATCH(COLUMNS($AC$1006:AI1006),$AC$1006:$AS$1006,0))&gt;=100000), " ",IF(INDEX($AC$2:$AS$1001,MATCH(ROWS($V$2:V305),$V$2:$V$1001,0),MATCH(COLUMNS($AC$1006:AI1006),$AC$1006:$AS$1006,0)), HYPERLINK("#",""), HYPERLINK(CONCATENATE("#Metadata!", ADDRESS(INDEX($X$2:$X$1001,MATCH(ROWS($V$2:V305),$V$2:$V$1001,0),0), INDEX($AC$1004:$AS$1004,1,MATCH(COLUMNS($AC$1006:AI1006),$AC$1006:$AS$1006,0)))),"Fix")))</f>
        <v>0</v>
      </c>
      <c r="I305" s="5">
        <f>IF(OR(INDEX($W$2:$W$1001,MATCH(ROWS($V$2:V305),$V$2:$V$1001,0),1)&gt;=100000,INDEX($AC$1005:$AS$1005,1,MATCH(COLUMNS($AC$1006:AJ1006),$AC$1006:$AS$1006,0))&gt;=100000), " ",IF(INDEX($AC$2:$AS$1001,MATCH(ROWS($V$2:V305),$V$2:$V$1001,0),MATCH(COLUMNS($AC$1006:AJ1006),$AC$1006:$AS$1006,0)), HYPERLINK("#",""), HYPERLINK(CONCATENATE("#Metadata!", ADDRESS(INDEX($X$2:$X$1001,MATCH(ROWS($V$2:V305),$V$2:$V$1001,0),0), INDEX($AC$1004:$AS$1004,1,MATCH(COLUMNS($AC$1006:AJ1006),$AC$1006:$AS$1006,0)))),"Fix")))</f>
        <v>0</v>
      </c>
      <c r="J305" s="5">
        <f>IF(OR(INDEX($W$2:$W$1001,MATCH(ROWS($V$2:V305),$V$2:$V$1001,0),1)&gt;=100000,INDEX($AC$1005:$AS$1005,1,MATCH(COLUMNS($AC$1006:AK1006),$AC$1006:$AS$1006,0))&gt;=100000), " ",IF(INDEX($AC$2:$AS$1001,MATCH(ROWS($V$2:V305),$V$2:$V$1001,0),MATCH(COLUMNS($AC$1006:AK1006),$AC$1006:$AS$1006,0)), HYPERLINK("#",""), HYPERLINK(CONCATENATE("#Metadata!", ADDRESS(INDEX($X$2:$X$1001,MATCH(ROWS($V$2:V305),$V$2:$V$1001,0),0), INDEX($AC$1004:$AS$1004,1,MATCH(COLUMNS($AC$1006:AK1006),$AC$1006:$AS$1006,0)))),"Fix")))</f>
        <v>0</v>
      </c>
      <c r="K305" s="5">
        <f>IF(OR(INDEX($W$2:$W$1001,MATCH(ROWS($V$2:V305),$V$2:$V$1001,0),1)&gt;=100000,INDEX($AC$1005:$AS$1005,1,MATCH(COLUMNS($AC$1006:AL1006),$AC$1006:$AS$1006,0))&gt;=100000), " ",IF(INDEX($AC$2:$AS$1001,MATCH(ROWS($V$2:V305),$V$2:$V$1001,0),MATCH(COLUMNS($AC$1006:AL1006),$AC$1006:$AS$1006,0)), HYPERLINK("#",""), HYPERLINK(CONCATENATE("#Metadata!", ADDRESS(INDEX($X$2:$X$1001,MATCH(ROWS($V$2:V305),$V$2:$V$1001,0),0), INDEX($AC$1004:$AS$1004,1,MATCH(COLUMNS($AC$1006:AL1006),$AC$1006:$AS$1006,0)))),"Fix")))</f>
        <v>0</v>
      </c>
      <c r="L305" s="5">
        <f>IF(OR(INDEX($W$2:$W$1001,MATCH(ROWS($V$2:V305),$V$2:$V$1001,0),1)&gt;=100000,INDEX($AC$1005:$AS$1005,1,MATCH(COLUMNS($AC$1006:AM1006),$AC$1006:$AS$1006,0))&gt;=100000), " ",IF(INDEX($AC$2:$AS$1001,MATCH(ROWS($V$2:V305),$V$2:$V$1001,0),MATCH(COLUMNS($AC$1006:AM1006),$AC$1006:$AS$1006,0)), HYPERLINK("#",""), HYPERLINK(CONCATENATE("#Metadata!", ADDRESS(INDEX($X$2:$X$1001,MATCH(ROWS($V$2:V305),$V$2:$V$1001,0),0), INDEX($AC$1004:$AS$1004,1,MATCH(COLUMNS($AC$1006:AM1006),$AC$1006:$AS$1006,0)))),"Fix")))</f>
        <v>0</v>
      </c>
      <c r="M305" s="5">
        <f>IF(OR(INDEX($W$2:$W$1001,MATCH(ROWS($V$2:V305),$V$2:$V$1001,0),1)&gt;=100000,INDEX($AC$1005:$AS$1005,1,MATCH(COLUMNS($AC$1006:AN1006),$AC$1006:$AS$1006,0))&gt;=100000), " ",IF(INDEX($AC$2:$AS$1001,MATCH(ROWS($V$2:V305),$V$2:$V$1001,0),MATCH(COLUMNS($AC$1006:AN1006),$AC$1006:$AS$1006,0)), HYPERLINK("#",""), HYPERLINK(CONCATENATE("#Metadata!", ADDRESS(INDEX($X$2:$X$1001,MATCH(ROWS($V$2:V305),$V$2:$V$1001,0),0), INDEX($AC$1004:$AS$1004,1,MATCH(COLUMNS($AC$1006:AN1006),$AC$1006:$AS$1006,0)))),"Fix")))</f>
        <v>0</v>
      </c>
      <c r="N305" s="5">
        <f>IF(OR(INDEX($W$2:$W$1001,MATCH(ROWS($V$2:V305),$V$2:$V$1001,0),1)&gt;=100000,INDEX($AC$1005:$AS$1005,1,MATCH(COLUMNS($AC$1006:AO1006),$AC$1006:$AS$1006,0))&gt;=100000), " ",IF(INDEX($AC$2:$AS$1001,MATCH(ROWS($V$2:V305),$V$2:$V$1001,0),MATCH(COLUMNS($AC$1006:AO1006),$AC$1006:$AS$1006,0)), HYPERLINK("#",""), HYPERLINK(CONCATENATE("#Metadata!", ADDRESS(INDEX($X$2:$X$1001,MATCH(ROWS($V$2:V305),$V$2:$V$1001,0),0), INDEX($AC$1004:$AS$1004,1,MATCH(COLUMNS($AC$1006:AO1006),$AC$1006:$AS$1006,0)))),"Fix")))</f>
        <v>0</v>
      </c>
      <c r="O305" s="5">
        <f>IF(OR(INDEX($W$2:$W$1001,MATCH(ROWS($V$2:V305),$V$2:$V$1001,0),1)&gt;=100000,INDEX($AC$1005:$AS$1005,1,MATCH(COLUMNS($AC$1006:AP1006),$AC$1006:$AS$1006,0))&gt;=100000), " ",IF(INDEX($AC$2:$AS$1001,MATCH(ROWS($V$2:V305),$V$2:$V$1001,0),MATCH(COLUMNS($AC$1006:AP1006),$AC$1006:$AS$1006,0)), HYPERLINK("#",""), HYPERLINK(CONCATENATE("#Metadata!", ADDRESS(INDEX($X$2:$X$1001,MATCH(ROWS($V$2:V305),$V$2:$V$1001,0),0), INDEX($AC$1004:$AS$1004,1,MATCH(COLUMNS($AC$1006:AP1006),$AC$1006:$AS$1006,0)))),"Fix")))</f>
        <v>0</v>
      </c>
      <c r="P305" s="5">
        <f>IF(OR(INDEX($W$2:$W$1001,MATCH(ROWS($V$2:V305),$V$2:$V$1001,0),1)&gt;=100000,INDEX($AC$1005:$AS$1005,1,MATCH(COLUMNS($AC$1006:AQ1006),$AC$1006:$AS$1006,0))&gt;=100000), " ",IF(INDEX($AC$2:$AS$1001,MATCH(ROWS($V$2:V305),$V$2:$V$1001,0),MATCH(COLUMNS($AC$1006:AQ1006),$AC$1006:$AS$1006,0)), HYPERLINK("#",""), HYPERLINK(CONCATENATE("#Metadata!", ADDRESS(INDEX($X$2:$X$1001,MATCH(ROWS($V$2:V305),$V$2:$V$1001,0),0), INDEX($AC$1004:$AS$1004,1,MATCH(COLUMNS($AC$1006:AQ1006),$AC$1006:$AS$1006,0)))),"Fix")))</f>
        <v>0</v>
      </c>
      <c r="Q305" s="5">
        <f>IF(OR(INDEX($W$2:$W$1001,MATCH(ROWS($V$2:V305),$V$2:$V$1001,0),1)&gt;=100000,INDEX($AC$1005:$AS$1005,1,MATCH(COLUMNS($AC$1006:AR1006),$AC$1006:$AS$1006,0))&gt;=100000), " ",IF(INDEX($AC$2:$AS$1001,MATCH(ROWS($V$2:V305),$V$2:$V$1001,0),MATCH(COLUMNS($AC$1006:AR1006),$AC$1006:$AS$1006,0)), HYPERLINK("#",""), HYPERLINK(CONCATENATE("#Metadata!", ADDRESS(INDEX($X$2:$X$1001,MATCH(ROWS($V$2:V305),$V$2:$V$1001,0),0), INDEX($AC$1004:$AS$1004,1,MATCH(COLUMNS($AC$1006:AR1006),$AC$1006:$AS$1006,0)))),"Fix")))</f>
        <v>0</v>
      </c>
      <c r="R305" s="5">
        <f>IF(OR(INDEX($W$2:$W$1001,MATCH(ROWS($V$2:V305),$V$2:$V$1001,0),1)&gt;=100000,INDEX($AC$1005:$AS$1005,1,MATCH(COLUMNS($AC$1006:AS1006),$AC$1006:$AS$1006,0))&gt;=100000), " ",IF(INDEX($AC$2:$AS$1001,MATCH(ROWS($V$2:V305),$V$2:$V$1001,0),MATCH(COLUMNS($AC$1006:AS1006),$AC$1006:$AS$1006,0)), HYPERLINK("#",""), HYPERLINK(CONCATENATE("#Metadata!", ADDRESS(INDEX($X$2:$X$1001,MATCH(ROWS($V$2:V305),$V$2:$V$1001,0),0), INDEX($AC$1004:$AS$1004,1,MATCH(COLUMNS($AC$1006:AS1006),$AC$1006:$AS$1006,0)))),"Fix")))</f>
        <v>0</v>
      </c>
      <c r="V305">
        <v>0</v>
      </c>
      <c r="W305">
        <v>0</v>
      </c>
      <c r="X305">
        <v>0</v>
      </c>
      <c r="Y305">
        <f>IF(Z305,TRUE,AND(AC305:AS305))</f>
        <v>0</v>
      </c>
      <c r="Z305">
        <f>COUNTBLANK(Metadata!B305:R305)=COLUMNS(Metadata!B305:R305)</f>
        <v>0</v>
      </c>
      <c r="AA305">
        <v>0</v>
      </c>
      <c r="AC305">
        <f>AND(IF(Metadata!B305="",FALSE,TRUE),COUNTIF(Metadata!B:B, Metadata!B305) = 1,NOT(ISERROR(SUMPRODUCT(SEARCH(MID(Metadata!B305,ROW(INDIRECT("1:"&amp;LEN(Metadata!B305))), 1),"0123456789abcdefghijklmnopqrstuvwxyzABCDEFGHIJKLMNOPQRSTUVWXYZ.")))))</f>
        <v>0</v>
      </c>
      <c r="AD305">
        <f>AND(IF(Metadata!C305="",FALSE,TRUE),exact(Metadata!C305,"Host-associated"))</f>
        <v>0</v>
      </c>
      <c r="AE305">
        <f>AND(IF(Metadata!D305="",FALSE,TRUE),OR(exact(Metadata!D305,"Animal"),exact(Metadata!D305,"Fungus"),exact(Metadata!D305,"Plant")))</f>
        <v>0</v>
      </c>
      <c r="AF305">
        <f>AND(IF(Metadata!E305="",FALSE,TRUE),OR(exact(Metadata!E305,"Plant secretion"),exact(Metadata!E305,"Plant rhizosphere"),exact(Metadata!E305,"Plant surface"),exact(Metadata!E305,"Plant corpus"),exact(Metadata!E305,"Fungus surface"),exact(Metadata!E305,"Fungus corpus"),exact(Metadata!E305,"Animal surface"),exact(Metadata!E305,"Animal proximal gut"),exact(Metadata!E305,"Animal corpus"),exact(Metadata!E305,"Animal distal gut"),exact(Metadata!E305,"Animal secretion")))</f>
        <v>0</v>
      </c>
      <c r="AG305">
        <f>OR(AND(IF(Metadata!F305="",FALSE,TRUE),OR(exact(Metadata!F305,"not collected"),exact(Metadata!F305,"not provided"),exact(Metadata!F305,"restricted access"))),AND(IF(Metadata!F305="",FALSE,TRUE),OR(exact(Metadata!F305,"organism-associated habitat"),exact(Metadata!F305,"plant-associated habitat"),exact(Metadata!F305,"animal-associated habitat"),exact(Metadata!F305,"insecta-associated habitat"),exact(Metadata!F305,"mammalia-associated habitat"),exact(Metadata!F305,"human-associated habitat"),exact(Metadata!F305,"livestock-associated habitat"))))</f>
        <v>0</v>
      </c>
      <c r="AH305">
        <f>AND(IF(Metadata!G305="",FALSE,TRUE),exact(Metadata!G305,"host-associated"))</f>
        <v>0</v>
      </c>
      <c r="AI305">
        <f>OR(AND(IF(Metadata!H305="",FALSE,TRUE),OR(exact(Metadata!H305,"not collected"),exact(Metadata!H305,"not provided"))),AND(IF(Metadata!H305="",FALSE,ISNUMBER(VALUE(Metadata!H305))),Metadata!H305&gt;0))</f>
        <v>0</v>
      </c>
      <c r="AJ305">
        <f>AND(IF(Metadata!I305="",FALSE,TRUE),exact(Metadata!I305,"years"))</f>
        <v>0</v>
      </c>
      <c r="AK305">
        <f>IF(Metadata!J305="",FALSE,TRUE)</f>
        <v>0</v>
      </c>
      <c r="AL305">
        <f>OR(AND(IF(Metadata!K305="",FALSE,TRUE),OR(exact(Metadata!K305,"not collected"),exact(Metadata!K305,"not provided"))),AND(IF(Metadata!K305="",FALSE,ISNUMBER(VALUE(Metadata!K305))),Metadata!K305&gt;0))</f>
        <v>0</v>
      </c>
      <c r="AM305">
        <f>AND(IF(Metadata!L305="",FALSE,TRUE),exact(Metadata!L305,"cm"))</f>
        <v>0</v>
      </c>
      <c r="AN305">
        <f>IF(Metadata!M305="",FALSE,TRUE)</f>
        <v>0</v>
      </c>
      <c r="AO305">
        <f>OR(AND(IF(Metadata!N305="",FALSE,TRUE),OR(exact(Metadata!N305,"not applicable"),exact(Metadata!N305,"not collected"),exact(Metadata!N305,"not provided"))),AND(IF(Metadata!N305="",FALSE,IF(ISERROR(INT(Metadata!N305)),FALSE,INT(Metadata!N305)=Metadata!N305)),Metadata!N305&gt;0))</f>
        <v>0</v>
      </c>
      <c r="AP305">
        <f>OR(AND(IF(Metadata!O305="",FALSE,TRUE),OR(exact(Metadata!O305,"not collected"),exact(Metadata!O305,"not provided"))),AND(IF(Metadata!O305="",FALSE,ISNUMBER(VALUE(Metadata!O305))),Metadata!O305&gt;0))</f>
        <v>0</v>
      </c>
      <c r="AQ305">
        <f>AND(IF(Metadata!P305="",FALSE,TRUE),exact(Metadata!P305,"kg"))</f>
        <v>0</v>
      </c>
      <c r="AR305">
        <f>OR(AND(IF(Metadata!Q305="",FALSE,TRUE),OR(exact(Metadata!Q305,"not applicable"),exact(Metadata!Q305,"not collected"),exact(Metadata!Q305,"not provided"),exact(Metadata!Q305,"restricted access"))),IF(Metadata!Q305="",FALSE,IF(ISERROR(INT(Metadata!Q305)),FALSE,INT(Metadata!Q305)=Metadata!Q305)))</f>
        <v>0</v>
      </c>
      <c r="AS305">
        <f>AND(IF(Metadata!R305="",FALSE,TRUE),exact(Metadata!R305,"Not applicable"))</f>
        <v>0</v>
      </c>
    </row>
    <row r="306" spans="1:45">
      <c r="A306" s="4">
        <f>IF(B306=" "," ",HYPERLINK(CONCATENATE("#metadata!",ADDRESS(INDEX($X$2:$X$1001,MATCH(ROWS($V$2:V306),$V$2:$V$1001,0),0),2)),INDEX($AA$2:$AA$1001,MATCH(ROWS($V$2:V306),$V$2:$V$1001,0),0)))</f>
        <v>0</v>
      </c>
      <c r="B306" s="5">
        <f>IF(OR(INDEX($W$2:$W$1001,MATCH(ROWS($V$2:V306),$V$2:$V$1001,0),1)&gt;=100000,INDEX($AC$1005:$AS$1005,1,MATCH(COLUMNS($AC$1006:AC1006),$AC$1006:$AS$1006,0))&gt;=100000), " ",IF(INDEX($AC$2:$AS$1001,MATCH(ROWS($V$2:V306),$V$2:$V$1001,0),MATCH(COLUMNS($AC$1006:AC1006),$AC$1006:$AS$1006,0)), HYPERLINK("#",""), HYPERLINK(CONCATENATE("#Metadata!", ADDRESS(INDEX($X$2:$X$1001,MATCH(ROWS($V$2:V306),$V$2:$V$1001,0),0), INDEX($AC$1004:$AS$1004,1,MATCH(COLUMNS($AC$1006:AC1006),$AC$1006:$AS$1006,0)))),"Fix")))</f>
        <v>0</v>
      </c>
      <c r="C306" s="5">
        <f>IF(OR(INDEX($W$2:$W$1001,MATCH(ROWS($V$2:V306),$V$2:$V$1001,0),1)&gt;=100000,INDEX($AC$1005:$AS$1005,1,MATCH(COLUMNS($AC$1006:AD1006),$AC$1006:$AS$1006,0))&gt;=100000), " ",IF(INDEX($AC$2:$AS$1001,MATCH(ROWS($V$2:V306),$V$2:$V$1001,0),MATCH(COLUMNS($AC$1006:AD1006),$AC$1006:$AS$1006,0)), HYPERLINK("#",""), HYPERLINK(CONCATENATE("#Metadata!", ADDRESS(INDEX($X$2:$X$1001,MATCH(ROWS($V$2:V306),$V$2:$V$1001,0),0), INDEX($AC$1004:$AS$1004,1,MATCH(COLUMNS($AC$1006:AD1006),$AC$1006:$AS$1006,0)))),"Fix")))</f>
        <v>0</v>
      </c>
      <c r="D306" s="5">
        <f>IF(OR(INDEX($W$2:$W$1001,MATCH(ROWS($V$2:V306),$V$2:$V$1001,0),1)&gt;=100000,INDEX($AC$1005:$AS$1005,1,MATCH(COLUMNS($AC$1006:AE1006),$AC$1006:$AS$1006,0))&gt;=100000), " ",IF(INDEX($AC$2:$AS$1001,MATCH(ROWS($V$2:V306),$V$2:$V$1001,0),MATCH(COLUMNS($AC$1006:AE1006),$AC$1006:$AS$1006,0)), HYPERLINK("#",""), HYPERLINK(CONCATENATE("#Metadata!", ADDRESS(INDEX($X$2:$X$1001,MATCH(ROWS($V$2:V306),$V$2:$V$1001,0),0), INDEX($AC$1004:$AS$1004,1,MATCH(COLUMNS($AC$1006:AE1006),$AC$1006:$AS$1006,0)))),"Fix")))</f>
        <v>0</v>
      </c>
      <c r="E306" s="5">
        <f>IF(OR(INDEX($W$2:$W$1001,MATCH(ROWS($V$2:V306),$V$2:$V$1001,0),1)&gt;=100000,INDEX($AC$1005:$AS$1005,1,MATCH(COLUMNS($AC$1006:AF1006),$AC$1006:$AS$1006,0))&gt;=100000), " ",IF(INDEX($AC$2:$AS$1001,MATCH(ROWS($V$2:V306),$V$2:$V$1001,0),MATCH(COLUMNS($AC$1006:AF1006),$AC$1006:$AS$1006,0)), HYPERLINK("#",""), HYPERLINK(CONCATENATE("#Metadata!", ADDRESS(INDEX($X$2:$X$1001,MATCH(ROWS($V$2:V306),$V$2:$V$1001,0),0), INDEX($AC$1004:$AS$1004,1,MATCH(COLUMNS($AC$1006:AF1006),$AC$1006:$AS$1006,0)))),"Fix")))</f>
        <v>0</v>
      </c>
      <c r="F306" s="5">
        <f>IF(OR(INDEX($W$2:$W$1001,MATCH(ROWS($V$2:V306),$V$2:$V$1001,0),1)&gt;=100000,INDEX($AC$1005:$AS$1005,1,MATCH(COLUMNS($AC$1006:AG1006),$AC$1006:$AS$1006,0))&gt;=100000), " ",IF(INDEX($AC$2:$AS$1001,MATCH(ROWS($V$2:V306),$V$2:$V$1001,0),MATCH(COLUMNS($AC$1006:AG1006),$AC$1006:$AS$1006,0)), HYPERLINK("#",""), HYPERLINK(CONCATENATE("#Metadata!", ADDRESS(INDEX($X$2:$X$1001,MATCH(ROWS($V$2:V306),$V$2:$V$1001,0),0), INDEX($AC$1004:$AS$1004,1,MATCH(COLUMNS($AC$1006:AG1006),$AC$1006:$AS$1006,0)))),"Fix")))</f>
        <v>0</v>
      </c>
      <c r="G306" s="5">
        <f>IF(OR(INDEX($W$2:$W$1001,MATCH(ROWS($V$2:V306),$V$2:$V$1001,0),1)&gt;=100000,INDEX($AC$1005:$AS$1005,1,MATCH(COLUMNS($AC$1006:AH1006),$AC$1006:$AS$1006,0))&gt;=100000), " ",IF(INDEX($AC$2:$AS$1001,MATCH(ROWS($V$2:V306),$V$2:$V$1001,0),MATCH(COLUMNS($AC$1006:AH1006),$AC$1006:$AS$1006,0)), HYPERLINK("#",""), HYPERLINK(CONCATENATE("#Metadata!", ADDRESS(INDEX($X$2:$X$1001,MATCH(ROWS($V$2:V306),$V$2:$V$1001,0),0), INDEX($AC$1004:$AS$1004,1,MATCH(COLUMNS($AC$1006:AH1006),$AC$1006:$AS$1006,0)))),"Fix")))</f>
        <v>0</v>
      </c>
      <c r="H306" s="5">
        <f>IF(OR(INDEX($W$2:$W$1001,MATCH(ROWS($V$2:V306),$V$2:$V$1001,0),1)&gt;=100000,INDEX($AC$1005:$AS$1005,1,MATCH(COLUMNS($AC$1006:AI1006),$AC$1006:$AS$1006,0))&gt;=100000), " ",IF(INDEX($AC$2:$AS$1001,MATCH(ROWS($V$2:V306),$V$2:$V$1001,0),MATCH(COLUMNS($AC$1006:AI1006),$AC$1006:$AS$1006,0)), HYPERLINK("#",""), HYPERLINK(CONCATENATE("#Metadata!", ADDRESS(INDEX($X$2:$X$1001,MATCH(ROWS($V$2:V306),$V$2:$V$1001,0),0), INDEX($AC$1004:$AS$1004,1,MATCH(COLUMNS($AC$1006:AI1006),$AC$1006:$AS$1006,0)))),"Fix")))</f>
        <v>0</v>
      </c>
      <c r="I306" s="5">
        <f>IF(OR(INDEX($W$2:$W$1001,MATCH(ROWS($V$2:V306),$V$2:$V$1001,0),1)&gt;=100000,INDEX($AC$1005:$AS$1005,1,MATCH(COLUMNS($AC$1006:AJ1006),$AC$1006:$AS$1006,0))&gt;=100000), " ",IF(INDEX($AC$2:$AS$1001,MATCH(ROWS($V$2:V306),$V$2:$V$1001,0),MATCH(COLUMNS($AC$1006:AJ1006),$AC$1006:$AS$1006,0)), HYPERLINK("#",""), HYPERLINK(CONCATENATE("#Metadata!", ADDRESS(INDEX($X$2:$X$1001,MATCH(ROWS($V$2:V306),$V$2:$V$1001,0),0), INDEX($AC$1004:$AS$1004,1,MATCH(COLUMNS($AC$1006:AJ1006),$AC$1006:$AS$1006,0)))),"Fix")))</f>
        <v>0</v>
      </c>
      <c r="J306" s="5">
        <f>IF(OR(INDEX($W$2:$W$1001,MATCH(ROWS($V$2:V306),$V$2:$V$1001,0),1)&gt;=100000,INDEX($AC$1005:$AS$1005,1,MATCH(COLUMNS($AC$1006:AK1006),$AC$1006:$AS$1006,0))&gt;=100000), " ",IF(INDEX($AC$2:$AS$1001,MATCH(ROWS($V$2:V306),$V$2:$V$1001,0),MATCH(COLUMNS($AC$1006:AK1006),$AC$1006:$AS$1006,0)), HYPERLINK("#",""), HYPERLINK(CONCATENATE("#Metadata!", ADDRESS(INDEX($X$2:$X$1001,MATCH(ROWS($V$2:V306),$V$2:$V$1001,0),0), INDEX($AC$1004:$AS$1004,1,MATCH(COLUMNS($AC$1006:AK1006),$AC$1006:$AS$1006,0)))),"Fix")))</f>
        <v>0</v>
      </c>
      <c r="K306" s="5">
        <f>IF(OR(INDEX($W$2:$W$1001,MATCH(ROWS($V$2:V306),$V$2:$V$1001,0),1)&gt;=100000,INDEX($AC$1005:$AS$1005,1,MATCH(COLUMNS($AC$1006:AL1006),$AC$1006:$AS$1006,0))&gt;=100000), " ",IF(INDEX($AC$2:$AS$1001,MATCH(ROWS($V$2:V306),$V$2:$V$1001,0),MATCH(COLUMNS($AC$1006:AL1006),$AC$1006:$AS$1006,0)), HYPERLINK("#",""), HYPERLINK(CONCATENATE("#Metadata!", ADDRESS(INDEX($X$2:$X$1001,MATCH(ROWS($V$2:V306),$V$2:$V$1001,0),0), INDEX($AC$1004:$AS$1004,1,MATCH(COLUMNS($AC$1006:AL1006),$AC$1006:$AS$1006,0)))),"Fix")))</f>
        <v>0</v>
      </c>
      <c r="L306" s="5">
        <f>IF(OR(INDEX($W$2:$W$1001,MATCH(ROWS($V$2:V306),$V$2:$V$1001,0),1)&gt;=100000,INDEX($AC$1005:$AS$1005,1,MATCH(COLUMNS($AC$1006:AM1006),$AC$1006:$AS$1006,0))&gt;=100000), " ",IF(INDEX($AC$2:$AS$1001,MATCH(ROWS($V$2:V306),$V$2:$V$1001,0),MATCH(COLUMNS($AC$1006:AM1006),$AC$1006:$AS$1006,0)), HYPERLINK("#",""), HYPERLINK(CONCATENATE("#Metadata!", ADDRESS(INDEX($X$2:$X$1001,MATCH(ROWS($V$2:V306),$V$2:$V$1001,0),0), INDEX($AC$1004:$AS$1004,1,MATCH(COLUMNS($AC$1006:AM1006),$AC$1006:$AS$1006,0)))),"Fix")))</f>
        <v>0</v>
      </c>
      <c r="M306" s="5">
        <f>IF(OR(INDEX($W$2:$W$1001,MATCH(ROWS($V$2:V306),$V$2:$V$1001,0),1)&gt;=100000,INDEX($AC$1005:$AS$1005,1,MATCH(COLUMNS($AC$1006:AN1006),$AC$1006:$AS$1006,0))&gt;=100000), " ",IF(INDEX($AC$2:$AS$1001,MATCH(ROWS($V$2:V306),$V$2:$V$1001,0),MATCH(COLUMNS($AC$1006:AN1006),$AC$1006:$AS$1006,0)), HYPERLINK("#",""), HYPERLINK(CONCATENATE("#Metadata!", ADDRESS(INDEX($X$2:$X$1001,MATCH(ROWS($V$2:V306),$V$2:$V$1001,0),0), INDEX($AC$1004:$AS$1004,1,MATCH(COLUMNS($AC$1006:AN1006),$AC$1006:$AS$1006,0)))),"Fix")))</f>
        <v>0</v>
      </c>
      <c r="N306" s="5">
        <f>IF(OR(INDEX($W$2:$W$1001,MATCH(ROWS($V$2:V306),$V$2:$V$1001,0),1)&gt;=100000,INDEX($AC$1005:$AS$1005,1,MATCH(COLUMNS($AC$1006:AO1006),$AC$1006:$AS$1006,0))&gt;=100000), " ",IF(INDEX($AC$2:$AS$1001,MATCH(ROWS($V$2:V306),$V$2:$V$1001,0),MATCH(COLUMNS($AC$1006:AO1006),$AC$1006:$AS$1006,0)), HYPERLINK("#",""), HYPERLINK(CONCATENATE("#Metadata!", ADDRESS(INDEX($X$2:$X$1001,MATCH(ROWS($V$2:V306),$V$2:$V$1001,0),0), INDEX($AC$1004:$AS$1004,1,MATCH(COLUMNS($AC$1006:AO1006),$AC$1006:$AS$1006,0)))),"Fix")))</f>
        <v>0</v>
      </c>
      <c r="O306" s="5">
        <f>IF(OR(INDEX($W$2:$W$1001,MATCH(ROWS($V$2:V306),$V$2:$V$1001,0),1)&gt;=100000,INDEX($AC$1005:$AS$1005,1,MATCH(COLUMNS($AC$1006:AP1006),$AC$1006:$AS$1006,0))&gt;=100000), " ",IF(INDEX($AC$2:$AS$1001,MATCH(ROWS($V$2:V306),$V$2:$V$1001,0),MATCH(COLUMNS($AC$1006:AP1006),$AC$1006:$AS$1006,0)), HYPERLINK("#",""), HYPERLINK(CONCATENATE("#Metadata!", ADDRESS(INDEX($X$2:$X$1001,MATCH(ROWS($V$2:V306),$V$2:$V$1001,0),0), INDEX($AC$1004:$AS$1004,1,MATCH(COLUMNS($AC$1006:AP1006),$AC$1006:$AS$1006,0)))),"Fix")))</f>
        <v>0</v>
      </c>
      <c r="P306" s="5">
        <f>IF(OR(INDEX($W$2:$W$1001,MATCH(ROWS($V$2:V306),$V$2:$V$1001,0),1)&gt;=100000,INDEX($AC$1005:$AS$1005,1,MATCH(COLUMNS($AC$1006:AQ1006),$AC$1006:$AS$1006,0))&gt;=100000), " ",IF(INDEX($AC$2:$AS$1001,MATCH(ROWS($V$2:V306),$V$2:$V$1001,0),MATCH(COLUMNS($AC$1006:AQ1006),$AC$1006:$AS$1006,0)), HYPERLINK("#",""), HYPERLINK(CONCATENATE("#Metadata!", ADDRESS(INDEX($X$2:$X$1001,MATCH(ROWS($V$2:V306),$V$2:$V$1001,0),0), INDEX($AC$1004:$AS$1004,1,MATCH(COLUMNS($AC$1006:AQ1006),$AC$1006:$AS$1006,0)))),"Fix")))</f>
        <v>0</v>
      </c>
      <c r="Q306" s="5">
        <f>IF(OR(INDEX($W$2:$W$1001,MATCH(ROWS($V$2:V306),$V$2:$V$1001,0),1)&gt;=100000,INDEX($AC$1005:$AS$1005,1,MATCH(COLUMNS($AC$1006:AR1006),$AC$1006:$AS$1006,0))&gt;=100000), " ",IF(INDEX($AC$2:$AS$1001,MATCH(ROWS($V$2:V306),$V$2:$V$1001,0),MATCH(COLUMNS($AC$1006:AR1006),$AC$1006:$AS$1006,0)), HYPERLINK("#",""), HYPERLINK(CONCATENATE("#Metadata!", ADDRESS(INDEX($X$2:$X$1001,MATCH(ROWS($V$2:V306),$V$2:$V$1001,0),0), INDEX($AC$1004:$AS$1004,1,MATCH(COLUMNS($AC$1006:AR1006),$AC$1006:$AS$1006,0)))),"Fix")))</f>
        <v>0</v>
      </c>
      <c r="R306" s="5">
        <f>IF(OR(INDEX($W$2:$W$1001,MATCH(ROWS($V$2:V306),$V$2:$V$1001,0),1)&gt;=100000,INDEX($AC$1005:$AS$1005,1,MATCH(COLUMNS($AC$1006:AS1006),$AC$1006:$AS$1006,0))&gt;=100000), " ",IF(INDEX($AC$2:$AS$1001,MATCH(ROWS($V$2:V306),$V$2:$V$1001,0),MATCH(COLUMNS($AC$1006:AS1006),$AC$1006:$AS$1006,0)), HYPERLINK("#",""), HYPERLINK(CONCATENATE("#Metadata!", ADDRESS(INDEX($X$2:$X$1001,MATCH(ROWS($V$2:V306),$V$2:$V$1001,0),0), INDEX($AC$1004:$AS$1004,1,MATCH(COLUMNS($AC$1006:AS1006),$AC$1006:$AS$1006,0)))),"Fix")))</f>
        <v>0</v>
      </c>
      <c r="V306">
        <v>0</v>
      </c>
      <c r="W306">
        <v>0</v>
      </c>
      <c r="X306">
        <v>0</v>
      </c>
      <c r="Y306">
        <f>IF(Z306,TRUE,AND(AC306:AS306))</f>
        <v>0</v>
      </c>
      <c r="Z306">
        <f>COUNTBLANK(Metadata!B306:R306)=COLUMNS(Metadata!B306:R306)</f>
        <v>0</v>
      </c>
      <c r="AA306">
        <v>0</v>
      </c>
      <c r="AC306">
        <f>AND(IF(Metadata!B306="",FALSE,TRUE),COUNTIF(Metadata!B:B, Metadata!B306) = 1,NOT(ISERROR(SUMPRODUCT(SEARCH(MID(Metadata!B306,ROW(INDIRECT("1:"&amp;LEN(Metadata!B306))), 1),"0123456789abcdefghijklmnopqrstuvwxyzABCDEFGHIJKLMNOPQRSTUVWXYZ.")))))</f>
        <v>0</v>
      </c>
      <c r="AD306">
        <f>AND(IF(Metadata!C306="",FALSE,TRUE),exact(Metadata!C306,"Host-associated"))</f>
        <v>0</v>
      </c>
      <c r="AE306">
        <f>AND(IF(Metadata!D306="",FALSE,TRUE),OR(exact(Metadata!D306,"Animal"),exact(Metadata!D306,"Fungus"),exact(Metadata!D306,"Plant")))</f>
        <v>0</v>
      </c>
      <c r="AF306">
        <f>AND(IF(Metadata!E306="",FALSE,TRUE),OR(exact(Metadata!E306,"Plant secretion"),exact(Metadata!E306,"Plant rhizosphere"),exact(Metadata!E306,"Plant surface"),exact(Metadata!E306,"Plant corpus"),exact(Metadata!E306,"Fungus surface"),exact(Metadata!E306,"Fungus corpus"),exact(Metadata!E306,"Animal surface"),exact(Metadata!E306,"Animal proximal gut"),exact(Metadata!E306,"Animal corpus"),exact(Metadata!E306,"Animal distal gut"),exact(Metadata!E306,"Animal secretion")))</f>
        <v>0</v>
      </c>
      <c r="AG306">
        <f>OR(AND(IF(Metadata!F306="",FALSE,TRUE),OR(exact(Metadata!F306,"not collected"),exact(Metadata!F306,"not provided"),exact(Metadata!F306,"restricted access"))),AND(IF(Metadata!F306="",FALSE,TRUE),OR(exact(Metadata!F306,"organism-associated habitat"),exact(Metadata!F306,"plant-associated habitat"),exact(Metadata!F306,"animal-associated habitat"),exact(Metadata!F306,"insecta-associated habitat"),exact(Metadata!F306,"mammalia-associated habitat"),exact(Metadata!F306,"human-associated habitat"),exact(Metadata!F306,"livestock-associated habitat"))))</f>
        <v>0</v>
      </c>
      <c r="AH306">
        <f>AND(IF(Metadata!G306="",FALSE,TRUE),exact(Metadata!G306,"host-associated"))</f>
        <v>0</v>
      </c>
      <c r="AI306">
        <f>OR(AND(IF(Metadata!H306="",FALSE,TRUE),OR(exact(Metadata!H306,"not collected"),exact(Metadata!H306,"not provided"))),AND(IF(Metadata!H306="",FALSE,ISNUMBER(VALUE(Metadata!H306))),Metadata!H306&gt;0))</f>
        <v>0</v>
      </c>
      <c r="AJ306">
        <f>AND(IF(Metadata!I306="",FALSE,TRUE),exact(Metadata!I306,"years"))</f>
        <v>0</v>
      </c>
      <c r="AK306">
        <f>IF(Metadata!J306="",FALSE,TRUE)</f>
        <v>0</v>
      </c>
      <c r="AL306">
        <f>OR(AND(IF(Metadata!K306="",FALSE,TRUE),OR(exact(Metadata!K306,"not collected"),exact(Metadata!K306,"not provided"))),AND(IF(Metadata!K306="",FALSE,ISNUMBER(VALUE(Metadata!K306))),Metadata!K306&gt;0))</f>
        <v>0</v>
      </c>
      <c r="AM306">
        <f>AND(IF(Metadata!L306="",FALSE,TRUE),exact(Metadata!L306,"cm"))</f>
        <v>0</v>
      </c>
      <c r="AN306">
        <f>IF(Metadata!M306="",FALSE,TRUE)</f>
        <v>0</v>
      </c>
      <c r="AO306">
        <f>OR(AND(IF(Metadata!N306="",FALSE,TRUE),OR(exact(Metadata!N306,"not applicable"),exact(Metadata!N306,"not collected"),exact(Metadata!N306,"not provided"))),AND(IF(Metadata!N306="",FALSE,IF(ISERROR(INT(Metadata!N306)),FALSE,INT(Metadata!N306)=Metadata!N306)),Metadata!N306&gt;0))</f>
        <v>0</v>
      </c>
      <c r="AP306">
        <f>OR(AND(IF(Metadata!O306="",FALSE,TRUE),OR(exact(Metadata!O306,"not collected"),exact(Metadata!O306,"not provided"))),AND(IF(Metadata!O306="",FALSE,ISNUMBER(VALUE(Metadata!O306))),Metadata!O306&gt;0))</f>
        <v>0</v>
      </c>
      <c r="AQ306">
        <f>AND(IF(Metadata!P306="",FALSE,TRUE),exact(Metadata!P306,"kg"))</f>
        <v>0</v>
      </c>
      <c r="AR306">
        <f>OR(AND(IF(Metadata!Q306="",FALSE,TRUE),OR(exact(Metadata!Q306,"not applicable"),exact(Metadata!Q306,"not collected"),exact(Metadata!Q306,"not provided"),exact(Metadata!Q306,"restricted access"))),IF(Metadata!Q306="",FALSE,IF(ISERROR(INT(Metadata!Q306)),FALSE,INT(Metadata!Q306)=Metadata!Q306)))</f>
        <v>0</v>
      </c>
      <c r="AS306">
        <f>AND(IF(Metadata!R306="",FALSE,TRUE),exact(Metadata!R306,"Not applicable"))</f>
        <v>0</v>
      </c>
    </row>
    <row r="307" spans="1:45">
      <c r="A307" s="4">
        <f>IF(B307=" "," ",HYPERLINK(CONCATENATE("#metadata!",ADDRESS(INDEX($X$2:$X$1001,MATCH(ROWS($V$2:V307),$V$2:$V$1001,0),0),2)),INDEX($AA$2:$AA$1001,MATCH(ROWS($V$2:V307),$V$2:$V$1001,0),0)))</f>
        <v>0</v>
      </c>
      <c r="B307" s="5">
        <f>IF(OR(INDEX($W$2:$W$1001,MATCH(ROWS($V$2:V307),$V$2:$V$1001,0),1)&gt;=100000,INDEX($AC$1005:$AS$1005,1,MATCH(COLUMNS($AC$1006:AC1006),$AC$1006:$AS$1006,0))&gt;=100000), " ",IF(INDEX($AC$2:$AS$1001,MATCH(ROWS($V$2:V307),$V$2:$V$1001,0),MATCH(COLUMNS($AC$1006:AC1006),$AC$1006:$AS$1006,0)), HYPERLINK("#",""), HYPERLINK(CONCATENATE("#Metadata!", ADDRESS(INDEX($X$2:$X$1001,MATCH(ROWS($V$2:V307),$V$2:$V$1001,0),0), INDEX($AC$1004:$AS$1004,1,MATCH(COLUMNS($AC$1006:AC1006),$AC$1006:$AS$1006,0)))),"Fix")))</f>
        <v>0</v>
      </c>
      <c r="C307" s="5">
        <f>IF(OR(INDEX($W$2:$W$1001,MATCH(ROWS($V$2:V307),$V$2:$V$1001,0),1)&gt;=100000,INDEX($AC$1005:$AS$1005,1,MATCH(COLUMNS($AC$1006:AD1006),$AC$1006:$AS$1006,0))&gt;=100000), " ",IF(INDEX($AC$2:$AS$1001,MATCH(ROWS($V$2:V307),$V$2:$V$1001,0),MATCH(COLUMNS($AC$1006:AD1006),$AC$1006:$AS$1006,0)), HYPERLINK("#",""), HYPERLINK(CONCATENATE("#Metadata!", ADDRESS(INDEX($X$2:$X$1001,MATCH(ROWS($V$2:V307),$V$2:$V$1001,0),0), INDEX($AC$1004:$AS$1004,1,MATCH(COLUMNS($AC$1006:AD1006),$AC$1006:$AS$1006,0)))),"Fix")))</f>
        <v>0</v>
      </c>
      <c r="D307" s="5">
        <f>IF(OR(INDEX($W$2:$W$1001,MATCH(ROWS($V$2:V307),$V$2:$V$1001,0),1)&gt;=100000,INDEX($AC$1005:$AS$1005,1,MATCH(COLUMNS($AC$1006:AE1006),$AC$1006:$AS$1006,0))&gt;=100000), " ",IF(INDEX($AC$2:$AS$1001,MATCH(ROWS($V$2:V307),$V$2:$V$1001,0),MATCH(COLUMNS($AC$1006:AE1006),$AC$1006:$AS$1006,0)), HYPERLINK("#",""), HYPERLINK(CONCATENATE("#Metadata!", ADDRESS(INDEX($X$2:$X$1001,MATCH(ROWS($V$2:V307),$V$2:$V$1001,0),0), INDEX($AC$1004:$AS$1004,1,MATCH(COLUMNS($AC$1006:AE1006),$AC$1006:$AS$1006,0)))),"Fix")))</f>
        <v>0</v>
      </c>
      <c r="E307" s="5">
        <f>IF(OR(INDEX($W$2:$W$1001,MATCH(ROWS($V$2:V307),$V$2:$V$1001,0),1)&gt;=100000,INDEX($AC$1005:$AS$1005,1,MATCH(COLUMNS($AC$1006:AF1006),$AC$1006:$AS$1006,0))&gt;=100000), " ",IF(INDEX($AC$2:$AS$1001,MATCH(ROWS($V$2:V307),$V$2:$V$1001,0),MATCH(COLUMNS($AC$1006:AF1006),$AC$1006:$AS$1006,0)), HYPERLINK("#",""), HYPERLINK(CONCATENATE("#Metadata!", ADDRESS(INDEX($X$2:$X$1001,MATCH(ROWS($V$2:V307),$V$2:$V$1001,0),0), INDEX($AC$1004:$AS$1004,1,MATCH(COLUMNS($AC$1006:AF1006),$AC$1006:$AS$1006,0)))),"Fix")))</f>
        <v>0</v>
      </c>
      <c r="F307" s="5">
        <f>IF(OR(INDEX($W$2:$W$1001,MATCH(ROWS($V$2:V307),$V$2:$V$1001,0),1)&gt;=100000,INDEX($AC$1005:$AS$1005,1,MATCH(COLUMNS($AC$1006:AG1006),$AC$1006:$AS$1006,0))&gt;=100000), " ",IF(INDEX($AC$2:$AS$1001,MATCH(ROWS($V$2:V307),$V$2:$V$1001,0),MATCH(COLUMNS($AC$1006:AG1006),$AC$1006:$AS$1006,0)), HYPERLINK("#",""), HYPERLINK(CONCATENATE("#Metadata!", ADDRESS(INDEX($X$2:$X$1001,MATCH(ROWS($V$2:V307),$V$2:$V$1001,0),0), INDEX($AC$1004:$AS$1004,1,MATCH(COLUMNS($AC$1006:AG1006),$AC$1006:$AS$1006,0)))),"Fix")))</f>
        <v>0</v>
      </c>
      <c r="G307" s="5">
        <f>IF(OR(INDEX($W$2:$W$1001,MATCH(ROWS($V$2:V307),$V$2:$V$1001,0),1)&gt;=100000,INDEX($AC$1005:$AS$1005,1,MATCH(COLUMNS($AC$1006:AH1006),$AC$1006:$AS$1006,0))&gt;=100000), " ",IF(INDEX($AC$2:$AS$1001,MATCH(ROWS($V$2:V307),$V$2:$V$1001,0),MATCH(COLUMNS($AC$1006:AH1006),$AC$1006:$AS$1006,0)), HYPERLINK("#",""), HYPERLINK(CONCATENATE("#Metadata!", ADDRESS(INDEX($X$2:$X$1001,MATCH(ROWS($V$2:V307),$V$2:$V$1001,0),0), INDEX($AC$1004:$AS$1004,1,MATCH(COLUMNS($AC$1006:AH1006),$AC$1006:$AS$1006,0)))),"Fix")))</f>
        <v>0</v>
      </c>
      <c r="H307" s="5">
        <f>IF(OR(INDEX($W$2:$W$1001,MATCH(ROWS($V$2:V307),$V$2:$V$1001,0),1)&gt;=100000,INDEX($AC$1005:$AS$1005,1,MATCH(COLUMNS($AC$1006:AI1006),$AC$1006:$AS$1006,0))&gt;=100000), " ",IF(INDEX($AC$2:$AS$1001,MATCH(ROWS($V$2:V307),$V$2:$V$1001,0),MATCH(COLUMNS($AC$1006:AI1006),$AC$1006:$AS$1006,0)), HYPERLINK("#",""), HYPERLINK(CONCATENATE("#Metadata!", ADDRESS(INDEX($X$2:$X$1001,MATCH(ROWS($V$2:V307),$V$2:$V$1001,0),0), INDEX($AC$1004:$AS$1004,1,MATCH(COLUMNS($AC$1006:AI1006),$AC$1006:$AS$1006,0)))),"Fix")))</f>
        <v>0</v>
      </c>
      <c r="I307" s="5">
        <f>IF(OR(INDEX($W$2:$W$1001,MATCH(ROWS($V$2:V307),$V$2:$V$1001,0),1)&gt;=100000,INDEX($AC$1005:$AS$1005,1,MATCH(COLUMNS($AC$1006:AJ1006),$AC$1006:$AS$1006,0))&gt;=100000), " ",IF(INDEX($AC$2:$AS$1001,MATCH(ROWS($V$2:V307),$V$2:$V$1001,0),MATCH(COLUMNS($AC$1006:AJ1006),$AC$1006:$AS$1006,0)), HYPERLINK("#",""), HYPERLINK(CONCATENATE("#Metadata!", ADDRESS(INDEX($X$2:$X$1001,MATCH(ROWS($V$2:V307),$V$2:$V$1001,0),0), INDEX($AC$1004:$AS$1004,1,MATCH(COLUMNS($AC$1006:AJ1006),$AC$1006:$AS$1006,0)))),"Fix")))</f>
        <v>0</v>
      </c>
      <c r="J307" s="5">
        <f>IF(OR(INDEX($W$2:$W$1001,MATCH(ROWS($V$2:V307),$V$2:$V$1001,0),1)&gt;=100000,INDEX($AC$1005:$AS$1005,1,MATCH(COLUMNS($AC$1006:AK1006),$AC$1006:$AS$1006,0))&gt;=100000), " ",IF(INDEX($AC$2:$AS$1001,MATCH(ROWS($V$2:V307),$V$2:$V$1001,0),MATCH(COLUMNS($AC$1006:AK1006),$AC$1006:$AS$1006,0)), HYPERLINK("#",""), HYPERLINK(CONCATENATE("#Metadata!", ADDRESS(INDEX($X$2:$X$1001,MATCH(ROWS($V$2:V307),$V$2:$V$1001,0),0), INDEX($AC$1004:$AS$1004,1,MATCH(COLUMNS($AC$1006:AK1006),$AC$1006:$AS$1006,0)))),"Fix")))</f>
        <v>0</v>
      </c>
      <c r="K307" s="5">
        <f>IF(OR(INDEX($W$2:$W$1001,MATCH(ROWS($V$2:V307),$V$2:$V$1001,0),1)&gt;=100000,INDEX($AC$1005:$AS$1005,1,MATCH(COLUMNS($AC$1006:AL1006),$AC$1006:$AS$1006,0))&gt;=100000), " ",IF(INDEX($AC$2:$AS$1001,MATCH(ROWS($V$2:V307),$V$2:$V$1001,0),MATCH(COLUMNS($AC$1006:AL1006),$AC$1006:$AS$1006,0)), HYPERLINK("#",""), HYPERLINK(CONCATENATE("#Metadata!", ADDRESS(INDEX($X$2:$X$1001,MATCH(ROWS($V$2:V307),$V$2:$V$1001,0),0), INDEX($AC$1004:$AS$1004,1,MATCH(COLUMNS($AC$1006:AL1006),$AC$1006:$AS$1006,0)))),"Fix")))</f>
        <v>0</v>
      </c>
      <c r="L307" s="5">
        <f>IF(OR(INDEX($W$2:$W$1001,MATCH(ROWS($V$2:V307),$V$2:$V$1001,0),1)&gt;=100000,INDEX($AC$1005:$AS$1005,1,MATCH(COLUMNS($AC$1006:AM1006),$AC$1006:$AS$1006,0))&gt;=100000), " ",IF(INDEX($AC$2:$AS$1001,MATCH(ROWS($V$2:V307),$V$2:$V$1001,0),MATCH(COLUMNS($AC$1006:AM1006),$AC$1006:$AS$1006,0)), HYPERLINK("#",""), HYPERLINK(CONCATENATE("#Metadata!", ADDRESS(INDEX($X$2:$X$1001,MATCH(ROWS($V$2:V307),$V$2:$V$1001,0),0), INDEX($AC$1004:$AS$1004,1,MATCH(COLUMNS($AC$1006:AM1006),$AC$1006:$AS$1006,0)))),"Fix")))</f>
        <v>0</v>
      </c>
      <c r="M307" s="5">
        <f>IF(OR(INDEX($W$2:$W$1001,MATCH(ROWS($V$2:V307),$V$2:$V$1001,0),1)&gt;=100000,INDEX($AC$1005:$AS$1005,1,MATCH(COLUMNS($AC$1006:AN1006),$AC$1006:$AS$1006,0))&gt;=100000), " ",IF(INDEX($AC$2:$AS$1001,MATCH(ROWS($V$2:V307),$V$2:$V$1001,0),MATCH(COLUMNS($AC$1006:AN1006),$AC$1006:$AS$1006,0)), HYPERLINK("#",""), HYPERLINK(CONCATENATE("#Metadata!", ADDRESS(INDEX($X$2:$X$1001,MATCH(ROWS($V$2:V307),$V$2:$V$1001,0),0), INDEX($AC$1004:$AS$1004,1,MATCH(COLUMNS($AC$1006:AN1006),$AC$1006:$AS$1006,0)))),"Fix")))</f>
        <v>0</v>
      </c>
      <c r="N307" s="5">
        <f>IF(OR(INDEX($W$2:$W$1001,MATCH(ROWS($V$2:V307),$V$2:$V$1001,0),1)&gt;=100000,INDEX($AC$1005:$AS$1005,1,MATCH(COLUMNS($AC$1006:AO1006),$AC$1006:$AS$1006,0))&gt;=100000), " ",IF(INDEX($AC$2:$AS$1001,MATCH(ROWS($V$2:V307),$V$2:$V$1001,0),MATCH(COLUMNS($AC$1006:AO1006),$AC$1006:$AS$1006,0)), HYPERLINK("#",""), HYPERLINK(CONCATENATE("#Metadata!", ADDRESS(INDEX($X$2:$X$1001,MATCH(ROWS($V$2:V307),$V$2:$V$1001,0),0), INDEX($AC$1004:$AS$1004,1,MATCH(COLUMNS($AC$1006:AO1006),$AC$1006:$AS$1006,0)))),"Fix")))</f>
        <v>0</v>
      </c>
      <c r="O307" s="5">
        <f>IF(OR(INDEX($W$2:$W$1001,MATCH(ROWS($V$2:V307),$V$2:$V$1001,0),1)&gt;=100000,INDEX($AC$1005:$AS$1005,1,MATCH(COLUMNS($AC$1006:AP1006),$AC$1006:$AS$1006,0))&gt;=100000), " ",IF(INDEX($AC$2:$AS$1001,MATCH(ROWS($V$2:V307),$V$2:$V$1001,0),MATCH(COLUMNS($AC$1006:AP1006),$AC$1006:$AS$1006,0)), HYPERLINK("#",""), HYPERLINK(CONCATENATE("#Metadata!", ADDRESS(INDEX($X$2:$X$1001,MATCH(ROWS($V$2:V307),$V$2:$V$1001,0),0), INDEX($AC$1004:$AS$1004,1,MATCH(COLUMNS($AC$1006:AP1006),$AC$1006:$AS$1006,0)))),"Fix")))</f>
        <v>0</v>
      </c>
      <c r="P307" s="5">
        <f>IF(OR(INDEX($W$2:$W$1001,MATCH(ROWS($V$2:V307),$V$2:$V$1001,0),1)&gt;=100000,INDEX($AC$1005:$AS$1005,1,MATCH(COLUMNS($AC$1006:AQ1006),$AC$1006:$AS$1006,0))&gt;=100000), " ",IF(INDEX($AC$2:$AS$1001,MATCH(ROWS($V$2:V307),$V$2:$V$1001,0),MATCH(COLUMNS($AC$1006:AQ1006),$AC$1006:$AS$1006,0)), HYPERLINK("#",""), HYPERLINK(CONCATENATE("#Metadata!", ADDRESS(INDEX($X$2:$X$1001,MATCH(ROWS($V$2:V307),$V$2:$V$1001,0),0), INDEX($AC$1004:$AS$1004,1,MATCH(COLUMNS($AC$1006:AQ1006),$AC$1006:$AS$1006,0)))),"Fix")))</f>
        <v>0</v>
      </c>
      <c r="Q307" s="5">
        <f>IF(OR(INDEX($W$2:$W$1001,MATCH(ROWS($V$2:V307),$V$2:$V$1001,0),1)&gt;=100000,INDEX($AC$1005:$AS$1005,1,MATCH(COLUMNS($AC$1006:AR1006),$AC$1006:$AS$1006,0))&gt;=100000), " ",IF(INDEX($AC$2:$AS$1001,MATCH(ROWS($V$2:V307),$V$2:$V$1001,0),MATCH(COLUMNS($AC$1006:AR1006),$AC$1006:$AS$1006,0)), HYPERLINK("#",""), HYPERLINK(CONCATENATE("#Metadata!", ADDRESS(INDEX($X$2:$X$1001,MATCH(ROWS($V$2:V307),$V$2:$V$1001,0),0), INDEX($AC$1004:$AS$1004,1,MATCH(COLUMNS($AC$1006:AR1006),$AC$1006:$AS$1006,0)))),"Fix")))</f>
        <v>0</v>
      </c>
      <c r="R307" s="5">
        <f>IF(OR(INDEX($W$2:$W$1001,MATCH(ROWS($V$2:V307),$V$2:$V$1001,0),1)&gt;=100000,INDEX($AC$1005:$AS$1005,1,MATCH(COLUMNS($AC$1006:AS1006),$AC$1006:$AS$1006,0))&gt;=100000), " ",IF(INDEX($AC$2:$AS$1001,MATCH(ROWS($V$2:V307),$V$2:$V$1001,0),MATCH(COLUMNS($AC$1006:AS1006),$AC$1006:$AS$1006,0)), HYPERLINK("#",""), HYPERLINK(CONCATENATE("#Metadata!", ADDRESS(INDEX($X$2:$X$1001,MATCH(ROWS($V$2:V307),$V$2:$V$1001,0),0), INDEX($AC$1004:$AS$1004,1,MATCH(COLUMNS($AC$1006:AS1006),$AC$1006:$AS$1006,0)))),"Fix")))</f>
        <v>0</v>
      </c>
      <c r="V307">
        <v>0</v>
      </c>
      <c r="W307">
        <v>0</v>
      </c>
      <c r="X307">
        <v>0</v>
      </c>
      <c r="Y307">
        <f>IF(Z307,TRUE,AND(AC307:AS307))</f>
        <v>0</v>
      </c>
      <c r="Z307">
        <f>COUNTBLANK(Metadata!B307:R307)=COLUMNS(Metadata!B307:R307)</f>
        <v>0</v>
      </c>
      <c r="AA307">
        <v>0</v>
      </c>
      <c r="AC307">
        <f>AND(IF(Metadata!B307="",FALSE,TRUE),COUNTIF(Metadata!B:B, Metadata!B307) = 1,NOT(ISERROR(SUMPRODUCT(SEARCH(MID(Metadata!B307,ROW(INDIRECT("1:"&amp;LEN(Metadata!B307))), 1),"0123456789abcdefghijklmnopqrstuvwxyzABCDEFGHIJKLMNOPQRSTUVWXYZ.")))))</f>
        <v>0</v>
      </c>
      <c r="AD307">
        <f>AND(IF(Metadata!C307="",FALSE,TRUE),exact(Metadata!C307,"Host-associated"))</f>
        <v>0</v>
      </c>
      <c r="AE307">
        <f>AND(IF(Metadata!D307="",FALSE,TRUE),OR(exact(Metadata!D307,"Animal"),exact(Metadata!D307,"Fungus"),exact(Metadata!D307,"Plant")))</f>
        <v>0</v>
      </c>
      <c r="AF307">
        <f>AND(IF(Metadata!E307="",FALSE,TRUE),OR(exact(Metadata!E307,"Plant secretion"),exact(Metadata!E307,"Plant rhizosphere"),exact(Metadata!E307,"Plant surface"),exact(Metadata!E307,"Plant corpus"),exact(Metadata!E307,"Fungus surface"),exact(Metadata!E307,"Fungus corpus"),exact(Metadata!E307,"Animal surface"),exact(Metadata!E307,"Animal proximal gut"),exact(Metadata!E307,"Animal corpus"),exact(Metadata!E307,"Animal distal gut"),exact(Metadata!E307,"Animal secretion")))</f>
        <v>0</v>
      </c>
      <c r="AG307">
        <f>OR(AND(IF(Metadata!F307="",FALSE,TRUE),OR(exact(Metadata!F307,"not collected"),exact(Metadata!F307,"not provided"),exact(Metadata!F307,"restricted access"))),AND(IF(Metadata!F307="",FALSE,TRUE),OR(exact(Metadata!F307,"organism-associated habitat"),exact(Metadata!F307,"plant-associated habitat"),exact(Metadata!F307,"animal-associated habitat"),exact(Metadata!F307,"insecta-associated habitat"),exact(Metadata!F307,"mammalia-associated habitat"),exact(Metadata!F307,"human-associated habitat"),exact(Metadata!F307,"livestock-associated habitat"))))</f>
        <v>0</v>
      </c>
      <c r="AH307">
        <f>AND(IF(Metadata!G307="",FALSE,TRUE),exact(Metadata!G307,"host-associated"))</f>
        <v>0</v>
      </c>
      <c r="AI307">
        <f>OR(AND(IF(Metadata!H307="",FALSE,TRUE),OR(exact(Metadata!H307,"not collected"),exact(Metadata!H307,"not provided"))),AND(IF(Metadata!H307="",FALSE,ISNUMBER(VALUE(Metadata!H307))),Metadata!H307&gt;0))</f>
        <v>0</v>
      </c>
      <c r="AJ307">
        <f>AND(IF(Metadata!I307="",FALSE,TRUE),exact(Metadata!I307,"years"))</f>
        <v>0</v>
      </c>
      <c r="AK307">
        <f>IF(Metadata!J307="",FALSE,TRUE)</f>
        <v>0</v>
      </c>
      <c r="AL307">
        <f>OR(AND(IF(Metadata!K307="",FALSE,TRUE),OR(exact(Metadata!K307,"not collected"),exact(Metadata!K307,"not provided"))),AND(IF(Metadata!K307="",FALSE,ISNUMBER(VALUE(Metadata!K307))),Metadata!K307&gt;0))</f>
        <v>0</v>
      </c>
      <c r="AM307">
        <f>AND(IF(Metadata!L307="",FALSE,TRUE),exact(Metadata!L307,"cm"))</f>
        <v>0</v>
      </c>
      <c r="AN307">
        <f>IF(Metadata!M307="",FALSE,TRUE)</f>
        <v>0</v>
      </c>
      <c r="AO307">
        <f>OR(AND(IF(Metadata!N307="",FALSE,TRUE),OR(exact(Metadata!N307,"not applicable"),exact(Metadata!N307,"not collected"),exact(Metadata!N307,"not provided"))),AND(IF(Metadata!N307="",FALSE,IF(ISERROR(INT(Metadata!N307)),FALSE,INT(Metadata!N307)=Metadata!N307)),Metadata!N307&gt;0))</f>
        <v>0</v>
      </c>
      <c r="AP307">
        <f>OR(AND(IF(Metadata!O307="",FALSE,TRUE),OR(exact(Metadata!O307,"not collected"),exact(Metadata!O307,"not provided"))),AND(IF(Metadata!O307="",FALSE,ISNUMBER(VALUE(Metadata!O307))),Metadata!O307&gt;0))</f>
        <v>0</v>
      </c>
      <c r="AQ307">
        <f>AND(IF(Metadata!P307="",FALSE,TRUE),exact(Metadata!P307,"kg"))</f>
        <v>0</v>
      </c>
      <c r="AR307">
        <f>OR(AND(IF(Metadata!Q307="",FALSE,TRUE),OR(exact(Metadata!Q307,"not applicable"),exact(Metadata!Q307,"not collected"),exact(Metadata!Q307,"not provided"),exact(Metadata!Q307,"restricted access"))),IF(Metadata!Q307="",FALSE,IF(ISERROR(INT(Metadata!Q307)),FALSE,INT(Metadata!Q307)=Metadata!Q307)))</f>
        <v>0</v>
      </c>
      <c r="AS307">
        <f>AND(IF(Metadata!R307="",FALSE,TRUE),exact(Metadata!R307,"Not applicable"))</f>
        <v>0</v>
      </c>
    </row>
    <row r="308" spans="1:45">
      <c r="A308" s="4">
        <f>IF(B308=" "," ",HYPERLINK(CONCATENATE("#metadata!",ADDRESS(INDEX($X$2:$X$1001,MATCH(ROWS($V$2:V308),$V$2:$V$1001,0),0),2)),INDEX($AA$2:$AA$1001,MATCH(ROWS($V$2:V308),$V$2:$V$1001,0),0)))</f>
        <v>0</v>
      </c>
      <c r="B308" s="5">
        <f>IF(OR(INDEX($W$2:$W$1001,MATCH(ROWS($V$2:V308),$V$2:$V$1001,0),1)&gt;=100000,INDEX($AC$1005:$AS$1005,1,MATCH(COLUMNS($AC$1006:AC1006),$AC$1006:$AS$1006,0))&gt;=100000), " ",IF(INDEX($AC$2:$AS$1001,MATCH(ROWS($V$2:V308),$V$2:$V$1001,0),MATCH(COLUMNS($AC$1006:AC1006),$AC$1006:$AS$1006,0)), HYPERLINK("#",""), HYPERLINK(CONCATENATE("#Metadata!", ADDRESS(INDEX($X$2:$X$1001,MATCH(ROWS($V$2:V308),$V$2:$V$1001,0),0), INDEX($AC$1004:$AS$1004,1,MATCH(COLUMNS($AC$1006:AC1006),$AC$1006:$AS$1006,0)))),"Fix")))</f>
        <v>0</v>
      </c>
      <c r="C308" s="5">
        <f>IF(OR(INDEX($W$2:$W$1001,MATCH(ROWS($V$2:V308),$V$2:$V$1001,0),1)&gt;=100000,INDEX($AC$1005:$AS$1005,1,MATCH(COLUMNS($AC$1006:AD1006),$AC$1006:$AS$1006,0))&gt;=100000), " ",IF(INDEX($AC$2:$AS$1001,MATCH(ROWS($V$2:V308),$V$2:$V$1001,0),MATCH(COLUMNS($AC$1006:AD1006),$AC$1006:$AS$1006,0)), HYPERLINK("#",""), HYPERLINK(CONCATENATE("#Metadata!", ADDRESS(INDEX($X$2:$X$1001,MATCH(ROWS($V$2:V308),$V$2:$V$1001,0),0), INDEX($AC$1004:$AS$1004,1,MATCH(COLUMNS($AC$1006:AD1006),$AC$1006:$AS$1006,0)))),"Fix")))</f>
        <v>0</v>
      </c>
      <c r="D308" s="5">
        <f>IF(OR(INDEX($W$2:$W$1001,MATCH(ROWS($V$2:V308),$V$2:$V$1001,0),1)&gt;=100000,INDEX($AC$1005:$AS$1005,1,MATCH(COLUMNS($AC$1006:AE1006),$AC$1006:$AS$1006,0))&gt;=100000), " ",IF(INDEX($AC$2:$AS$1001,MATCH(ROWS($V$2:V308),$V$2:$V$1001,0),MATCH(COLUMNS($AC$1006:AE1006),$AC$1006:$AS$1006,0)), HYPERLINK("#",""), HYPERLINK(CONCATENATE("#Metadata!", ADDRESS(INDEX($X$2:$X$1001,MATCH(ROWS($V$2:V308),$V$2:$V$1001,0),0), INDEX($AC$1004:$AS$1004,1,MATCH(COLUMNS($AC$1006:AE1006),$AC$1006:$AS$1006,0)))),"Fix")))</f>
        <v>0</v>
      </c>
      <c r="E308" s="5">
        <f>IF(OR(INDEX($W$2:$W$1001,MATCH(ROWS($V$2:V308),$V$2:$V$1001,0),1)&gt;=100000,INDEX($AC$1005:$AS$1005,1,MATCH(COLUMNS($AC$1006:AF1006),$AC$1006:$AS$1006,0))&gt;=100000), " ",IF(INDEX($AC$2:$AS$1001,MATCH(ROWS($V$2:V308),$V$2:$V$1001,0),MATCH(COLUMNS($AC$1006:AF1006),$AC$1006:$AS$1006,0)), HYPERLINK("#",""), HYPERLINK(CONCATENATE("#Metadata!", ADDRESS(INDEX($X$2:$X$1001,MATCH(ROWS($V$2:V308),$V$2:$V$1001,0),0), INDEX($AC$1004:$AS$1004,1,MATCH(COLUMNS($AC$1006:AF1006),$AC$1006:$AS$1006,0)))),"Fix")))</f>
        <v>0</v>
      </c>
      <c r="F308" s="5">
        <f>IF(OR(INDEX($W$2:$W$1001,MATCH(ROWS($V$2:V308),$V$2:$V$1001,0),1)&gt;=100000,INDEX($AC$1005:$AS$1005,1,MATCH(COLUMNS($AC$1006:AG1006),$AC$1006:$AS$1006,0))&gt;=100000), " ",IF(INDEX($AC$2:$AS$1001,MATCH(ROWS($V$2:V308),$V$2:$V$1001,0),MATCH(COLUMNS($AC$1006:AG1006),$AC$1006:$AS$1006,0)), HYPERLINK("#",""), HYPERLINK(CONCATENATE("#Metadata!", ADDRESS(INDEX($X$2:$X$1001,MATCH(ROWS($V$2:V308),$V$2:$V$1001,0),0), INDEX($AC$1004:$AS$1004,1,MATCH(COLUMNS($AC$1006:AG1006),$AC$1006:$AS$1006,0)))),"Fix")))</f>
        <v>0</v>
      </c>
      <c r="G308" s="5">
        <f>IF(OR(INDEX($W$2:$W$1001,MATCH(ROWS($V$2:V308),$V$2:$V$1001,0),1)&gt;=100000,INDEX($AC$1005:$AS$1005,1,MATCH(COLUMNS($AC$1006:AH1006),$AC$1006:$AS$1006,0))&gt;=100000), " ",IF(INDEX($AC$2:$AS$1001,MATCH(ROWS($V$2:V308),$V$2:$V$1001,0),MATCH(COLUMNS($AC$1006:AH1006),$AC$1006:$AS$1006,0)), HYPERLINK("#",""), HYPERLINK(CONCATENATE("#Metadata!", ADDRESS(INDEX($X$2:$X$1001,MATCH(ROWS($V$2:V308),$V$2:$V$1001,0),0), INDEX($AC$1004:$AS$1004,1,MATCH(COLUMNS($AC$1006:AH1006),$AC$1006:$AS$1006,0)))),"Fix")))</f>
        <v>0</v>
      </c>
      <c r="H308" s="5">
        <f>IF(OR(INDEX($W$2:$W$1001,MATCH(ROWS($V$2:V308),$V$2:$V$1001,0),1)&gt;=100000,INDEX($AC$1005:$AS$1005,1,MATCH(COLUMNS($AC$1006:AI1006),$AC$1006:$AS$1006,0))&gt;=100000), " ",IF(INDEX($AC$2:$AS$1001,MATCH(ROWS($V$2:V308),$V$2:$V$1001,0),MATCH(COLUMNS($AC$1006:AI1006),$AC$1006:$AS$1006,0)), HYPERLINK("#",""), HYPERLINK(CONCATENATE("#Metadata!", ADDRESS(INDEX($X$2:$X$1001,MATCH(ROWS($V$2:V308),$V$2:$V$1001,0),0), INDEX($AC$1004:$AS$1004,1,MATCH(COLUMNS($AC$1006:AI1006),$AC$1006:$AS$1006,0)))),"Fix")))</f>
        <v>0</v>
      </c>
      <c r="I308" s="5">
        <f>IF(OR(INDEX($W$2:$W$1001,MATCH(ROWS($V$2:V308),$V$2:$V$1001,0),1)&gt;=100000,INDEX($AC$1005:$AS$1005,1,MATCH(COLUMNS($AC$1006:AJ1006),$AC$1006:$AS$1006,0))&gt;=100000), " ",IF(INDEX($AC$2:$AS$1001,MATCH(ROWS($V$2:V308),$V$2:$V$1001,0),MATCH(COLUMNS($AC$1006:AJ1006),$AC$1006:$AS$1006,0)), HYPERLINK("#",""), HYPERLINK(CONCATENATE("#Metadata!", ADDRESS(INDEX($X$2:$X$1001,MATCH(ROWS($V$2:V308),$V$2:$V$1001,0),0), INDEX($AC$1004:$AS$1004,1,MATCH(COLUMNS($AC$1006:AJ1006),$AC$1006:$AS$1006,0)))),"Fix")))</f>
        <v>0</v>
      </c>
      <c r="J308" s="5">
        <f>IF(OR(INDEX($W$2:$W$1001,MATCH(ROWS($V$2:V308),$V$2:$V$1001,0),1)&gt;=100000,INDEX($AC$1005:$AS$1005,1,MATCH(COLUMNS($AC$1006:AK1006),$AC$1006:$AS$1006,0))&gt;=100000), " ",IF(INDEX($AC$2:$AS$1001,MATCH(ROWS($V$2:V308),$V$2:$V$1001,0),MATCH(COLUMNS($AC$1006:AK1006),$AC$1006:$AS$1006,0)), HYPERLINK("#",""), HYPERLINK(CONCATENATE("#Metadata!", ADDRESS(INDEX($X$2:$X$1001,MATCH(ROWS($V$2:V308),$V$2:$V$1001,0),0), INDEX($AC$1004:$AS$1004,1,MATCH(COLUMNS($AC$1006:AK1006),$AC$1006:$AS$1006,0)))),"Fix")))</f>
        <v>0</v>
      </c>
      <c r="K308" s="5">
        <f>IF(OR(INDEX($W$2:$W$1001,MATCH(ROWS($V$2:V308),$V$2:$V$1001,0),1)&gt;=100000,INDEX($AC$1005:$AS$1005,1,MATCH(COLUMNS($AC$1006:AL1006),$AC$1006:$AS$1006,0))&gt;=100000), " ",IF(INDEX($AC$2:$AS$1001,MATCH(ROWS($V$2:V308),$V$2:$V$1001,0),MATCH(COLUMNS($AC$1006:AL1006),$AC$1006:$AS$1006,0)), HYPERLINK("#",""), HYPERLINK(CONCATENATE("#Metadata!", ADDRESS(INDEX($X$2:$X$1001,MATCH(ROWS($V$2:V308),$V$2:$V$1001,0),0), INDEX($AC$1004:$AS$1004,1,MATCH(COLUMNS($AC$1006:AL1006),$AC$1006:$AS$1006,0)))),"Fix")))</f>
        <v>0</v>
      </c>
      <c r="L308" s="5">
        <f>IF(OR(INDEX($W$2:$W$1001,MATCH(ROWS($V$2:V308),$V$2:$V$1001,0),1)&gt;=100000,INDEX($AC$1005:$AS$1005,1,MATCH(COLUMNS($AC$1006:AM1006),$AC$1006:$AS$1006,0))&gt;=100000), " ",IF(INDEX($AC$2:$AS$1001,MATCH(ROWS($V$2:V308),$V$2:$V$1001,0),MATCH(COLUMNS($AC$1006:AM1006),$AC$1006:$AS$1006,0)), HYPERLINK("#",""), HYPERLINK(CONCATENATE("#Metadata!", ADDRESS(INDEX($X$2:$X$1001,MATCH(ROWS($V$2:V308),$V$2:$V$1001,0),0), INDEX($AC$1004:$AS$1004,1,MATCH(COLUMNS($AC$1006:AM1006),$AC$1006:$AS$1006,0)))),"Fix")))</f>
        <v>0</v>
      </c>
      <c r="M308" s="5">
        <f>IF(OR(INDEX($W$2:$W$1001,MATCH(ROWS($V$2:V308),$V$2:$V$1001,0),1)&gt;=100000,INDEX($AC$1005:$AS$1005,1,MATCH(COLUMNS($AC$1006:AN1006),$AC$1006:$AS$1006,0))&gt;=100000), " ",IF(INDEX($AC$2:$AS$1001,MATCH(ROWS($V$2:V308),$V$2:$V$1001,0),MATCH(COLUMNS($AC$1006:AN1006),$AC$1006:$AS$1006,0)), HYPERLINK("#",""), HYPERLINK(CONCATENATE("#Metadata!", ADDRESS(INDEX($X$2:$X$1001,MATCH(ROWS($V$2:V308),$V$2:$V$1001,0),0), INDEX($AC$1004:$AS$1004,1,MATCH(COLUMNS($AC$1006:AN1006),$AC$1006:$AS$1006,0)))),"Fix")))</f>
        <v>0</v>
      </c>
      <c r="N308" s="5">
        <f>IF(OR(INDEX($W$2:$W$1001,MATCH(ROWS($V$2:V308),$V$2:$V$1001,0),1)&gt;=100000,INDEX($AC$1005:$AS$1005,1,MATCH(COLUMNS($AC$1006:AO1006),$AC$1006:$AS$1006,0))&gt;=100000), " ",IF(INDEX($AC$2:$AS$1001,MATCH(ROWS($V$2:V308),$V$2:$V$1001,0),MATCH(COLUMNS($AC$1006:AO1006),$AC$1006:$AS$1006,0)), HYPERLINK("#",""), HYPERLINK(CONCATENATE("#Metadata!", ADDRESS(INDEX($X$2:$X$1001,MATCH(ROWS($V$2:V308),$V$2:$V$1001,0),0), INDEX($AC$1004:$AS$1004,1,MATCH(COLUMNS($AC$1006:AO1006),$AC$1006:$AS$1006,0)))),"Fix")))</f>
        <v>0</v>
      </c>
      <c r="O308" s="5">
        <f>IF(OR(INDEX($W$2:$W$1001,MATCH(ROWS($V$2:V308),$V$2:$V$1001,0),1)&gt;=100000,INDEX($AC$1005:$AS$1005,1,MATCH(COLUMNS($AC$1006:AP1006),$AC$1006:$AS$1006,0))&gt;=100000), " ",IF(INDEX($AC$2:$AS$1001,MATCH(ROWS($V$2:V308),$V$2:$V$1001,0),MATCH(COLUMNS($AC$1006:AP1006),$AC$1006:$AS$1006,0)), HYPERLINK("#",""), HYPERLINK(CONCATENATE("#Metadata!", ADDRESS(INDEX($X$2:$X$1001,MATCH(ROWS($V$2:V308),$V$2:$V$1001,0),0), INDEX($AC$1004:$AS$1004,1,MATCH(COLUMNS($AC$1006:AP1006),$AC$1006:$AS$1006,0)))),"Fix")))</f>
        <v>0</v>
      </c>
      <c r="P308" s="5">
        <f>IF(OR(INDEX($W$2:$W$1001,MATCH(ROWS($V$2:V308),$V$2:$V$1001,0),1)&gt;=100000,INDEX($AC$1005:$AS$1005,1,MATCH(COLUMNS($AC$1006:AQ1006),$AC$1006:$AS$1006,0))&gt;=100000), " ",IF(INDEX($AC$2:$AS$1001,MATCH(ROWS($V$2:V308),$V$2:$V$1001,0),MATCH(COLUMNS($AC$1006:AQ1006),$AC$1006:$AS$1006,0)), HYPERLINK("#",""), HYPERLINK(CONCATENATE("#Metadata!", ADDRESS(INDEX($X$2:$X$1001,MATCH(ROWS($V$2:V308),$V$2:$V$1001,0),0), INDEX($AC$1004:$AS$1004,1,MATCH(COLUMNS($AC$1006:AQ1006),$AC$1006:$AS$1006,0)))),"Fix")))</f>
        <v>0</v>
      </c>
      <c r="Q308" s="5">
        <f>IF(OR(INDEX($W$2:$W$1001,MATCH(ROWS($V$2:V308),$V$2:$V$1001,0),1)&gt;=100000,INDEX($AC$1005:$AS$1005,1,MATCH(COLUMNS($AC$1006:AR1006),$AC$1006:$AS$1006,0))&gt;=100000), " ",IF(INDEX($AC$2:$AS$1001,MATCH(ROWS($V$2:V308),$V$2:$V$1001,0),MATCH(COLUMNS($AC$1006:AR1006),$AC$1006:$AS$1006,0)), HYPERLINK("#",""), HYPERLINK(CONCATENATE("#Metadata!", ADDRESS(INDEX($X$2:$X$1001,MATCH(ROWS($V$2:V308),$V$2:$V$1001,0),0), INDEX($AC$1004:$AS$1004,1,MATCH(COLUMNS($AC$1006:AR1006),$AC$1006:$AS$1006,0)))),"Fix")))</f>
        <v>0</v>
      </c>
      <c r="R308" s="5">
        <f>IF(OR(INDEX($W$2:$W$1001,MATCH(ROWS($V$2:V308),$V$2:$V$1001,0),1)&gt;=100000,INDEX($AC$1005:$AS$1005,1,MATCH(COLUMNS($AC$1006:AS1006),$AC$1006:$AS$1006,0))&gt;=100000), " ",IF(INDEX($AC$2:$AS$1001,MATCH(ROWS($V$2:V308),$V$2:$V$1001,0),MATCH(COLUMNS($AC$1006:AS1006),$AC$1006:$AS$1006,0)), HYPERLINK("#",""), HYPERLINK(CONCATENATE("#Metadata!", ADDRESS(INDEX($X$2:$X$1001,MATCH(ROWS($V$2:V308),$V$2:$V$1001,0),0), INDEX($AC$1004:$AS$1004,1,MATCH(COLUMNS($AC$1006:AS1006),$AC$1006:$AS$1006,0)))),"Fix")))</f>
        <v>0</v>
      </c>
      <c r="V308">
        <v>0</v>
      </c>
      <c r="W308">
        <v>0</v>
      </c>
      <c r="X308">
        <v>0</v>
      </c>
      <c r="Y308">
        <f>IF(Z308,TRUE,AND(AC308:AS308))</f>
        <v>0</v>
      </c>
      <c r="Z308">
        <f>COUNTBLANK(Metadata!B308:R308)=COLUMNS(Metadata!B308:R308)</f>
        <v>0</v>
      </c>
      <c r="AA308">
        <v>0</v>
      </c>
      <c r="AC308">
        <f>AND(IF(Metadata!B308="",FALSE,TRUE),COUNTIF(Metadata!B:B, Metadata!B308) = 1,NOT(ISERROR(SUMPRODUCT(SEARCH(MID(Metadata!B308,ROW(INDIRECT("1:"&amp;LEN(Metadata!B308))), 1),"0123456789abcdefghijklmnopqrstuvwxyzABCDEFGHIJKLMNOPQRSTUVWXYZ.")))))</f>
        <v>0</v>
      </c>
      <c r="AD308">
        <f>AND(IF(Metadata!C308="",FALSE,TRUE),exact(Metadata!C308,"Host-associated"))</f>
        <v>0</v>
      </c>
      <c r="AE308">
        <f>AND(IF(Metadata!D308="",FALSE,TRUE),OR(exact(Metadata!D308,"Animal"),exact(Metadata!D308,"Fungus"),exact(Metadata!D308,"Plant")))</f>
        <v>0</v>
      </c>
      <c r="AF308">
        <f>AND(IF(Metadata!E308="",FALSE,TRUE),OR(exact(Metadata!E308,"Plant secretion"),exact(Metadata!E308,"Plant rhizosphere"),exact(Metadata!E308,"Plant surface"),exact(Metadata!E308,"Plant corpus"),exact(Metadata!E308,"Fungus surface"),exact(Metadata!E308,"Fungus corpus"),exact(Metadata!E308,"Animal surface"),exact(Metadata!E308,"Animal proximal gut"),exact(Metadata!E308,"Animal corpus"),exact(Metadata!E308,"Animal distal gut"),exact(Metadata!E308,"Animal secretion")))</f>
        <v>0</v>
      </c>
      <c r="AG308">
        <f>OR(AND(IF(Metadata!F308="",FALSE,TRUE),OR(exact(Metadata!F308,"not collected"),exact(Metadata!F308,"not provided"),exact(Metadata!F308,"restricted access"))),AND(IF(Metadata!F308="",FALSE,TRUE),OR(exact(Metadata!F308,"organism-associated habitat"),exact(Metadata!F308,"plant-associated habitat"),exact(Metadata!F308,"animal-associated habitat"),exact(Metadata!F308,"insecta-associated habitat"),exact(Metadata!F308,"mammalia-associated habitat"),exact(Metadata!F308,"human-associated habitat"),exact(Metadata!F308,"livestock-associated habitat"))))</f>
        <v>0</v>
      </c>
      <c r="AH308">
        <f>AND(IF(Metadata!G308="",FALSE,TRUE),exact(Metadata!G308,"host-associated"))</f>
        <v>0</v>
      </c>
      <c r="AI308">
        <f>OR(AND(IF(Metadata!H308="",FALSE,TRUE),OR(exact(Metadata!H308,"not collected"),exact(Metadata!H308,"not provided"))),AND(IF(Metadata!H308="",FALSE,ISNUMBER(VALUE(Metadata!H308))),Metadata!H308&gt;0))</f>
        <v>0</v>
      </c>
      <c r="AJ308">
        <f>AND(IF(Metadata!I308="",FALSE,TRUE),exact(Metadata!I308,"years"))</f>
        <v>0</v>
      </c>
      <c r="AK308">
        <f>IF(Metadata!J308="",FALSE,TRUE)</f>
        <v>0</v>
      </c>
      <c r="AL308">
        <f>OR(AND(IF(Metadata!K308="",FALSE,TRUE),OR(exact(Metadata!K308,"not collected"),exact(Metadata!K308,"not provided"))),AND(IF(Metadata!K308="",FALSE,ISNUMBER(VALUE(Metadata!K308))),Metadata!K308&gt;0))</f>
        <v>0</v>
      </c>
      <c r="AM308">
        <f>AND(IF(Metadata!L308="",FALSE,TRUE),exact(Metadata!L308,"cm"))</f>
        <v>0</v>
      </c>
      <c r="AN308">
        <f>IF(Metadata!M308="",FALSE,TRUE)</f>
        <v>0</v>
      </c>
      <c r="AO308">
        <f>OR(AND(IF(Metadata!N308="",FALSE,TRUE),OR(exact(Metadata!N308,"not applicable"),exact(Metadata!N308,"not collected"),exact(Metadata!N308,"not provided"))),AND(IF(Metadata!N308="",FALSE,IF(ISERROR(INT(Metadata!N308)),FALSE,INT(Metadata!N308)=Metadata!N308)),Metadata!N308&gt;0))</f>
        <v>0</v>
      </c>
      <c r="AP308">
        <f>OR(AND(IF(Metadata!O308="",FALSE,TRUE),OR(exact(Metadata!O308,"not collected"),exact(Metadata!O308,"not provided"))),AND(IF(Metadata!O308="",FALSE,ISNUMBER(VALUE(Metadata!O308))),Metadata!O308&gt;0))</f>
        <v>0</v>
      </c>
      <c r="AQ308">
        <f>AND(IF(Metadata!P308="",FALSE,TRUE),exact(Metadata!P308,"kg"))</f>
        <v>0</v>
      </c>
      <c r="AR308">
        <f>OR(AND(IF(Metadata!Q308="",FALSE,TRUE),OR(exact(Metadata!Q308,"not applicable"),exact(Metadata!Q308,"not collected"),exact(Metadata!Q308,"not provided"),exact(Metadata!Q308,"restricted access"))),IF(Metadata!Q308="",FALSE,IF(ISERROR(INT(Metadata!Q308)),FALSE,INT(Metadata!Q308)=Metadata!Q308)))</f>
        <v>0</v>
      </c>
      <c r="AS308">
        <f>AND(IF(Metadata!R308="",FALSE,TRUE),exact(Metadata!R308,"Not applicable"))</f>
        <v>0</v>
      </c>
    </row>
    <row r="309" spans="1:45">
      <c r="A309" s="4">
        <f>IF(B309=" "," ",HYPERLINK(CONCATENATE("#metadata!",ADDRESS(INDEX($X$2:$X$1001,MATCH(ROWS($V$2:V309),$V$2:$V$1001,0),0),2)),INDEX($AA$2:$AA$1001,MATCH(ROWS($V$2:V309),$V$2:$V$1001,0),0)))</f>
        <v>0</v>
      </c>
      <c r="B309" s="5">
        <f>IF(OR(INDEX($W$2:$W$1001,MATCH(ROWS($V$2:V309),$V$2:$V$1001,0),1)&gt;=100000,INDEX($AC$1005:$AS$1005,1,MATCH(COLUMNS($AC$1006:AC1006),$AC$1006:$AS$1006,0))&gt;=100000), " ",IF(INDEX($AC$2:$AS$1001,MATCH(ROWS($V$2:V309),$V$2:$V$1001,0),MATCH(COLUMNS($AC$1006:AC1006),$AC$1006:$AS$1006,0)), HYPERLINK("#",""), HYPERLINK(CONCATENATE("#Metadata!", ADDRESS(INDEX($X$2:$X$1001,MATCH(ROWS($V$2:V309),$V$2:$V$1001,0),0), INDEX($AC$1004:$AS$1004,1,MATCH(COLUMNS($AC$1006:AC1006),$AC$1006:$AS$1006,0)))),"Fix")))</f>
        <v>0</v>
      </c>
      <c r="C309" s="5">
        <f>IF(OR(INDEX($W$2:$W$1001,MATCH(ROWS($V$2:V309),$V$2:$V$1001,0),1)&gt;=100000,INDEX($AC$1005:$AS$1005,1,MATCH(COLUMNS($AC$1006:AD1006),$AC$1006:$AS$1006,0))&gt;=100000), " ",IF(INDEX($AC$2:$AS$1001,MATCH(ROWS($V$2:V309),$V$2:$V$1001,0),MATCH(COLUMNS($AC$1006:AD1006),$AC$1006:$AS$1006,0)), HYPERLINK("#",""), HYPERLINK(CONCATENATE("#Metadata!", ADDRESS(INDEX($X$2:$X$1001,MATCH(ROWS($V$2:V309),$V$2:$V$1001,0),0), INDEX($AC$1004:$AS$1004,1,MATCH(COLUMNS($AC$1006:AD1006),$AC$1006:$AS$1006,0)))),"Fix")))</f>
        <v>0</v>
      </c>
      <c r="D309" s="5">
        <f>IF(OR(INDEX($W$2:$W$1001,MATCH(ROWS($V$2:V309),$V$2:$V$1001,0),1)&gt;=100000,INDEX($AC$1005:$AS$1005,1,MATCH(COLUMNS($AC$1006:AE1006),$AC$1006:$AS$1006,0))&gt;=100000), " ",IF(INDEX($AC$2:$AS$1001,MATCH(ROWS($V$2:V309),$V$2:$V$1001,0),MATCH(COLUMNS($AC$1006:AE1006),$AC$1006:$AS$1006,0)), HYPERLINK("#",""), HYPERLINK(CONCATENATE("#Metadata!", ADDRESS(INDEX($X$2:$X$1001,MATCH(ROWS($V$2:V309),$V$2:$V$1001,0),0), INDEX($AC$1004:$AS$1004,1,MATCH(COLUMNS($AC$1006:AE1006),$AC$1006:$AS$1006,0)))),"Fix")))</f>
        <v>0</v>
      </c>
      <c r="E309" s="5">
        <f>IF(OR(INDEX($W$2:$W$1001,MATCH(ROWS($V$2:V309),$V$2:$V$1001,0),1)&gt;=100000,INDEX($AC$1005:$AS$1005,1,MATCH(COLUMNS($AC$1006:AF1006),$AC$1006:$AS$1006,0))&gt;=100000), " ",IF(INDEX($AC$2:$AS$1001,MATCH(ROWS($V$2:V309),$V$2:$V$1001,0),MATCH(COLUMNS($AC$1006:AF1006),$AC$1006:$AS$1006,0)), HYPERLINK("#",""), HYPERLINK(CONCATENATE("#Metadata!", ADDRESS(INDEX($X$2:$X$1001,MATCH(ROWS($V$2:V309),$V$2:$V$1001,0),0), INDEX($AC$1004:$AS$1004,1,MATCH(COLUMNS($AC$1006:AF1006),$AC$1006:$AS$1006,0)))),"Fix")))</f>
        <v>0</v>
      </c>
      <c r="F309" s="5">
        <f>IF(OR(INDEX($W$2:$W$1001,MATCH(ROWS($V$2:V309),$V$2:$V$1001,0),1)&gt;=100000,INDEX($AC$1005:$AS$1005,1,MATCH(COLUMNS($AC$1006:AG1006),$AC$1006:$AS$1006,0))&gt;=100000), " ",IF(INDEX($AC$2:$AS$1001,MATCH(ROWS($V$2:V309),$V$2:$V$1001,0),MATCH(COLUMNS($AC$1006:AG1006),$AC$1006:$AS$1006,0)), HYPERLINK("#",""), HYPERLINK(CONCATENATE("#Metadata!", ADDRESS(INDEX($X$2:$X$1001,MATCH(ROWS($V$2:V309),$V$2:$V$1001,0),0), INDEX($AC$1004:$AS$1004,1,MATCH(COLUMNS($AC$1006:AG1006),$AC$1006:$AS$1006,0)))),"Fix")))</f>
        <v>0</v>
      </c>
      <c r="G309" s="5">
        <f>IF(OR(INDEX($W$2:$W$1001,MATCH(ROWS($V$2:V309),$V$2:$V$1001,0),1)&gt;=100000,INDEX($AC$1005:$AS$1005,1,MATCH(COLUMNS($AC$1006:AH1006),$AC$1006:$AS$1006,0))&gt;=100000), " ",IF(INDEX($AC$2:$AS$1001,MATCH(ROWS($V$2:V309),$V$2:$V$1001,0),MATCH(COLUMNS($AC$1006:AH1006),$AC$1006:$AS$1006,0)), HYPERLINK("#",""), HYPERLINK(CONCATENATE("#Metadata!", ADDRESS(INDEX($X$2:$X$1001,MATCH(ROWS($V$2:V309),$V$2:$V$1001,0),0), INDEX($AC$1004:$AS$1004,1,MATCH(COLUMNS($AC$1006:AH1006),$AC$1006:$AS$1006,0)))),"Fix")))</f>
        <v>0</v>
      </c>
      <c r="H309" s="5">
        <f>IF(OR(INDEX($W$2:$W$1001,MATCH(ROWS($V$2:V309),$V$2:$V$1001,0),1)&gt;=100000,INDEX($AC$1005:$AS$1005,1,MATCH(COLUMNS($AC$1006:AI1006),$AC$1006:$AS$1006,0))&gt;=100000), " ",IF(INDEX($AC$2:$AS$1001,MATCH(ROWS($V$2:V309),$V$2:$V$1001,0),MATCH(COLUMNS($AC$1006:AI1006),$AC$1006:$AS$1006,0)), HYPERLINK("#",""), HYPERLINK(CONCATENATE("#Metadata!", ADDRESS(INDEX($X$2:$X$1001,MATCH(ROWS($V$2:V309),$V$2:$V$1001,0),0), INDEX($AC$1004:$AS$1004,1,MATCH(COLUMNS($AC$1006:AI1006),$AC$1006:$AS$1006,0)))),"Fix")))</f>
        <v>0</v>
      </c>
      <c r="I309" s="5">
        <f>IF(OR(INDEX($W$2:$W$1001,MATCH(ROWS($V$2:V309),$V$2:$V$1001,0),1)&gt;=100000,INDEX($AC$1005:$AS$1005,1,MATCH(COLUMNS($AC$1006:AJ1006),$AC$1006:$AS$1006,0))&gt;=100000), " ",IF(INDEX($AC$2:$AS$1001,MATCH(ROWS($V$2:V309),$V$2:$V$1001,0),MATCH(COLUMNS($AC$1006:AJ1006),$AC$1006:$AS$1006,0)), HYPERLINK("#",""), HYPERLINK(CONCATENATE("#Metadata!", ADDRESS(INDEX($X$2:$X$1001,MATCH(ROWS($V$2:V309),$V$2:$V$1001,0),0), INDEX($AC$1004:$AS$1004,1,MATCH(COLUMNS($AC$1006:AJ1006),$AC$1006:$AS$1006,0)))),"Fix")))</f>
        <v>0</v>
      </c>
      <c r="J309" s="5">
        <f>IF(OR(INDEX($W$2:$W$1001,MATCH(ROWS($V$2:V309),$V$2:$V$1001,0),1)&gt;=100000,INDEX($AC$1005:$AS$1005,1,MATCH(COLUMNS($AC$1006:AK1006),$AC$1006:$AS$1006,0))&gt;=100000), " ",IF(INDEX($AC$2:$AS$1001,MATCH(ROWS($V$2:V309),$V$2:$V$1001,0),MATCH(COLUMNS($AC$1006:AK1006),$AC$1006:$AS$1006,0)), HYPERLINK("#",""), HYPERLINK(CONCATENATE("#Metadata!", ADDRESS(INDEX($X$2:$X$1001,MATCH(ROWS($V$2:V309),$V$2:$V$1001,0),0), INDEX($AC$1004:$AS$1004,1,MATCH(COLUMNS($AC$1006:AK1006),$AC$1006:$AS$1006,0)))),"Fix")))</f>
        <v>0</v>
      </c>
      <c r="K309" s="5">
        <f>IF(OR(INDEX($W$2:$W$1001,MATCH(ROWS($V$2:V309),$V$2:$V$1001,0),1)&gt;=100000,INDEX($AC$1005:$AS$1005,1,MATCH(COLUMNS($AC$1006:AL1006),$AC$1006:$AS$1006,0))&gt;=100000), " ",IF(INDEX($AC$2:$AS$1001,MATCH(ROWS($V$2:V309),$V$2:$V$1001,0),MATCH(COLUMNS($AC$1006:AL1006),$AC$1006:$AS$1006,0)), HYPERLINK("#",""), HYPERLINK(CONCATENATE("#Metadata!", ADDRESS(INDEX($X$2:$X$1001,MATCH(ROWS($V$2:V309),$V$2:$V$1001,0),0), INDEX($AC$1004:$AS$1004,1,MATCH(COLUMNS($AC$1006:AL1006),$AC$1006:$AS$1006,0)))),"Fix")))</f>
        <v>0</v>
      </c>
      <c r="L309" s="5">
        <f>IF(OR(INDEX($W$2:$W$1001,MATCH(ROWS($V$2:V309),$V$2:$V$1001,0),1)&gt;=100000,INDEX($AC$1005:$AS$1005,1,MATCH(COLUMNS($AC$1006:AM1006),$AC$1006:$AS$1006,0))&gt;=100000), " ",IF(INDEX($AC$2:$AS$1001,MATCH(ROWS($V$2:V309),$V$2:$V$1001,0),MATCH(COLUMNS($AC$1006:AM1006),$AC$1006:$AS$1006,0)), HYPERLINK("#",""), HYPERLINK(CONCATENATE("#Metadata!", ADDRESS(INDEX($X$2:$X$1001,MATCH(ROWS($V$2:V309),$V$2:$V$1001,0),0), INDEX($AC$1004:$AS$1004,1,MATCH(COLUMNS($AC$1006:AM1006),$AC$1006:$AS$1006,0)))),"Fix")))</f>
        <v>0</v>
      </c>
      <c r="M309" s="5">
        <f>IF(OR(INDEX($W$2:$W$1001,MATCH(ROWS($V$2:V309),$V$2:$V$1001,0),1)&gt;=100000,INDEX($AC$1005:$AS$1005,1,MATCH(COLUMNS($AC$1006:AN1006),$AC$1006:$AS$1006,0))&gt;=100000), " ",IF(INDEX($AC$2:$AS$1001,MATCH(ROWS($V$2:V309),$V$2:$V$1001,0),MATCH(COLUMNS($AC$1006:AN1006),$AC$1006:$AS$1006,0)), HYPERLINK("#",""), HYPERLINK(CONCATENATE("#Metadata!", ADDRESS(INDEX($X$2:$X$1001,MATCH(ROWS($V$2:V309),$V$2:$V$1001,0),0), INDEX($AC$1004:$AS$1004,1,MATCH(COLUMNS($AC$1006:AN1006),$AC$1006:$AS$1006,0)))),"Fix")))</f>
        <v>0</v>
      </c>
      <c r="N309" s="5">
        <f>IF(OR(INDEX($W$2:$W$1001,MATCH(ROWS($V$2:V309),$V$2:$V$1001,0),1)&gt;=100000,INDEX($AC$1005:$AS$1005,1,MATCH(COLUMNS($AC$1006:AO1006),$AC$1006:$AS$1006,0))&gt;=100000), " ",IF(INDEX($AC$2:$AS$1001,MATCH(ROWS($V$2:V309),$V$2:$V$1001,0),MATCH(COLUMNS($AC$1006:AO1006),$AC$1006:$AS$1006,0)), HYPERLINK("#",""), HYPERLINK(CONCATENATE("#Metadata!", ADDRESS(INDEX($X$2:$X$1001,MATCH(ROWS($V$2:V309),$V$2:$V$1001,0),0), INDEX($AC$1004:$AS$1004,1,MATCH(COLUMNS($AC$1006:AO1006),$AC$1006:$AS$1006,0)))),"Fix")))</f>
        <v>0</v>
      </c>
      <c r="O309" s="5">
        <f>IF(OR(INDEX($W$2:$W$1001,MATCH(ROWS($V$2:V309),$V$2:$V$1001,0),1)&gt;=100000,INDEX($AC$1005:$AS$1005,1,MATCH(COLUMNS($AC$1006:AP1006),$AC$1006:$AS$1006,0))&gt;=100000), " ",IF(INDEX($AC$2:$AS$1001,MATCH(ROWS($V$2:V309),$V$2:$V$1001,0),MATCH(COLUMNS($AC$1006:AP1006),$AC$1006:$AS$1006,0)), HYPERLINK("#",""), HYPERLINK(CONCATENATE("#Metadata!", ADDRESS(INDEX($X$2:$X$1001,MATCH(ROWS($V$2:V309),$V$2:$V$1001,0),0), INDEX($AC$1004:$AS$1004,1,MATCH(COLUMNS($AC$1006:AP1006),$AC$1006:$AS$1006,0)))),"Fix")))</f>
        <v>0</v>
      </c>
      <c r="P309" s="5">
        <f>IF(OR(INDEX($W$2:$W$1001,MATCH(ROWS($V$2:V309),$V$2:$V$1001,0),1)&gt;=100000,INDEX($AC$1005:$AS$1005,1,MATCH(COLUMNS($AC$1006:AQ1006),$AC$1006:$AS$1006,0))&gt;=100000), " ",IF(INDEX($AC$2:$AS$1001,MATCH(ROWS($V$2:V309),$V$2:$V$1001,0),MATCH(COLUMNS($AC$1006:AQ1006),$AC$1006:$AS$1006,0)), HYPERLINK("#",""), HYPERLINK(CONCATENATE("#Metadata!", ADDRESS(INDEX($X$2:$X$1001,MATCH(ROWS($V$2:V309),$V$2:$V$1001,0),0), INDEX($AC$1004:$AS$1004,1,MATCH(COLUMNS($AC$1006:AQ1006),$AC$1006:$AS$1006,0)))),"Fix")))</f>
        <v>0</v>
      </c>
      <c r="Q309" s="5">
        <f>IF(OR(INDEX($W$2:$W$1001,MATCH(ROWS($V$2:V309),$V$2:$V$1001,0),1)&gt;=100000,INDEX($AC$1005:$AS$1005,1,MATCH(COLUMNS($AC$1006:AR1006),$AC$1006:$AS$1006,0))&gt;=100000), " ",IF(INDEX($AC$2:$AS$1001,MATCH(ROWS($V$2:V309),$V$2:$V$1001,0),MATCH(COLUMNS($AC$1006:AR1006),$AC$1006:$AS$1006,0)), HYPERLINK("#",""), HYPERLINK(CONCATENATE("#Metadata!", ADDRESS(INDEX($X$2:$X$1001,MATCH(ROWS($V$2:V309),$V$2:$V$1001,0),0), INDEX($AC$1004:$AS$1004,1,MATCH(COLUMNS($AC$1006:AR1006),$AC$1006:$AS$1006,0)))),"Fix")))</f>
        <v>0</v>
      </c>
      <c r="R309" s="5">
        <f>IF(OR(INDEX($W$2:$W$1001,MATCH(ROWS($V$2:V309),$V$2:$V$1001,0),1)&gt;=100000,INDEX($AC$1005:$AS$1005,1,MATCH(COLUMNS($AC$1006:AS1006),$AC$1006:$AS$1006,0))&gt;=100000), " ",IF(INDEX($AC$2:$AS$1001,MATCH(ROWS($V$2:V309),$V$2:$V$1001,0),MATCH(COLUMNS($AC$1006:AS1006),$AC$1006:$AS$1006,0)), HYPERLINK("#",""), HYPERLINK(CONCATENATE("#Metadata!", ADDRESS(INDEX($X$2:$X$1001,MATCH(ROWS($V$2:V309),$V$2:$V$1001,0),0), INDEX($AC$1004:$AS$1004,1,MATCH(COLUMNS($AC$1006:AS1006),$AC$1006:$AS$1006,0)))),"Fix")))</f>
        <v>0</v>
      </c>
      <c r="V309">
        <v>0</v>
      </c>
      <c r="W309">
        <v>0</v>
      </c>
      <c r="X309">
        <v>0</v>
      </c>
      <c r="Y309">
        <f>IF(Z309,TRUE,AND(AC309:AS309))</f>
        <v>0</v>
      </c>
      <c r="Z309">
        <f>COUNTBLANK(Metadata!B309:R309)=COLUMNS(Metadata!B309:R309)</f>
        <v>0</v>
      </c>
      <c r="AA309">
        <v>0</v>
      </c>
      <c r="AC309">
        <f>AND(IF(Metadata!B309="",FALSE,TRUE),COUNTIF(Metadata!B:B, Metadata!B309) = 1,NOT(ISERROR(SUMPRODUCT(SEARCH(MID(Metadata!B309,ROW(INDIRECT("1:"&amp;LEN(Metadata!B309))), 1),"0123456789abcdefghijklmnopqrstuvwxyzABCDEFGHIJKLMNOPQRSTUVWXYZ.")))))</f>
        <v>0</v>
      </c>
      <c r="AD309">
        <f>AND(IF(Metadata!C309="",FALSE,TRUE),exact(Metadata!C309,"Host-associated"))</f>
        <v>0</v>
      </c>
      <c r="AE309">
        <f>AND(IF(Metadata!D309="",FALSE,TRUE),OR(exact(Metadata!D309,"Animal"),exact(Metadata!D309,"Fungus"),exact(Metadata!D309,"Plant")))</f>
        <v>0</v>
      </c>
      <c r="AF309">
        <f>AND(IF(Metadata!E309="",FALSE,TRUE),OR(exact(Metadata!E309,"Plant secretion"),exact(Metadata!E309,"Plant rhizosphere"),exact(Metadata!E309,"Plant surface"),exact(Metadata!E309,"Plant corpus"),exact(Metadata!E309,"Fungus surface"),exact(Metadata!E309,"Fungus corpus"),exact(Metadata!E309,"Animal surface"),exact(Metadata!E309,"Animal proximal gut"),exact(Metadata!E309,"Animal corpus"),exact(Metadata!E309,"Animal distal gut"),exact(Metadata!E309,"Animal secretion")))</f>
        <v>0</v>
      </c>
      <c r="AG309">
        <f>OR(AND(IF(Metadata!F309="",FALSE,TRUE),OR(exact(Metadata!F309,"not collected"),exact(Metadata!F309,"not provided"),exact(Metadata!F309,"restricted access"))),AND(IF(Metadata!F309="",FALSE,TRUE),OR(exact(Metadata!F309,"organism-associated habitat"),exact(Metadata!F309,"plant-associated habitat"),exact(Metadata!F309,"animal-associated habitat"),exact(Metadata!F309,"insecta-associated habitat"),exact(Metadata!F309,"mammalia-associated habitat"),exact(Metadata!F309,"human-associated habitat"),exact(Metadata!F309,"livestock-associated habitat"))))</f>
        <v>0</v>
      </c>
      <c r="AH309">
        <f>AND(IF(Metadata!G309="",FALSE,TRUE),exact(Metadata!G309,"host-associated"))</f>
        <v>0</v>
      </c>
      <c r="AI309">
        <f>OR(AND(IF(Metadata!H309="",FALSE,TRUE),OR(exact(Metadata!H309,"not collected"),exact(Metadata!H309,"not provided"))),AND(IF(Metadata!H309="",FALSE,ISNUMBER(VALUE(Metadata!H309))),Metadata!H309&gt;0))</f>
        <v>0</v>
      </c>
      <c r="AJ309">
        <f>AND(IF(Metadata!I309="",FALSE,TRUE),exact(Metadata!I309,"years"))</f>
        <v>0</v>
      </c>
      <c r="AK309">
        <f>IF(Metadata!J309="",FALSE,TRUE)</f>
        <v>0</v>
      </c>
      <c r="AL309">
        <f>OR(AND(IF(Metadata!K309="",FALSE,TRUE),OR(exact(Metadata!K309,"not collected"),exact(Metadata!K309,"not provided"))),AND(IF(Metadata!K309="",FALSE,ISNUMBER(VALUE(Metadata!K309))),Metadata!K309&gt;0))</f>
        <v>0</v>
      </c>
      <c r="AM309">
        <f>AND(IF(Metadata!L309="",FALSE,TRUE),exact(Metadata!L309,"cm"))</f>
        <v>0</v>
      </c>
      <c r="AN309">
        <f>IF(Metadata!M309="",FALSE,TRUE)</f>
        <v>0</v>
      </c>
      <c r="AO309">
        <f>OR(AND(IF(Metadata!N309="",FALSE,TRUE),OR(exact(Metadata!N309,"not applicable"),exact(Metadata!N309,"not collected"),exact(Metadata!N309,"not provided"))),AND(IF(Metadata!N309="",FALSE,IF(ISERROR(INT(Metadata!N309)),FALSE,INT(Metadata!N309)=Metadata!N309)),Metadata!N309&gt;0))</f>
        <v>0</v>
      </c>
      <c r="AP309">
        <f>OR(AND(IF(Metadata!O309="",FALSE,TRUE),OR(exact(Metadata!O309,"not collected"),exact(Metadata!O309,"not provided"))),AND(IF(Metadata!O309="",FALSE,ISNUMBER(VALUE(Metadata!O309))),Metadata!O309&gt;0))</f>
        <v>0</v>
      </c>
      <c r="AQ309">
        <f>AND(IF(Metadata!P309="",FALSE,TRUE),exact(Metadata!P309,"kg"))</f>
        <v>0</v>
      </c>
      <c r="AR309">
        <f>OR(AND(IF(Metadata!Q309="",FALSE,TRUE),OR(exact(Metadata!Q309,"not applicable"),exact(Metadata!Q309,"not collected"),exact(Metadata!Q309,"not provided"),exact(Metadata!Q309,"restricted access"))),IF(Metadata!Q309="",FALSE,IF(ISERROR(INT(Metadata!Q309)),FALSE,INT(Metadata!Q309)=Metadata!Q309)))</f>
        <v>0</v>
      </c>
      <c r="AS309">
        <f>AND(IF(Metadata!R309="",FALSE,TRUE),exact(Metadata!R309,"Not applicable"))</f>
        <v>0</v>
      </c>
    </row>
    <row r="310" spans="1:45">
      <c r="A310" s="4">
        <f>IF(B310=" "," ",HYPERLINK(CONCATENATE("#metadata!",ADDRESS(INDEX($X$2:$X$1001,MATCH(ROWS($V$2:V310),$V$2:$V$1001,0),0),2)),INDEX($AA$2:$AA$1001,MATCH(ROWS($V$2:V310),$V$2:$V$1001,0),0)))</f>
        <v>0</v>
      </c>
      <c r="B310" s="5">
        <f>IF(OR(INDEX($W$2:$W$1001,MATCH(ROWS($V$2:V310),$V$2:$V$1001,0),1)&gt;=100000,INDEX($AC$1005:$AS$1005,1,MATCH(COLUMNS($AC$1006:AC1006),$AC$1006:$AS$1006,0))&gt;=100000), " ",IF(INDEX($AC$2:$AS$1001,MATCH(ROWS($V$2:V310),$V$2:$V$1001,0),MATCH(COLUMNS($AC$1006:AC1006),$AC$1006:$AS$1006,0)), HYPERLINK("#",""), HYPERLINK(CONCATENATE("#Metadata!", ADDRESS(INDEX($X$2:$X$1001,MATCH(ROWS($V$2:V310),$V$2:$V$1001,0),0), INDEX($AC$1004:$AS$1004,1,MATCH(COLUMNS($AC$1006:AC1006),$AC$1006:$AS$1006,0)))),"Fix")))</f>
        <v>0</v>
      </c>
      <c r="C310" s="5">
        <f>IF(OR(INDEX($W$2:$W$1001,MATCH(ROWS($V$2:V310),$V$2:$V$1001,0),1)&gt;=100000,INDEX($AC$1005:$AS$1005,1,MATCH(COLUMNS($AC$1006:AD1006),$AC$1006:$AS$1006,0))&gt;=100000), " ",IF(INDEX($AC$2:$AS$1001,MATCH(ROWS($V$2:V310),$V$2:$V$1001,0),MATCH(COLUMNS($AC$1006:AD1006),$AC$1006:$AS$1006,0)), HYPERLINK("#",""), HYPERLINK(CONCATENATE("#Metadata!", ADDRESS(INDEX($X$2:$X$1001,MATCH(ROWS($V$2:V310),$V$2:$V$1001,0),0), INDEX($AC$1004:$AS$1004,1,MATCH(COLUMNS($AC$1006:AD1006),$AC$1006:$AS$1006,0)))),"Fix")))</f>
        <v>0</v>
      </c>
      <c r="D310" s="5">
        <f>IF(OR(INDEX($W$2:$W$1001,MATCH(ROWS($V$2:V310),$V$2:$V$1001,0),1)&gt;=100000,INDEX($AC$1005:$AS$1005,1,MATCH(COLUMNS($AC$1006:AE1006),$AC$1006:$AS$1006,0))&gt;=100000), " ",IF(INDEX($AC$2:$AS$1001,MATCH(ROWS($V$2:V310),$V$2:$V$1001,0),MATCH(COLUMNS($AC$1006:AE1006),$AC$1006:$AS$1006,0)), HYPERLINK("#",""), HYPERLINK(CONCATENATE("#Metadata!", ADDRESS(INDEX($X$2:$X$1001,MATCH(ROWS($V$2:V310),$V$2:$V$1001,0),0), INDEX($AC$1004:$AS$1004,1,MATCH(COLUMNS($AC$1006:AE1006),$AC$1006:$AS$1006,0)))),"Fix")))</f>
        <v>0</v>
      </c>
      <c r="E310" s="5">
        <f>IF(OR(INDEX($W$2:$W$1001,MATCH(ROWS($V$2:V310),$V$2:$V$1001,0),1)&gt;=100000,INDEX($AC$1005:$AS$1005,1,MATCH(COLUMNS($AC$1006:AF1006),$AC$1006:$AS$1006,0))&gt;=100000), " ",IF(INDEX($AC$2:$AS$1001,MATCH(ROWS($V$2:V310),$V$2:$V$1001,0),MATCH(COLUMNS($AC$1006:AF1006),$AC$1006:$AS$1006,0)), HYPERLINK("#",""), HYPERLINK(CONCATENATE("#Metadata!", ADDRESS(INDEX($X$2:$X$1001,MATCH(ROWS($V$2:V310),$V$2:$V$1001,0),0), INDEX($AC$1004:$AS$1004,1,MATCH(COLUMNS($AC$1006:AF1006),$AC$1006:$AS$1006,0)))),"Fix")))</f>
        <v>0</v>
      </c>
      <c r="F310" s="5">
        <f>IF(OR(INDEX($W$2:$W$1001,MATCH(ROWS($V$2:V310),$V$2:$V$1001,0),1)&gt;=100000,INDEX($AC$1005:$AS$1005,1,MATCH(COLUMNS($AC$1006:AG1006),$AC$1006:$AS$1006,0))&gt;=100000), " ",IF(INDEX($AC$2:$AS$1001,MATCH(ROWS($V$2:V310),$V$2:$V$1001,0),MATCH(COLUMNS($AC$1006:AG1006),$AC$1006:$AS$1006,0)), HYPERLINK("#",""), HYPERLINK(CONCATENATE("#Metadata!", ADDRESS(INDEX($X$2:$X$1001,MATCH(ROWS($V$2:V310),$V$2:$V$1001,0),0), INDEX($AC$1004:$AS$1004,1,MATCH(COLUMNS($AC$1006:AG1006),$AC$1006:$AS$1006,0)))),"Fix")))</f>
        <v>0</v>
      </c>
      <c r="G310" s="5">
        <f>IF(OR(INDEX($W$2:$W$1001,MATCH(ROWS($V$2:V310),$V$2:$V$1001,0),1)&gt;=100000,INDEX($AC$1005:$AS$1005,1,MATCH(COLUMNS($AC$1006:AH1006),$AC$1006:$AS$1006,0))&gt;=100000), " ",IF(INDEX($AC$2:$AS$1001,MATCH(ROWS($V$2:V310),$V$2:$V$1001,0),MATCH(COLUMNS($AC$1006:AH1006),$AC$1006:$AS$1006,0)), HYPERLINK("#",""), HYPERLINK(CONCATENATE("#Metadata!", ADDRESS(INDEX($X$2:$X$1001,MATCH(ROWS($V$2:V310),$V$2:$V$1001,0),0), INDEX($AC$1004:$AS$1004,1,MATCH(COLUMNS($AC$1006:AH1006),$AC$1006:$AS$1006,0)))),"Fix")))</f>
        <v>0</v>
      </c>
      <c r="H310" s="5">
        <f>IF(OR(INDEX($W$2:$W$1001,MATCH(ROWS($V$2:V310),$V$2:$V$1001,0),1)&gt;=100000,INDEX($AC$1005:$AS$1005,1,MATCH(COLUMNS($AC$1006:AI1006),$AC$1006:$AS$1006,0))&gt;=100000), " ",IF(INDEX($AC$2:$AS$1001,MATCH(ROWS($V$2:V310),$V$2:$V$1001,0),MATCH(COLUMNS($AC$1006:AI1006),$AC$1006:$AS$1006,0)), HYPERLINK("#",""), HYPERLINK(CONCATENATE("#Metadata!", ADDRESS(INDEX($X$2:$X$1001,MATCH(ROWS($V$2:V310),$V$2:$V$1001,0),0), INDEX($AC$1004:$AS$1004,1,MATCH(COLUMNS($AC$1006:AI1006),$AC$1006:$AS$1006,0)))),"Fix")))</f>
        <v>0</v>
      </c>
      <c r="I310" s="5">
        <f>IF(OR(INDEX($W$2:$W$1001,MATCH(ROWS($V$2:V310),$V$2:$V$1001,0),1)&gt;=100000,INDEX($AC$1005:$AS$1005,1,MATCH(COLUMNS($AC$1006:AJ1006),$AC$1006:$AS$1006,0))&gt;=100000), " ",IF(INDEX($AC$2:$AS$1001,MATCH(ROWS($V$2:V310),$V$2:$V$1001,0),MATCH(COLUMNS($AC$1006:AJ1006),$AC$1006:$AS$1006,0)), HYPERLINK("#",""), HYPERLINK(CONCATENATE("#Metadata!", ADDRESS(INDEX($X$2:$X$1001,MATCH(ROWS($V$2:V310),$V$2:$V$1001,0),0), INDEX($AC$1004:$AS$1004,1,MATCH(COLUMNS($AC$1006:AJ1006),$AC$1006:$AS$1006,0)))),"Fix")))</f>
        <v>0</v>
      </c>
      <c r="J310" s="5">
        <f>IF(OR(INDEX($W$2:$W$1001,MATCH(ROWS($V$2:V310),$V$2:$V$1001,0),1)&gt;=100000,INDEX($AC$1005:$AS$1005,1,MATCH(COLUMNS($AC$1006:AK1006),$AC$1006:$AS$1006,0))&gt;=100000), " ",IF(INDEX($AC$2:$AS$1001,MATCH(ROWS($V$2:V310),$V$2:$V$1001,0),MATCH(COLUMNS($AC$1006:AK1006),$AC$1006:$AS$1006,0)), HYPERLINK("#",""), HYPERLINK(CONCATENATE("#Metadata!", ADDRESS(INDEX($X$2:$X$1001,MATCH(ROWS($V$2:V310),$V$2:$V$1001,0),0), INDEX($AC$1004:$AS$1004,1,MATCH(COLUMNS($AC$1006:AK1006),$AC$1006:$AS$1006,0)))),"Fix")))</f>
        <v>0</v>
      </c>
      <c r="K310" s="5">
        <f>IF(OR(INDEX($W$2:$W$1001,MATCH(ROWS($V$2:V310),$V$2:$V$1001,0),1)&gt;=100000,INDEX($AC$1005:$AS$1005,1,MATCH(COLUMNS($AC$1006:AL1006),$AC$1006:$AS$1006,0))&gt;=100000), " ",IF(INDEX($AC$2:$AS$1001,MATCH(ROWS($V$2:V310),$V$2:$V$1001,0),MATCH(COLUMNS($AC$1006:AL1006),$AC$1006:$AS$1006,0)), HYPERLINK("#",""), HYPERLINK(CONCATENATE("#Metadata!", ADDRESS(INDEX($X$2:$X$1001,MATCH(ROWS($V$2:V310),$V$2:$V$1001,0),0), INDEX($AC$1004:$AS$1004,1,MATCH(COLUMNS($AC$1006:AL1006),$AC$1006:$AS$1006,0)))),"Fix")))</f>
        <v>0</v>
      </c>
      <c r="L310" s="5">
        <f>IF(OR(INDEX($W$2:$W$1001,MATCH(ROWS($V$2:V310),$V$2:$V$1001,0),1)&gt;=100000,INDEX($AC$1005:$AS$1005,1,MATCH(COLUMNS($AC$1006:AM1006),$AC$1006:$AS$1006,0))&gt;=100000), " ",IF(INDEX($AC$2:$AS$1001,MATCH(ROWS($V$2:V310),$V$2:$V$1001,0),MATCH(COLUMNS($AC$1006:AM1006),$AC$1006:$AS$1006,0)), HYPERLINK("#",""), HYPERLINK(CONCATENATE("#Metadata!", ADDRESS(INDEX($X$2:$X$1001,MATCH(ROWS($V$2:V310),$V$2:$V$1001,0),0), INDEX($AC$1004:$AS$1004,1,MATCH(COLUMNS($AC$1006:AM1006),$AC$1006:$AS$1006,0)))),"Fix")))</f>
        <v>0</v>
      </c>
      <c r="M310" s="5">
        <f>IF(OR(INDEX($W$2:$W$1001,MATCH(ROWS($V$2:V310),$V$2:$V$1001,0),1)&gt;=100000,INDEX($AC$1005:$AS$1005,1,MATCH(COLUMNS($AC$1006:AN1006),$AC$1006:$AS$1006,0))&gt;=100000), " ",IF(INDEX($AC$2:$AS$1001,MATCH(ROWS($V$2:V310),$V$2:$V$1001,0),MATCH(COLUMNS($AC$1006:AN1006),$AC$1006:$AS$1006,0)), HYPERLINK("#",""), HYPERLINK(CONCATENATE("#Metadata!", ADDRESS(INDEX($X$2:$X$1001,MATCH(ROWS($V$2:V310),$V$2:$V$1001,0),0), INDEX($AC$1004:$AS$1004,1,MATCH(COLUMNS($AC$1006:AN1006),$AC$1006:$AS$1006,0)))),"Fix")))</f>
        <v>0</v>
      </c>
      <c r="N310" s="5">
        <f>IF(OR(INDEX($W$2:$W$1001,MATCH(ROWS($V$2:V310),$V$2:$V$1001,0),1)&gt;=100000,INDEX($AC$1005:$AS$1005,1,MATCH(COLUMNS($AC$1006:AO1006),$AC$1006:$AS$1006,0))&gt;=100000), " ",IF(INDEX($AC$2:$AS$1001,MATCH(ROWS($V$2:V310),$V$2:$V$1001,0),MATCH(COLUMNS($AC$1006:AO1006),$AC$1006:$AS$1006,0)), HYPERLINK("#",""), HYPERLINK(CONCATENATE("#Metadata!", ADDRESS(INDEX($X$2:$X$1001,MATCH(ROWS($V$2:V310),$V$2:$V$1001,0),0), INDEX($AC$1004:$AS$1004,1,MATCH(COLUMNS($AC$1006:AO1006),$AC$1006:$AS$1006,0)))),"Fix")))</f>
        <v>0</v>
      </c>
      <c r="O310" s="5">
        <f>IF(OR(INDEX($W$2:$W$1001,MATCH(ROWS($V$2:V310),$V$2:$V$1001,0),1)&gt;=100000,INDEX($AC$1005:$AS$1005,1,MATCH(COLUMNS($AC$1006:AP1006),$AC$1006:$AS$1006,0))&gt;=100000), " ",IF(INDEX($AC$2:$AS$1001,MATCH(ROWS($V$2:V310),$V$2:$V$1001,0),MATCH(COLUMNS($AC$1006:AP1006),$AC$1006:$AS$1006,0)), HYPERLINK("#",""), HYPERLINK(CONCATENATE("#Metadata!", ADDRESS(INDEX($X$2:$X$1001,MATCH(ROWS($V$2:V310),$V$2:$V$1001,0),0), INDEX($AC$1004:$AS$1004,1,MATCH(COLUMNS($AC$1006:AP1006),$AC$1006:$AS$1006,0)))),"Fix")))</f>
        <v>0</v>
      </c>
      <c r="P310" s="5">
        <f>IF(OR(INDEX($W$2:$W$1001,MATCH(ROWS($V$2:V310),$V$2:$V$1001,0),1)&gt;=100000,INDEX($AC$1005:$AS$1005,1,MATCH(COLUMNS($AC$1006:AQ1006),$AC$1006:$AS$1006,0))&gt;=100000), " ",IF(INDEX($AC$2:$AS$1001,MATCH(ROWS($V$2:V310),$V$2:$V$1001,0),MATCH(COLUMNS($AC$1006:AQ1006),$AC$1006:$AS$1006,0)), HYPERLINK("#",""), HYPERLINK(CONCATENATE("#Metadata!", ADDRESS(INDEX($X$2:$X$1001,MATCH(ROWS($V$2:V310),$V$2:$V$1001,0),0), INDEX($AC$1004:$AS$1004,1,MATCH(COLUMNS($AC$1006:AQ1006),$AC$1006:$AS$1006,0)))),"Fix")))</f>
        <v>0</v>
      </c>
      <c r="Q310" s="5">
        <f>IF(OR(INDEX($W$2:$W$1001,MATCH(ROWS($V$2:V310),$V$2:$V$1001,0),1)&gt;=100000,INDEX($AC$1005:$AS$1005,1,MATCH(COLUMNS($AC$1006:AR1006),$AC$1006:$AS$1006,0))&gt;=100000), " ",IF(INDEX($AC$2:$AS$1001,MATCH(ROWS($V$2:V310),$V$2:$V$1001,0),MATCH(COLUMNS($AC$1006:AR1006),$AC$1006:$AS$1006,0)), HYPERLINK("#",""), HYPERLINK(CONCATENATE("#Metadata!", ADDRESS(INDEX($X$2:$X$1001,MATCH(ROWS($V$2:V310),$V$2:$V$1001,0),0), INDEX($AC$1004:$AS$1004,1,MATCH(COLUMNS($AC$1006:AR1006),$AC$1006:$AS$1006,0)))),"Fix")))</f>
        <v>0</v>
      </c>
      <c r="R310" s="5">
        <f>IF(OR(INDEX($W$2:$W$1001,MATCH(ROWS($V$2:V310),$V$2:$V$1001,0),1)&gt;=100000,INDEX($AC$1005:$AS$1005,1,MATCH(COLUMNS($AC$1006:AS1006),$AC$1006:$AS$1006,0))&gt;=100000), " ",IF(INDEX($AC$2:$AS$1001,MATCH(ROWS($V$2:V310),$V$2:$V$1001,0),MATCH(COLUMNS($AC$1006:AS1006),$AC$1006:$AS$1006,0)), HYPERLINK("#",""), HYPERLINK(CONCATENATE("#Metadata!", ADDRESS(INDEX($X$2:$X$1001,MATCH(ROWS($V$2:V310),$V$2:$V$1001,0),0), INDEX($AC$1004:$AS$1004,1,MATCH(COLUMNS($AC$1006:AS1006),$AC$1006:$AS$1006,0)))),"Fix")))</f>
        <v>0</v>
      </c>
      <c r="V310">
        <v>0</v>
      </c>
      <c r="W310">
        <v>0</v>
      </c>
      <c r="X310">
        <v>0</v>
      </c>
      <c r="Y310">
        <f>IF(Z310,TRUE,AND(AC310:AS310))</f>
        <v>0</v>
      </c>
      <c r="Z310">
        <f>COUNTBLANK(Metadata!B310:R310)=COLUMNS(Metadata!B310:R310)</f>
        <v>0</v>
      </c>
      <c r="AA310">
        <v>0</v>
      </c>
      <c r="AC310">
        <f>AND(IF(Metadata!B310="",FALSE,TRUE),COUNTIF(Metadata!B:B, Metadata!B310) = 1,NOT(ISERROR(SUMPRODUCT(SEARCH(MID(Metadata!B310,ROW(INDIRECT("1:"&amp;LEN(Metadata!B310))), 1),"0123456789abcdefghijklmnopqrstuvwxyzABCDEFGHIJKLMNOPQRSTUVWXYZ.")))))</f>
        <v>0</v>
      </c>
      <c r="AD310">
        <f>AND(IF(Metadata!C310="",FALSE,TRUE),exact(Metadata!C310,"Host-associated"))</f>
        <v>0</v>
      </c>
      <c r="AE310">
        <f>AND(IF(Metadata!D310="",FALSE,TRUE),OR(exact(Metadata!D310,"Animal"),exact(Metadata!D310,"Fungus"),exact(Metadata!D310,"Plant")))</f>
        <v>0</v>
      </c>
      <c r="AF310">
        <f>AND(IF(Metadata!E310="",FALSE,TRUE),OR(exact(Metadata!E310,"Plant secretion"),exact(Metadata!E310,"Plant rhizosphere"),exact(Metadata!E310,"Plant surface"),exact(Metadata!E310,"Plant corpus"),exact(Metadata!E310,"Fungus surface"),exact(Metadata!E310,"Fungus corpus"),exact(Metadata!E310,"Animal surface"),exact(Metadata!E310,"Animal proximal gut"),exact(Metadata!E310,"Animal corpus"),exact(Metadata!E310,"Animal distal gut"),exact(Metadata!E310,"Animal secretion")))</f>
        <v>0</v>
      </c>
      <c r="AG310">
        <f>OR(AND(IF(Metadata!F310="",FALSE,TRUE),OR(exact(Metadata!F310,"not collected"),exact(Metadata!F310,"not provided"),exact(Metadata!F310,"restricted access"))),AND(IF(Metadata!F310="",FALSE,TRUE),OR(exact(Metadata!F310,"organism-associated habitat"),exact(Metadata!F310,"plant-associated habitat"),exact(Metadata!F310,"animal-associated habitat"),exact(Metadata!F310,"insecta-associated habitat"),exact(Metadata!F310,"mammalia-associated habitat"),exact(Metadata!F310,"human-associated habitat"),exact(Metadata!F310,"livestock-associated habitat"))))</f>
        <v>0</v>
      </c>
      <c r="AH310">
        <f>AND(IF(Metadata!G310="",FALSE,TRUE),exact(Metadata!G310,"host-associated"))</f>
        <v>0</v>
      </c>
      <c r="AI310">
        <f>OR(AND(IF(Metadata!H310="",FALSE,TRUE),OR(exact(Metadata!H310,"not collected"),exact(Metadata!H310,"not provided"))),AND(IF(Metadata!H310="",FALSE,ISNUMBER(VALUE(Metadata!H310))),Metadata!H310&gt;0))</f>
        <v>0</v>
      </c>
      <c r="AJ310">
        <f>AND(IF(Metadata!I310="",FALSE,TRUE),exact(Metadata!I310,"years"))</f>
        <v>0</v>
      </c>
      <c r="AK310">
        <f>IF(Metadata!J310="",FALSE,TRUE)</f>
        <v>0</v>
      </c>
      <c r="AL310">
        <f>OR(AND(IF(Metadata!K310="",FALSE,TRUE),OR(exact(Metadata!K310,"not collected"),exact(Metadata!K310,"not provided"))),AND(IF(Metadata!K310="",FALSE,ISNUMBER(VALUE(Metadata!K310))),Metadata!K310&gt;0))</f>
        <v>0</v>
      </c>
      <c r="AM310">
        <f>AND(IF(Metadata!L310="",FALSE,TRUE),exact(Metadata!L310,"cm"))</f>
        <v>0</v>
      </c>
      <c r="AN310">
        <f>IF(Metadata!M310="",FALSE,TRUE)</f>
        <v>0</v>
      </c>
      <c r="AO310">
        <f>OR(AND(IF(Metadata!N310="",FALSE,TRUE),OR(exact(Metadata!N310,"not applicable"),exact(Metadata!N310,"not collected"),exact(Metadata!N310,"not provided"))),AND(IF(Metadata!N310="",FALSE,IF(ISERROR(INT(Metadata!N310)),FALSE,INT(Metadata!N310)=Metadata!N310)),Metadata!N310&gt;0))</f>
        <v>0</v>
      </c>
      <c r="AP310">
        <f>OR(AND(IF(Metadata!O310="",FALSE,TRUE),OR(exact(Metadata!O310,"not collected"),exact(Metadata!O310,"not provided"))),AND(IF(Metadata!O310="",FALSE,ISNUMBER(VALUE(Metadata!O310))),Metadata!O310&gt;0))</f>
        <v>0</v>
      </c>
      <c r="AQ310">
        <f>AND(IF(Metadata!P310="",FALSE,TRUE),exact(Metadata!P310,"kg"))</f>
        <v>0</v>
      </c>
      <c r="AR310">
        <f>OR(AND(IF(Metadata!Q310="",FALSE,TRUE),OR(exact(Metadata!Q310,"not applicable"),exact(Metadata!Q310,"not collected"),exact(Metadata!Q310,"not provided"),exact(Metadata!Q310,"restricted access"))),IF(Metadata!Q310="",FALSE,IF(ISERROR(INT(Metadata!Q310)),FALSE,INT(Metadata!Q310)=Metadata!Q310)))</f>
        <v>0</v>
      </c>
      <c r="AS310">
        <f>AND(IF(Metadata!R310="",FALSE,TRUE),exact(Metadata!R310,"Not applicable"))</f>
        <v>0</v>
      </c>
    </row>
    <row r="311" spans="1:45">
      <c r="A311" s="4">
        <f>IF(B311=" "," ",HYPERLINK(CONCATENATE("#metadata!",ADDRESS(INDEX($X$2:$X$1001,MATCH(ROWS($V$2:V311),$V$2:$V$1001,0),0),2)),INDEX($AA$2:$AA$1001,MATCH(ROWS($V$2:V311),$V$2:$V$1001,0),0)))</f>
        <v>0</v>
      </c>
      <c r="B311" s="5">
        <f>IF(OR(INDEX($W$2:$W$1001,MATCH(ROWS($V$2:V311),$V$2:$V$1001,0),1)&gt;=100000,INDEX($AC$1005:$AS$1005,1,MATCH(COLUMNS($AC$1006:AC1006),$AC$1006:$AS$1006,0))&gt;=100000), " ",IF(INDEX($AC$2:$AS$1001,MATCH(ROWS($V$2:V311),$V$2:$V$1001,0),MATCH(COLUMNS($AC$1006:AC1006),$AC$1006:$AS$1006,0)), HYPERLINK("#",""), HYPERLINK(CONCATENATE("#Metadata!", ADDRESS(INDEX($X$2:$X$1001,MATCH(ROWS($V$2:V311),$V$2:$V$1001,0),0), INDEX($AC$1004:$AS$1004,1,MATCH(COLUMNS($AC$1006:AC1006),$AC$1006:$AS$1006,0)))),"Fix")))</f>
        <v>0</v>
      </c>
      <c r="C311" s="5">
        <f>IF(OR(INDEX($W$2:$W$1001,MATCH(ROWS($V$2:V311),$V$2:$V$1001,0),1)&gt;=100000,INDEX($AC$1005:$AS$1005,1,MATCH(COLUMNS($AC$1006:AD1006),$AC$1006:$AS$1006,0))&gt;=100000), " ",IF(INDEX($AC$2:$AS$1001,MATCH(ROWS($V$2:V311),$V$2:$V$1001,0),MATCH(COLUMNS($AC$1006:AD1006),$AC$1006:$AS$1006,0)), HYPERLINK("#",""), HYPERLINK(CONCATENATE("#Metadata!", ADDRESS(INDEX($X$2:$X$1001,MATCH(ROWS($V$2:V311),$V$2:$V$1001,0),0), INDEX($AC$1004:$AS$1004,1,MATCH(COLUMNS($AC$1006:AD1006),$AC$1006:$AS$1006,0)))),"Fix")))</f>
        <v>0</v>
      </c>
      <c r="D311" s="5">
        <f>IF(OR(INDEX($W$2:$W$1001,MATCH(ROWS($V$2:V311),$V$2:$V$1001,0),1)&gt;=100000,INDEX($AC$1005:$AS$1005,1,MATCH(COLUMNS($AC$1006:AE1006),$AC$1006:$AS$1006,0))&gt;=100000), " ",IF(INDEX($AC$2:$AS$1001,MATCH(ROWS($V$2:V311),$V$2:$V$1001,0),MATCH(COLUMNS($AC$1006:AE1006),$AC$1006:$AS$1006,0)), HYPERLINK("#",""), HYPERLINK(CONCATENATE("#Metadata!", ADDRESS(INDEX($X$2:$X$1001,MATCH(ROWS($V$2:V311),$V$2:$V$1001,0),0), INDEX($AC$1004:$AS$1004,1,MATCH(COLUMNS($AC$1006:AE1006),$AC$1006:$AS$1006,0)))),"Fix")))</f>
        <v>0</v>
      </c>
      <c r="E311" s="5">
        <f>IF(OR(INDEX($W$2:$W$1001,MATCH(ROWS($V$2:V311),$V$2:$V$1001,0),1)&gt;=100000,INDEX($AC$1005:$AS$1005,1,MATCH(COLUMNS($AC$1006:AF1006),$AC$1006:$AS$1006,0))&gt;=100000), " ",IF(INDEX($AC$2:$AS$1001,MATCH(ROWS($V$2:V311),$V$2:$V$1001,0),MATCH(COLUMNS($AC$1006:AF1006),$AC$1006:$AS$1006,0)), HYPERLINK("#",""), HYPERLINK(CONCATENATE("#Metadata!", ADDRESS(INDEX($X$2:$X$1001,MATCH(ROWS($V$2:V311),$V$2:$V$1001,0),0), INDEX($AC$1004:$AS$1004,1,MATCH(COLUMNS($AC$1006:AF1006),$AC$1006:$AS$1006,0)))),"Fix")))</f>
        <v>0</v>
      </c>
      <c r="F311" s="5">
        <f>IF(OR(INDEX($W$2:$W$1001,MATCH(ROWS($V$2:V311),$V$2:$V$1001,0),1)&gt;=100000,INDEX($AC$1005:$AS$1005,1,MATCH(COLUMNS($AC$1006:AG1006),$AC$1006:$AS$1006,0))&gt;=100000), " ",IF(INDEX($AC$2:$AS$1001,MATCH(ROWS($V$2:V311),$V$2:$V$1001,0),MATCH(COLUMNS($AC$1006:AG1006),$AC$1006:$AS$1006,0)), HYPERLINK("#",""), HYPERLINK(CONCATENATE("#Metadata!", ADDRESS(INDEX($X$2:$X$1001,MATCH(ROWS($V$2:V311),$V$2:$V$1001,0),0), INDEX($AC$1004:$AS$1004,1,MATCH(COLUMNS($AC$1006:AG1006),$AC$1006:$AS$1006,0)))),"Fix")))</f>
        <v>0</v>
      </c>
      <c r="G311" s="5">
        <f>IF(OR(INDEX($W$2:$W$1001,MATCH(ROWS($V$2:V311),$V$2:$V$1001,0),1)&gt;=100000,INDEX($AC$1005:$AS$1005,1,MATCH(COLUMNS($AC$1006:AH1006),$AC$1006:$AS$1006,0))&gt;=100000), " ",IF(INDEX($AC$2:$AS$1001,MATCH(ROWS($V$2:V311),$V$2:$V$1001,0),MATCH(COLUMNS($AC$1006:AH1006),$AC$1006:$AS$1006,0)), HYPERLINK("#",""), HYPERLINK(CONCATENATE("#Metadata!", ADDRESS(INDEX($X$2:$X$1001,MATCH(ROWS($V$2:V311),$V$2:$V$1001,0),0), INDEX($AC$1004:$AS$1004,1,MATCH(COLUMNS($AC$1006:AH1006),$AC$1006:$AS$1006,0)))),"Fix")))</f>
        <v>0</v>
      </c>
      <c r="H311" s="5">
        <f>IF(OR(INDEX($W$2:$W$1001,MATCH(ROWS($V$2:V311),$V$2:$V$1001,0),1)&gt;=100000,INDEX($AC$1005:$AS$1005,1,MATCH(COLUMNS($AC$1006:AI1006),$AC$1006:$AS$1006,0))&gt;=100000), " ",IF(INDEX($AC$2:$AS$1001,MATCH(ROWS($V$2:V311),$V$2:$V$1001,0),MATCH(COLUMNS($AC$1006:AI1006),$AC$1006:$AS$1006,0)), HYPERLINK("#",""), HYPERLINK(CONCATENATE("#Metadata!", ADDRESS(INDEX($X$2:$X$1001,MATCH(ROWS($V$2:V311),$V$2:$V$1001,0),0), INDEX($AC$1004:$AS$1004,1,MATCH(COLUMNS($AC$1006:AI1006),$AC$1006:$AS$1006,0)))),"Fix")))</f>
        <v>0</v>
      </c>
      <c r="I311" s="5">
        <f>IF(OR(INDEX($W$2:$W$1001,MATCH(ROWS($V$2:V311),$V$2:$V$1001,0),1)&gt;=100000,INDEX($AC$1005:$AS$1005,1,MATCH(COLUMNS($AC$1006:AJ1006),$AC$1006:$AS$1006,0))&gt;=100000), " ",IF(INDEX($AC$2:$AS$1001,MATCH(ROWS($V$2:V311),$V$2:$V$1001,0),MATCH(COLUMNS($AC$1006:AJ1006),$AC$1006:$AS$1006,0)), HYPERLINK("#",""), HYPERLINK(CONCATENATE("#Metadata!", ADDRESS(INDEX($X$2:$X$1001,MATCH(ROWS($V$2:V311),$V$2:$V$1001,0),0), INDEX($AC$1004:$AS$1004,1,MATCH(COLUMNS($AC$1006:AJ1006),$AC$1006:$AS$1006,0)))),"Fix")))</f>
        <v>0</v>
      </c>
      <c r="J311" s="5">
        <f>IF(OR(INDEX($W$2:$W$1001,MATCH(ROWS($V$2:V311),$V$2:$V$1001,0),1)&gt;=100000,INDEX($AC$1005:$AS$1005,1,MATCH(COLUMNS($AC$1006:AK1006),$AC$1006:$AS$1006,0))&gt;=100000), " ",IF(INDEX($AC$2:$AS$1001,MATCH(ROWS($V$2:V311),$V$2:$V$1001,0),MATCH(COLUMNS($AC$1006:AK1006),$AC$1006:$AS$1006,0)), HYPERLINK("#",""), HYPERLINK(CONCATENATE("#Metadata!", ADDRESS(INDEX($X$2:$X$1001,MATCH(ROWS($V$2:V311),$V$2:$V$1001,0),0), INDEX($AC$1004:$AS$1004,1,MATCH(COLUMNS($AC$1006:AK1006),$AC$1006:$AS$1006,0)))),"Fix")))</f>
        <v>0</v>
      </c>
      <c r="K311" s="5">
        <f>IF(OR(INDEX($W$2:$W$1001,MATCH(ROWS($V$2:V311),$V$2:$V$1001,0),1)&gt;=100000,INDEX($AC$1005:$AS$1005,1,MATCH(COLUMNS($AC$1006:AL1006),$AC$1006:$AS$1006,0))&gt;=100000), " ",IF(INDEX($AC$2:$AS$1001,MATCH(ROWS($V$2:V311),$V$2:$V$1001,0),MATCH(COLUMNS($AC$1006:AL1006),$AC$1006:$AS$1006,0)), HYPERLINK("#",""), HYPERLINK(CONCATENATE("#Metadata!", ADDRESS(INDEX($X$2:$X$1001,MATCH(ROWS($V$2:V311),$V$2:$V$1001,0),0), INDEX($AC$1004:$AS$1004,1,MATCH(COLUMNS($AC$1006:AL1006),$AC$1006:$AS$1006,0)))),"Fix")))</f>
        <v>0</v>
      </c>
      <c r="L311" s="5">
        <f>IF(OR(INDEX($W$2:$W$1001,MATCH(ROWS($V$2:V311),$V$2:$V$1001,0),1)&gt;=100000,INDEX($AC$1005:$AS$1005,1,MATCH(COLUMNS($AC$1006:AM1006),$AC$1006:$AS$1006,0))&gt;=100000), " ",IF(INDEX($AC$2:$AS$1001,MATCH(ROWS($V$2:V311),$V$2:$V$1001,0),MATCH(COLUMNS($AC$1006:AM1006),$AC$1006:$AS$1006,0)), HYPERLINK("#",""), HYPERLINK(CONCATENATE("#Metadata!", ADDRESS(INDEX($X$2:$X$1001,MATCH(ROWS($V$2:V311),$V$2:$V$1001,0),0), INDEX($AC$1004:$AS$1004,1,MATCH(COLUMNS($AC$1006:AM1006),$AC$1006:$AS$1006,0)))),"Fix")))</f>
        <v>0</v>
      </c>
      <c r="M311" s="5">
        <f>IF(OR(INDEX($W$2:$W$1001,MATCH(ROWS($V$2:V311),$V$2:$V$1001,0),1)&gt;=100000,INDEX($AC$1005:$AS$1005,1,MATCH(COLUMNS($AC$1006:AN1006),$AC$1006:$AS$1006,0))&gt;=100000), " ",IF(INDEX($AC$2:$AS$1001,MATCH(ROWS($V$2:V311),$V$2:$V$1001,0),MATCH(COLUMNS($AC$1006:AN1006),$AC$1006:$AS$1006,0)), HYPERLINK("#",""), HYPERLINK(CONCATENATE("#Metadata!", ADDRESS(INDEX($X$2:$X$1001,MATCH(ROWS($V$2:V311),$V$2:$V$1001,0),0), INDEX($AC$1004:$AS$1004,1,MATCH(COLUMNS($AC$1006:AN1006),$AC$1006:$AS$1006,0)))),"Fix")))</f>
        <v>0</v>
      </c>
      <c r="N311" s="5">
        <f>IF(OR(INDEX($W$2:$W$1001,MATCH(ROWS($V$2:V311),$V$2:$V$1001,0),1)&gt;=100000,INDEX($AC$1005:$AS$1005,1,MATCH(COLUMNS($AC$1006:AO1006),$AC$1006:$AS$1006,0))&gt;=100000), " ",IF(INDEX($AC$2:$AS$1001,MATCH(ROWS($V$2:V311),$V$2:$V$1001,0),MATCH(COLUMNS($AC$1006:AO1006),$AC$1006:$AS$1006,0)), HYPERLINK("#",""), HYPERLINK(CONCATENATE("#Metadata!", ADDRESS(INDEX($X$2:$X$1001,MATCH(ROWS($V$2:V311),$V$2:$V$1001,0),0), INDEX($AC$1004:$AS$1004,1,MATCH(COLUMNS($AC$1006:AO1006),$AC$1006:$AS$1006,0)))),"Fix")))</f>
        <v>0</v>
      </c>
      <c r="O311" s="5">
        <f>IF(OR(INDEX($W$2:$W$1001,MATCH(ROWS($V$2:V311),$V$2:$V$1001,0),1)&gt;=100000,INDEX($AC$1005:$AS$1005,1,MATCH(COLUMNS($AC$1006:AP1006),$AC$1006:$AS$1006,0))&gt;=100000), " ",IF(INDEX($AC$2:$AS$1001,MATCH(ROWS($V$2:V311),$V$2:$V$1001,0),MATCH(COLUMNS($AC$1006:AP1006),$AC$1006:$AS$1006,0)), HYPERLINK("#",""), HYPERLINK(CONCATENATE("#Metadata!", ADDRESS(INDEX($X$2:$X$1001,MATCH(ROWS($V$2:V311),$V$2:$V$1001,0),0), INDEX($AC$1004:$AS$1004,1,MATCH(COLUMNS($AC$1006:AP1006),$AC$1006:$AS$1006,0)))),"Fix")))</f>
        <v>0</v>
      </c>
      <c r="P311" s="5">
        <f>IF(OR(INDEX($W$2:$W$1001,MATCH(ROWS($V$2:V311),$V$2:$V$1001,0),1)&gt;=100000,INDEX($AC$1005:$AS$1005,1,MATCH(COLUMNS($AC$1006:AQ1006),$AC$1006:$AS$1006,0))&gt;=100000), " ",IF(INDEX($AC$2:$AS$1001,MATCH(ROWS($V$2:V311),$V$2:$V$1001,0),MATCH(COLUMNS($AC$1006:AQ1006),$AC$1006:$AS$1006,0)), HYPERLINK("#",""), HYPERLINK(CONCATENATE("#Metadata!", ADDRESS(INDEX($X$2:$X$1001,MATCH(ROWS($V$2:V311),$V$2:$V$1001,0),0), INDEX($AC$1004:$AS$1004,1,MATCH(COLUMNS($AC$1006:AQ1006),$AC$1006:$AS$1006,0)))),"Fix")))</f>
        <v>0</v>
      </c>
      <c r="Q311" s="5">
        <f>IF(OR(INDEX($W$2:$W$1001,MATCH(ROWS($V$2:V311),$V$2:$V$1001,0),1)&gt;=100000,INDEX($AC$1005:$AS$1005,1,MATCH(COLUMNS($AC$1006:AR1006),$AC$1006:$AS$1006,0))&gt;=100000), " ",IF(INDEX($AC$2:$AS$1001,MATCH(ROWS($V$2:V311),$V$2:$V$1001,0),MATCH(COLUMNS($AC$1006:AR1006),$AC$1006:$AS$1006,0)), HYPERLINK("#",""), HYPERLINK(CONCATENATE("#Metadata!", ADDRESS(INDEX($X$2:$X$1001,MATCH(ROWS($V$2:V311),$V$2:$V$1001,0),0), INDEX($AC$1004:$AS$1004,1,MATCH(COLUMNS($AC$1006:AR1006),$AC$1006:$AS$1006,0)))),"Fix")))</f>
        <v>0</v>
      </c>
      <c r="R311" s="5">
        <f>IF(OR(INDEX($W$2:$W$1001,MATCH(ROWS($V$2:V311),$V$2:$V$1001,0),1)&gt;=100000,INDEX($AC$1005:$AS$1005,1,MATCH(COLUMNS($AC$1006:AS1006),$AC$1006:$AS$1006,0))&gt;=100000), " ",IF(INDEX($AC$2:$AS$1001,MATCH(ROWS($V$2:V311),$V$2:$V$1001,0),MATCH(COLUMNS($AC$1006:AS1006),$AC$1006:$AS$1006,0)), HYPERLINK("#",""), HYPERLINK(CONCATENATE("#Metadata!", ADDRESS(INDEX($X$2:$X$1001,MATCH(ROWS($V$2:V311),$V$2:$V$1001,0),0), INDEX($AC$1004:$AS$1004,1,MATCH(COLUMNS($AC$1006:AS1006),$AC$1006:$AS$1006,0)))),"Fix")))</f>
        <v>0</v>
      </c>
      <c r="V311">
        <v>0</v>
      </c>
      <c r="W311">
        <v>0</v>
      </c>
      <c r="X311">
        <v>0</v>
      </c>
      <c r="Y311">
        <f>IF(Z311,TRUE,AND(AC311:AS311))</f>
        <v>0</v>
      </c>
      <c r="Z311">
        <f>COUNTBLANK(Metadata!B311:R311)=COLUMNS(Metadata!B311:R311)</f>
        <v>0</v>
      </c>
      <c r="AA311">
        <v>0</v>
      </c>
      <c r="AC311">
        <f>AND(IF(Metadata!B311="",FALSE,TRUE),COUNTIF(Metadata!B:B, Metadata!B311) = 1,NOT(ISERROR(SUMPRODUCT(SEARCH(MID(Metadata!B311,ROW(INDIRECT("1:"&amp;LEN(Metadata!B311))), 1),"0123456789abcdefghijklmnopqrstuvwxyzABCDEFGHIJKLMNOPQRSTUVWXYZ.")))))</f>
        <v>0</v>
      </c>
      <c r="AD311">
        <f>AND(IF(Metadata!C311="",FALSE,TRUE),exact(Metadata!C311,"Host-associated"))</f>
        <v>0</v>
      </c>
      <c r="AE311">
        <f>AND(IF(Metadata!D311="",FALSE,TRUE),OR(exact(Metadata!D311,"Animal"),exact(Metadata!D311,"Fungus"),exact(Metadata!D311,"Plant")))</f>
        <v>0</v>
      </c>
      <c r="AF311">
        <f>AND(IF(Metadata!E311="",FALSE,TRUE),OR(exact(Metadata!E311,"Plant secretion"),exact(Metadata!E311,"Plant rhizosphere"),exact(Metadata!E311,"Plant surface"),exact(Metadata!E311,"Plant corpus"),exact(Metadata!E311,"Fungus surface"),exact(Metadata!E311,"Fungus corpus"),exact(Metadata!E311,"Animal surface"),exact(Metadata!E311,"Animal proximal gut"),exact(Metadata!E311,"Animal corpus"),exact(Metadata!E311,"Animal distal gut"),exact(Metadata!E311,"Animal secretion")))</f>
        <v>0</v>
      </c>
      <c r="AG311">
        <f>OR(AND(IF(Metadata!F311="",FALSE,TRUE),OR(exact(Metadata!F311,"not collected"),exact(Metadata!F311,"not provided"),exact(Metadata!F311,"restricted access"))),AND(IF(Metadata!F311="",FALSE,TRUE),OR(exact(Metadata!F311,"organism-associated habitat"),exact(Metadata!F311,"plant-associated habitat"),exact(Metadata!F311,"animal-associated habitat"),exact(Metadata!F311,"insecta-associated habitat"),exact(Metadata!F311,"mammalia-associated habitat"),exact(Metadata!F311,"human-associated habitat"),exact(Metadata!F311,"livestock-associated habitat"))))</f>
        <v>0</v>
      </c>
      <c r="AH311">
        <f>AND(IF(Metadata!G311="",FALSE,TRUE),exact(Metadata!G311,"host-associated"))</f>
        <v>0</v>
      </c>
      <c r="AI311">
        <f>OR(AND(IF(Metadata!H311="",FALSE,TRUE),OR(exact(Metadata!H311,"not collected"),exact(Metadata!H311,"not provided"))),AND(IF(Metadata!H311="",FALSE,ISNUMBER(VALUE(Metadata!H311))),Metadata!H311&gt;0))</f>
        <v>0</v>
      </c>
      <c r="AJ311">
        <f>AND(IF(Metadata!I311="",FALSE,TRUE),exact(Metadata!I311,"years"))</f>
        <v>0</v>
      </c>
      <c r="AK311">
        <f>IF(Metadata!J311="",FALSE,TRUE)</f>
        <v>0</v>
      </c>
      <c r="AL311">
        <f>OR(AND(IF(Metadata!K311="",FALSE,TRUE),OR(exact(Metadata!K311,"not collected"),exact(Metadata!K311,"not provided"))),AND(IF(Metadata!K311="",FALSE,ISNUMBER(VALUE(Metadata!K311))),Metadata!K311&gt;0))</f>
        <v>0</v>
      </c>
      <c r="AM311">
        <f>AND(IF(Metadata!L311="",FALSE,TRUE),exact(Metadata!L311,"cm"))</f>
        <v>0</v>
      </c>
      <c r="AN311">
        <f>IF(Metadata!M311="",FALSE,TRUE)</f>
        <v>0</v>
      </c>
      <c r="AO311">
        <f>OR(AND(IF(Metadata!N311="",FALSE,TRUE),OR(exact(Metadata!N311,"not applicable"),exact(Metadata!N311,"not collected"),exact(Metadata!N311,"not provided"))),AND(IF(Metadata!N311="",FALSE,IF(ISERROR(INT(Metadata!N311)),FALSE,INT(Metadata!N311)=Metadata!N311)),Metadata!N311&gt;0))</f>
        <v>0</v>
      </c>
      <c r="AP311">
        <f>OR(AND(IF(Metadata!O311="",FALSE,TRUE),OR(exact(Metadata!O311,"not collected"),exact(Metadata!O311,"not provided"))),AND(IF(Metadata!O311="",FALSE,ISNUMBER(VALUE(Metadata!O311))),Metadata!O311&gt;0))</f>
        <v>0</v>
      </c>
      <c r="AQ311">
        <f>AND(IF(Metadata!P311="",FALSE,TRUE),exact(Metadata!P311,"kg"))</f>
        <v>0</v>
      </c>
      <c r="AR311">
        <f>OR(AND(IF(Metadata!Q311="",FALSE,TRUE),OR(exact(Metadata!Q311,"not applicable"),exact(Metadata!Q311,"not collected"),exact(Metadata!Q311,"not provided"),exact(Metadata!Q311,"restricted access"))),IF(Metadata!Q311="",FALSE,IF(ISERROR(INT(Metadata!Q311)),FALSE,INT(Metadata!Q311)=Metadata!Q311)))</f>
        <v>0</v>
      </c>
      <c r="AS311">
        <f>AND(IF(Metadata!R311="",FALSE,TRUE),exact(Metadata!R311,"Not applicable"))</f>
        <v>0</v>
      </c>
    </row>
    <row r="312" spans="1:45">
      <c r="A312" s="4">
        <f>IF(B312=" "," ",HYPERLINK(CONCATENATE("#metadata!",ADDRESS(INDEX($X$2:$X$1001,MATCH(ROWS($V$2:V312),$V$2:$V$1001,0),0),2)),INDEX($AA$2:$AA$1001,MATCH(ROWS($V$2:V312),$V$2:$V$1001,0),0)))</f>
        <v>0</v>
      </c>
      <c r="B312" s="5">
        <f>IF(OR(INDEX($W$2:$W$1001,MATCH(ROWS($V$2:V312),$V$2:$V$1001,0),1)&gt;=100000,INDEX($AC$1005:$AS$1005,1,MATCH(COLUMNS($AC$1006:AC1006),$AC$1006:$AS$1006,0))&gt;=100000), " ",IF(INDEX($AC$2:$AS$1001,MATCH(ROWS($V$2:V312),$V$2:$V$1001,0),MATCH(COLUMNS($AC$1006:AC1006),$AC$1006:$AS$1006,0)), HYPERLINK("#",""), HYPERLINK(CONCATENATE("#Metadata!", ADDRESS(INDEX($X$2:$X$1001,MATCH(ROWS($V$2:V312),$V$2:$V$1001,0),0), INDEX($AC$1004:$AS$1004,1,MATCH(COLUMNS($AC$1006:AC1006),$AC$1006:$AS$1006,0)))),"Fix")))</f>
        <v>0</v>
      </c>
      <c r="C312" s="5">
        <f>IF(OR(INDEX($W$2:$W$1001,MATCH(ROWS($V$2:V312),$V$2:$V$1001,0),1)&gt;=100000,INDEX($AC$1005:$AS$1005,1,MATCH(COLUMNS($AC$1006:AD1006),$AC$1006:$AS$1006,0))&gt;=100000), " ",IF(INDEX($AC$2:$AS$1001,MATCH(ROWS($V$2:V312),$V$2:$V$1001,0),MATCH(COLUMNS($AC$1006:AD1006),$AC$1006:$AS$1006,0)), HYPERLINK("#",""), HYPERLINK(CONCATENATE("#Metadata!", ADDRESS(INDEX($X$2:$X$1001,MATCH(ROWS($V$2:V312),$V$2:$V$1001,0),0), INDEX($AC$1004:$AS$1004,1,MATCH(COLUMNS($AC$1006:AD1006),$AC$1006:$AS$1006,0)))),"Fix")))</f>
        <v>0</v>
      </c>
      <c r="D312" s="5">
        <f>IF(OR(INDEX($W$2:$W$1001,MATCH(ROWS($V$2:V312),$V$2:$V$1001,0),1)&gt;=100000,INDEX($AC$1005:$AS$1005,1,MATCH(COLUMNS($AC$1006:AE1006),$AC$1006:$AS$1006,0))&gt;=100000), " ",IF(INDEX($AC$2:$AS$1001,MATCH(ROWS($V$2:V312),$V$2:$V$1001,0),MATCH(COLUMNS($AC$1006:AE1006),$AC$1006:$AS$1006,0)), HYPERLINK("#",""), HYPERLINK(CONCATENATE("#Metadata!", ADDRESS(INDEX($X$2:$X$1001,MATCH(ROWS($V$2:V312),$V$2:$V$1001,0),0), INDEX($AC$1004:$AS$1004,1,MATCH(COLUMNS($AC$1006:AE1006),$AC$1006:$AS$1006,0)))),"Fix")))</f>
        <v>0</v>
      </c>
      <c r="E312" s="5">
        <f>IF(OR(INDEX($W$2:$W$1001,MATCH(ROWS($V$2:V312),$V$2:$V$1001,0),1)&gt;=100000,INDEX($AC$1005:$AS$1005,1,MATCH(COLUMNS($AC$1006:AF1006),$AC$1006:$AS$1006,0))&gt;=100000), " ",IF(INDEX($AC$2:$AS$1001,MATCH(ROWS($V$2:V312),$V$2:$V$1001,0),MATCH(COLUMNS($AC$1006:AF1006),$AC$1006:$AS$1006,0)), HYPERLINK("#",""), HYPERLINK(CONCATENATE("#Metadata!", ADDRESS(INDEX($X$2:$X$1001,MATCH(ROWS($V$2:V312),$V$2:$V$1001,0),0), INDEX($AC$1004:$AS$1004,1,MATCH(COLUMNS($AC$1006:AF1006),$AC$1006:$AS$1006,0)))),"Fix")))</f>
        <v>0</v>
      </c>
      <c r="F312" s="5">
        <f>IF(OR(INDEX($W$2:$W$1001,MATCH(ROWS($V$2:V312),$V$2:$V$1001,0),1)&gt;=100000,INDEX($AC$1005:$AS$1005,1,MATCH(COLUMNS($AC$1006:AG1006),$AC$1006:$AS$1006,0))&gt;=100000), " ",IF(INDEX($AC$2:$AS$1001,MATCH(ROWS($V$2:V312),$V$2:$V$1001,0),MATCH(COLUMNS($AC$1006:AG1006),$AC$1006:$AS$1006,0)), HYPERLINK("#",""), HYPERLINK(CONCATENATE("#Metadata!", ADDRESS(INDEX($X$2:$X$1001,MATCH(ROWS($V$2:V312),$V$2:$V$1001,0),0), INDEX($AC$1004:$AS$1004,1,MATCH(COLUMNS($AC$1006:AG1006),$AC$1006:$AS$1006,0)))),"Fix")))</f>
        <v>0</v>
      </c>
      <c r="G312" s="5">
        <f>IF(OR(INDEX($W$2:$W$1001,MATCH(ROWS($V$2:V312),$V$2:$V$1001,0),1)&gt;=100000,INDEX($AC$1005:$AS$1005,1,MATCH(COLUMNS($AC$1006:AH1006),$AC$1006:$AS$1006,0))&gt;=100000), " ",IF(INDEX($AC$2:$AS$1001,MATCH(ROWS($V$2:V312),$V$2:$V$1001,0),MATCH(COLUMNS($AC$1006:AH1006),$AC$1006:$AS$1006,0)), HYPERLINK("#",""), HYPERLINK(CONCATENATE("#Metadata!", ADDRESS(INDEX($X$2:$X$1001,MATCH(ROWS($V$2:V312),$V$2:$V$1001,0),0), INDEX($AC$1004:$AS$1004,1,MATCH(COLUMNS($AC$1006:AH1006),$AC$1006:$AS$1006,0)))),"Fix")))</f>
        <v>0</v>
      </c>
      <c r="H312" s="5">
        <f>IF(OR(INDEX($W$2:$W$1001,MATCH(ROWS($V$2:V312),$V$2:$V$1001,0),1)&gt;=100000,INDEX($AC$1005:$AS$1005,1,MATCH(COLUMNS($AC$1006:AI1006),$AC$1006:$AS$1006,0))&gt;=100000), " ",IF(INDEX($AC$2:$AS$1001,MATCH(ROWS($V$2:V312),$V$2:$V$1001,0),MATCH(COLUMNS($AC$1006:AI1006),$AC$1006:$AS$1006,0)), HYPERLINK("#",""), HYPERLINK(CONCATENATE("#Metadata!", ADDRESS(INDEX($X$2:$X$1001,MATCH(ROWS($V$2:V312),$V$2:$V$1001,0),0), INDEX($AC$1004:$AS$1004,1,MATCH(COLUMNS($AC$1006:AI1006),$AC$1006:$AS$1006,0)))),"Fix")))</f>
        <v>0</v>
      </c>
      <c r="I312" s="5">
        <f>IF(OR(INDEX($W$2:$W$1001,MATCH(ROWS($V$2:V312),$V$2:$V$1001,0),1)&gt;=100000,INDEX($AC$1005:$AS$1005,1,MATCH(COLUMNS($AC$1006:AJ1006),$AC$1006:$AS$1006,0))&gt;=100000), " ",IF(INDEX($AC$2:$AS$1001,MATCH(ROWS($V$2:V312),$V$2:$V$1001,0),MATCH(COLUMNS($AC$1006:AJ1006),$AC$1006:$AS$1006,0)), HYPERLINK("#",""), HYPERLINK(CONCATENATE("#Metadata!", ADDRESS(INDEX($X$2:$X$1001,MATCH(ROWS($V$2:V312),$V$2:$V$1001,0),0), INDEX($AC$1004:$AS$1004,1,MATCH(COLUMNS($AC$1006:AJ1006),$AC$1006:$AS$1006,0)))),"Fix")))</f>
        <v>0</v>
      </c>
      <c r="J312" s="5">
        <f>IF(OR(INDEX($W$2:$W$1001,MATCH(ROWS($V$2:V312),$V$2:$V$1001,0),1)&gt;=100000,INDEX($AC$1005:$AS$1005,1,MATCH(COLUMNS($AC$1006:AK1006),$AC$1006:$AS$1006,0))&gt;=100000), " ",IF(INDEX($AC$2:$AS$1001,MATCH(ROWS($V$2:V312),$V$2:$V$1001,0),MATCH(COLUMNS($AC$1006:AK1006),$AC$1006:$AS$1006,0)), HYPERLINK("#",""), HYPERLINK(CONCATENATE("#Metadata!", ADDRESS(INDEX($X$2:$X$1001,MATCH(ROWS($V$2:V312),$V$2:$V$1001,0),0), INDEX($AC$1004:$AS$1004,1,MATCH(COLUMNS($AC$1006:AK1006),$AC$1006:$AS$1006,0)))),"Fix")))</f>
        <v>0</v>
      </c>
      <c r="K312" s="5">
        <f>IF(OR(INDEX($W$2:$W$1001,MATCH(ROWS($V$2:V312),$V$2:$V$1001,0),1)&gt;=100000,INDEX($AC$1005:$AS$1005,1,MATCH(COLUMNS($AC$1006:AL1006),$AC$1006:$AS$1006,0))&gt;=100000), " ",IF(INDEX($AC$2:$AS$1001,MATCH(ROWS($V$2:V312),$V$2:$V$1001,0),MATCH(COLUMNS($AC$1006:AL1006),$AC$1006:$AS$1006,0)), HYPERLINK("#",""), HYPERLINK(CONCATENATE("#Metadata!", ADDRESS(INDEX($X$2:$X$1001,MATCH(ROWS($V$2:V312),$V$2:$V$1001,0),0), INDEX($AC$1004:$AS$1004,1,MATCH(COLUMNS($AC$1006:AL1006),$AC$1006:$AS$1006,0)))),"Fix")))</f>
        <v>0</v>
      </c>
      <c r="L312" s="5">
        <f>IF(OR(INDEX($W$2:$W$1001,MATCH(ROWS($V$2:V312),$V$2:$V$1001,0),1)&gt;=100000,INDEX($AC$1005:$AS$1005,1,MATCH(COLUMNS($AC$1006:AM1006),$AC$1006:$AS$1006,0))&gt;=100000), " ",IF(INDEX($AC$2:$AS$1001,MATCH(ROWS($V$2:V312),$V$2:$V$1001,0),MATCH(COLUMNS($AC$1006:AM1006),$AC$1006:$AS$1006,0)), HYPERLINK("#",""), HYPERLINK(CONCATENATE("#Metadata!", ADDRESS(INDEX($X$2:$X$1001,MATCH(ROWS($V$2:V312),$V$2:$V$1001,0),0), INDEX($AC$1004:$AS$1004,1,MATCH(COLUMNS($AC$1006:AM1006),$AC$1006:$AS$1006,0)))),"Fix")))</f>
        <v>0</v>
      </c>
      <c r="M312" s="5">
        <f>IF(OR(INDEX($W$2:$W$1001,MATCH(ROWS($V$2:V312),$V$2:$V$1001,0),1)&gt;=100000,INDEX($AC$1005:$AS$1005,1,MATCH(COLUMNS($AC$1006:AN1006),$AC$1006:$AS$1006,0))&gt;=100000), " ",IF(INDEX($AC$2:$AS$1001,MATCH(ROWS($V$2:V312),$V$2:$V$1001,0),MATCH(COLUMNS($AC$1006:AN1006),$AC$1006:$AS$1006,0)), HYPERLINK("#",""), HYPERLINK(CONCATENATE("#Metadata!", ADDRESS(INDEX($X$2:$X$1001,MATCH(ROWS($V$2:V312),$V$2:$V$1001,0),0), INDEX($AC$1004:$AS$1004,1,MATCH(COLUMNS($AC$1006:AN1006),$AC$1006:$AS$1006,0)))),"Fix")))</f>
        <v>0</v>
      </c>
      <c r="N312" s="5">
        <f>IF(OR(INDEX($W$2:$W$1001,MATCH(ROWS($V$2:V312),$V$2:$V$1001,0),1)&gt;=100000,INDEX($AC$1005:$AS$1005,1,MATCH(COLUMNS($AC$1006:AO1006),$AC$1006:$AS$1006,0))&gt;=100000), " ",IF(INDEX($AC$2:$AS$1001,MATCH(ROWS($V$2:V312),$V$2:$V$1001,0),MATCH(COLUMNS($AC$1006:AO1006),$AC$1006:$AS$1006,0)), HYPERLINK("#",""), HYPERLINK(CONCATENATE("#Metadata!", ADDRESS(INDEX($X$2:$X$1001,MATCH(ROWS($V$2:V312),$V$2:$V$1001,0),0), INDEX($AC$1004:$AS$1004,1,MATCH(COLUMNS($AC$1006:AO1006),$AC$1006:$AS$1006,0)))),"Fix")))</f>
        <v>0</v>
      </c>
      <c r="O312" s="5">
        <f>IF(OR(INDEX($W$2:$W$1001,MATCH(ROWS($V$2:V312),$V$2:$V$1001,0),1)&gt;=100000,INDEX($AC$1005:$AS$1005,1,MATCH(COLUMNS($AC$1006:AP1006),$AC$1006:$AS$1006,0))&gt;=100000), " ",IF(INDEX($AC$2:$AS$1001,MATCH(ROWS($V$2:V312),$V$2:$V$1001,0),MATCH(COLUMNS($AC$1006:AP1006),$AC$1006:$AS$1006,0)), HYPERLINK("#",""), HYPERLINK(CONCATENATE("#Metadata!", ADDRESS(INDEX($X$2:$X$1001,MATCH(ROWS($V$2:V312),$V$2:$V$1001,0),0), INDEX($AC$1004:$AS$1004,1,MATCH(COLUMNS($AC$1006:AP1006),$AC$1006:$AS$1006,0)))),"Fix")))</f>
        <v>0</v>
      </c>
      <c r="P312" s="5">
        <f>IF(OR(INDEX($W$2:$W$1001,MATCH(ROWS($V$2:V312),$V$2:$V$1001,0),1)&gt;=100000,INDEX($AC$1005:$AS$1005,1,MATCH(COLUMNS($AC$1006:AQ1006),$AC$1006:$AS$1006,0))&gt;=100000), " ",IF(INDEX($AC$2:$AS$1001,MATCH(ROWS($V$2:V312),$V$2:$V$1001,0),MATCH(COLUMNS($AC$1006:AQ1006),$AC$1006:$AS$1006,0)), HYPERLINK("#",""), HYPERLINK(CONCATENATE("#Metadata!", ADDRESS(INDEX($X$2:$X$1001,MATCH(ROWS($V$2:V312),$V$2:$V$1001,0),0), INDEX($AC$1004:$AS$1004,1,MATCH(COLUMNS($AC$1006:AQ1006),$AC$1006:$AS$1006,0)))),"Fix")))</f>
        <v>0</v>
      </c>
      <c r="Q312" s="5">
        <f>IF(OR(INDEX($W$2:$W$1001,MATCH(ROWS($V$2:V312),$V$2:$V$1001,0),1)&gt;=100000,INDEX($AC$1005:$AS$1005,1,MATCH(COLUMNS($AC$1006:AR1006),$AC$1006:$AS$1006,0))&gt;=100000), " ",IF(INDEX($AC$2:$AS$1001,MATCH(ROWS($V$2:V312),$V$2:$V$1001,0),MATCH(COLUMNS($AC$1006:AR1006),$AC$1006:$AS$1006,0)), HYPERLINK("#",""), HYPERLINK(CONCATENATE("#Metadata!", ADDRESS(INDEX($X$2:$X$1001,MATCH(ROWS($V$2:V312),$V$2:$V$1001,0),0), INDEX($AC$1004:$AS$1004,1,MATCH(COLUMNS($AC$1006:AR1006),$AC$1006:$AS$1006,0)))),"Fix")))</f>
        <v>0</v>
      </c>
      <c r="R312" s="5">
        <f>IF(OR(INDEX($W$2:$W$1001,MATCH(ROWS($V$2:V312),$V$2:$V$1001,0),1)&gt;=100000,INDEX($AC$1005:$AS$1005,1,MATCH(COLUMNS($AC$1006:AS1006),$AC$1006:$AS$1006,0))&gt;=100000), " ",IF(INDEX($AC$2:$AS$1001,MATCH(ROWS($V$2:V312),$V$2:$V$1001,0),MATCH(COLUMNS($AC$1006:AS1006),$AC$1006:$AS$1006,0)), HYPERLINK("#",""), HYPERLINK(CONCATENATE("#Metadata!", ADDRESS(INDEX($X$2:$X$1001,MATCH(ROWS($V$2:V312),$V$2:$V$1001,0),0), INDEX($AC$1004:$AS$1004,1,MATCH(COLUMNS($AC$1006:AS1006),$AC$1006:$AS$1006,0)))),"Fix")))</f>
        <v>0</v>
      </c>
      <c r="V312">
        <v>0</v>
      </c>
      <c r="W312">
        <v>0</v>
      </c>
      <c r="X312">
        <v>0</v>
      </c>
      <c r="Y312">
        <f>IF(Z312,TRUE,AND(AC312:AS312))</f>
        <v>0</v>
      </c>
      <c r="Z312">
        <f>COUNTBLANK(Metadata!B312:R312)=COLUMNS(Metadata!B312:R312)</f>
        <v>0</v>
      </c>
      <c r="AA312">
        <v>0</v>
      </c>
      <c r="AC312">
        <f>AND(IF(Metadata!B312="",FALSE,TRUE),COUNTIF(Metadata!B:B, Metadata!B312) = 1,NOT(ISERROR(SUMPRODUCT(SEARCH(MID(Metadata!B312,ROW(INDIRECT("1:"&amp;LEN(Metadata!B312))), 1),"0123456789abcdefghijklmnopqrstuvwxyzABCDEFGHIJKLMNOPQRSTUVWXYZ.")))))</f>
        <v>0</v>
      </c>
      <c r="AD312">
        <f>AND(IF(Metadata!C312="",FALSE,TRUE),exact(Metadata!C312,"Host-associated"))</f>
        <v>0</v>
      </c>
      <c r="AE312">
        <f>AND(IF(Metadata!D312="",FALSE,TRUE),OR(exact(Metadata!D312,"Animal"),exact(Metadata!D312,"Fungus"),exact(Metadata!D312,"Plant")))</f>
        <v>0</v>
      </c>
      <c r="AF312">
        <f>AND(IF(Metadata!E312="",FALSE,TRUE),OR(exact(Metadata!E312,"Plant secretion"),exact(Metadata!E312,"Plant rhizosphere"),exact(Metadata!E312,"Plant surface"),exact(Metadata!E312,"Plant corpus"),exact(Metadata!E312,"Fungus surface"),exact(Metadata!E312,"Fungus corpus"),exact(Metadata!E312,"Animal surface"),exact(Metadata!E312,"Animal proximal gut"),exact(Metadata!E312,"Animal corpus"),exact(Metadata!E312,"Animal distal gut"),exact(Metadata!E312,"Animal secretion")))</f>
        <v>0</v>
      </c>
      <c r="AG312">
        <f>OR(AND(IF(Metadata!F312="",FALSE,TRUE),OR(exact(Metadata!F312,"not collected"),exact(Metadata!F312,"not provided"),exact(Metadata!F312,"restricted access"))),AND(IF(Metadata!F312="",FALSE,TRUE),OR(exact(Metadata!F312,"organism-associated habitat"),exact(Metadata!F312,"plant-associated habitat"),exact(Metadata!F312,"animal-associated habitat"),exact(Metadata!F312,"insecta-associated habitat"),exact(Metadata!F312,"mammalia-associated habitat"),exact(Metadata!F312,"human-associated habitat"),exact(Metadata!F312,"livestock-associated habitat"))))</f>
        <v>0</v>
      </c>
      <c r="AH312">
        <f>AND(IF(Metadata!G312="",FALSE,TRUE),exact(Metadata!G312,"host-associated"))</f>
        <v>0</v>
      </c>
      <c r="AI312">
        <f>OR(AND(IF(Metadata!H312="",FALSE,TRUE),OR(exact(Metadata!H312,"not collected"),exact(Metadata!H312,"not provided"))),AND(IF(Metadata!H312="",FALSE,ISNUMBER(VALUE(Metadata!H312))),Metadata!H312&gt;0))</f>
        <v>0</v>
      </c>
      <c r="AJ312">
        <f>AND(IF(Metadata!I312="",FALSE,TRUE),exact(Metadata!I312,"years"))</f>
        <v>0</v>
      </c>
      <c r="AK312">
        <f>IF(Metadata!J312="",FALSE,TRUE)</f>
        <v>0</v>
      </c>
      <c r="AL312">
        <f>OR(AND(IF(Metadata!K312="",FALSE,TRUE),OR(exact(Metadata!K312,"not collected"),exact(Metadata!K312,"not provided"))),AND(IF(Metadata!K312="",FALSE,ISNUMBER(VALUE(Metadata!K312))),Metadata!K312&gt;0))</f>
        <v>0</v>
      </c>
      <c r="AM312">
        <f>AND(IF(Metadata!L312="",FALSE,TRUE),exact(Metadata!L312,"cm"))</f>
        <v>0</v>
      </c>
      <c r="AN312">
        <f>IF(Metadata!M312="",FALSE,TRUE)</f>
        <v>0</v>
      </c>
      <c r="AO312">
        <f>OR(AND(IF(Metadata!N312="",FALSE,TRUE),OR(exact(Metadata!N312,"not applicable"),exact(Metadata!N312,"not collected"),exact(Metadata!N312,"not provided"))),AND(IF(Metadata!N312="",FALSE,IF(ISERROR(INT(Metadata!N312)),FALSE,INT(Metadata!N312)=Metadata!N312)),Metadata!N312&gt;0))</f>
        <v>0</v>
      </c>
      <c r="AP312">
        <f>OR(AND(IF(Metadata!O312="",FALSE,TRUE),OR(exact(Metadata!O312,"not collected"),exact(Metadata!O312,"not provided"))),AND(IF(Metadata!O312="",FALSE,ISNUMBER(VALUE(Metadata!O312))),Metadata!O312&gt;0))</f>
        <v>0</v>
      </c>
      <c r="AQ312">
        <f>AND(IF(Metadata!P312="",FALSE,TRUE),exact(Metadata!P312,"kg"))</f>
        <v>0</v>
      </c>
      <c r="AR312">
        <f>OR(AND(IF(Metadata!Q312="",FALSE,TRUE),OR(exact(Metadata!Q312,"not applicable"),exact(Metadata!Q312,"not collected"),exact(Metadata!Q312,"not provided"),exact(Metadata!Q312,"restricted access"))),IF(Metadata!Q312="",FALSE,IF(ISERROR(INT(Metadata!Q312)),FALSE,INT(Metadata!Q312)=Metadata!Q312)))</f>
        <v>0</v>
      </c>
      <c r="AS312">
        <f>AND(IF(Metadata!R312="",FALSE,TRUE),exact(Metadata!R312,"Not applicable"))</f>
        <v>0</v>
      </c>
    </row>
    <row r="313" spans="1:45">
      <c r="A313" s="4">
        <f>IF(B313=" "," ",HYPERLINK(CONCATENATE("#metadata!",ADDRESS(INDEX($X$2:$X$1001,MATCH(ROWS($V$2:V313),$V$2:$V$1001,0),0),2)),INDEX($AA$2:$AA$1001,MATCH(ROWS($V$2:V313),$V$2:$V$1001,0),0)))</f>
        <v>0</v>
      </c>
      <c r="B313" s="5">
        <f>IF(OR(INDEX($W$2:$W$1001,MATCH(ROWS($V$2:V313),$V$2:$V$1001,0),1)&gt;=100000,INDEX($AC$1005:$AS$1005,1,MATCH(COLUMNS($AC$1006:AC1006),$AC$1006:$AS$1006,0))&gt;=100000), " ",IF(INDEX($AC$2:$AS$1001,MATCH(ROWS($V$2:V313),$V$2:$V$1001,0),MATCH(COLUMNS($AC$1006:AC1006),$AC$1006:$AS$1006,0)), HYPERLINK("#",""), HYPERLINK(CONCATENATE("#Metadata!", ADDRESS(INDEX($X$2:$X$1001,MATCH(ROWS($V$2:V313),$V$2:$V$1001,0),0), INDEX($AC$1004:$AS$1004,1,MATCH(COLUMNS($AC$1006:AC1006),$AC$1006:$AS$1006,0)))),"Fix")))</f>
        <v>0</v>
      </c>
      <c r="C313" s="5">
        <f>IF(OR(INDEX($W$2:$W$1001,MATCH(ROWS($V$2:V313),$V$2:$V$1001,0),1)&gt;=100000,INDEX($AC$1005:$AS$1005,1,MATCH(COLUMNS($AC$1006:AD1006),$AC$1006:$AS$1006,0))&gt;=100000), " ",IF(INDEX($AC$2:$AS$1001,MATCH(ROWS($V$2:V313),$V$2:$V$1001,0),MATCH(COLUMNS($AC$1006:AD1006),$AC$1006:$AS$1006,0)), HYPERLINK("#",""), HYPERLINK(CONCATENATE("#Metadata!", ADDRESS(INDEX($X$2:$X$1001,MATCH(ROWS($V$2:V313),$V$2:$V$1001,0),0), INDEX($AC$1004:$AS$1004,1,MATCH(COLUMNS($AC$1006:AD1006),$AC$1006:$AS$1006,0)))),"Fix")))</f>
        <v>0</v>
      </c>
      <c r="D313" s="5">
        <f>IF(OR(INDEX($W$2:$W$1001,MATCH(ROWS($V$2:V313),$V$2:$V$1001,0),1)&gt;=100000,INDEX($AC$1005:$AS$1005,1,MATCH(COLUMNS($AC$1006:AE1006),$AC$1006:$AS$1006,0))&gt;=100000), " ",IF(INDEX($AC$2:$AS$1001,MATCH(ROWS($V$2:V313),$V$2:$V$1001,0),MATCH(COLUMNS($AC$1006:AE1006),$AC$1006:$AS$1006,0)), HYPERLINK("#",""), HYPERLINK(CONCATENATE("#Metadata!", ADDRESS(INDEX($X$2:$X$1001,MATCH(ROWS($V$2:V313),$V$2:$V$1001,0),0), INDEX($AC$1004:$AS$1004,1,MATCH(COLUMNS($AC$1006:AE1006),$AC$1006:$AS$1006,0)))),"Fix")))</f>
        <v>0</v>
      </c>
      <c r="E313" s="5">
        <f>IF(OR(INDEX($W$2:$W$1001,MATCH(ROWS($V$2:V313),$V$2:$V$1001,0),1)&gt;=100000,INDEX($AC$1005:$AS$1005,1,MATCH(COLUMNS($AC$1006:AF1006),$AC$1006:$AS$1006,0))&gt;=100000), " ",IF(INDEX($AC$2:$AS$1001,MATCH(ROWS($V$2:V313),$V$2:$V$1001,0),MATCH(COLUMNS($AC$1006:AF1006),$AC$1006:$AS$1006,0)), HYPERLINK("#",""), HYPERLINK(CONCATENATE("#Metadata!", ADDRESS(INDEX($X$2:$X$1001,MATCH(ROWS($V$2:V313),$V$2:$V$1001,0),0), INDEX($AC$1004:$AS$1004,1,MATCH(COLUMNS($AC$1006:AF1006),$AC$1006:$AS$1006,0)))),"Fix")))</f>
        <v>0</v>
      </c>
      <c r="F313" s="5">
        <f>IF(OR(INDEX($W$2:$W$1001,MATCH(ROWS($V$2:V313),$V$2:$V$1001,0),1)&gt;=100000,INDEX($AC$1005:$AS$1005,1,MATCH(COLUMNS($AC$1006:AG1006),$AC$1006:$AS$1006,0))&gt;=100000), " ",IF(INDEX($AC$2:$AS$1001,MATCH(ROWS($V$2:V313),$V$2:$V$1001,0),MATCH(COLUMNS($AC$1006:AG1006),$AC$1006:$AS$1006,0)), HYPERLINK("#",""), HYPERLINK(CONCATENATE("#Metadata!", ADDRESS(INDEX($X$2:$X$1001,MATCH(ROWS($V$2:V313),$V$2:$V$1001,0),0), INDEX($AC$1004:$AS$1004,1,MATCH(COLUMNS($AC$1006:AG1006),$AC$1006:$AS$1006,0)))),"Fix")))</f>
        <v>0</v>
      </c>
      <c r="G313" s="5">
        <f>IF(OR(INDEX($W$2:$W$1001,MATCH(ROWS($V$2:V313),$V$2:$V$1001,0),1)&gt;=100000,INDEX($AC$1005:$AS$1005,1,MATCH(COLUMNS($AC$1006:AH1006),$AC$1006:$AS$1006,0))&gt;=100000), " ",IF(INDEX($AC$2:$AS$1001,MATCH(ROWS($V$2:V313),$V$2:$V$1001,0),MATCH(COLUMNS($AC$1006:AH1006),$AC$1006:$AS$1006,0)), HYPERLINK("#",""), HYPERLINK(CONCATENATE("#Metadata!", ADDRESS(INDEX($X$2:$X$1001,MATCH(ROWS($V$2:V313),$V$2:$V$1001,0),0), INDEX($AC$1004:$AS$1004,1,MATCH(COLUMNS($AC$1006:AH1006),$AC$1006:$AS$1006,0)))),"Fix")))</f>
        <v>0</v>
      </c>
      <c r="H313" s="5">
        <f>IF(OR(INDEX($W$2:$W$1001,MATCH(ROWS($V$2:V313),$V$2:$V$1001,0),1)&gt;=100000,INDEX($AC$1005:$AS$1005,1,MATCH(COLUMNS($AC$1006:AI1006),$AC$1006:$AS$1006,0))&gt;=100000), " ",IF(INDEX($AC$2:$AS$1001,MATCH(ROWS($V$2:V313),$V$2:$V$1001,0),MATCH(COLUMNS($AC$1006:AI1006),$AC$1006:$AS$1006,0)), HYPERLINK("#",""), HYPERLINK(CONCATENATE("#Metadata!", ADDRESS(INDEX($X$2:$X$1001,MATCH(ROWS($V$2:V313),$V$2:$V$1001,0),0), INDEX($AC$1004:$AS$1004,1,MATCH(COLUMNS($AC$1006:AI1006),$AC$1006:$AS$1006,0)))),"Fix")))</f>
        <v>0</v>
      </c>
      <c r="I313" s="5">
        <f>IF(OR(INDEX($W$2:$W$1001,MATCH(ROWS($V$2:V313),$V$2:$V$1001,0),1)&gt;=100000,INDEX($AC$1005:$AS$1005,1,MATCH(COLUMNS($AC$1006:AJ1006),$AC$1006:$AS$1006,0))&gt;=100000), " ",IF(INDEX($AC$2:$AS$1001,MATCH(ROWS($V$2:V313),$V$2:$V$1001,0),MATCH(COLUMNS($AC$1006:AJ1006),$AC$1006:$AS$1006,0)), HYPERLINK("#",""), HYPERLINK(CONCATENATE("#Metadata!", ADDRESS(INDEX($X$2:$X$1001,MATCH(ROWS($V$2:V313),$V$2:$V$1001,0),0), INDEX($AC$1004:$AS$1004,1,MATCH(COLUMNS($AC$1006:AJ1006),$AC$1006:$AS$1006,0)))),"Fix")))</f>
        <v>0</v>
      </c>
      <c r="J313" s="5">
        <f>IF(OR(INDEX($W$2:$W$1001,MATCH(ROWS($V$2:V313),$V$2:$V$1001,0),1)&gt;=100000,INDEX($AC$1005:$AS$1005,1,MATCH(COLUMNS($AC$1006:AK1006),$AC$1006:$AS$1006,0))&gt;=100000), " ",IF(INDEX($AC$2:$AS$1001,MATCH(ROWS($V$2:V313),$V$2:$V$1001,0),MATCH(COLUMNS($AC$1006:AK1006),$AC$1006:$AS$1006,0)), HYPERLINK("#",""), HYPERLINK(CONCATENATE("#Metadata!", ADDRESS(INDEX($X$2:$X$1001,MATCH(ROWS($V$2:V313),$V$2:$V$1001,0),0), INDEX($AC$1004:$AS$1004,1,MATCH(COLUMNS($AC$1006:AK1006),$AC$1006:$AS$1006,0)))),"Fix")))</f>
        <v>0</v>
      </c>
      <c r="K313" s="5">
        <f>IF(OR(INDEX($W$2:$W$1001,MATCH(ROWS($V$2:V313),$V$2:$V$1001,0),1)&gt;=100000,INDEX($AC$1005:$AS$1005,1,MATCH(COLUMNS($AC$1006:AL1006),$AC$1006:$AS$1006,0))&gt;=100000), " ",IF(INDEX($AC$2:$AS$1001,MATCH(ROWS($V$2:V313),$V$2:$V$1001,0),MATCH(COLUMNS($AC$1006:AL1006),$AC$1006:$AS$1006,0)), HYPERLINK("#",""), HYPERLINK(CONCATENATE("#Metadata!", ADDRESS(INDEX($X$2:$X$1001,MATCH(ROWS($V$2:V313),$V$2:$V$1001,0),0), INDEX($AC$1004:$AS$1004,1,MATCH(COLUMNS($AC$1006:AL1006),$AC$1006:$AS$1006,0)))),"Fix")))</f>
        <v>0</v>
      </c>
      <c r="L313" s="5">
        <f>IF(OR(INDEX($W$2:$W$1001,MATCH(ROWS($V$2:V313),$V$2:$V$1001,0),1)&gt;=100000,INDEX($AC$1005:$AS$1005,1,MATCH(COLUMNS($AC$1006:AM1006),$AC$1006:$AS$1006,0))&gt;=100000), " ",IF(INDEX($AC$2:$AS$1001,MATCH(ROWS($V$2:V313),$V$2:$V$1001,0),MATCH(COLUMNS($AC$1006:AM1006),$AC$1006:$AS$1006,0)), HYPERLINK("#",""), HYPERLINK(CONCATENATE("#Metadata!", ADDRESS(INDEX($X$2:$X$1001,MATCH(ROWS($V$2:V313),$V$2:$V$1001,0),0), INDEX($AC$1004:$AS$1004,1,MATCH(COLUMNS($AC$1006:AM1006),$AC$1006:$AS$1006,0)))),"Fix")))</f>
        <v>0</v>
      </c>
      <c r="M313" s="5">
        <f>IF(OR(INDEX($W$2:$W$1001,MATCH(ROWS($V$2:V313),$V$2:$V$1001,0),1)&gt;=100000,INDEX($AC$1005:$AS$1005,1,MATCH(COLUMNS($AC$1006:AN1006),$AC$1006:$AS$1006,0))&gt;=100000), " ",IF(INDEX($AC$2:$AS$1001,MATCH(ROWS($V$2:V313),$V$2:$V$1001,0),MATCH(COLUMNS($AC$1006:AN1006),$AC$1006:$AS$1006,0)), HYPERLINK("#",""), HYPERLINK(CONCATENATE("#Metadata!", ADDRESS(INDEX($X$2:$X$1001,MATCH(ROWS($V$2:V313),$V$2:$V$1001,0),0), INDEX($AC$1004:$AS$1004,1,MATCH(COLUMNS($AC$1006:AN1006),$AC$1006:$AS$1006,0)))),"Fix")))</f>
        <v>0</v>
      </c>
      <c r="N313" s="5">
        <f>IF(OR(INDEX($W$2:$W$1001,MATCH(ROWS($V$2:V313),$V$2:$V$1001,0),1)&gt;=100000,INDEX($AC$1005:$AS$1005,1,MATCH(COLUMNS($AC$1006:AO1006),$AC$1006:$AS$1006,0))&gt;=100000), " ",IF(INDEX($AC$2:$AS$1001,MATCH(ROWS($V$2:V313),$V$2:$V$1001,0),MATCH(COLUMNS($AC$1006:AO1006),$AC$1006:$AS$1006,0)), HYPERLINK("#",""), HYPERLINK(CONCATENATE("#Metadata!", ADDRESS(INDEX($X$2:$X$1001,MATCH(ROWS($V$2:V313),$V$2:$V$1001,0),0), INDEX($AC$1004:$AS$1004,1,MATCH(COLUMNS($AC$1006:AO1006),$AC$1006:$AS$1006,0)))),"Fix")))</f>
        <v>0</v>
      </c>
      <c r="O313" s="5">
        <f>IF(OR(INDEX($W$2:$W$1001,MATCH(ROWS($V$2:V313),$V$2:$V$1001,0),1)&gt;=100000,INDEX($AC$1005:$AS$1005,1,MATCH(COLUMNS($AC$1006:AP1006),$AC$1006:$AS$1006,0))&gt;=100000), " ",IF(INDEX($AC$2:$AS$1001,MATCH(ROWS($V$2:V313),$V$2:$V$1001,0),MATCH(COLUMNS($AC$1006:AP1006),$AC$1006:$AS$1006,0)), HYPERLINK("#",""), HYPERLINK(CONCATENATE("#Metadata!", ADDRESS(INDEX($X$2:$X$1001,MATCH(ROWS($V$2:V313),$V$2:$V$1001,0),0), INDEX($AC$1004:$AS$1004,1,MATCH(COLUMNS($AC$1006:AP1006),$AC$1006:$AS$1006,0)))),"Fix")))</f>
        <v>0</v>
      </c>
      <c r="P313" s="5">
        <f>IF(OR(INDEX($W$2:$W$1001,MATCH(ROWS($V$2:V313),$V$2:$V$1001,0),1)&gt;=100000,INDEX($AC$1005:$AS$1005,1,MATCH(COLUMNS($AC$1006:AQ1006),$AC$1006:$AS$1006,0))&gt;=100000), " ",IF(INDEX($AC$2:$AS$1001,MATCH(ROWS($V$2:V313),$V$2:$V$1001,0),MATCH(COLUMNS($AC$1006:AQ1006),$AC$1006:$AS$1006,0)), HYPERLINK("#",""), HYPERLINK(CONCATENATE("#Metadata!", ADDRESS(INDEX($X$2:$X$1001,MATCH(ROWS($V$2:V313),$V$2:$V$1001,0),0), INDEX($AC$1004:$AS$1004,1,MATCH(COLUMNS($AC$1006:AQ1006),$AC$1006:$AS$1006,0)))),"Fix")))</f>
        <v>0</v>
      </c>
      <c r="Q313" s="5">
        <f>IF(OR(INDEX($W$2:$W$1001,MATCH(ROWS($V$2:V313),$V$2:$V$1001,0),1)&gt;=100000,INDEX($AC$1005:$AS$1005,1,MATCH(COLUMNS($AC$1006:AR1006),$AC$1006:$AS$1006,0))&gt;=100000), " ",IF(INDEX($AC$2:$AS$1001,MATCH(ROWS($V$2:V313),$V$2:$V$1001,0),MATCH(COLUMNS($AC$1006:AR1006),$AC$1006:$AS$1006,0)), HYPERLINK("#",""), HYPERLINK(CONCATENATE("#Metadata!", ADDRESS(INDEX($X$2:$X$1001,MATCH(ROWS($V$2:V313),$V$2:$V$1001,0),0), INDEX($AC$1004:$AS$1004,1,MATCH(COLUMNS($AC$1006:AR1006),$AC$1006:$AS$1006,0)))),"Fix")))</f>
        <v>0</v>
      </c>
      <c r="R313" s="5">
        <f>IF(OR(INDEX($W$2:$W$1001,MATCH(ROWS($V$2:V313),$V$2:$V$1001,0),1)&gt;=100000,INDEX($AC$1005:$AS$1005,1,MATCH(COLUMNS($AC$1006:AS1006),$AC$1006:$AS$1006,0))&gt;=100000), " ",IF(INDEX($AC$2:$AS$1001,MATCH(ROWS($V$2:V313),$V$2:$V$1001,0),MATCH(COLUMNS($AC$1006:AS1006),$AC$1006:$AS$1006,0)), HYPERLINK("#",""), HYPERLINK(CONCATENATE("#Metadata!", ADDRESS(INDEX($X$2:$X$1001,MATCH(ROWS($V$2:V313),$V$2:$V$1001,0),0), INDEX($AC$1004:$AS$1004,1,MATCH(COLUMNS($AC$1006:AS1006),$AC$1006:$AS$1006,0)))),"Fix")))</f>
        <v>0</v>
      </c>
      <c r="V313">
        <v>0</v>
      </c>
      <c r="W313">
        <v>0</v>
      </c>
      <c r="X313">
        <v>0</v>
      </c>
      <c r="Y313">
        <f>IF(Z313,TRUE,AND(AC313:AS313))</f>
        <v>0</v>
      </c>
      <c r="Z313">
        <f>COUNTBLANK(Metadata!B313:R313)=COLUMNS(Metadata!B313:R313)</f>
        <v>0</v>
      </c>
      <c r="AA313">
        <v>0</v>
      </c>
      <c r="AC313">
        <f>AND(IF(Metadata!B313="",FALSE,TRUE),COUNTIF(Metadata!B:B, Metadata!B313) = 1,NOT(ISERROR(SUMPRODUCT(SEARCH(MID(Metadata!B313,ROW(INDIRECT("1:"&amp;LEN(Metadata!B313))), 1),"0123456789abcdefghijklmnopqrstuvwxyzABCDEFGHIJKLMNOPQRSTUVWXYZ.")))))</f>
        <v>0</v>
      </c>
      <c r="AD313">
        <f>AND(IF(Metadata!C313="",FALSE,TRUE),exact(Metadata!C313,"Host-associated"))</f>
        <v>0</v>
      </c>
      <c r="AE313">
        <f>AND(IF(Metadata!D313="",FALSE,TRUE),OR(exact(Metadata!D313,"Animal"),exact(Metadata!D313,"Fungus"),exact(Metadata!D313,"Plant")))</f>
        <v>0</v>
      </c>
      <c r="AF313">
        <f>AND(IF(Metadata!E313="",FALSE,TRUE),OR(exact(Metadata!E313,"Plant secretion"),exact(Metadata!E313,"Plant rhizosphere"),exact(Metadata!E313,"Plant surface"),exact(Metadata!E313,"Plant corpus"),exact(Metadata!E313,"Fungus surface"),exact(Metadata!E313,"Fungus corpus"),exact(Metadata!E313,"Animal surface"),exact(Metadata!E313,"Animal proximal gut"),exact(Metadata!E313,"Animal corpus"),exact(Metadata!E313,"Animal distal gut"),exact(Metadata!E313,"Animal secretion")))</f>
        <v>0</v>
      </c>
      <c r="AG313">
        <f>OR(AND(IF(Metadata!F313="",FALSE,TRUE),OR(exact(Metadata!F313,"not collected"),exact(Metadata!F313,"not provided"),exact(Metadata!F313,"restricted access"))),AND(IF(Metadata!F313="",FALSE,TRUE),OR(exact(Metadata!F313,"organism-associated habitat"),exact(Metadata!F313,"plant-associated habitat"),exact(Metadata!F313,"animal-associated habitat"),exact(Metadata!F313,"insecta-associated habitat"),exact(Metadata!F313,"mammalia-associated habitat"),exact(Metadata!F313,"human-associated habitat"),exact(Metadata!F313,"livestock-associated habitat"))))</f>
        <v>0</v>
      </c>
      <c r="AH313">
        <f>AND(IF(Metadata!G313="",FALSE,TRUE),exact(Metadata!G313,"host-associated"))</f>
        <v>0</v>
      </c>
      <c r="AI313">
        <f>OR(AND(IF(Metadata!H313="",FALSE,TRUE),OR(exact(Metadata!H313,"not collected"),exact(Metadata!H313,"not provided"))),AND(IF(Metadata!H313="",FALSE,ISNUMBER(VALUE(Metadata!H313))),Metadata!H313&gt;0))</f>
        <v>0</v>
      </c>
      <c r="AJ313">
        <f>AND(IF(Metadata!I313="",FALSE,TRUE),exact(Metadata!I313,"years"))</f>
        <v>0</v>
      </c>
      <c r="AK313">
        <f>IF(Metadata!J313="",FALSE,TRUE)</f>
        <v>0</v>
      </c>
      <c r="AL313">
        <f>OR(AND(IF(Metadata!K313="",FALSE,TRUE),OR(exact(Metadata!K313,"not collected"),exact(Metadata!K313,"not provided"))),AND(IF(Metadata!K313="",FALSE,ISNUMBER(VALUE(Metadata!K313))),Metadata!K313&gt;0))</f>
        <v>0</v>
      </c>
      <c r="AM313">
        <f>AND(IF(Metadata!L313="",FALSE,TRUE),exact(Metadata!L313,"cm"))</f>
        <v>0</v>
      </c>
      <c r="AN313">
        <f>IF(Metadata!M313="",FALSE,TRUE)</f>
        <v>0</v>
      </c>
      <c r="AO313">
        <f>OR(AND(IF(Metadata!N313="",FALSE,TRUE),OR(exact(Metadata!N313,"not applicable"),exact(Metadata!N313,"not collected"),exact(Metadata!N313,"not provided"))),AND(IF(Metadata!N313="",FALSE,IF(ISERROR(INT(Metadata!N313)),FALSE,INT(Metadata!N313)=Metadata!N313)),Metadata!N313&gt;0))</f>
        <v>0</v>
      </c>
      <c r="AP313">
        <f>OR(AND(IF(Metadata!O313="",FALSE,TRUE),OR(exact(Metadata!O313,"not collected"),exact(Metadata!O313,"not provided"))),AND(IF(Metadata!O313="",FALSE,ISNUMBER(VALUE(Metadata!O313))),Metadata!O313&gt;0))</f>
        <v>0</v>
      </c>
      <c r="AQ313">
        <f>AND(IF(Metadata!P313="",FALSE,TRUE),exact(Metadata!P313,"kg"))</f>
        <v>0</v>
      </c>
      <c r="AR313">
        <f>OR(AND(IF(Metadata!Q313="",FALSE,TRUE),OR(exact(Metadata!Q313,"not applicable"),exact(Metadata!Q313,"not collected"),exact(Metadata!Q313,"not provided"),exact(Metadata!Q313,"restricted access"))),IF(Metadata!Q313="",FALSE,IF(ISERROR(INT(Metadata!Q313)),FALSE,INT(Metadata!Q313)=Metadata!Q313)))</f>
        <v>0</v>
      </c>
      <c r="AS313">
        <f>AND(IF(Metadata!R313="",FALSE,TRUE),exact(Metadata!R313,"Not applicable"))</f>
        <v>0</v>
      </c>
    </row>
    <row r="314" spans="1:45">
      <c r="A314" s="4">
        <f>IF(B314=" "," ",HYPERLINK(CONCATENATE("#metadata!",ADDRESS(INDEX($X$2:$X$1001,MATCH(ROWS($V$2:V314),$V$2:$V$1001,0),0),2)),INDEX($AA$2:$AA$1001,MATCH(ROWS($V$2:V314),$V$2:$V$1001,0),0)))</f>
        <v>0</v>
      </c>
      <c r="B314" s="5">
        <f>IF(OR(INDEX($W$2:$W$1001,MATCH(ROWS($V$2:V314),$V$2:$V$1001,0),1)&gt;=100000,INDEX($AC$1005:$AS$1005,1,MATCH(COLUMNS($AC$1006:AC1006),$AC$1006:$AS$1006,0))&gt;=100000), " ",IF(INDEX($AC$2:$AS$1001,MATCH(ROWS($V$2:V314),$V$2:$V$1001,0),MATCH(COLUMNS($AC$1006:AC1006),$AC$1006:$AS$1006,0)), HYPERLINK("#",""), HYPERLINK(CONCATENATE("#Metadata!", ADDRESS(INDEX($X$2:$X$1001,MATCH(ROWS($V$2:V314),$V$2:$V$1001,0),0), INDEX($AC$1004:$AS$1004,1,MATCH(COLUMNS($AC$1006:AC1006),$AC$1006:$AS$1006,0)))),"Fix")))</f>
        <v>0</v>
      </c>
      <c r="C314" s="5">
        <f>IF(OR(INDEX($W$2:$W$1001,MATCH(ROWS($V$2:V314),$V$2:$V$1001,0),1)&gt;=100000,INDEX($AC$1005:$AS$1005,1,MATCH(COLUMNS($AC$1006:AD1006),$AC$1006:$AS$1006,0))&gt;=100000), " ",IF(INDEX($AC$2:$AS$1001,MATCH(ROWS($V$2:V314),$V$2:$V$1001,0),MATCH(COLUMNS($AC$1006:AD1006),$AC$1006:$AS$1006,0)), HYPERLINK("#",""), HYPERLINK(CONCATENATE("#Metadata!", ADDRESS(INDEX($X$2:$X$1001,MATCH(ROWS($V$2:V314),$V$2:$V$1001,0),0), INDEX($AC$1004:$AS$1004,1,MATCH(COLUMNS($AC$1006:AD1006),$AC$1006:$AS$1006,0)))),"Fix")))</f>
        <v>0</v>
      </c>
      <c r="D314" s="5">
        <f>IF(OR(INDEX($W$2:$W$1001,MATCH(ROWS($V$2:V314),$V$2:$V$1001,0),1)&gt;=100000,INDEX($AC$1005:$AS$1005,1,MATCH(COLUMNS($AC$1006:AE1006),$AC$1006:$AS$1006,0))&gt;=100000), " ",IF(INDEX($AC$2:$AS$1001,MATCH(ROWS($V$2:V314),$V$2:$V$1001,0),MATCH(COLUMNS($AC$1006:AE1006),$AC$1006:$AS$1006,0)), HYPERLINK("#",""), HYPERLINK(CONCATENATE("#Metadata!", ADDRESS(INDEX($X$2:$X$1001,MATCH(ROWS($V$2:V314),$V$2:$V$1001,0),0), INDEX($AC$1004:$AS$1004,1,MATCH(COLUMNS($AC$1006:AE1006),$AC$1006:$AS$1006,0)))),"Fix")))</f>
        <v>0</v>
      </c>
      <c r="E314" s="5">
        <f>IF(OR(INDEX($W$2:$W$1001,MATCH(ROWS($V$2:V314),$V$2:$V$1001,0),1)&gt;=100000,INDEX($AC$1005:$AS$1005,1,MATCH(COLUMNS($AC$1006:AF1006),$AC$1006:$AS$1006,0))&gt;=100000), " ",IF(INDEX($AC$2:$AS$1001,MATCH(ROWS($V$2:V314),$V$2:$V$1001,0),MATCH(COLUMNS($AC$1006:AF1006),$AC$1006:$AS$1006,0)), HYPERLINK("#",""), HYPERLINK(CONCATENATE("#Metadata!", ADDRESS(INDEX($X$2:$X$1001,MATCH(ROWS($V$2:V314),$V$2:$V$1001,0),0), INDEX($AC$1004:$AS$1004,1,MATCH(COLUMNS($AC$1006:AF1006),$AC$1006:$AS$1006,0)))),"Fix")))</f>
        <v>0</v>
      </c>
      <c r="F314" s="5">
        <f>IF(OR(INDEX($W$2:$W$1001,MATCH(ROWS($V$2:V314),$V$2:$V$1001,0),1)&gt;=100000,INDEX($AC$1005:$AS$1005,1,MATCH(COLUMNS($AC$1006:AG1006),$AC$1006:$AS$1006,0))&gt;=100000), " ",IF(INDEX($AC$2:$AS$1001,MATCH(ROWS($V$2:V314),$V$2:$V$1001,0),MATCH(COLUMNS($AC$1006:AG1006),$AC$1006:$AS$1006,0)), HYPERLINK("#",""), HYPERLINK(CONCATENATE("#Metadata!", ADDRESS(INDEX($X$2:$X$1001,MATCH(ROWS($V$2:V314),$V$2:$V$1001,0),0), INDEX($AC$1004:$AS$1004,1,MATCH(COLUMNS($AC$1006:AG1006),$AC$1006:$AS$1006,0)))),"Fix")))</f>
        <v>0</v>
      </c>
      <c r="G314" s="5">
        <f>IF(OR(INDEX($W$2:$W$1001,MATCH(ROWS($V$2:V314),$V$2:$V$1001,0),1)&gt;=100000,INDEX($AC$1005:$AS$1005,1,MATCH(COLUMNS($AC$1006:AH1006),$AC$1006:$AS$1006,0))&gt;=100000), " ",IF(INDEX($AC$2:$AS$1001,MATCH(ROWS($V$2:V314),$V$2:$V$1001,0),MATCH(COLUMNS($AC$1006:AH1006),$AC$1006:$AS$1006,0)), HYPERLINK("#",""), HYPERLINK(CONCATENATE("#Metadata!", ADDRESS(INDEX($X$2:$X$1001,MATCH(ROWS($V$2:V314),$V$2:$V$1001,0),0), INDEX($AC$1004:$AS$1004,1,MATCH(COLUMNS($AC$1006:AH1006),$AC$1006:$AS$1006,0)))),"Fix")))</f>
        <v>0</v>
      </c>
      <c r="H314" s="5">
        <f>IF(OR(INDEX($W$2:$W$1001,MATCH(ROWS($V$2:V314),$V$2:$V$1001,0),1)&gt;=100000,INDEX($AC$1005:$AS$1005,1,MATCH(COLUMNS($AC$1006:AI1006),$AC$1006:$AS$1006,0))&gt;=100000), " ",IF(INDEX($AC$2:$AS$1001,MATCH(ROWS($V$2:V314),$V$2:$V$1001,0),MATCH(COLUMNS($AC$1006:AI1006),$AC$1006:$AS$1006,0)), HYPERLINK("#",""), HYPERLINK(CONCATENATE("#Metadata!", ADDRESS(INDEX($X$2:$X$1001,MATCH(ROWS($V$2:V314),$V$2:$V$1001,0),0), INDEX($AC$1004:$AS$1004,1,MATCH(COLUMNS($AC$1006:AI1006),$AC$1006:$AS$1006,0)))),"Fix")))</f>
        <v>0</v>
      </c>
      <c r="I314" s="5">
        <f>IF(OR(INDEX($W$2:$W$1001,MATCH(ROWS($V$2:V314),$V$2:$V$1001,0),1)&gt;=100000,INDEX($AC$1005:$AS$1005,1,MATCH(COLUMNS($AC$1006:AJ1006),$AC$1006:$AS$1006,0))&gt;=100000), " ",IF(INDEX($AC$2:$AS$1001,MATCH(ROWS($V$2:V314),$V$2:$V$1001,0),MATCH(COLUMNS($AC$1006:AJ1006),$AC$1006:$AS$1006,0)), HYPERLINK("#",""), HYPERLINK(CONCATENATE("#Metadata!", ADDRESS(INDEX($X$2:$X$1001,MATCH(ROWS($V$2:V314),$V$2:$V$1001,0),0), INDEX($AC$1004:$AS$1004,1,MATCH(COLUMNS($AC$1006:AJ1006),$AC$1006:$AS$1006,0)))),"Fix")))</f>
        <v>0</v>
      </c>
      <c r="J314" s="5">
        <f>IF(OR(INDEX($W$2:$W$1001,MATCH(ROWS($V$2:V314),$V$2:$V$1001,0),1)&gt;=100000,INDEX($AC$1005:$AS$1005,1,MATCH(COLUMNS($AC$1006:AK1006),$AC$1006:$AS$1006,0))&gt;=100000), " ",IF(INDEX($AC$2:$AS$1001,MATCH(ROWS($V$2:V314),$V$2:$V$1001,0),MATCH(COLUMNS($AC$1006:AK1006),$AC$1006:$AS$1006,0)), HYPERLINK("#",""), HYPERLINK(CONCATENATE("#Metadata!", ADDRESS(INDEX($X$2:$X$1001,MATCH(ROWS($V$2:V314),$V$2:$V$1001,0),0), INDEX($AC$1004:$AS$1004,1,MATCH(COLUMNS($AC$1006:AK1006),$AC$1006:$AS$1006,0)))),"Fix")))</f>
        <v>0</v>
      </c>
      <c r="K314" s="5">
        <f>IF(OR(INDEX($W$2:$W$1001,MATCH(ROWS($V$2:V314),$V$2:$V$1001,0),1)&gt;=100000,INDEX($AC$1005:$AS$1005,1,MATCH(COLUMNS($AC$1006:AL1006),$AC$1006:$AS$1006,0))&gt;=100000), " ",IF(INDEX($AC$2:$AS$1001,MATCH(ROWS($V$2:V314),$V$2:$V$1001,0),MATCH(COLUMNS($AC$1006:AL1006),$AC$1006:$AS$1006,0)), HYPERLINK("#",""), HYPERLINK(CONCATENATE("#Metadata!", ADDRESS(INDEX($X$2:$X$1001,MATCH(ROWS($V$2:V314),$V$2:$V$1001,0),0), INDEX($AC$1004:$AS$1004,1,MATCH(COLUMNS($AC$1006:AL1006),$AC$1006:$AS$1006,0)))),"Fix")))</f>
        <v>0</v>
      </c>
      <c r="L314" s="5">
        <f>IF(OR(INDEX($W$2:$W$1001,MATCH(ROWS($V$2:V314),$V$2:$V$1001,0),1)&gt;=100000,INDEX($AC$1005:$AS$1005,1,MATCH(COLUMNS($AC$1006:AM1006),$AC$1006:$AS$1006,0))&gt;=100000), " ",IF(INDEX($AC$2:$AS$1001,MATCH(ROWS($V$2:V314),$V$2:$V$1001,0),MATCH(COLUMNS($AC$1006:AM1006),$AC$1006:$AS$1006,0)), HYPERLINK("#",""), HYPERLINK(CONCATENATE("#Metadata!", ADDRESS(INDEX($X$2:$X$1001,MATCH(ROWS($V$2:V314),$V$2:$V$1001,0),0), INDEX($AC$1004:$AS$1004,1,MATCH(COLUMNS($AC$1006:AM1006),$AC$1006:$AS$1006,0)))),"Fix")))</f>
        <v>0</v>
      </c>
      <c r="M314" s="5">
        <f>IF(OR(INDEX($W$2:$W$1001,MATCH(ROWS($V$2:V314),$V$2:$V$1001,0),1)&gt;=100000,INDEX($AC$1005:$AS$1005,1,MATCH(COLUMNS($AC$1006:AN1006),$AC$1006:$AS$1006,0))&gt;=100000), " ",IF(INDEX($AC$2:$AS$1001,MATCH(ROWS($V$2:V314),$V$2:$V$1001,0),MATCH(COLUMNS($AC$1006:AN1006),$AC$1006:$AS$1006,0)), HYPERLINK("#",""), HYPERLINK(CONCATENATE("#Metadata!", ADDRESS(INDEX($X$2:$X$1001,MATCH(ROWS($V$2:V314),$V$2:$V$1001,0),0), INDEX($AC$1004:$AS$1004,1,MATCH(COLUMNS($AC$1006:AN1006),$AC$1006:$AS$1006,0)))),"Fix")))</f>
        <v>0</v>
      </c>
      <c r="N314" s="5">
        <f>IF(OR(INDEX($W$2:$W$1001,MATCH(ROWS($V$2:V314),$V$2:$V$1001,0),1)&gt;=100000,INDEX($AC$1005:$AS$1005,1,MATCH(COLUMNS($AC$1006:AO1006),$AC$1006:$AS$1006,0))&gt;=100000), " ",IF(INDEX($AC$2:$AS$1001,MATCH(ROWS($V$2:V314),$V$2:$V$1001,0),MATCH(COLUMNS($AC$1006:AO1006),$AC$1006:$AS$1006,0)), HYPERLINK("#",""), HYPERLINK(CONCATENATE("#Metadata!", ADDRESS(INDEX($X$2:$X$1001,MATCH(ROWS($V$2:V314),$V$2:$V$1001,0),0), INDEX($AC$1004:$AS$1004,1,MATCH(COLUMNS($AC$1006:AO1006),$AC$1006:$AS$1006,0)))),"Fix")))</f>
        <v>0</v>
      </c>
      <c r="O314" s="5">
        <f>IF(OR(INDEX($W$2:$W$1001,MATCH(ROWS($V$2:V314),$V$2:$V$1001,0),1)&gt;=100000,INDEX($AC$1005:$AS$1005,1,MATCH(COLUMNS($AC$1006:AP1006),$AC$1006:$AS$1006,0))&gt;=100000), " ",IF(INDEX($AC$2:$AS$1001,MATCH(ROWS($V$2:V314),$V$2:$V$1001,0),MATCH(COLUMNS($AC$1006:AP1006),$AC$1006:$AS$1006,0)), HYPERLINK("#",""), HYPERLINK(CONCATENATE("#Metadata!", ADDRESS(INDEX($X$2:$X$1001,MATCH(ROWS($V$2:V314),$V$2:$V$1001,0),0), INDEX($AC$1004:$AS$1004,1,MATCH(COLUMNS($AC$1006:AP1006),$AC$1006:$AS$1006,0)))),"Fix")))</f>
        <v>0</v>
      </c>
      <c r="P314" s="5">
        <f>IF(OR(INDEX($W$2:$W$1001,MATCH(ROWS($V$2:V314),$V$2:$V$1001,0),1)&gt;=100000,INDEX($AC$1005:$AS$1005,1,MATCH(COLUMNS($AC$1006:AQ1006),$AC$1006:$AS$1006,0))&gt;=100000), " ",IF(INDEX($AC$2:$AS$1001,MATCH(ROWS($V$2:V314),$V$2:$V$1001,0),MATCH(COLUMNS($AC$1006:AQ1006),$AC$1006:$AS$1006,0)), HYPERLINK("#",""), HYPERLINK(CONCATENATE("#Metadata!", ADDRESS(INDEX($X$2:$X$1001,MATCH(ROWS($V$2:V314),$V$2:$V$1001,0),0), INDEX($AC$1004:$AS$1004,1,MATCH(COLUMNS($AC$1006:AQ1006),$AC$1006:$AS$1006,0)))),"Fix")))</f>
        <v>0</v>
      </c>
      <c r="Q314" s="5">
        <f>IF(OR(INDEX($W$2:$W$1001,MATCH(ROWS($V$2:V314),$V$2:$V$1001,0),1)&gt;=100000,INDEX($AC$1005:$AS$1005,1,MATCH(COLUMNS($AC$1006:AR1006),$AC$1006:$AS$1006,0))&gt;=100000), " ",IF(INDEX($AC$2:$AS$1001,MATCH(ROWS($V$2:V314),$V$2:$V$1001,0),MATCH(COLUMNS($AC$1006:AR1006),$AC$1006:$AS$1006,0)), HYPERLINK("#",""), HYPERLINK(CONCATENATE("#Metadata!", ADDRESS(INDEX($X$2:$X$1001,MATCH(ROWS($V$2:V314),$V$2:$V$1001,0),0), INDEX($AC$1004:$AS$1004,1,MATCH(COLUMNS($AC$1006:AR1006),$AC$1006:$AS$1006,0)))),"Fix")))</f>
        <v>0</v>
      </c>
      <c r="R314" s="5">
        <f>IF(OR(INDEX($W$2:$W$1001,MATCH(ROWS($V$2:V314),$V$2:$V$1001,0),1)&gt;=100000,INDEX($AC$1005:$AS$1005,1,MATCH(COLUMNS($AC$1006:AS1006),$AC$1006:$AS$1006,0))&gt;=100000), " ",IF(INDEX($AC$2:$AS$1001,MATCH(ROWS($V$2:V314),$V$2:$V$1001,0),MATCH(COLUMNS($AC$1006:AS1006),$AC$1006:$AS$1006,0)), HYPERLINK("#",""), HYPERLINK(CONCATENATE("#Metadata!", ADDRESS(INDEX($X$2:$X$1001,MATCH(ROWS($V$2:V314),$V$2:$V$1001,0),0), INDEX($AC$1004:$AS$1004,1,MATCH(COLUMNS($AC$1006:AS1006),$AC$1006:$AS$1006,0)))),"Fix")))</f>
        <v>0</v>
      </c>
      <c r="V314">
        <v>0</v>
      </c>
      <c r="W314">
        <v>0</v>
      </c>
      <c r="X314">
        <v>0</v>
      </c>
      <c r="Y314">
        <f>IF(Z314,TRUE,AND(AC314:AS314))</f>
        <v>0</v>
      </c>
      <c r="Z314">
        <f>COUNTBLANK(Metadata!B314:R314)=COLUMNS(Metadata!B314:R314)</f>
        <v>0</v>
      </c>
      <c r="AA314">
        <v>0</v>
      </c>
      <c r="AC314">
        <f>AND(IF(Metadata!B314="",FALSE,TRUE),COUNTIF(Metadata!B:B, Metadata!B314) = 1,NOT(ISERROR(SUMPRODUCT(SEARCH(MID(Metadata!B314,ROW(INDIRECT("1:"&amp;LEN(Metadata!B314))), 1),"0123456789abcdefghijklmnopqrstuvwxyzABCDEFGHIJKLMNOPQRSTUVWXYZ.")))))</f>
        <v>0</v>
      </c>
      <c r="AD314">
        <f>AND(IF(Metadata!C314="",FALSE,TRUE),exact(Metadata!C314,"Host-associated"))</f>
        <v>0</v>
      </c>
      <c r="AE314">
        <f>AND(IF(Metadata!D314="",FALSE,TRUE),OR(exact(Metadata!D314,"Animal"),exact(Metadata!D314,"Fungus"),exact(Metadata!D314,"Plant")))</f>
        <v>0</v>
      </c>
      <c r="AF314">
        <f>AND(IF(Metadata!E314="",FALSE,TRUE),OR(exact(Metadata!E314,"Plant secretion"),exact(Metadata!E314,"Plant rhizosphere"),exact(Metadata!E314,"Plant surface"),exact(Metadata!E314,"Plant corpus"),exact(Metadata!E314,"Fungus surface"),exact(Metadata!E314,"Fungus corpus"),exact(Metadata!E314,"Animal surface"),exact(Metadata!E314,"Animal proximal gut"),exact(Metadata!E314,"Animal corpus"),exact(Metadata!E314,"Animal distal gut"),exact(Metadata!E314,"Animal secretion")))</f>
        <v>0</v>
      </c>
      <c r="AG314">
        <f>OR(AND(IF(Metadata!F314="",FALSE,TRUE),OR(exact(Metadata!F314,"not collected"),exact(Metadata!F314,"not provided"),exact(Metadata!F314,"restricted access"))),AND(IF(Metadata!F314="",FALSE,TRUE),OR(exact(Metadata!F314,"organism-associated habitat"),exact(Metadata!F314,"plant-associated habitat"),exact(Metadata!F314,"animal-associated habitat"),exact(Metadata!F314,"insecta-associated habitat"),exact(Metadata!F314,"mammalia-associated habitat"),exact(Metadata!F314,"human-associated habitat"),exact(Metadata!F314,"livestock-associated habitat"))))</f>
        <v>0</v>
      </c>
      <c r="AH314">
        <f>AND(IF(Metadata!G314="",FALSE,TRUE),exact(Metadata!G314,"host-associated"))</f>
        <v>0</v>
      </c>
      <c r="AI314">
        <f>OR(AND(IF(Metadata!H314="",FALSE,TRUE),OR(exact(Metadata!H314,"not collected"),exact(Metadata!H314,"not provided"))),AND(IF(Metadata!H314="",FALSE,ISNUMBER(VALUE(Metadata!H314))),Metadata!H314&gt;0))</f>
        <v>0</v>
      </c>
      <c r="AJ314">
        <f>AND(IF(Metadata!I314="",FALSE,TRUE),exact(Metadata!I314,"years"))</f>
        <v>0</v>
      </c>
      <c r="AK314">
        <f>IF(Metadata!J314="",FALSE,TRUE)</f>
        <v>0</v>
      </c>
      <c r="AL314">
        <f>OR(AND(IF(Metadata!K314="",FALSE,TRUE),OR(exact(Metadata!K314,"not collected"),exact(Metadata!K314,"not provided"))),AND(IF(Metadata!K314="",FALSE,ISNUMBER(VALUE(Metadata!K314))),Metadata!K314&gt;0))</f>
        <v>0</v>
      </c>
      <c r="AM314">
        <f>AND(IF(Metadata!L314="",FALSE,TRUE),exact(Metadata!L314,"cm"))</f>
        <v>0</v>
      </c>
      <c r="AN314">
        <f>IF(Metadata!M314="",FALSE,TRUE)</f>
        <v>0</v>
      </c>
      <c r="AO314">
        <f>OR(AND(IF(Metadata!N314="",FALSE,TRUE),OR(exact(Metadata!N314,"not applicable"),exact(Metadata!N314,"not collected"),exact(Metadata!N314,"not provided"))),AND(IF(Metadata!N314="",FALSE,IF(ISERROR(INT(Metadata!N314)),FALSE,INT(Metadata!N314)=Metadata!N314)),Metadata!N314&gt;0))</f>
        <v>0</v>
      </c>
      <c r="AP314">
        <f>OR(AND(IF(Metadata!O314="",FALSE,TRUE),OR(exact(Metadata!O314,"not collected"),exact(Metadata!O314,"not provided"))),AND(IF(Metadata!O314="",FALSE,ISNUMBER(VALUE(Metadata!O314))),Metadata!O314&gt;0))</f>
        <v>0</v>
      </c>
      <c r="AQ314">
        <f>AND(IF(Metadata!P314="",FALSE,TRUE),exact(Metadata!P314,"kg"))</f>
        <v>0</v>
      </c>
      <c r="AR314">
        <f>OR(AND(IF(Metadata!Q314="",FALSE,TRUE),OR(exact(Metadata!Q314,"not applicable"),exact(Metadata!Q314,"not collected"),exact(Metadata!Q314,"not provided"),exact(Metadata!Q314,"restricted access"))),IF(Metadata!Q314="",FALSE,IF(ISERROR(INT(Metadata!Q314)),FALSE,INT(Metadata!Q314)=Metadata!Q314)))</f>
        <v>0</v>
      </c>
      <c r="AS314">
        <f>AND(IF(Metadata!R314="",FALSE,TRUE),exact(Metadata!R314,"Not applicable"))</f>
        <v>0</v>
      </c>
    </row>
    <row r="315" spans="1:45">
      <c r="A315" s="4">
        <f>IF(B315=" "," ",HYPERLINK(CONCATENATE("#metadata!",ADDRESS(INDEX($X$2:$X$1001,MATCH(ROWS($V$2:V315),$V$2:$V$1001,0),0),2)),INDEX($AA$2:$AA$1001,MATCH(ROWS($V$2:V315),$V$2:$V$1001,0),0)))</f>
        <v>0</v>
      </c>
      <c r="B315" s="5">
        <f>IF(OR(INDEX($W$2:$W$1001,MATCH(ROWS($V$2:V315),$V$2:$V$1001,0),1)&gt;=100000,INDEX($AC$1005:$AS$1005,1,MATCH(COLUMNS($AC$1006:AC1006),$AC$1006:$AS$1006,0))&gt;=100000), " ",IF(INDEX($AC$2:$AS$1001,MATCH(ROWS($V$2:V315),$V$2:$V$1001,0),MATCH(COLUMNS($AC$1006:AC1006),$AC$1006:$AS$1006,0)), HYPERLINK("#",""), HYPERLINK(CONCATENATE("#Metadata!", ADDRESS(INDEX($X$2:$X$1001,MATCH(ROWS($V$2:V315),$V$2:$V$1001,0),0), INDEX($AC$1004:$AS$1004,1,MATCH(COLUMNS($AC$1006:AC1006),$AC$1006:$AS$1006,0)))),"Fix")))</f>
        <v>0</v>
      </c>
      <c r="C315" s="5">
        <f>IF(OR(INDEX($W$2:$W$1001,MATCH(ROWS($V$2:V315),$V$2:$V$1001,0),1)&gt;=100000,INDEX($AC$1005:$AS$1005,1,MATCH(COLUMNS($AC$1006:AD1006),$AC$1006:$AS$1006,0))&gt;=100000), " ",IF(INDEX($AC$2:$AS$1001,MATCH(ROWS($V$2:V315),$V$2:$V$1001,0),MATCH(COLUMNS($AC$1006:AD1006),$AC$1006:$AS$1006,0)), HYPERLINK("#",""), HYPERLINK(CONCATENATE("#Metadata!", ADDRESS(INDEX($X$2:$X$1001,MATCH(ROWS($V$2:V315),$V$2:$V$1001,0),0), INDEX($AC$1004:$AS$1004,1,MATCH(COLUMNS($AC$1006:AD1006),$AC$1006:$AS$1006,0)))),"Fix")))</f>
        <v>0</v>
      </c>
      <c r="D315" s="5">
        <f>IF(OR(INDEX($W$2:$W$1001,MATCH(ROWS($V$2:V315),$V$2:$V$1001,0),1)&gt;=100000,INDEX($AC$1005:$AS$1005,1,MATCH(COLUMNS($AC$1006:AE1006),$AC$1006:$AS$1006,0))&gt;=100000), " ",IF(INDEX($AC$2:$AS$1001,MATCH(ROWS($V$2:V315),$V$2:$V$1001,0),MATCH(COLUMNS($AC$1006:AE1006),$AC$1006:$AS$1006,0)), HYPERLINK("#",""), HYPERLINK(CONCATENATE("#Metadata!", ADDRESS(INDEX($X$2:$X$1001,MATCH(ROWS($V$2:V315),$V$2:$V$1001,0),0), INDEX($AC$1004:$AS$1004,1,MATCH(COLUMNS($AC$1006:AE1006),$AC$1006:$AS$1006,0)))),"Fix")))</f>
        <v>0</v>
      </c>
      <c r="E315" s="5">
        <f>IF(OR(INDEX($W$2:$W$1001,MATCH(ROWS($V$2:V315),$V$2:$V$1001,0),1)&gt;=100000,INDEX($AC$1005:$AS$1005,1,MATCH(COLUMNS($AC$1006:AF1006),$AC$1006:$AS$1006,0))&gt;=100000), " ",IF(INDEX($AC$2:$AS$1001,MATCH(ROWS($V$2:V315),$V$2:$V$1001,0),MATCH(COLUMNS($AC$1006:AF1006),$AC$1006:$AS$1006,0)), HYPERLINK("#",""), HYPERLINK(CONCATENATE("#Metadata!", ADDRESS(INDEX($X$2:$X$1001,MATCH(ROWS($V$2:V315),$V$2:$V$1001,0),0), INDEX($AC$1004:$AS$1004,1,MATCH(COLUMNS($AC$1006:AF1006),$AC$1006:$AS$1006,0)))),"Fix")))</f>
        <v>0</v>
      </c>
      <c r="F315" s="5">
        <f>IF(OR(INDEX($W$2:$W$1001,MATCH(ROWS($V$2:V315),$V$2:$V$1001,0),1)&gt;=100000,INDEX($AC$1005:$AS$1005,1,MATCH(COLUMNS($AC$1006:AG1006),$AC$1006:$AS$1006,0))&gt;=100000), " ",IF(INDEX($AC$2:$AS$1001,MATCH(ROWS($V$2:V315),$V$2:$V$1001,0),MATCH(COLUMNS($AC$1006:AG1006),$AC$1006:$AS$1006,0)), HYPERLINK("#",""), HYPERLINK(CONCATENATE("#Metadata!", ADDRESS(INDEX($X$2:$X$1001,MATCH(ROWS($V$2:V315),$V$2:$V$1001,0),0), INDEX($AC$1004:$AS$1004,1,MATCH(COLUMNS($AC$1006:AG1006),$AC$1006:$AS$1006,0)))),"Fix")))</f>
        <v>0</v>
      </c>
      <c r="G315" s="5">
        <f>IF(OR(INDEX($W$2:$W$1001,MATCH(ROWS($V$2:V315),$V$2:$V$1001,0),1)&gt;=100000,INDEX($AC$1005:$AS$1005,1,MATCH(COLUMNS($AC$1006:AH1006),$AC$1006:$AS$1006,0))&gt;=100000), " ",IF(INDEX($AC$2:$AS$1001,MATCH(ROWS($V$2:V315),$V$2:$V$1001,0),MATCH(COLUMNS($AC$1006:AH1006),$AC$1006:$AS$1006,0)), HYPERLINK("#",""), HYPERLINK(CONCATENATE("#Metadata!", ADDRESS(INDEX($X$2:$X$1001,MATCH(ROWS($V$2:V315),$V$2:$V$1001,0),0), INDEX($AC$1004:$AS$1004,1,MATCH(COLUMNS($AC$1006:AH1006),$AC$1006:$AS$1006,0)))),"Fix")))</f>
        <v>0</v>
      </c>
      <c r="H315" s="5">
        <f>IF(OR(INDEX($W$2:$W$1001,MATCH(ROWS($V$2:V315),$V$2:$V$1001,0),1)&gt;=100000,INDEX($AC$1005:$AS$1005,1,MATCH(COLUMNS($AC$1006:AI1006),$AC$1006:$AS$1006,0))&gt;=100000), " ",IF(INDEX($AC$2:$AS$1001,MATCH(ROWS($V$2:V315),$V$2:$V$1001,0),MATCH(COLUMNS($AC$1006:AI1006),$AC$1006:$AS$1006,0)), HYPERLINK("#",""), HYPERLINK(CONCATENATE("#Metadata!", ADDRESS(INDEX($X$2:$X$1001,MATCH(ROWS($V$2:V315),$V$2:$V$1001,0),0), INDEX($AC$1004:$AS$1004,1,MATCH(COLUMNS($AC$1006:AI1006),$AC$1006:$AS$1006,0)))),"Fix")))</f>
        <v>0</v>
      </c>
      <c r="I315" s="5">
        <f>IF(OR(INDEX($W$2:$W$1001,MATCH(ROWS($V$2:V315),$V$2:$V$1001,0),1)&gt;=100000,INDEX($AC$1005:$AS$1005,1,MATCH(COLUMNS($AC$1006:AJ1006),$AC$1006:$AS$1006,0))&gt;=100000), " ",IF(INDEX($AC$2:$AS$1001,MATCH(ROWS($V$2:V315),$V$2:$V$1001,0),MATCH(COLUMNS($AC$1006:AJ1006),$AC$1006:$AS$1006,0)), HYPERLINK("#",""), HYPERLINK(CONCATENATE("#Metadata!", ADDRESS(INDEX($X$2:$X$1001,MATCH(ROWS($V$2:V315),$V$2:$V$1001,0),0), INDEX($AC$1004:$AS$1004,1,MATCH(COLUMNS($AC$1006:AJ1006),$AC$1006:$AS$1006,0)))),"Fix")))</f>
        <v>0</v>
      </c>
      <c r="J315" s="5">
        <f>IF(OR(INDEX($W$2:$W$1001,MATCH(ROWS($V$2:V315),$V$2:$V$1001,0),1)&gt;=100000,INDEX($AC$1005:$AS$1005,1,MATCH(COLUMNS($AC$1006:AK1006),$AC$1006:$AS$1006,0))&gt;=100000), " ",IF(INDEX($AC$2:$AS$1001,MATCH(ROWS($V$2:V315),$V$2:$V$1001,0),MATCH(COLUMNS($AC$1006:AK1006),$AC$1006:$AS$1006,0)), HYPERLINK("#",""), HYPERLINK(CONCATENATE("#Metadata!", ADDRESS(INDEX($X$2:$X$1001,MATCH(ROWS($V$2:V315),$V$2:$V$1001,0),0), INDEX($AC$1004:$AS$1004,1,MATCH(COLUMNS($AC$1006:AK1006),$AC$1006:$AS$1006,0)))),"Fix")))</f>
        <v>0</v>
      </c>
      <c r="K315" s="5">
        <f>IF(OR(INDEX($W$2:$W$1001,MATCH(ROWS($V$2:V315),$V$2:$V$1001,0),1)&gt;=100000,INDEX($AC$1005:$AS$1005,1,MATCH(COLUMNS($AC$1006:AL1006),$AC$1006:$AS$1006,0))&gt;=100000), " ",IF(INDEX($AC$2:$AS$1001,MATCH(ROWS($V$2:V315),$V$2:$V$1001,0),MATCH(COLUMNS($AC$1006:AL1006),$AC$1006:$AS$1006,0)), HYPERLINK("#",""), HYPERLINK(CONCATENATE("#Metadata!", ADDRESS(INDEX($X$2:$X$1001,MATCH(ROWS($V$2:V315),$V$2:$V$1001,0),0), INDEX($AC$1004:$AS$1004,1,MATCH(COLUMNS($AC$1006:AL1006),$AC$1006:$AS$1006,0)))),"Fix")))</f>
        <v>0</v>
      </c>
      <c r="L315" s="5">
        <f>IF(OR(INDEX($W$2:$W$1001,MATCH(ROWS($V$2:V315),$V$2:$V$1001,0),1)&gt;=100000,INDEX($AC$1005:$AS$1005,1,MATCH(COLUMNS($AC$1006:AM1006),$AC$1006:$AS$1006,0))&gt;=100000), " ",IF(INDEX($AC$2:$AS$1001,MATCH(ROWS($V$2:V315),$V$2:$V$1001,0),MATCH(COLUMNS($AC$1006:AM1006),$AC$1006:$AS$1006,0)), HYPERLINK("#",""), HYPERLINK(CONCATENATE("#Metadata!", ADDRESS(INDEX($X$2:$X$1001,MATCH(ROWS($V$2:V315),$V$2:$V$1001,0),0), INDEX($AC$1004:$AS$1004,1,MATCH(COLUMNS($AC$1006:AM1006),$AC$1006:$AS$1006,0)))),"Fix")))</f>
        <v>0</v>
      </c>
      <c r="M315" s="5">
        <f>IF(OR(INDEX($W$2:$W$1001,MATCH(ROWS($V$2:V315),$V$2:$V$1001,0),1)&gt;=100000,INDEX($AC$1005:$AS$1005,1,MATCH(COLUMNS($AC$1006:AN1006),$AC$1006:$AS$1006,0))&gt;=100000), " ",IF(INDEX($AC$2:$AS$1001,MATCH(ROWS($V$2:V315),$V$2:$V$1001,0),MATCH(COLUMNS($AC$1006:AN1006),$AC$1006:$AS$1006,0)), HYPERLINK("#",""), HYPERLINK(CONCATENATE("#Metadata!", ADDRESS(INDEX($X$2:$X$1001,MATCH(ROWS($V$2:V315),$V$2:$V$1001,0),0), INDEX($AC$1004:$AS$1004,1,MATCH(COLUMNS($AC$1006:AN1006),$AC$1006:$AS$1006,0)))),"Fix")))</f>
        <v>0</v>
      </c>
      <c r="N315" s="5">
        <f>IF(OR(INDEX($W$2:$W$1001,MATCH(ROWS($V$2:V315),$V$2:$V$1001,0),1)&gt;=100000,INDEX($AC$1005:$AS$1005,1,MATCH(COLUMNS($AC$1006:AO1006),$AC$1006:$AS$1006,0))&gt;=100000), " ",IF(INDEX($AC$2:$AS$1001,MATCH(ROWS($V$2:V315),$V$2:$V$1001,0),MATCH(COLUMNS($AC$1006:AO1006),$AC$1006:$AS$1006,0)), HYPERLINK("#",""), HYPERLINK(CONCATENATE("#Metadata!", ADDRESS(INDEX($X$2:$X$1001,MATCH(ROWS($V$2:V315),$V$2:$V$1001,0),0), INDEX($AC$1004:$AS$1004,1,MATCH(COLUMNS($AC$1006:AO1006),$AC$1006:$AS$1006,0)))),"Fix")))</f>
        <v>0</v>
      </c>
      <c r="O315" s="5">
        <f>IF(OR(INDEX($W$2:$W$1001,MATCH(ROWS($V$2:V315),$V$2:$V$1001,0),1)&gt;=100000,INDEX($AC$1005:$AS$1005,1,MATCH(COLUMNS($AC$1006:AP1006),$AC$1006:$AS$1006,0))&gt;=100000), " ",IF(INDEX($AC$2:$AS$1001,MATCH(ROWS($V$2:V315),$V$2:$V$1001,0),MATCH(COLUMNS($AC$1006:AP1006),$AC$1006:$AS$1006,0)), HYPERLINK("#",""), HYPERLINK(CONCATENATE("#Metadata!", ADDRESS(INDEX($X$2:$X$1001,MATCH(ROWS($V$2:V315),$V$2:$V$1001,0),0), INDEX($AC$1004:$AS$1004,1,MATCH(COLUMNS($AC$1006:AP1006),$AC$1006:$AS$1006,0)))),"Fix")))</f>
        <v>0</v>
      </c>
      <c r="P315" s="5">
        <f>IF(OR(INDEX($W$2:$W$1001,MATCH(ROWS($V$2:V315),$V$2:$V$1001,0),1)&gt;=100000,INDEX($AC$1005:$AS$1005,1,MATCH(COLUMNS($AC$1006:AQ1006),$AC$1006:$AS$1006,0))&gt;=100000), " ",IF(INDEX($AC$2:$AS$1001,MATCH(ROWS($V$2:V315),$V$2:$V$1001,0),MATCH(COLUMNS($AC$1006:AQ1006),$AC$1006:$AS$1006,0)), HYPERLINK("#",""), HYPERLINK(CONCATENATE("#Metadata!", ADDRESS(INDEX($X$2:$X$1001,MATCH(ROWS($V$2:V315),$V$2:$V$1001,0),0), INDEX($AC$1004:$AS$1004,1,MATCH(COLUMNS($AC$1006:AQ1006),$AC$1006:$AS$1006,0)))),"Fix")))</f>
        <v>0</v>
      </c>
      <c r="Q315" s="5">
        <f>IF(OR(INDEX($W$2:$W$1001,MATCH(ROWS($V$2:V315),$V$2:$V$1001,0),1)&gt;=100000,INDEX($AC$1005:$AS$1005,1,MATCH(COLUMNS($AC$1006:AR1006),$AC$1006:$AS$1006,0))&gt;=100000), " ",IF(INDEX($AC$2:$AS$1001,MATCH(ROWS($V$2:V315),$V$2:$V$1001,0),MATCH(COLUMNS($AC$1006:AR1006),$AC$1006:$AS$1006,0)), HYPERLINK("#",""), HYPERLINK(CONCATENATE("#Metadata!", ADDRESS(INDEX($X$2:$X$1001,MATCH(ROWS($V$2:V315),$V$2:$V$1001,0),0), INDEX($AC$1004:$AS$1004,1,MATCH(COLUMNS($AC$1006:AR1006),$AC$1006:$AS$1006,0)))),"Fix")))</f>
        <v>0</v>
      </c>
      <c r="R315" s="5">
        <f>IF(OR(INDEX($W$2:$W$1001,MATCH(ROWS($V$2:V315),$V$2:$V$1001,0),1)&gt;=100000,INDEX($AC$1005:$AS$1005,1,MATCH(COLUMNS($AC$1006:AS1006),$AC$1006:$AS$1006,0))&gt;=100000), " ",IF(INDEX($AC$2:$AS$1001,MATCH(ROWS($V$2:V315),$V$2:$V$1001,0),MATCH(COLUMNS($AC$1006:AS1006),$AC$1006:$AS$1006,0)), HYPERLINK("#",""), HYPERLINK(CONCATENATE("#Metadata!", ADDRESS(INDEX($X$2:$X$1001,MATCH(ROWS($V$2:V315),$V$2:$V$1001,0),0), INDEX($AC$1004:$AS$1004,1,MATCH(COLUMNS($AC$1006:AS1006),$AC$1006:$AS$1006,0)))),"Fix")))</f>
        <v>0</v>
      </c>
      <c r="V315">
        <v>0</v>
      </c>
      <c r="W315">
        <v>0</v>
      </c>
      <c r="X315">
        <v>0</v>
      </c>
      <c r="Y315">
        <f>IF(Z315,TRUE,AND(AC315:AS315))</f>
        <v>0</v>
      </c>
      <c r="Z315">
        <f>COUNTBLANK(Metadata!B315:R315)=COLUMNS(Metadata!B315:R315)</f>
        <v>0</v>
      </c>
      <c r="AA315">
        <v>0</v>
      </c>
      <c r="AC315">
        <f>AND(IF(Metadata!B315="",FALSE,TRUE),COUNTIF(Metadata!B:B, Metadata!B315) = 1,NOT(ISERROR(SUMPRODUCT(SEARCH(MID(Metadata!B315,ROW(INDIRECT("1:"&amp;LEN(Metadata!B315))), 1),"0123456789abcdefghijklmnopqrstuvwxyzABCDEFGHIJKLMNOPQRSTUVWXYZ.")))))</f>
        <v>0</v>
      </c>
      <c r="AD315">
        <f>AND(IF(Metadata!C315="",FALSE,TRUE),exact(Metadata!C315,"Host-associated"))</f>
        <v>0</v>
      </c>
      <c r="AE315">
        <f>AND(IF(Metadata!D315="",FALSE,TRUE),OR(exact(Metadata!D315,"Animal"),exact(Metadata!D315,"Fungus"),exact(Metadata!D315,"Plant")))</f>
        <v>0</v>
      </c>
      <c r="AF315">
        <f>AND(IF(Metadata!E315="",FALSE,TRUE),OR(exact(Metadata!E315,"Plant secretion"),exact(Metadata!E315,"Plant rhizosphere"),exact(Metadata!E315,"Plant surface"),exact(Metadata!E315,"Plant corpus"),exact(Metadata!E315,"Fungus surface"),exact(Metadata!E315,"Fungus corpus"),exact(Metadata!E315,"Animal surface"),exact(Metadata!E315,"Animal proximal gut"),exact(Metadata!E315,"Animal corpus"),exact(Metadata!E315,"Animal distal gut"),exact(Metadata!E315,"Animal secretion")))</f>
        <v>0</v>
      </c>
      <c r="AG315">
        <f>OR(AND(IF(Metadata!F315="",FALSE,TRUE),OR(exact(Metadata!F315,"not collected"),exact(Metadata!F315,"not provided"),exact(Metadata!F315,"restricted access"))),AND(IF(Metadata!F315="",FALSE,TRUE),OR(exact(Metadata!F315,"organism-associated habitat"),exact(Metadata!F315,"plant-associated habitat"),exact(Metadata!F315,"animal-associated habitat"),exact(Metadata!F315,"insecta-associated habitat"),exact(Metadata!F315,"mammalia-associated habitat"),exact(Metadata!F315,"human-associated habitat"),exact(Metadata!F315,"livestock-associated habitat"))))</f>
        <v>0</v>
      </c>
      <c r="AH315">
        <f>AND(IF(Metadata!G315="",FALSE,TRUE),exact(Metadata!G315,"host-associated"))</f>
        <v>0</v>
      </c>
      <c r="AI315">
        <f>OR(AND(IF(Metadata!H315="",FALSE,TRUE),OR(exact(Metadata!H315,"not collected"),exact(Metadata!H315,"not provided"))),AND(IF(Metadata!H315="",FALSE,ISNUMBER(VALUE(Metadata!H315))),Metadata!H315&gt;0))</f>
        <v>0</v>
      </c>
      <c r="AJ315">
        <f>AND(IF(Metadata!I315="",FALSE,TRUE),exact(Metadata!I315,"years"))</f>
        <v>0</v>
      </c>
      <c r="AK315">
        <f>IF(Metadata!J315="",FALSE,TRUE)</f>
        <v>0</v>
      </c>
      <c r="AL315">
        <f>OR(AND(IF(Metadata!K315="",FALSE,TRUE),OR(exact(Metadata!K315,"not collected"),exact(Metadata!K315,"not provided"))),AND(IF(Metadata!K315="",FALSE,ISNUMBER(VALUE(Metadata!K315))),Metadata!K315&gt;0))</f>
        <v>0</v>
      </c>
      <c r="AM315">
        <f>AND(IF(Metadata!L315="",FALSE,TRUE),exact(Metadata!L315,"cm"))</f>
        <v>0</v>
      </c>
      <c r="AN315">
        <f>IF(Metadata!M315="",FALSE,TRUE)</f>
        <v>0</v>
      </c>
      <c r="AO315">
        <f>OR(AND(IF(Metadata!N315="",FALSE,TRUE),OR(exact(Metadata!N315,"not applicable"),exact(Metadata!N315,"not collected"),exact(Metadata!N315,"not provided"))),AND(IF(Metadata!N315="",FALSE,IF(ISERROR(INT(Metadata!N315)),FALSE,INT(Metadata!N315)=Metadata!N315)),Metadata!N315&gt;0))</f>
        <v>0</v>
      </c>
      <c r="AP315">
        <f>OR(AND(IF(Metadata!O315="",FALSE,TRUE),OR(exact(Metadata!O315,"not collected"),exact(Metadata!O315,"not provided"))),AND(IF(Metadata!O315="",FALSE,ISNUMBER(VALUE(Metadata!O315))),Metadata!O315&gt;0))</f>
        <v>0</v>
      </c>
      <c r="AQ315">
        <f>AND(IF(Metadata!P315="",FALSE,TRUE),exact(Metadata!P315,"kg"))</f>
        <v>0</v>
      </c>
      <c r="AR315">
        <f>OR(AND(IF(Metadata!Q315="",FALSE,TRUE),OR(exact(Metadata!Q315,"not applicable"),exact(Metadata!Q315,"not collected"),exact(Metadata!Q315,"not provided"),exact(Metadata!Q315,"restricted access"))),IF(Metadata!Q315="",FALSE,IF(ISERROR(INT(Metadata!Q315)),FALSE,INT(Metadata!Q315)=Metadata!Q315)))</f>
        <v>0</v>
      </c>
      <c r="AS315">
        <f>AND(IF(Metadata!R315="",FALSE,TRUE),exact(Metadata!R315,"Not applicable"))</f>
        <v>0</v>
      </c>
    </row>
    <row r="316" spans="1:45">
      <c r="A316" s="4">
        <f>IF(B316=" "," ",HYPERLINK(CONCATENATE("#metadata!",ADDRESS(INDEX($X$2:$X$1001,MATCH(ROWS($V$2:V316),$V$2:$V$1001,0),0),2)),INDEX($AA$2:$AA$1001,MATCH(ROWS($V$2:V316),$V$2:$V$1001,0),0)))</f>
        <v>0</v>
      </c>
      <c r="B316" s="5">
        <f>IF(OR(INDEX($W$2:$W$1001,MATCH(ROWS($V$2:V316),$V$2:$V$1001,0),1)&gt;=100000,INDEX($AC$1005:$AS$1005,1,MATCH(COLUMNS($AC$1006:AC1006),$AC$1006:$AS$1006,0))&gt;=100000), " ",IF(INDEX($AC$2:$AS$1001,MATCH(ROWS($V$2:V316),$V$2:$V$1001,0),MATCH(COLUMNS($AC$1006:AC1006),$AC$1006:$AS$1006,0)), HYPERLINK("#",""), HYPERLINK(CONCATENATE("#Metadata!", ADDRESS(INDEX($X$2:$X$1001,MATCH(ROWS($V$2:V316),$V$2:$V$1001,0),0), INDEX($AC$1004:$AS$1004,1,MATCH(COLUMNS($AC$1006:AC1006),$AC$1006:$AS$1006,0)))),"Fix")))</f>
        <v>0</v>
      </c>
      <c r="C316" s="5">
        <f>IF(OR(INDEX($W$2:$W$1001,MATCH(ROWS($V$2:V316),$V$2:$V$1001,0),1)&gt;=100000,INDEX($AC$1005:$AS$1005,1,MATCH(COLUMNS($AC$1006:AD1006),$AC$1006:$AS$1006,0))&gt;=100000), " ",IF(INDEX($AC$2:$AS$1001,MATCH(ROWS($V$2:V316),$V$2:$V$1001,0),MATCH(COLUMNS($AC$1006:AD1006),$AC$1006:$AS$1006,0)), HYPERLINK("#",""), HYPERLINK(CONCATENATE("#Metadata!", ADDRESS(INDEX($X$2:$X$1001,MATCH(ROWS($V$2:V316),$V$2:$V$1001,0),0), INDEX($AC$1004:$AS$1004,1,MATCH(COLUMNS($AC$1006:AD1006),$AC$1006:$AS$1006,0)))),"Fix")))</f>
        <v>0</v>
      </c>
      <c r="D316" s="5">
        <f>IF(OR(INDEX($W$2:$W$1001,MATCH(ROWS($V$2:V316),$V$2:$V$1001,0),1)&gt;=100000,INDEX($AC$1005:$AS$1005,1,MATCH(COLUMNS($AC$1006:AE1006),$AC$1006:$AS$1006,0))&gt;=100000), " ",IF(INDEX($AC$2:$AS$1001,MATCH(ROWS($V$2:V316),$V$2:$V$1001,0),MATCH(COLUMNS($AC$1006:AE1006),$AC$1006:$AS$1006,0)), HYPERLINK("#",""), HYPERLINK(CONCATENATE("#Metadata!", ADDRESS(INDEX($X$2:$X$1001,MATCH(ROWS($V$2:V316),$V$2:$V$1001,0),0), INDEX($AC$1004:$AS$1004,1,MATCH(COLUMNS($AC$1006:AE1006),$AC$1006:$AS$1006,0)))),"Fix")))</f>
        <v>0</v>
      </c>
      <c r="E316" s="5">
        <f>IF(OR(INDEX($W$2:$W$1001,MATCH(ROWS($V$2:V316),$V$2:$V$1001,0),1)&gt;=100000,INDEX($AC$1005:$AS$1005,1,MATCH(COLUMNS($AC$1006:AF1006),$AC$1006:$AS$1006,0))&gt;=100000), " ",IF(INDEX($AC$2:$AS$1001,MATCH(ROWS($V$2:V316),$V$2:$V$1001,0),MATCH(COLUMNS($AC$1006:AF1006),$AC$1006:$AS$1006,0)), HYPERLINK("#",""), HYPERLINK(CONCATENATE("#Metadata!", ADDRESS(INDEX($X$2:$X$1001,MATCH(ROWS($V$2:V316),$V$2:$V$1001,0),0), INDEX($AC$1004:$AS$1004,1,MATCH(COLUMNS($AC$1006:AF1006),$AC$1006:$AS$1006,0)))),"Fix")))</f>
        <v>0</v>
      </c>
      <c r="F316" s="5">
        <f>IF(OR(INDEX($W$2:$W$1001,MATCH(ROWS($V$2:V316),$V$2:$V$1001,0),1)&gt;=100000,INDEX($AC$1005:$AS$1005,1,MATCH(COLUMNS($AC$1006:AG1006),$AC$1006:$AS$1006,0))&gt;=100000), " ",IF(INDEX($AC$2:$AS$1001,MATCH(ROWS($V$2:V316),$V$2:$V$1001,0),MATCH(COLUMNS($AC$1006:AG1006),$AC$1006:$AS$1006,0)), HYPERLINK("#",""), HYPERLINK(CONCATENATE("#Metadata!", ADDRESS(INDEX($X$2:$X$1001,MATCH(ROWS($V$2:V316),$V$2:$V$1001,0),0), INDEX($AC$1004:$AS$1004,1,MATCH(COLUMNS($AC$1006:AG1006),$AC$1006:$AS$1006,0)))),"Fix")))</f>
        <v>0</v>
      </c>
      <c r="G316" s="5">
        <f>IF(OR(INDEX($W$2:$W$1001,MATCH(ROWS($V$2:V316),$V$2:$V$1001,0),1)&gt;=100000,INDEX($AC$1005:$AS$1005,1,MATCH(COLUMNS($AC$1006:AH1006),$AC$1006:$AS$1006,0))&gt;=100000), " ",IF(INDEX($AC$2:$AS$1001,MATCH(ROWS($V$2:V316),$V$2:$V$1001,0),MATCH(COLUMNS($AC$1006:AH1006),$AC$1006:$AS$1006,0)), HYPERLINK("#",""), HYPERLINK(CONCATENATE("#Metadata!", ADDRESS(INDEX($X$2:$X$1001,MATCH(ROWS($V$2:V316),$V$2:$V$1001,0),0), INDEX($AC$1004:$AS$1004,1,MATCH(COLUMNS($AC$1006:AH1006),$AC$1006:$AS$1006,0)))),"Fix")))</f>
        <v>0</v>
      </c>
      <c r="H316" s="5">
        <f>IF(OR(INDEX($W$2:$W$1001,MATCH(ROWS($V$2:V316),$V$2:$V$1001,0),1)&gt;=100000,INDEX($AC$1005:$AS$1005,1,MATCH(COLUMNS($AC$1006:AI1006),$AC$1006:$AS$1006,0))&gt;=100000), " ",IF(INDEX($AC$2:$AS$1001,MATCH(ROWS($V$2:V316),$V$2:$V$1001,0),MATCH(COLUMNS($AC$1006:AI1006),$AC$1006:$AS$1006,0)), HYPERLINK("#",""), HYPERLINK(CONCATENATE("#Metadata!", ADDRESS(INDEX($X$2:$X$1001,MATCH(ROWS($V$2:V316),$V$2:$V$1001,0),0), INDEX($AC$1004:$AS$1004,1,MATCH(COLUMNS($AC$1006:AI1006),$AC$1006:$AS$1006,0)))),"Fix")))</f>
        <v>0</v>
      </c>
      <c r="I316" s="5">
        <f>IF(OR(INDEX($W$2:$W$1001,MATCH(ROWS($V$2:V316),$V$2:$V$1001,0),1)&gt;=100000,INDEX($AC$1005:$AS$1005,1,MATCH(COLUMNS($AC$1006:AJ1006),$AC$1006:$AS$1006,0))&gt;=100000), " ",IF(INDEX($AC$2:$AS$1001,MATCH(ROWS($V$2:V316),$V$2:$V$1001,0),MATCH(COLUMNS($AC$1006:AJ1006),$AC$1006:$AS$1006,0)), HYPERLINK("#",""), HYPERLINK(CONCATENATE("#Metadata!", ADDRESS(INDEX($X$2:$X$1001,MATCH(ROWS($V$2:V316),$V$2:$V$1001,0),0), INDEX($AC$1004:$AS$1004,1,MATCH(COLUMNS($AC$1006:AJ1006),$AC$1006:$AS$1006,0)))),"Fix")))</f>
        <v>0</v>
      </c>
      <c r="J316" s="5">
        <f>IF(OR(INDEX($W$2:$W$1001,MATCH(ROWS($V$2:V316),$V$2:$V$1001,0),1)&gt;=100000,INDEX($AC$1005:$AS$1005,1,MATCH(COLUMNS($AC$1006:AK1006),$AC$1006:$AS$1006,0))&gt;=100000), " ",IF(INDEX($AC$2:$AS$1001,MATCH(ROWS($V$2:V316),$V$2:$V$1001,0),MATCH(COLUMNS($AC$1006:AK1006),$AC$1006:$AS$1006,0)), HYPERLINK("#",""), HYPERLINK(CONCATENATE("#Metadata!", ADDRESS(INDEX($X$2:$X$1001,MATCH(ROWS($V$2:V316),$V$2:$V$1001,0),0), INDEX($AC$1004:$AS$1004,1,MATCH(COLUMNS($AC$1006:AK1006),$AC$1006:$AS$1006,0)))),"Fix")))</f>
        <v>0</v>
      </c>
      <c r="K316" s="5">
        <f>IF(OR(INDEX($W$2:$W$1001,MATCH(ROWS($V$2:V316),$V$2:$V$1001,0),1)&gt;=100000,INDEX($AC$1005:$AS$1005,1,MATCH(COLUMNS($AC$1006:AL1006),$AC$1006:$AS$1006,0))&gt;=100000), " ",IF(INDEX($AC$2:$AS$1001,MATCH(ROWS($V$2:V316),$V$2:$V$1001,0),MATCH(COLUMNS($AC$1006:AL1006),$AC$1006:$AS$1006,0)), HYPERLINK("#",""), HYPERLINK(CONCATENATE("#Metadata!", ADDRESS(INDEX($X$2:$X$1001,MATCH(ROWS($V$2:V316),$V$2:$V$1001,0),0), INDEX($AC$1004:$AS$1004,1,MATCH(COLUMNS($AC$1006:AL1006),$AC$1006:$AS$1006,0)))),"Fix")))</f>
        <v>0</v>
      </c>
      <c r="L316" s="5">
        <f>IF(OR(INDEX($W$2:$W$1001,MATCH(ROWS($V$2:V316),$V$2:$V$1001,0),1)&gt;=100000,INDEX($AC$1005:$AS$1005,1,MATCH(COLUMNS($AC$1006:AM1006),$AC$1006:$AS$1006,0))&gt;=100000), " ",IF(INDEX($AC$2:$AS$1001,MATCH(ROWS($V$2:V316),$V$2:$V$1001,0),MATCH(COLUMNS($AC$1006:AM1006),$AC$1006:$AS$1006,0)), HYPERLINK("#",""), HYPERLINK(CONCATENATE("#Metadata!", ADDRESS(INDEX($X$2:$X$1001,MATCH(ROWS($V$2:V316),$V$2:$V$1001,0),0), INDEX($AC$1004:$AS$1004,1,MATCH(COLUMNS($AC$1006:AM1006),$AC$1006:$AS$1006,0)))),"Fix")))</f>
        <v>0</v>
      </c>
      <c r="M316" s="5">
        <f>IF(OR(INDEX($W$2:$W$1001,MATCH(ROWS($V$2:V316),$V$2:$V$1001,0),1)&gt;=100000,INDEX($AC$1005:$AS$1005,1,MATCH(COLUMNS($AC$1006:AN1006),$AC$1006:$AS$1006,0))&gt;=100000), " ",IF(INDEX($AC$2:$AS$1001,MATCH(ROWS($V$2:V316),$V$2:$V$1001,0),MATCH(COLUMNS($AC$1006:AN1006),$AC$1006:$AS$1006,0)), HYPERLINK("#",""), HYPERLINK(CONCATENATE("#Metadata!", ADDRESS(INDEX($X$2:$X$1001,MATCH(ROWS($V$2:V316),$V$2:$V$1001,0),0), INDEX($AC$1004:$AS$1004,1,MATCH(COLUMNS($AC$1006:AN1006),$AC$1006:$AS$1006,0)))),"Fix")))</f>
        <v>0</v>
      </c>
      <c r="N316" s="5">
        <f>IF(OR(INDEX($W$2:$W$1001,MATCH(ROWS($V$2:V316),$V$2:$V$1001,0),1)&gt;=100000,INDEX($AC$1005:$AS$1005,1,MATCH(COLUMNS($AC$1006:AO1006),$AC$1006:$AS$1006,0))&gt;=100000), " ",IF(INDEX($AC$2:$AS$1001,MATCH(ROWS($V$2:V316),$V$2:$V$1001,0),MATCH(COLUMNS($AC$1006:AO1006),$AC$1006:$AS$1006,0)), HYPERLINK("#",""), HYPERLINK(CONCATENATE("#Metadata!", ADDRESS(INDEX($X$2:$X$1001,MATCH(ROWS($V$2:V316),$V$2:$V$1001,0),0), INDEX($AC$1004:$AS$1004,1,MATCH(COLUMNS($AC$1006:AO1006),$AC$1006:$AS$1006,0)))),"Fix")))</f>
        <v>0</v>
      </c>
      <c r="O316" s="5">
        <f>IF(OR(INDEX($W$2:$W$1001,MATCH(ROWS($V$2:V316),$V$2:$V$1001,0),1)&gt;=100000,INDEX($AC$1005:$AS$1005,1,MATCH(COLUMNS($AC$1006:AP1006),$AC$1006:$AS$1006,0))&gt;=100000), " ",IF(INDEX($AC$2:$AS$1001,MATCH(ROWS($V$2:V316),$V$2:$V$1001,0),MATCH(COLUMNS($AC$1006:AP1006),$AC$1006:$AS$1006,0)), HYPERLINK("#",""), HYPERLINK(CONCATENATE("#Metadata!", ADDRESS(INDEX($X$2:$X$1001,MATCH(ROWS($V$2:V316),$V$2:$V$1001,0),0), INDEX($AC$1004:$AS$1004,1,MATCH(COLUMNS($AC$1006:AP1006),$AC$1006:$AS$1006,0)))),"Fix")))</f>
        <v>0</v>
      </c>
      <c r="P316" s="5">
        <f>IF(OR(INDEX($W$2:$W$1001,MATCH(ROWS($V$2:V316),$V$2:$V$1001,0),1)&gt;=100000,INDEX($AC$1005:$AS$1005,1,MATCH(COLUMNS($AC$1006:AQ1006),$AC$1006:$AS$1006,0))&gt;=100000), " ",IF(INDEX($AC$2:$AS$1001,MATCH(ROWS($V$2:V316),$V$2:$V$1001,0),MATCH(COLUMNS($AC$1006:AQ1006),$AC$1006:$AS$1006,0)), HYPERLINK("#",""), HYPERLINK(CONCATENATE("#Metadata!", ADDRESS(INDEX($X$2:$X$1001,MATCH(ROWS($V$2:V316),$V$2:$V$1001,0),0), INDEX($AC$1004:$AS$1004,1,MATCH(COLUMNS($AC$1006:AQ1006),$AC$1006:$AS$1006,0)))),"Fix")))</f>
        <v>0</v>
      </c>
      <c r="Q316" s="5">
        <f>IF(OR(INDEX($W$2:$W$1001,MATCH(ROWS($V$2:V316),$V$2:$V$1001,0),1)&gt;=100000,INDEX($AC$1005:$AS$1005,1,MATCH(COLUMNS($AC$1006:AR1006),$AC$1006:$AS$1006,0))&gt;=100000), " ",IF(INDEX($AC$2:$AS$1001,MATCH(ROWS($V$2:V316),$V$2:$V$1001,0),MATCH(COLUMNS($AC$1006:AR1006),$AC$1006:$AS$1006,0)), HYPERLINK("#",""), HYPERLINK(CONCATENATE("#Metadata!", ADDRESS(INDEX($X$2:$X$1001,MATCH(ROWS($V$2:V316),$V$2:$V$1001,0),0), INDEX($AC$1004:$AS$1004,1,MATCH(COLUMNS($AC$1006:AR1006),$AC$1006:$AS$1006,0)))),"Fix")))</f>
        <v>0</v>
      </c>
      <c r="R316" s="5">
        <f>IF(OR(INDEX($W$2:$W$1001,MATCH(ROWS($V$2:V316),$V$2:$V$1001,0),1)&gt;=100000,INDEX($AC$1005:$AS$1005,1,MATCH(COLUMNS($AC$1006:AS1006),$AC$1006:$AS$1006,0))&gt;=100000), " ",IF(INDEX($AC$2:$AS$1001,MATCH(ROWS($V$2:V316),$V$2:$V$1001,0),MATCH(COLUMNS($AC$1006:AS1006),$AC$1006:$AS$1006,0)), HYPERLINK("#",""), HYPERLINK(CONCATENATE("#Metadata!", ADDRESS(INDEX($X$2:$X$1001,MATCH(ROWS($V$2:V316),$V$2:$V$1001,0),0), INDEX($AC$1004:$AS$1004,1,MATCH(COLUMNS($AC$1006:AS1006),$AC$1006:$AS$1006,0)))),"Fix")))</f>
        <v>0</v>
      </c>
      <c r="V316">
        <v>0</v>
      </c>
      <c r="W316">
        <v>0</v>
      </c>
      <c r="X316">
        <v>0</v>
      </c>
      <c r="Y316">
        <f>IF(Z316,TRUE,AND(AC316:AS316))</f>
        <v>0</v>
      </c>
      <c r="Z316">
        <f>COUNTBLANK(Metadata!B316:R316)=COLUMNS(Metadata!B316:R316)</f>
        <v>0</v>
      </c>
      <c r="AA316">
        <v>0</v>
      </c>
      <c r="AC316">
        <f>AND(IF(Metadata!B316="",FALSE,TRUE),COUNTIF(Metadata!B:B, Metadata!B316) = 1,NOT(ISERROR(SUMPRODUCT(SEARCH(MID(Metadata!B316,ROW(INDIRECT("1:"&amp;LEN(Metadata!B316))), 1),"0123456789abcdefghijklmnopqrstuvwxyzABCDEFGHIJKLMNOPQRSTUVWXYZ.")))))</f>
        <v>0</v>
      </c>
      <c r="AD316">
        <f>AND(IF(Metadata!C316="",FALSE,TRUE),exact(Metadata!C316,"Host-associated"))</f>
        <v>0</v>
      </c>
      <c r="AE316">
        <f>AND(IF(Metadata!D316="",FALSE,TRUE),OR(exact(Metadata!D316,"Animal"),exact(Metadata!D316,"Fungus"),exact(Metadata!D316,"Plant")))</f>
        <v>0</v>
      </c>
      <c r="AF316">
        <f>AND(IF(Metadata!E316="",FALSE,TRUE),OR(exact(Metadata!E316,"Plant secretion"),exact(Metadata!E316,"Plant rhizosphere"),exact(Metadata!E316,"Plant surface"),exact(Metadata!E316,"Plant corpus"),exact(Metadata!E316,"Fungus surface"),exact(Metadata!E316,"Fungus corpus"),exact(Metadata!E316,"Animal surface"),exact(Metadata!E316,"Animal proximal gut"),exact(Metadata!E316,"Animal corpus"),exact(Metadata!E316,"Animal distal gut"),exact(Metadata!E316,"Animal secretion")))</f>
        <v>0</v>
      </c>
      <c r="AG316">
        <f>OR(AND(IF(Metadata!F316="",FALSE,TRUE),OR(exact(Metadata!F316,"not collected"),exact(Metadata!F316,"not provided"),exact(Metadata!F316,"restricted access"))),AND(IF(Metadata!F316="",FALSE,TRUE),OR(exact(Metadata!F316,"organism-associated habitat"),exact(Metadata!F316,"plant-associated habitat"),exact(Metadata!F316,"animal-associated habitat"),exact(Metadata!F316,"insecta-associated habitat"),exact(Metadata!F316,"mammalia-associated habitat"),exact(Metadata!F316,"human-associated habitat"),exact(Metadata!F316,"livestock-associated habitat"))))</f>
        <v>0</v>
      </c>
      <c r="AH316">
        <f>AND(IF(Metadata!G316="",FALSE,TRUE),exact(Metadata!G316,"host-associated"))</f>
        <v>0</v>
      </c>
      <c r="AI316">
        <f>OR(AND(IF(Metadata!H316="",FALSE,TRUE),OR(exact(Metadata!H316,"not collected"),exact(Metadata!H316,"not provided"))),AND(IF(Metadata!H316="",FALSE,ISNUMBER(VALUE(Metadata!H316))),Metadata!H316&gt;0))</f>
        <v>0</v>
      </c>
      <c r="AJ316">
        <f>AND(IF(Metadata!I316="",FALSE,TRUE),exact(Metadata!I316,"years"))</f>
        <v>0</v>
      </c>
      <c r="AK316">
        <f>IF(Metadata!J316="",FALSE,TRUE)</f>
        <v>0</v>
      </c>
      <c r="AL316">
        <f>OR(AND(IF(Metadata!K316="",FALSE,TRUE),OR(exact(Metadata!K316,"not collected"),exact(Metadata!K316,"not provided"))),AND(IF(Metadata!K316="",FALSE,ISNUMBER(VALUE(Metadata!K316))),Metadata!K316&gt;0))</f>
        <v>0</v>
      </c>
      <c r="AM316">
        <f>AND(IF(Metadata!L316="",FALSE,TRUE),exact(Metadata!L316,"cm"))</f>
        <v>0</v>
      </c>
      <c r="AN316">
        <f>IF(Metadata!M316="",FALSE,TRUE)</f>
        <v>0</v>
      </c>
      <c r="AO316">
        <f>OR(AND(IF(Metadata!N316="",FALSE,TRUE),OR(exact(Metadata!N316,"not applicable"),exact(Metadata!N316,"not collected"),exact(Metadata!N316,"not provided"))),AND(IF(Metadata!N316="",FALSE,IF(ISERROR(INT(Metadata!N316)),FALSE,INT(Metadata!N316)=Metadata!N316)),Metadata!N316&gt;0))</f>
        <v>0</v>
      </c>
      <c r="AP316">
        <f>OR(AND(IF(Metadata!O316="",FALSE,TRUE),OR(exact(Metadata!O316,"not collected"),exact(Metadata!O316,"not provided"))),AND(IF(Metadata!O316="",FALSE,ISNUMBER(VALUE(Metadata!O316))),Metadata!O316&gt;0))</f>
        <v>0</v>
      </c>
      <c r="AQ316">
        <f>AND(IF(Metadata!P316="",FALSE,TRUE),exact(Metadata!P316,"kg"))</f>
        <v>0</v>
      </c>
      <c r="AR316">
        <f>OR(AND(IF(Metadata!Q316="",FALSE,TRUE),OR(exact(Metadata!Q316,"not applicable"),exact(Metadata!Q316,"not collected"),exact(Metadata!Q316,"not provided"),exact(Metadata!Q316,"restricted access"))),IF(Metadata!Q316="",FALSE,IF(ISERROR(INT(Metadata!Q316)),FALSE,INT(Metadata!Q316)=Metadata!Q316)))</f>
        <v>0</v>
      </c>
      <c r="AS316">
        <f>AND(IF(Metadata!R316="",FALSE,TRUE),exact(Metadata!R316,"Not applicable"))</f>
        <v>0</v>
      </c>
    </row>
    <row r="317" spans="1:45">
      <c r="A317" s="4">
        <f>IF(B317=" "," ",HYPERLINK(CONCATENATE("#metadata!",ADDRESS(INDEX($X$2:$X$1001,MATCH(ROWS($V$2:V317),$V$2:$V$1001,0),0),2)),INDEX($AA$2:$AA$1001,MATCH(ROWS($V$2:V317),$V$2:$V$1001,0),0)))</f>
        <v>0</v>
      </c>
      <c r="B317" s="5">
        <f>IF(OR(INDEX($W$2:$W$1001,MATCH(ROWS($V$2:V317),$V$2:$V$1001,0),1)&gt;=100000,INDEX($AC$1005:$AS$1005,1,MATCH(COLUMNS($AC$1006:AC1006),$AC$1006:$AS$1006,0))&gt;=100000), " ",IF(INDEX($AC$2:$AS$1001,MATCH(ROWS($V$2:V317),$V$2:$V$1001,0),MATCH(COLUMNS($AC$1006:AC1006),$AC$1006:$AS$1006,0)), HYPERLINK("#",""), HYPERLINK(CONCATENATE("#Metadata!", ADDRESS(INDEX($X$2:$X$1001,MATCH(ROWS($V$2:V317),$V$2:$V$1001,0),0), INDEX($AC$1004:$AS$1004,1,MATCH(COLUMNS($AC$1006:AC1006),$AC$1006:$AS$1006,0)))),"Fix")))</f>
        <v>0</v>
      </c>
      <c r="C317" s="5">
        <f>IF(OR(INDEX($W$2:$W$1001,MATCH(ROWS($V$2:V317),$V$2:$V$1001,0),1)&gt;=100000,INDEX($AC$1005:$AS$1005,1,MATCH(COLUMNS($AC$1006:AD1006),$AC$1006:$AS$1006,0))&gt;=100000), " ",IF(INDEX($AC$2:$AS$1001,MATCH(ROWS($V$2:V317),$V$2:$V$1001,0),MATCH(COLUMNS($AC$1006:AD1006),$AC$1006:$AS$1006,0)), HYPERLINK("#",""), HYPERLINK(CONCATENATE("#Metadata!", ADDRESS(INDEX($X$2:$X$1001,MATCH(ROWS($V$2:V317),$V$2:$V$1001,0),0), INDEX($AC$1004:$AS$1004,1,MATCH(COLUMNS($AC$1006:AD1006),$AC$1006:$AS$1006,0)))),"Fix")))</f>
        <v>0</v>
      </c>
      <c r="D317" s="5">
        <f>IF(OR(INDEX($W$2:$W$1001,MATCH(ROWS($V$2:V317),$V$2:$V$1001,0),1)&gt;=100000,INDEX($AC$1005:$AS$1005,1,MATCH(COLUMNS($AC$1006:AE1006),$AC$1006:$AS$1006,0))&gt;=100000), " ",IF(INDEX($AC$2:$AS$1001,MATCH(ROWS($V$2:V317),$V$2:$V$1001,0),MATCH(COLUMNS($AC$1006:AE1006),$AC$1006:$AS$1006,0)), HYPERLINK("#",""), HYPERLINK(CONCATENATE("#Metadata!", ADDRESS(INDEX($X$2:$X$1001,MATCH(ROWS($V$2:V317),$V$2:$V$1001,0),0), INDEX($AC$1004:$AS$1004,1,MATCH(COLUMNS($AC$1006:AE1006),$AC$1006:$AS$1006,0)))),"Fix")))</f>
        <v>0</v>
      </c>
      <c r="E317" s="5">
        <f>IF(OR(INDEX($W$2:$W$1001,MATCH(ROWS($V$2:V317),$V$2:$V$1001,0),1)&gt;=100000,INDEX($AC$1005:$AS$1005,1,MATCH(COLUMNS($AC$1006:AF1006),$AC$1006:$AS$1006,0))&gt;=100000), " ",IF(INDEX($AC$2:$AS$1001,MATCH(ROWS($V$2:V317),$V$2:$V$1001,0),MATCH(COLUMNS($AC$1006:AF1006),$AC$1006:$AS$1006,0)), HYPERLINK("#",""), HYPERLINK(CONCATENATE("#Metadata!", ADDRESS(INDEX($X$2:$X$1001,MATCH(ROWS($V$2:V317),$V$2:$V$1001,0),0), INDEX($AC$1004:$AS$1004,1,MATCH(COLUMNS($AC$1006:AF1006),$AC$1006:$AS$1006,0)))),"Fix")))</f>
        <v>0</v>
      </c>
      <c r="F317" s="5">
        <f>IF(OR(INDEX($W$2:$W$1001,MATCH(ROWS($V$2:V317),$V$2:$V$1001,0),1)&gt;=100000,INDEX($AC$1005:$AS$1005,1,MATCH(COLUMNS($AC$1006:AG1006),$AC$1006:$AS$1006,0))&gt;=100000), " ",IF(INDEX($AC$2:$AS$1001,MATCH(ROWS($V$2:V317),$V$2:$V$1001,0),MATCH(COLUMNS($AC$1006:AG1006),$AC$1006:$AS$1006,0)), HYPERLINK("#",""), HYPERLINK(CONCATENATE("#Metadata!", ADDRESS(INDEX($X$2:$X$1001,MATCH(ROWS($V$2:V317),$V$2:$V$1001,0),0), INDEX($AC$1004:$AS$1004,1,MATCH(COLUMNS($AC$1006:AG1006),$AC$1006:$AS$1006,0)))),"Fix")))</f>
        <v>0</v>
      </c>
      <c r="G317" s="5">
        <f>IF(OR(INDEX($W$2:$W$1001,MATCH(ROWS($V$2:V317),$V$2:$V$1001,0),1)&gt;=100000,INDEX($AC$1005:$AS$1005,1,MATCH(COLUMNS($AC$1006:AH1006),$AC$1006:$AS$1006,0))&gt;=100000), " ",IF(INDEX($AC$2:$AS$1001,MATCH(ROWS($V$2:V317),$V$2:$V$1001,0),MATCH(COLUMNS($AC$1006:AH1006),$AC$1006:$AS$1006,0)), HYPERLINK("#",""), HYPERLINK(CONCATENATE("#Metadata!", ADDRESS(INDEX($X$2:$X$1001,MATCH(ROWS($V$2:V317),$V$2:$V$1001,0),0), INDEX($AC$1004:$AS$1004,1,MATCH(COLUMNS($AC$1006:AH1006),$AC$1006:$AS$1006,0)))),"Fix")))</f>
        <v>0</v>
      </c>
      <c r="H317" s="5">
        <f>IF(OR(INDEX($W$2:$W$1001,MATCH(ROWS($V$2:V317),$V$2:$V$1001,0),1)&gt;=100000,INDEX($AC$1005:$AS$1005,1,MATCH(COLUMNS($AC$1006:AI1006),$AC$1006:$AS$1006,0))&gt;=100000), " ",IF(INDEX($AC$2:$AS$1001,MATCH(ROWS($V$2:V317),$V$2:$V$1001,0),MATCH(COLUMNS($AC$1006:AI1006),$AC$1006:$AS$1006,0)), HYPERLINK("#",""), HYPERLINK(CONCATENATE("#Metadata!", ADDRESS(INDEX($X$2:$X$1001,MATCH(ROWS($V$2:V317),$V$2:$V$1001,0),0), INDEX($AC$1004:$AS$1004,1,MATCH(COLUMNS($AC$1006:AI1006),$AC$1006:$AS$1006,0)))),"Fix")))</f>
        <v>0</v>
      </c>
      <c r="I317" s="5">
        <f>IF(OR(INDEX($W$2:$W$1001,MATCH(ROWS($V$2:V317),$V$2:$V$1001,0),1)&gt;=100000,INDEX($AC$1005:$AS$1005,1,MATCH(COLUMNS($AC$1006:AJ1006),$AC$1006:$AS$1006,0))&gt;=100000), " ",IF(INDEX($AC$2:$AS$1001,MATCH(ROWS($V$2:V317),$V$2:$V$1001,0),MATCH(COLUMNS($AC$1006:AJ1006),$AC$1006:$AS$1006,0)), HYPERLINK("#",""), HYPERLINK(CONCATENATE("#Metadata!", ADDRESS(INDEX($X$2:$X$1001,MATCH(ROWS($V$2:V317),$V$2:$V$1001,0),0), INDEX($AC$1004:$AS$1004,1,MATCH(COLUMNS($AC$1006:AJ1006),$AC$1006:$AS$1006,0)))),"Fix")))</f>
        <v>0</v>
      </c>
      <c r="J317" s="5">
        <f>IF(OR(INDEX($W$2:$W$1001,MATCH(ROWS($V$2:V317),$V$2:$V$1001,0),1)&gt;=100000,INDEX($AC$1005:$AS$1005,1,MATCH(COLUMNS($AC$1006:AK1006),$AC$1006:$AS$1006,0))&gt;=100000), " ",IF(INDEX($AC$2:$AS$1001,MATCH(ROWS($V$2:V317),$V$2:$V$1001,0),MATCH(COLUMNS($AC$1006:AK1006),$AC$1006:$AS$1006,0)), HYPERLINK("#",""), HYPERLINK(CONCATENATE("#Metadata!", ADDRESS(INDEX($X$2:$X$1001,MATCH(ROWS($V$2:V317),$V$2:$V$1001,0),0), INDEX($AC$1004:$AS$1004,1,MATCH(COLUMNS($AC$1006:AK1006),$AC$1006:$AS$1006,0)))),"Fix")))</f>
        <v>0</v>
      </c>
      <c r="K317" s="5">
        <f>IF(OR(INDEX($W$2:$W$1001,MATCH(ROWS($V$2:V317),$V$2:$V$1001,0),1)&gt;=100000,INDEX($AC$1005:$AS$1005,1,MATCH(COLUMNS($AC$1006:AL1006),$AC$1006:$AS$1006,0))&gt;=100000), " ",IF(INDEX($AC$2:$AS$1001,MATCH(ROWS($V$2:V317),$V$2:$V$1001,0),MATCH(COLUMNS($AC$1006:AL1006),$AC$1006:$AS$1006,0)), HYPERLINK("#",""), HYPERLINK(CONCATENATE("#Metadata!", ADDRESS(INDEX($X$2:$X$1001,MATCH(ROWS($V$2:V317),$V$2:$V$1001,0),0), INDEX($AC$1004:$AS$1004,1,MATCH(COLUMNS($AC$1006:AL1006),$AC$1006:$AS$1006,0)))),"Fix")))</f>
        <v>0</v>
      </c>
      <c r="L317" s="5">
        <f>IF(OR(INDEX($W$2:$W$1001,MATCH(ROWS($V$2:V317),$V$2:$V$1001,0),1)&gt;=100000,INDEX($AC$1005:$AS$1005,1,MATCH(COLUMNS($AC$1006:AM1006),$AC$1006:$AS$1006,0))&gt;=100000), " ",IF(INDEX($AC$2:$AS$1001,MATCH(ROWS($V$2:V317),$V$2:$V$1001,0),MATCH(COLUMNS($AC$1006:AM1006),$AC$1006:$AS$1006,0)), HYPERLINK("#",""), HYPERLINK(CONCATENATE("#Metadata!", ADDRESS(INDEX($X$2:$X$1001,MATCH(ROWS($V$2:V317),$V$2:$V$1001,0),0), INDEX($AC$1004:$AS$1004,1,MATCH(COLUMNS($AC$1006:AM1006),$AC$1006:$AS$1006,0)))),"Fix")))</f>
        <v>0</v>
      </c>
      <c r="M317" s="5">
        <f>IF(OR(INDEX($W$2:$W$1001,MATCH(ROWS($V$2:V317),$V$2:$V$1001,0),1)&gt;=100000,INDEX($AC$1005:$AS$1005,1,MATCH(COLUMNS($AC$1006:AN1006),$AC$1006:$AS$1006,0))&gt;=100000), " ",IF(INDEX($AC$2:$AS$1001,MATCH(ROWS($V$2:V317),$V$2:$V$1001,0),MATCH(COLUMNS($AC$1006:AN1006),$AC$1006:$AS$1006,0)), HYPERLINK("#",""), HYPERLINK(CONCATENATE("#Metadata!", ADDRESS(INDEX($X$2:$X$1001,MATCH(ROWS($V$2:V317),$V$2:$V$1001,0),0), INDEX($AC$1004:$AS$1004,1,MATCH(COLUMNS($AC$1006:AN1006),$AC$1006:$AS$1006,0)))),"Fix")))</f>
        <v>0</v>
      </c>
      <c r="N317" s="5">
        <f>IF(OR(INDEX($W$2:$W$1001,MATCH(ROWS($V$2:V317),$V$2:$V$1001,0),1)&gt;=100000,INDEX($AC$1005:$AS$1005,1,MATCH(COLUMNS($AC$1006:AO1006),$AC$1006:$AS$1006,0))&gt;=100000), " ",IF(INDEX($AC$2:$AS$1001,MATCH(ROWS($V$2:V317),$V$2:$V$1001,0),MATCH(COLUMNS($AC$1006:AO1006),$AC$1006:$AS$1006,0)), HYPERLINK("#",""), HYPERLINK(CONCATENATE("#Metadata!", ADDRESS(INDEX($X$2:$X$1001,MATCH(ROWS($V$2:V317),$V$2:$V$1001,0),0), INDEX($AC$1004:$AS$1004,1,MATCH(COLUMNS($AC$1006:AO1006),$AC$1006:$AS$1006,0)))),"Fix")))</f>
        <v>0</v>
      </c>
      <c r="O317" s="5">
        <f>IF(OR(INDEX($W$2:$W$1001,MATCH(ROWS($V$2:V317),$V$2:$V$1001,0),1)&gt;=100000,INDEX($AC$1005:$AS$1005,1,MATCH(COLUMNS($AC$1006:AP1006),$AC$1006:$AS$1006,0))&gt;=100000), " ",IF(INDEX($AC$2:$AS$1001,MATCH(ROWS($V$2:V317),$V$2:$V$1001,0),MATCH(COLUMNS($AC$1006:AP1006),$AC$1006:$AS$1006,0)), HYPERLINK("#",""), HYPERLINK(CONCATENATE("#Metadata!", ADDRESS(INDEX($X$2:$X$1001,MATCH(ROWS($V$2:V317),$V$2:$V$1001,0),0), INDEX($AC$1004:$AS$1004,1,MATCH(COLUMNS($AC$1006:AP1006),$AC$1006:$AS$1006,0)))),"Fix")))</f>
        <v>0</v>
      </c>
      <c r="P317" s="5">
        <f>IF(OR(INDEX($W$2:$W$1001,MATCH(ROWS($V$2:V317),$V$2:$V$1001,0),1)&gt;=100000,INDEX($AC$1005:$AS$1005,1,MATCH(COLUMNS($AC$1006:AQ1006),$AC$1006:$AS$1006,0))&gt;=100000), " ",IF(INDEX($AC$2:$AS$1001,MATCH(ROWS($V$2:V317),$V$2:$V$1001,0),MATCH(COLUMNS($AC$1006:AQ1006),$AC$1006:$AS$1006,0)), HYPERLINK("#",""), HYPERLINK(CONCATENATE("#Metadata!", ADDRESS(INDEX($X$2:$X$1001,MATCH(ROWS($V$2:V317),$V$2:$V$1001,0),0), INDEX($AC$1004:$AS$1004,1,MATCH(COLUMNS($AC$1006:AQ1006),$AC$1006:$AS$1006,0)))),"Fix")))</f>
        <v>0</v>
      </c>
      <c r="Q317" s="5">
        <f>IF(OR(INDEX($W$2:$W$1001,MATCH(ROWS($V$2:V317),$V$2:$V$1001,0),1)&gt;=100000,INDEX($AC$1005:$AS$1005,1,MATCH(COLUMNS($AC$1006:AR1006),$AC$1006:$AS$1006,0))&gt;=100000), " ",IF(INDEX($AC$2:$AS$1001,MATCH(ROWS($V$2:V317),$V$2:$V$1001,0),MATCH(COLUMNS($AC$1006:AR1006),$AC$1006:$AS$1006,0)), HYPERLINK("#",""), HYPERLINK(CONCATENATE("#Metadata!", ADDRESS(INDEX($X$2:$X$1001,MATCH(ROWS($V$2:V317),$V$2:$V$1001,0),0), INDEX($AC$1004:$AS$1004,1,MATCH(COLUMNS($AC$1006:AR1006),$AC$1006:$AS$1006,0)))),"Fix")))</f>
        <v>0</v>
      </c>
      <c r="R317" s="5">
        <f>IF(OR(INDEX($W$2:$W$1001,MATCH(ROWS($V$2:V317),$V$2:$V$1001,0),1)&gt;=100000,INDEX($AC$1005:$AS$1005,1,MATCH(COLUMNS($AC$1006:AS1006),$AC$1006:$AS$1006,0))&gt;=100000), " ",IF(INDEX($AC$2:$AS$1001,MATCH(ROWS($V$2:V317),$V$2:$V$1001,0),MATCH(COLUMNS($AC$1006:AS1006),$AC$1006:$AS$1006,0)), HYPERLINK("#",""), HYPERLINK(CONCATENATE("#Metadata!", ADDRESS(INDEX($X$2:$X$1001,MATCH(ROWS($V$2:V317),$V$2:$V$1001,0),0), INDEX($AC$1004:$AS$1004,1,MATCH(COLUMNS($AC$1006:AS1006),$AC$1006:$AS$1006,0)))),"Fix")))</f>
        <v>0</v>
      </c>
      <c r="V317">
        <v>0</v>
      </c>
      <c r="W317">
        <v>0</v>
      </c>
      <c r="X317">
        <v>0</v>
      </c>
      <c r="Y317">
        <f>IF(Z317,TRUE,AND(AC317:AS317))</f>
        <v>0</v>
      </c>
      <c r="Z317">
        <f>COUNTBLANK(Metadata!B317:R317)=COLUMNS(Metadata!B317:R317)</f>
        <v>0</v>
      </c>
      <c r="AA317">
        <v>0</v>
      </c>
      <c r="AC317">
        <f>AND(IF(Metadata!B317="",FALSE,TRUE),COUNTIF(Metadata!B:B, Metadata!B317) = 1,NOT(ISERROR(SUMPRODUCT(SEARCH(MID(Metadata!B317,ROW(INDIRECT("1:"&amp;LEN(Metadata!B317))), 1),"0123456789abcdefghijklmnopqrstuvwxyzABCDEFGHIJKLMNOPQRSTUVWXYZ.")))))</f>
        <v>0</v>
      </c>
      <c r="AD317">
        <f>AND(IF(Metadata!C317="",FALSE,TRUE),exact(Metadata!C317,"Host-associated"))</f>
        <v>0</v>
      </c>
      <c r="AE317">
        <f>AND(IF(Metadata!D317="",FALSE,TRUE),OR(exact(Metadata!D317,"Animal"),exact(Metadata!D317,"Fungus"),exact(Metadata!D317,"Plant")))</f>
        <v>0</v>
      </c>
      <c r="AF317">
        <f>AND(IF(Metadata!E317="",FALSE,TRUE),OR(exact(Metadata!E317,"Plant secretion"),exact(Metadata!E317,"Plant rhizosphere"),exact(Metadata!E317,"Plant surface"),exact(Metadata!E317,"Plant corpus"),exact(Metadata!E317,"Fungus surface"),exact(Metadata!E317,"Fungus corpus"),exact(Metadata!E317,"Animal surface"),exact(Metadata!E317,"Animal proximal gut"),exact(Metadata!E317,"Animal corpus"),exact(Metadata!E317,"Animal distal gut"),exact(Metadata!E317,"Animal secretion")))</f>
        <v>0</v>
      </c>
      <c r="AG317">
        <f>OR(AND(IF(Metadata!F317="",FALSE,TRUE),OR(exact(Metadata!F317,"not collected"),exact(Metadata!F317,"not provided"),exact(Metadata!F317,"restricted access"))),AND(IF(Metadata!F317="",FALSE,TRUE),OR(exact(Metadata!F317,"organism-associated habitat"),exact(Metadata!F317,"plant-associated habitat"),exact(Metadata!F317,"animal-associated habitat"),exact(Metadata!F317,"insecta-associated habitat"),exact(Metadata!F317,"mammalia-associated habitat"),exact(Metadata!F317,"human-associated habitat"),exact(Metadata!F317,"livestock-associated habitat"))))</f>
        <v>0</v>
      </c>
      <c r="AH317">
        <f>AND(IF(Metadata!G317="",FALSE,TRUE),exact(Metadata!G317,"host-associated"))</f>
        <v>0</v>
      </c>
      <c r="AI317">
        <f>OR(AND(IF(Metadata!H317="",FALSE,TRUE),OR(exact(Metadata!H317,"not collected"),exact(Metadata!H317,"not provided"))),AND(IF(Metadata!H317="",FALSE,ISNUMBER(VALUE(Metadata!H317))),Metadata!H317&gt;0))</f>
        <v>0</v>
      </c>
      <c r="AJ317">
        <f>AND(IF(Metadata!I317="",FALSE,TRUE),exact(Metadata!I317,"years"))</f>
        <v>0</v>
      </c>
      <c r="AK317">
        <f>IF(Metadata!J317="",FALSE,TRUE)</f>
        <v>0</v>
      </c>
      <c r="AL317">
        <f>OR(AND(IF(Metadata!K317="",FALSE,TRUE),OR(exact(Metadata!K317,"not collected"),exact(Metadata!K317,"not provided"))),AND(IF(Metadata!K317="",FALSE,ISNUMBER(VALUE(Metadata!K317))),Metadata!K317&gt;0))</f>
        <v>0</v>
      </c>
      <c r="AM317">
        <f>AND(IF(Metadata!L317="",FALSE,TRUE),exact(Metadata!L317,"cm"))</f>
        <v>0</v>
      </c>
      <c r="AN317">
        <f>IF(Metadata!M317="",FALSE,TRUE)</f>
        <v>0</v>
      </c>
      <c r="AO317">
        <f>OR(AND(IF(Metadata!N317="",FALSE,TRUE),OR(exact(Metadata!N317,"not applicable"),exact(Metadata!N317,"not collected"),exact(Metadata!N317,"not provided"))),AND(IF(Metadata!N317="",FALSE,IF(ISERROR(INT(Metadata!N317)),FALSE,INT(Metadata!N317)=Metadata!N317)),Metadata!N317&gt;0))</f>
        <v>0</v>
      </c>
      <c r="AP317">
        <f>OR(AND(IF(Metadata!O317="",FALSE,TRUE),OR(exact(Metadata!O317,"not collected"),exact(Metadata!O317,"not provided"))),AND(IF(Metadata!O317="",FALSE,ISNUMBER(VALUE(Metadata!O317))),Metadata!O317&gt;0))</f>
        <v>0</v>
      </c>
      <c r="AQ317">
        <f>AND(IF(Metadata!P317="",FALSE,TRUE),exact(Metadata!P317,"kg"))</f>
        <v>0</v>
      </c>
      <c r="AR317">
        <f>OR(AND(IF(Metadata!Q317="",FALSE,TRUE),OR(exact(Metadata!Q317,"not applicable"),exact(Metadata!Q317,"not collected"),exact(Metadata!Q317,"not provided"),exact(Metadata!Q317,"restricted access"))),IF(Metadata!Q317="",FALSE,IF(ISERROR(INT(Metadata!Q317)),FALSE,INT(Metadata!Q317)=Metadata!Q317)))</f>
        <v>0</v>
      </c>
      <c r="AS317">
        <f>AND(IF(Metadata!R317="",FALSE,TRUE),exact(Metadata!R317,"Not applicable"))</f>
        <v>0</v>
      </c>
    </row>
    <row r="318" spans="1:45">
      <c r="A318" s="4">
        <f>IF(B318=" "," ",HYPERLINK(CONCATENATE("#metadata!",ADDRESS(INDEX($X$2:$X$1001,MATCH(ROWS($V$2:V318),$V$2:$V$1001,0),0),2)),INDEX($AA$2:$AA$1001,MATCH(ROWS($V$2:V318),$V$2:$V$1001,0),0)))</f>
        <v>0</v>
      </c>
      <c r="B318" s="5">
        <f>IF(OR(INDEX($W$2:$W$1001,MATCH(ROWS($V$2:V318),$V$2:$V$1001,0),1)&gt;=100000,INDEX($AC$1005:$AS$1005,1,MATCH(COLUMNS($AC$1006:AC1006),$AC$1006:$AS$1006,0))&gt;=100000), " ",IF(INDEX($AC$2:$AS$1001,MATCH(ROWS($V$2:V318),$V$2:$V$1001,0),MATCH(COLUMNS($AC$1006:AC1006),$AC$1006:$AS$1006,0)), HYPERLINK("#",""), HYPERLINK(CONCATENATE("#Metadata!", ADDRESS(INDEX($X$2:$X$1001,MATCH(ROWS($V$2:V318),$V$2:$V$1001,0),0), INDEX($AC$1004:$AS$1004,1,MATCH(COLUMNS($AC$1006:AC1006),$AC$1006:$AS$1006,0)))),"Fix")))</f>
        <v>0</v>
      </c>
      <c r="C318" s="5">
        <f>IF(OR(INDEX($W$2:$W$1001,MATCH(ROWS($V$2:V318),$V$2:$V$1001,0),1)&gt;=100000,INDEX($AC$1005:$AS$1005,1,MATCH(COLUMNS($AC$1006:AD1006),$AC$1006:$AS$1006,0))&gt;=100000), " ",IF(INDEX($AC$2:$AS$1001,MATCH(ROWS($V$2:V318),$V$2:$V$1001,0),MATCH(COLUMNS($AC$1006:AD1006),$AC$1006:$AS$1006,0)), HYPERLINK("#",""), HYPERLINK(CONCATENATE("#Metadata!", ADDRESS(INDEX($X$2:$X$1001,MATCH(ROWS($V$2:V318),$V$2:$V$1001,0),0), INDEX($AC$1004:$AS$1004,1,MATCH(COLUMNS($AC$1006:AD1006),$AC$1006:$AS$1006,0)))),"Fix")))</f>
        <v>0</v>
      </c>
      <c r="D318" s="5">
        <f>IF(OR(INDEX($W$2:$W$1001,MATCH(ROWS($V$2:V318),$V$2:$V$1001,0),1)&gt;=100000,INDEX($AC$1005:$AS$1005,1,MATCH(COLUMNS($AC$1006:AE1006),$AC$1006:$AS$1006,0))&gt;=100000), " ",IF(INDEX($AC$2:$AS$1001,MATCH(ROWS($V$2:V318),$V$2:$V$1001,0),MATCH(COLUMNS($AC$1006:AE1006),$AC$1006:$AS$1006,0)), HYPERLINK("#",""), HYPERLINK(CONCATENATE("#Metadata!", ADDRESS(INDEX($X$2:$X$1001,MATCH(ROWS($V$2:V318),$V$2:$V$1001,0),0), INDEX($AC$1004:$AS$1004,1,MATCH(COLUMNS($AC$1006:AE1006),$AC$1006:$AS$1006,0)))),"Fix")))</f>
        <v>0</v>
      </c>
      <c r="E318" s="5">
        <f>IF(OR(INDEX($W$2:$W$1001,MATCH(ROWS($V$2:V318),$V$2:$V$1001,0),1)&gt;=100000,INDEX($AC$1005:$AS$1005,1,MATCH(COLUMNS($AC$1006:AF1006),$AC$1006:$AS$1006,0))&gt;=100000), " ",IF(INDEX($AC$2:$AS$1001,MATCH(ROWS($V$2:V318),$V$2:$V$1001,0),MATCH(COLUMNS($AC$1006:AF1006),$AC$1006:$AS$1006,0)), HYPERLINK("#",""), HYPERLINK(CONCATENATE("#Metadata!", ADDRESS(INDEX($X$2:$X$1001,MATCH(ROWS($V$2:V318),$V$2:$V$1001,0),0), INDEX($AC$1004:$AS$1004,1,MATCH(COLUMNS($AC$1006:AF1006),$AC$1006:$AS$1006,0)))),"Fix")))</f>
        <v>0</v>
      </c>
      <c r="F318" s="5">
        <f>IF(OR(INDEX($W$2:$W$1001,MATCH(ROWS($V$2:V318),$V$2:$V$1001,0),1)&gt;=100000,INDEX($AC$1005:$AS$1005,1,MATCH(COLUMNS($AC$1006:AG1006),$AC$1006:$AS$1006,0))&gt;=100000), " ",IF(INDEX($AC$2:$AS$1001,MATCH(ROWS($V$2:V318),$V$2:$V$1001,0),MATCH(COLUMNS($AC$1006:AG1006),$AC$1006:$AS$1006,0)), HYPERLINK("#",""), HYPERLINK(CONCATENATE("#Metadata!", ADDRESS(INDEX($X$2:$X$1001,MATCH(ROWS($V$2:V318),$V$2:$V$1001,0),0), INDEX($AC$1004:$AS$1004,1,MATCH(COLUMNS($AC$1006:AG1006),$AC$1006:$AS$1006,0)))),"Fix")))</f>
        <v>0</v>
      </c>
      <c r="G318" s="5">
        <f>IF(OR(INDEX($W$2:$W$1001,MATCH(ROWS($V$2:V318),$V$2:$V$1001,0),1)&gt;=100000,INDEX($AC$1005:$AS$1005,1,MATCH(COLUMNS($AC$1006:AH1006),$AC$1006:$AS$1006,0))&gt;=100000), " ",IF(INDEX($AC$2:$AS$1001,MATCH(ROWS($V$2:V318),$V$2:$V$1001,0),MATCH(COLUMNS($AC$1006:AH1006),$AC$1006:$AS$1006,0)), HYPERLINK("#",""), HYPERLINK(CONCATENATE("#Metadata!", ADDRESS(INDEX($X$2:$X$1001,MATCH(ROWS($V$2:V318),$V$2:$V$1001,0),0), INDEX($AC$1004:$AS$1004,1,MATCH(COLUMNS($AC$1006:AH1006),$AC$1006:$AS$1006,0)))),"Fix")))</f>
        <v>0</v>
      </c>
      <c r="H318" s="5">
        <f>IF(OR(INDEX($W$2:$W$1001,MATCH(ROWS($V$2:V318),$V$2:$V$1001,0),1)&gt;=100000,INDEX($AC$1005:$AS$1005,1,MATCH(COLUMNS($AC$1006:AI1006),$AC$1006:$AS$1006,0))&gt;=100000), " ",IF(INDEX($AC$2:$AS$1001,MATCH(ROWS($V$2:V318),$V$2:$V$1001,0),MATCH(COLUMNS($AC$1006:AI1006),$AC$1006:$AS$1006,0)), HYPERLINK("#",""), HYPERLINK(CONCATENATE("#Metadata!", ADDRESS(INDEX($X$2:$X$1001,MATCH(ROWS($V$2:V318),$V$2:$V$1001,0),0), INDEX($AC$1004:$AS$1004,1,MATCH(COLUMNS($AC$1006:AI1006),$AC$1006:$AS$1006,0)))),"Fix")))</f>
        <v>0</v>
      </c>
      <c r="I318" s="5">
        <f>IF(OR(INDEX($W$2:$W$1001,MATCH(ROWS($V$2:V318),$V$2:$V$1001,0),1)&gt;=100000,INDEX($AC$1005:$AS$1005,1,MATCH(COLUMNS($AC$1006:AJ1006),$AC$1006:$AS$1006,0))&gt;=100000), " ",IF(INDEX($AC$2:$AS$1001,MATCH(ROWS($V$2:V318),$V$2:$V$1001,0),MATCH(COLUMNS($AC$1006:AJ1006),$AC$1006:$AS$1006,0)), HYPERLINK("#",""), HYPERLINK(CONCATENATE("#Metadata!", ADDRESS(INDEX($X$2:$X$1001,MATCH(ROWS($V$2:V318),$V$2:$V$1001,0),0), INDEX($AC$1004:$AS$1004,1,MATCH(COLUMNS($AC$1006:AJ1006),$AC$1006:$AS$1006,0)))),"Fix")))</f>
        <v>0</v>
      </c>
      <c r="J318" s="5">
        <f>IF(OR(INDEX($W$2:$W$1001,MATCH(ROWS($V$2:V318),$V$2:$V$1001,0),1)&gt;=100000,INDEX($AC$1005:$AS$1005,1,MATCH(COLUMNS($AC$1006:AK1006),$AC$1006:$AS$1006,0))&gt;=100000), " ",IF(INDEX($AC$2:$AS$1001,MATCH(ROWS($V$2:V318),$V$2:$V$1001,0),MATCH(COLUMNS($AC$1006:AK1006),$AC$1006:$AS$1006,0)), HYPERLINK("#",""), HYPERLINK(CONCATENATE("#Metadata!", ADDRESS(INDEX($X$2:$X$1001,MATCH(ROWS($V$2:V318),$V$2:$V$1001,0),0), INDEX($AC$1004:$AS$1004,1,MATCH(COLUMNS($AC$1006:AK1006),$AC$1006:$AS$1006,0)))),"Fix")))</f>
        <v>0</v>
      </c>
      <c r="K318" s="5">
        <f>IF(OR(INDEX($W$2:$W$1001,MATCH(ROWS($V$2:V318),$V$2:$V$1001,0),1)&gt;=100000,INDEX($AC$1005:$AS$1005,1,MATCH(COLUMNS($AC$1006:AL1006),$AC$1006:$AS$1006,0))&gt;=100000), " ",IF(INDEX($AC$2:$AS$1001,MATCH(ROWS($V$2:V318),$V$2:$V$1001,0),MATCH(COLUMNS($AC$1006:AL1006),$AC$1006:$AS$1006,0)), HYPERLINK("#",""), HYPERLINK(CONCATENATE("#Metadata!", ADDRESS(INDEX($X$2:$X$1001,MATCH(ROWS($V$2:V318),$V$2:$V$1001,0),0), INDEX($AC$1004:$AS$1004,1,MATCH(COLUMNS($AC$1006:AL1006),$AC$1006:$AS$1006,0)))),"Fix")))</f>
        <v>0</v>
      </c>
      <c r="L318" s="5">
        <f>IF(OR(INDEX($W$2:$W$1001,MATCH(ROWS($V$2:V318),$V$2:$V$1001,0),1)&gt;=100000,INDEX($AC$1005:$AS$1005,1,MATCH(COLUMNS($AC$1006:AM1006),$AC$1006:$AS$1006,0))&gt;=100000), " ",IF(INDEX($AC$2:$AS$1001,MATCH(ROWS($V$2:V318),$V$2:$V$1001,0),MATCH(COLUMNS($AC$1006:AM1006),$AC$1006:$AS$1006,0)), HYPERLINK("#",""), HYPERLINK(CONCATENATE("#Metadata!", ADDRESS(INDEX($X$2:$X$1001,MATCH(ROWS($V$2:V318),$V$2:$V$1001,0),0), INDEX($AC$1004:$AS$1004,1,MATCH(COLUMNS($AC$1006:AM1006),$AC$1006:$AS$1006,0)))),"Fix")))</f>
        <v>0</v>
      </c>
      <c r="M318" s="5">
        <f>IF(OR(INDEX($W$2:$W$1001,MATCH(ROWS($V$2:V318),$V$2:$V$1001,0),1)&gt;=100000,INDEX($AC$1005:$AS$1005,1,MATCH(COLUMNS($AC$1006:AN1006),$AC$1006:$AS$1006,0))&gt;=100000), " ",IF(INDEX($AC$2:$AS$1001,MATCH(ROWS($V$2:V318),$V$2:$V$1001,0),MATCH(COLUMNS($AC$1006:AN1006),$AC$1006:$AS$1006,0)), HYPERLINK("#",""), HYPERLINK(CONCATENATE("#Metadata!", ADDRESS(INDEX($X$2:$X$1001,MATCH(ROWS($V$2:V318),$V$2:$V$1001,0),0), INDEX($AC$1004:$AS$1004,1,MATCH(COLUMNS($AC$1006:AN1006),$AC$1006:$AS$1006,0)))),"Fix")))</f>
        <v>0</v>
      </c>
      <c r="N318" s="5">
        <f>IF(OR(INDEX($W$2:$W$1001,MATCH(ROWS($V$2:V318),$V$2:$V$1001,0),1)&gt;=100000,INDEX($AC$1005:$AS$1005,1,MATCH(COLUMNS($AC$1006:AO1006),$AC$1006:$AS$1006,0))&gt;=100000), " ",IF(INDEX($AC$2:$AS$1001,MATCH(ROWS($V$2:V318),$V$2:$V$1001,0),MATCH(COLUMNS($AC$1006:AO1006),$AC$1006:$AS$1006,0)), HYPERLINK("#",""), HYPERLINK(CONCATENATE("#Metadata!", ADDRESS(INDEX($X$2:$X$1001,MATCH(ROWS($V$2:V318),$V$2:$V$1001,0),0), INDEX($AC$1004:$AS$1004,1,MATCH(COLUMNS($AC$1006:AO1006),$AC$1006:$AS$1006,0)))),"Fix")))</f>
        <v>0</v>
      </c>
      <c r="O318" s="5">
        <f>IF(OR(INDEX($W$2:$W$1001,MATCH(ROWS($V$2:V318),$V$2:$V$1001,0),1)&gt;=100000,INDEX($AC$1005:$AS$1005,1,MATCH(COLUMNS($AC$1006:AP1006),$AC$1006:$AS$1006,0))&gt;=100000), " ",IF(INDEX($AC$2:$AS$1001,MATCH(ROWS($V$2:V318),$V$2:$V$1001,0),MATCH(COLUMNS($AC$1006:AP1006),$AC$1006:$AS$1006,0)), HYPERLINK("#",""), HYPERLINK(CONCATENATE("#Metadata!", ADDRESS(INDEX($X$2:$X$1001,MATCH(ROWS($V$2:V318),$V$2:$V$1001,0),0), INDEX($AC$1004:$AS$1004,1,MATCH(COLUMNS($AC$1006:AP1006),$AC$1006:$AS$1006,0)))),"Fix")))</f>
        <v>0</v>
      </c>
      <c r="P318" s="5">
        <f>IF(OR(INDEX($W$2:$W$1001,MATCH(ROWS($V$2:V318),$V$2:$V$1001,0),1)&gt;=100000,INDEX($AC$1005:$AS$1005,1,MATCH(COLUMNS($AC$1006:AQ1006),$AC$1006:$AS$1006,0))&gt;=100000), " ",IF(INDEX($AC$2:$AS$1001,MATCH(ROWS($V$2:V318),$V$2:$V$1001,0),MATCH(COLUMNS($AC$1006:AQ1006),$AC$1006:$AS$1006,0)), HYPERLINK("#",""), HYPERLINK(CONCATENATE("#Metadata!", ADDRESS(INDEX($X$2:$X$1001,MATCH(ROWS($V$2:V318),$V$2:$V$1001,0),0), INDEX($AC$1004:$AS$1004,1,MATCH(COLUMNS($AC$1006:AQ1006),$AC$1006:$AS$1006,0)))),"Fix")))</f>
        <v>0</v>
      </c>
      <c r="Q318" s="5">
        <f>IF(OR(INDEX($W$2:$W$1001,MATCH(ROWS($V$2:V318),$V$2:$V$1001,0),1)&gt;=100000,INDEX($AC$1005:$AS$1005,1,MATCH(COLUMNS($AC$1006:AR1006),$AC$1006:$AS$1006,0))&gt;=100000), " ",IF(INDEX($AC$2:$AS$1001,MATCH(ROWS($V$2:V318),$V$2:$V$1001,0),MATCH(COLUMNS($AC$1006:AR1006),$AC$1006:$AS$1006,0)), HYPERLINK("#",""), HYPERLINK(CONCATENATE("#Metadata!", ADDRESS(INDEX($X$2:$X$1001,MATCH(ROWS($V$2:V318),$V$2:$V$1001,0),0), INDEX($AC$1004:$AS$1004,1,MATCH(COLUMNS($AC$1006:AR1006),$AC$1006:$AS$1006,0)))),"Fix")))</f>
        <v>0</v>
      </c>
      <c r="R318" s="5">
        <f>IF(OR(INDEX($W$2:$W$1001,MATCH(ROWS($V$2:V318),$V$2:$V$1001,0),1)&gt;=100000,INDEX($AC$1005:$AS$1005,1,MATCH(COLUMNS($AC$1006:AS1006),$AC$1006:$AS$1006,0))&gt;=100000), " ",IF(INDEX($AC$2:$AS$1001,MATCH(ROWS($V$2:V318),$V$2:$V$1001,0),MATCH(COLUMNS($AC$1006:AS1006),$AC$1006:$AS$1006,0)), HYPERLINK("#",""), HYPERLINK(CONCATENATE("#Metadata!", ADDRESS(INDEX($X$2:$X$1001,MATCH(ROWS($V$2:V318),$V$2:$V$1001,0),0), INDEX($AC$1004:$AS$1004,1,MATCH(COLUMNS($AC$1006:AS1006),$AC$1006:$AS$1006,0)))),"Fix")))</f>
        <v>0</v>
      </c>
      <c r="V318">
        <v>0</v>
      </c>
      <c r="W318">
        <v>0</v>
      </c>
      <c r="X318">
        <v>0</v>
      </c>
      <c r="Y318">
        <f>IF(Z318,TRUE,AND(AC318:AS318))</f>
        <v>0</v>
      </c>
      <c r="Z318">
        <f>COUNTBLANK(Metadata!B318:R318)=COLUMNS(Metadata!B318:R318)</f>
        <v>0</v>
      </c>
      <c r="AA318">
        <v>0</v>
      </c>
      <c r="AC318">
        <f>AND(IF(Metadata!B318="",FALSE,TRUE),COUNTIF(Metadata!B:B, Metadata!B318) = 1,NOT(ISERROR(SUMPRODUCT(SEARCH(MID(Metadata!B318,ROW(INDIRECT("1:"&amp;LEN(Metadata!B318))), 1),"0123456789abcdefghijklmnopqrstuvwxyzABCDEFGHIJKLMNOPQRSTUVWXYZ.")))))</f>
        <v>0</v>
      </c>
      <c r="AD318">
        <f>AND(IF(Metadata!C318="",FALSE,TRUE),exact(Metadata!C318,"Host-associated"))</f>
        <v>0</v>
      </c>
      <c r="AE318">
        <f>AND(IF(Metadata!D318="",FALSE,TRUE),OR(exact(Metadata!D318,"Animal"),exact(Metadata!D318,"Fungus"),exact(Metadata!D318,"Plant")))</f>
        <v>0</v>
      </c>
      <c r="AF318">
        <f>AND(IF(Metadata!E318="",FALSE,TRUE),OR(exact(Metadata!E318,"Plant secretion"),exact(Metadata!E318,"Plant rhizosphere"),exact(Metadata!E318,"Plant surface"),exact(Metadata!E318,"Plant corpus"),exact(Metadata!E318,"Fungus surface"),exact(Metadata!E318,"Fungus corpus"),exact(Metadata!E318,"Animal surface"),exact(Metadata!E318,"Animal proximal gut"),exact(Metadata!E318,"Animal corpus"),exact(Metadata!E318,"Animal distal gut"),exact(Metadata!E318,"Animal secretion")))</f>
        <v>0</v>
      </c>
      <c r="AG318">
        <f>OR(AND(IF(Metadata!F318="",FALSE,TRUE),OR(exact(Metadata!F318,"not collected"),exact(Metadata!F318,"not provided"),exact(Metadata!F318,"restricted access"))),AND(IF(Metadata!F318="",FALSE,TRUE),OR(exact(Metadata!F318,"organism-associated habitat"),exact(Metadata!F318,"plant-associated habitat"),exact(Metadata!F318,"animal-associated habitat"),exact(Metadata!F318,"insecta-associated habitat"),exact(Metadata!F318,"mammalia-associated habitat"),exact(Metadata!F318,"human-associated habitat"),exact(Metadata!F318,"livestock-associated habitat"))))</f>
        <v>0</v>
      </c>
      <c r="AH318">
        <f>AND(IF(Metadata!G318="",FALSE,TRUE),exact(Metadata!G318,"host-associated"))</f>
        <v>0</v>
      </c>
      <c r="AI318">
        <f>OR(AND(IF(Metadata!H318="",FALSE,TRUE),OR(exact(Metadata!H318,"not collected"),exact(Metadata!H318,"not provided"))),AND(IF(Metadata!H318="",FALSE,ISNUMBER(VALUE(Metadata!H318))),Metadata!H318&gt;0))</f>
        <v>0</v>
      </c>
      <c r="AJ318">
        <f>AND(IF(Metadata!I318="",FALSE,TRUE),exact(Metadata!I318,"years"))</f>
        <v>0</v>
      </c>
      <c r="AK318">
        <f>IF(Metadata!J318="",FALSE,TRUE)</f>
        <v>0</v>
      </c>
      <c r="AL318">
        <f>OR(AND(IF(Metadata!K318="",FALSE,TRUE),OR(exact(Metadata!K318,"not collected"),exact(Metadata!K318,"not provided"))),AND(IF(Metadata!K318="",FALSE,ISNUMBER(VALUE(Metadata!K318))),Metadata!K318&gt;0))</f>
        <v>0</v>
      </c>
      <c r="AM318">
        <f>AND(IF(Metadata!L318="",FALSE,TRUE),exact(Metadata!L318,"cm"))</f>
        <v>0</v>
      </c>
      <c r="AN318">
        <f>IF(Metadata!M318="",FALSE,TRUE)</f>
        <v>0</v>
      </c>
      <c r="AO318">
        <f>OR(AND(IF(Metadata!N318="",FALSE,TRUE),OR(exact(Metadata!N318,"not applicable"),exact(Metadata!N318,"not collected"),exact(Metadata!N318,"not provided"))),AND(IF(Metadata!N318="",FALSE,IF(ISERROR(INT(Metadata!N318)),FALSE,INT(Metadata!N318)=Metadata!N318)),Metadata!N318&gt;0))</f>
        <v>0</v>
      </c>
      <c r="AP318">
        <f>OR(AND(IF(Metadata!O318="",FALSE,TRUE),OR(exact(Metadata!O318,"not collected"),exact(Metadata!O318,"not provided"))),AND(IF(Metadata!O318="",FALSE,ISNUMBER(VALUE(Metadata!O318))),Metadata!O318&gt;0))</f>
        <v>0</v>
      </c>
      <c r="AQ318">
        <f>AND(IF(Metadata!P318="",FALSE,TRUE),exact(Metadata!P318,"kg"))</f>
        <v>0</v>
      </c>
      <c r="AR318">
        <f>OR(AND(IF(Metadata!Q318="",FALSE,TRUE),OR(exact(Metadata!Q318,"not applicable"),exact(Metadata!Q318,"not collected"),exact(Metadata!Q318,"not provided"),exact(Metadata!Q318,"restricted access"))),IF(Metadata!Q318="",FALSE,IF(ISERROR(INT(Metadata!Q318)),FALSE,INT(Metadata!Q318)=Metadata!Q318)))</f>
        <v>0</v>
      </c>
      <c r="AS318">
        <f>AND(IF(Metadata!R318="",FALSE,TRUE),exact(Metadata!R318,"Not applicable"))</f>
        <v>0</v>
      </c>
    </row>
    <row r="319" spans="1:45">
      <c r="A319" s="4">
        <f>IF(B319=" "," ",HYPERLINK(CONCATENATE("#metadata!",ADDRESS(INDEX($X$2:$X$1001,MATCH(ROWS($V$2:V319),$V$2:$V$1001,0),0),2)),INDEX($AA$2:$AA$1001,MATCH(ROWS($V$2:V319),$V$2:$V$1001,0),0)))</f>
        <v>0</v>
      </c>
      <c r="B319" s="5">
        <f>IF(OR(INDEX($W$2:$W$1001,MATCH(ROWS($V$2:V319),$V$2:$V$1001,0),1)&gt;=100000,INDEX($AC$1005:$AS$1005,1,MATCH(COLUMNS($AC$1006:AC1006),$AC$1006:$AS$1006,0))&gt;=100000), " ",IF(INDEX($AC$2:$AS$1001,MATCH(ROWS($V$2:V319),$V$2:$V$1001,0),MATCH(COLUMNS($AC$1006:AC1006),$AC$1006:$AS$1006,0)), HYPERLINK("#",""), HYPERLINK(CONCATENATE("#Metadata!", ADDRESS(INDEX($X$2:$X$1001,MATCH(ROWS($V$2:V319),$V$2:$V$1001,0),0), INDEX($AC$1004:$AS$1004,1,MATCH(COLUMNS($AC$1006:AC1006),$AC$1006:$AS$1006,0)))),"Fix")))</f>
        <v>0</v>
      </c>
      <c r="C319" s="5">
        <f>IF(OR(INDEX($W$2:$W$1001,MATCH(ROWS($V$2:V319),$V$2:$V$1001,0),1)&gt;=100000,INDEX($AC$1005:$AS$1005,1,MATCH(COLUMNS($AC$1006:AD1006),$AC$1006:$AS$1006,0))&gt;=100000), " ",IF(INDEX($AC$2:$AS$1001,MATCH(ROWS($V$2:V319),$V$2:$V$1001,0),MATCH(COLUMNS($AC$1006:AD1006),$AC$1006:$AS$1006,0)), HYPERLINK("#",""), HYPERLINK(CONCATENATE("#Metadata!", ADDRESS(INDEX($X$2:$X$1001,MATCH(ROWS($V$2:V319),$V$2:$V$1001,0),0), INDEX($AC$1004:$AS$1004,1,MATCH(COLUMNS($AC$1006:AD1006),$AC$1006:$AS$1006,0)))),"Fix")))</f>
        <v>0</v>
      </c>
      <c r="D319" s="5">
        <f>IF(OR(INDEX($W$2:$W$1001,MATCH(ROWS($V$2:V319),$V$2:$V$1001,0),1)&gt;=100000,INDEX($AC$1005:$AS$1005,1,MATCH(COLUMNS($AC$1006:AE1006),$AC$1006:$AS$1006,0))&gt;=100000), " ",IF(INDEX($AC$2:$AS$1001,MATCH(ROWS($V$2:V319),$V$2:$V$1001,0),MATCH(COLUMNS($AC$1006:AE1006),$AC$1006:$AS$1006,0)), HYPERLINK("#",""), HYPERLINK(CONCATENATE("#Metadata!", ADDRESS(INDEX($X$2:$X$1001,MATCH(ROWS($V$2:V319),$V$2:$V$1001,0),0), INDEX($AC$1004:$AS$1004,1,MATCH(COLUMNS($AC$1006:AE1006),$AC$1006:$AS$1006,0)))),"Fix")))</f>
        <v>0</v>
      </c>
      <c r="E319" s="5">
        <f>IF(OR(INDEX($W$2:$W$1001,MATCH(ROWS($V$2:V319),$V$2:$V$1001,0),1)&gt;=100000,INDEX($AC$1005:$AS$1005,1,MATCH(COLUMNS($AC$1006:AF1006),$AC$1006:$AS$1006,0))&gt;=100000), " ",IF(INDEX($AC$2:$AS$1001,MATCH(ROWS($V$2:V319),$V$2:$V$1001,0),MATCH(COLUMNS($AC$1006:AF1006),$AC$1006:$AS$1006,0)), HYPERLINK("#",""), HYPERLINK(CONCATENATE("#Metadata!", ADDRESS(INDEX($X$2:$X$1001,MATCH(ROWS($V$2:V319),$V$2:$V$1001,0),0), INDEX($AC$1004:$AS$1004,1,MATCH(COLUMNS($AC$1006:AF1006),$AC$1006:$AS$1006,0)))),"Fix")))</f>
        <v>0</v>
      </c>
      <c r="F319" s="5">
        <f>IF(OR(INDEX($W$2:$W$1001,MATCH(ROWS($V$2:V319),$V$2:$V$1001,0),1)&gt;=100000,INDEX($AC$1005:$AS$1005,1,MATCH(COLUMNS($AC$1006:AG1006),$AC$1006:$AS$1006,0))&gt;=100000), " ",IF(INDEX($AC$2:$AS$1001,MATCH(ROWS($V$2:V319),$V$2:$V$1001,0),MATCH(COLUMNS($AC$1006:AG1006),$AC$1006:$AS$1006,0)), HYPERLINK("#",""), HYPERLINK(CONCATENATE("#Metadata!", ADDRESS(INDEX($X$2:$X$1001,MATCH(ROWS($V$2:V319),$V$2:$V$1001,0),0), INDEX($AC$1004:$AS$1004,1,MATCH(COLUMNS($AC$1006:AG1006),$AC$1006:$AS$1006,0)))),"Fix")))</f>
        <v>0</v>
      </c>
      <c r="G319" s="5">
        <f>IF(OR(INDEX($W$2:$W$1001,MATCH(ROWS($V$2:V319),$V$2:$V$1001,0),1)&gt;=100000,INDEX($AC$1005:$AS$1005,1,MATCH(COLUMNS($AC$1006:AH1006),$AC$1006:$AS$1006,0))&gt;=100000), " ",IF(INDEX($AC$2:$AS$1001,MATCH(ROWS($V$2:V319),$V$2:$V$1001,0),MATCH(COLUMNS($AC$1006:AH1006),$AC$1006:$AS$1006,0)), HYPERLINK("#",""), HYPERLINK(CONCATENATE("#Metadata!", ADDRESS(INDEX($X$2:$X$1001,MATCH(ROWS($V$2:V319),$V$2:$V$1001,0),0), INDEX($AC$1004:$AS$1004,1,MATCH(COLUMNS($AC$1006:AH1006),$AC$1006:$AS$1006,0)))),"Fix")))</f>
        <v>0</v>
      </c>
      <c r="H319" s="5">
        <f>IF(OR(INDEX($W$2:$W$1001,MATCH(ROWS($V$2:V319),$V$2:$V$1001,0),1)&gt;=100000,INDEX($AC$1005:$AS$1005,1,MATCH(COLUMNS($AC$1006:AI1006),$AC$1006:$AS$1006,0))&gt;=100000), " ",IF(INDEX($AC$2:$AS$1001,MATCH(ROWS($V$2:V319),$V$2:$V$1001,0),MATCH(COLUMNS($AC$1006:AI1006),$AC$1006:$AS$1006,0)), HYPERLINK("#",""), HYPERLINK(CONCATENATE("#Metadata!", ADDRESS(INDEX($X$2:$X$1001,MATCH(ROWS($V$2:V319),$V$2:$V$1001,0),0), INDEX($AC$1004:$AS$1004,1,MATCH(COLUMNS($AC$1006:AI1006),$AC$1006:$AS$1006,0)))),"Fix")))</f>
        <v>0</v>
      </c>
      <c r="I319" s="5">
        <f>IF(OR(INDEX($W$2:$W$1001,MATCH(ROWS($V$2:V319),$V$2:$V$1001,0),1)&gt;=100000,INDEX($AC$1005:$AS$1005,1,MATCH(COLUMNS($AC$1006:AJ1006),$AC$1006:$AS$1006,0))&gt;=100000), " ",IF(INDEX($AC$2:$AS$1001,MATCH(ROWS($V$2:V319),$V$2:$V$1001,0),MATCH(COLUMNS($AC$1006:AJ1006),$AC$1006:$AS$1006,0)), HYPERLINK("#",""), HYPERLINK(CONCATENATE("#Metadata!", ADDRESS(INDEX($X$2:$X$1001,MATCH(ROWS($V$2:V319),$V$2:$V$1001,0),0), INDEX($AC$1004:$AS$1004,1,MATCH(COLUMNS($AC$1006:AJ1006),$AC$1006:$AS$1006,0)))),"Fix")))</f>
        <v>0</v>
      </c>
      <c r="J319" s="5">
        <f>IF(OR(INDEX($W$2:$W$1001,MATCH(ROWS($V$2:V319),$V$2:$V$1001,0),1)&gt;=100000,INDEX($AC$1005:$AS$1005,1,MATCH(COLUMNS($AC$1006:AK1006),$AC$1006:$AS$1006,0))&gt;=100000), " ",IF(INDEX($AC$2:$AS$1001,MATCH(ROWS($V$2:V319),$V$2:$V$1001,0),MATCH(COLUMNS($AC$1006:AK1006),$AC$1006:$AS$1006,0)), HYPERLINK("#",""), HYPERLINK(CONCATENATE("#Metadata!", ADDRESS(INDEX($X$2:$X$1001,MATCH(ROWS($V$2:V319),$V$2:$V$1001,0),0), INDEX($AC$1004:$AS$1004,1,MATCH(COLUMNS($AC$1006:AK1006),$AC$1006:$AS$1006,0)))),"Fix")))</f>
        <v>0</v>
      </c>
      <c r="K319" s="5">
        <f>IF(OR(INDEX($W$2:$W$1001,MATCH(ROWS($V$2:V319),$V$2:$V$1001,0),1)&gt;=100000,INDEX($AC$1005:$AS$1005,1,MATCH(COLUMNS($AC$1006:AL1006),$AC$1006:$AS$1006,0))&gt;=100000), " ",IF(INDEX($AC$2:$AS$1001,MATCH(ROWS($V$2:V319),$V$2:$V$1001,0),MATCH(COLUMNS($AC$1006:AL1006),$AC$1006:$AS$1006,0)), HYPERLINK("#",""), HYPERLINK(CONCATENATE("#Metadata!", ADDRESS(INDEX($X$2:$X$1001,MATCH(ROWS($V$2:V319),$V$2:$V$1001,0),0), INDEX($AC$1004:$AS$1004,1,MATCH(COLUMNS($AC$1006:AL1006),$AC$1006:$AS$1006,0)))),"Fix")))</f>
        <v>0</v>
      </c>
      <c r="L319" s="5">
        <f>IF(OR(INDEX($W$2:$W$1001,MATCH(ROWS($V$2:V319),$V$2:$V$1001,0),1)&gt;=100000,INDEX($AC$1005:$AS$1005,1,MATCH(COLUMNS($AC$1006:AM1006),$AC$1006:$AS$1006,0))&gt;=100000), " ",IF(INDEX($AC$2:$AS$1001,MATCH(ROWS($V$2:V319),$V$2:$V$1001,0),MATCH(COLUMNS($AC$1006:AM1006),$AC$1006:$AS$1006,0)), HYPERLINK("#",""), HYPERLINK(CONCATENATE("#Metadata!", ADDRESS(INDEX($X$2:$X$1001,MATCH(ROWS($V$2:V319),$V$2:$V$1001,0),0), INDEX($AC$1004:$AS$1004,1,MATCH(COLUMNS($AC$1006:AM1006),$AC$1006:$AS$1006,0)))),"Fix")))</f>
        <v>0</v>
      </c>
      <c r="M319" s="5">
        <f>IF(OR(INDEX($W$2:$W$1001,MATCH(ROWS($V$2:V319),$V$2:$V$1001,0),1)&gt;=100000,INDEX($AC$1005:$AS$1005,1,MATCH(COLUMNS($AC$1006:AN1006),$AC$1006:$AS$1006,0))&gt;=100000), " ",IF(INDEX($AC$2:$AS$1001,MATCH(ROWS($V$2:V319),$V$2:$V$1001,0),MATCH(COLUMNS($AC$1006:AN1006),$AC$1006:$AS$1006,0)), HYPERLINK("#",""), HYPERLINK(CONCATENATE("#Metadata!", ADDRESS(INDEX($X$2:$X$1001,MATCH(ROWS($V$2:V319),$V$2:$V$1001,0),0), INDEX($AC$1004:$AS$1004,1,MATCH(COLUMNS($AC$1006:AN1006),$AC$1006:$AS$1006,0)))),"Fix")))</f>
        <v>0</v>
      </c>
      <c r="N319" s="5">
        <f>IF(OR(INDEX($W$2:$W$1001,MATCH(ROWS($V$2:V319),$V$2:$V$1001,0),1)&gt;=100000,INDEX($AC$1005:$AS$1005,1,MATCH(COLUMNS($AC$1006:AO1006),$AC$1006:$AS$1006,0))&gt;=100000), " ",IF(INDEX($AC$2:$AS$1001,MATCH(ROWS($V$2:V319),$V$2:$V$1001,0),MATCH(COLUMNS($AC$1006:AO1006),$AC$1006:$AS$1006,0)), HYPERLINK("#",""), HYPERLINK(CONCATENATE("#Metadata!", ADDRESS(INDEX($X$2:$X$1001,MATCH(ROWS($V$2:V319),$V$2:$V$1001,0),0), INDEX($AC$1004:$AS$1004,1,MATCH(COLUMNS($AC$1006:AO1006),$AC$1006:$AS$1006,0)))),"Fix")))</f>
        <v>0</v>
      </c>
      <c r="O319" s="5">
        <f>IF(OR(INDEX($W$2:$W$1001,MATCH(ROWS($V$2:V319),$V$2:$V$1001,0),1)&gt;=100000,INDEX($AC$1005:$AS$1005,1,MATCH(COLUMNS($AC$1006:AP1006),$AC$1006:$AS$1006,0))&gt;=100000), " ",IF(INDEX($AC$2:$AS$1001,MATCH(ROWS($V$2:V319),$V$2:$V$1001,0),MATCH(COLUMNS($AC$1006:AP1006),$AC$1006:$AS$1006,0)), HYPERLINK("#",""), HYPERLINK(CONCATENATE("#Metadata!", ADDRESS(INDEX($X$2:$X$1001,MATCH(ROWS($V$2:V319),$V$2:$V$1001,0),0), INDEX($AC$1004:$AS$1004,1,MATCH(COLUMNS($AC$1006:AP1006),$AC$1006:$AS$1006,0)))),"Fix")))</f>
        <v>0</v>
      </c>
      <c r="P319" s="5">
        <f>IF(OR(INDEX($W$2:$W$1001,MATCH(ROWS($V$2:V319),$V$2:$V$1001,0),1)&gt;=100000,INDEX($AC$1005:$AS$1005,1,MATCH(COLUMNS($AC$1006:AQ1006),$AC$1006:$AS$1006,0))&gt;=100000), " ",IF(INDEX($AC$2:$AS$1001,MATCH(ROWS($V$2:V319),$V$2:$V$1001,0),MATCH(COLUMNS($AC$1006:AQ1006),$AC$1006:$AS$1006,0)), HYPERLINK("#",""), HYPERLINK(CONCATENATE("#Metadata!", ADDRESS(INDEX($X$2:$X$1001,MATCH(ROWS($V$2:V319),$V$2:$V$1001,0),0), INDEX($AC$1004:$AS$1004,1,MATCH(COLUMNS($AC$1006:AQ1006),$AC$1006:$AS$1006,0)))),"Fix")))</f>
        <v>0</v>
      </c>
      <c r="Q319" s="5">
        <f>IF(OR(INDEX($W$2:$W$1001,MATCH(ROWS($V$2:V319),$V$2:$V$1001,0),1)&gt;=100000,INDEX($AC$1005:$AS$1005,1,MATCH(COLUMNS($AC$1006:AR1006),$AC$1006:$AS$1006,0))&gt;=100000), " ",IF(INDEX($AC$2:$AS$1001,MATCH(ROWS($V$2:V319),$V$2:$V$1001,0),MATCH(COLUMNS($AC$1006:AR1006),$AC$1006:$AS$1006,0)), HYPERLINK("#",""), HYPERLINK(CONCATENATE("#Metadata!", ADDRESS(INDEX($X$2:$X$1001,MATCH(ROWS($V$2:V319),$V$2:$V$1001,0),0), INDEX($AC$1004:$AS$1004,1,MATCH(COLUMNS($AC$1006:AR1006),$AC$1006:$AS$1006,0)))),"Fix")))</f>
        <v>0</v>
      </c>
      <c r="R319" s="5">
        <f>IF(OR(INDEX($W$2:$W$1001,MATCH(ROWS($V$2:V319),$V$2:$V$1001,0),1)&gt;=100000,INDEX($AC$1005:$AS$1005,1,MATCH(COLUMNS($AC$1006:AS1006),$AC$1006:$AS$1006,0))&gt;=100000), " ",IF(INDEX($AC$2:$AS$1001,MATCH(ROWS($V$2:V319),$V$2:$V$1001,0),MATCH(COLUMNS($AC$1006:AS1006),$AC$1006:$AS$1006,0)), HYPERLINK("#",""), HYPERLINK(CONCATENATE("#Metadata!", ADDRESS(INDEX($X$2:$X$1001,MATCH(ROWS($V$2:V319),$V$2:$V$1001,0),0), INDEX($AC$1004:$AS$1004,1,MATCH(COLUMNS($AC$1006:AS1006),$AC$1006:$AS$1006,0)))),"Fix")))</f>
        <v>0</v>
      </c>
      <c r="V319">
        <v>0</v>
      </c>
      <c r="W319">
        <v>0</v>
      </c>
      <c r="X319">
        <v>0</v>
      </c>
      <c r="Y319">
        <f>IF(Z319,TRUE,AND(AC319:AS319))</f>
        <v>0</v>
      </c>
      <c r="Z319">
        <f>COUNTBLANK(Metadata!B319:R319)=COLUMNS(Metadata!B319:R319)</f>
        <v>0</v>
      </c>
      <c r="AA319">
        <v>0</v>
      </c>
      <c r="AC319">
        <f>AND(IF(Metadata!B319="",FALSE,TRUE),COUNTIF(Metadata!B:B, Metadata!B319) = 1,NOT(ISERROR(SUMPRODUCT(SEARCH(MID(Metadata!B319,ROW(INDIRECT("1:"&amp;LEN(Metadata!B319))), 1),"0123456789abcdefghijklmnopqrstuvwxyzABCDEFGHIJKLMNOPQRSTUVWXYZ.")))))</f>
        <v>0</v>
      </c>
      <c r="AD319">
        <f>AND(IF(Metadata!C319="",FALSE,TRUE),exact(Metadata!C319,"Host-associated"))</f>
        <v>0</v>
      </c>
      <c r="AE319">
        <f>AND(IF(Metadata!D319="",FALSE,TRUE),OR(exact(Metadata!D319,"Animal"),exact(Metadata!D319,"Fungus"),exact(Metadata!D319,"Plant")))</f>
        <v>0</v>
      </c>
      <c r="AF319">
        <f>AND(IF(Metadata!E319="",FALSE,TRUE),OR(exact(Metadata!E319,"Plant secretion"),exact(Metadata!E319,"Plant rhizosphere"),exact(Metadata!E319,"Plant surface"),exact(Metadata!E319,"Plant corpus"),exact(Metadata!E319,"Fungus surface"),exact(Metadata!E319,"Fungus corpus"),exact(Metadata!E319,"Animal surface"),exact(Metadata!E319,"Animal proximal gut"),exact(Metadata!E319,"Animal corpus"),exact(Metadata!E319,"Animal distal gut"),exact(Metadata!E319,"Animal secretion")))</f>
        <v>0</v>
      </c>
      <c r="AG319">
        <f>OR(AND(IF(Metadata!F319="",FALSE,TRUE),OR(exact(Metadata!F319,"not collected"),exact(Metadata!F319,"not provided"),exact(Metadata!F319,"restricted access"))),AND(IF(Metadata!F319="",FALSE,TRUE),OR(exact(Metadata!F319,"organism-associated habitat"),exact(Metadata!F319,"plant-associated habitat"),exact(Metadata!F319,"animal-associated habitat"),exact(Metadata!F319,"insecta-associated habitat"),exact(Metadata!F319,"mammalia-associated habitat"),exact(Metadata!F319,"human-associated habitat"),exact(Metadata!F319,"livestock-associated habitat"))))</f>
        <v>0</v>
      </c>
      <c r="AH319">
        <f>AND(IF(Metadata!G319="",FALSE,TRUE),exact(Metadata!G319,"host-associated"))</f>
        <v>0</v>
      </c>
      <c r="AI319">
        <f>OR(AND(IF(Metadata!H319="",FALSE,TRUE),OR(exact(Metadata!H319,"not collected"),exact(Metadata!H319,"not provided"))),AND(IF(Metadata!H319="",FALSE,ISNUMBER(VALUE(Metadata!H319))),Metadata!H319&gt;0))</f>
        <v>0</v>
      </c>
      <c r="AJ319">
        <f>AND(IF(Metadata!I319="",FALSE,TRUE),exact(Metadata!I319,"years"))</f>
        <v>0</v>
      </c>
      <c r="AK319">
        <f>IF(Metadata!J319="",FALSE,TRUE)</f>
        <v>0</v>
      </c>
      <c r="AL319">
        <f>OR(AND(IF(Metadata!K319="",FALSE,TRUE),OR(exact(Metadata!K319,"not collected"),exact(Metadata!K319,"not provided"))),AND(IF(Metadata!K319="",FALSE,ISNUMBER(VALUE(Metadata!K319))),Metadata!K319&gt;0))</f>
        <v>0</v>
      </c>
      <c r="AM319">
        <f>AND(IF(Metadata!L319="",FALSE,TRUE),exact(Metadata!L319,"cm"))</f>
        <v>0</v>
      </c>
      <c r="AN319">
        <f>IF(Metadata!M319="",FALSE,TRUE)</f>
        <v>0</v>
      </c>
      <c r="AO319">
        <f>OR(AND(IF(Metadata!N319="",FALSE,TRUE),OR(exact(Metadata!N319,"not applicable"),exact(Metadata!N319,"not collected"),exact(Metadata!N319,"not provided"))),AND(IF(Metadata!N319="",FALSE,IF(ISERROR(INT(Metadata!N319)),FALSE,INT(Metadata!N319)=Metadata!N319)),Metadata!N319&gt;0))</f>
        <v>0</v>
      </c>
      <c r="AP319">
        <f>OR(AND(IF(Metadata!O319="",FALSE,TRUE),OR(exact(Metadata!O319,"not collected"),exact(Metadata!O319,"not provided"))),AND(IF(Metadata!O319="",FALSE,ISNUMBER(VALUE(Metadata!O319))),Metadata!O319&gt;0))</f>
        <v>0</v>
      </c>
      <c r="AQ319">
        <f>AND(IF(Metadata!P319="",FALSE,TRUE),exact(Metadata!P319,"kg"))</f>
        <v>0</v>
      </c>
      <c r="AR319">
        <f>OR(AND(IF(Metadata!Q319="",FALSE,TRUE),OR(exact(Metadata!Q319,"not applicable"),exact(Metadata!Q319,"not collected"),exact(Metadata!Q319,"not provided"),exact(Metadata!Q319,"restricted access"))),IF(Metadata!Q319="",FALSE,IF(ISERROR(INT(Metadata!Q319)),FALSE,INT(Metadata!Q319)=Metadata!Q319)))</f>
        <v>0</v>
      </c>
      <c r="AS319">
        <f>AND(IF(Metadata!R319="",FALSE,TRUE),exact(Metadata!R319,"Not applicable"))</f>
        <v>0</v>
      </c>
    </row>
    <row r="320" spans="1:45">
      <c r="A320" s="4">
        <f>IF(B320=" "," ",HYPERLINK(CONCATENATE("#metadata!",ADDRESS(INDEX($X$2:$X$1001,MATCH(ROWS($V$2:V320),$V$2:$V$1001,0),0),2)),INDEX($AA$2:$AA$1001,MATCH(ROWS($V$2:V320),$V$2:$V$1001,0),0)))</f>
        <v>0</v>
      </c>
      <c r="B320" s="5">
        <f>IF(OR(INDEX($W$2:$W$1001,MATCH(ROWS($V$2:V320),$V$2:$V$1001,0),1)&gt;=100000,INDEX($AC$1005:$AS$1005,1,MATCH(COLUMNS($AC$1006:AC1006),$AC$1006:$AS$1006,0))&gt;=100000), " ",IF(INDEX($AC$2:$AS$1001,MATCH(ROWS($V$2:V320),$V$2:$V$1001,0),MATCH(COLUMNS($AC$1006:AC1006),$AC$1006:$AS$1006,0)), HYPERLINK("#",""), HYPERLINK(CONCATENATE("#Metadata!", ADDRESS(INDEX($X$2:$X$1001,MATCH(ROWS($V$2:V320),$V$2:$V$1001,0),0), INDEX($AC$1004:$AS$1004,1,MATCH(COLUMNS($AC$1006:AC1006),$AC$1006:$AS$1006,0)))),"Fix")))</f>
        <v>0</v>
      </c>
      <c r="C320" s="5">
        <f>IF(OR(INDEX($W$2:$W$1001,MATCH(ROWS($V$2:V320),$V$2:$V$1001,0),1)&gt;=100000,INDEX($AC$1005:$AS$1005,1,MATCH(COLUMNS($AC$1006:AD1006),$AC$1006:$AS$1006,0))&gt;=100000), " ",IF(INDEX($AC$2:$AS$1001,MATCH(ROWS($V$2:V320),$V$2:$V$1001,0),MATCH(COLUMNS($AC$1006:AD1006),$AC$1006:$AS$1006,0)), HYPERLINK("#",""), HYPERLINK(CONCATENATE("#Metadata!", ADDRESS(INDEX($X$2:$X$1001,MATCH(ROWS($V$2:V320),$V$2:$V$1001,0),0), INDEX($AC$1004:$AS$1004,1,MATCH(COLUMNS($AC$1006:AD1006),$AC$1006:$AS$1006,0)))),"Fix")))</f>
        <v>0</v>
      </c>
      <c r="D320" s="5">
        <f>IF(OR(INDEX($W$2:$W$1001,MATCH(ROWS($V$2:V320),$V$2:$V$1001,0),1)&gt;=100000,INDEX($AC$1005:$AS$1005,1,MATCH(COLUMNS($AC$1006:AE1006),$AC$1006:$AS$1006,0))&gt;=100000), " ",IF(INDEX($AC$2:$AS$1001,MATCH(ROWS($V$2:V320),$V$2:$V$1001,0),MATCH(COLUMNS($AC$1006:AE1006),$AC$1006:$AS$1006,0)), HYPERLINK("#",""), HYPERLINK(CONCATENATE("#Metadata!", ADDRESS(INDEX($X$2:$X$1001,MATCH(ROWS($V$2:V320),$V$2:$V$1001,0),0), INDEX($AC$1004:$AS$1004,1,MATCH(COLUMNS($AC$1006:AE1006),$AC$1006:$AS$1006,0)))),"Fix")))</f>
        <v>0</v>
      </c>
      <c r="E320" s="5">
        <f>IF(OR(INDEX($W$2:$W$1001,MATCH(ROWS($V$2:V320),$V$2:$V$1001,0),1)&gt;=100000,INDEX($AC$1005:$AS$1005,1,MATCH(COLUMNS($AC$1006:AF1006),$AC$1006:$AS$1006,0))&gt;=100000), " ",IF(INDEX($AC$2:$AS$1001,MATCH(ROWS($V$2:V320),$V$2:$V$1001,0),MATCH(COLUMNS($AC$1006:AF1006),$AC$1006:$AS$1006,0)), HYPERLINK("#",""), HYPERLINK(CONCATENATE("#Metadata!", ADDRESS(INDEX($X$2:$X$1001,MATCH(ROWS($V$2:V320),$V$2:$V$1001,0),0), INDEX($AC$1004:$AS$1004,1,MATCH(COLUMNS($AC$1006:AF1006),$AC$1006:$AS$1006,0)))),"Fix")))</f>
        <v>0</v>
      </c>
      <c r="F320" s="5">
        <f>IF(OR(INDEX($W$2:$W$1001,MATCH(ROWS($V$2:V320),$V$2:$V$1001,0),1)&gt;=100000,INDEX($AC$1005:$AS$1005,1,MATCH(COLUMNS($AC$1006:AG1006),$AC$1006:$AS$1006,0))&gt;=100000), " ",IF(INDEX($AC$2:$AS$1001,MATCH(ROWS($V$2:V320),$V$2:$V$1001,0),MATCH(COLUMNS($AC$1006:AG1006),$AC$1006:$AS$1006,0)), HYPERLINK("#",""), HYPERLINK(CONCATENATE("#Metadata!", ADDRESS(INDEX($X$2:$X$1001,MATCH(ROWS($V$2:V320),$V$2:$V$1001,0),0), INDEX($AC$1004:$AS$1004,1,MATCH(COLUMNS($AC$1006:AG1006),$AC$1006:$AS$1006,0)))),"Fix")))</f>
        <v>0</v>
      </c>
      <c r="G320" s="5">
        <f>IF(OR(INDEX($W$2:$W$1001,MATCH(ROWS($V$2:V320),$V$2:$V$1001,0),1)&gt;=100000,INDEX($AC$1005:$AS$1005,1,MATCH(COLUMNS($AC$1006:AH1006),$AC$1006:$AS$1006,0))&gt;=100000), " ",IF(INDEX($AC$2:$AS$1001,MATCH(ROWS($V$2:V320),$V$2:$V$1001,0),MATCH(COLUMNS($AC$1006:AH1006),$AC$1006:$AS$1006,0)), HYPERLINK("#",""), HYPERLINK(CONCATENATE("#Metadata!", ADDRESS(INDEX($X$2:$X$1001,MATCH(ROWS($V$2:V320),$V$2:$V$1001,0),0), INDEX($AC$1004:$AS$1004,1,MATCH(COLUMNS($AC$1006:AH1006),$AC$1006:$AS$1006,0)))),"Fix")))</f>
        <v>0</v>
      </c>
      <c r="H320" s="5">
        <f>IF(OR(INDEX($W$2:$W$1001,MATCH(ROWS($V$2:V320),$V$2:$V$1001,0),1)&gt;=100000,INDEX($AC$1005:$AS$1005,1,MATCH(COLUMNS($AC$1006:AI1006),$AC$1006:$AS$1006,0))&gt;=100000), " ",IF(INDEX($AC$2:$AS$1001,MATCH(ROWS($V$2:V320),$V$2:$V$1001,0),MATCH(COLUMNS($AC$1006:AI1006),$AC$1006:$AS$1006,0)), HYPERLINK("#",""), HYPERLINK(CONCATENATE("#Metadata!", ADDRESS(INDEX($X$2:$X$1001,MATCH(ROWS($V$2:V320),$V$2:$V$1001,0),0), INDEX($AC$1004:$AS$1004,1,MATCH(COLUMNS($AC$1006:AI1006),$AC$1006:$AS$1006,0)))),"Fix")))</f>
        <v>0</v>
      </c>
      <c r="I320" s="5">
        <f>IF(OR(INDEX($W$2:$W$1001,MATCH(ROWS($V$2:V320),$V$2:$V$1001,0),1)&gt;=100000,INDEX($AC$1005:$AS$1005,1,MATCH(COLUMNS($AC$1006:AJ1006),$AC$1006:$AS$1006,0))&gt;=100000), " ",IF(INDEX($AC$2:$AS$1001,MATCH(ROWS($V$2:V320),$V$2:$V$1001,0),MATCH(COLUMNS($AC$1006:AJ1006),$AC$1006:$AS$1006,0)), HYPERLINK("#",""), HYPERLINK(CONCATENATE("#Metadata!", ADDRESS(INDEX($X$2:$X$1001,MATCH(ROWS($V$2:V320),$V$2:$V$1001,0),0), INDEX($AC$1004:$AS$1004,1,MATCH(COLUMNS($AC$1006:AJ1006),$AC$1006:$AS$1006,0)))),"Fix")))</f>
        <v>0</v>
      </c>
      <c r="J320" s="5">
        <f>IF(OR(INDEX($W$2:$W$1001,MATCH(ROWS($V$2:V320),$V$2:$V$1001,0),1)&gt;=100000,INDEX($AC$1005:$AS$1005,1,MATCH(COLUMNS($AC$1006:AK1006),$AC$1006:$AS$1006,0))&gt;=100000), " ",IF(INDEX($AC$2:$AS$1001,MATCH(ROWS($V$2:V320),$V$2:$V$1001,0),MATCH(COLUMNS($AC$1006:AK1006),$AC$1006:$AS$1006,0)), HYPERLINK("#",""), HYPERLINK(CONCATENATE("#Metadata!", ADDRESS(INDEX($X$2:$X$1001,MATCH(ROWS($V$2:V320),$V$2:$V$1001,0),0), INDEX($AC$1004:$AS$1004,1,MATCH(COLUMNS($AC$1006:AK1006),$AC$1006:$AS$1006,0)))),"Fix")))</f>
        <v>0</v>
      </c>
      <c r="K320" s="5">
        <f>IF(OR(INDEX($W$2:$W$1001,MATCH(ROWS($V$2:V320),$V$2:$V$1001,0),1)&gt;=100000,INDEX($AC$1005:$AS$1005,1,MATCH(COLUMNS($AC$1006:AL1006),$AC$1006:$AS$1006,0))&gt;=100000), " ",IF(INDEX($AC$2:$AS$1001,MATCH(ROWS($V$2:V320),$V$2:$V$1001,0),MATCH(COLUMNS($AC$1006:AL1006),$AC$1006:$AS$1006,0)), HYPERLINK("#",""), HYPERLINK(CONCATENATE("#Metadata!", ADDRESS(INDEX($X$2:$X$1001,MATCH(ROWS($V$2:V320),$V$2:$V$1001,0),0), INDEX($AC$1004:$AS$1004,1,MATCH(COLUMNS($AC$1006:AL1006),$AC$1006:$AS$1006,0)))),"Fix")))</f>
        <v>0</v>
      </c>
      <c r="L320" s="5">
        <f>IF(OR(INDEX($W$2:$W$1001,MATCH(ROWS($V$2:V320),$V$2:$V$1001,0),1)&gt;=100000,INDEX($AC$1005:$AS$1005,1,MATCH(COLUMNS($AC$1006:AM1006),$AC$1006:$AS$1006,0))&gt;=100000), " ",IF(INDEX($AC$2:$AS$1001,MATCH(ROWS($V$2:V320),$V$2:$V$1001,0),MATCH(COLUMNS($AC$1006:AM1006),$AC$1006:$AS$1006,0)), HYPERLINK("#",""), HYPERLINK(CONCATENATE("#Metadata!", ADDRESS(INDEX($X$2:$X$1001,MATCH(ROWS($V$2:V320),$V$2:$V$1001,0),0), INDEX($AC$1004:$AS$1004,1,MATCH(COLUMNS($AC$1006:AM1006),$AC$1006:$AS$1006,0)))),"Fix")))</f>
        <v>0</v>
      </c>
      <c r="M320" s="5">
        <f>IF(OR(INDEX($W$2:$W$1001,MATCH(ROWS($V$2:V320),$V$2:$V$1001,0),1)&gt;=100000,INDEX($AC$1005:$AS$1005,1,MATCH(COLUMNS($AC$1006:AN1006),$AC$1006:$AS$1006,0))&gt;=100000), " ",IF(INDEX($AC$2:$AS$1001,MATCH(ROWS($V$2:V320),$V$2:$V$1001,0),MATCH(COLUMNS($AC$1006:AN1006),$AC$1006:$AS$1006,0)), HYPERLINK("#",""), HYPERLINK(CONCATENATE("#Metadata!", ADDRESS(INDEX($X$2:$X$1001,MATCH(ROWS($V$2:V320),$V$2:$V$1001,0),0), INDEX($AC$1004:$AS$1004,1,MATCH(COLUMNS($AC$1006:AN1006),$AC$1006:$AS$1006,0)))),"Fix")))</f>
        <v>0</v>
      </c>
      <c r="N320" s="5">
        <f>IF(OR(INDEX($W$2:$W$1001,MATCH(ROWS($V$2:V320),$V$2:$V$1001,0),1)&gt;=100000,INDEX($AC$1005:$AS$1005,1,MATCH(COLUMNS($AC$1006:AO1006),$AC$1006:$AS$1006,0))&gt;=100000), " ",IF(INDEX($AC$2:$AS$1001,MATCH(ROWS($V$2:V320),$V$2:$V$1001,0),MATCH(COLUMNS($AC$1006:AO1006),$AC$1006:$AS$1006,0)), HYPERLINK("#",""), HYPERLINK(CONCATENATE("#Metadata!", ADDRESS(INDEX($X$2:$X$1001,MATCH(ROWS($V$2:V320),$V$2:$V$1001,0),0), INDEX($AC$1004:$AS$1004,1,MATCH(COLUMNS($AC$1006:AO1006),$AC$1006:$AS$1006,0)))),"Fix")))</f>
        <v>0</v>
      </c>
      <c r="O320" s="5">
        <f>IF(OR(INDEX($W$2:$W$1001,MATCH(ROWS($V$2:V320),$V$2:$V$1001,0),1)&gt;=100000,INDEX($AC$1005:$AS$1005,1,MATCH(COLUMNS($AC$1006:AP1006),$AC$1006:$AS$1006,0))&gt;=100000), " ",IF(INDEX($AC$2:$AS$1001,MATCH(ROWS($V$2:V320),$V$2:$V$1001,0),MATCH(COLUMNS($AC$1006:AP1006),$AC$1006:$AS$1006,0)), HYPERLINK("#",""), HYPERLINK(CONCATENATE("#Metadata!", ADDRESS(INDEX($X$2:$X$1001,MATCH(ROWS($V$2:V320),$V$2:$V$1001,0),0), INDEX($AC$1004:$AS$1004,1,MATCH(COLUMNS($AC$1006:AP1006),$AC$1006:$AS$1006,0)))),"Fix")))</f>
        <v>0</v>
      </c>
      <c r="P320" s="5">
        <f>IF(OR(INDEX($W$2:$W$1001,MATCH(ROWS($V$2:V320),$V$2:$V$1001,0),1)&gt;=100000,INDEX($AC$1005:$AS$1005,1,MATCH(COLUMNS($AC$1006:AQ1006),$AC$1006:$AS$1006,0))&gt;=100000), " ",IF(INDEX($AC$2:$AS$1001,MATCH(ROWS($V$2:V320),$V$2:$V$1001,0),MATCH(COLUMNS($AC$1006:AQ1006),$AC$1006:$AS$1006,0)), HYPERLINK("#",""), HYPERLINK(CONCATENATE("#Metadata!", ADDRESS(INDEX($X$2:$X$1001,MATCH(ROWS($V$2:V320),$V$2:$V$1001,0),0), INDEX($AC$1004:$AS$1004,1,MATCH(COLUMNS($AC$1006:AQ1006),$AC$1006:$AS$1006,0)))),"Fix")))</f>
        <v>0</v>
      </c>
      <c r="Q320" s="5">
        <f>IF(OR(INDEX($W$2:$W$1001,MATCH(ROWS($V$2:V320),$V$2:$V$1001,0),1)&gt;=100000,INDEX($AC$1005:$AS$1005,1,MATCH(COLUMNS($AC$1006:AR1006),$AC$1006:$AS$1006,0))&gt;=100000), " ",IF(INDEX($AC$2:$AS$1001,MATCH(ROWS($V$2:V320),$V$2:$V$1001,0),MATCH(COLUMNS($AC$1006:AR1006),$AC$1006:$AS$1006,0)), HYPERLINK("#",""), HYPERLINK(CONCATENATE("#Metadata!", ADDRESS(INDEX($X$2:$X$1001,MATCH(ROWS($V$2:V320),$V$2:$V$1001,0),0), INDEX($AC$1004:$AS$1004,1,MATCH(COLUMNS($AC$1006:AR1006),$AC$1006:$AS$1006,0)))),"Fix")))</f>
        <v>0</v>
      </c>
      <c r="R320" s="5">
        <f>IF(OR(INDEX($W$2:$W$1001,MATCH(ROWS($V$2:V320),$V$2:$V$1001,0),1)&gt;=100000,INDEX($AC$1005:$AS$1005,1,MATCH(COLUMNS($AC$1006:AS1006),$AC$1006:$AS$1006,0))&gt;=100000), " ",IF(INDEX($AC$2:$AS$1001,MATCH(ROWS($V$2:V320),$V$2:$V$1001,0),MATCH(COLUMNS($AC$1006:AS1006),$AC$1006:$AS$1006,0)), HYPERLINK("#",""), HYPERLINK(CONCATENATE("#Metadata!", ADDRESS(INDEX($X$2:$X$1001,MATCH(ROWS($V$2:V320),$V$2:$V$1001,0),0), INDEX($AC$1004:$AS$1004,1,MATCH(COLUMNS($AC$1006:AS1006),$AC$1006:$AS$1006,0)))),"Fix")))</f>
        <v>0</v>
      </c>
      <c r="V320">
        <v>0</v>
      </c>
      <c r="W320">
        <v>0</v>
      </c>
      <c r="X320">
        <v>0</v>
      </c>
      <c r="Y320">
        <f>IF(Z320,TRUE,AND(AC320:AS320))</f>
        <v>0</v>
      </c>
      <c r="Z320">
        <f>COUNTBLANK(Metadata!B320:R320)=COLUMNS(Metadata!B320:R320)</f>
        <v>0</v>
      </c>
      <c r="AA320">
        <v>0</v>
      </c>
      <c r="AC320">
        <f>AND(IF(Metadata!B320="",FALSE,TRUE),COUNTIF(Metadata!B:B, Metadata!B320) = 1,NOT(ISERROR(SUMPRODUCT(SEARCH(MID(Metadata!B320,ROW(INDIRECT("1:"&amp;LEN(Metadata!B320))), 1),"0123456789abcdefghijklmnopqrstuvwxyzABCDEFGHIJKLMNOPQRSTUVWXYZ.")))))</f>
        <v>0</v>
      </c>
      <c r="AD320">
        <f>AND(IF(Metadata!C320="",FALSE,TRUE),exact(Metadata!C320,"Host-associated"))</f>
        <v>0</v>
      </c>
      <c r="AE320">
        <f>AND(IF(Metadata!D320="",FALSE,TRUE),OR(exact(Metadata!D320,"Animal"),exact(Metadata!D320,"Fungus"),exact(Metadata!D320,"Plant")))</f>
        <v>0</v>
      </c>
      <c r="AF320">
        <f>AND(IF(Metadata!E320="",FALSE,TRUE),OR(exact(Metadata!E320,"Plant secretion"),exact(Metadata!E320,"Plant rhizosphere"),exact(Metadata!E320,"Plant surface"),exact(Metadata!E320,"Plant corpus"),exact(Metadata!E320,"Fungus surface"),exact(Metadata!E320,"Fungus corpus"),exact(Metadata!E320,"Animal surface"),exact(Metadata!E320,"Animal proximal gut"),exact(Metadata!E320,"Animal corpus"),exact(Metadata!E320,"Animal distal gut"),exact(Metadata!E320,"Animal secretion")))</f>
        <v>0</v>
      </c>
      <c r="AG320">
        <f>OR(AND(IF(Metadata!F320="",FALSE,TRUE),OR(exact(Metadata!F320,"not collected"),exact(Metadata!F320,"not provided"),exact(Metadata!F320,"restricted access"))),AND(IF(Metadata!F320="",FALSE,TRUE),OR(exact(Metadata!F320,"organism-associated habitat"),exact(Metadata!F320,"plant-associated habitat"),exact(Metadata!F320,"animal-associated habitat"),exact(Metadata!F320,"insecta-associated habitat"),exact(Metadata!F320,"mammalia-associated habitat"),exact(Metadata!F320,"human-associated habitat"),exact(Metadata!F320,"livestock-associated habitat"))))</f>
        <v>0</v>
      </c>
      <c r="AH320">
        <f>AND(IF(Metadata!G320="",FALSE,TRUE),exact(Metadata!G320,"host-associated"))</f>
        <v>0</v>
      </c>
      <c r="AI320">
        <f>OR(AND(IF(Metadata!H320="",FALSE,TRUE),OR(exact(Metadata!H320,"not collected"),exact(Metadata!H320,"not provided"))),AND(IF(Metadata!H320="",FALSE,ISNUMBER(VALUE(Metadata!H320))),Metadata!H320&gt;0))</f>
        <v>0</v>
      </c>
      <c r="AJ320">
        <f>AND(IF(Metadata!I320="",FALSE,TRUE),exact(Metadata!I320,"years"))</f>
        <v>0</v>
      </c>
      <c r="AK320">
        <f>IF(Metadata!J320="",FALSE,TRUE)</f>
        <v>0</v>
      </c>
      <c r="AL320">
        <f>OR(AND(IF(Metadata!K320="",FALSE,TRUE),OR(exact(Metadata!K320,"not collected"),exact(Metadata!K320,"not provided"))),AND(IF(Metadata!K320="",FALSE,ISNUMBER(VALUE(Metadata!K320))),Metadata!K320&gt;0))</f>
        <v>0</v>
      </c>
      <c r="AM320">
        <f>AND(IF(Metadata!L320="",FALSE,TRUE),exact(Metadata!L320,"cm"))</f>
        <v>0</v>
      </c>
      <c r="AN320">
        <f>IF(Metadata!M320="",FALSE,TRUE)</f>
        <v>0</v>
      </c>
      <c r="AO320">
        <f>OR(AND(IF(Metadata!N320="",FALSE,TRUE),OR(exact(Metadata!N320,"not applicable"),exact(Metadata!N320,"not collected"),exact(Metadata!N320,"not provided"))),AND(IF(Metadata!N320="",FALSE,IF(ISERROR(INT(Metadata!N320)),FALSE,INT(Metadata!N320)=Metadata!N320)),Metadata!N320&gt;0))</f>
        <v>0</v>
      </c>
      <c r="AP320">
        <f>OR(AND(IF(Metadata!O320="",FALSE,TRUE),OR(exact(Metadata!O320,"not collected"),exact(Metadata!O320,"not provided"))),AND(IF(Metadata!O320="",FALSE,ISNUMBER(VALUE(Metadata!O320))),Metadata!O320&gt;0))</f>
        <v>0</v>
      </c>
      <c r="AQ320">
        <f>AND(IF(Metadata!P320="",FALSE,TRUE),exact(Metadata!P320,"kg"))</f>
        <v>0</v>
      </c>
      <c r="AR320">
        <f>OR(AND(IF(Metadata!Q320="",FALSE,TRUE),OR(exact(Metadata!Q320,"not applicable"),exact(Metadata!Q320,"not collected"),exact(Metadata!Q320,"not provided"),exact(Metadata!Q320,"restricted access"))),IF(Metadata!Q320="",FALSE,IF(ISERROR(INT(Metadata!Q320)),FALSE,INT(Metadata!Q320)=Metadata!Q320)))</f>
        <v>0</v>
      </c>
      <c r="AS320">
        <f>AND(IF(Metadata!R320="",FALSE,TRUE),exact(Metadata!R320,"Not applicable"))</f>
        <v>0</v>
      </c>
    </row>
    <row r="321" spans="1:45">
      <c r="A321" s="4">
        <f>IF(B321=" "," ",HYPERLINK(CONCATENATE("#metadata!",ADDRESS(INDEX($X$2:$X$1001,MATCH(ROWS($V$2:V321),$V$2:$V$1001,0),0),2)),INDEX($AA$2:$AA$1001,MATCH(ROWS($V$2:V321),$V$2:$V$1001,0),0)))</f>
        <v>0</v>
      </c>
      <c r="B321" s="5">
        <f>IF(OR(INDEX($W$2:$W$1001,MATCH(ROWS($V$2:V321),$V$2:$V$1001,0),1)&gt;=100000,INDEX($AC$1005:$AS$1005,1,MATCH(COLUMNS($AC$1006:AC1006),$AC$1006:$AS$1006,0))&gt;=100000), " ",IF(INDEX($AC$2:$AS$1001,MATCH(ROWS($V$2:V321),$V$2:$V$1001,0),MATCH(COLUMNS($AC$1006:AC1006),$AC$1006:$AS$1006,0)), HYPERLINK("#",""), HYPERLINK(CONCATENATE("#Metadata!", ADDRESS(INDEX($X$2:$X$1001,MATCH(ROWS($V$2:V321),$V$2:$V$1001,0),0), INDEX($AC$1004:$AS$1004,1,MATCH(COLUMNS($AC$1006:AC1006),$AC$1006:$AS$1006,0)))),"Fix")))</f>
        <v>0</v>
      </c>
      <c r="C321" s="5">
        <f>IF(OR(INDEX($W$2:$W$1001,MATCH(ROWS($V$2:V321),$V$2:$V$1001,0),1)&gt;=100000,INDEX($AC$1005:$AS$1005,1,MATCH(COLUMNS($AC$1006:AD1006),$AC$1006:$AS$1006,0))&gt;=100000), " ",IF(INDEX($AC$2:$AS$1001,MATCH(ROWS($V$2:V321),$V$2:$V$1001,0),MATCH(COLUMNS($AC$1006:AD1006),$AC$1006:$AS$1006,0)), HYPERLINK("#",""), HYPERLINK(CONCATENATE("#Metadata!", ADDRESS(INDEX($X$2:$X$1001,MATCH(ROWS($V$2:V321),$V$2:$V$1001,0),0), INDEX($AC$1004:$AS$1004,1,MATCH(COLUMNS($AC$1006:AD1006),$AC$1006:$AS$1006,0)))),"Fix")))</f>
        <v>0</v>
      </c>
      <c r="D321" s="5">
        <f>IF(OR(INDEX($W$2:$W$1001,MATCH(ROWS($V$2:V321),$V$2:$V$1001,0),1)&gt;=100000,INDEX($AC$1005:$AS$1005,1,MATCH(COLUMNS($AC$1006:AE1006),$AC$1006:$AS$1006,0))&gt;=100000), " ",IF(INDEX($AC$2:$AS$1001,MATCH(ROWS($V$2:V321),$V$2:$V$1001,0),MATCH(COLUMNS($AC$1006:AE1006),$AC$1006:$AS$1006,0)), HYPERLINK("#",""), HYPERLINK(CONCATENATE("#Metadata!", ADDRESS(INDEX($X$2:$X$1001,MATCH(ROWS($V$2:V321),$V$2:$V$1001,0),0), INDEX($AC$1004:$AS$1004,1,MATCH(COLUMNS($AC$1006:AE1006),$AC$1006:$AS$1006,0)))),"Fix")))</f>
        <v>0</v>
      </c>
      <c r="E321" s="5">
        <f>IF(OR(INDEX($W$2:$W$1001,MATCH(ROWS($V$2:V321),$V$2:$V$1001,0),1)&gt;=100000,INDEX($AC$1005:$AS$1005,1,MATCH(COLUMNS($AC$1006:AF1006),$AC$1006:$AS$1006,0))&gt;=100000), " ",IF(INDEX($AC$2:$AS$1001,MATCH(ROWS($V$2:V321),$V$2:$V$1001,0),MATCH(COLUMNS($AC$1006:AF1006),$AC$1006:$AS$1006,0)), HYPERLINK("#",""), HYPERLINK(CONCATENATE("#Metadata!", ADDRESS(INDEX($X$2:$X$1001,MATCH(ROWS($V$2:V321),$V$2:$V$1001,0),0), INDEX($AC$1004:$AS$1004,1,MATCH(COLUMNS($AC$1006:AF1006),$AC$1006:$AS$1006,0)))),"Fix")))</f>
        <v>0</v>
      </c>
      <c r="F321" s="5">
        <f>IF(OR(INDEX($W$2:$W$1001,MATCH(ROWS($V$2:V321),$V$2:$V$1001,0),1)&gt;=100000,INDEX($AC$1005:$AS$1005,1,MATCH(COLUMNS($AC$1006:AG1006),$AC$1006:$AS$1006,0))&gt;=100000), " ",IF(INDEX($AC$2:$AS$1001,MATCH(ROWS($V$2:V321),$V$2:$V$1001,0),MATCH(COLUMNS($AC$1006:AG1006),$AC$1006:$AS$1006,0)), HYPERLINK("#",""), HYPERLINK(CONCATENATE("#Metadata!", ADDRESS(INDEX($X$2:$X$1001,MATCH(ROWS($V$2:V321),$V$2:$V$1001,0),0), INDEX($AC$1004:$AS$1004,1,MATCH(COLUMNS($AC$1006:AG1006),$AC$1006:$AS$1006,0)))),"Fix")))</f>
        <v>0</v>
      </c>
      <c r="G321" s="5">
        <f>IF(OR(INDEX($W$2:$W$1001,MATCH(ROWS($V$2:V321),$V$2:$V$1001,0),1)&gt;=100000,INDEX($AC$1005:$AS$1005,1,MATCH(COLUMNS($AC$1006:AH1006),$AC$1006:$AS$1006,0))&gt;=100000), " ",IF(INDEX($AC$2:$AS$1001,MATCH(ROWS($V$2:V321),$V$2:$V$1001,0),MATCH(COLUMNS($AC$1006:AH1006),$AC$1006:$AS$1006,0)), HYPERLINK("#",""), HYPERLINK(CONCATENATE("#Metadata!", ADDRESS(INDEX($X$2:$X$1001,MATCH(ROWS($V$2:V321),$V$2:$V$1001,0),0), INDEX($AC$1004:$AS$1004,1,MATCH(COLUMNS($AC$1006:AH1006),$AC$1006:$AS$1006,0)))),"Fix")))</f>
        <v>0</v>
      </c>
      <c r="H321" s="5">
        <f>IF(OR(INDEX($W$2:$W$1001,MATCH(ROWS($V$2:V321),$V$2:$V$1001,0),1)&gt;=100000,INDEX($AC$1005:$AS$1005,1,MATCH(COLUMNS($AC$1006:AI1006),$AC$1006:$AS$1006,0))&gt;=100000), " ",IF(INDEX($AC$2:$AS$1001,MATCH(ROWS($V$2:V321),$V$2:$V$1001,0),MATCH(COLUMNS($AC$1006:AI1006),$AC$1006:$AS$1006,0)), HYPERLINK("#",""), HYPERLINK(CONCATENATE("#Metadata!", ADDRESS(INDEX($X$2:$X$1001,MATCH(ROWS($V$2:V321),$V$2:$V$1001,0),0), INDEX($AC$1004:$AS$1004,1,MATCH(COLUMNS($AC$1006:AI1006),$AC$1006:$AS$1006,0)))),"Fix")))</f>
        <v>0</v>
      </c>
      <c r="I321" s="5">
        <f>IF(OR(INDEX($W$2:$W$1001,MATCH(ROWS($V$2:V321),$V$2:$V$1001,0),1)&gt;=100000,INDEX($AC$1005:$AS$1005,1,MATCH(COLUMNS($AC$1006:AJ1006),$AC$1006:$AS$1006,0))&gt;=100000), " ",IF(INDEX($AC$2:$AS$1001,MATCH(ROWS($V$2:V321),$V$2:$V$1001,0),MATCH(COLUMNS($AC$1006:AJ1006),$AC$1006:$AS$1006,0)), HYPERLINK("#",""), HYPERLINK(CONCATENATE("#Metadata!", ADDRESS(INDEX($X$2:$X$1001,MATCH(ROWS($V$2:V321),$V$2:$V$1001,0),0), INDEX($AC$1004:$AS$1004,1,MATCH(COLUMNS($AC$1006:AJ1006),$AC$1006:$AS$1006,0)))),"Fix")))</f>
        <v>0</v>
      </c>
      <c r="J321" s="5">
        <f>IF(OR(INDEX($W$2:$W$1001,MATCH(ROWS($V$2:V321),$V$2:$V$1001,0),1)&gt;=100000,INDEX($AC$1005:$AS$1005,1,MATCH(COLUMNS($AC$1006:AK1006),$AC$1006:$AS$1006,0))&gt;=100000), " ",IF(INDEX($AC$2:$AS$1001,MATCH(ROWS($V$2:V321),$V$2:$V$1001,0),MATCH(COLUMNS($AC$1006:AK1006),$AC$1006:$AS$1006,0)), HYPERLINK("#",""), HYPERLINK(CONCATENATE("#Metadata!", ADDRESS(INDEX($X$2:$X$1001,MATCH(ROWS($V$2:V321),$V$2:$V$1001,0),0), INDEX($AC$1004:$AS$1004,1,MATCH(COLUMNS($AC$1006:AK1006),$AC$1006:$AS$1006,0)))),"Fix")))</f>
        <v>0</v>
      </c>
      <c r="K321" s="5">
        <f>IF(OR(INDEX($W$2:$W$1001,MATCH(ROWS($V$2:V321),$V$2:$V$1001,0),1)&gt;=100000,INDEX($AC$1005:$AS$1005,1,MATCH(COLUMNS($AC$1006:AL1006),$AC$1006:$AS$1006,0))&gt;=100000), " ",IF(INDEX($AC$2:$AS$1001,MATCH(ROWS($V$2:V321),$V$2:$V$1001,0),MATCH(COLUMNS($AC$1006:AL1006),$AC$1006:$AS$1006,0)), HYPERLINK("#",""), HYPERLINK(CONCATENATE("#Metadata!", ADDRESS(INDEX($X$2:$X$1001,MATCH(ROWS($V$2:V321),$V$2:$V$1001,0),0), INDEX($AC$1004:$AS$1004,1,MATCH(COLUMNS($AC$1006:AL1006),$AC$1006:$AS$1006,0)))),"Fix")))</f>
        <v>0</v>
      </c>
      <c r="L321" s="5">
        <f>IF(OR(INDEX($W$2:$W$1001,MATCH(ROWS($V$2:V321),$V$2:$V$1001,0),1)&gt;=100000,INDEX($AC$1005:$AS$1005,1,MATCH(COLUMNS($AC$1006:AM1006),$AC$1006:$AS$1006,0))&gt;=100000), " ",IF(INDEX($AC$2:$AS$1001,MATCH(ROWS($V$2:V321),$V$2:$V$1001,0),MATCH(COLUMNS($AC$1006:AM1006),$AC$1006:$AS$1006,0)), HYPERLINK("#",""), HYPERLINK(CONCATENATE("#Metadata!", ADDRESS(INDEX($X$2:$X$1001,MATCH(ROWS($V$2:V321),$V$2:$V$1001,0),0), INDEX($AC$1004:$AS$1004,1,MATCH(COLUMNS($AC$1006:AM1006),$AC$1006:$AS$1006,0)))),"Fix")))</f>
        <v>0</v>
      </c>
      <c r="M321" s="5">
        <f>IF(OR(INDEX($W$2:$W$1001,MATCH(ROWS($V$2:V321),$V$2:$V$1001,0),1)&gt;=100000,INDEX($AC$1005:$AS$1005,1,MATCH(COLUMNS($AC$1006:AN1006),$AC$1006:$AS$1006,0))&gt;=100000), " ",IF(INDEX($AC$2:$AS$1001,MATCH(ROWS($V$2:V321),$V$2:$V$1001,0),MATCH(COLUMNS($AC$1006:AN1006),$AC$1006:$AS$1006,0)), HYPERLINK("#",""), HYPERLINK(CONCATENATE("#Metadata!", ADDRESS(INDEX($X$2:$X$1001,MATCH(ROWS($V$2:V321),$V$2:$V$1001,0),0), INDEX($AC$1004:$AS$1004,1,MATCH(COLUMNS($AC$1006:AN1006),$AC$1006:$AS$1006,0)))),"Fix")))</f>
        <v>0</v>
      </c>
      <c r="N321" s="5">
        <f>IF(OR(INDEX($W$2:$W$1001,MATCH(ROWS($V$2:V321),$V$2:$V$1001,0),1)&gt;=100000,INDEX($AC$1005:$AS$1005,1,MATCH(COLUMNS($AC$1006:AO1006),$AC$1006:$AS$1006,0))&gt;=100000), " ",IF(INDEX($AC$2:$AS$1001,MATCH(ROWS($V$2:V321),$V$2:$V$1001,0),MATCH(COLUMNS($AC$1006:AO1006),$AC$1006:$AS$1006,0)), HYPERLINK("#",""), HYPERLINK(CONCATENATE("#Metadata!", ADDRESS(INDEX($X$2:$X$1001,MATCH(ROWS($V$2:V321),$V$2:$V$1001,0),0), INDEX($AC$1004:$AS$1004,1,MATCH(COLUMNS($AC$1006:AO1006),$AC$1006:$AS$1006,0)))),"Fix")))</f>
        <v>0</v>
      </c>
      <c r="O321" s="5">
        <f>IF(OR(INDEX($W$2:$W$1001,MATCH(ROWS($V$2:V321),$V$2:$V$1001,0),1)&gt;=100000,INDEX($AC$1005:$AS$1005,1,MATCH(COLUMNS($AC$1006:AP1006),$AC$1006:$AS$1006,0))&gt;=100000), " ",IF(INDEX($AC$2:$AS$1001,MATCH(ROWS($V$2:V321),$V$2:$V$1001,0),MATCH(COLUMNS($AC$1006:AP1006),$AC$1006:$AS$1006,0)), HYPERLINK("#",""), HYPERLINK(CONCATENATE("#Metadata!", ADDRESS(INDEX($X$2:$X$1001,MATCH(ROWS($V$2:V321),$V$2:$V$1001,0),0), INDEX($AC$1004:$AS$1004,1,MATCH(COLUMNS($AC$1006:AP1006),$AC$1006:$AS$1006,0)))),"Fix")))</f>
        <v>0</v>
      </c>
      <c r="P321" s="5">
        <f>IF(OR(INDEX($W$2:$W$1001,MATCH(ROWS($V$2:V321),$V$2:$V$1001,0),1)&gt;=100000,INDEX($AC$1005:$AS$1005,1,MATCH(COLUMNS($AC$1006:AQ1006),$AC$1006:$AS$1006,0))&gt;=100000), " ",IF(INDEX($AC$2:$AS$1001,MATCH(ROWS($V$2:V321),$V$2:$V$1001,0),MATCH(COLUMNS($AC$1006:AQ1006),$AC$1006:$AS$1006,0)), HYPERLINK("#",""), HYPERLINK(CONCATENATE("#Metadata!", ADDRESS(INDEX($X$2:$X$1001,MATCH(ROWS($V$2:V321),$V$2:$V$1001,0),0), INDEX($AC$1004:$AS$1004,1,MATCH(COLUMNS($AC$1006:AQ1006),$AC$1006:$AS$1006,0)))),"Fix")))</f>
        <v>0</v>
      </c>
      <c r="Q321" s="5">
        <f>IF(OR(INDEX($W$2:$W$1001,MATCH(ROWS($V$2:V321),$V$2:$V$1001,0),1)&gt;=100000,INDEX($AC$1005:$AS$1005,1,MATCH(COLUMNS($AC$1006:AR1006),$AC$1006:$AS$1006,0))&gt;=100000), " ",IF(INDEX($AC$2:$AS$1001,MATCH(ROWS($V$2:V321),$V$2:$V$1001,0),MATCH(COLUMNS($AC$1006:AR1006),$AC$1006:$AS$1006,0)), HYPERLINK("#",""), HYPERLINK(CONCATENATE("#Metadata!", ADDRESS(INDEX($X$2:$X$1001,MATCH(ROWS($V$2:V321),$V$2:$V$1001,0),0), INDEX($AC$1004:$AS$1004,1,MATCH(COLUMNS($AC$1006:AR1006),$AC$1006:$AS$1006,0)))),"Fix")))</f>
        <v>0</v>
      </c>
      <c r="R321" s="5">
        <f>IF(OR(INDEX($W$2:$W$1001,MATCH(ROWS($V$2:V321),$V$2:$V$1001,0),1)&gt;=100000,INDEX($AC$1005:$AS$1005,1,MATCH(COLUMNS($AC$1006:AS1006),$AC$1006:$AS$1006,0))&gt;=100000), " ",IF(INDEX($AC$2:$AS$1001,MATCH(ROWS($V$2:V321),$V$2:$V$1001,0),MATCH(COLUMNS($AC$1006:AS1006),$AC$1006:$AS$1006,0)), HYPERLINK("#",""), HYPERLINK(CONCATENATE("#Metadata!", ADDRESS(INDEX($X$2:$X$1001,MATCH(ROWS($V$2:V321),$V$2:$V$1001,0),0), INDEX($AC$1004:$AS$1004,1,MATCH(COLUMNS($AC$1006:AS1006),$AC$1006:$AS$1006,0)))),"Fix")))</f>
        <v>0</v>
      </c>
      <c r="V321">
        <v>0</v>
      </c>
      <c r="W321">
        <v>0</v>
      </c>
      <c r="X321">
        <v>0</v>
      </c>
      <c r="Y321">
        <f>IF(Z321,TRUE,AND(AC321:AS321))</f>
        <v>0</v>
      </c>
      <c r="Z321">
        <f>COUNTBLANK(Metadata!B321:R321)=COLUMNS(Metadata!B321:R321)</f>
        <v>0</v>
      </c>
      <c r="AA321">
        <v>0</v>
      </c>
      <c r="AC321">
        <f>AND(IF(Metadata!B321="",FALSE,TRUE),COUNTIF(Metadata!B:B, Metadata!B321) = 1,NOT(ISERROR(SUMPRODUCT(SEARCH(MID(Metadata!B321,ROW(INDIRECT("1:"&amp;LEN(Metadata!B321))), 1),"0123456789abcdefghijklmnopqrstuvwxyzABCDEFGHIJKLMNOPQRSTUVWXYZ.")))))</f>
        <v>0</v>
      </c>
      <c r="AD321">
        <f>AND(IF(Metadata!C321="",FALSE,TRUE),exact(Metadata!C321,"Host-associated"))</f>
        <v>0</v>
      </c>
      <c r="AE321">
        <f>AND(IF(Metadata!D321="",FALSE,TRUE),OR(exact(Metadata!D321,"Animal"),exact(Metadata!D321,"Fungus"),exact(Metadata!D321,"Plant")))</f>
        <v>0</v>
      </c>
      <c r="AF321">
        <f>AND(IF(Metadata!E321="",FALSE,TRUE),OR(exact(Metadata!E321,"Plant secretion"),exact(Metadata!E321,"Plant rhizosphere"),exact(Metadata!E321,"Plant surface"),exact(Metadata!E321,"Plant corpus"),exact(Metadata!E321,"Fungus surface"),exact(Metadata!E321,"Fungus corpus"),exact(Metadata!E321,"Animal surface"),exact(Metadata!E321,"Animal proximal gut"),exact(Metadata!E321,"Animal corpus"),exact(Metadata!E321,"Animal distal gut"),exact(Metadata!E321,"Animal secretion")))</f>
        <v>0</v>
      </c>
      <c r="AG321">
        <f>OR(AND(IF(Metadata!F321="",FALSE,TRUE),OR(exact(Metadata!F321,"not collected"),exact(Metadata!F321,"not provided"),exact(Metadata!F321,"restricted access"))),AND(IF(Metadata!F321="",FALSE,TRUE),OR(exact(Metadata!F321,"organism-associated habitat"),exact(Metadata!F321,"plant-associated habitat"),exact(Metadata!F321,"animal-associated habitat"),exact(Metadata!F321,"insecta-associated habitat"),exact(Metadata!F321,"mammalia-associated habitat"),exact(Metadata!F321,"human-associated habitat"),exact(Metadata!F321,"livestock-associated habitat"))))</f>
        <v>0</v>
      </c>
      <c r="AH321">
        <f>AND(IF(Metadata!G321="",FALSE,TRUE),exact(Metadata!G321,"host-associated"))</f>
        <v>0</v>
      </c>
      <c r="AI321">
        <f>OR(AND(IF(Metadata!H321="",FALSE,TRUE),OR(exact(Metadata!H321,"not collected"),exact(Metadata!H321,"not provided"))),AND(IF(Metadata!H321="",FALSE,ISNUMBER(VALUE(Metadata!H321))),Metadata!H321&gt;0))</f>
        <v>0</v>
      </c>
      <c r="AJ321">
        <f>AND(IF(Metadata!I321="",FALSE,TRUE),exact(Metadata!I321,"years"))</f>
        <v>0</v>
      </c>
      <c r="AK321">
        <f>IF(Metadata!J321="",FALSE,TRUE)</f>
        <v>0</v>
      </c>
      <c r="AL321">
        <f>OR(AND(IF(Metadata!K321="",FALSE,TRUE),OR(exact(Metadata!K321,"not collected"),exact(Metadata!K321,"not provided"))),AND(IF(Metadata!K321="",FALSE,ISNUMBER(VALUE(Metadata!K321))),Metadata!K321&gt;0))</f>
        <v>0</v>
      </c>
      <c r="AM321">
        <f>AND(IF(Metadata!L321="",FALSE,TRUE),exact(Metadata!L321,"cm"))</f>
        <v>0</v>
      </c>
      <c r="AN321">
        <f>IF(Metadata!M321="",FALSE,TRUE)</f>
        <v>0</v>
      </c>
      <c r="AO321">
        <f>OR(AND(IF(Metadata!N321="",FALSE,TRUE),OR(exact(Metadata!N321,"not applicable"),exact(Metadata!N321,"not collected"),exact(Metadata!N321,"not provided"))),AND(IF(Metadata!N321="",FALSE,IF(ISERROR(INT(Metadata!N321)),FALSE,INT(Metadata!N321)=Metadata!N321)),Metadata!N321&gt;0))</f>
        <v>0</v>
      </c>
      <c r="AP321">
        <f>OR(AND(IF(Metadata!O321="",FALSE,TRUE),OR(exact(Metadata!O321,"not collected"),exact(Metadata!O321,"not provided"))),AND(IF(Metadata!O321="",FALSE,ISNUMBER(VALUE(Metadata!O321))),Metadata!O321&gt;0))</f>
        <v>0</v>
      </c>
      <c r="AQ321">
        <f>AND(IF(Metadata!P321="",FALSE,TRUE),exact(Metadata!P321,"kg"))</f>
        <v>0</v>
      </c>
      <c r="AR321">
        <f>OR(AND(IF(Metadata!Q321="",FALSE,TRUE),OR(exact(Metadata!Q321,"not applicable"),exact(Metadata!Q321,"not collected"),exact(Metadata!Q321,"not provided"),exact(Metadata!Q321,"restricted access"))),IF(Metadata!Q321="",FALSE,IF(ISERROR(INT(Metadata!Q321)),FALSE,INT(Metadata!Q321)=Metadata!Q321)))</f>
        <v>0</v>
      </c>
      <c r="AS321">
        <f>AND(IF(Metadata!R321="",FALSE,TRUE),exact(Metadata!R321,"Not applicable"))</f>
        <v>0</v>
      </c>
    </row>
    <row r="322" spans="1:45">
      <c r="A322" s="4">
        <f>IF(B322=" "," ",HYPERLINK(CONCATENATE("#metadata!",ADDRESS(INDEX($X$2:$X$1001,MATCH(ROWS($V$2:V322),$V$2:$V$1001,0),0),2)),INDEX($AA$2:$AA$1001,MATCH(ROWS($V$2:V322),$V$2:$V$1001,0),0)))</f>
        <v>0</v>
      </c>
      <c r="B322" s="5">
        <f>IF(OR(INDEX($W$2:$W$1001,MATCH(ROWS($V$2:V322),$V$2:$V$1001,0),1)&gt;=100000,INDEX($AC$1005:$AS$1005,1,MATCH(COLUMNS($AC$1006:AC1006),$AC$1006:$AS$1006,0))&gt;=100000), " ",IF(INDEX($AC$2:$AS$1001,MATCH(ROWS($V$2:V322),$V$2:$V$1001,0),MATCH(COLUMNS($AC$1006:AC1006),$AC$1006:$AS$1006,0)), HYPERLINK("#",""), HYPERLINK(CONCATENATE("#Metadata!", ADDRESS(INDEX($X$2:$X$1001,MATCH(ROWS($V$2:V322),$V$2:$V$1001,0),0), INDEX($AC$1004:$AS$1004,1,MATCH(COLUMNS($AC$1006:AC1006),$AC$1006:$AS$1006,0)))),"Fix")))</f>
        <v>0</v>
      </c>
      <c r="C322" s="5">
        <f>IF(OR(INDEX($W$2:$W$1001,MATCH(ROWS($V$2:V322),$V$2:$V$1001,0),1)&gt;=100000,INDEX($AC$1005:$AS$1005,1,MATCH(COLUMNS($AC$1006:AD1006),$AC$1006:$AS$1006,0))&gt;=100000), " ",IF(INDEX($AC$2:$AS$1001,MATCH(ROWS($V$2:V322),$V$2:$V$1001,0),MATCH(COLUMNS($AC$1006:AD1006),$AC$1006:$AS$1006,0)), HYPERLINK("#",""), HYPERLINK(CONCATENATE("#Metadata!", ADDRESS(INDEX($X$2:$X$1001,MATCH(ROWS($V$2:V322),$V$2:$V$1001,0),0), INDEX($AC$1004:$AS$1004,1,MATCH(COLUMNS($AC$1006:AD1006),$AC$1006:$AS$1006,0)))),"Fix")))</f>
        <v>0</v>
      </c>
      <c r="D322" s="5">
        <f>IF(OR(INDEX($W$2:$W$1001,MATCH(ROWS($V$2:V322),$V$2:$V$1001,0),1)&gt;=100000,INDEX($AC$1005:$AS$1005,1,MATCH(COLUMNS($AC$1006:AE1006),$AC$1006:$AS$1006,0))&gt;=100000), " ",IF(INDEX($AC$2:$AS$1001,MATCH(ROWS($V$2:V322),$V$2:$V$1001,0),MATCH(COLUMNS($AC$1006:AE1006),$AC$1006:$AS$1006,0)), HYPERLINK("#",""), HYPERLINK(CONCATENATE("#Metadata!", ADDRESS(INDEX($X$2:$X$1001,MATCH(ROWS($V$2:V322),$V$2:$V$1001,0),0), INDEX($AC$1004:$AS$1004,1,MATCH(COLUMNS($AC$1006:AE1006),$AC$1006:$AS$1006,0)))),"Fix")))</f>
        <v>0</v>
      </c>
      <c r="E322" s="5">
        <f>IF(OR(INDEX($W$2:$W$1001,MATCH(ROWS($V$2:V322),$V$2:$V$1001,0),1)&gt;=100000,INDEX($AC$1005:$AS$1005,1,MATCH(COLUMNS($AC$1006:AF1006),$AC$1006:$AS$1006,0))&gt;=100000), " ",IF(INDEX($AC$2:$AS$1001,MATCH(ROWS($V$2:V322),$V$2:$V$1001,0),MATCH(COLUMNS($AC$1006:AF1006),$AC$1006:$AS$1006,0)), HYPERLINK("#",""), HYPERLINK(CONCATENATE("#Metadata!", ADDRESS(INDEX($X$2:$X$1001,MATCH(ROWS($V$2:V322),$V$2:$V$1001,0),0), INDEX($AC$1004:$AS$1004,1,MATCH(COLUMNS($AC$1006:AF1006),$AC$1006:$AS$1006,0)))),"Fix")))</f>
        <v>0</v>
      </c>
      <c r="F322" s="5">
        <f>IF(OR(INDEX($W$2:$W$1001,MATCH(ROWS($V$2:V322),$V$2:$V$1001,0),1)&gt;=100000,INDEX($AC$1005:$AS$1005,1,MATCH(COLUMNS($AC$1006:AG1006),$AC$1006:$AS$1006,0))&gt;=100000), " ",IF(INDEX($AC$2:$AS$1001,MATCH(ROWS($V$2:V322),$V$2:$V$1001,0),MATCH(COLUMNS($AC$1006:AG1006),$AC$1006:$AS$1006,0)), HYPERLINK("#",""), HYPERLINK(CONCATENATE("#Metadata!", ADDRESS(INDEX($X$2:$X$1001,MATCH(ROWS($V$2:V322),$V$2:$V$1001,0),0), INDEX($AC$1004:$AS$1004,1,MATCH(COLUMNS($AC$1006:AG1006),$AC$1006:$AS$1006,0)))),"Fix")))</f>
        <v>0</v>
      </c>
      <c r="G322" s="5">
        <f>IF(OR(INDEX($W$2:$W$1001,MATCH(ROWS($V$2:V322),$V$2:$V$1001,0),1)&gt;=100000,INDEX($AC$1005:$AS$1005,1,MATCH(COLUMNS($AC$1006:AH1006),$AC$1006:$AS$1006,0))&gt;=100000), " ",IF(INDEX($AC$2:$AS$1001,MATCH(ROWS($V$2:V322),$V$2:$V$1001,0),MATCH(COLUMNS($AC$1006:AH1006),$AC$1006:$AS$1006,0)), HYPERLINK("#",""), HYPERLINK(CONCATENATE("#Metadata!", ADDRESS(INDEX($X$2:$X$1001,MATCH(ROWS($V$2:V322),$V$2:$V$1001,0),0), INDEX($AC$1004:$AS$1004,1,MATCH(COLUMNS($AC$1006:AH1006),$AC$1006:$AS$1006,0)))),"Fix")))</f>
        <v>0</v>
      </c>
      <c r="H322" s="5">
        <f>IF(OR(INDEX($W$2:$W$1001,MATCH(ROWS($V$2:V322),$V$2:$V$1001,0),1)&gt;=100000,INDEX($AC$1005:$AS$1005,1,MATCH(COLUMNS($AC$1006:AI1006),$AC$1006:$AS$1006,0))&gt;=100000), " ",IF(INDEX($AC$2:$AS$1001,MATCH(ROWS($V$2:V322),$V$2:$V$1001,0),MATCH(COLUMNS($AC$1006:AI1006),$AC$1006:$AS$1006,0)), HYPERLINK("#",""), HYPERLINK(CONCATENATE("#Metadata!", ADDRESS(INDEX($X$2:$X$1001,MATCH(ROWS($V$2:V322),$V$2:$V$1001,0),0), INDEX($AC$1004:$AS$1004,1,MATCH(COLUMNS($AC$1006:AI1006),$AC$1006:$AS$1006,0)))),"Fix")))</f>
        <v>0</v>
      </c>
      <c r="I322" s="5">
        <f>IF(OR(INDEX($W$2:$W$1001,MATCH(ROWS($V$2:V322),$V$2:$V$1001,0),1)&gt;=100000,INDEX($AC$1005:$AS$1005,1,MATCH(COLUMNS($AC$1006:AJ1006),$AC$1006:$AS$1006,0))&gt;=100000), " ",IF(INDEX($AC$2:$AS$1001,MATCH(ROWS($V$2:V322),$V$2:$V$1001,0),MATCH(COLUMNS($AC$1006:AJ1006),$AC$1006:$AS$1006,0)), HYPERLINK("#",""), HYPERLINK(CONCATENATE("#Metadata!", ADDRESS(INDEX($X$2:$X$1001,MATCH(ROWS($V$2:V322),$V$2:$V$1001,0),0), INDEX($AC$1004:$AS$1004,1,MATCH(COLUMNS($AC$1006:AJ1006),$AC$1006:$AS$1006,0)))),"Fix")))</f>
        <v>0</v>
      </c>
      <c r="J322" s="5">
        <f>IF(OR(INDEX($W$2:$W$1001,MATCH(ROWS($V$2:V322),$V$2:$V$1001,0),1)&gt;=100000,INDEX($AC$1005:$AS$1005,1,MATCH(COLUMNS($AC$1006:AK1006),$AC$1006:$AS$1006,0))&gt;=100000), " ",IF(INDEX($AC$2:$AS$1001,MATCH(ROWS($V$2:V322),$V$2:$V$1001,0),MATCH(COLUMNS($AC$1006:AK1006),$AC$1006:$AS$1006,0)), HYPERLINK("#",""), HYPERLINK(CONCATENATE("#Metadata!", ADDRESS(INDEX($X$2:$X$1001,MATCH(ROWS($V$2:V322),$V$2:$V$1001,0),0), INDEX($AC$1004:$AS$1004,1,MATCH(COLUMNS($AC$1006:AK1006),$AC$1006:$AS$1006,0)))),"Fix")))</f>
        <v>0</v>
      </c>
      <c r="K322" s="5">
        <f>IF(OR(INDEX($W$2:$W$1001,MATCH(ROWS($V$2:V322),$V$2:$V$1001,0),1)&gt;=100000,INDEX($AC$1005:$AS$1005,1,MATCH(COLUMNS($AC$1006:AL1006),$AC$1006:$AS$1006,0))&gt;=100000), " ",IF(INDEX($AC$2:$AS$1001,MATCH(ROWS($V$2:V322),$V$2:$V$1001,0),MATCH(COLUMNS($AC$1006:AL1006),$AC$1006:$AS$1006,0)), HYPERLINK("#",""), HYPERLINK(CONCATENATE("#Metadata!", ADDRESS(INDEX($X$2:$X$1001,MATCH(ROWS($V$2:V322),$V$2:$V$1001,0),0), INDEX($AC$1004:$AS$1004,1,MATCH(COLUMNS($AC$1006:AL1006),$AC$1006:$AS$1006,0)))),"Fix")))</f>
        <v>0</v>
      </c>
      <c r="L322" s="5">
        <f>IF(OR(INDEX($W$2:$W$1001,MATCH(ROWS($V$2:V322),$V$2:$V$1001,0),1)&gt;=100000,INDEX($AC$1005:$AS$1005,1,MATCH(COLUMNS($AC$1006:AM1006),$AC$1006:$AS$1006,0))&gt;=100000), " ",IF(INDEX($AC$2:$AS$1001,MATCH(ROWS($V$2:V322),$V$2:$V$1001,0),MATCH(COLUMNS($AC$1006:AM1006),$AC$1006:$AS$1006,0)), HYPERLINK("#",""), HYPERLINK(CONCATENATE("#Metadata!", ADDRESS(INDEX($X$2:$X$1001,MATCH(ROWS($V$2:V322),$V$2:$V$1001,0),0), INDEX($AC$1004:$AS$1004,1,MATCH(COLUMNS($AC$1006:AM1006),$AC$1006:$AS$1006,0)))),"Fix")))</f>
        <v>0</v>
      </c>
      <c r="M322" s="5">
        <f>IF(OR(INDEX($W$2:$W$1001,MATCH(ROWS($V$2:V322),$V$2:$V$1001,0),1)&gt;=100000,INDEX($AC$1005:$AS$1005,1,MATCH(COLUMNS($AC$1006:AN1006),$AC$1006:$AS$1006,0))&gt;=100000), " ",IF(INDEX($AC$2:$AS$1001,MATCH(ROWS($V$2:V322),$V$2:$V$1001,0),MATCH(COLUMNS($AC$1006:AN1006),$AC$1006:$AS$1006,0)), HYPERLINK("#",""), HYPERLINK(CONCATENATE("#Metadata!", ADDRESS(INDEX($X$2:$X$1001,MATCH(ROWS($V$2:V322),$V$2:$V$1001,0),0), INDEX($AC$1004:$AS$1004,1,MATCH(COLUMNS($AC$1006:AN1006),$AC$1006:$AS$1006,0)))),"Fix")))</f>
        <v>0</v>
      </c>
      <c r="N322" s="5">
        <f>IF(OR(INDEX($W$2:$W$1001,MATCH(ROWS($V$2:V322),$V$2:$V$1001,0),1)&gt;=100000,INDEX($AC$1005:$AS$1005,1,MATCH(COLUMNS($AC$1006:AO1006),$AC$1006:$AS$1006,0))&gt;=100000), " ",IF(INDEX($AC$2:$AS$1001,MATCH(ROWS($V$2:V322),$V$2:$V$1001,0),MATCH(COLUMNS($AC$1006:AO1006),$AC$1006:$AS$1006,0)), HYPERLINK("#",""), HYPERLINK(CONCATENATE("#Metadata!", ADDRESS(INDEX($X$2:$X$1001,MATCH(ROWS($V$2:V322),$V$2:$V$1001,0),0), INDEX($AC$1004:$AS$1004,1,MATCH(COLUMNS($AC$1006:AO1006),$AC$1006:$AS$1006,0)))),"Fix")))</f>
        <v>0</v>
      </c>
      <c r="O322" s="5">
        <f>IF(OR(INDEX($W$2:$W$1001,MATCH(ROWS($V$2:V322),$V$2:$V$1001,0),1)&gt;=100000,INDEX($AC$1005:$AS$1005,1,MATCH(COLUMNS($AC$1006:AP1006),$AC$1006:$AS$1006,0))&gt;=100000), " ",IF(INDEX($AC$2:$AS$1001,MATCH(ROWS($V$2:V322),$V$2:$V$1001,0),MATCH(COLUMNS($AC$1006:AP1006),$AC$1006:$AS$1006,0)), HYPERLINK("#",""), HYPERLINK(CONCATENATE("#Metadata!", ADDRESS(INDEX($X$2:$X$1001,MATCH(ROWS($V$2:V322),$V$2:$V$1001,0),0), INDEX($AC$1004:$AS$1004,1,MATCH(COLUMNS($AC$1006:AP1006),$AC$1006:$AS$1006,0)))),"Fix")))</f>
        <v>0</v>
      </c>
      <c r="P322" s="5">
        <f>IF(OR(INDEX($W$2:$W$1001,MATCH(ROWS($V$2:V322),$V$2:$V$1001,0),1)&gt;=100000,INDEX($AC$1005:$AS$1005,1,MATCH(COLUMNS($AC$1006:AQ1006),$AC$1006:$AS$1006,0))&gt;=100000), " ",IF(INDEX($AC$2:$AS$1001,MATCH(ROWS($V$2:V322),$V$2:$V$1001,0),MATCH(COLUMNS($AC$1006:AQ1006),$AC$1006:$AS$1006,0)), HYPERLINK("#",""), HYPERLINK(CONCATENATE("#Metadata!", ADDRESS(INDEX($X$2:$X$1001,MATCH(ROWS($V$2:V322),$V$2:$V$1001,0),0), INDEX($AC$1004:$AS$1004,1,MATCH(COLUMNS($AC$1006:AQ1006),$AC$1006:$AS$1006,0)))),"Fix")))</f>
        <v>0</v>
      </c>
      <c r="Q322" s="5">
        <f>IF(OR(INDEX($W$2:$W$1001,MATCH(ROWS($V$2:V322),$V$2:$V$1001,0),1)&gt;=100000,INDEX($AC$1005:$AS$1005,1,MATCH(COLUMNS($AC$1006:AR1006),$AC$1006:$AS$1006,0))&gt;=100000), " ",IF(INDEX($AC$2:$AS$1001,MATCH(ROWS($V$2:V322),$V$2:$V$1001,0),MATCH(COLUMNS($AC$1006:AR1006),$AC$1006:$AS$1006,0)), HYPERLINK("#",""), HYPERLINK(CONCATENATE("#Metadata!", ADDRESS(INDEX($X$2:$X$1001,MATCH(ROWS($V$2:V322),$V$2:$V$1001,0),0), INDEX($AC$1004:$AS$1004,1,MATCH(COLUMNS($AC$1006:AR1006),$AC$1006:$AS$1006,0)))),"Fix")))</f>
        <v>0</v>
      </c>
      <c r="R322" s="5">
        <f>IF(OR(INDEX($W$2:$W$1001,MATCH(ROWS($V$2:V322),$V$2:$V$1001,0),1)&gt;=100000,INDEX($AC$1005:$AS$1005,1,MATCH(COLUMNS($AC$1006:AS1006),$AC$1006:$AS$1006,0))&gt;=100000), " ",IF(INDEX($AC$2:$AS$1001,MATCH(ROWS($V$2:V322),$V$2:$V$1001,0),MATCH(COLUMNS($AC$1006:AS1006),$AC$1006:$AS$1006,0)), HYPERLINK("#",""), HYPERLINK(CONCATENATE("#Metadata!", ADDRESS(INDEX($X$2:$X$1001,MATCH(ROWS($V$2:V322),$V$2:$V$1001,0),0), INDEX($AC$1004:$AS$1004,1,MATCH(COLUMNS($AC$1006:AS1006),$AC$1006:$AS$1006,0)))),"Fix")))</f>
        <v>0</v>
      </c>
      <c r="V322">
        <v>0</v>
      </c>
      <c r="W322">
        <v>0</v>
      </c>
      <c r="X322">
        <v>0</v>
      </c>
      <c r="Y322">
        <f>IF(Z322,TRUE,AND(AC322:AS322))</f>
        <v>0</v>
      </c>
      <c r="Z322">
        <f>COUNTBLANK(Metadata!B322:R322)=COLUMNS(Metadata!B322:R322)</f>
        <v>0</v>
      </c>
      <c r="AA322">
        <v>0</v>
      </c>
      <c r="AC322">
        <f>AND(IF(Metadata!B322="",FALSE,TRUE),COUNTIF(Metadata!B:B, Metadata!B322) = 1,NOT(ISERROR(SUMPRODUCT(SEARCH(MID(Metadata!B322,ROW(INDIRECT("1:"&amp;LEN(Metadata!B322))), 1),"0123456789abcdefghijklmnopqrstuvwxyzABCDEFGHIJKLMNOPQRSTUVWXYZ.")))))</f>
        <v>0</v>
      </c>
      <c r="AD322">
        <f>AND(IF(Metadata!C322="",FALSE,TRUE),exact(Metadata!C322,"Host-associated"))</f>
        <v>0</v>
      </c>
      <c r="AE322">
        <f>AND(IF(Metadata!D322="",FALSE,TRUE),OR(exact(Metadata!D322,"Animal"),exact(Metadata!D322,"Fungus"),exact(Metadata!D322,"Plant")))</f>
        <v>0</v>
      </c>
      <c r="AF322">
        <f>AND(IF(Metadata!E322="",FALSE,TRUE),OR(exact(Metadata!E322,"Plant secretion"),exact(Metadata!E322,"Plant rhizosphere"),exact(Metadata!E322,"Plant surface"),exact(Metadata!E322,"Plant corpus"),exact(Metadata!E322,"Fungus surface"),exact(Metadata!E322,"Fungus corpus"),exact(Metadata!E322,"Animal surface"),exact(Metadata!E322,"Animal proximal gut"),exact(Metadata!E322,"Animal corpus"),exact(Metadata!E322,"Animal distal gut"),exact(Metadata!E322,"Animal secretion")))</f>
        <v>0</v>
      </c>
      <c r="AG322">
        <f>OR(AND(IF(Metadata!F322="",FALSE,TRUE),OR(exact(Metadata!F322,"not collected"),exact(Metadata!F322,"not provided"),exact(Metadata!F322,"restricted access"))),AND(IF(Metadata!F322="",FALSE,TRUE),OR(exact(Metadata!F322,"organism-associated habitat"),exact(Metadata!F322,"plant-associated habitat"),exact(Metadata!F322,"animal-associated habitat"),exact(Metadata!F322,"insecta-associated habitat"),exact(Metadata!F322,"mammalia-associated habitat"),exact(Metadata!F322,"human-associated habitat"),exact(Metadata!F322,"livestock-associated habitat"))))</f>
        <v>0</v>
      </c>
      <c r="AH322">
        <f>AND(IF(Metadata!G322="",FALSE,TRUE),exact(Metadata!G322,"host-associated"))</f>
        <v>0</v>
      </c>
      <c r="AI322">
        <f>OR(AND(IF(Metadata!H322="",FALSE,TRUE),OR(exact(Metadata!H322,"not collected"),exact(Metadata!H322,"not provided"))),AND(IF(Metadata!H322="",FALSE,ISNUMBER(VALUE(Metadata!H322))),Metadata!H322&gt;0))</f>
        <v>0</v>
      </c>
      <c r="AJ322">
        <f>AND(IF(Metadata!I322="",FALSE,TRUE),exact(Metadata!I322,"years"))</f>
        <v>0</v>
      </c>
      <c r="AK322">
        <f>IF(Metadata!J322="",FALSE,TRUE)</f>
        <v>0</v>
      </c>
      <c r="AL322">
        <f>OR(AND(IF(Metadata!K322="",FALSE,TRUE),OR(exact(Metadata!K322,"not collected"),exact(Metadata!K322,"not provided"))),AND(IF(Metadata!K322="",FALSE,ISNUMBER(VALUE(Metadata!K322))),Metadata!K322&gt;0))</f>
        <v>0</v>
      </c>
      <c r="AM322">
        <f>AND(IF(Metadata!L322="",FALSE,TRUE),exact(Metadata!L322,"cm"))</f>
        <v>0</v>
      </c>
      <c r="AN322">
        <f>IF(Metadata!M322="",FALSE,TRUE)</f>
        <v>0</v>
      </c>
      <c r="AO322">
        <f>OR(AND(IF(Metadata!N322="",FALSE,TRUE),OR(exact(Metadata!N322,"not applicable"),exact(Metadata!N322,"not collected"),exact(Metadata!N322,"not provided"))),AND(IF(Metadata!N322="",FALSE,IF(ISERROR(INT(Metadata!N322)),FALSE,INT(Metadata!N322)=Metadata!N322)),Metadata!N322&gt;0))</f>
        <v>0</v>
      </c>
      <c r="AP322">
        <f>OR(AND(IF(Metadata!O322="",FALSE,TRUE),OR(exact(Metadata!O322,"not collected"),exact(Metadata!O322,"not provided"))),AND(IF(Metadata!O322="",FALSE,ISNUMBER(VALUE(Metadata!O322))),Metadata!O322&gt;0))</f>
        <v>0</v>
      </c>
      <c r="AQ322">
        <f>AND(IF(Metadata!P322="",FALSE,TRUE),exact(Metadata!P322,"kg"))</f>
        <v>0</v>
      </c>
      <c r="AR322">
        <f>OR(AND(IF(Metadata!Q322="",FALSE,TRUE),OR(exact(Metadata!Q322,"not applicable"),exact(Metadata!Q322,"not collected"),exact(Metadata!Q322,"not provided"),exact(Metadata!Q322,"restricted access"))),IF(Metadata!Q322="",FALSE,IF(ISERROR(INT(Metadata!Q322)),FALSE,INT(Metadata!Q322)=Metadata!Q322)))</f>
        <v>0</v>
      </c>
      <c r="AS322">
        <f>AND(IF(Metadata!R322="",FALSE,TRUE),exact(Metadata!R322,"Not applicable"))</f>
        <v>0</v>
      </c>
    </row>
    <row r="323" spans="1:45">
      <c r="A323" s="4">
        <f>IF(B323=" "," ",HYPERLINK(CONCATENATE("#metadata!",ADDRESS(INDEX($X$2:$X$1001,MATCH(ROWS($V$2:V323),$V$2:$V$1001,0),0),2)),INDEX($AA$2:$AA$1001,MATCH(ROWS($V$2:V323),$V$2:$V$1001,0),0)))</f>
        <v>0</v>
      </c>
      <c r="B323" s="5">
        <f>IF(OR(INDEX($W$2:$W$1001,MATCH(ROWS($V$2:V323),$V$2:$V$1001,0),1)&gt;=100000,INDEX($AC$1005:$AS$1005,1,MATCH(COLUMNS($AC$1006:AC1006),$AC$1006:$AS$1006,0))&gt;=100000), " ",IF(INDEX($AC$2:$AS$1001,MATCH(ROWS($V$2:V323),$V$2:$V$1001,0),MATCH(COLUMNS($AC$1006:AC1006),$AC$1006:$AS$1006,0)), HYPERLINK("#",""), HYPERLINK(CONCATENATE("#Metadata!", ADDRESS(INDEX($X$2:$X$1001,MATCH(ROWS($V$2:V323),$V$2:$V$1001,0),0), INDEX($AC$1004:$AS$1004,1,MATCH(COLUMNS($AC$1006:AC1006),$AC$1006:$AS$1006,0)))),"Fix")))</f>
        <v>0</v>
      </c>
      <c r="C323" s="5">
        <f>IF(OR(INDEX($W$2:$W$1001,MATCH(ROWS($V$2:V323),$V$2:$V$1001,0),1)&gt;=100000,INDEX($AC$1005:$AS$1005,1,MATCH(COLUMNS($AC$1006:AD1006),$AC$1006:$AS$1006,0))&gt;=100000), " ",IF(INDEX($AC$2:$AS$1001,MATCH(ROWS($V$2:V323),$V$2:$V$1001,0),MATCH(COLUMNS($AC$1006:AD1006),$AC$1006:$AS$1006,0)), HYPERLINK("#",""), HYPERLINK(CONCATENATE("#Metadata!", ADDRESS(INDEX($X$2:$X$1001,MATCH(ROWS($V$2:V323),$V$2:$V$1001,0),0), INDEX($AC$1004:$AS$1004,1,MATCH(COLUMNS($AC$1006:AD1006),$AC$1006:$AS$1006,0)))),"Fix")))</f>
        <v>0</v>
      </c>
      <c r="D323" s="5">
        <f>IF(OR(INDEX($W$2:$W$1001,MATCH(ROWS($V$2:V323),$V$2:$V$1001,0),1)&gt;=100000,INDEX($AC$1005:$AS$1005,1,MATCH(COLUMNS($AC$1006:AE1006),$AC$1006:$AS$1006,0))&gt;=100000), " ",IF(INDEX($AC$2:$AS$1001,MATCH(ROWS($V$2:V323),$V$2:$V$1001,0),MATCH(COLUMNS($AC$1006:AE1006),$AC$1006:$AS$1006,0)), HYPERLINK("#",""), HYPERLINK(CONCATENATE("#Metadata!", ADDRESS(INDEX($X$2:$X$1001,MATCH(ROWS($V$2:V323),$V$2:$V$1001,0),0), INDEX($AC$1004:$AS$1004,1,MATCH(COLUMNS($AC$1006:AE1006),$AC$1006:$AS$1006,0)))),"Fix")))</f>
        <v>0</v>
      </c>
      <c r="E323" s="5">
        <f>IF(OR(INDEX($W$2:$W$1001,MATCH(ROWS($V$2:V323),$V$2:$V$1001,0),1)&gt;=100000,INDEX($AC$1005:$AS$1005,1,MATCH(COLUMNS($AC$1006:AF1006),$AC$1006:$AS$1006,0))&gt;=100000), " ",IF(INDEX($AC$2:$AS$1001,MATCH(ROWS($V$2:V323),$V$2:$V$1001,0),MATCH(COLUMNS($AC$1006:AF1006),$AC$1006:$AS$1006,0)), HYPERLINK("#",""), HYPERLINK(CONCATENATE("#Metadata!", ADDRESS(INDEX($X$2:$X$1001,MATCH(ROWS($V$2:V323),$V$2:$V$1001,0),0), INDEX($AC$1004:$AS$1004,1,MATCH(COLUMNS($AC$1006:AF1006),$AC$1006:$AS$1006,0)))),"Fix")))</f>
        <v>0</v>
      </c>
      <c r="F323" s="5">
        <f>IF(OR(INDEX($W$2:$W$1001,MATCH(ROWS($V$2:V323),$V$2:$V$1001,0),1)&gt;=100000,INDEX($AC$1005:$AS$1005,1,MATCH(COLUMNS($AC$1006:AG1006),$AC$1006:$AS$1006,0))&gt;=100000), " ",IF(INDEX($AC$2:$AS$1001,MATCH(ROWS($V$2:V323),$V$2:$V$1001,0),MATCH(COLUMNS($AC$1006:AG1006),$AC$1006:$AS$1006,0)), HYPERLINK("#",""), HYPERLINK(CONCATENATE("#Metadata!", ADDRESS(INDEX($X$2:$X$1001,MATCH(ROWS($V$2:V323),$V$2:$V$1001,0),0), INDEX($AC$1004:$AS$1004,1,MATCH(COLUMNS($AC$1006:AG1006),$AC$1006:$AS$1006,0)))),"Fix")))</f>
        <v>0</v>
      </c>
      <c r="G323" s="5">
        <f>IF(OR(INDEX($W$2:$W$1001,MATCH(ROWS($V$2:V323),$V$2:$V$1001,0),1)&gt;=100000,INDEX($AC$1005:$AS$1005,1,MATCH(COLUMNS($AC$1006:AH1006),$AC$1006:$AS$1006,0))&gt;=100000), " ",IF(INDEX($AC$2:$AS$1001,MATCH(ROWS($V$2:V323),$V$2:$V$1001,0),MATCH(COLUMNS($AC$1006:AH1006),$AC$1006:$AS$1006,0)), HYPERLINK("#",""), HYPERLINK(CONCATENATE("#Metadata!", ADDRESS(INDEX($X$2:$X$1001,MATCH(ROWS($V$2:V323),$V$2:$V$1001,0),0), INDEX($AC$1004:$AS$1004,1,MATCH(COLUMNS($AC$1006:AH1006),$AC$1006:$AS$1006,0)))),"Fix")))</f>
        <v>0</v>
      </c>
      <c r="H323" s="5">
        <f>IF(OR(INDEX($W$2:$W$1001,MATCH(ROWS($V$2:V323),$V$2:$V$1001,0),1)&gt;=100000,INDEX($AC$1005:$AS$1005,1,MATCH(COLUMNS($AC$1006:AI1006),$AC$1006:$AS$1006,0))&gt;=100000), " ",IF(INDEX($AC$2:$AS$1001,MATCH(ROWS($V$2:V323),$V$2:$V$1001,0),MATCH(COLUMNS($AC$1006:AI1006),$AC$1006:$AS$1006,0)), HYPERLINK("#",""), HYPERLINK(CONCATENATE("#Metadata!", ADDRESS(INDEX($X$2:$X$1001,MATCH(ROWS($V$2:V323),$V$2:$V$1001,0),0), INDEX($AC$1004:$AS$1004,1,MATCH(COLUMNS($AC$1006:AI1006),$AC$1006:$AS$1006,0)))),"Fix")))</f>
        <v>0</v>
      </c>
      <c r="I323" s="5">
        <f>IF(OR(INDEX($W$2:$W$1001,MATCH(ROWS($V$2:V323),$V$2:$V$1001,0),1)&gt;=100000,INDEX($AC$1005:$AS$1005,1,MATCH(COLUMNS($AC$1006:AJ1006),$AC$1006:$AS$1006,0))&gt;=100000), " ",IF(INDEX($AC$2:$AS$1001,MATCH(ROWS($V$2:V323),$V$2:$V$1001,0),MATCH(COLUMNS($AC$1006:AJ1006),$AC$1006:$AS$1006,0)), HYPERLINK("#",""), HYPERLINK(CONCATENATE("#Metadata!", ADDRESS(INDEX($X$2:$X$1001,MATCH(ROWS($V$2:V323),$V$2:$V$1001,0),0), INDEX($AC$1004:$AS$1004,1,MATCH(COLUMNS($AC$1006:AJ1006),$AC$1006:$AS$1006,0)))),"Fix")))</f>
        <v>0</v>
      </c>
      <c r="J323" s="5">
        <f>IF(OR(INDEX($W$2:$W$1001,MATCH(ROWS($V$2:V323),$V$2:$V$1001,0),1)&gt;=100000,INDEX($AC$1005:$AS$1005,1,MATCH(COLUMNS($AC$1006:AK1006),$AC$1006:$AS$1006,0))&gt;=100000), " ",IF(INDEX($AC$2:$AS$1001,MATCH(ROWS($V$2:V323),$V$2:$V$1001,0),MATCH(COLUMNS($AC$1006:AK1006),$AC$1006:$AS$1006,0)), HYPERLINK("#",""), HYPERLINK(CONCATENATE("#Metadata!", ADDRESS(INDEX($X$2:$X$1001,MATCH(ROWS($V$2:V323),$V$2:$V$1001,0),0), INDEX($AC$1004:$AS$1004,1,MATCH(COLUMNS($AC$1006:AK1006),$AC$1006:$AS$1006,0)))),"Fix")))</f>
        <v>0</v>
      </c>
      <c r="K323" s="5">
        <f>IF(OR(INDEX($W$2:$W$1001,MATCH(ROWS($V$2:V323),$V$2:$V$1001,0),1)&gt;=100000,INDEX($AC$1005:$AS$1005,1,MATCH(COLUMNS($AC$1006:AL1006),$AC$1006:$AS$1006,0))&gt;=100000), " ",IF(INDEX($AC$2:$AS$1001,MATCH(ROWS($V$2:V323),$V$2:$V$1001,0),MATCH(COLUMNS($AC$1006:AL1006),$AC$1006:$AS$1006,0)), HYPERLINK("#",""), HYPERLINK(CONCATENATE("#Metadata!", ADDRESS(INDEX($X$2:$X$1001,MATCH(ROWS($V$2:V323),$V$2:$V$1001,0),0), INDEX($AC$1004:$AS$1004,1,MATCH(COLUMNS($AC$1006:AL1006),$AC$1006:$AS$1006,0)))),"Fix")))</f>
        <v>0</v>
      </c>
      <c r="L323" s="5">
        <f>IF(OR(INDEX($W$2:$W$1001,MATCH(ROWS($V$2:V323),$V$2:$V$1001,0),1)&gt;=100000,INDEX($AC$1005:$AS$1005,1,MATCH(COLUMNS($AC$1006:AM1006),$AC$1006:$AS$1006,0))&gt;=100000), " ",IF(INDEX($AC$2:$AS$1001,MATCH(ROWS($V$2:V323),$V$2:$V$1001,0),MATCH(COLUMNS($AC$1006:AM1006),$AC$1006:$AS$1006,0)), HYPERLINK("#",""), HYPERLINK(CONCATENATE("#Metadata!", ADDRESS(INDEX($X$2:$X$1001,MATCH(ROWS($V$2:V323),$V$2:$V$1001,0),0), INDEX($AC$1004:$AS$1004,1,MATCH(COLUMNS($AC$1006:AM1006),$AC$1006:$AS$1006,0)))),"Fix")))</f>
        <v>0</v>
      </c>
      <c r="M323" s="5">
        <f>IF(OR(INDEX($W$2:$W$1001,MATCH(ROWS($V$2:V323),$V$2:$V$1001,0),1)&gt;=100000,INDEX($AC$1005:$AS$1005,1,MATCH(COLUMNS($AC$1006:AN1006),$AC$1006:$AS$1006,0))&gt;=100000), " ",IF(INDEX($AC$2:$AS$1001,MATCH(ROWS($V$2:V323),$V$2:$V$1001,0),MATCH(COLUMNS($AC$1006:AN1006),$AC$1006:$AS$1006,0)), HYPERLINK("#",""), HYPERLINK(CONCATENATE("#Metadata!", ADDRESS(INDEX($X$2:$X$1001,MATCH(ROWS($V$2:V323),$V$2:$V$1001,0),0), INDEX($AC$1004:$AS$1004,1,MATCH(COLUMNS($AC$1006:AN1006),$AC$1006:$AS$1006,0)))),"Fix")))</f>
        <v>0</v>
      </c>
      <c r="N323" s="5">
        <f>IF(OR(INDEX($W$2:$W$1001,MATCH(ROWS($V$2:V323),$V$2:$V$1001,0),1)&gt;=100000,INDEX($AC$1005:$AS$1005,1,MATCH(COLUMNS($AC$1006:AO1006),$AC$1006:$AS$1006,0))&gt;=100000), " ",IF(INDEX($AC$2:$AS$1001,MATCH(ROWS($V$2:V323),$V$2:$V$1001,0),MATCH(COLUMNS($AC$1006:AO1006),$AC$1006:$AS$1006,0)), HYPERLINK("#",""), HYPERLINK(CONCATENATE("#Metadata!", ADDRESS(INDEX($X$2:$X$1001,MATCH(ROWS($V$2:V323),$V$2:$V$1001,0),0), INDEX($AC$1004:$AS$1004,1,MATCH(COLUMNS($AC$1006:AO1006),$AC$1006:$AS$1006,0)))),"Fix")))</f>
        <v>0</v>
      </c>
      <c r="O323" s="5">
        <f>IF(OR(INDEX($W$2:$W$1001,MATCH(ROWS($V$2:V323),$V$2:$V$1001,0),1)&gt;=100000,INDEX($AC$1005:$AS$1005,1,MATCH(COLUMNS($AC$1006:AP1006),$AC$1006:$AS$1006,0))&gt;=100000), " ",IF(INDEX($AC$2:$AS$1001,MATCH(ROWS($V$2:V323),$V$2:$V$1001,0),MATCH(COLUMNS($AC$1006:AP1006),$AC$1006:$AS$1006,0)), HYPERLINK("#",""), HYPERLINK(CONCATENATE("#Metadata!", ADDRESS(INDEX($X$2:$X$1001,MATCH(ROWS($V$2:V323),$V$2:$V$1001,0),0), INDEX($AC$1004:$AS$1004,1,MATCH(COLUMNS($AC$1006:AP1006),$AC$1006:$AS$1006,0)))),"Fix")))</f>
        <v>0</v>
      </c>
      <c r="P323" s="5">
        <f>IF(OR(INDEX($W$2:$W$1001,MATCH(ROWS($V$2:V323),$V$2:$V$1001,0),1)&gt;=100000,INDEX($AC$1005:$AS$1005,1,MATCH(COLUMNS($AC$1006:AQ1006),$AC$1006:$AS$1006,0))&gt;=100000), " ",IF(INDEX($AC$2:$AS$1001,MATCH(ROWS($V$2:V323),$V$2:$V$1001,0),MATCH(COLUMNS($AC$1006:AQ1006),$AC$1006:$AS$1006,0)), HYPERLINK("#",""), HYPERLINK(CONCATENATE("#Metadata!", ADDRESS(INDEX($X$2:$X$1001,MATCH(ROWS($V$2:V323),$V$2:$V$1001,0),0), INDEX($AC$1004:$AS$1004,1,MATCH(COLUMNS($AC$1006:AQ1006),$AC$1006:$AS$1006,0)))),"Fix")))</f>
        <v>0</v>
      </c>
      <c r="Q323" s="5">
        <f>IF(OR(INDEX($W$2:$W$1001,MATCH(ROWS($V$2:V323),$V$2:$V$1001,0),1)&gt;=100000,INDEX($AC$1005:$AS$1005,1,MATCH(COLUMNS($AC$1006:AR1006),$AC$1006:$AS$1006,0))&gt;=100000), " ",IF(INDEX($AC$2:$AS$1001,MATCH(ROWS($V$2:V323),$V$2:$V$1001,0),MATCH(COLUMNS($AC$1006:AR1006),$AC$1006:$AS$1006,0)), HYPERLINK("#",""), HYPERLINK(CONCATENATE("#Metadata!", ADDRESS(INDEX($X$2:$X$1001,MATCH(ROWS($V$2:V323),$V$2:$V$1001,0),0), INDEX($AC$1004:$AS$1004,1,MATCH(COLUMNS($AC$1006:AR1006),$AC$1006:$AS$1006,0)))),"Fix")))</f>
        <v>0</v>
      </c>
      <c r="R323" s="5">
        <f>IF(OR(INDEX($W$2:$W$1001,MATCH(ROWS($V$2:V323),$V$2:$V$1001,0),1)&gt;=100000,INDEX($AC$1005:$AS$1005,1,MATCH(COLUMNS($AC$1006:AS1006),$AC$1006:$AS$1006,0))&gt;=100000), " ",IF(INDEX($AC$2:$AS$1001,MATCH(ROWS($V$2:V323),$V$2:$V$1001,0),MATCH(COLUMNS($AC$1006:AS1006),$AC$1006:$AS$1006,0)), HYPERLINK("#",""), HYPERLINK(CONCATENATE("#Metadata!", ADDRESS(INDEX($X$2:$X$1001,MATCH(ROWS($V$2:V323),$V$2:$V$1001,0),0), INDEX($AC$1004:$AS$1004,1,MATCH(COLUMNS($AC$1006:AS1006),$AC$1006:$AS$1006,0)))),"Fix")))</f>
        <v>0</v>
      </c>
      <c r="V323">
        <v>0</v>
      </c>
      <c r="W323">
        <v>0</v>
      </c>
      <c r="X323">
        <v>0</v>
      </c>
      <c r="Y323">
        <f>IF(Z323,TRUE,AND(AC323:AS323))</f>
        <v>0</v>
      </c>
      <c r="Z323">
        <f>COUNTBLANK(Metadata!B323:R323)=COLUMNS(Metadata!B323:R323)</f>
        <v>0</v>
      </c>
      <c r="AA323">
        <v>0</v>
      </c>
      <c r="AC323">
        <f>AND(IF(Metadata!B323="",FALSE,TRUE),COUNTIF(Metadata!B:B, Metadata!B323) = 1,NOT(ISERROR(SUMPRODUCT(SEARCH(MID(Metadata!B323,ROW(INDIRECT("1:"&amp;LEN(Metadata!B323))), 1),"0123456789abcdefghijklmnopqrstuvwxyzABCDEFGHIJKLMNOPQRSTUVWXYZ.")))))</f>
        <v>0</v>
      </c>
      <c r="AD323">
        <f>AND(IF(Metadata!C323="",FALSE,TRUE),exact(Metadata!C323,"Host-associated"))</f>
        <v>0</v>
      </c>
      <c r="AE323">
        <f>AND(IF(Metadata!D323="",FALSE,TRUE),OR(exact(Metadata!D323,"Animal"),exact(Metadata!D323,"Fungus"),exact(Metadata!D323,"Plant")))</f>
        <v>0</v>
      </c>
      <c r="AF323">
        <f>AND(IF(Metadata!E323="",FALSE,TRUE),OR(exact(Metadata!E323,"Plant secretion"),exact(Metadata!E323,"Plant rhizosphere"),exact(Metadata!E323,"Plant surface"),exact(Metadata!E323,"Plant corpus"),exact(Metadata!E323,"Fungus surface"),exact(Metadata!E323,"Fungus corpus"),exact(Metadata!E323,"Animal surface"),exact(Metadata!E323,"Animal proximal gut"),exact(Metadata!E323,"Animal corpus"),exact(Metadata!E323,"Animal distal gut"),exact(Metadata!E323,"Animal secretion")))</f>
        <v>0</v>
      </c>
      <c r="AG323">
        <f>OR(AND(IF(Metadata!F323="",FALSE,TRUE),OR(exact(Metadata!F323,"not collected"),exact(Metadata!F323,"not provided"),exact(Metadata!F323,"restricted access"))),AND(IF(Metadata!F323="",FALSE,TRUE),OR(exact(Metadata!F323,"organism-associated habitat"),exact(Metadata!F323,"plant-associated habitat"),exact(Metadata!F323,"animal-associated habitat"),exact(Metadata!F323,"insecta-associated habitat"),exact(Metadata!F323,"mammalia-associated habitat"),exact(Metadata!F323,"human-associated habitat"),exact(Metadata!F323,"livestock-associated habitat"))))</f>
        <v>0</v>
      </c>
      <c r="AH323">
        <f>AND(IF(Metadata!G323="",FALSE,TRUE),exact(Metadata!G323,"host-associated"))</f>
        <v>0</v>
      </c>
      <c r="AI323">
        <f>OR(AND(IF(Metadata!H323="",FALSE,TRUE),OR(exact(Metadata!H323,"not collected"),exact(Metadata!H323,"not provided"))),AND(IF(Metadata!H323="",FALSE,ISNUMBER(VALUE(Metadata!H323))),Metadata!H323&gt;0))</f>
        <v>0</v>
      </c>
      <c r="AJ323">
        <f>AND(IF(Metadata!I323="",FALSE,TRUE),exact(Metadata!I323,"years"))</f>
        <v>0</v>
      </c>
      <c r="AK323">
        <f>IF(Metadata!J323="",FALSE,TRUE)</f>
        <v>0</v>
      </c>
      <c r="AL323">
        <f>OR(AND(IF(Metadata!K323="",FALSE,TRUE),OR(exact(Metadata!K323,"not collected"),exact(Metadata!K323,"not provided"))),AND(IF(Metadata!K323="",FALSE,ISNUMBER(VALUE(Metadata!K323))),Metadata!K323&gt;0))</f>
        <v>0</v>
      </c>
      <c r="AM323">
        <f>AND(IF(Metadata!L323="",FALSE,TRUE),exact(Metadata!L323,"cm"))</f>
        <v>0</v>
      </c>
      <c r="AN323">
        <f>IF(Metadata!M323="",FALSE,TRUE)</f>
        <v>0</v>
      </c>
      <c r="AO323">
        <f>OR(AND(IF(Metadata!N323="",FALSE,TRUE),OR(exact(Metadata!N323,"not applicable"),exact(Metadata!N323,"not collected"),exact(Metadata!N323,"not provided"))),AND(IF(Metadata!N323="",FALSE,IF(ISERROR(INT(Metadata!N323)),FALSE,INT(Metadata!N323)=Metadata!N323)),Metadata!N323&gt;0))</f>
        <v>0</v>
      </c>
      <c r="AP323">
        <f>OR(AND(IF(Metadata!O323="",FALSE,TRUE),OR(exact(Metadata!O323,"not collected"),exact(Metadata!O323,"not provided"))),AND(IF(Metadata!O323="",FALSE,ISNUMBER(VALUE(Metadata!O323))),Metadata!O323&gt;0))</f>
        <v>0</v>
      </c>
      <c r="AQ323">
        <f>AND(IF(Metadata!P323="",FALSE,TRUE),exact(Metadata!P323,"kg"))</f>
        <v>0</v>
      </c>
      <c r="AR323">
        <f>OR(AND(IF(Metadata!Q323="",FALSE,TRUE),OR(exact(Metadata!Q323,"not applicable"),exact(Metadata!Q323,"not collected"),exact(Metadata!Q323,"not provided"),exact(Metadata!Q323,"restricted access"))),IF(Metadata!Q323="",FALSE,IF(ISERROR(INT(Metadata!Q323)),FALSE,INT(Metadata!Q323)=Metadata!Q323)))</f>
        <v>0</v>
      </c>
      <c r="AS323">
        <f>AND(IF(Metadata!R323="",FALSE,TRUE),exact(Metadata!R323,"Not applicable"))</f>
        <v>0</v>
      </c>
    </row>
    <row r="324" spans="1:45">
      <c r="A324" s="4">
        <f>IF(B324=" "," ",HYPERLINK(CONCATENATE("#metadata!",ADDRESS(INDEX($X$2:$X$1001,MATCH(ROWS($V$2:V324),$V$2:$V$1001,0),0),2)),INDEX($AA$2:$AA$1001,MATCH(ROWS($V$2:V324),$V$2:$V$1001,0),0)))</f>
        <v>0</v>
      </c>
      <c r="B324" s="5">
        <f>IF(OR(INDEX($W$2:$W$1001,MATCH(ROWS($V$2:V324),$V$2:$V$1001,0),1)&gt;=100000,INDEX($AC$1005:$AS$1005,1,MATCH(COLUMNS($AC$1006:AC1006),$AC$1006:$AS$1006,0))&gt;=100000), " ",IF(INDEX($AC$2:$AS$1001,MATCH(ROWS($V$2:V324),$V$2:$V$1001,0),MATCH(COLUMNS($AC$1006:AC1006),$AC$1006:$AS$1006,0)), HYPERLINK("#",""), HYPERLINK(CONCATENATE("#Metadata!", ADDRESS(INDEX($X$2:$X$1001,MATCH(ROWS($V$2:V324),$V$2:$V$1001,0),0), INDEX($AC$1004:$AS$1004,1,MATCH(COLUMNS($AC$1006:AC1006),$AC$1006:$AS$1006,0)))),"Fix")))</f>
        <v>0</v>
      </c>
      <c r="C324" s="5">
        <f>IF(OR(INDEX($W$2:$W$1001,MATCH(ROWS($V$2:V324),$V$2:$V$1001,0),1)&gt;=100000,INDEX($AC$1005:$AS$1005,1,MATCH(COLUMNS($AC$1006:AD1006),$AC$1006:$AS$1006,0))&gt;=100000), " ",IF(INDEX($AC$2:$AS$1001,MATCH(ROWS($V$2:V324),$V$2:$V$1001,0),MATCH(COLUMNS($AC$1006:AD1006),$AC$1006:$AS$1006,0)), HYPERLINK("#",""), HYPERLINK(CONCATENATE("#Metadata!", ADDRESS(INDEX($X$2:$X$1001,MATCH(ROWS($V$2:V324),$V$2:$V$1001,0),0), INDEX($AC$1004:$AS$1004,1,MATCH(COLUMNS($AC$1006:AD1006),$AC$1006:$AS$1006,0)))),"Fix")))</f>
        <v>0</v>
      </c>
      <c r="D324" s="5">
        <f>IF(OR(INDEX($W$2:$W$1001,MATCH(ROWS($V$2:V324),$V$2:$V$1001,0),1)&gt;=100000,INDEX($AC$1005:$AS$1005,1,MATCH(COLUMNS($AC$1006:AE1006),$AC$1006:$AS$1006,0))&gt;=100000), " ",IF(INDEX($AC$2:$AS$1001,MATCH(ROWS($V$2:V324),$V$2:$V$1001,0),MATCH(COLUMNS($AC$1006:AE1006),$AC$1006:$AS$1006,0)), HYPERLINK("#",""), HYPERLINK(CONCATENATE("#Metadata!", ADDRESS(INDEX($X$2:$X$1001,MATCH(ROWS($V$2:V324),$V$2:$V$1001,0),0), INDEX($AC$1004:$AS$1004,1,MATCH(COLUMNS($AC$1006:AE1006),$AC$1006:$AS$1006,0)))),"Fix")))</f>
        <v>0</v>
      </c>
      <c r="E324" s="5">
        <f>IF(OR(INDEX($W$2:$W$1001,MATCH(ROWS($V$2:V324),$V$2:$V$1001,0),1)&gt;=100000,INDEX($AC$1005:$AS$1005,1,MATCH(COLUMNS($AC$1006:AF1006),$AC$1006:$AS$1006,0))&gt;=100000), " ",IF(INDEX($AC$2:$AS$1001,MATCH(ROWS($V$2:V324),$V$2:$V$1001,0),MATCH(COLUMNS($AC$1006:AF1006),$AC$1006:$AS$1006,0)), HYPERLINK("#",""), HYPERLINK(CONCATENATE("#Metadata!", ADDRESS(INDEX($X$2:$X$1001,MATCH(ROWS($V$2:V324),$V$2:$V$1001,0),0), INDEX($AC$1004:$AS$1004,1,MATCH(COLUMNS($AC$1006:AF1006),$AC$1006:$AS$1006,0)))),"Fix")))</f>
        <v>0</v>
      </c>
      <c r="F324" s="5">
        <f>IF(OR(INDEX($W$2:$W$1001,MATCH(ROWS($V$2:V324),$V$2:$V$1001,0),1)&gt;=100000,INDEX($AC$1005:$AS$1005,1,MATCH(COLUMNS($AC$1006:AG1006),$AC$1006:$AS$1006,0))&gt;=100000), " ",IF(INDEX($AC$2:$AS$1001,MATCH(ROWS($V$2:V324),$V$2:$V$1001,0),MATCH(COLUMNS($AC$1006:AG1006),$AC$1006:$AS$1006,0)), HYPERLINK("#",""), HYPERLINK(CONCATENATE("#Metadata!", ADDRESS(INDEX($X$2:$X$1001,MATCH(ROWS($V$2:V324),$V$2:$V$1001,0),0), INDEX($AC$1004:$AS$1004,1,MATCH(COLUMNS($AC$1006:AG1006),$AC$1006:$AS$1006,0)))),"Fix")))</f>
        <v>0</v>
      </c>
      <c r="G324" s="5">
        <f>IF(OR(INDEX($W$2:$W$1001,MATCH(ROWS($V$2:V324),$V$2:$V$1001,0),1)&gt;=100000,INDEX($AC$1005:$AS$1005,1,MATCH(COLUMNS($AC$1006:AH1006),$AC$1006:$AS$1006,0))&gt;=100000), " ",IF(INDEX($AC$2:$AS$1001,MATCH(ROWS($V$2:V324),$V$2:$V$1001,0),MATCH(COLUMNS($AC$1006:AH1006),$AC$1006:$AS$1006,0)), HYPERLINK("#",""), HYPERLINK(CONCATENATE("#Metadata!", ADDRESS(INDEX($X$2:$X$1001,MATCH(ROWS($V$2:V324),$V$2:$V$1001,0),0), INDEX($AC$1004:$AS$1004,1,MATCH(COLUMNS($AC$1006:AH1006),$AC$1006:$AS$1006,0)))),"Fix")))</f>
        <v>0</v>
      </c>
      <c r="H324" s="5">
        <f>IF(OR(INDEX($W$2:$W$1001,MATCH(ROWS($V$2:V324),$V$2:$V$1001,0),1)&gt;=100000,INDEX($AC$1005:$AS$1005,1,MATCH(COLUMNS($AC$1006:AI1006),$AC$1006:$AS$1006,0))&gt;=100000), " ",IF(INDEX($AC$2:$AS$1001,MATCH(ROWS($V$2:V324),$V$2:$V$1001,0),MATCH(COLUMNS($AC$1006:AI1006),$AC$1006:$AS$1006,0)), HYPERLINK("#",""), HYPERLINK(CONCATENATE("#Metadata!", ADDRESS(INDEX($X$2:$X$1001,MATCH(ROWS($V$2:V324),$V$2:$V$1001,0),0), INDEX($AC$1004:$AS$1004,1,MATCH(COLUMNS($AC$1006:AI1006),$AC$1006:$AS$1006,0)))),"Fix")))</f>
        <v>0</v>
      </c>
      <c r="I324" s="5">
        <f>IF(OR(INDEX($W$2:$W$1001,MATCH(ROWS($V$2:V324),$V$2:$V$1001,0),1)&gt;=100000,INDEX($AC$1005:$AS$1005,1,MATCH(COLUMNS($AC$1006:AJ1006),$AC$1006:$AS$1006,0))&gt;=100000), " ",IF(INDEX($AC$2:$AS$1001,MATCH(ROWS($V$2:V324),$V$2:$V$1001,0),MATCH(COLUMNS($AC$1006:AJ1006),$AC$1006:$AS$1006,0)), HYPERLINK("#",""), HYPERLINK(CONCATENATE("#Metadata!", ADDRESS(INDEX($X$2:$X$1001,MATCH(ROWS($V$2:V324),$V$2:$V$1001,0),0), INDEX($AC$1004:$AS$1004,1,MATCH(COLUMNS($AC$1006:AJ1006),$AC$1006:$AS$1006,0)))),"Fix")))</f>
        <v>0</v>
      </c>
      <c r="J324" s="5">
        <f>IF(OR(INDEX($W$2:$W$1001,MATCH(ROWS($V$2:V324),$V$2:$V$1001,0),1)&gt;=100000,INDEX($AC$1005:$AS$1005,1,MATCH(COLUMNS($AC$1006:AK1006),$AC$1006:$AS$1006,0))&gt;=100000), " ",IF(INDEX($AC$2:$AS$1001,MATCH(ROWS($V$2:V324),$V$2:$V$1001,0),MATCH(COLUMNS($AC$1006:AK1006),$AC$1006:$AS$1006,0)), HYPERLINK("#",""), HYPERLINK(CONCATENATE("#Metadata!", ADDRESS(INDEX($X$2:$X$1001,MATCH(ROWS($V$2:V324),$V$2:$V$1001,0),0), INDEX($AC$1004:$AS$1004,1,MATCH(COLUMNS($AC$1006:AK1006),$AC$1006:$AS$1006,0)))),"Fix")))</f>
        <v>0</v>
      </c>
      <c r="K324" s="5">
        <f>IF(OR(INDEX($W$2:$W$1001,MATCH(ROWS($V$2:V324),$V$2:$V$1001,0),1)&gt;=100000,INDEX($AC$1005:$AS$1005,1,MATCH(COLUMNS($AC$1006:AL1006),$AC$1006:$AS$1006,0))&gt;=100000), " ",IF(INDEX($AC$2:$AS$1001,MATCH(ROWS($V$2:V324),$V$2:$V$1001,0),MATCH(COLUMNS($AC$1006:AL1006),$AC$1006:$AS$1006,0)), HYPERLINK("#",""), HYPERLINK(CONCATENATE("#Metadata!", ADDRESS(INDEX($X$2:$X$1001,MATCH(ROWS($V$2:V324),$V$2:$V$1001,0),0), INDEX($AC$1004:$AS$1004,1,MATCH(COLUMNS($AC$1006:AL1006),$AC$1006:$AS$1006,0)))),"Fix")))</f>
        <v>0</v>
      </c>
      <c r="L324" s="5">
        <f>IF(OR(INDEX($W$2:$W$1001,MATCH(ROWS($V$2:V324),$V$2:$V$1001,0),1)&gt;=100000,INDEX($AC$1005:$AS$1005,1,MATCH(COLUMNS($AC$1006:AM1006),$AC$1006:$AS$1006,0))&gt;=100000), " ",IF(INDEX($AC$2:$AS$1001,MATCH(ROWS($V$2:V324),$V$2:$V$1001,0),MATCH(COLUMNS($AC$1006:AM1006),$AC$1006:$AS$1006,0)), HYPERLINK("#",""), HYPERLINK(CONCATENATE("#Metadata!", ADDRESS(INDEX($X$2:$X$1001,MATCH(ROWS($V$2:V324),$V$2:$V$1001,0),0), INDEX($AC$1004:$AS$1004,1,MATCH(COLUMNS($AC$1006:AM1006),$AC$1006:$AS$1006,0)))),"Fix")))</f>
        <v>0</v>
      </c>
      <c r="M324" s="5">
        <f>IF(OR(INDEX($W$2:$W$1001,MATCH(ROWS($V$2:V324),$V$2:$V$1001,0),1)&gt;=100000,INDEX($AC$1005:$AS$1005,1,MATCH(COLUMNS($AC$1006:AN1006),$AC$1006:$AS$1006,0))&gt;=100000), " ",IF(INDEX($AC$2:$AS$1001,MATCH(ROWS($V$2:V324),$V$2:$V$1001,0),MATCH(COLUMNS($AC$1006:AN1006),$AC$1006:$AS$1006,0)), HYPERLINK("#",""), HYPERLINK(CONCATENATE("#Metadata!", ADDRESS(INDEX($X$2:$X$1001,MATCH(ROWS($V$2:V324),$V$2:$V$1001,0),0), INDEX($AC$1004:$AS$1004,1,MATCH(COLUMNS($AC$1006:AN1006),$AC$1006:$AS$1006,0)))),"Fix")))</f>
        <v>0</v>
      </c>
      <c r="N324" s="5">
        <f>IF(OR(INDEX($W$2:$W$1001,MATCH(ROWS($V$2:V324),$V$2:$V$1001,0),1)&gt;=100000,INDEX($AC$1005:$AS$1005,1,MATCH(COLUMNS($AC$1006:AO1006),$AC$1006:$AS$1006,0))&gt;=100000), " ",IF(INDEX($AC$2:$AS$1001,MATCH(ROWS($V$2:V324),$V$2:$V$1001,0),MATCH(COLUMNS($AC$1006:AO1006),$AC$1006:$AS$1006,0)), HYPERLINK("#",""), HYPERLINK(CONCATENATE("#Metadata!", ADDRESS(INDEX($X$2:$X$1001,MATCH(ROWS($V$2:V324),$V$2:$V$1001,0),0), INDEX($AC$1004:$AS$1004,1,MATCH(COLUMNS($AC$1006:AO1006),$AC$1006:$AS$1006,0)))),"Fix")))</f>
        <v>0</v>
      </c>
      <c r="O324" s="5">
        <f>IF(OR(INDEX($W$2:$W$1001,MATCH(ROWS($V$2:V324),$V$2:$V$1001,0),1)&gt;=100000,INDEX($AC$1005:$AS$1005,1,MATCH(COLUMNS($AC$1006:AP1006),$AC$1006:$AS$1006,0))&gt;=100000), " ",IF(INDEX($AC$2:$AS$1001,MATCH(ROWS($V$2:V324),$V$2:$V$1001,0),MATCH(COLUMNS($AC$1006:AP1006),$AC$1006:$AS$1006,0)), HYPERLINK("#",""), HYPERLINK(CONCATENATE("#Metadata!", ADDRESS(INDEX($X$2:$X$1001,MATCH(ROWS($V$2:V324),$V$2:$V$1001,0),0), INDEX($AC$1004:$AS$1004,1,MATCH(COLUMNS($AC$1006:AP1006),$AC$1006:$AS$1006,0)))),"Fix")))</f>
        <v>0</v>
      </c>
      <c r="P324" s="5">
        <f>IF(OR(INDEX($W$2:$W$1001,MATCH(ROWS($V$2:V324),$V$2:$V$1001,0),1)&gt;=100000,INDEX($AC$1005:$AS$1005,1,MATCH(COLUMNS($AC$1006:AQ1006),$AC$1006:$AS$1006,0))&gt;=100000), " ",IF(INDEX($AC$2:$AS$1001,MATCH(ROWS($V$2:V324),$V$2:$V$1001,0),MATCH(COLUMNS($AC$1006:AQ1006),$AC$1006:$AS$1006,0)), HYPERLINK("#",""), HYPERLINK(CONCATENATE("#Metadata!", ADDRESS(INDEX($X$2:$X$1001,MATCH(ROWS($V$2:V324),$V$2:$V$1001,0),0), INDEX($AC$1004:$AS$1004,1,MATCH(COLUMNS($AC$1006:AQ1006),$AC$1006:$AS$1006,0)))),"Fix")))</f>
        <v>0</v>
      </c>
      <c r="Q324" s="5">
        <f>IF(OR(INDEX($W$2:$W$1001,MATCH(ROWS($V$2:V324),$V$2:$V$1001,0),1)&gt;=100000,INDEX($AC$1005:$AS$1005,1,MATCH(COLUMNS($AC$1006:AR1006),$AC$1006:$AS$1006,0))&gt;=100000), " ",IF(INDEX($AC$2:$AS$1001,MATCH(ROWS($V$2:V324),$V$2:$V$1001,0),MATCH(COLUMNS($AC$1006:AR1006),$AC$1006:$AS$1006,0)), HYPERLINK("#",""), HYPERLINK(CONCATENATE("#Metadata!", ADDRESS(INDEX($X$2:$X$1001,MATCH(ROWS($V$2:V324),$V$2:$V$1001,0),0), INDEX($AC$1004:$AS$1004,1,MATCH(COLUMNS($AC$1006:AR1006),$AC$1006:$AS$1006,0)))),"Fix")))</f>
        <v>0</v>
      </c>
      <c r="R324" s="5">
        <f>IF(OR(INDEX($W$2:$W$1001,MATCH(ROWS($V$2:V324),$V$2:$V$1001,0),1)&gt;=100000,INDEX($AC$1005:$AS$1005,1,MATCH(COLUMNS($AC$1006:AS1006),$AC$1006:$AS$1006,0))&gt;=100000), " ",IF(INDEX($AC$2:$AS$1001,MATCH(ROWS($V$2:V324),$V$2:$V$1001,0),MATCH(COLUMNS($AC$1006:AS1006),$AC$1006:$AS$1006,0)), HYPERLINK("#",""), HYPERLINK(CONCATENATE("#Metadata!", ADDRESS(INDEX($X$2:$X$1001,MATCH(ROWS($V$2:V324),$V$2:$V$1001,0),0), INDEX($AC$1004:$AS$1004,1,MATCH(COLUMNS($AC$1006:AS1006),$AC$1006:$AS$1006,0)))),"Fix")))</f>
        <v>0</v>
      </c>
      <c r="V324">
        <v>0</v>
      </c>
      <c r="W324">
        <v>0</v>
      </c>
      <c r="X324">
        <v>0</v>
      </c>
      <c r="Y324">
        <f>IF(Z324,TRUE,AND(AC324:AS324))</f>
        <v>0</v>
      </c>
      <c r="Z324">
        <f>COUNTBLANK(Metadata!B324:R324)=COLUMNS(Metadata!B324:R324)</f>
        <v>0</v>
      </c>
      <c r="AA324">
        <v>0</v>
      </c>
      <c r="AC324">
        <f>AND(IF(Metadata!B324="",FALSE,TRUE),COUNTIF(Metadata!B:B, Metadata!B324) = 1,NOT(ISERROR(SUMPRODUCT(SEARCH(MID(Metadata!B324,ROW(INDIRECT("1:"&amp;LEN(Metadata!B324))), 1),"0123456789abcdefghijklmnopqrstuvwxyzABCDEFGHIJKLMNOPQRSTUVWXYZ.")))))</f>
        <v>0</v>
      </c>
      <c r="AD324">
        <f>AND(IF(Metadata!C324="",FALSE,TRUE),exact(Metadata!C324,"Host-associated"))</f>
        <v>0</v>
      </c>
      <c r="AE324">
        <f>AND(IF(Metadata!D324="",FALSE,TRUE),OR(exact(Metadata!D324,"Animal"),exact(Metadata!D324,"Fungus"),exact(Metadata!D324,"Plant")))</f>
        <v>0</v>
      </c>
      <c r="AF324">
        <f>AND(IF(Metadata!E324="",FALSE,TRUE),OR(exact(Metadata!E324,"Plant secretion"),exact(Metadata!E324,"Plant rhizosphere"),exact(Metadata!E324,"Plant surface"),exact(Metadata!E324,"Plant corpus"),exact(Metadata!E324,"Fungus surface"),exact(Metadata!E324,"Fungus corpus"),exact(Metadata!E324,"Animal surface"),exact(Metadata!E324,"Animal proximal gut"),exact(Metadata!E324,"Animal corpus"),exact(Metadata!E324,"Animal distal gut"),exact(Metadata!E324,"Animal secretion")))</f>
        <v>0</v>
      </c>
      <c r="AG324">
        <f>OR(AND(IF(Metadata!F324="",FALSE,TRUE),OR(exact(Metadata!F324,"not collected"),exact(Metadata!F324,"not provided"),exact(Metadata!F324,"restricted access"))),AND(IF(Metadata!F324="",FALSE,TRUE),OR(exact(Metadata!F324,"organism-associated habitat"),exact(Metadata!F324,"plant-associated habitat"),exact(Metadata!F324,"animal-associated habitat"),exact(Metadata!F324,"insecta-associated habitat"),exact(Metadata!F324,"mammalia-associated habitat"),exact(Metadata!F324,"human-associated habitat"),exact(Metadata!F324,"livestock-associated habitat"))))</f>
        <v>0</v>
      </c>
      <c r="AH324">
        <f>AND(IF(Metadata!G324="",FALSE,TRUE),exact(Metadata!G324,"host-associated"))</f>
        <v>0</v>
      </c>
      <c r="AI324">
        <f>OR(AND(IF(Metadata!H324="",FALSE,TRUE),OR(exact(Metadata!H324,"not collected"),exact(Metadata!H324,"not provided"))),AND(IF(Metadata!H324="",FALSE,ISNUMBER(VALUE(Metadata!H324))),Metadata!H324&gt;0))</f>
        <v>0</v>
      </c>
      <c r="AJ324">
        <f>AND(IF(Metadata!I324="",FALSE,TRUE),exact(Metadata!I324,"years"))</f>
        <v>0</v>
      </c>
      <c r="AK324">
        <f>IF(Metadata!J324="",FALSE,TRUE)</f>
        <v>0</v>
      </c>
      <c r="AL324">
        <f>OR(AND(IF(Metadata!K324="",FALSE,TRUE),OR(exact(Metadata!K324,"not collected"),exact(Metadata!K324,"not provided"))),AND(IF(Metadata!K324="",FALSE,ISNUMBER(VALUE(Metadata!K324))),Metadata!K324&gt;0))</f>
        <v>0</v>
      </c>
      <c r="AM324">
        <f>AND(IF(Metadata!L324="",FALSE,TRUE),exact(Metadata!L324,"cm"))</f>
        <v>0</v>
      </c>
      <c r="AN324">
        <f>IF(Metadata!M324="",FALSE,TRUE)</f>
        <v>0</v>
      </c>
      <c r="AO324">
        <f>OR(AND(IF(Metadata!N324="",FALSE,TRUE),OR(exact(Metadata!N324,"not applicable"),exact(Metadata!N324,"not collected"),exact(Metadata!N324,"not provided"))),AND(IF(Metadata!N324="",FALSE,IF(ISERROR(INT(Metadata!N324)),FALSE,INT(Metadata!N324)=Metadata!N324)),Metadata!N324&gt;0))</f>
        <v>0</v>
      </c>
      <c r="AP324">
        <f>OR(AND(IF(Metadata!O324="",FALSE,TRUE),OR(exact(Metadata!O324,"not collected"),exact(Metadata!O324,"not provided"))),AND(IF(Metadata!O324="",FALSE,ISNUMBER(VALUE(Metadata!O324))),Metadata!O324&gt;0))</f>
        <v>0</v>
      </c>
      <c r="AQ324">
        <f>AND(IF(Metadata!P324="",FALSE,TRUE),exact(Metadata!P324,"kg"))</f>
        <v>0</v>
      </c>
      <c r="AR324">
        <f>OR(AND(IF(Metadata!Q324="",FALSE,TRUE),OR(exact(Metadata!Q324,"not applicable"),exact(Metadata!Q324,"not collected"),exact(Metadata!Q324,"not provided"),exact(Metadata!Q324,"restricted access"))),IF(Metadata!Q324="",FALSE,IF(ISERROR(INT(Metadata!Q324)),FALSE,INT(Metadata!Q324)=Metadata!Q324)))</f>
        <v>0</v>
      </c>
      <c r="AS324">
        <f>AND(IF(Metadata!R324="",FALSE,TRUE),exact(Metadata!R324,"Not applicable"))</f>
        <v>0</v>
      </c>
    </row>
    <row r="325" spans="1:45">
      <c r="A325" s="4">
        <f>IF(B325=" "," ",HYPERLINK(CONCATENATE("#metadata!",ADDRESS(INDEX($X$2:$X$1001,MATCH(ROWS($V$2:V325),$V$2:$V$1001,0),0),2)),INDEX($AA$2:$AA$1001,MATCH(ROWS($V$2:V325),$V$2:$V$1001,0),0)))</f>
        <v>0</v>
      </c>
      <c r="B325" s="5">
        <f>IF(OR(INDEX($W$2:$W$1001,MATCH(ROWS($V$2:V325),$V$2:$V$1001,0),1)&gt;=100000,INDEX($AC$1005:$AS$1005,1,MATCH(COLUMNS($AC$1006:AC1006),$AC$1006:$AS$1006,0))&gt;=100000), " ",IF(INDEX($AC$2:$AS$1001,MATCH(ROWS($V$2:V325),$V$2:$V$1001,0),MATCH(COLUMNS($AC$1006:AC1006),$AC$1006:$AS$1006,0)), HYPERLINK("#",""), HYPERLINK(CONCATENATE("#Metadata!", ADDRESS(INDEX($X$2:$X$1001,MATCH(ROWS($V$2:V325),$V$2:$V$1001,0),0), INDEX($AC$1004:$AS$1004,1,MATCH(COLUMNS($AC$1006:AC1006),$AC$1006:$AS$1006,0)))),"Fix")))</f>
        <v>0</v>
      </c>
      <c r="C325" s="5">
        <f>IF(OR(INDEX($W$2:$W$1001,MATCH(ROWS($V$2:V325),$V$2:$V$1001,0),1)&gt;=100000,INDEX($AC$1005:$AS$1005,1,MATCH(COLUMNS($AC$1006:AD1006),$AC$1006:$AS$1006,0))&gt;=100000), " ",IF(INDEX($AC$2:$AS$1001,MATCH(ROWS($V$2:V325),$V$2:$V$1001,0),MATCH(COLUMNS($AC$1006:AD1006),$AC$1006:$AS$1006,0)), HYPERLINK("#",""), HYPERLINK(CONCATENATE("#Metadata!", ADDRESS(INDEX($X$2:$X$1001,MATCH(ROWS($V$2:V325),$V$2:$V$1001,0),0), INDEX($AC$1004:$AS$1004,1,MATCH(COLUMNS($AC$1006:AD1006),$AC$1006:$AS$1006,0)))),"Fix")))</f>
        <v>0</v>
      </c>
      <c r="D325" s="5">
        <f>IF(OR(INDEX($W$2:$W$1001,MATCH(ROWS($V$2:V325),$V$2:$V$1001,0),1)&gt;=100000,INDEX($AC$1005:$AS$1005,1,MATCH(COLUMNS($AC$1006:AE1006),$AC$1006:$AS$1006,0))&gt;=100000), " ",IF(INDEX($AC$2:$AS$1001,MATCH(ROWS($V$2:V325),$V$2:$V$1001,0),MATCH(COLUMNS($AC$1006:AE1006),$AC$1006:$AS$1006,0)), HYPERLINK("#",""), HYPERLINK(CONCATENATE("#Metadata!", ADDRESS(INDEX($X$2:$X$1001,MATCH(ROWS($V$2:V325),$V$2:$V$1001,0),0), INDEX($AC$1004:$AS$1004,1,MATCH(COLUMNS($AC$1006:AE1006),$AC$1006:$AS$1006,0)))),"Fix")))</f>
        <v>0</v>
      </c>
      <c r="E325" s="5">
        <f>IF(OR(INDEX($W$2:$W$1001,MATCH(ROWS($V$2:V325),$V$2:$V$1001,0),1)&gt;=100000,INDEX($AC$1005:$AS$1005,1,MATCH(COLUMNS($AC$1006:AF1006),$AC$1006:$AS$1006,0))&gt;=100000), " ",IF(INDEX($AC$2:$AS$1001,MATCH(ROWS($V$2:V325),$V$2:$V$1001,0),MATCH(COLUMNS($AC$1006:AF1006),$AC$1006:$AS$1006,0)), HYPERLINK("#",""), HYPERLINK(CONCATENATE("#Metadata!", ADDRESS(INDEX($X$2:$X$1001,MATCH(ROWS($V$2:V325),$V$2:$V$1001,0),0), INDEX($AC$1004:$AS$1004,1,MATCH(COLUMNS($AC$1006:AF1006),$AC$1006:$AS$1006,0)))),"Fix")))</f>
        <v>0</v>
      </c>
      <c r="F325" s="5">
        <f>IF(OR(INDEX($W$2:$W$1001,MATCH(ROWS($V$2:V325),$V$2:$V$1001,0),1)&gt;=100000,INDEX($AC$1005:$AS$1005,1,MATCH(COLUMNS($AC$1006:AG1006),$AC$1006:$AS$1006,0))&gt;=100000), " ",IF(INDEX($AC$2:$AS$1001,MATCH(ROWS($V$2:V325),$V$2:$V$1001,0),MATCH(COLUMNS($AC$1006:AG1006),$AC$1006:$AS$1006,0)), HYPERLINK("#",""), HYPERLINK(CONCATENATE("#Metadata!", ADDRESS(INDEX($X$2:$X$1001,MATCH(ROWS($V$2:V325),$V$2:$V$1001,0),0), INDEX($AC$1004:$AS$1004,1,MATCH(COLUMNS($AC$1006:AG1006),$AC$1006:$AS$1006,0)))),"Fix")))</f>
        <v>0</v>
      </c>
      <c r="G325" s="5">
        <f>IF(OR(INDEX($W$2:$W$1001,MATCH(ROWS($V$2:V325),$V$2:$V$1001,0),1)&gt;=100000,INDEX($AC$1005:$AS$1005,1,MATCH(COLUMNS($AC$1006:AH1006),$AC$1006:$AS$1006,0))&gt;=100000), " ",IF(INDEX($AC$2:$AS$1001,MATCH(ROWS($V$2:V325),$V$2:$V$1001,0),MATCH(COLUMNS($AC$1006:AH1006),$AC$1006:$AS$1006,0)), HYPERLINK("#",""), HYPERLINK(CONCATENATE("#Metadata!", ADDRESS(INDEX($X$2:$X$1001,MATCH(ROWS($V$2:V325),$V$2:$V$1001,0),0), INDEX($AC$1004:$AS$1004,1,MATCH(COLUMNS($AC$1006:AH1006),$AC$1006:$AS$1006,0)))),"Fix")))</f>
        <v>0</v>
      </c>
      <c r="H325" s="5">
        <f>IF(OR(INDEX($W$2:$W$1001,MATCH(ROWS($V$2:V325),$V$2:$V$1001,0),1)&gt;=100000,INDEX($AC$1005:$AS$1005,1,MATCH(COLUMNS($AC$1006:AI1006),$AC$1006:$AS$1006,0))&gt;=100000), " ",IF(INDEX($AC$2:$AS$1001,MATCH(ROWS($V$2:V325),$V$2:$V$1001,0),MATCH(COLUMNS($AC$1006:AI1006),$AC$1006:$AS$1006,0)), HYPERLINK("#",""), HYPERLINK(CONCATENATE("#Metadata!", ADDRESS(INDEX($X$2:$X$1001,MATCH(ROWS($V$2:V325),$V$2:$V$1001,0),0), INDEX($AC$1004:$AS$1004,1,MATCH(COLUMNS($AC$1006:AI1006),$AC$1006:$AS$1006,0)))),"Fix")))</f>
        <v>0</v>
      </c>
      <c r="I325" s="5">
        <f>IF(OR(INDEX($W$2:$W$1001,MATCH(ROWS($V$2:V325),$V$2:$V$1001,0),1)&gt;=100000,INDEX($AC$1005:$AS$1005,1,MATCH(COLUMNS($AC$1006:AJ1006),$AC$1006:$AS$1006,0))&gt;=100000), " ",IF(INDEX($AC$2:$AS$1001,MATCH(ROWS($V$2:V325),$V$2:$V$1001,0),MATCH(COLUMNS($AC$1006:AJ1006),$AC$1006:$AS$1006,0)), HYPERLINK("#",""), HYPERLINK(CONCATENATE("#Metadata!", ADDRESS(INDEX($X$2:$X$1001,MATCH(ROWS($V$2:V325),$V$2:$V$1001,0),0), INDEX($AC$1004:$AS$1004,1,MATCH(COLUMNS($AC$1006:AJ1006),$AC$1006:$AS$1006,0)))),"Fix")))</f>
        <v>0</v>
      </c>
      <c r="J325" s="5">
        <f>IF(OR(INDEX($W$2:$W$1001,MATCH(ROWS($V$2:V325),$V$2:$V$1001,0),1)&gt;=100000,INDEX($AC$1005:$AS$1005,1,MATCH(COLUMNS($AC$1006:AK1006),$AC$1006:$AS$1006,0))&gt;=100000), " ",IF(INDEX($AC$2:$AS$1001,MATCH(ROWS($V$2:V325),$V$2:$V$1001,0),MATCH(COLUMNS($AC$1006:AK1006),$AC$1006:$AS$1006,0)), HYPERLINK("#",""), HYPERLINK(CONCATENATE("#Metadata!", ADDRESS(INDEX($X$2:$X$1001,MATCH(ROWS($V$2:V325),$V$2:$V$1001,0),0), INDEX($AC$1004:$AS$1004,1,MATCH(COLUMNS($AC$1006:AK1006),$AC$1006:$AS$1006,0)))),"Fix")))</f>
        <v>0</v>
      </c>
      <c r="K325" s="5">
        <f>IF(OR(INDEX($W$2:$W$1001,MATCH(ROWS($V$2:V325),$V$2:$V$1001,0),1)&gt;=100000,INDEX($AC$1005:$AS$1005,1,MATCH(COLUMNS($AC$1006:AL1006),$AC$1006:$AS$1006,0))&gt;=100000), " ",IF(INDEX($AC$2:$AS$1001,MATCH(ROWS($V$2:V325),$V$2:$V$1001,0),MATCH(COLUMNS($AC$1006:AL1006),$AC$1006:$AS$1006,0)), HYPERLINK("#",""), HYPERLINK(CONCATENATE("#Metadata!", ADDRESS(INDEX($X$2:$X$1001,MATCH(ROWS($V$2:V325),$V$2:$V$1001,0),0), INDEX($AC$1004:$AS$1004,1,MATCH(COLUMNS($AC$1006:AL1006),$AC$1006:$AS$1006,0)))),"Fix")))</f>
        <v>0</v>
      </c>
      <c r="L325" s="5">
        <f>IF(OR(INDEX($W$2:$W$1001,MATCH(ROWS($V$2:V325),$V$2:$V$1001,0),1)&gt;=100000,INDEX($AC$1005:$AS$1005,1,MATCH(COLUMNS($AC$1006:AM1006),$AC$1006:$AS$1006,0))&gt;=100000), " ",IF(INDEX($AC$2:$AS$1001,MATCH(ROWS($V$2:V325),$V$2:$V$1001,0),MATCH(COLUMNS($AC$1006:AM1006),$AC$1006:$AS$1006,0)), HYPERLINK("#",""), HYPERLINK(CONCATENATE("#Metadata!", ADDRESS(INDEX($X$2:$X$1001,MATCH(ROWS($V$2:V325),$V$2:$V$1001,0),0), INDEX($AC$1004:$AS$1004,1,MATCH(COLUMNS($AC$1006:AM1006),$AC$1006:$AS$1006,0)))),"Fix")))</f>
        <v>0</v>
      </c>
      <c r="M325" s="5">
        <f>IF(OR(INDEX($W$2:$W$1001,MATCH(ROWS($V$2:V325),$V$2:$V$1001,0),1)&gt;=100000,INDEX($AC$1005:$AS$1005,1,MATCH(COLUMNS($AC$1006:AN1006),$AC$1006:$AS$1006,0))&gt;=100000), " ",IF(INDEX($AC$2:$AS$1001,MATCH(ROWS($V$2:V325),$V$2:$V$1001,0),MATCH(COLUMNS($AC$1006:AN1006),$AC$1006:$AS$1006,0)), HYPERLINK("#",""), HYPERLINK(CONCATENATE("#Metadata!", ADDRESS(INDEX($X$2:$X$1001,MATCH(ROWS($V$2:V325),$V$2:$V$1001,0),0), INDEX($AC$1004:$AS$1004,1,MATCH(COLUMNS($AC$1006:AN1006),$AC$1006:$AS$1006,0)))),"Fix")))</f>
        <v>0</v>
      </c>
      <c r="N325" s="5">
        <f>IF(OR(INDEX($W$2:$W$1001,MATCH(ROWS($V$2:V325),$V$2:$V$1001,0),1)&gt;=100000,INDEX($AC$1005:$AS$1005,1,MATCH(COLUMNS($AC$1006:AO1006),$AC$1006:$AS$1006,0))&gt;=100000), " ",IF(INDEX($AC$2:$AS$1001,MATCH(ROWS($V$2:V325),$V$2:$V$1001,0),MATCH(COLUMNS($AC$1006:AO1006),$AC$1006:$AS$1006,0)), HYPERLINK("#",""), HYPERLINK(CONCATENATE("#Metadata!", ADDRESS(INDEX($X$2:$X$1001,MATCH(ROWS($V$2:V325),$V$2:$V$1001,0),0), INDEX($AC$1004:$AS$1004,1,MATCH(COLUMNS($AC$1006:AO1006),$AC$1006:$AS$1006,0)))),"Fix")))</f>
        <v>0</v>
      </c>
      <c r="O325" s="5">
        <f>IF(OR(INDEX($W$2:$W$1001,MATCH(ROWS($V$2:V325),$V$2:$V$1001,0),1)&gt;=100000,INDEX($AC$1005:$AS$1005,1,MATCH(COLUMNS($AC$1006:AP1006),$AC$1006:$AS$1006,0))&gt;=100000), " ",IF(INDEX($AC$2:$AS$1001,MATCH(ROWS($V$2:V325),$V$2:$V$1001,0),MATCH(COLUMNS($AC$1006:AP1006),$AC$1006:$AS$1006,0)), HYPERLINK("#",""), HYPERLINK(CONCATENATE("#Metadata!", ADDRESS(INDEX($X$2:$X$1001,MATCH(ROWS($V$2:V325),$V$2:$V$1001,0),0), INDEX($AC$1004:$AS$1004,1,MATCH(COLUMNS($AC$1006:AP1006),$AC$1006:$AS$1006,0)))),"Fix")))</f>
        <v>0</v>
      </c>
      <c r="P325" s="5">
        <f>IF(OR(INDEX($W$2:$W$1001,MATCH(ROWS($V$2:V325),$V$2:$V$1001,0),1)&gt;=100000,INDEX($AC$1005:$AS$1005,1,MATCH(COLUMNS($AC$1006:AQ1006),$AC$1006:$AS$1006,0))&gt;=100000), " ",IF(INDEX($AC$2:$AS$1001,MATCH(ROWS($V$2:V325),$V$2:$V$1001,0),MATCH(COLUMNS($AC$1006:AQ1006),$AC$1006:$AS$1006,0)), HYPERLINK("#",""), HYPERLINK(CONCATENATE("#Metadata!", ADDRESS(INDEX($X$2:$X$1001,MATCH(ROWS($V$2:V325),$V$2:$V$1001,0),0), INDEX($AC$1004:$AS$1004,1,MATCH(COLUMNS($AC$1006:AQ1006),$AC$1006:$AS$1006,0)))),"Fix")))</f>
        <v>0</v>
      </c>
      <c r="Q325" s="5">
        <f>IF(OR(INDEX($W$2:$W$1001,MATCH(ROWS($V$2:V325),$V$2:$V$1001,0),1)&gt;=100000,INDEX($AC$1005:$AS$1005,1,MATCH(COLUMNS($AC$1006:AR1006),$AC$1006:$AS$1006,0))&gt;=100000), " ",IF(INDEX($AC$2:$AS$1001,MATCH(ROWS($V$2:V325),$V$2:$V$1001,0),MATCH(COLUMNS($AC$1006:AR1006),$AC$1006:$AS$1006,0)), HYPERLINK("#",""), HYPERLINK(CONCATENATE("#Metadata!", ADDRESS(INDEX($X$2:$X$1001,MATCH(ROWS($V$2:V325),$V$2:$V$1001,0),0), INDEX($AC$1004:$AS$1004,1,MATCH(COLUMNS($AC$1006:AR1006),$AC$1006:$AS$1006,0)))),"Fix")))</f>
        <v>0</v>
      </c>
      <c r="R325" s="5">
        <f>IF(OR(INDEX($W$2:$W$1001,MATCH(ROWS($V$2:V325),$V$2:$V$1001,0),1)&gt;=100000,INDEX($AC$1005:$AS$1005,1,MATCH(COLUMNS($AC$1006:AS1006),$AC$1006:$AS$1006,0))&gt;=100000), " ",IF(INDEX($AC$2:$AS$1001,MATCH(ROWS($V$2:V325),$V$2:$V$1001,0),MATCH(COLUMNS($AC$1006:AS1006),$AC$1006:$AS$1006,0)), HYPERLINK("#",""), HYPERLINK(CONCATENATE("#Metadata!", ADDRESS(INDEX($X$2:$X$1001,MATCH(ROWS($V$2:V325),$V$2:$V$1001,0),0), INDEX($AC$1004:$AS$1004,1,MATCH(COLUMNS($AC$1006:AS1006),$AC$1006:$AS$1006,0)))),"Fix")))</f>
        <v>0</v>
      </c>
      <c r="V325">
        <v>0</v>
      </c>
      <c r="W325">
        <v>0</v>
      </c>
      <c r="X325">
        <v>0</v>
      </c>
      <c r="Y325">
        <f>IF(Z325,TRUE,AND(AC325:AS325))</f>
        <v>0</v>
      </c>
      <c r="Z325">
        <f>COUNTBLANK(Metadata!B325:R325)=COLUMNS(Metadata!B325:R325)</f>
        <v>0</v>
      </c>
      <c r="AA325">
        <v>0</v>
      </c>
      <c r="AC325">
        <f>AND(IF(Metadata!B325="",FALSE,TRUE),COUNTIF(Metadata!B:B, Metadata!B325) = 1,NOT(ISERROR(SUMPRODUCT(SEARCH(MID(Metadata!B325,ROW(INDIRECT("1:"&amp;LEN(Metadata!B325))), 1),"0123456789abcdefghijklmnopqrstuvwxyzABCDEFGHIJKLMNOPQRSTUVWXYZ.")))))</f>
        <v>0</v>
      </c>
      <c r="AD325">
        <f>AND(IF(Metadata!C325="",FALSE,TRUE),exact(Metadata!C325,"Host-associated"))</f>
        <v>0</v>
      </c>
      <c r="AE325">
        <f>AND(IF(Metadata!D325="",FALSE,TRUE),OR(exact(Metadata!D325,"Animal"),exact(Metadata!D325,"Fungus"),exact(Metadata!D325,"Plant")))</f>
        <v>0</v>
      </c>
      <c r="AF325">
        <f>AND(IF(Metadata!E325="",FALSE,TRUE),OR(exact(Metadata!E325,"Plant secretion"),exact(Metadata!E325,"Plant rhizosphere"),exact(Metadata!E325,"Plant surface"),exact(Metadata!E325,"Plant corpus"),exact(Metadata!E325,"Fungus surface"),exact(Metadata!E325,"Fungus corpus"),exact(Metadata!E325,"Animal surface"),exact(Metadata!E325,"Animal proximal gut"),exact(Metadata!E325,"Animal corpus"),exact(Metadata!E325,"Animal distal gut"),exact(Metadata!E325,"Animal secretion")))</f>
        <v>0</v>
      </c>
      <c r="AG325">
        <f>OR(AND(IF(Metadata!F325="",FALSE,TRUE),OR(exact(Metadata!F325,"not collected"),exact(Metadata!F325,"not provided"),exact(Metadata!F325,"restricted access"))),AND(IF(Metadata!F325="",FALSE,TRUE),OR(exact(Metadata!F325,"organism-associated habitat"),exact(Metadata!F325,"plant-associated habitat"),exact(Metadata!F325,"animal-associated habitat"),exact(Metadata!F325,"insecta-associated habitat"),exact(Metadata!F325,"mammalia-associated habitat"),exact(Metadata!F325,"human-associated habitat"),exact(Metadata!F325,"livestock-associated habitat"))))</f>
        <v>0</v>
      </c>
      <c r="AH325">
        <f>AND(IF(Metadata!G325="",FALSE,TRUE),exact(Metadata!G325,"host-associated"))</f>
        <v>0</v>
      </c>
      <c r="AI325">
        <f>OR(AND(IF(Metadata!H325="",FALSE,TRUE),OR(exact(Metadata!H325,"not collected"),exact(Metadata!H325,"not provided"))),AND(IF(Metadata!H325="",FALSE,ISNUMBER(VALUE(Metadata!H325))),Metadata!H325&gt;0))</f>
        <v>0</v>
      </c>
      <c r="AJ325">
        <f>AND(IF(Metadata!I325="",FALSE,TRUE),exact(Metadata!I325,"years"))</f>
        <v>0</v>
      </c>
      <c r="AK325">
        <f>IF(Metadata!J325="",FALSE,TRUE)</f>
        <v>0</v>
      </c>
      <c r="AL325">
        <f>OR(AND(IF(Metadata!K325="",FALSE,TRUE),OR(exact(Metadata!K325,"not collected"),exact(Metadata!K325,"not provided"))),AND(IF(Metadata!K325="",FALSE,ISNUMBER(VALUE(Metadata!K325))),Metadata!K325&gt;0))</f>
        <v>0</v>
      </c>
      <c r="AM325">
        <f>AND(IF(Metadata!L325="",FALSE,TRUE),exact(Metadata!L325,"cm"))</f>
        <v>0</v>
      </c>
      <c r="AN325">
        <f>IF(Metadata!M325="",FALSE,TRUE)</f>
        <v>0</v>
      </c>
      <c r="AO325">
        <f>OR(AND(IF(Metadata!N325="",FALSE,TRUE),OR(exact(Metadata!N325,"not applicable"),exact(Metadata!N325,"not collected"),exact(Metadata!N325,"not provided"))),AND(IF(Metadata!N325="",FALSE,IF(ISERROR(INT(Metadata!N325)),FALSE,INT(Metadata!N325)=Metadata!N325)),Metadata!N325&gt;0))</f>
        <v>0</v>
      </c>
      <c r="AP325">
        <f>OR(AND(IF(Metadata!O325="",FALSE,TRUE),OR(exact(Metadata!O325,"not collected"),exact(Metadata!O325,"not provided"))),AND(IF(Metadata!O325="",FALSE,ISNUMBER(VALUE(Metadata!O325))),Metadata!O325&gt;0))</f>
        <v>0</v>
      </c>
      <c r="AQ325">
        <f>AND(IF(Metadata!P325="",FALSE,TRUE),exact(Metadata!P325,"kg"))</f>
        <v>0</v>
      </c>
      <c r="AR325">
        <f>OR(AND(IF(Metadata!Q325="",FALSE,TRUE),OR(exact(Metadata!Q325,"not applicable"),exact(Metadata!Q325,"not collected"),exact(Metadata!Q325,"not provided"),exact(Metadata!Q325,"restricted access"))),IF(Metadata!Q325="",FALSE,IF(ISERROR(INT(Metadata!Q325)),FALSE,INT(Metadata!Q325)=Metadata!Q325)))</f>
        <v>0</v>
      </c>
      <c r="AS325">
        <f>AND(IF(Metadata!R325="",FALSE,TRUE),exact(Metadata!R325,"Not applicable"))</f>
        <v>0</v>
      </c>
    </row>
    <row r="326" spans="1:45">
      <c r="A326" s="4">
        <f>IF(B326=" "," ",HYPERLINK(CONCATENATE("#metadata!",ADDRESS(INDEX($X$2:$X$1001,MATCH(ROWS($V$2:V326),$V$2:$V$1001,0),0),2)),INDEX($AA$2:$AA$1001,MATCH(ROWS($V$2:V326),$V$2:$V$1001,0),0)))</f>
        <v>0</v>
      </c>
      <c r="B326" s="5">
        <f>IF(OR(INDEX($W$2:$W$1001,MATCH(ROWS($V$2:V326),$V$2:$V$1001,0),1)&gt;=100000,INDEX($AC$1005:$AS$1005,1,MATCH(COLUMNS($AC$1006:AC1006),$AC$1006:$AS$1006,0))&gt;=100000), " ",IF(INDEX($AC$2:$AS$1001,MATCH(ROWS($V$2:V326),$V$2:$V$1001,0),MATCH(COLUMNS($AC$1006:AC1006),$AC$1006:$AS$1006,0)), HYPERLINK("#",""), HYPERLINK(CONCATENATE("#Metadata!", ADDRESS(INDEX($X$2:$X$1001,MATCH(ROWS($V$2:V326),$V$2:$V$1001,0),0), INDEX($AC$1004:$AS$1004,1,MATCH(COLUMNS($AC$1006:AC1006),$AC$1006:$AS$1006,0)))),"Fix")))</f>
        <v>0</v>
      </c>
      <c r="C326" s="5">
        <f>IF(OR(INDEX($W$2:$W$1001,MATCH(ROWS($V$2:V326),$V$2:$V$1001,0),1)&gt;=100000,INDEX($AC$1005:$AS$1005,1,MATCH(COLUMNS($AC$1006:AD1006),$AC$1006:$AS$1006,0))&gt;=100000), " ",IF(INDEX($AC$2:$AS$1001,MATCH(ROWS($V$2:V326),$V$2:$V$1001,0),MATCH(COLUMNS($AC$1006:AD1006),$AC$1006:$AS$1006,0)), HYPERLINK("#",""), HYPERLINK(CONCATENATE("#Metadata!", ADDRESS(INDEX($X$2:$X$1001,MATCH(ROWS($V$2:V326),$V$2:$V$1001,0),0), INDEX($AC$1004:$AS$1004,1,MATCH(COLUMNS($AC$1006:AD1006),$AC$1006:$AS$1006,0)))),"Fix")))</f>
        <v>0</v>
      </c>
      <c r="D326" s="5">
        <f>IF(OR(INDEX($W$2:$W$1001,MATCH(ROWS($V$2:V326),$V$2:$V$1001,0),1)&gt;=100000,INDEX($AC$1005:$AS$1005,1,MATCH(COLUMNS($AC$1006:AE1006),$AC$1006:$AS$1006,0))&gt;=100000), " ",IF(INDEX($AC$2:$AS$1001,MATCH(ROWS($V$2:V326),$V$2:$V$1001,0),MATCH(COLUMNS($AC$1006:AE1006),$AC$1006:$AS$1006,0)), HYPERLINK("#",""), HYPERLINK(CONCATENATE("#Metadata!", ADDRESS(INDEX($X$2:$X$1001,MATCH(ROWS($V$2:V326),$V$2:$V$1001,0),0), INDEX($AC$1004:$AS$1004,1,MATCH(COLUMNS($AC$1006:AE1006),$AC$1006:$AS$1006,0)))),"Fix")))</f>
        <v>0</v>
      </c>
      <c r="E326" s="5">
        <f>IF(OR(INDEX($W$2:$W$1001,MATCH(ROWS($V$2:V326),$V$2:$V$1001,0),1)&gt;=100000,INDEX($AC$1005:$AS$1005,1,MATCH(COLUMNS($AC$1006:AF1006),$AC$1006:$AS$1006,0))&gt;=100000), " ",IF(INDEX($AC$2:$AS$1001,MATCH(ROWS($V$2:V326),$V$2:$V$1001,0),MATCH(COLUMNS($AC$1006:AF1006),$AC$1006:$AS$1006,0)), HYPERLINK("#",""), HYPERLINK(CONCATENATE("#Metadata!", ADDRESS(INDEX($X$2:$X$1001,MATCH(ROWS($V$2:V326),$V$2:$V$1001,0),0), INDEX($AC$1004:$AS$1004,1,MATCH(COLUMNS($AC$1006:AF1006),$AC$1006:$AS$1006,0)))),"Fix")))</f>
        <v>0</v>
      </c>
      <c r="F326" s="5">
        <f>IF(OR(INDEX($W$2:$W$1001,MATCH(ROWS($V$2:V326),$V$2:$V$1001,0),1)&gt;=100000,INDEX($AC$1005:$AS$1005,1,MATCH(COLUMNS($AC$1006:AG1006),$AC$1006:$AS$1006,0))&gt;=100000), " ",IF(INDEX($AC$2:$AS$1001,MATCH(ROWS($V$2:V326),$V$2:$V$1001,0),MATCH(COLUMNS($AC$1006:AG1006),$AC$1006:$AS$1006,0)), HYPERLINK("#",""), HYPERLINK(CONCATENATE("#Metadata!", ADDRESS(INDEX($X$2:$X$1001,MATCH(ROWS($V$2:V326),$V$2:$V$1001,0),0), INDEX($AC$1004:$AS$1004,1,MATCH(COLUMNS($AC$1006:AG1006),$AC$1006:$AS$1006,0)))),"Fix")))</f>
        <v>0</v>
      </c>
      <c r="G326" s="5">
        <f>IF(OR(INDEX($W$2:$W$1001,MATCH(ROWS($V$2:V326),$V$2:$V$1001,0),1)&gt;=100000,INDEX($AC$1005:$AS$1005,1,MATCH(COLUMNS($AC$1006:AH1006),$AC$1006:$AS$1006,0))&gt;=100000), " ",IF(INDEX($AC$2:$AS$1001,MATCH(ROWS($V$2:V326),$V$2:$V$1001,0),MATCH(COLUMNS($AC$1006:AH1006),$AC$1006:$AS$1006,0)), HYPERLINK("#",""), HYPERLINK(CONCATENATE("#Metadata!", ADDRESS(INDEX($X$2:$X$1001,MATCH(ROWS($V$2:V326),$V$2:$V$1001,0),0), INDEX($AC$1004:$AS$1004,1,MATCH(COLUMNS($AC$1006:AH1006),$AC$1006:$AS$1006,0)))),"Fix")))</f>
        <v>0</v>
      </c>
      <c r="H326" s="5">
        <f>IF(OR(INDEX($W$2:$W$1001,MATCH(ROWS($V$2:V326),$V$2:$V$1001,0),1)&gt;=100000,INDEX($AC$1005:$AS$1005,1,MATCH(COLUMNS($AC$1006:AI1006),$AC$1006:$AS$1006,0))&gt;=100000), " ",IF(INDEX($AC$2:$AS$1001,MATCH(ROWS($V$2:V326),$V$2:$V$1001,0),MATCH(COLUMNS($AC$1006:AI1006),$AC$1006:$AS$1006,0)), HYPERLINK("#",""), HYPERLINK(CONCATENATE("#Metadata!", ADDRESS(INDEX($X$2:$X$1001,MATCH(ROWS($V$2:V326),$V$2:$V$1001,0),0), INDEX($AC$1004:$AS$1004,1,MATCH(COLUMNS($AC$1006:AI1006),$AC$1006:$AS$1006,0)))),"Fix")))</f>
        <v>0</v>
      </c>
      <c r="I326" s="5">
        <f>IF(OR(INDEX($W$2:$W$1001,MATCH(ROWS($V$2:V326),$V$2:$V$1001,0),1)&gt;=100000,INDEX($AC$1005:$AS$1005,1,MATCH(COLUMNS($AC$1006:AJ1006),$AC$1006:$AS$1006,0))&gt;=100000), " ",IF(INDEX($AC$2:$AS$1001,MATCH(ROWS($V$2:V326),$V$2:$V$1001,0),MATCH(COLUMNS($AC$1006:AJ1006),$AC$1006:$AS$1006,0)), HYPERLINK("#",""), HYPERLINK(CONCATENATE("#Metadata!", ADDRESS(INDEX($X$2:$X$1001,MATCH(ROWS($V$2:V326),$V$2:$V$1001,0),0), INDEX($AC$1004:$AS$1004,1,MATCH(COLUMNS($AC$1006:AJ1006),$AC$1006:$AS$1006,0)))),"Fix")))</f>
        <v>0</v>
      </c>
      <c r="J326" s="5">
        <f>IF(OR(INDEX($W$2:$W$1001,MATCH(ROWS($V$2:V326),$V$2:$V$1001,0),1)&gt;=100000,INDEX($AC$1005:$AS$1005,1,MATCH(COLUMNS($AC$1006:AK1006),$AC$1006:$AS$1006,0))&gt;=100000), " ",IF(INDEX($AC$2:$AS$1001,MATCH(ROWS($V$2:V326),$V$2:$V$1001,0),MATCH(COLUMNS($AC$1006:AK1006),$AC$1006:$AS$1006,0)), HYPERLINK("#",""), HYPERLINK(CONCATENATE("#Metadata!", ADDRESS(INDEX($X$2:$X$1001,MATCH(ROWS($V$2:V326),$V$2:$V$1001,0),0), INDEX($AC$1004:$AS$1004,1,MATCH(COLUMNS($AC$1006:AK1006),$AC$1006:$AS$1006,0)))),"Fix")))</f>
        <v>0</v>
      </c>
      <c r="K326" s="5">
        <f>IF(OR(INDEX($W$2:$W$1001,MATCH(ROWS($V$2:V326),$V$2:$V$1001,0),1)&gt;=100000,INDEX($AC$1005:$AS$1005,1,MATCH(COLUMNS($AC$1006:AL1006),$AC$1006:$AS$1006,0))&gt;=100000), " ",IF(INDEX($AC$2:$AS$1001,MATCH(ROWS($V$2:V326),$V$2:$V$1001,0),MATCH(COLUMNS($AC$1006:AL1006),$AC$1006:$AS$1006,0)), HYPERLINK("#",""), HYPERLINK(CONCATENATE("#Metadata!", ADDRESS(INDEX($X$2:$X$1001,MATCH(ROWS($V$2:V326),$V$2:$V$1001,0),0), INDEX($AC$1004:$AS$1004,1,MATCH(COLUMNS($AC$1006:AL1006),$AC$1006:$AS$1006,0)))),"Fix")))</f>
        <v>0</v>
      </c>
      <c r="L326" s="5">
        <f>IF(OR(INDEX($W$2:$W$1001,MATCH(ROWS($V$2:V326),$V$2:$V$1001,0),1)&gt;=100000,INDEX($AC$1005:$AS$1005,1,MATCH(COLUMNS($AC$1006:AM1006),$AC$1006:$AS$1006,0))&gt;=100000), " ",IF(INDEX($AC$2:$AS$1001,MATCH(ROWS($V$2:V326),$V$2:$V$1001,0),MATCH(COLUMNS($AC$1006:AM1006),$AC$1006:$AS$1006,0)), HYPERLINK("#",""), HYPERLINK(CONCATENATE("#Metadata!", ADDRESS(INDEX($X$2:$X$1001,MATCH(ROWS($V$2:V326),$V$2:$V$1001,0),0), INDEX($AC$1004:$AS$1004,1,MATCH(COLUMNS($AC$1006:AM1006),$AC$1006:$AS$1006,0)))),"Fix")))</f>
        <v>0</v>
      </c>
      <c r="M326" s="5">
        <f>IF(OR(INDEX($W$2:$W$1001,MATCH(ROWS($V$2:V326),$V$2:$V$1001,0),1)&gt;=100000,INDEX($AC$1005:$AS$1005,1,MATCH(COLUMNS($AC$1006:AN1006),$AC$1006:$AS$1006,0))&gt;=100000), " ",IF(INDEX($AC$2:$AS$1001,MATCH(ROWS($V$2:V326),$V$2:$V$1001,0),MATCH(COLUMNS($AC$1006:AN1006),$AC$1006:$AS$1006,0)), HYPERLINK("#",""), HYPERLINK(CONCATENATE("#Metadata!", ADDRESS(INDEX($X$2:$X$1001,MATCH(ROWS($V$2:V326),$V$2:$V$1001,0),0), INDEX($AC$1004:$AS$1004,1,MATCH(COLUMNS($AC$1006:AN1006),$AC$1006:$AS$1006,0)))),"Fix")))</f>
        <v>0</v>
      </c>
      <c r="N326" s="5">
        <f>IF(OR(INDEX($W$2:$W$1001,MATCH(ROWS($V$2:V326),$V$2:$V$1001,0),1)&gt;=100000,INDEX($AC$1005:$AS$1005,1,MATCH(COLUMNS($AC$1006:AO1006),$AC$1006:$AS$1006,0))&gt;=100000), " ",IF(INDEX($AC$2:$AS$1001,MATCH(ROWS($V$2:V326),$V$2:$V$1001,0),MATCH(COLUMNS($AC$1006:AO1006),$AC$1006:$AS$1006,0)), HYPERLINK("#",""), HYPERLINK(CONCATENATE("#Metadata!", ADDRESS(INDEX($X$2:$X$1001,MATCH(ROWS($V$2:V326),$V$2:$V$1001,0),0), INDEX($AC$1004:$AS$1004,1,MATCH(COLUMNS($AC$1006:AO1006),$AC$1006:$AS$1006,0)))),"Fix")))</f>
        <v>0</v>
      </c>
      <c r="O326" s="5">
        <f>IF(OR(INDEX($W$2:$W$1001,MATCH(ROWS($V$2:V326),$V$2:$V$1001,0),1)&gt;=100000,INDEX($AC$1005:$AS$1005,1,MATCH(COLUMNS($AC$1006:AP1006),$AC$1006:$AS$1006,0))&gt;=100000), " ",IF(INDEX($AC$2:$AS$1001,MATCH(ROWS($V$2:V326),$V$2:$V$1001,0),MATCH(COLUMNS($AC$1006:AP1006),$AC$1006:$AS$1006,0)), HYPERLINK("#",""), HYPERLINK(CONCATENATE("#Metadata!", ADDRESS(INDEX($X$2:$X$1001,MATCH(ROWS($V$2:V326),$V$2:$V$1001,0),0), INDEX($AC$1004:$AS$1004,1,MATCH(COLUMNS($AC$1006:AP1006),$AC$1006:$AS$1006,0)))),"Fix")))</f>
        <v>0</v>
      </c>
      <c r="P326" s="5">
        <f>IF(OR(INDEX($W$2:$W$1001,MATCH(ROWS($V$2:V326),$V$2:$V$1001,0),1)&gt;=100000,INDEX($AC$1005:$AS$1005,1,MATCH(COLUMNS($AC$1006:AQ1006),$AC$1006:$AS$1006,0))&gt;=100000), " ",IF(INDEX($AC$2:$AS$1001,MATCH(ROWS($V$2:V326),$V$2:$V$1001,0),MATCH(COLUMNS($AC$1006:AQ1006),$AC$1006:$AS$1006,0)), HYPERLINK("#",""), HYPERLINK(CONCATENATE("#Metadata!", ADDRESS(INDEX($X$2:$X$1001,MATCH(ROWS($V$2:V326),$V$2:$V$1001,0),0), INDEX($AC$1004:$AS$1004,1,MATCH(COLUMNS($AC$1006:AQ1006),$AC$1006:$AS$1006,0)))),"Fix")))</f>
        <v>0</v>
      </c>
      <c r="Q326" s="5">
        <f>IF(OR(INDEX($W$2:$W$1001,MATCH(ROWS($V$2:V326),$V$2:$V$1001,0),1)&gt;=100000,INDEX($AC$1005:$AS$1005,1,MATCH(COLUMNS($AC$1006:AR1006),$AC$1006:$AS$1006,0))&gt;=100000), " ",IF(INDEX($AC$2:$AS$1001,MATCH(ROWS($V$2:V326),$V$2:$V$1001,0),MATCH(COLUMNS($AC$1006:AR1006),$AC$1006:$AS$1006,0)), HYPERLINK("#",""), HYPERLINK(CONCATENATE("#Metadata!", ADDRESS(INDEX($X$2:$X$1001,MATCH(ROWS($V$2:V326),$V$2:$V$1001,0),0), INDEX($AC$1004:$AS$1004,1,MATCH(COLUMNS($AC$1006:AR1006),$AC$1006:$AS$1006,0)))),"Fix")))</f>
        <v>0</v>
      </c>
      <c r="R326" s="5">
        <f>IF(OR(INDEX($W$2:$W$1001,MATCH(ROWS($V$2:V326),$V$2:$V$1001,0),1)&gt;=100000,INDEX($AC$1005:$AS$1005,1,MATCH(COLUMNS($AC$1006:AS1006),$AC$1006:$AS$1006,0))&gt;=100000), " ",IF(INDEX($AC$2:$AS$1001,MATCH(ROWS($V$2:V326),$V$2:$V$1001,0),MATCH(COLUMNS($AC$1006:AS1006),$AC$1006:$AS$1006,0)), HYPERLINK("#",""), HYPERLINK(CONCATENATE("#Metadata!", ADDRESS(INDEX($X$2:$X$1001,MATCH(ROWS($V$2:V326),$V$2:$V$1001,0),0), INDEX($AC$1004:$AS$1004,1,MATCH(COLUMNS($AC$1006:AS1006),$AC$1006:$AS$1006,0)))),"Fix")))</f>
        <v>0</v>
      </c>
      <c r="V326">
        <v>0</v>
      </c>
      <c r="W326">
        <v>0</v>
      </c>
      <c r="X326">
        <v>0</v>
      </c>
      <c r="Y326">
        <f>IF(Z326,TRUE,AND(AC326:AS326))</f>
        <v>0</v>
      </c>
      <c r="Z326">
        <f>COUNTBLANK(Metadata!B326:R326)=COLUMNS(Metadata!B326:R326)</f>
        <v>0</v>
      </c>
      <c r="AA326">
        <v>0</v>
      </c>
      <c r="AC326">
        <f>AND(IF(Metadata!B326="",FALSE,TRUE),COUNTIF(Metadata!B:B, Metadata!B326) = 1,NOT(ISERROR(SUMPRODUCT(SEARCH(MID(Metadata!B326,ROW(INDIRECT("1:"&amp;LEN(Metadata!B326))), 1),"0123456789abcdefghijklmnopqrstuvwxyzABCDEFGHIJKLMNOPQRSTUVWXYZ.")))))</f>
        <v>0</v>
      </c>
      <c r="AD326">
        <f>AND(IF(Metadata!C326="",FALSE,TRUE),exact(Metadata!C326,"Host-associated"))</f>
        <v>0</v>
      </c>
      <c r="AE326">
        <f>AND(IF(Metadata!D326="",FALSE,TRUE),OR(exact(Metadata!D326,"Animal"),exact(Metadata!D326,"Fungus"),exact(Metadata!D326,"Plant")))</f>
        <v>0</v>
      </c>
      <c r="AF326">
        <f>AND(IF(Metadata!E326="",FALSE,TRUE),OR(exact(Metadata!E326,"Plant secretion"),exact(Metadata!E326,"Plant rhizosphere"),exact(Metadata!E326,"Plant surface"),exact(Metadata!E326,"Plant corpus"),exact(Metadata!E326,"Fungus surface"),exact(Metadata!E326,"Fungus corpus"),exact(Metadata!E326,"Animal surface"),exact(Metadata!E326,"Animal proximal gut"),exact(Metadata!E326,"Animal corpus"),exact(Metadata!E326,"Animal distal gut"),exact(Metadata!E326,"Animal secretion")))</f>
        <v>0</v>
      </c>
      <c r="AG326">
        <f>OR(AND(IF(Metadata!F326="",FALSE,TRUE),OR(exact(Metadata!F326,"not collected"),exact(Metadata!F326,"not provided"),exact(Metadata!F326,"restricted access"))),AND(IF(Metadata!F326="",FALSE,TRUE),OR(exact(Metadata!F326,"organism-associated habitat"),exact(Metadata!F326,"plant-associated habitat"),exact(Metadata!F326,"animal-associated habitat"),exact(Metadata!F326,"insecta-associated habitat"),exact(Metadata!F326,"mammalia-associated habitat"),exact(Metadata!F326,"human-associated habitat"),exact(Metadata!F326,"livestock-associated habitat"))))</f>
        <v>0</v>
      </c>
      <c r="AH326">
        <f>AND(IF(Metadata!G326="",FALSE,TRUE),exact(Metadata!G326,"host-associated"))</f>
        <v>0</v>
      </c>
      <c r="AI326">
        <f>OR(AND(IF(Metadata!H326="",FALSE,TRUE),OR(exact(Metadata!H326,"not collected"),exact(Metadata!H326,"not provided"))),AND(IF(Metadata!H326="",FALSE,ISNUMBER(VALUE(Metadata!H326))),Metadata!H326&gt;0))</f>
        <v>0</v>
      </c>
      <c r="AJ326">
        <f>AND(IF(Metadata!I326="",FALSE,TRUE),exact(Metadata!I326,"years"))</f>
        <v>0</v>
      </c>
      <c r="AK326">
        <f>IF(Metadata!J326="",FALSE,TRUE)</f>
        <v>0</v>
      </c>
      <c r="AL326">
        <f>OR(AND(IF(Metadata!K326="",FALSE,TRUE),OR(exact(Metadata!K326,"not collected"),exact(Metadata!K326,"not provided"))),AND(IF(Metadata!K326="",FALSE,ISNUMBER(VALUE(Metadata!K326))),Metadata!K326&gt;0))</f>
        <v>0</v>
      </c>
      <c r="AM326">
        <f>AND(IF(Metadata!L326="",FALSE,TRUE),exact(Metadata!L326,"cm"))</f>
        <v>0</v>
      </c>
      <c r="AN326">
        <f>IF(Metadata!M326="",FALSE,TRUE)</f>
        <v>0</v>
      </c>
      <c r="AO326">
        <f>OR(AND(IF(Metadata!N326="",FALSE,TRUE),OR(exact(Metadata!N326,"not applicable"),exact(Metadata!N326,"not collected"),exact(Metadata!N326,"not provided"))),AND(IF(Metadata!N326="",FALSE,IF(ISERROR(INT(Metadata!N326)),FALSE,INT(Metadata!N326)=Metadata!N326)),Metadata!N326&gt;0))</f>
        <v>0</v>
      </c>
      <c r="AP326">
        <f>OR(AND(IF(Metadata!O326="",FALSE,TRUE),OR(exact(Metadata!O326,"not collected"),exact(Metadata!O326,"not provided"))),AND(IF(Metadata!O326="",FALSE,ISNUMBER(VALUE(Metadata!O326))),Metadata!O326&gt;0))</f>
        <v>0</v>
      </c>
      <c r="AQ326">
        <f>AND(IF(Metadata!P326="",FALSE,TRUE),exact(Metadata!P326,"kg"))</f>
        <v>0</v>
      </c>
      <c r="AR326">
        <f>OR(AND(IF(Metadata!Q326="",FALSE,TRUE),OR(exact(Metadata!Q326,"not applicable"),exact(Metadata!Q326,"not collected"),exact(Metadata!Q326,"not provided"),exact(Metadata!Q326,"restricted access"))),IF(Metadata!Q326="",FALSE,IF(ISERROR(INT(Metadata!Q326)),FALSE,INT(Metadata!Q326)=Metadata!Q326)))</f>
        <v>0</v>
      </c>
      <c r="AS326">
        <f>AND(IF(Metadata!R326="",FALSE,TRUE),exact(Metadata!R326,"Not applicable"))</f>
        <v>0</v>
      </c>
    </row>
    <row r="327" spans="1:45">
      <c r="A327" s="4">
        <f>IF(B327=" "," ",HYPERLINK(CONCATENATE("#metadata!",ADDRESS(INDEX($X$2:$X$1001,MATCH(ROWS($V$2:V327),$V$2:$V$1001,0),0),2)),INDEX($AA$2:$AA$1001,MATCH(ROWS($V$2:V327),$V$2:$V$1001,0),0)))</f>
        <v>0</v>
      </c>
      <c r="B327" s="5">
        <f>IF(OR(INDEX($W$2:$W$1001,MATCH(ROWS($V$2:V327),$V$2:$V$1001,0),1)&gt;=100000,INDEX($AC$1005:$AS$1005,1,MATCH(COLUMNS($AC$1006:AC1006),$AC$1006:$AS$1006,0))&gt;=100000), " ",IF(INDEX($AC$2:$AS$1001,MATCH(ROWS($V$2:V327),$V$2:$V$1001,0),MATCH(COLUMNS($AC$1006:AC1006),$AC$1006:$AS$1006,0)), HYPERLINK("#",""), HYPERLINK(CONCATENATE("#Metadata!", ADDRESS(INDEX($X$2:$X$1001,MATCH(ROWS($V$2:V327),$V$2:$V$1001,0),0), INDEX($AC$1004:$AS$1004,1,MATCH(COLUMNS($AC$1006:AC1006),$AC$1006:$AS$1006,0)))),"Fix")))</f>
        <v>0</v>
      </c>
      <c r="C327" s="5">
        <f>IF(OR(INDEX($W$2:$W$1001,MATCH(ROWS($V$2:V327),$V$2:$V$1001,0),1)&gt;=100000,INDEX($AC$1005:$AS$1005,1,MATCH(COLUMNS($AC$1006:AD1006),$AC$1006:$AS$1006,0))&gt;=100000), " ",IF(INDEX($AC$2:$AS$1001,MATCH(ROWS($V$2:V327),$V$2:$V$1001,0),MATCH(COLUMNS($AC$1006:AD1006),$AC$1006:$AS$1006,0)), HYPERLINK("#",""), HYPERLINK(CONCATENATE("#Metadata!", ADDRESS(INDEX($X$2:$X$1001,MATCH(ROWS($V$2:V327),$V$2:$V$1001,0),0), INDEX($AC$1004:$AS$1004,1,MATCH(COLUMNS($AC$1006:AD1006),$AC$1006:$AS$1006,0)))),"Fix")))</f>
        <v>0</v>
      </c>
      <c r="D327" s="5">
        <f>IF(OR(INDEX($W$2:$W$1001,MATCH(ROWS($V$2:V327),$V$2:$V$1001,0),1)&gt;=100000,INDEX($AC$1005:$AS$1005,1,MATCH(COLUMNS($AC$1006:AE1006),$AC$1006:$AS$1006,0))&gt;=100000), " ",IF(INDEX($AC$2:$AS$1001,MATCH(ROWS($V$2:V327),$V$2:$V$1001,0),MATCH(COLUMNS($AC$1006:AE1006),$AC$1006:$AS$1006,0)), HYPERLINK("#",""), HYPERLINK(CONCATENATE("#Metadata!", ADDRESS(INDEX($X$2:$X$1001,MATCH(ROWS($V$2:V327),$V$2:$V$1001,0),0), INDEX($AC$1004:$AS$1004,1,MATCH(COLUMNS($AC$1006:AE1006),$AC$1006:$AS$1006,0)))),"Fix")))</f>
        <v>0</v>
      </c>
      <c r="E327" s="5">
        <f>IF(OR(INDEX($W$2:$W$1001,MATCH(ROWS($V$2:V327),$V$2:$V$1001,0),1)&gt;=100000,INDEX($AC$1005:$AS$1005,1,MATCH(COLUMNS($AC$1006:AF1006),$AC$1006:$AS$1006,0))&gt;=100000), " ",IF(INDEX($AC$2:$AS$1001,MATCH(ROWS($V$2:V327),$V$2:$V$1001,0),MATCH(COLUMNS($AC$1006:AF1006),$AC$1006:$AS$1006,0)), HYPERLINK("#",""), HYPERLINK(CONCATENATE("#Metadata!", ADDRESS(INDEX($X$2:$X$1001,MATCH(ROWS($V$2:V327),$V$2:$V$1001,0),0), INDEX($AC$1004:$AS$1004,1,MATCH(COLUMNS($AC$1006:AF1006),$AC$1006:$AS$1006,0)))),"Fix")))</f>
        <v>0</v>
      </c>
      <c r="F327" s="5">
        <f>IF(OR(INDEX($W$2:$W$1001,MATCH(ROWS($V$2:V327),$V$2:$V$1001,0),1)&gt;=100000,INDEX($AC$1005:$AS$1005,1,MATCH(COLUMNS($AC$1006:AG1006),$AC$1006:$AS$1006,0))&gt;=100000), " ",IF(INDEX($AC$2:$AS$1001,MATCH(ROWS($V$2:V327),$V$2:$V$1001,0),MATCH(COLUMNS($AC$1006:AG1006),$AC$1006:$AS$1006,0)), HYPERLINK("#",""), HYPERLINK(CONCATENATE("#Metadata!", ADDRESS(INDEX($X$2:$X$1001,MATCH(ROWS($V$2:V327),$V$2:$V$1001,0),0), INDEX($AC$1004:$AS$1004,1,MATCH(COLUMNS($AC$1006:AG1006),$AC$1006:$AS$1006,0)))),"Fix")))</f>
        <v>0</v>
      </c>
      <c r="G327" s="5">
        <f>IF(OR(INDEX($W$2:$W$1001,MATCH(ROWS($V$2:V327),$V$2:$V$1001,0),1)&gt;=100000,INDEX($AC$1005:$AS$1005,1,MATCH(COLUMNS($AC$1006:AH1006),$AC$1006:$AS$1006,0))&gt;=100000), " ",IF(INDEX($AC$2:$AS$1001,MATCH(ROWS($V$2:V327),$V$2:$V$1001,0),MATCH(COLUMNS($AC$1006:AH1006),$AC$1006:$AS$1006,0)), HYPERLINK("#",""), HYPERLINK(CONCATENATE("#Metadata!", ADDRESS(INDEX($X$2:$X$1001,MATCH(ROWS($V$2:V327),$V$2:$V$1001,0),0), INDEX($AC$1004:$AS$1004,1,MATCH(COLUMNS($AC$1006:AH1006),$AC$1006:$AS$1006,0)))),"Fix")))</f>
        <v>0</v>
      </c>
      <c r="H327" s="5">
        <f>IF(OR(INDEX($W$2:$W$1001,MATCH(ROWS($V$2:V327),$V$2:$V$1001,0),1)&gt;=100000,INDEX($AC$1005:$AS$1005,1,MATCH(COLUMNS($AC$1006:AI1006),$AC$1006:$AS$1006,0))&gt;=100000), " ",IF(INDEX($AC$2:$AS$1001,MATCH(ROWS($V$2:V327),$V$2:$V$1001,0),MATCH(COLUMNS($AC$1006:AI1006),$AC$1006:$AS$1006,0)), HYPERLINK("#",""), HYPERLINK(CONCATENATE("#Metadata!", ADDRESS(INDEX($X$2:$X$1001,MATCH(ROWS($V$2:V327),$V$2:$V$1001,0),0), INDEX($AC$1004:$AS$1004,1,MATCH(COLUMNS($AC$1006:AI1006),$AC$1006:$AS$1006,0)))),"Fix")))</f>
        <v>0</v>
      </c>
      <c r="I327" s="5">
        <f>IF(OR(INDEX($W$2:$W$1001,MATCH(ROWS($V$2:V327),$V$2:$V$1001,0),1)&gt;=100000,INDEX($AC$1005:$AS$1005,1,MATCH(COLUMNS($AC$1006:AJ1006),$AC$1006:$AS$1006,0))&gt;=100000), " ",IF(INDEX($AC$2:$AS$1001,MATCH(ROWS($V$2:V327),$V$2:$V$1001,0),MATCH(COLUMNS($AC$1006:AJ1006),$AC$1006:$AS$1006,0)), HYPERLINK("#",""), HYPERLINK(CONCATENATE("#Metadata!", ADDRESS(INDEX($X$2:$X$1001,MATCH(ROWS($V$2:V327),$V$2:$V$1001,0),0), INDEX($AC$1004:$AS$1004,1,MATCH(COLUMNS($AC$1006:AJ1006),$AC$1006:$AS$1006,0)))),"Fix")))</f>
        <v>0</v>
      </c>
      <c r="J327" s="5">
        <f>IF(OR(INDEX($W$2:$W$1001,MATCH(ROWS($V$2:V327),$V$2:$V$1001,0),1)&gt;=100000,INDEX($AC$1005:$AS$1005,1,MATCH(COLUMNS($AC$1006:AK1006),$AC$1006:$AS$1006,0))&gt;=100000), " ",IF(INDEX($AC$2:$AS$1001,MATCH(ROWS($V$2:V327),$V$2:$V$1001,0),MATCH(COLUMNS($AC$1006:AK1006),$AC$1006:$AS$1006,0)), HYPERLINK("#",""), HYPERLINK(CONCATENATE("#Metadata!", ADDRESS(INDEX($X$2:$X$1001,MATCH(ROWS($V$2:V327),$V$2:$V$1001,0),0), INDEX($AC$1004:$AS$1004,1,MATCH(COLUMNS($AC$1006:AK1006),$AC$1006:$AS$1006,0)))),"Fix")))</f>
        <v>0</v>
      </c>
      <c r="K327" s="5">
        <f>IF(OR(INDEX($W$2:$W$1001,MATCH(ROWS($V$2:V327),$V$2:$V$1001,0),1)&gt;=100000,INDEX($AC$1005:$AS$1005,1,MATCH(COLUMNS($AC$1006:AL1006),$AC$1006:$AS$1006,0))&gt;=100000), " ",IF(INDEX($AC$2:$AS$1001,MATCH(ROWS($V$2:V327),$V$2:$V$1001,0),MATCH(COLUMNS($AC$1006:AL1006),$AC$1006:$AS$1006,0)), HYPERLINK("#",""), HYPERLINK(CONCATENATE("#Metadata!", ADDRESS(INDEX($X$2:$X$1001,MATCH(ROWS($V$2:V327),$V$2:$V$1001,0),0), INDEX($AC$1004:$AS$1004,1,MATCH(COLUMNS($AC$1006:AL1006),$AC$1006:$AS$1006,0)))),"Fix")))</f>
        <v>0</v>
      </c>
      <c r="L327" s="5">
        <f>IF(OR(INDEX($W$2:$W$1001,MATCH(ROWS($V$2:V327),$V$2:$V$1001,0),1)&gt;=100000,INDEX($AC$1005:$AS$1005,1,MATCH(COLUMNS($AC$1006:AM1006),$AC$1006:$AS$1006,0))&gt;=100000), " ",IF(INDEX($AC$2:$AS$1001,MATCH(ROWS($V$2:V327),$V$2:$V$1001,0),MATCH(COLUMNS($AC$1006:AM1006),$AC$1006:$AS$1006,0)), HYPERLINK("#",""), HYPERLINK(CONCATENATE("#Metadata!", ADDRESS(INDEX($X$2:$X$1001,MATCH(ROWS($V$2:V327),$V$2:$V$1001,0),0), INDEX($AC$1004:$AS$1004,1,MATCH(COLUMNS($AC$1006:AM1006),$AC$1006:$AS$1006,0)))),"Fix")))</f>
        <v>0</v>
      </c>
      <c r="M327" s="5">
        <f>IF(OR(INDEX($W$2:$W$1001,MATCH(ROWS($V$2:V327),$V$2:$V$1001,0),1)&gt;=100000,INDEX($AC$1005:$AS$1005,1,MATCH(COLUMNS($AC$1006:AN1006),$AC$1006:$AS$1006,0))&gt;=100000), " ",IF(INDEX($AC$2:$AS$1001,MATCH(ROWS($V$2:V327),$V$2:$V$1001,0),MATCH(COLUMNS($AC$1006:AN1006),$AC$1006:$AS$1006,0)), HYPERLINK("#",""), HYPERLINK(CONCATENATE("#Metadata!", ADDRESS(INDEX($X$2:$X$1001,MATCH(ROWS($V$2:V327),$V$2:$V$1001,0),0), INDEX($AC$1004:$AS$1004,1,MATCH(COLUMNS($AC$1006:AN1006),$AC$1006:$AS$1006,0)))),"Fix")))</f>
        <v>0</v>
      </c>
      <c r="N327" s="5">
        <f>IF(OR(INDEX($W$2:$W$1001,MATCH(ROWS($V$2:V327),$V$2:$V$1001,0),1)&gt;=100000,INDEX($AC$1005:$AS$1005,1,MATCH(COLUMNS($AC$1006:AO1006),$AC$1006:$AS$1006,0))&gt;=100000), " ",IF(INDEX($AC$2:$AS$1001,MATCH(ROWS($V$2:V327),$V$2:$V$1001,0),MATCH(COLUMNS($AC$1006:AO1006),$AC$1006:$AS$1006,0)), HYPERLINK("#",""), HYPERLINK(CONCATENATE("#Metadata!", ADDRESS(INDEX($X$2:$X$1001,MATCH(ROWS($V$2:V327),$V$2:$V$1001,0),0), INDEX($AC$1004:$AS$1004,1,MATCH(COLUMNS($AC$1006:AO1006),$AC$1006:$AS$1006,0)))),"Fix")))</f>
        <v>0</v>
      </c>
      <c r="O327" s="5">
        <f>IF(OR(INDEX($W$2:$W$1001,MATCH(ROWS($V$2:V327),$V$2:$V$1001,0),1)&gt;=100000,INDEX($AC$1005:$AS$1005,1,MATCH(COLUMNS($AC$1006:AP1006),$AC$1006:$AS$1006,0))&gt;=100000), " ",IF(INDEX($AC$2:$AS$1001,MATCH(ROWS($V$2:V327),$V$2:$V$1001,0),MATCH(COLUMNS($AC$1006:AP1006),$AC$1006:$AS$1006,0)), HYPERLINK("#",""), HYPERLINK(CONCATENATE("#Metadata!", ADDRESS(INDEX($X$2:$X$1001,MATCH(ROWS($V$2:V327),$V$2:$V$1001,0),0), INDEX($AC$1004:$AS$1004,1,MATCH(COLUMNS($AC$1006:AP1006),$AC$1006:$AS$1006,0)))),"Fix")))</f>
        <v>0</v>
      </c>
      <c r="P327" s="5">
        <f>IF(OR(INDEX($W$2:$W$1001,MATCH(ROWS($V$2:V327),$V$2:$V$1001,0),1)&gt;=100000,INDEX($AC$1005:$AS$1005,1,MATCH(COLUMNS($AC$1006:AQ1006),$AC$1006:$AS$1006,0))&gt;=100000), " ",IF(INDEX($AC$2:$AS$1001,MATCH(ROWS($V$2:V327),$V$2:$V$1001,0),MATCH(COLUMNS($AC$1006:AQ1006),$AC$1006:$AS$1006,0)), HYPERLINK("#",""), HYPERLINK(CONCATENATE("#Metadata!", ADDRESS(INDEX($X$2:$X$1001,MATCH(ROWS($V$2:V327),$V$2:$V$1001,0),0), INDEX($AC$1004:$AS$1004,1,MATCH(COLUMNS($AC$1006:AQ1006),$AC$1006:$AS$1006,0)))),"Fix")))</f>
        <v>0</v>
      </c>
      <c r="Q327" s="5">
        <f>IF(OR(INDEX($W$2:$W$1001,MATCH(ROWS($V$2:V327),$V$2:$V$1001,0),1)&gt;=100000,INDEX($AC$1005:$AS$1005,1,MATCH(COLUMNS($AC$1006:AR1006),$AC$1006:$AS$1006,0))&gt;=100000), " ",IF(INDEX($AC$2:$AS$1001,MATCH(ROWS($V$2:V327),$V$2:$V$1001,0),MATCH(COLUMNS($AC$1006:AR1006),$AC$1006:$AS$1006,0)), HYPERLINK("#",""), HYPERLINK(CONCATENATE("#Metadata!", ADDRESS(INDEX($X$2:$X$1001,MATCH(ROWS($V$2:V327),$V$2:$V$1001,0),0), INDEX($AC$1004:$AS$1004,1,MATCH(COLUMNS($AC$1006:AR1006),$AC$1006:$AS$1006,0)))),"Fix")))</f>
        <v>0</v>
      </c>
      <c r="R327" s="5">
        <f>IF(OR(INDEX($W$2:$W$1001,MATCH(ROWS($V$2:V327),$V$2:$V$1001,0),1)&gt;=100000,INDEX($AC$1005:$AS$1005,1,MATCH(COLUMNS($AC$1006:AS1006),$AC$1006:$AS$1006,0))&gt;=100000), " ",IF(INDEX($AC$2:$AS$1001,MATCH(ROWS($V$2:V327),$V$2:$V$1001,0),MATCH(COLUMNS($AC$1006:AS1006),$AC$1006:$AS$1006,0)), HYPERLINK("#",""), HYPERLINK(CONCATENATE("#Metadata!", ADDRESS(INDEX($X$2:$X$1001,MATCH(ROWS($V$2:V327),$V$2:$V$1001,0),0), INDEX($AC$1004:$AS$1004,1,MATCH(COLUMNS($AC$1006:AS1006),$AC$1006:$AS$1006,0)))),"Fix")))</f>
        <v>0</v>
      </c>
      <c r="V327">
        <v>0</v>
      </c>
      <c r="W327">
        <v>0</v>
      </c>
      <c r="X327">
        <v>0</v>
      </c>
      <c r="Y327">
        <f>IF(Z327,TRUE,AND(AC327:AS327))</f>
        <v>0</v>
      </c>
      <c r="Z327">
        <f>COUNTBLANK(Metadata!B327:R327)=COLUMNS(Metadata!B327:R327)</f>
        <v>0</v>
      </c>
      <c r="AA327">
        <v>0</v>
      </c>
      <c r="AC327">
        <f>AND(IF(Metadata!B327="",FALSE,TRUE),COUNTIF(Metadata!B:B, Metadata!B327) = 1,NOT(ISERROR(SUMPRODUCT(SEARCH(MID(Metadata!B327,ROW(INDIRECT("1:"&amp;LEN(Metadata!B327))), 1),"0123456789abcdefghijklmnopqrstuvwxyzABCDEFGHIJKLMNOPQRSTUVWXYZ.")))))</f>
        <v>0</v>
      </c>
      <c r="AD327">
        <f>AND(IF(Metadata!C327="",FALSE,TRUE),exact(Metadata!C327,"Host-associated"))</f>
        <v>0</v>
      </c>
      <c r="AE327">
        <f>AND(IF(Metadata!D327="",FALSE,TRUE),OR(exact(Metadata!D327,"Animal"),exact(Metadata!D327,"Fungus"),exact(Metadata!D327,"Plant")))</f>
        <v>0</v>
      </c>
      <c r="AF327">
        <f>AND(IF(Metadata!E327="",FALSE,TRUE),OR(exact(Metadata!E327,"Plant secretion"),exact(Metadata!E327,"Plant rhizosphere"),exact(Metadata!E327,"Plant surface"),exact(Metadata!E327,"Plant corpus"),exact(Metadata!E327,"Fungus surface"),exact(Metadata!E327,"Fungus corpus"),exact(Metadata!E327,"Animal surface"),exact(Metadata!E327,"Animal proximal gut"),exact(Metadata!E327,"Animal corpus"),exact(Metadata!E327,"Animal distal gut"),exact(Metadata!E327,"Animal secretion")))</f>
        <v>0</v>
      </c>
      <c r="AG327">
        <f>OR(AND(IF(Metadata!F327="",FALSE,TRUE),OR(exact(Metadata!F327,"not collected"),exact(Metadata!F327,"not provided"),exact(Metadata!F327,"restricted access"))),AND(IF(Metadata!F327="",FALSE,TRUE),OR(exact(Metadata!F327,"organism-associated habitat"),exact(Metadata!F327,"plant-associated habitat"),exact(Metadata!F327,"animal-associated habitat"),exact(Metadata!F327,"insecta-associated habitat"),exact(Metadata!F327,"mammalia-associated habitat"),exact(Metadata!F327,"human-associated habitat"),exact(Metadata!F327,"livestock-associated habitat"))))</f>
        <v>0</v>
      </c>
      <c r="AH327">
        <f>AND(IF(Metadata!G327="",FALSE,TRUE),exact(Metadata!G327,"host-associated"))</f>
        <v>0</v>
      </c>
      <c r="AI327">
        <f>OR(AND(IF(Metadata!H327="",FALSE,TRUE),OR(exact(Metadata!H327,"not collected"),exact(Metadata!H327,"not provided"))),AND(IF(Metadata!H327="",FALSE,ISNUMBER(VALUE(Metadata!H327))),Metadata!H327&gt;0))</f>
        <v>0</v>
      </c>
      <c r="AJ327">
        <f>AND(IF(Metadata!I327="",FALSE,TRUE),exact(Metadata!I327,"years"))</f>
        <v>0</v>
      </c>
      <c r="AK327">
        <f>IF(Metadata!J327="",FALSE,TRUE)</f>
        <v>0</v>
      </c>
      <c r="AL327">
        <f>OR(AND(IF(Metadata!K327="",FALSE,TRUE),OR(exact(Metadata!K327,"not collected"),exact(Metadata!K327,"not provided"))),AND(IF(Metadata!K327="",FALSE,ISNUMBER(VALUE(Metadata!K327))),Metadata!K327&gt;0))</f>
        <v>0</v>
      </c>
      <c r="AM327">
        <f>AND(IF(Metadata!L327="",FALSE,TRUE),exact(Metadata!L327,"cm"))</f>
        <v>0</v>
      </c>
      <c r="AN327">
        <f>IF(Metadata!M327="",FALSE,TRUE)</f>
        <v>0</v>
      </c>
      <c r="AO327">
        <f>OR(AND(IF(Metadata!N327="",FALSE,TRUE),OR(exact(Metadata!N327,"not applicable"),exact(Metadata!N327,"not collected"),exact(Metadata!N327,"not provided"))),AND(IF(Metadata!N327="",FALSE,IF(ISERROR(INT(Metadata!N327)),FALSE,INT(Metadata!N327)=Metadata!N327)),Metadata!N327&gt;0))</f>
        <v>0</v>
      </c>
      <c r="AP327">
        <f>OR(AND(IF(Metadata!O327="",FALSE,TRUE),OR(exact(Metadata!O327,"not collected"),exact(Metadata!O327,"not provided"))),AND(IF(Metadata!O327="",FALSE,ISNUMBER(VALUE(Metadata!O327))),Metadata!O327&gt;0))</f>
        <v>0</v>
      </c>
      <c r="AQ327">
        <f>AND(IF(Metadata!P327="",FALSE,TRUE),exact(Metadata!P327,"kg"))</f>
        <v>0</v>
      </c>
      <c r="AR327">
        <f>OR(AND(IF(Metadata!Q327="",FALSE,TRUE),OR(exact(Metadata!Q327,"not applicable"),exact(Metadata!Q327,"not collected"),exact(Metadata!Q327,"not provided"),exact(Metadata!Q327,"restricted access"))),IF(Metadata!Q327="",FALSE,IF(ISERROR(INT(Metadata!Q327)),FALSE,INT(Metadata!Q327)=Metadata!Q327)))</f>
        <v>0</v>
      </c>
      <c r="AS327">
        <f>AND(IF(Metadata!R327="",FALSE,TRUE),exact(Metadata!R327,"Not applicable"))</f>
        <v>0</v>
      </c>
    </row>
    <row r="328" spans="1:45">
      <c r="A328" s="4">
        <f>IF(B328=" "," ",HYPERLINK(CONCATENATE("#metadata!",ADDRESS(INDEX($X$2:$X$1001,MATCH(ROWS($V$2:V328),$V$2:$V$1001,0),0),2)),INDEX($AA$2:$AA$1001,MATCH(ROWS($V$2:V328),$V$2:$V$1001,0),0)))</f>
        <v>0</v>
      </c>
      <c r="B328" s="5">
        <f>IF(OR(INDEX($W$2:$W$1001,MATCH(ROWS($V$2:V328),$V$2:$V$1001,0),1)&gt;=100000,INDEX($AC$1005:$AS$1005,1,MATCH(COLUMNS($AC$1006:AC1006),$AC$1006:$AS$1006,0))&gt;=100000), " ",IF(INDEX($AC$2:$AS$1001,MATCH(ROWS($V$2:V328),$V$2:$V$1001,0),MATCH(COLUMNS($AC$1006:AC1006),$AC$1006:$AS$1006,0)), HYPERLINK("#",""), HYPERLINK(CONCATENATE("#Metadata!", ADDRESS(INDEX($X$2:$X$1001,MATCH(ROWS($V$2:V328),$V$2:$V$1001,0),0), INDEX($AC$1004:$AS$1004,1,MATCH(COLUMNS($AC$1006:AC1006),$AC$1006:$AS$1006,0)))),"Fix")))</f>
        <v>0</v>
      </c>
      <c r="C328" s="5">
        <f>IF(OR(INDEX($W$2:$W$1001,MATCH(ROWS($V$2:V328),$V$2:$V$1001,0),1)&gt;=100000,INDEX($AC$1005:$AS$1005,1,MATCH(COLUMNS($AC$1006:AD1006),$AC$1006:$AS$1006,0))&gt;=100000), " ",IF(INDEX($AC$2:$AS$1001,MATCH(ROWS($V$2:V328),$V$2:$V$1001,0),MATCH(COLUMNS($AC$1006:AD1006),$AC$1006:$AS$1006,0)), HYPERLINK("#",""), HYPERLINK(CONCATENATE("#Metadata!", ADDRESS(INDEX($X$2:$X$1001,MATCH(ROWS($V$2:V328),$V$2:$V$1001,0),0), INDEX($AC$1004:$AS$1004,1,MATCH(COLUMNS($AC$1006:AD1006),$AC$1006:$AS$1006,0)))),"Fix")))</f>
        <v>0</v>
      </c>
      <c r="D328" s="5">
        <f>IF(OR(INDEX($W$2:$W$1001,MATCH(ROWS($V$2:V328),$V$2:$V$1001,0),1)&gt;=100000,INDEX($AC$1005:$AS$1005,1,MATCH(COLUMNS($AC$1006:AE1006),$AC$1006:$AS$1006,0))&gt;=100000), " ",IF(INDEX($AC$2:$AS$1001,MATCH(ROWS($V$2:V328),$V$2:$V$1001,0),MATCH(COLUMNS($AC$1006:AE1006),$AC$1006:$AS$1006,0)), HYPERLINK("#",""), HYPERLINK(CONCATENATE("#Metadata!", ADDRESS(INDEX($X$2:$X$1001,MATCH(ROWS($V$2:V328),$V$2:$V$1001,0),0), INDEX($AC$1004:$AS$1004,1,MATCH(COLUMNS($AC$1006:AE1006),$AC$1006:$AS$1006,0)))),"Fix")))</f>
        <v>0</v>
      </c>
      <c r="E328" s="5">
        <f>IF(OR(INDEX($W$2:$W$1001,MATCH(ROWS($V$2:V328),$V$2:$V$1001,0),1)&gt;=100000,INDEX($AC$1005:$AS$1005,1,MATCH(COLUMNS($AC$1006:AF1006),$AC$1006:$AS$1006,0))&gt;=100000), " ",IF(INDEX($AC$2:$AS$1001,MATCH(ROWS($V$2:V328),$V$2:$V$1001,0),MATCH(COLUMNS($AC$1006:AF1006),$AC$1006:$AS$1006,0)), HYPERLINK("#",""), HYPERLINK(CONCATENATE("#Metadata!", ADDRESS(INDEX($X$2:$X$1001,MATCH(ROWS($V$2:V328),$V$2:$V$1001,0),0), INDEX($AC$1004:$AS$1004,1,MATCH(COLUMNS($AC$1006:AF1006),$AC$1006:$AS$1006,0)))),"Fix")))</f>
        <v>0</v>
      </c>
      <c r="F328" s="5">
        <f>IF(OR(INDEX($W$2:$W$1001,MATCH(ROWS($V$2:V328),$V$2:$V$1001,0),1)&gt;=100000,INDEX($AC$1005:$AS$1005,1,MATCH(COLUMNS($AC$1006:AG1006),$AC$1006:$AS$1006,0))&gt;=100000), " ",IF(INDEX($AC$2:$AS$1001,MATCH(ROWS($V$2:V328),$V$2:$V$1001,0),MATCH(COLUMNS($AC$1006:AG1006),$AC$1006:$AS$1006,0)), HYPERLINK("#",""), HYPERLINK(CONCATENATE("#Metadata!", ADDRESS(INDEX($X$2:$X$1001,MATCH(ROWS($V$2:V328),$V$2:$V$1001,0),0), INDEX($AC$1004:$AS$1004,1,MATCH(COLUMNS($AC$1006:AG1006),$AC$1006:$AS$1006,0)))),"Fix")))</f>
        <v>0</v>
      </c>
      <c r="G328" s="5">
        <f>IF(OR(INDEX($W$2:$W$1001,MATCH(ROWS($V$2:V328),$V$2:$V$1001,0),1)&gt;=100000,INDEX($AC$1005:$AS$1005,1,MATCH(COLUMNS($AC$1006:AH1006),$AC$1006:$AS$1006,0))&gt;=100000), " ",IF(INDEX($AC$2:$AS$1001,MATCH(ROWS($V$2:V328),$V$2:$V$1001,0),MATCH(COLUMNS($AC$1006:AH1006),$AC$1006:$AS$1006,0)), HYPERLINK("#",""), HYPERLINK(CONCATENATE("#Metadata!", ADDRESS(INDEX($X$2:$X$1001,MATCH(ROWS($V$2:V328),$V$2:$V$1001,0),0), INDEX($AC$1004:$AS$1004,1,MATCH(COLUMNS($AC$1006:AH1006),$AC$1006:$AS$1006,0)))),"Fix")))</f>
        <v>0</v>
      </c>
      <c r="H328" s="5">
        <f>IF(OR(INDEX($W$2:$W$1001,MATCH(ROWS($V$2:V328),$V$2:$V$1001,0),1)&gt;=100000,INDEX($AC$1005:$AS$1005,1,MATCH(COLUMNS($AC$1006:AI1006),$AC$1006:$AS$1006,0))&gt;=100000), " ",IF(INDEX($AC$2:$AS$1001,MATCH(ROWS($V$2:V328),$V$2:$V$1001,0),MATCH(COLUMNS($AC$1006:AI1006),$AC$1006:$AS$1006,0)), HYPERLINK("#",""), HYPERLINK(CONCATENATE("#Metadata!", ADDRESS(INDEX($X$2:$X$1001,MATCH(ROWS($V$2:V328),$V$2:$V$1001,0),0), INDEX($AC$1004:$AS$1004,1,MATCH(COLUMNS($AC$1006:AI1006),$AC$1006:$AS$1006,0)))),"Fix")))</f>
        <v>0</v>
      </c>
      <c r="I328" s="5">
        <f>IF(OR(INDEX($W$2:$W$1001,MATCH(ROWS($V$2:V328),$V$2:$V$1001,0),1)&gt;=100000,INDEX($AC$1005:$AS$1005,1,MATCH(COLUMNS($AC$1006:AJ1006),$AC$1006:$AS$1006,0))&gt;=100000), " ",IF(INDEX($AC$2:$AS$1001,MATCH(ROWS($V$2:V328),$V$2:$V$1001,0),MATCH(COLUMNS($AC$1006:AJ1006),$AC$1006:$AS$1006,0)), HYPERLINK("#",""), HYPERLINK(CONCATENATE("#Metadata!", ADDRESS(INDEX($X$2:$X$1001,MATCH(ROWS($V$2:V328),$V$2:$V$1001,0),0), INDEX($AC$1004:$AS$1004,1,MATCH(COLUMNS($AC$1006:AJ1006),$AC$1006:$AS$1006,0)))),"Fix")))</f>
        <v>0</v>
      </c>
      <c r="J328" s="5">
        <f>IF(OR(INDEX($W$2:$W$1001,MATCH(ROWS($V$2:V328),$V$2:$V$1001,0),1)&gt;=100000,INDEX($AC$1005:$AS$1005,1,MATCH(COLUMNS($AC$1006:AK1006),$AC$1006:$AS$1006,0))&gt;=100000), " ",IF(INDEX($AC$2:$AS$1001,MATCH(ROWS($V$2:V328),$V$2:$V$1001,0),MATCH(COLUMNS($AC$1006:AK1006),$AC$1006:$AS$1006,0)), HYPERLINK("#",""), HYPERLINK(CONCATENATE("#Metadata!", ADDRESS(INDEX($X$2:$X$1001,MATCH(ROWS($V$2:V328),$V$2:$V$1001,0),0), INDEX($AC$1004:$AS$1004,1,MATCH(COLUMNS($AC$1006:AK1006),$AC$1006:$AS$1006,0)))),"Fix")))</f>
        <v>0</v>
      </c>
      <c r="K328" s="5">
        <f>IF(OR(INDEX($W$2:$W$1001,MATCH(ROWS($V$2:V328),$V$2:$V$1001,0),1)&gt;=100000,INDEX($AC$1005:$AS$1005,1,MATCH(COLUMNS($AC$1006:AL1006),$AC$1006:$AS$1006,0))&gt;=100000), " ",IF(INDEX($AC$2:$AS$1001,MATCH(ROWS($V$2:V328),$V$2:$V$1001,0),MATCH(COLUMNS($AC$1006:AL1006),$AC$1006:$AS$1006,0)), HYPERLINK("#",""), HYPERLINK(CONCATENATE("#Metadata!", ADDRESS(INDEX($X$2:$X$1001,MATCH(ROWS($V$2:V328),$V$2:$V$1001,0),0), INDEX($AC$1004:$AS$1004,1,MATCH(COLUMNS($AC$1006:AL1006),$AC$1006:$AS$1006,0)))),"Fix")))</f>
        <v>0</v>
      </c>
      <c r="L328" s="5">
        <f>IF(OR(INDEX($W$2:$W$1001,MATCH(ROWS($V$2:V328),$V$2:$V$1001,0),1)&gt;=100000,INDEX($AC$1005:$AS$1005,1,MATCH(COLUMNS($AC$1006:AM1006),$AC$1006:$AS$1006,0))&gt;=100000), " ",IF(INDEX($AC$2:$AS$1001,MATCH(ROWS($V$2:V328),$V$2:$V$1001,0),MATCH(COLUMNS($AC$1006:AM1006),$AC$1006:$AS$1006,0)), HYPERLINK("#",""), HYPERLINK(CONCATENATE("#Metadata!", ADDRESS(INDEX($X$2:$X$1001,MATCH(ROWS($V$2:V328),$V$2:$V$1001,0),0), INDEX($AC$1004:$AS$1004,1,MATCH(COLUMNS($AC$1006:AM1006),$AC$1006:$AS$1006,0)))),"Fix")))</f>
        <v>0</v>
      </c>
      <c r="M328" s="5">
        <f>IF(OR(INDEX($W$2:$W$1001,MATCH(ROWS($V$2:V328),$V$2:$V$1001,0),1)&gt;=100000,INDEX($AC$1005:$AS$1005,1,MATCH(COLUMNS($AC$1006:AN1006),$AC$1006:$AS$1006,0))&gt;=100000), " ",IF(INDEX($AC$2:$AS$1001,MATCH(ROWS($V$2:V328),$V$2:$V$1001,0),MATCH(COLUMNS($AC$1006:AN1006),$AC$1006:$AS$1006,0)), HYPERLINK("#",""), HYPERLINK(CONCATENATE("#Metadata!", ADDRESS(INDEX($X$2:$X$1001,MATCH(ROWS($V$2:V328),$V$2:$V$1001,0),0), INDEX($AC$1004:$AS$1004,1,MATCH(COLUMNS($AC$1006:AN1006),$AC$1006:$AS$1006,0)))),"Fix")))</f>
        <v>0</v>
      </c>
      <c r="N328" s="5">
        <f>IF(OR(INDEX($W$2:$W$1001,MATCH(ROWS($V$2:V328),$V$2:$V$1001,0),1)&gt;=100000,INDEX($AC$1005:$AS$1005,1,MATCH(COLUMNS($AC$1006:AO1006),$AC$1006:$AS$1006,0))&gt;=100000), " ",IF(INDEX($AC$2:$AS$1001,MATCH(ROWS($V$2:V328),$V$2:$V$1001,0),MATCH(COLUMNS($AC$1006:AO1006),$AC$1006:$AS$1006,0)), HYPERLINK("#",""), HYPERLINK(CONCATENATE("#Metadata!", ADDRESS(INDEX($X$2:$X$1001,MATCH(ROWS($V$2:V328),$V$2:$V$1001,0),0), INDEX($AC$1004:$AS$1004,1,MATCH(COLUMNS($AC$1006:AO1006),$AC$1006:$AS$1006,0)))),"Fix")))</f>
        <v>0</v>
      </c>
      <c r="O328" s="5">
        <f>IF(OR(INDEX($W$2:$W$1001,MATCH(ROWS($V$2:V328),$V$2:$V$1001,0),1)&gt;=100000,INDEX($AC$1005:$AS$1005,1,MATCH(COLUMNS($AC$1006:AP1006),$AC$1006:$AS$1006,0))&gt;=100000), " ",IF(INDEX($AC$2:$AS$1001,MATCH(ROWS($V$2:V328),$V$2:$V$1001,0),MATCH(COLUMNS($AC$1006:AP1006),$AC$1006:$AS$1006,0)), HYPERLINK("#",""), HYPERLINK(CONCATENATE("#Metadata!", ADDRESS(INDEX($X$2:$X$1001,MATCH(ROWS($V$2:V328),$V$2:$V$1001,0),0), INDEX($AC$1004:$AS$1004,1,MATCH(COLUMNS($AC$1006:AP1006),$AC$1006:$AS$1006,0)))),"Fix")))</f>
        <v>0</v>
      </c>
      <c r="P328" s="5">
        <f>IF(OR(INDEX($W$2:$W$1001,MATCH(ROWS($V$2:V328),$V$2:$V$1001,0),1)&gt;=100000,INDEX($AC$1005:$AS$1005,1,MATCH(COLUMNS($AC$1006:AQ1006),$AC$1006:$AS$1006,0))&gt;=100000), " ",IF(INDEX($AC$2:$AS$1001,MATCH(ROWS($V$2:V328),$V$2:$V$1001,0),MATCH(COLUMNS($AC$1006:AQ1006),$AC$1006:$AS$1006,0)), HYPERLINK("#",""), HYPERLINK(CONCATENATE("#Metadata!", ADDRESS(INDEX($X$2:$X$1001,MATCH(ROWS($V$2:V328),$V$2:$V$1001,0),0), INDEX($AC$1004:$AS$1004,1,MATCH(COLUMNS($AC$1006:AQ1006),$AC$1006:$AS$1006,0)))),"Fix")))</f>
        <v>0</v>
      </c>
      <c r="Q328" s="5">
        <f>IF(OR(INDEX($W$2:$W$1001,MATCH(ROWS($V$2:V328),$V$2:$V$1001,0),1)&gt;=100000,INDEX($AC$1005:$AS$1005,1,MATCH(COLUMNS($AC$1006:AR1006),$AC$1006:$AS$1006,0))&gt;=100000), " ",IF(INDEX($AC$2:$AS$1001,MATCH(ROWS($V$2:V328),$V$2:$V$1001,0),MATCH(COLUMNS($AC$1006:AR1006),$AC$1006:$AS$1006,0)), HYPERLINK("#",""), HYPERLINK(CONCATENATE("#Metadata!", ADDRESS(INDEX($X$2:$X$1001,MATCH(ROWS($V$2:V328),$V$2:$V$1001,0),0), INDEX($AC$1004:$AS$1004,1,MATCH(COLUMNS($AC$1006:AR1006),$AC$1006:$AS$1006,0)))),"Fix")))</f>
        <v>0</v>
      </c>
      <c r="R328" s="5">
        <f>IF(OR(INDEX($W$2:$W$1001,MATCH(ROWS($V$2:V328),$V$2:$V$1001,0),1)&gt;=100000,INDEX($AC$1005:$AS$1005,1,MATCH(COLUMNS($AC$1006:AS1006),$AC$1006:$AS$1006,0))&gt;=100000), " ",IF(INDEX($AC$2:$AS$1001,MATCH(ROWS($V$2:V328),$V$2:$V$1001,0),MATCH(COLUMNS($AC$1006:AS1006),$AC$1006:$AS$1006,0)), HYPERLINK("#",""), HYPERLINK(CONCATENATE("#Metadata!", ADDRESS(INDEX($X$2:$X$1001,MATCH(ROWS($V$2:V328),$V$2:$V$1001,0),0), INDEX($AC$1004:$AS$1004,1,MATCH(COLUMNS($AC$1006:AS1006),$AC$1006:$AS$1006,0)))),"Fix")))</f>
        <v>0</v>
      </c>
      <c r="V328">
        <v>0</v>
      </c>
      <c r="W328">
        <v>0</v>
      </c>
      <c r="X328">
        <v>0</v>
      </c>
      <c r="Y328">
        <f>IF(Z328,TRUE,AND(AC328:AS328))</f>
        <v>0</v>
      </c>
      <c r="Z328">
        <f>COUNTBLANK(Metadata!B328:R328)=COLUMNS(Metadata!B328:R328)</f>
        <v>0</v>
      </c>
      <c r="AA328">
        <v>0</v>
      </c>
      <c r="AC328">
        <f>AND(IF(Metadata!B328="",FALSE,TRUE),COUNTIF(Metadata!B:B, Metadata!B328) = 1,NOT(ISERROR(SUMPRODUCT(SEARCH(MID(Metadata!B328,ROW(INDIRECT("1:"&amp;LEN(Metadata!B328))), 1),"0123456789abcdefghijklmnopqrstuvwxyzABCDEFGHIJKLMNOPQRSTUVWXYZ.")))))</f>
        <v>0</v>
      </c>
      <c r="AD328">
        <f>AND(IF(Metadata!C328="",FALSE,TRUE),exact(Metadata!C328,"Host-associated"))</f>
        <v>0</v>
      </c>
      <c r="AE328">
        <f>AND(IF(Metadata!D328="",FALSE,TRUE),OR(exact(Metadata!D328,"Animal"),exact(Metadata!D328,"Fungus"),exact(Metadata!D328,"Plant")))</f>
        <v>0</v>
      </c>
      <c r="AF328">
        <f>AND(IF(Metadata!E328="",FALSE,TRUE),OR(exact(Metadata!E328,"Plant secretion"),exact(Metadata!E328,"Plant rhizosphere"),exact(Metadata!E328,"Plant surface"),exact(Metadata!E328,"Plant corpus"),exact(Metadata!E328,"Fungus surface"),exact(Metadata!E328,"Fungus corpus"),exact(Metadata!E328,"Animal surface"),exact(Metadata!E328,"Animal proximal gut"),exact(Metadata!E328,"Animal corpus"),exact(Metadata!E328,"Animal distal gut"),exact(Metadata!E328,"Animal secretion")))</f>
        <v>0</v>
      </c>
      <c r="AG328">
        <f>OR(AND(IF(Metadata!F328="",FALSE,TRUE),OR(exact(Metadata!F328,"not collected"),exact(Metadata!F328,"not provided"),exact(Metadata!F328,"restricted access"))),AND(IF(Metadata!F328="",FALSE,TRUE),OR(exact(Metadata!F328,"organism-associated habitat"),exact(Metadata!F328,"plant-associated habitat"),exact(Metadata!F328,"animal-associated habitat"),exact(Metadata!F328,"insecta-associated habitat"),exact(Metadata!F328,"mammalia-associated habitat"),exact(Metadata!F328,"human-associated habitat"),exact(Metadata!F328,"livestock-associated habitat"))))</f>
        <v>0</v>
      </c>
      <c r="AH328">
        <f>AND(IF(Metadata!G328="",FALSE,TRUE),exact(Metadata!G328,"host-associated"))</f>
        <v>0</v>
      </c>
      <c r="AI328">
        <f>OR(AND(IF(Metadata!H328="",FALSE,TRUE),OR(exact(Metadata!H328,"not collected"),exact(Metadata!H328,"not provided"))),AND(IF(Metadata!H328="",FALSE,ISNUMBER(VALUE(Metadata!H328))),Metadata!H328&gt;0))</f>
        <v>0</v>
      </c>
      <c r="AJ328">
        <f>AND(IF(Metadata!I328="",FALSE,TRUE),exact(Metadata!I328,"years"))</f>
        <v>0</v>
      </c>
      <c r="AK328">
        <f>IF(Metadata!J328="",FALSE,TRUE)</f>
        <v>0</v>
      </c>
      <c r="AL328">
        <f>OR(AND(IF(Metadata!K328="",FALSE,TRUE),OR(exact(Metadata!K328,"not collected"),exact(Metadata!K328,"not provided"))),AND(IF(Metadata!K328="",FALSE,ISNUMBER(VALUE(Metadata!K328))),Metadata!K328&gt;0))</f>
        <v>0</v>
      </c>
      <c r="AM328">
        <f>AND(IF(Metadata!L328="",FALSE,TRUE),exact(Metadata!L328,"cm"))</f>
        <v>0</v>
      </c>
      <c r="AN328">
        <f>IF(Metadata!M328="",FALSE,TRUE)</f>
        <v>0</v>
      </c>
      <c r="AO328">
        <f>OR(AND(IF(Metadata!N328="",FALSE,TRUE),OR(exact(Metadata!N328,"not applicable"),exact(Metadata!N328,"not collected"),exact(Metadata!N328,"not provided"))),AND(IF(Metadata!N328="",FALSE,IF(ISERROR(INT(Metadata!N328)),FALSE,INT(Metadata!N328)=Metadata!N328)),Metadata!N328&gt;0))</f>
        <v>0</v>
      </c>
      <c r="AP328">
        <f>OR(AND(IF(Metadata!O328="",FALSE,TRUE),OR(exact(Metadata!O328,"not collected"),exact(Metadata!O328,"not provided"))),AND(IF(Metadata!O328="",FALSE,ISNUMBER(VALUE(Metadata!O328))),Metadata!O328&gt;0))</f>
        <v>0</v>
      </c>
      <c r="AQ328">
        <f>AND(IF(Metadata!P328="",FALSE,TRUE),exact(Metadata!P328,"kg"))</f>
        <v>0</v>
      </c>
      <c r="AR328">
        <f>OR(AND(IF(Metadata!Q328="",FALSE,TRUE),OR(exact(Metadata!Q328,"not applicable"),exact(Metadata!Q328,"not collected"),exact(Metadata!Q328,"not provided"),exact(Metadata!Q328,"restricted access"))),IF(Metadata!Q328="",FALSE,IF(ISERROR(INT(Metadata!Q328)),FALSE,INT(Metadata!Q328)=Metadata!Q328)))</f>
        <v>0</v>
      </c>
      <c r="AS328">
        <f>AND(IF(Metadata!R328="",FALSE,TRUE),exact(Metadata!R328,"Not applicable"))</f>
        <v>0</v>
      </c>
    </row>
    <row r="329" spans="1:45">
      <c r="A329" s="4">
        <f>IF(B329=" "," ",HYPERLINK(CONCATENATE("#metadata!",ADDRESS(INDEX($X$2:$X$1001,MATCH(ROWS($V$2:V329),$V$2:$V$1001,0),0),2)),INDEX($AA$2:$AA$1001,MATCH(ROWS($V$2:V329),$V$2:$V$1001,0),0)))</f>
        <v>0</v>
      </c>
      <c r="B329" s="5">
        <f>IF(OR(INDEX($W$2:$W$1001,MATCH(ROWS($V$2:V329),$V$2:$V$1001,0),1)&gt;=100000,INDEX($AC$1005:$AS$1005,1,MATCH(COLUMNS($AC$1006:AC1006),$AC$1006:$AS$1006,0))&gt;=100000), " ",IF(INDEX($AC$2:$AS$1001,MATCH(ROWS($V$2:V329),$V$2:$V$1001,0),MATCH(COLUMNS($AC$1006:AC1006),$AC$1006:$AS$1006,0)), HYPERLINK("#",""), HYPERLINK(CONCATENATE("#Metadata!", ADDRESS(INDEX($X$2:$X$1001,MATCH(ROWS($V$2:V329),$V$2:$V$1001,0),0), INDEX($AC$1004:$AS$1004,1,MATCH(COLUMNS($AC$1006:AC1006),$AC$1006:$AS$1006,0)))),"Fix")))</f>
        <v>0</v>
      </c>
      <c r="C329" s="5">
        <f>IF(OR(INDEX($W$2:$W$1001,MATCH(ROWS($V$2:V329),$V$2:$V$1001,0),1)&gt;=100000,INDEX($AC$1005:$AS$1005,1,MATCH(COLUMNS($AC$1006:AD1006),$AC$1006:$AS$1006,0))&gt;=100000), " ",IF(INDEX($AC$2:$AS$1001,MATCH(ROWS($V$2:V329),$V$2:$V$1001,0),MATCH(COLUMNS($AC$1006:AD1006),$AC$1006:$AS$1006,0)), HYPERLINK("#",""), HYPERLINK(CONCATENATE("#Metadata!", ADDRESS(INDEX($X$2:$X$1001,MATCH(ROWS($V$2:V329),$V$2:$V$1001,0),0), INDEX($AC$1004:$AS$1004,1,MATCH(COLUMNS($AC$1006:AD1006),$AC$1006:$AS$1006,0)))),"Fix")))</f>
        <v>0</v>
      </c>
      <c r="D329" s="5">
        <f>IF(OR(INDEX($W$2:$W$1001,MATCH(ROWS($V$2:V329),$V$2:$V$1001,0),1)&gt;=100000,INDEX($AC$1005:$AS$1005,1,MATCH(COLUMNS($AC$1006:AE1006),$AC$1006:$AS$1006,0))&gt;=100000), " ",IF(INDEX($AC$2:$AS$1001,MATCH(ROWS($V$2:V329),$V$2:$V$1001,0),MATCH(COLUMNS($AC$1006:AE1006),$AC$1006:$AS$1006,0)), HYPERLINK("#",""), HYPERLINK(CONCATENATE("#Metadata!", ADDRESS(INDEX($X$2:$X$1001,MATCH(ROWS($V$2:V329),$V$2:$V$1001,0),0), INDEX($AC$1004:$AS$1004,1,MATCH(COLUMNS($AC$1006:AE1006),$AC$1006:$AS$1006,0)))),"Fix")))</f>
        <v>0</v>
      </c>
      <c r="E329" s="5">
        <f>IF(OR(INDEX($W$2:$W$1001,MATCH(ROWS($V$2:V329),$V$2:$V$1001,0),1)&gt;=100000,INDEX($AC$1005:$AS$1005,1,MATCH(COLUMNS($AC$1006:AF1006),$AC$1006:$AS$1006,0))&gt;=100000), " ",IF(INDEX($AC$2:$AS$1001,MATCH(ROWS($V$2:V329),$V$2:$V$1001,0),MATCH(COLUMNS($AC$1006:AF1006),$AC$1006:$AS$1006,0)), HYPERLINK("#",""), HYPERLINK(CONCATENATE("#Metadata!", ADDRESS(INDEX($X$2:$X$1001,MATCH(ROWS($V$2:V329),$V$2:$V$1001,0),0), INDEX($AC$1004:$AS$1004,1,MATCH(COLUMNS($AC$1006:AF1006),$AC$1006:$AS$1006,0)))),"Fix")))</f>
        <v>0</v>
      </c>
      <c r="F329" s="5">
        <f>IF(OR(INDEX($W$2:$W$1001,MATCH(ROWS($V$2:V329),$V$2:$V$1001,0),1)&gt;=100000,INDEX($AC$1005:$AS$1005,1,MATCH(COLUMNS($AC$1006:AG1006),$AC$1006:$AS$1006,0))&gt;=100000), " ",IF(INDEX($AC$2:$AS$1001,MATCH(ROWS($V$2:V329),$V$2:$V$1001,0),MATCH(COLUMNS($AC$1006:AG1006),$AC$1006:$AS$1006,0)), HYPERLINK("#",""), HYPERLINK(CONCATENATE("#Metadata!", ADDRESS(INDEX($X$2:$X$1001,MATCH(ROWS($V$2:V329),$V$2:$V$1001,0),0), INDEX($AC$1004:$AS$1004,1,MATCH(COLUMNS($AC$1006:AG1006),$AC$1006:$AS$1006,0)))),"Fix")))</f>
        <v>0</v>
      </c>
      <c r="G329" s="5">
        <f>IF(OR(INDEX($W$2:$W$1001,MATCH(ROWS($V$2:V329),$V$2:$V$1001,0),1)&gt;=100000,INDEX($AC$1005:$AS$1005,1,MATCH(COLUMNS($AC$1006:AH1006),$AC$1006:$AS$1006,0))&gt;=100000), " ",IF(INDEX($AC$2:$AS$1001,MATCH(ROWS($V$2:V329),$V$2:$V$1001,0),MATCH(COLUMNS($AC$1006:AH1006),$AC$1006:$AS$1006,0)), HYPERLINK("#",""), HYPERLINK(CONCATENATE("#Metadata!", ADDRESS(INDEX($X$2:$X$1001,MATCH(ROWS($V$2:V329),$V$2:$V$1001,0),0), INDEX($AC$1004:$AS$1004,1,MATCH(COLUMNS($AC$1006:AH1006),$AC$1006:$AS$1006,0)))),"Fix")))</f>
        <v>0</v>
      </c>
      <c r="H329" s="5">
        <f>IF(OR(INDEX($W$2:$W$1001,MATCH(ROWS($V$2:V329),$V$2:$V$1001,0),1)&gt;=100000,INDEX($AC$1005:$AS$1005,1,MATCH(COLUMNS($AC$1006:AI1006),$AC$1006:$AS$1006,0))&gt;=100000), " ",IF(INDEX($AC$2:$AS$1001,MATCH(ROWS($V$2:V329),$V$2:$V$1001,0),MATCH(COLUMNS($AC$1006:AI1006),$AC$1006:$AS$1006,0)), HYPERLINK("#",""), HYPERLINK(CONCATENATE("#Metadata!", ADDRESS(INDEX($X$2:$X$1001,MATCH(ROWS($V$2:V329),$V$2:$V$1001,0),0), INDEX($AC$1004:$AS$1004,1,MATCH(COLUMNS($AC$1006:AI1006),$AC$1006:$AS$1006,0)))),"Fix")))</f>
        <v>0</v>
      </c>
      <c r="I329" s="5">
        <f>IF(OR(INDEX($W$2:$W$1001,MATCH(ROWS($V$2:V329),$V$2:$V$1001,0),1)&gt;=100000,INDEX($AC$1005:$AS$1005,1,MATCH(COLUMNS($AC$1006:AJ1006),$AC$1006:$AS$1006,0))&gt;=100000), " ",IF(INDEX($AC$2:$AS$1001,MATCH(ROWS($V$2:V329),$V$2:$V$1001,0),MATCH(COLUMNS($AC$1006:AJ1006),$AC$1006:$AS$1006,0)), HYPERLINK("#",""), HYPERLINK(CONCATENATE("#Metadata!", ADDRESS(INDEX($X$2:$X$1001,MATCH(ROWS($V$2:V329),$V$2:$V$1001,0),0), INDEX($AC$1004:$AS$1004,1,MATCH(COLUMNS($AC$1006:AJ1006),$AC$1006:$AS$1006,0)))),"Fix")))</f>
        <v>0</v>
      </c>
      <c r="J329" s="5">
        <f>IF(OR(INDEX($W$2:$W$1001,MATCH(ROWS($V$2:V329),$V$2:$V$1001,0),1)&gt;=100000,INDEX($AC$1005:$AS$1005,1,MATCH(COLUMNS($AC$1006:AK1006),$AC$1006:$AS$1006,0))&gt;=100000), " ",IF(INDEX($AC$2:$AS$1001,MATCH(ROWS($V$2:V329),$V$2:$V$1001,0),MATCH(COLUMNS($AC$1006:AK1006),$AC$1006:$AS$1006,0)), HYPERLINK("#",""), HYPERLINK(CONCATENATE("#Metadata!", ADDRESS(INDEX($X$2:$X$1001,MATCH(ROWS($V$2:V329),$V$2:$V$1001,0),0), INDEX($AC$1004:$AS$1004,1,MATCH(COLUMNS($AC$1006:AK1006),$AC$1006:$AS$1006,0)))),"Fix")))</f>
        <v>0</v>
      </c>
      <c r="K329" s="5">
        <f>IF(OR(INDEX($W$2:$W$1001,MATCH(ROWS($V$2:V329),$V$2:$V$1001,0),1)&gt;=100000,INDEX($AC$1005:$AS$1005,1,MATCH(COLUMNS($AC$1006:AL1006),$AC$1006:$AS$1006,0))&gt;=100000), " ",IF(INDEX($AC$2:$AS$1001,MATCH(ROWS($V$2:V329),$V$2:$V$1001,0),MATCH(COLUMNS($AC$1006:AL1006),$AC$1006:$AS$1006,0)), HYPERLINK("#",""), HYPERLINK(CONCATENATE("#Metadata!", ADDRESS(INDEX($X$2:$X$1001,MATCH(ROWS($V$2:V329),$V$2:$V$1001,0),0), INDEX($AC$1004:$AS$1004,1,MATCH(COLUMNS($AC$1006:AL1006),$AC$1006:$AS$1006,0)))),"Fix")))</f>
        <v>0</v>
      </c>
      <c r="L329" s="5">
        <f>IF(OR(INDEX($W$2:$W$1001,MATCH(ROWS($V$2:V329),$V$2:$V$1001,0),1)&gt;=100000,INDEX($AC$1005:$AS$1005,1,MATCH(COLUMNS($AC$1006:AM1006),$AC$1006:$AS$1006,0))&gt;=100000), " ",IF(INDEX($AC$2:$AS$1001,MATCH(ROWS($V$2:V329),$V$2:$V$1001,0),MATCH(COLUMNS($AC$1006:AM1006),$AC$1006:$AS$1006,0)), HYPERLINK("#",""), HYPERLINK(CONCATENATE("#Metadata!", ADDRESS(INDEX($X$2:$X$1001,MATCH(ROWS($V$2:V329),$V$2:$V$1001,0),0), INDEX($AC$1004:$AS$1004,1,MATCH(COLUMNS($AC$1006:AM1006),$AC$1006:$AS$1006,0)))),"Fix")))</f>
        <v>0</v>
      </c>
      <c r="M329" s="5">
        <f>IF(OR(INDEX($W$2:$W$1001,MATCH(ROWS($V$2:V329),$V$2:$V$1001,0),1)&gt;=100000,INDEX($AC$1005:$AS$1005,1,MATCH(COLUMNS($AC$1006:AN1006),$AC$1006:$AS$1006,0))&gt;=100000), " ",IF(INDEX($AC$2:$AS$1001,MATCH(ROWS($V$2:V329),$V$2:$V$1001,0),MATCH(COLUMNS($AC$1006:AN1006),$AC$1006:$AS$1006,0)), HYPERLINK("#",""), HYPERLINK(CONCATENATE("#Metadata!", ADDRESS(INDEX($X$2:$X$1001,MATCH(ROWS($V$2:V329),$V$2:$V$1001,0),0), INDEX($AC$1004:$AS$1004,1,MATCH(COLUMNS($AC$1006:AN1006),$AC$1006:$AS$1006,0)))),"Fix")))</f>
        <v>0</v>
      </c>
      <c r="N329" s="5">
        <f>IF(OR(INDEX($W$2:$W$1001,MATCH(ROWS($V$2:V329),$V$2:$V$1001,0),1)&gt;=100000,INDEX($AC$1005:$AS$1005,1,MATCH(COLUMNS($AC$1006:AO1006),$AC$1006:$AS$1006,0))&gt;=100000), " ",IF(INDEX($AC$2:$AS$1001,MATCH(ROWS($V$2:V329),$V$2:$V$1001,0),MATCH(COLUMNS($AC$1006:AO1006),$AC$1006:$AS$1006,0)), HYPERLINK("#",""), HYPERLINK(CONCATENATE("#Metadata!", ADDRESS(INDEX($X$2:$X$1001,MATCH(ROWS($V$2:V329),$V$2:$V$1001,0),0), INDEX($AC$1004:$AS$1004,1,MATCH(COLUMNS($AC$1006:AO1006),$AC$1006:$AS$1006,0)))),"Fix")))</f>
        <v>0</v>
      </c>
      <c r="O329" s="5">
        <f>IF(OR(INDEX($W$2:$W$1001,MATCH(ROWS($V$2:V329),$V$2:$V$1001,0),1)&gt;=100000,INDEX($AC$1005:$AS$1005,1,MATCH(COLUMNS($AC$1006:AP1006),$AC$1006:$AS$1006,0))&gt;=100000), " ",IF(INDEX($AC$2:$AS$1001,MATCH(ROWS($V$2:V329),$V$2:$V$1001,0),MATCH(COLUMNS($AC$1006:AP1006),$AC$1006:$AS$1006,0)), HYPERLINK("#",""), HYPERLINK(CONCATENATE("#Metadata!", ADDRESS(INDEX($X$2:$X$1001,MATCH(ROWS($V$2:V329),$V$2:$V$1001,0),0), INDEX($AC$1004:$AS$1004,1,MATCH(COLUMNS($AC$1006:AP1006),$AC$1006:$AS$1006,0)))),"Fix")))</f>
        <v>0</v>
      </c>
      <c r="P329" s="5">
        <f>IF(OR(INDEX($W$2:$W$1001,MATCH(ROWS($V$2:V329),$V$2:$V$1001,0),1)&gt;=100000,INDEX($AC$1005:$AS$1005,1,MATCH(COLUMNS($AC$1006:AQ1006),$AC$1006:$AS$1006,0))&gt;=100000), " ",IF(INDEX($AC$2:$AS$1001,MATCH(ROWS($V$2:V329),$V$2:$V$1001,0),MATCH(COLUMNS($AC$1006:AQ1006),$AC$1006:$AS$1006,0)), HYPERLINK("#",""), HYPERLINK(CONCATENATE("#Metadata!", ADDRESS(INDEX($X$2:$X$1001,MATCH(ROWS($V$2:V329),$V$2:$V$1001,0),0), INDEX($AC$1004:$AS$1004,1,MATCH(COLUMNS($AC$1006:AQ1006),$AC$1006:$AS$1006,0)))),"Fix")))</f>
        <v>0</v>
      </c>
      <c r="Q329" s="5">
        <f>IF(OR(INDEX($W$2:$W$1001,MATCH(ROWS($V$2:V329),$V$2:$V$1001,0),1)&gt;=100000,INDEX($AC$1005:$AS$1005,1,MATCH(COLUMNS($AC$1006:AR1006),$AC$1006:$AS$1006,0))&gt;=100000), " ",IF(INDEX($AC$2:$AS$1001,MATCH(ROWS($V$2:V329),$V$2:$V$1001,0),MATCH(COLUMNS($AC$1006:AR1006),$AC$1006:$AS$1006,0)), HYPERLINK("#",""), HYPERLINK(CONCATENATE("#Metadata!", ADDRESS(INDEX($X$2:$X$1001,MATCH(ROWS($V$2:V329),$V$2:$V$1001,0),0), INDEX($AC$1004:$AS$1004,1,MATCH(COLUMNS($AC$1006:AR1006),$AC$1006:$AS$1006,0)))),"Fix")))</f>
        <v>0</v>
      </c>
      <c r="R329" s="5">
        <f>IF(OR(INDEX($W$2:$W$1001,MATCH(ROWS($V$2:V329),$V$2:$V$1001,0),1)&gt;=100000,INDEX($AC$1005:$AS$1005,1,MATCH(COLUMNS($AC$1006:AS1006),$AC$1006:$AS$1006,0))&gt;=100000), " ",IF(INDEX($AC$2:$AS$1001,MATCH(ROWS($V$2:V329),$V$2:$V$1001,0),MATCH(COLUMNS($AC$1006:AS1006),$AC$1006:$AS$1006,0)), HYPERLINK("#",""), HYPERLINK(CONCATENATE("#Metadata!", ADDRESS(INDEX($X$2:$X$1001,MATCH(ROWS($V$2:V329),$V$2:$V$1001,0),0), INDEX($AC$1004:$AS$1004,1,MATCH(COLUMNS($AC$1006:AS1006),$AC$1006:$AS$1006,0)))),"Fix")))</f>
        <v>0</v>
      </c>
      <c r="V329">
        <v>0</v>
      </c>
      <c r="W329">
        <v>0</v>
      </c>
      <c r="X329">
        <v>0</v>
      </c>
      <c r="Y329">
        <f>IF(Z329,TRUE,AND(AC329:AS329))</f>
        <v>0</v>
      </c>
      <c r="Z329">
        <f>COUNTBLANK(Metadata!B329:R329)=COLUMNS(Metadata!B329:R329)</f>
        <v>0</v>
      </c>
      <c r="AA329">
        <v>0</v>
      </c>
      <c r="AC329">
        <f>AND(IF(Metadata!B329="",FALSE,TRUE),COUNTIF(Metadata!B:B, Metadata!B329) = 1,NOT(ISERROR(SUMPRODUCT(SEARCH(MID(Metadata!B329,ROW(INDIRECT("1:"&amp;LEN(Metadata!B329))), 1),"0123456789abcdefghijklmnopqrstuvwxyzABCDEFGHIJKLMNOPQRSTUVWXYZ.")))))</f>
        <v>0</v>
      </c>
      <c r="AD329">
        <f>AND(IF(Metadata!C329="",FALSE,TRUE),exact(Metadata!C329,"Host-associated"))</f>
        <v>0</v>
      </c>
      <c r="AE329">
        <f>AND(IF(Metadata!D329="",FALSE,TRUE),OR(exact(Metadata!D329,"Animal"),exact(Metadata!D329,"Fungus"),exact(Metadata!D329,"Plant")))</f>
        <v>0</v>
      </c>
      <c r="AF329">
        <f>AND(IF(Metadata!E329="",FALSE,TRUE),OR(exact(Metadata!E329,"Plant secretion"),exact(Metadata!E329,"Plant rhizosphere"),exact(Metadata!E329,"Plant surface"),exact(Metadata!E329,"Plant corpus"),exact(Metadata!E329,"Fungus surface"),exact(Metadata!E329,"Fungus corpus"),exact(Metadata!E329,"Animal surface"),exact(Metadata!E329,"Animal proximal gut"),exact(Metadata!E329,"Animal corpus"),exact(Metadata!E329,"Animal distal gut"),exact(Metadata!E329,"Animal secretion")))</f>
        <v>0</v>
      </c>
      <c r="AG329">
        <f>OR(AND(IF(Metadata!F329="",FALSE,TRUE),OR(exact(Metadata!F329,"not collected"),exact(Metadata!F329,"not provided"),exact(Metadata!F329,"restricted access"))),AND(IF(Metadata!F329="",FALSE,TRUE),OR(exact(Metadata!F329,"organism-associated habitat"),exact(Metadata!F329,"plant-associated habitat"),exact(Metadata!F329,"animal-associated habitat"),exact(Metadata!F329,"insecta-associated habitat"),exact(Metadata!F329,"mammalia-associated habitat"),exact(Metadata!F329,"human-associated habitat"),exact(Metadata!F329,"livestock-associated habitat"))))</f>
        <v>0</v>
      </c>
      <c r="AH329">
        <f>AND(IF(Metadata!G329="",FALSE,TRUE),exact(Metadata!G329,"host-associated"))</f>
        <v>0</v>
      </c>
      <c r="AI329">
        <f>OR(AND(IF(Metadata!H329="",FALSE,TRUE),OR(exact(Metadata!H329,"not collected"),exact(Metadata!H329,"not provided"))),AND(IF(Metadata!H329="",FALSE,ISNUMBER(VALUE(Metadata!H329))),Metadata!H329&gt;0))</f>
        <v>0</v>
      </c>
      <c r="AJ329">
        <f>AND(IF(Metadata!I329="",FALSE,TRUE),exact(Metadata!I329,"years"))</f>
        <v>0</v>
      </c>
      <c r="AK329">
        <f>IF(Metadata!J329="",FALSE,TRUE)</f>
        <v>0</v>
      </c>
      <c r="AL329">
        <f>OR(AND(IF(Metadata!K329="",FALSE,TRUE),OR(exact(Metadata!K329,"not collected"),exact(Metadata!K329,"not provided"))),AND(IF(Metadata!K329="",FALSE,ISNUMBER(VALUE(Metadata!K329))),Metadata!K329&gt;0))</f>
        <v>0</v>
      </c>
      <c r="AM329">
        <f>AND(IF(Metadata!L329="",FALSE,TRUE),exact(Metadata!L329,"cm"))</f>
        <v>0</v>
      </c>
      <c r="AN329">
        <f>IF(Metadata!M329="",FALSE,TRUE)</f>
        <v>0</v>
      </c>
      <c r="AO329">
        <f>OR(AND(IF(Metadata!N329="",FALSE,TRUE),OR(exact(Metadata!N329,"not applicable"),exact(Metadata!N329,"not collected"),exact(Metadata!N329,"not provided"))),AND(IF(Metadata!N329="",FALSE,IF(ISERROR(INT(Metadata!N329)),FALSE,INT(Metadata!N329)=Metadata!N329)),Metadata!N329&gt;0))</f>
        <v>0</v>
      </c>
      <c r="AP329">
        <f>OR(AND(IF(Metadata!O329="",FALSE,TRUE),OR(exact(Metadata!O329,"not collected"),exact(Metadata!O329,"not provided"))),AND(IF(Metadata!O329="",FALSE,ISNUMBER(VALUE(Metadata!O329))),Metadata!O329&gt;0))</f>
        <v>0</v>
      </c>
      <c r="AQ329">
        <f>AND(IF(Metadata!P329="",FALSE,TRUE),exact(Metadata!P329,"kg"))</f>
        <v>0</v>
      </c>
      <c r="AR329">
        <f>OR(AND(IF(Metadata!Q329="",FALSE,TRUE),OR(exact(Metadata!Q329,"not applicable"),exact(Metadata!Q329,"not collected"),exact(Metadata!Q329,"not provided"),exact(Metadata!Q329,"restricted access"))),IF(Metadata!Q329="",FALSE,IF(ISERROR(INT(Metadata!Q329)),FALSE,INT(Metadata!Q329)=Metadata!Q329)))</f>
        <v>0</v>
      </c>
      <c r="AS329">
        <f>AND(IF(Metadata!R329="",FALSE,TRUE),exact(Metadata!R329,"Not applicable"))</f>
        <v>0</v>
      </c>
    </row>
    <row r="330" spans="1:45">
      <c r="A330" s="4">
        <f>IF(B330=" "," ",HYPERLINK(CONCATENATE("#metadata!",ADDRESS(INDEX($X$2:$X$1001,MATCH(ROWS($V$2:V330),$V$2:$V$1001,0),0),2)),INDEX($AA$2:$AA$1001,MATCH(ROWS($V$2:V330),$V$2:$V$1001,0),0)))</f>
        <v>0</v>
      </c>
      <c r="B330" s="5">
        <f>IF(OR(INDEX($W$2:$W$1001,MATCH(ROWS($V$2:V330),$V$2:$V$1001,0),1)&gt;=100000,INDEX($AC$1005:$AS$1005,1,MATCH(COLUMNS($AC$1006:AC1006),$AC$1006:$AS$1006,0))&gt;=100000), " ",IF(INDEX($AC$2:$AS$1001,MATCH(ROWS($V$2:V330),$V$2:$V$1001,0),MATCH(COLUMNS($AC$1006:AC1006),$AC$1006:$AS$1006,0)), HYPERLINK("#",""), HYPERLINK(CONCATENATE("#Metadata!", ADDRESS(INDEX($X$2:$X$1001,MATCH(ROWS($V$2:V330),$V$2:$V$1001,0),0), INDEX($AC$1004:$AS$1004,1,MATCH(COLUMNS($AC$1006:AC1006),$AC$1006:$AS$1006,0)))),"Fix")))</f>
        <v>0</v>
      </c>
      <c r="C330" s="5">
        <f>IF(OR(INDEX($W$2:$W$1001,MATCH(ROWS($V$2:V330),$V$2:$V$1001,0),1)&gt;=100000,INDEX($AC$1005:$AS$1005,1,MATCH(COLUMNS($AC$1006:AD1006),$AC$1006:$AS$1006,0))&gt;=100000), " ",IF(INDEX($AC$2:$AS$1001,MATCH(ROWS($V$2:V330),$V$2:$V$1001,0),MATCH(COLUMNS($AC$1006:AD1006),$AC$1006:$AS$1006,0)), HYPERLINK("#",""), HYPERLINK(CONCATENATE("#Metadata!", ADDRESS(INDEX($X$2:$X$1001,MATCH(ROWS($V$2:V330),$V$2:$V$1001,0),0), INDEX($AC$1004:$AS$1004,1,MATCH(COLUMNS($AC$1006:AD1006),$AC$1006:$AS$1006,0)))),"Fix")))</f>
        <v>0</v>
      </c>
      <c r="D330" s="5">
        <f>IF(OR(INDEX($W$2:$W$1001,MATCH(ROWS($V$2:V330),$V$2:$V$1001,0),1)&gt;=100000,INDEX($AC$1005:$AS$1005,1,MATCH(COLUMNS($AC$1006:AE1006),$AC$1006:$AS$1006,0))&gt;=100000), " ",IF(INDEX($AC$2:$AS$1001,MATCH(ROWS($V$2:V330),$V$2:$V$1001,0),MATCH(COLUMNS($AC$1006:AE1006),$AC$1006:$AS$1006,0)), HYPERLINK("#",""), HYPERLINK(CONCATENATE("#Metadata!", ADDRESS(INDEX($X$2:$X$1001,MATCH(ROWS($V$2:V330),$V$2:$V$1001,0),0), INDEX($AC$1004:$AS$1004,1,MATCH(COLUMNS($AC$1006:AE1006),$AC$1006:$AS$1006,0)))),"Fix")))</f>
        <v>0</v>
      </c>
      <c r="E330" s="5">
        <f>IF(OR(INDEX($W$2:$W$1001,MATCH(ROWS($V$2:V330),$V$2:$V$1001,0),1)&gt;=100000,INDEX($AC$1005:$AS$1005,1,MATCH(COLUMNS($AC$1006:AF1006),$AC$1006:$AS$1006,0))&gt;=100000), " ",IF(INDEX($AC$2:$AS$1001,MATCH(ROWS($V$2:V330),$V$2:$V$1001,0),MATCH(COLUMNS($AC$1006:AF1006),$AC$1006:$AS$1006,0)), HYPERLINK("#",""), HYPERLINK(CONCATENATE("#Metadata!", ADDRESS(INDEX($X$2:$X$1001,MATCH(ROWS($V$2:V330),$V$2:$V$1001,0),0), INDEX($AC$1004:$AS$1004,1,MATCH(COLUMNS($AC$1006:AF1006),$AC$1006:$AS$1006,0)))),"Fix")))</f>
        <v>0</v>
      </c>
      <c r="F330" s="5">
        <f>IF(OR(INDEX($W$2:$W$1001,MATCH(ROWS($V$2:V330),$V$2:$V$1001,0),1)&gt;=100000,INDEX($AC$1005:$AS$1005,1,MATCH(COLUMNS($AC$1006:AG1006),$AC$1006:$AS$1006,0))&gt;=100000), " ",IF(INDEX($AC$2:$AS$1001,MATCH(ROWS($V$2:V330),$V$2:$V$1001,0),MATCH(COLUMNS($AC$1006:AG1006),$AC$1006:$AS$1006,0)), HYPERLINK("#",""), HYPERLINK(CONCATENATE("#Metadata!", ADDRESS(INDEX($X$2:$X$1001,MATCH(ROWS($V$2:V330),$V$2:$V$1001,0),0), INDEX($AC$1004:$AS$1004,1,MATCH(COLUMNS($AC$1006:AG1006),$AC$1006:$AS$1006,0)))),"Fix")))</f>
        <v>0</v>
      </c>
      <c r="G330" s="5">
        <f>IF(OR(INDEX($W$2:$W$1001,MATCH(ROWS($V$2:V330),$V$2:$V$1001,0),1)&gt;=100000,INDEX($AC$1005:$AS$1005,1,MATCH(COLUMNS($AC$1006:AH1006),$AC$1006:$AS$1006,0))&gt;=100000), " ",IF(INDEX($AC$2:$AS$1001,MATCH(ROWS($V$2:V330),$V$2:$V$1001,0),MATCH(COLUMNS($AC$1006:AH1006),$AC$1006:$AS$1006,0)), HYPERLINK("#",""), HYPERLINK(CONCATENATE("#Metadata!", ADDRESS(INDEX($X$2:$X$1001,MATCH(ROWS($V$2:V330),$V$2:$V$1001,0),0), INDEX($AC$1004:$AS$1004,1,MATCH(COLUMNS($AC$1006:AH1006),$AC$1006:$AS$1006,0)))),"Fix")))</f>
        <v>0</v>
      </c>
      <c r="H330" s="5">
        <f>IF(OR(INDEX($W$2:$W$1001,MATCH(ROWS($V$2:V330),$V$2:$V$1001,0),1)&gt;=100000,INDEX($AC$1005:$AS$1005,1,MATCH(COLUMNS($AC$1006:AI1006),$AC$1006:$AS$1006,0))&gt;=100000), " ",IF(INDEX($AC$2:$AS$1001,MATCH(ROWS($V$2:V330),$V$2:$V$1001,0),MATCH(COLUMNS($AC$1006:AI1006),$AC$1006:$AS$1006,0)), HYPERLINK("#",""), HYPERLINK(CONCATENATE("#Metadata!", ADDRESS(INDEX($X$2:$X$1001,MATCH(ROWS($V$2:V330),$V$2:$V$1001,0),0), INDEX($AC$1004:$AS$1004,1,MATCH(COLUMNS($AC$1006:AI1006),$AC$1006:$AS$1006,0)))),"Fix")))</f>
        <v>0</v>
      </c>
      <c r="I330" s="5">
        <f>IF(OR(INDEX($W$2:$W$1001,MATCH(ROWS($V$2:V330),$V$2:$V$1001,0),1)&gt;=100000,INDEX($AC$1005:$AS$1005,1,MATCH(COLUMNS($AC$1006:AJ1006),$AC$1006:$AS$1006,0))&gt;=100000), " ",IF(INDEX($AC$2:$AS$1001,MATCH(ROWS($V$2:V330),$V$2:$V$1001,0),MATCH(COLUMNS($AC$1006:AJ1006),$AC$1006:$AS$1006,0)), HYPERLINK("#",""), HYPERLINK(CONCATENATE("#Metadata!", ADDRESS(INDEX($X$2:$X$1001,MATCH(ROWS($V$2:V330),$V$2:$V$1001,0),0), INDEX($AC$1004:$AS$1004,1,MATCH(COLUMNS($AC$1006:AJ1006),$AC$1006:$AS$1006,0)))),"Fix")))</f>
        <v>0</v>
      </c>
      <c r="J330" s="5">
        <f>IF(OR(INDEX($W$2:$W$1001,MATCH(ROWS($V$2:V330),$V$2:$V$1001,0),1)&gt;=100000,INDEX($AC$1005:$AS$1005,1,MATCH(COLUMNS($AC$1006:AK1006),$AC$1006:$AS$1006,0))&gt;=100000), " ",IF(INDEX($AC$2:$AS$1001,MATCH(ROWS($V$2:V330),$V$2:$V$1001,0),MATCH(COLUMNS($AC$1006:AK1006),$AC$1006:$AS$1006,0)), HYPERLINK("#",""), HYPERLINK(CONCATENATE("#Metadata!", ADDRESS(INDEX($X$2:$X$1001,MATCH(ROWS($V$2:V330),$V$2:$V$1001,0),0), INDEX($AC$1004:$AS$1004,1,MATCH(COLUMNS($AC$1006:AK1006),$AC$1006:$AS$1006,0)))),"Fix")))</f>
        <v>0</v>
      </c>
      <c r="K330" s="5">
        <f>IF(OR(INDEX($W$2:$W$1001,MATCH(ROWS($V$2:V330),$V$2:$V$1001,0),1)&gt;=100000,INDEX($AC$1005:$AS$1005,1,MATCH(COLUMNS($AC$1006:AL1006),$AC$1006:$AS$1006,0))&gt;=100000), " ",IF(INDEX($AC$2:$AS$1001,MATCH(ROWS($V$2:V330),$V$2:$V$1001,0),MATCH(COLUMNS($AC$1006:AL1006),$AC$1006:$AS$1006,0)), HYPERLINK("#",""), HYPERLINK(CONCATENATE("#Metadata!", ADDRESS(INDEX($X$2:$X$1001,MATCH(ROWS($V$2:V330),$V$2:$V$1001,0),0), INDEX($AC$1004:$AS$1004,1,MATCH(COLUMNS($AC$1006:AL1006),$AC$1006:$AS$1006,0)))),"Fix")))</f>
        <v>0</v>
      </c>
      <c r="L330" s="5">
        <f>IF(OR(INDEX($W$2:$W$1001,MATCH(ROWS($V$2:V330),$V$2:$V$1001,0),1)&gt;=100000,INDEX($AC$1005:$AS$1005,1,MATCH(COLUMNS($AC$1006:AM1006),$AC$1006:$AS$1006,0))&gt;=100000), " ",IF(INDEX($AC$2:$AS$1001,MATCH(ROWS($V$2:V330),$V$2:$V$1001,0),MATCH(COLUMNS($AC$1006:AM1006),$AC$1006:$AS$1006,0)), HYPERLINK("#",""), HYPERLINK(CONCATENATE("#Metadata!", ADDRESS(INDEX($X$2:$X$1001,MATCH(ROWS($V$2:V330),$V$2:$V$1001,0),0), INDEX($AC$1004:$AS$1004,1,MATCH(COLUMNS($AC$1006:AM1006),$AC$1006:$AS$1006,0)))),"Fix")))</f>
        <v>0</v>
      </c>
      <c r="M330" s="5">
        <f>IF(OR(INDEX($W$2:$W$1001,MATCH(ROWS($V$2:V330),$V$2:$V$1001,0),1)&gt;=100000,INDEX($AC$1005:$AS$1005,1,MATCH(COLUMNS($AC$1006:AN1006),$AC$1006:$AS$1006,0))&gt;=100000), " ",IF(INDEX($AC$2:$AS$1001,MATCH(ROWS($V$2:V330),$V$2:$V$1001,0),MATCH(COLUMNS($AC$1006:AN1006),$AC$1006:$AS$1006,0)), HYPERLINK("#",""), HYPERLINK(CONCATENATE("#Metadata!", ADDRESS(INDEX($X$2:$X$1001,MATCH(ROWS($V$2:V330),$V$2:$V$1001,0),0), INDEX($AC$1004:$AS$1004,1,MATCH(COLUMNS($AC$1006:AN1006),$AC$1006:$AS$1006,0)))),"Fix")))</f>
        <v>0</v>
      </c>
      <c r="N330" s="5">
        <f>IF(OR(INDEX($W$2:$W$1001,MATCH(ROWS($V$2:V330),$V$2:$V$1001,0),1)&gt;=100000,INDEX($AC$1005:$AS$1005,1,MATCH(COLUMNS($AC$1006:AO1006),$AC$1006:$AS$1006,0))&gt;=100000), " ",IF(INDEX($AC$2:$AS$1001,MATCH(ROWS($V$2:V330),$V$2:$V$1001,0),MATCH(COLUMNS($AC$1006:AO1006),$AC$1006:$AS$1006,0)), HYPERLINK("#",""), HYPERLINK(CONCATENATE("#Metadata!", ADDRESS(INDEX($X$2:$X$1001,MATCH(ROWS($V$2:V330),$V$2:$V$1001,0),0), INDEX($AC$1004:$AS$1004,1,MATCH(COLUMNS($AC$1006:AO1006),$AC$1006:$AS$1006,0)))),"Fix")))</f>
        <v>0</v>
      </c>
      <c r="O330" s="5">
        <f>IF(OR(INDEX($W$2:$W$1001,MATCH(ROWS($V$2:V330),$V$2:$V$1001,0),1)&gt;=100000,INDEX($AC$1005:$AS$1005,1,MATCH(COLUMNS($AC$1006:AP1006),$AC$1006:$AS$1006,0))&gt;=100000), " ",IF(INDEX($AC$2:$AS$1001,MATCH(ROWS($V$2:V330),$V$2:$V$1001,0),MATCH(COLUMNS($AC$1006:AP1006),$AC$1006:$AS$1006,0)), HYPERLINK("#",""), HYPERLINK(CONCATENATE("#Metadata!", ADDRESS(INDEX($X$2:$X$1001,MATCH(ROWS($V$2:V330),$V$2:$V$1001,0),0), INDEX($AC$1004:$AS$1004,1,MATCH(COLUMNS($AC$1006:AP1006),$AC$1006:$AS$1006,0)))),"Fix")))</f>
        <v>0</v>
      </c>
      <c r="P330" s="5">
        <f>IF(OR(INDEX($W$2:$W$1001,MATCH(ROWS($V$2:V330),$V$2:$V$1001,0),1)&gt;=100000,INDEX($AC$1005:$AS$1005,1,MATCH(COLUMNS($AC$1006:AQ1006),$AC$1006:$AS$1006,0))&gt;=100000), " ",IF(INDEX($AC$2:$AS$1001,MATCH(ROWS($V$2:V330),$V$2:$V$1001,0),MATCH(COLUMNS($AC$1006:AQ1006),$AC$1006:$AS$1006,0)), HYPERLINK("#",""), HYPERLINK(CONCATENATE("#Metadata!", ADDRESS(INDEX($X$2:$X$1001,MATCH(ROWS($V$2:V330),$V$2:$V$1001,0),0), INDEX($AC$1004:$AS$1004,1,MATCH(COLUMNS($AC$1006:AQ1006),$AC$1006:$AS$1006,0)))),"Fix")))</f>
        <v>0</v>
      </c>
      <c r="Q330" s="5">
        <f>IF(OR(INDEX($W$2:$W$1001,MATCH(ROWS($V$2:V330),$V$2:$V$1001,0),1)&gt;=100000,INDEX($AC$1005:$AS$1005,1,MATCH(COLUMNS($AC$1006:AR1006),$AC$1006:$AS$1006,0))&gt;=100000), " ",IF(INDEX($AC$2:$AS$1001,MATCH(ROWS($V$2:V330),$V$2:$V$1001,0),MATCH(COLUMNS($AC$1006:AR1006),$AC$1006:$AS$1006,0)), HYPERLINK("#",""), HYPERLINK(CONCATENATE("#Metadata!", ADDRESS(INDEX($X$2:$X$1001,MATCH(ROWS($V$2:V330),$V$2:$V$1001,0),0), INDEX($AC$1004:$AS$1004,1,MATCH(COLUMNS($AC$1006:AR1006),$AC$1006:$AS$1006,0)))),"Fix")))</f>
        <v>0</v>
      </c>
      <c r="R330" s="5">
        <f>IF(OR(INDEX($W$2:$W$1001,MATCH(ROWS($V$2:V330),$V$2:$V$1001,0),1)&gt;=100000,INDEX($AC$1005:$AS$1005,1,MATCH(COLUMNS($AC$1006:AS1006),$AC$1006:$AS$1006,0))&gt;=100000), " ",IF(INDEX($AC$2:$AS$1001,MATCH(ROWS($V$2:V330),$V$2:$V$1001,0),MATCH(COLUMNS($AC$1006:AS1006),$AC$1006:$AS$1006,0)), HYPERLINK("#",""), HYPERLINK(CONCATENATE("#Metadata!", ADDRESS(INDEX($X$2:$X$1001,MATCH(ROWS($V$2:V330),$V$2:$V$1001,0),0), INDEX($AC$1004:$AS$1004,1,MATCH(COLUMNS($AC$1006:AS1006),$AC$1006:$AS$1006,0)))),"Fix")))</f>
        <v>0</v>
      </c>
      <c r="V330">
        <v>0</v>
      </c>
      <c r="W330">
        <v>0</v>
      </c>
      <c r="X330">
        <v>0</v>
      </c>
      <c r="Y330">
        <f>IF(Z330,TRUE,AND(AC330:AS330))</f>
        <v>0</v>
      </c>
      <c r="Z330">
        <f>COUNTBLANK(Metadata!B330:R330)=COLUMNS(Metadata!B330:R330)</f>
        <v>0</v>
      </c>
      <c r="AA330">
        <v>0</v>
      </c>
      <c r="AC330">
        <f>AND(IF(Metadata!B330="",FALSE,TRUE),COUNTIF(Metadata!B:B, Metadata!B330) = 1,NOT(ISERROR(SUMPRODUCT(SEARCH(MID(Metadata!B330,ROW(INDIRECT("1:"&amp;LEN(Metadata!B330))), 1),"0123456789abcdefghijklmnopqrstuvwxyzABCDEFGHIJKLMNOPQRSTUVWXYZ.")))))</f>
        <v>0</v>
      </c>
      <c r="AD330">
        <f>AND(IF(Metadata!C330="",FALSE,TRUE),exact(Metadata!C330,"Host-associated"))</f>
        <v>0</v>
      </c>
      <c r="AE330">
        <f>AND(IF(Metadata!D330="",FALSE,TRUE),OR(exact(Metadata!D330,"Animal"),exact(Metadata!D330,"Fungus"),exact(Metadata!D330,"Plant")))</f>
        <v>0</v>
      </c>
      <c r="AF330">
        <f>AND(IF(Metadata!E330="",FALSE,TRUE),OR(exact(Metadata!E330,"Plant secretion"),exact(Metadata!E330,"Plant rhizosphere"),exact(Metadata!E330,"Plant surface"),exact(Metadata!E330,"Plant corpus"),exact(Metadata!E330,"Fungus surface"),exact(Metadata!E330,"Fungus corpus"),exact(Metadata!E330,"Animal surface"),exact(Metadata!E330,"Animal proximal gut"),exact(Metadata!E330,"Animal corpus"),exact(Metadata!E330,"Animal distal gut"),exact(Metadata!E330,"Animal secretion")))</f>
        <v>0</v>
      </c>
      <c r="AG330">
        <f>OR(AND(IF(Metadata!F330="",FALSE,TRUE),OR(exact(Metadata!F330,"not collected"),exact(Metadata!F330,"not provided"),exact(Metadata!F330,"restricted access"))),AND(IF(Metadata!F330="",FALSE,TRUE),OR(exact(Metadata!F330,"organism-associated habitat"),exact(Metadata!F330,"plant-associated habitat"),exact(Metadata!F330,"animal-associated habitat"),exact(Metadata!F330,"insecta-associated habitat"),exact(Metadata!F330,"mammalia-associated habitat"),exact(Metadata!F330,"human-associated habitat"),exact(Metadata!F330,"livestock-associated habitat"))))</f>
        <v>0</v>
      </c>
      <c r="AH330">
        <f>AND(IF(Metadata!G330="",FALSE,TRUE),exact(Metadata!G330,"host-associated"))</f>
        <v>0</v>
      </c>
      <c r="AI330">
        <f>OR(AND(IF(Metadata!H330="",FALSE,TRUE),OR(exact(Metadata!H330,"not collected"),exact(Metadata!H330,"not provided"))),AND(IF(Metadata!H330="",FALSE,ISNUMBER(VALUE(Metadata!H330))),Metadata!H330&gt;0))</f>
        <v>0</v>
      </c>
      <c r="AJ330">
        <f>AND(IF(Metadata!I330="",FALSE,TRUE),exact(Metadata!I330,"years"))</f>
        <v>0</v>
      </c>
      <c r="AK330">
        <f>IF(Metadata!J330="",FALSE,TRUE)</f>
        <v>0</v>
      </c>
      <c r="AL330">
        <f>OR(AND(IF(Metadata!K330="",FALSE,TRUE),OR(exact(Metadata!K330,"not collected"),exact(Metadata!K330,"not provided"))),AND(IF(Metadata!K330="",FALSE,ISNUMBER(VALUE(Metadata!K330))),Metadata!K330&gt;0))</f>
        <v>0</v>
      </c>
      <c r="AM330">
        <f>AND(IF(Metadata!L330="",FALSE,TRUE),exact(Metadata!L330,"cm"))</f>
        <v>0</v>
      </c>
      <c r="AN330">
        <f>IF(Metadata!M330="",FALSE,TRUE)</f>
        <v>0</v>
      </c>
      <c r="AO330">
        <f>OR(AND(IF(Metadata!N330="",FALSE,TRUE),OR(exact(Metadata!N330,"not applicable"),exact(Metadata!N330,"not collected"),exact(Metadata!N330,"not provided"))),AND(IF(Metadata!N330="",FALSE,IF(ISERROR(INT(Metadata!N330)),FALSE,INT(Metadata!N330)=Metadata!N330)),Metadata!N330&gt;0))</f>
        <v>0</v>
      </c>
      <c r="AP330">
        <f>OR(AND(IF(Metadata!O330="",FALSE,TRUE),OR(exact(Metadata!O330,"not collected"),exact(Metadata!O330,"not provided"))),AND(IF(Metadata!O330="",FALSE,ISNUMBER(VALUE(Metadata!O330))),Metadata!O330&gt;0))</f>
        <v>0</v>
      </c>
      <c r="AQ330">
        <f>AND(IF(Metadata!P330="",FALSE,TRUE),exact(Metadata!P330,"kg"))</f>
        <v>0</v>
      </c>
      <c r="AR330">
        <f>OR(AND(IF(Metadata!Q330="",FALSE,TRUE),OR(exact(Metadata!Q330,"not applicable"),exact(Metadata!Q330,"not collected"),exact(Metadata!Q330,"not provided"),exact(Metadata!Q330,"restricted access"))),IF(Metadata!Q330="",FALSE,IF(ISERROR(INT(Metadata!Q330)),FALSE,INT(Metadata!Q330)=Metadata!Q330)))</f>
        <v>0</v>
      </c>
      <c r="AS330">
        <f>AND(IF(Metadata!R330="",FALSE,TRUE),exact(Metadata!R330,"Not applicable"))</f>
        <v>0</v>
      </c>
    </row>
    <row r="331" spans="1:45">
      <c r="A331" s="4">
        <f>IF(B331=" "," ",HYPERLINK(CONCATENATE("#metadata!",ADDRESS(INDEX($X$2:$X$1001,MATCH(ROWS($V$2:V331),$V$2:$V$1001,0),0),2)),INDEX($AA$2:$AA$1001,MATCH(ROWS($V$2:V331),$V$2:$V$1001,0),0)))</f>
        <v>0</v>
      </c>
      <c r="B331" s="5">
        <f>IF(OR(INDEX($W$2:$W$1001,MATCH(ROWS($V$2:V331),$V$2:$V$1001,0),1)&gt;=100000,INDEX($AC$1005:$AS$1005,1,MATCH(COLUMNS($AC$1006:AC1006),$AC$1006:$AS$1006,0))&gt;=100000), " ",IF(INDEX($AC$2:$AS$1001,MATCH(ROWS($V$2:V331),$V$2:$V$1001,0),MATCH(COLUMNS($AC$1006:AC1006),$AC$1006:$AS$1006,0)), HYPERLINK("#",""), HYPERLINK(CONCATENATE("#Metadata!", ADDRESS(INDEX($X$2:$X$1001,MATCH(ROWS($V$2:V331),$V$2:$V$1001,0),0), INDEX($AC$1004:$AS$1004,1,MATCH(COLUMNS($AC$1006:AC1006),$AC$1006:$AS$1006,0)))),"Fix")))</f>
        <v>0</v>
      </c>
      <c r="C331" s="5">
        <f>IF(OR(INDEX($W$2:$W$1001,MATCH(ROWS($V$2:V331),$V$2:$V$1001,0),1)&gt;=100000,INDEX($AC$1005:$AS$1005,1,MATCH(COLUMNS($AC$1006:AD1006),$AC$1006:$AS$1006,0))&gt;=100000), " ",IF(INDEX($AC$2:$AS$1001,MATCH(ROWS($V$2:V331),$V$2:$V$1001,0),MATCH(COLUMNS($AC$1006:AD1006),$AC$1006:$AS$1006,0)), HYPERLINK("#",""), HYPERLINK(CONCATENATE("#Metadata!", ADDRESS(INDEX($X$2:$X$1001,MATCH(ROWS($V$2:V331),$V$2:$V$1001,0),0), INDEX($AC$1004:$AS$1004,1,MATCH(COLUMNS($AC$1006:AD1006),$AC$1006:$AS$1006,0)))),"Fix")))</f>
        <v>0</v>
      </c>
      <c r="D331" s="5">
        <f>IF(OR(INDEX($W$2:$W$1001,MATCH(ROWS($V$2:V331),$V$2:$V$1001,0),1)&gt;=100000,INDEX($AC$1005:$AS$1005,1,MATCH(COLUMNS($AC$1006:AE1006),$AC$1006:$AS$1006,0))&gt;=100000), " ",IF(INDEX($AC$2:$AS$1001,MATCH(ROWS($V$2:V331),$V$2:$V$1001,0),MATCH(COLUMNS($AC$1006:AE1006),$AC$1006:$AS$1006,0)), HYPERLINK("#",""), HYPERLINK(CONCATENATE("#Metadata!", ADDRESS(INDEX($X$2:$X$1001,MATCH(ROWS($V$2:V331),$V$2:$V$1001,0),0), INDEX($AC$1004:$AS$1004,1,MATCH(COLUMNS($AC$1006:AE1006),$AC$1006:$AS$1006,0)))),"Fix")))</f>
        <v>0</v>
      </c>
      <c r="E331" s="5">
        <f>IF(OR(INDEX($W$2:$W$1001,MATCH(ROWS($V$2:V331),$V$2:$V$1001,0),1)&gt;=100000,INDEX($AC$1005:$AS$1005,1,MATCH(COLUMNS($AC$1006:AF1006),$AC$1006:$AS$1006,0))&gt;=100000), " ",IF(INDEX($AC$2:$AS$1001,MATCH(ROWS($V$2:V331),$V$2:$V$1001,0),MATCH(COLUMNS($AC$1006:AF1006),$AC$1006:$AS$1006,0)), HYPERLINK("#",""), HYPERLINK(CONCATENATE("#Metadata!", ADDRESS(INDEX($X$2:$X$1001,MATCH(ROWS($V$2:V331),$V$2:$V$1001,0),0), INDEX($AC$1004:$AS$1004,1,MATCH(COLUMNS($AC$1006:AF1006),$AC$1006:$AS$1006,0)))),"Fix")))</f>
        <v>0</v>
      </c>
      <c r="F331" s="5">
        <f>IF(OR(INDEX($W$2:$W$1001,MATCH(ROWS($V$2:V331),$V$2:$V$1001,0),1)&gt;=100000,INDEX($AC$1005:$AS$1005,1,MATCH(COLUMNS($AC$1006:AG1006),$AC$1006:$AS$1006,0))&gt;=100000), " ",IF(INDEX($AC$2:$AS$1001,MATCH(ROWS($V$2:V331),$V$2:$V$1001,0),MATCH(COLUMNS($AC$1006:AG1006),$AC$1006:$AS$1006,0)), HYPERLINK("#",""), HYPERLINK(CONCATENATE("#Metadata!", ADDRESS(INDEX($X$2:$X$1001,MATCH(ROWS($V$2:V331),$V$2:$V$1001,0),0), INDEX($AC$1004:$AS$1004,1,MATCH(COLUMNS($AC$1006:AG1006),$AC$1006:$AS$1006,0)))),"Fix")))</f>
        <v>0</v>
      </c>
      <c r="G331" s="5">
        <f>IF(OR(INDEX($W$2:$W$1001,MATCH(ROWS($V$2:V331),$V$2:$V$1001,0),1)&gt;=100000,INDEX($AC$1005:$AS$1005,1,MATCH(COLUMNS($AC$1006:AH1006),$AC$1006:$AS$1006,0))&gt;=100000), " ",IF(INDEX($AC$2:$AS$1001,MATCH(ROWS($V$2:V331),$V$2:$V$1001,0),MATCH(COLUMNS($AC$1006:AH1006),$AC$1006:$AS$1006,0)), HYPERLINK("#",""), HYPERLINK(CONCATENATE("#Metadata!", ADDRESS(INDEX($X$2:$X$1001,MATCH(ROWS($V$2:V331),$V$2:$V$1001,0),0), INDEX($AC$1004:$AS$1004,1,MATCH(COLUMNS($AC$1006:AH1006),$AC$1006:$AS$1006,0)))),"Fix")))</f>
        <v>0</v>
      </c>
      <c r="H331" s="5">
        <f>IF(OR(INDEX($W$2:$W$1001,MATCH(ROWS($V$2:V331),$V$2:$V$1001,0),1)&gt;=100000,INDEX($AC$1005:$AS$1005,1,MATCH(COLUMNS($AC$1006:AI1006),$AC$1006:$AS$1006,0))&gt;=100000), " ",IF(INDEX($AC$2:$AS$1001,MATCH(ROWS($V$2:V331),$V$2:$V$1001,0),MATCH(COLUMNS($AC$1006:AI1006),$AC$1006:$AS$1006,0)), HYPERLINK("#",""), HYPERLINK(CONCATENATE("#Metadata!", ADDRESS(INDEX($X$2:$X$1001,MATCH(ROWS($V$2:V331),$V$2:$V$1001,0),0), INDEX($AC$1004:$AS$1004,1,MATCH(COLUMNS($AC$1006:AI1006),$AC$1006:$AS$1006,0)))),"Fix")))</f>
        <v>0</v>
      </c>
      <c r="I331" s="5">
        <f>IF(OR(INDEX($W$2:$W$1001,MATCH(ROWS($V$2:V331),$V$2:$V$1001,0),1)&gt;=100000,INDEX($AC$1005:$AS$1005,1,MATCH(COLUMNS($AC$1006:AJ1006),$AC$1006:$AS$1006,0))&gt;=100000), " ",IF(INDEX($AC$2:$AS$1001,MATCH(ROWS($V$2:V331),$V$2:$V$1001,0),MATCH(COLUMNS($AC$1006:AJ1006),$AC$1006:$AS$1006,0)), HYPERLINK("#",""), HYPERLINK(CONCATENATE("#Metadata!", ADDRESS(INDEX($X$2:$X$1001,MATCH(ROWS($V$2:V331),$V$2:$V$1001,0),0), INDEX($AC$1004:$AS$1004,1,MATCH(COLUMNS($AC$1006:AJ1006),$AC$1006:$AS$1006,0)))),"Fix")))</f>
        <v>0</v>
      </c>
      <c r="J331" s="5">
        <f>IF(OR(INDEX($W$2:$W$1001,MATCH(ROWS($V$2:V331),$V$2:$V$1001,0),1)&gt;=100000,INDEX($AC$1005:$AS$1005,1,MATCH(COLUMNS($AC$1006:AK1006),$AC$1006:$AS$1006,0))&gt;=100000), " ",IF(INDEX($AC$2:$AS$1001,MATCH(ROWS($V$2:V331),$V$2:$V$1001,0),MATCH(COLUMNS($AC$1006:AK1006),$AC$1006:$AS$1006,0)), HYPERLINK("#",""), HYPERLINK(CONCATENATE("#Metadata!", ADDRESS(INDEX($X$2:$X$1001,MATCH(ROWS($V$2:V331),$V$2:$V$1001,0),0), INDEX($AC$1004:$AS$1004,1,MATCH(COLUMNS($AC$1006:AK1006),$AC$1006:$AS$1006,0)))),"Fix")))</f>
        <v>0</v>
      </c>
      <c r="K331" s="5">
        <f>IF(OR(INDEX($W$2:$W$1001,MATCH(ROWS($V$2:V331),$V$2:$V$1001,0),1)&gt;=100000,INDEX($AC$1005:$AS$1005,1,MATCH(COLUMNS($AC$1006:AL1006),$AC$1006:$AS$1006,0))&gt;=100000), " ",IF(INDEX($AC$2:$AS$1001,MATCH(ROWS($V$2:V331),$V$2:$V$1001,0),MATCH(COLUMNS($AC$1006:AL1006),$AC$1006:$AS$1006,0)), HYPERLINK("#",""), HYPERLINK(CONCATENATE("#Metadata!", ADDRESS(INDEX($X$2:$X$1001,MATCH(ROWS($V$2:V331),$V$2:$V$1001,0),0), INDEX($AC$1004:$AS$1004,1,MATCH(COLUMNS($AC$1006:AL1006),$AC$1006:$AS$1006,0)))),"Fix")))</f>
        <v>0</v>
      </c>
      <c r="L331" s="5">
        <f>IF(OR(INDEX($W$2:$W$1001,MATCH(ROWS($V$2:V331),$V$2:$V$1001,0),1)&gt;=100000,INDEX($AC$1005:$AS$1005,1,MATCH(COLUMNS($AC$1006:AM1006),$AC$1006:$AS$1006,0))&gt;=100000), " ",IF(INDEX($AC$2:$AS$1001,MATCH(ROWS($V$2:V331),$V$2:$V$1001,0),MATCH(COLUMNS($AC$1006:AM1006),$AC$1006:$AS$1006,0)), HYPERLINK("#",""), HYPERLINK(CONCATENATE("#Metadata!", ADDRESS(INDEX($X$2:$X$1001,MATCH(ROWS($V$2:V331),$V$2:$V$1001,0),0), INDEX($AC$1004:$AS$1004,1,MATCH(COLUMNS($AC$1006:AM1006),$AC$1006:$AS$1006,0)))),"Fix")))</f>
        <v>0</v>
      </c>
      <c r="M331" s="5">
        <f>IF(OR(INDEX($W$2:$W$1001,MATCH(ROWS($V$2:V331),$V$2:$V$1001,0),1)&gt;=100000,INDEX($AC$1005:$AS$1005,1,MATCH(COLUMNS($AC$1006:AN1006),$AC$1006:$AS$1006,0))&gt;=100000), " ",IF(INDEX($AC$2:$AS$1001,MATCH(ROWS($V$2:V331),$V$2:$V$1001,0),MATCH(COLUMNS($AC$1006:AN1006),$AC$1006:$AS$1006,0)), HYPERLINK("#",""), HYPERLINK(CONCATENATE("#Metadata!", ADDRESS(INDEX($X$2:$X$1001,MATCH(ROWS($V$2:V331),$V$2:$V$1001,0),0), INDEX($AC$1004:$AS$1004,1,MATCH(COLUMNS($AC$1006:AN1006),$AC$1006:$AS$1006,0)))),"Fix")))</f>
        <v>0</v>
      </c>
      <c r="N331" s="5">
        <f>IF(OR(INDEX($W$2:$W$1001,MATCH(ROWS($V$2:V331),$V$2:$V$1001,0),1)&gt;=100000,INDEX($AC$1005:$AS$1005,1,MATCH(COLUMNS($AC$1006:AO1006),$AC$1006:$AS$1006,0))&gt;=100000), " ",IF(INDEX($AC$2:$AS$1001,MATCH(ROWS($V$2:V331),$V$2:$V$1001,0),MATCH(COLUMNS($AC$1006:AO1006),$AC$1006:$AS$1006,0)), HYPERLINK("#",""), HYPERLINK(CONCATENATE("#Metadata!", ADDRESS(INDEX($X$2:$X$1001,MATCH(ROWS($V$2:V331),$V$2:$V$1001,0),0), INDEX($AC$1004:$AS$1004,1,MATCH(COLUMNS($AC$1006:AO1006),$AC$1006:$AS$1006,0)))),"Fix")))</f>
        <v>0</v>
      </c>
      <c r="O331" s="5">
        <f>IF(OR(INDEX($W$2:$W$1001,MATCH(ROWS($V$2:V331),$V$2:$V$1001,0),1)&gt;=100000,INDEX($AC$1005:$AS$1005,1,MATCH(COLUMNS($AC$1006:AP1006),$AC$1006:$AS$1006,0))&gt;=100000), " ",IF(INDEX($AC$2:$AS$1001,MATCH(ROWS($V$2:V331),$V$2:$V$1001,0),MATCH(COLUMNS($AC$1006:AP1006),$AC$1006:$AS$1006,0)), HYPERLINK("#",""), HYPERLINK(CONCATENATE("#Metadata!", ADDRESS(INDEX($X$2:$X$1001,MATCH(ROWS($V$2:V331),$V$2:$V$1001,0),0), INDEX($AC$1004:$AS$1004,1,MATCH(COLUMNS($AC$1006:AP1006),$AC$1006:$AS$1006,0)))),"Fix")))</f>
        <v>0</v>
      </c>
      <c r="P331" s="5">
        <f>IF(OR(INDEX($W$2:$W$1001,MATCH(ROWS($V$2:V331),$V$2:$V$1001,0),1)&gt;=100000,INDEX($AC$1005:$AS$1005,1,MATCH(COLUMNS($AC$1006:AQ1006),$AC$1006:$AS$1006,0))&gt;=100000), " ",IF(INDEX($AC$2:$AS$1001,MATCH(ROWS($V$2:V331),$V$2:$V$1001,0),MATCH(COLUMNS($AC$1006:AQ1006),$AC$1006:$AS$1006,0)), HYPERLINK("#",""), HYPERLINK(CONCATENATE("#Metadata!", ADDRESS(INDEX($X$2:$X$1001,MATCH(ROWS($V$2:V331),$V$2:$V$1001,0),0), INDEX($AC$1004:$AS$1004,1,MATCH(COLUMNS($AC$1006:AQ1006),$AC$1006:$AS$1006,0)))),"Fix")))</f>
        <v>0</v>
      </c>
      <c r="Q331" s="5">
        <f>IF(OR(INDEX($W$2:$W$1001,MATCH(ROWS($V$2:V331),$V$2:$V$1001,0),1)&gt;=100000,INDEX($AC$1005:$AS$1005,1,MATCH(COLUMNS($AC$1006:AR1006),$AC$1006:$AS$1006,0))&gt;=100000), " ",IF(INDEX($AC$2:$AS$1001,MATCH(ROWS($V$2:V331),$V$2:$V$1001,0),MATCH(COLUMNS($AC$1006:AR1006),$AC$1006:$AS$1006,0)), HYPERLINK("#",""), HYPERLINK(CONCATENATE("#Metadata!", ADDRESS(INDEX($X$2:$X$1001,MATCH(ROWS($V$2:V331),$V$2:$V$1001,0),0), INDEX($AC$1004:$AS$1004,1,MATCH(COLUMNS($AC$1006:AR1006),$AC$1006:$AS$1006,0)))),"Fix")))</f>
        <v>0</v>
      </c>
      <c r="R331" s="5">
        <f>IF(OR(INDEX($W$2:$W$1001,MATCH(ROWS($V$2:V331),$V$2:$V$1001,0),1)&gt;=100000,INDEX($AC$1005:$AS$1005,1,MATCH(COLUMNS($AC$1006:AS1006),$AC$1006:$AS$1006,0))&gt;=100000), " ",IF(INDEX($AC$2:$AS$1001,MATCH(ROWS($V$2:V331),$V$2:$V$1001,0),MATCH(COLUMNS($AC$1006:AS1006),$AC$1006:$AS$1006,0)), HYPERLINK("#",""), HYPERLINK(CONCATENATE("#Metadata!", ADDRESS(INDEX($X$2:$X$1001,MATCH(ROWS($V$2:V331),$V$2:$V$1001,0),0), INDEX($AC$1004:$AS$1004,1,MATCH(COLUMNS($AC$1006:AS1006),$AC$1006:$AS$1006,0)))),"Fix")))</f>
        <v>0</v>
      </c>
      <c r="V331">
        <v>0</v>
      </c>
      <c r="W331">
        <v>0</v>
      </c>
      <c r="X331">
        <v>0</v>
      </c>
      <c r="Y331">
        <f>IF(Z331,TRUE,AND(AC331:AS331))</f>
        <v>0</v>
      </c>
      <c r="Z331">
        <f>COUNTBLANK(Metadata!B331:R331)=COLUMNS(Metadata!B331:R331)</f>
        <v>0</v>
      </c>
      <c r="AA331">
        <v>0</v>
      </c>
      <c r="AC331">
        <f>AND(IF(Metadata!B331="",FALSE,TRUE),COUNTIF(Metadata!B:B, Metadata!B331) = 1,NOT(ISERROR(SUMPRODUCT(SEARCH(MID(Metadata!B331,ROW(INDIRECT("1:"&amp;LEN(Metadata!B331))), 1),"0123456789abcdefghijklmnopqrstuvwxyzABCDEFGHIJKLMNOPQRSTUVWXYZ.")))))</f>
        <v>0</v>
      </c>
      <c r="AD331">
        <f>AND(IF(Metadata!C331="",FALSE,TRUE),exact(Metadata!C331,"Host-associated"))</f>
        <v>0</v>
      </c>
      <c r="AE331">
        <f>AND(IF(Metadata!D331="",FALSE,TRUE),OR(exact(Metadata!D331,"Animal"),exact(Metadata!D331,"Fungus"),exact(Metadata!D331,"Plant")))</f>
        <v>0</v>
      </c>
      <c r="AF331">
        <f>AND(IF(Metadata!E331="",FALSE,TRUE),OR(exact(Metadata!E331,"Plant secretion"),exact(Metadata!E331,"Plant rhizosphere"),exact(Metadata!E331,"Plant surface"),exact(Metadata!E331,"Plant corpus"),exact(Metadata!E331,"Fungus surface"),exact(Metadata!E331,"Fungus corpus"),exact(Metadata!E331,"Animal surface"),exact(Metadata!E331,"Animal proximal gut"),exact(Metadata!E331,"Animal corpus"),exact(Metadata!E331,"Animal distal gut"),exact(Metadata!E331,"Animal secretion")))</f>
        <v>0</v>
      </c>
      <c r="AG331">
        <f>OR(AND(IF(Metadata!F331="",FALSE,TRUE),OR(exact(Metadata!F331,"not collected"),exact(Metadata!F331,"not provided"),exact(Metadata!F331,"restricted access"))),AND(IF(Metadata!F331="",FALSE,TRUE),OR(exact(Metadata!F331,"organism-associated habitat"),exact(Metadata!F331,"plant-associated habitat"),exact(Metadata!F331,"animal-associated habitat"),exact(Metadata!F331,"insecta-associated habitat"),exact(Metadata!F331,"mammalia-associated habitat"),exact(Metadata!F331,"human-associated habitat"),exact(Metadata!F331,"livestock-associated habitat"))))</f>
        <v>0</v>
      </c>
      <c r="AH331">
        <f>AND(IF(Metadata!G331="",FALSE,TRUE),exact(Metadata!G331,"host-associated"))</f>
        <v>0</v>
      </c>
      <c r="AI331">
        <f>OR(AND(IF(Metadata!H331="",FALSE,TRUE),OR(exact(Metadata!H331,"not collected"),exact(Metadata!H331,"not provided"))),AND(IF(Metadata!H331="",FALSE,ISNUMBER(VALUE(Metadata!H331))),Metadata!H331&gt;0))</f>
        <v>0</v>
      </c>
      <c r="AJ331">
        <f>AND(IF(Metadata!I331="",FALSE,TRUE),exact(Metadata!I331,"years"))</f>
        <v>0</v>
      </c>
      <c r="AK331">
        <f>IF(Metadata!J331="",FALSE,TRUE)</f>
        <v>0</v>
      </c>
      <c r="AL331">
        <f>OR(AND(IF(Metadata!K331="",FALSE,TRUE),OR(exact(Metadata!K331,"not collected"),exact(Metadata!K331,"not provided"))),AND(IF(Metadata!K331="",FALSE,ISNUMBER(VALUE(Metadata!K331))),Metadata!K331&gt;0))</f>
        <v>0</v>
      </c>
      <c r="AM331">
        <f>AND(IF(Metadata!L331="",FALSE,TRUE),exact(Metadata!L331,"cm"))</f>
        <v>0</v>
      </c>
      <c r="AN331">
        <f>IF(Metadata!M331="",FALSE,TRUE)</f>
        <v>0</v>
      </c>
      <c r="AO331">
        <f>OR(AND(IF(Metadata!N331="",FALSE,TRUE),OR(exact(Metadata!N331,"not applicable"),exact(Metadata!N331,"not collected"),exact(Metadata!N331,"not provided"))),AND(IF(Metadata!N331="",FALSE,IF(ISERROR(INT(Metadata!N331)),FALSE,INT(Metadata!N331)=Metadata!N331)),Metadata!N331&gt;0))</f>
        <v>0</v>
      </c>
      <c r="AP331">
        <f>OR(AND(IF(Metadata!O331="",FALSE,TRUE),OR(exact(Metadata!O331,"not collected"),exact(Metadata!O331,"not provided"))),AND(IF(Metadata!O331="",FALSE,ISNUMBER(VALUE(Metadata!O331))),Metadata!O331&gt;0))</f>
        <v>0</v>
      </c>
      <c r="AQ331">
        <f>AND(IF(Metadata!P331="",FALSE,TRUE),exact(Metadata!P331,"kg"))</f>
        <v>0</v>
      </c>
      <c r="AR331">
        <f>OR(AND(IF(Metadata!Q331="",FALSE,TRUE),OR(exact(Metadata!Q331,"not applicable"),exact(Metadata!Q331,"not collected"),exact(Metadata!Q331,"not provided"),exact(Metadata!Q331,"restricted access"))),IF(Metadata!Q331="",FALSE,IF(ISERROR(INT(Metadata!Q331)),FALSE,INT(Metadata!Q331)=Metadata!Q331)))</f>
        <v>0</v>
      </c>
      <c r="AS331">
        <f>AND(IF(Metadata!R331="",FALSE,TRUE),exact(Metadata!R331,"Not applicable"))</f>
        <v>0</v>
      </c>
    </row>
    <row r="332" spans="1:45">
      <c r="A332" s="4">
        <f>IF(B332=" "," ",HYPERLINK(CONCATENATE("#metadata!",ADDRESS(INDEX($X$2:$X$1001,MATCH(ROWS($V$2:V332),$V$2:$V$1001,0),0),2)),INDEX($AA$2:$AA$1001,MATCH(ROWS($V$2:V332),$V$2:$V$1001,0),0)))</f>
        <v>0</v>
      </c>
      <c r="B332" s="5">
        <f>IF(OR(INDEX($W$2:$W$1001,MATCH(ROWS($V$2:V332),$V$2:$V$1001,0),1)&gt;=100000,INDEX($AC$1005:$AS$1005,1,MATCH(COLUMNS($AC$1006:AC1006),$AC$1006:$AS$1006,0))&gt;=100000), " ",IF(INDEX($AC$2:$AS$1001,MATCH(ROWS($V$2:V332),$V$2:$V$1001,0),MATCH(COLUMNS($AC$1006:AC1006),$AC$1006:$AS$1006,0)), HYPERLINK("#",""), HYPERLINK(CONCATENATE("#Metadata!", ADDRESS(INDEX($X$2:$X$1001,MATCH(ROWS($V$2:V332),$V$2:$V$1001,0),0), INDEX($AC$1004:$AS$1004,1,MATCH(COLUMNS($AC$1006:AC1006),$AC$1006:$AS$1006,0)))),"Fix")))</f>
        <v>0</v>
      </c>
      <c r="C332" s="5">
        <f>IF(OR(INDEX($W$2:$W$1001,MATCH(ROWS($V$2:V332),$V$2:$V$1001,0),1)&gt;=100000,INDEX($AC$1005:$AS$1005,1,MATCH(COLUMNS($AC$1006:AD1006),$AC$1006:$AS$1006,0))&gt;=100000), " ",IF(INDEX($AC$2:$AS$1001,MATCH(ROWS($V$2:V332),$V$2:$V$1001,0),MATCH(COLUMNS($AC$1006:AD1006),$AC$1006:$AS$1006,0)), HYPERLINK("#",""), HYPERLINK(CONCATENATE("#Metadata!", ADDRESS(INDEX($X$2:$X$1001,MATCH(ROWS($V$2:V332),$V$2:$V$1001,0),0), INDEX($AC$1004:$AS$1004,1,MATCH(COLUMNS($AC$1006:AD1006),$AC$1006:$AS$1006,0)))),"Fix")))</f>
        <v>0</v>
      </c>
      <c r="D332" s="5">
        <f>IF(OR(INDEX($W$2:$W$1001,MATCH(ROWS($V$2:V332),$V$2:$V$1001,0),1)&gt;=100000,INDEX($AC$1005:$AS$1005,1,MATCH(COLUMNS($AC$1006:AE1006),$AC$1006:$AS$1006,0))&gt;=100000), " ",IF(INDEX($AC$2:$AS$1001,MATCH(ROWS($V$2:V332),$V$2:$V$1001,0),MATCH(COLUMNS($AC$1006:AE1006),$AC$1006:$AS$1006,0)), HYPERLINK("#",""), HYPERLINK(CONCATENATE("#Metadata!", ADDRESS(INDEX($X$2:$X$1001,MATCH(ROWS($V$2:V332),$V$2:$V$1001,0),0), INDEX($AC$1004:$AS$1004,1,MATCH(COLUMNS($AC$1006:AE1006),$AC$1006:$AS$1006,0)))),"Fix")))</f>
        <v>0</v>
      </c>
      <c r="E332" s="5">
        <f>IF(OR(INDEX($W$2:$W$1001,MATCH(ROWS($V$2:V332),$V$2:$V$1001,0),1)&gt;=100000,INDEX($AC$1005:$AS$1005,1,MATCH(COLUMNS($AC$1006:AF1006),$AC$1006:$AS$1006,0))&gt;=100000), " ",IF(INDEX($AC$2:$AS$1001,MATCH(ROWS($V$2:V332),$V$2:$V$1001,0),MATCH(COLUMNS($AC$1006:AF1006),$AC$1006:$AS$1006,0)), HYPERLINK("#",""), HYPERLINK(CONCATENATE("#Metadata!", ADDRESS(INDEX($X$2:$X$1001,MATCH(ROWS($V$2:V332),$V$2:$V$1001,0),0), INDEX($AC$1004:$AS$1004,1,MATCH(COLUMNS($AC$1006:AF1006),$AC$1006:$AS$1006,0)))),"Fix")))</f>
        <v>0</v>
      </c>
      <c r="F332" s="5">
        <f>IF(OR(INDEX($W$2:$W$1001,MATCH(ROWS($V$2:V332),$V$2:$V$1001,0),1)&gt;=100000,INDEX($AC$1005:$AS$1005,1,MATCH(COLUMNS($AC$1006:AG1006),$AC$1006:$AS$1006,0))&gt;=100000), " ",IF(INDEX($AC$2:$AS$1001,MATCH(ROWS($V$2:V332),$V$2:$V$1001,0),MATCH(COLUMNS($AC$1006:AG1006),$AC$1006:$AS$1006,0)), HYPERLINK("#",""), HYPERLINK(CONCATENATE("#Metadata!", ADDRESS(INDEX($X$2:$X$1001,MATCH(ROWS($V$2:V332),$V$2:$V$1001,0),0), INDEX($AC$1004:$AS$1004,1,MATCH(COLUMNS($AC$1006:AG1006),$AC$1006:$AS$1006,0)))),"Fix")))</f>
        <v>0</v>
      </c>
      <c r="G332" s="5">
        <f>IF(OR(INDEX($W$2:$W$1001,MATCH(ROWS($V$2:V332),$V$2:$V$1001,0),1)&gt;=100000,INDEX($AC$1005:$AS$1005,1,MATCH(COLUMNS($AC$1006:AH1006),$AC$1006:$AS$1006,0))&gt;=100000), " ",IF(INDEX($AC$2:$AS$1001,MATCH(ROWS($V$2:V332),$V$2:$V$1001,0),MATCH(COLUMNS($AC$1006:AH1006),$AC$1006:$AS$1006,0)), HYPERLINK("#",""), HYPERLINK(CONCATENATE("#Metadata!", ADDRESS(INDEX($X$2:$X$1001,MATCH(ROWS($V$2:V332),$V$2:$V$1001,0),0), INDEX($AC$1004:$AS$1004,1,MATCH(COLUMNS($AC$1006:AH1006),$AC$1006:$AS$1006,0)))),"Fix")))</f>
        <v>0</v>
      </c>
      <c r="H332" s="5">
        <f>IF(OR(INDEX($W$2:$W$1001,MATCH(ROWS($V$2:V332),$V$2:$V$1001,0),1)&gt;=100000,INDEX($AC$1005:$AS$1005,1,MATCH(COLUMNS($AC$1006:AI1006),$AC$1006:$AS$1006,0))&gt;=100000), " ",IF(INDEX($AC$2:$AS$1001,MATCH(ROWS($V$2:V332),$V$2:$V$1001,0),MATCH(COLUMNS($AC$1006:AI1006),$AC$1006:$AS$1006,0)), HYPERLINK("#",""), HYPERLINK(CONCATENATE("#Metadata!", ADDRESS(INDEX($X$2:$X$1001,MATCH(ROWS($V$2:V332),$V$2:$V$1001,0),0), INDEX($AC$1004:$AS$1004,1,MATCH(COLUMNS($AC$1006:AI1006),$AC$1006:$AS$1006,0)))),"Fix")))</f>
        <v>0</v>
      </c>
      <c r="I332" s="5">
        <f>IF(OR(INDEX($W$2:$W$1001,MATCH(ROWS($V$2:V332),$V$2:$V$1001,0),1)&gt;=100000,INDEX($AC$1005:$AS$1005,1,MATCH(COLUMNS($AC$1006:AJ1006),$AC$1006:$AS$1006,0))&gt;=100000), " ",IF(INDEX($AC$2:$AS$1001,MATCH(ROWS($V$2:V332),$V$2:$V$1001,0),MATCH(COLUMNS($AC$1006:AJ1006),$AC$1006:$AS$1006,0)), HYPERLINK("#",""), HYPERLINK(CONCATENATE("#Metadata!", ADDRESS(INDEX($X$2:$X$1001,MATCH(ROWS($V$2:V332),$V$2:$V$1001,0),0), INDEX($AC$1004:$AS$1004,1,MATCH(COLUMNS($AC$1006:AJ1006),$AC$1006:$AS$1006,0)))),"Fix")))</f>
        <v>0</v>
      </c>
      <c r="J332" s="5">
        <f>IF(OR(INDEX($W$2:$W$1001,MATCH(ROWS($V$2:V332),$V$2:$V$1001,0),1)&gt;=100000,INDEX($AC$1005:$AS$1005,1,MATCH(COLUMNS($AC$1006:AK1006),$AC$1006:$AS$1006,0))&gt;=100000), " ",IF(INDEX($AC$2:$AS$1001,MATCH(ROWS($V$2:V332),$V$2:$V$1001,0),MATCH(COLUMNS($AC$1006:AK1006),$AC$1006:$AS$1006,0)), HYPERLINK("#",""), HYPERLINK(CONCATENATE("#Metadata!", ADDRESS(INDEX($X$2:$X$1001,MATCH(ROWS($V$2:V332),$V$2:$V$1001,0),0), INDEX($AC$1004:$AS$1004,1,MATCH(COLUMNS($AC$1006:AK1006),$AC$1006:$AS$1006,0)))),"Fix")))</f>
        <v>0</v>
      </c>
      <c r="K332" s="5">
        <f>IF(OR(INDEX($W$2:$W$1001,MATCH(ROWS($V$2:V332),$V$2:$V$1001,0),1)&gt;=100000,INDEX($AC$1005:$AS$1005,1,MATCH(COLUMNS($AC$1006:AL1006),$AC$1006:$AS$1006,0))&gt;=100000), " ",IF(INDEX($AC$2:$AS$1001,MATCH(ROWS($V$2:V332),$V$2:$V$1001,0),MATCH(COLUMNS($AC$1006:AL1006),$AC$1006:$AS$1006,0)), HYPERLINK("#",""), HYPERLINK(CONCATENATE("#Metadata!", ADDRESS(INDEX($X$2:$X$1001,MATCH(ROWS($V$2:V332),$V$2:$V$1001,0),0), INDEX($AC$1004:$AS$1004,1,MATCH(COLUMNS($AC$1006:AL1006),$AC$1006:$AS$1006,0)))),"Fix")))</f>
        <v>0</v>
      </c>
      <c r="L332" s="5">
        <f>IF(OR(INDEX($W$2:$W$1001,MATCH(ROWS($V$2:V332),$V$2:$V$1001,0),1)&gt;=100000,INDEX($AC$1005:$AS$1005,1,MATCH(COLUMNS($AC$1006:AM1006),$AC$1006:$AS$1006,0))&gt;=100000), " ",IF(INDEX($AC$2:$AS$1001,MATCH(ROWS($V$2:V332),$V$2:$V$1001,0),MATCH(COLUMNS($AC$1006:AM1006),$AC$1006:$AS$1006,0)), HYPERLINK("#",""), HYPERLINK(CONCATENATE("#Metadata!", ADDRESS(INDEX($X$2:$X$1001,MATCH(ROWS($V$2:V332),$V$2:$V$1001,0),0), INDEX($AC$1004:$AS$1004,1,MATCH(COLUMNS($AC$1006:AM1006),$AC$1006:$AS$1006,0)))),"Fix")))</f>
        <v>0</v>
      </c>
      <c r="M332" s="5">
        <f>IF(OR(INDEX($W$2:$W$1001,MATCH(ROWS($V$2:V332),$V$2:$V$1001,0),1)&gt;=100000,INDEX($AC$1005:$AS$1005,1,MATCH(COLUMNS($AC$1006:AN1006),$AC$1006:$AS$1006,0))&gt;=100000), " ",IF(INDEX($AC$2:$AS$1001,MATCH(ROWS($V$2:V332),$V$2:$V$1001,0),MATCH(COLUMNS($AC$1006:AN1006),$AC$1006:$AS$1006,0)), HYPERLINK("#",""), HYPERLINK(CONCATENATE("#Metadata!", ADDRESS(INDEX($X$2:$X$1001,MATCH(ROWS($V$2:V332),$V$2:$V$1001,0),0), INDEX($AC$1004:$AS$1004,1,MATCH(COLUMNS($AC$1006:AN1006),$AC$1006:$AS$1006,0)))),"Fix")))</f>
        <v>0</v>
      </c>
      <c r="N332" s="5">
        <f>IF(OR(INDEX($W$2:$W$1001,MATCH(ROWS($V$2:V332),$V$2:$V$1001,0),1)&gt;=100000,INDEX($AC$1005:$AS$1005,1,MATCH(COLUMNS($AC$1006:AO1006),$AC$1006:$AS$1006,0))&gt;=100000), " ",IF(INDEX($AC$2:$AS$1001,MATCH(ROWS($V$2:V332),$V$2:$V$1001,0),MATCH(COLUMNS($AC$1006:AO1006),$AC$1006:$AS$1006,0)), HYPERLINK("#",""), HYPERLINK(CONCATENATE("#Metadata!", ADDRESS(INDEX($X$2:$X$1001,MATCH(ROWS($V$2:V332),$V$2:$V$1001,0),0), INDEX($AC$1004:$AS$1004,1,MATCH(COLUMNS($AC$1006:AO1006),$AC$1006:$AS$1006,0)))),"Fix")))</f>
        <v>0</v>
      </c>
      <c r="O332" s="5">
        <f>IF(OR(INDEX($W$2:$W$1001,MATCH(ROWS($V$2:V332),$V$2:$V$1001,0),1)&gt;=100000,INDEX($AC$1005:$AS$1005,1,MATCH(COLUMNS($AC$1006:AP1006),$AC$1006:$AS$1006,0))&gt;=100000), " ",IF(INDEX($AC$2:$AS$1001,MATCH(ROWS($V$2:V332),$V$2:$V$1001,0),MATCH(COLUMNS($AC$1006:AP1006),$AC$1006:$AS$1006,0)), HYPERLINK("#",""), HYPERLINK(CONCATENATE("#Metadata!", ADDRESS(INDEX($X$2:$X$1001,MATCH(ROWS($V$2:V332),$V$2:$V$1001,0),0), INDEX($AC$1004:$AS$1004,1,MATCH(COLUMNS($AC$1006:AP1006),$AC$1006:$AS$1006,0)))),"Fix")))</f>
        <v>0</v>
      </c>
      <c r="P332" s="5">
        <f>IF(OR(INDEX($W$2:$W$1001,MATCH(ROWS($V$2:V332),$V$2:$V$1001,0),1)&gt;=100000,INDEX($AC$1005:$AS$1005,1,MATCH(COLUMNS($AC$1006:AQ1006),$AC$1006:$AS$1006,0))&gt;=100000), " ",IF(INDEX($AC$2:$AS$1001,MATCH(ROWS($V$2:V332),$V$2:$V$1001,0),MATCH(COLUMNS($AC$1006:AQ1006),$AC$1006:$AS$1006,0)), HYPERLINK("#",""), HYPERLINK(CONCATENATE("#Metadata!", ADDRESS(INDEX($X$2:$X$1001,MATCH(ROWS($V$2:V332),$V$2:$V$1001,0),0), INDEX($AC$1004:$AS$1004,1,MATCH(COLUMNS($AC$1006:AQ1006),$AC$1006:$AS$1006,0)))),"Fix")))</f>
        <v>0</v>
      </c>
      <c r="Q332" s="5">
        <f>IF(OR(INDEX($W$2:$W$1001,MATCH(ROWS($V$2:V332),$V$2:$V$1001,0),1)&gt;=100000,INDEX($AC$1005:$AS$1005,1,MATCH(COLUMNS($AC$1006:AR1006),$AC$1006:$AS$1006,0))&gt;=100000), " ",IF(INDEX($AC$2:$AS$1001,MATCH(ROWS($V$2:V332),$V$2:$V$1001,0),MATCH(COLUMNS($AC$1006:AR1006),$AC$1006:$AS$1006,0)), HYPERLINK("#",""), HYPERLINK(CONCATENATE("#Metadata!", ADDRESS(INDEX($X$2:$X$1001,MATCH(ROWS($V$2:V332),$V$2:$V$1001,0),0), INDEX($AC$1004:$AS$1004,1,MATCH(COLUMNS($AC$1006:AR1006),$AC$1006:$AS$1006,0)))),"Fix")))</f>
        <v>0</v>
      </c>
      <c r="R332" s="5">
        <f>IF(OR(INDEX($W$2:$W$1001,MATCH(ROWS($V$2:V332),$V$2:$V$1001,0),1)&gt;=100000,INDEX($AC$1005:$AS$1005,1,MATCH(COLUMNS($AC$1006:AS1006),$AC$1006:$AS$1006,0))&gt;=100000), " ",IF(INDEX($AC$2:$AS$1001,MATCH(ROWS($V$2:V332),$V$2:$V$1001,0),MATCH(COLUMNS($AC$1006:AS1006),$AC$1006:$AS$1006,0)), HYPERLINK("#",""), HYPERLINK(CONCATENATE("#Metadata!", ADDRESS(INDEX($X$2:$X$1001,MATCH(ROWS($V$2:V332),$V$2:$V$1001,0),0), INDEX($AC$1004:$AS$1004,1,MATCH(COLUMNS($AC$1006:AS1006),$AC$1006:$AS$1006,0)))),"Fix")))</f>
        <v>0</v>
      </c>
      <c r="V332">
        <v>0</v>
      </c>
      <c r="W332">
        <v>0</v>
      </c>
      <c r="X332">
        <v>0</v>
      </c>
      <c r="Y332">
        <f>IF(Z332,TRUE,AND(AC332:AS332))</f>
        <v>0</v>
      </c>
      <c r="Z332">
        <f>COUNTBLANK(Metadata!B332:R332)=COLUMNS(Metadata!B332:R332)</f>
        <v>0</v>
      </c>
      <c r="AA332">
        <v>0</v>
      </c>
      <c r="AC332">
        <f>AND(IF(Metadata!B332="",FALSE,TRUE),COUNTIF(Metadata!B:B, Metadata!B332) = 1,NOT(ISERROR(SUMPRODUCT(SEARCH(MID(Metadata!B332,ROW(INDIRECT("1:"&amp;LEN(Metadata!B332))), 1),"0123456789abcdefghijklmnopqrstuvwxyzABCDEFGHIJKLMNOPQRSTUVWXYZ.")))))</f>
        <v>0</v>
      </c>
      <c r="AD332">
        <f>AND(IF(Metadata!C332="",FALSE,TRUE),exact(Metadata!C332,"Host-associated"))</f>
        <v>0</v>
      </c>
      <c r="AE332">
        <f>AND(IF(Metadata!D332="",FALSE,TRUE),OR(exact(Metadata!D332,"Animal"),exact(Metadata!D332,"Fungus"),exact(Metadata!D332,"Plant")))</f>
        <v>0</v>
      </c>
      <c r="AF332">
        <f>AND(IF(Metadata!E332="",FALSE,TRUE),OR(exact(Metadata!E332,"Plant secretion"),exact(Metadata!E332,"Plant rhizosphere"),exact(Metadata!E332,"Plant surface"),exact(Metadata!E332,"Plant corpus"),exact(Metadata!E332,"Fungus surface"),exact(Metadata!E332,"Fungus corpus"),exact(Metadata!E332,"Animal surface"),exact(Metadata!E332,"Animal proximal gut"),exact(Metadata!E332,"Animal corpus"),exact(Metadata!E332,"Animal distal gut"),exact(Metadata!E332,"Animal secretion")))</f>
        <v>0</v>
      </c>
      <c r="AG332">
        <f>OR(AND(IF(Metadata!F332="",FALSE,TRUE),OR(exact(Metadata!F332,"not collected"),exact(Metadata!F332,"not provided"),exact(Metadata!F332,"restricted access"))),AND(IF(Metadata!F332="",FALSE,TRUE),OR(exact(Metadata!F332,"organism-associated habitat"),exact(Metadata!F332,"plant-associated habitat"),exact(Metadata!F332,"animal-associated habitat"),exact(Metadata!F332,"insecta-associated habitat"),exact(Metadata!F332,"mammalia-associated habitat"),exact(Metadata!F332,"human-associated habitat"),exact(Metadata!F332,"livestock-associated habitat"))))</f>
        <v>0</v>
      </c>
      <c r="AH332">
        <f>AND(IF(Metadata!G332="",FALSE,TRUE),exact(Metadata!G332,"host-associated"))</f>
        <v>0</v>
      </c>
      <c r="AI332">
        <f>OR(AND(IF(Metadata!H332="",FALSE,TRUE),OR(exact(Metadata!H332,"not collected"),exact(Metadata!H332,"not provided"))),AND(IF(Metadata!H332="",FALSE,ISNUMBER(VALUE(Metadata!H332))),Metadata!H332&gt;0))</f>
        <v>0</v>
      </c>
      <c r="AJ332">
        <f>AND(IF(Metadata!I332="",FALSE,TRUE),exact(Metadata!I332,"years"))</f>
        <v>0</v>
      </c>
      <c r="AK332">
        <f>IF(Metadata!J332="",FALSE,TRUE)</f>
        <v>0</v>
      </c>
      <c r="AL332">
        <f>OR(AND(IF(Metadata!K332="",FALSE,TRUE),OR(exact(Metadata!K332,"not collected"),exact(Metadata!K332,"not provided"))),AND(IF(Metadata!K332="",FALSE,ISNUMBER(VALUE(Metadata!K332))),Metadata!K332&gt;0))</f>
        <v>0</v>
      </c>
      <c r="AM332">
        <f>AND(IF(Metadata!L332="",FALSE,TRUE),exact(Metadata!L332,"cm"))</f>
        <v>0</v>
      </c>
      <c r="AN332">
        <f>IF(Metadata!M332="",FALSE,TRUE)</f>
        <v>0</v>
      </c>
      <c r="AO332">
        <f>OR(AND(IF(Metadata!N332="",FALSE,TRUE),OR(exact(Metadata!N332,"not applicable"),exact(Metadata!N332,"not collected"),exact(Metadata!N332,"not provided"))),AND(IF(Metadata!N332="",FALSE,IF(ISERROR(INT(Metadata!N332)),FALSE,INT(Metadata!N332)=Metadata!N332)),Metadata!N332&gt;0))</f>
        <v>0</v>
      </c>
      <c r="AP332">
        <f>OR(AND(IF(Metadata!O332="",FALSE,TRUE),OR(exact(Metadata!O332,"not collected"),exact(Metadata!O332,"not provided"))),AND(IF(Metadata!O332="",FALSE,ISNUMBER(VALUE(Metadata!O332))),Metadata!O332&gt;0))</f>
        <v>0</v>
      </c>
      <c r="AQ332">
        <f>AND(IF(Metadata!P332="",FALSE,TRUE),exact(Metadata!P332,"kg"))</f>
        <v>0</v>
      </c>
      <c r="AR332">
        <f>OR(AND(IF(Metadata!Q332="",FALSE,TRUE),OR(exact(Metadata!Q332,"not applicable"),exact(Metadata!Q332,"not collected"),exact(Metadata!Q332,"not provided"),exact(Metadata!Q332,"restricted access"))),IF(Metadata!Q332="",FALSE,IF(ISERROR(INT(Metadata!Q332)),FALSE,INT(Metadata!Q332)=Metadata!Q332)))</f>
        <v>0</v>
      </c>
      <c r="AS332">
        <f>AND(IF(Metadata!R332="",FALSE,TRUE),exact(Metadata!R332,"Not applicable"))</f>
        <v>0</v>
      </c>
    </row>
    <row r="333" spans="1:45">
      <c r="A333" s="4">
        <f>IF(B333=" "," ",HYPERLINK(CONCATENATE("#metadata!",ADDRESS(INDEX($X$2:$X$1001,MATCH(ROWS($V$2:V333),$V$2:$V$1001,0),0),2)),INDEX($AA$2:$AA$1001,MATCH(ROWS($V$2:V333),$V$2:$V$1001,0),0)))</f>
        <v>0</v>
      </c>
      <c r="B333" s="5">
        <f>IF(OR(INDEX($W$2:$W$1001,MATCH(ROWS($V$2:V333),$V$2:$V$1001,0),1)&gt;=100000,INDEX($AC$1005:$AS$1005,1,MATCH(COLUMNS($AC$1006:AC1006),$AC$1006:$AS$1006,0))&gt;=100000), " ",IF(INDEX($AC$2:$AS$1001,MATCH(ROWS($V$2:V333),$V$2:$V$1001,0),MATCH(COLUMNS($AC$1006:AC1006),$AC$1006:$AS$1006,0)), HYPERLINK("#",""), HYPERLINK(CONCATENATE("#Metadata!", ADDRESS(INDEX($X$2:$X$1001,MATCH(ROWS($V$2:V333),$V$2:$V$1001,0),0), INDEX($AC$1004:$AS$1004,1,MATCH(COLUMNS($AC$1006:AC1006),$AC$1006:$AS$1006,0)))),"Fix")))</f>
        <v>0</v>
      </c>
      <c r="C333" s="5">
        <f>IF(OR(INDEX($W$2:$W$1001,MATCH(ROWS($V$2:V333),$V$2:$V$1001,0),1)&gt;=100000,INDEX($AC$1005:$AS$1005,1,MATCH(COLUMNS($AC$1006:AD1006),$AC$1006:$AS$1006,0))&gt;=100000), " ",IF(INDEX($AC$2:$AS$1001,MATCH(ROWS($V$2:V333),$V$2:$V$1001,0),MATCH(COLUMNS($AC$1006:AD1006),$AC$1006:$AS$1006,0)), HYPERLINK("#",""), HYPERLINK(CONCATENATE("#Metadata!", ADDRESS(INDEX($X$2:$X$1001,MATCH(ROWS($V$2:V333),$V$2:$V$1001,0),0), INDEX($AC$1004:$AS$1004,1,MATCH(COLUMNS($AC$1006:AD1006),$AC$1006:$AS$1006,0)))),"Fix")))</f>
        <v>0</v>
      </c>
      <c r="D333" s="5">
        <f>IF(OR(INDEX($W$2:$W$1001,MATCH(ROWS($V$2:V333),$V$2:$V$1001,0),1)&gt;=100000,INDEX($AC$1005:$AS$1005,1,MATCH(COLUMNS($AC$1006:AE1006),$AC$1006:$AS$1006,0))&gt;=100000), " ",IF(INDEX($AC$2:$AS$1001,MATCH(ROWS($V$2:V333),$V$2:$V$1001,0),MATCH(COLUMNS($AC$1006:AE1006),$AC$1006:$AS$1006,0)), HYPERLINK("#",""), HYPERLINK(CONCATENATE("#Metadata!", ADDRESS(INDEX($X$2:$X$1001,MATCH(ROWS($V$2:V333),$V$2:$V$1001,0),0), INDEX($AC$1004:$AS$1004,1,MATCH(COLUMNS($AC$1006:AE1006),$AC$1006:$AS$1006,0)))),"Fix")))</f>
        <v>0</v>
      </c>
      <c r="E333" s="5">
        <f>IF(OR(INDEX($W$2:$W$1001,MATCH(ROWS($V$2:V333),$V$2:$V$1001,0),1)&gt;=100000,INDEX($AC$1005:$AS$1005,1,MATCH(COLUMNS($AC$1006:AF1006),$AC$1006:$AS$1006,0))&gt;=100000), " ",IF(INDEX($AC$2:$AS$1001,MATCH(ROWS($V$2:V333),$V$2:$V$1001,0),MATCH(COLUMNS($AC$1006:AF1006),$AC$1006:$AS$1006,0)), HYPERLINK("#",""), HYPERLINK(CONCATENATE("#Metadata!", ADDRESS(INDEX($X$2:$X$1001,MATCH(ROWS($V$2:V333),$V$2:$V$1001,0),0), INDEX($AC$1004:$AS$1004,1,MATCH(COLUMNS($AC$1006:AF1006),$AC$1006:$AS$1006,0)))),"Fix")))</f>
        <v>0</v>
      </c>
      <c r="F333" s="5">
        <f>IF(OR(INDEX($W$2:$W$1001,MATCH(ROWS($V$2:V333),$V$2:$V$1001,0),1)&gt;=100000,INDEX($AC$1005:$AS$1005,1,MATCH(COLUMNS($AC$1006:AG1006),$AC$1006:$AS$1006,0))&gt;=100000), " ",IF(INDEX($AC$2:$AS$1001,MATCH(ROWS($V$2:V333),$V$2:$V$1001,0),MATCH(COLUMNS($AC$1006:AG1006),$AC$1006:$AS$1006,0)), HYPERLINK("#",""), HYPERLINK(CONCATENATE("#Metadata!", ADDRESS(INDEX($X$2:$X$1001,MATCH(ROWS($V$2:V333),$V$2:$V$1001,0),0), INDEX($AC$1004:$AS$1004,1,MATCH(COLUMNS($AC$1006:AG1006),$AC$1006:$AS$1006,0)))),"Fix")))</f>
        <v>0</v>
      </c>
      <c r="G333" s="5">
        <f>IF(OR(INDEX($W$2:$W$1001,MATCH(ROWS($V$2:V333),$V$2:$V$1001,0),1)&gt;=100000,INDEX($AC$1005:$AS$1005,1,MATCH(COLUMNS($AC$1006:AH1006),$AC$1006:$AS$1006,0))&gt;=100000), " ",IF(INDEX($AC$2:$AS$1001,MATCH(ROWS($V$2:V333),$V$2:$V$1001,0),MATCH(COLUMNS($AC$1006:AH1006),$AC$1006:$AS$1006,0)), HYPERLINK("#",""), HYPERLINK(CONCATENATE("#Metadata!", ADDRESS(INDEX($X$2:$X$1001,MATCH(ROWS($V$2:V333),$V$2:$V$1001,0),0), INDEX($AC$1004:$AS$1004,1,MATCH(COLUMNS($AC$1006:AH1006),$AC$1006:$AS$1006,0)))),"Fix")))</f>
        <v>0</v>
      </c>
      <c r="H333" s="5">
        <f>IF(OR(INDEX($W$2:$W$1001,MATCH(ROWS($V$2:V333),$V$2:$V$1001,0),1)&gt;=100000,INDEX($AC$1005:$AS$1005,1,MATCH(COLUMNS($AC$1006:AI1006),$AC$1006:$AS$1006,0))&gt;=100000), " ",IF(INDEX($AC$2:$AS$1001,MATCH(ROWS($V$2:V333),$V$2:$V$1001,0),MATCH(COLUMNS($AC$1006:AI1006),$AC$1006:$AS$1006,0)), HYPERLINK("#",""), HYPERLINK(CONCATENATE("#Metadata!", ADDRESS(INDEX($X$2:$X$1001,MATCH(ROWS($V$2:V333),$V$2:$V$1001,0),0), INDEX($AC$1004:$AS$1004,1,MATCH(COLUMNS($AC$1006:AI1006),$AC$1006:$AS$1006,0)))),"Fix")))</f>
        <v>0</v>
      </c>
      <c r="I333" s="5">
        <f>IF(OR(INDEX($W$2:$W$1001,MATCH(ROWS($V$2:V333),$V$2:$V$1001,0),1)&gt;=100000,INDEX($AC$1005:$AS$1005,1,MATCH(COLUMNS($AC$1006:AJ1006),$AC$1006:$AS$1006,0))&gt;=100000), " ",IF(INDEX($AC$2:$AS$1001,MATCH(ROWS($V$2:V333),$V$2:$V$1001,0),MATCH(COLUMNS($AC$1006:AJ1006),$AC$1006:$AS$1006,0)), HYPERLINK("#",""), HYPERLINK(CONCATENATE("#Metadata!", ADDRESS(INDEX($X$2:$X$1001,MATCH(ROWS($V$2:V333),$V$2:$V$1001,0),0), INDEX($AC$1004:$AS$1004,1,MATCH(COLUMNS($AC$1006:AJ1006),$AC$1006:$AS$1006,0)))),"Fix")))</f>
        <v>0</v>
      </c>
      <c r="J333" s="5">
        <f>IF(OR(INDEX($W$2:$W$1001,MATCH(ROWS($V$2:V333),$V$2:$V$1001,0),1)&gt;=100000,INDEX($AC$1005:$AS$1005,1,MATCH(COLUMNS($AC$1006:AK1006),$AC$1006:$AS$1006,0))&gt;=100000), " ",IF(INDEX($AC$2:$AS$1001,MATCH(ROWS($V$2:V333),$V$2:$V$1001,0),MATCH(COLUMNS($AC$1006:AK1006),$AC$1006:$AS$1006,0)), HYPERLINK("#",""), HYPERLINK(CONCATENATE("#Metadata!", ADDRESS(INDEX($X$2:$X$1001,MATCH(ROWS($V$2:V333),$V$2:$V$1001,0),0), INDEX($AC$1004:$AS$1004,1,MATCH(COLUMNS($AC$1006:AK1006),$AC$1006:$AS$1006,0)))),"Fix")))</f>
        <v>0</v>
      </c>
      <c r="K333" s="5">
        <f>IF(OR(INDEX($W$2:$W$1001,MATCH(ROWS($V$2:V333),$V$2:$V$1001,0),1)&gt;=100000,INDEX($AC$1005:$AS$1005,1,MATCH(COLUMNS($AC$1006:AL1006),$AC$1006:$AS$1006,0))&gt;=100000), " ",IF(INDEX($AC$2:$AS$1001,MATCH(ROWS($V$2:V333),$V$2:$V$1001,0),MATCH(COLUMNS($AC$1006:AL1006),$AC$1006:$AS$1006,0)), HYPERLINK("#",""), HYPERLINK(CONCATENATE("#Metadata!", ADDRESS(INDEX($X$2:$X$1001,MATCH(ROWS($V$2:V333),$V$2:$V$1001,0),0), INDEX($AC$1004:$AS$1004,1,MATCH(COLUMNS($AC$1006:AL1006),$AC$1006:$AS$1006,0)))),"Fix")))</f>
        <v>0</v>
      </c>
      <c r="L333" s="5">
        <f>IF(OR(INDEX($W$2:$W$1001,MATCH(ROWS($V$2:V333),$V$2:$V$1001,0),1)&gt;=100000,INDEX($AC$1005:$AS$1005,1,MATCH(COLUMNS($AC$1006:AM1006),$AC$1006:$AS$1006,0))&gt;=100000), " ",IF(INDEX($AC$2:$AS$1001,MATCH(ROWS($V$2:V333),$V$2:$V$1001,0),MATCH(COLUMNS($AC$1006:AM1006),$AC$1006:$AS$1006,0)), HYPERLINK("#",""), HYPERLINK(CONCATENATE("#Metadata!", ADDRESS(INDEX($X$2:$X$1001,MATCH(ROWS($V$2:V333),$V$2:$V$1001,0),0), INDEX($AC$1004:$AS$1004,1,MATCH(COLUMNS($AC$1006:AM1006),$AC$1006:$AS$1006,0)))),"Fix")))</f>
        <v>0</v>
      </c>
      <c r="M333" s="5">
        <f>IF(OR(INDEX($W$2:$W$1001,MATCH(ROWS($V$2:V333),$V$2:$V$1001,0),1)&gt;=100000,INDEX($AC$1005:$AS$1005,1,MATCH(COLUMNS($AC$1006:AN1006),$AC$1006:$AS$1006,0))&gt;=100000), " ",IF(INDEX($AC$2:$AS$1001,MATCH(ROWS($V$2:V333),$V$2:$V$1001,0),MATCH(COLUMNS($AC$1006:AN1006),$AC$1006:$AS$1006,0)), HYPERLINK("#",""), HYPERLINK(CONCATENATE("#Metadata!", ADDRESS(INDEX($X$2:$X$1001,MATCH(ROWS($V$2:V333),$V$2:$V$1001,0),0), INDEX($AC$1004:$AS$1004,1,MATCH(COLUMNS($AC$1006:AN1006),$AC$1006:$AS$1006,0)))),"Fix")))</f>
        <v>0</v>
      </c>
      <c r="N333" s="5">
        <f>IF(OR(INDEX($W$2:$W$1001,MATCH(ROWS($V$2:V333),$V$2:$V$1001,0),1)&gt;=100000,INDEX($AC$1005:$AS$1005,1,MATCH(COLUMNS($AC$1006:AO1006),$AC$1006:$AS$1006,0))&gt;=100000), " ",IF(INDEX($AC$2:$AS$1001,MATCH(ROWS($V$2:V333),$V$2:$V$1001,0),MATCH(COLUMNS($AC$1006:AO1006),$AC$1006:$AS$1006,0)), HYPERLINK("#",""), HYPERLINK(CONCATENATE("#Metadata!", ADDRESS(INDEX($X$2:$X$1001,MATCH(ROWS($V$2:V333),$V$2:$V$1001,0),0), INDEX($AC$1004:$AS$1004,1,MATCH(COLUMNS($AC$1006:AO1006),$AC$1006:$AS$1006,0)))),"Fix")))</f>
        <v>0</v>
      </c>
      <c r="O333" s="5">
        <f>IF(OR(INDEX($W$2:$W$1001,MATCH(ROWS($V$2:V333),$V$2:$V$1001,0),1)&gt;=100000,INDEX($AC$1005:$AS$1005,1,MATCH(COLUMNS($AC$1006:AP1006),$AC$1006:$AS$1006,0))&gt;=100000), " ",IF(INDEX($AC$2:$AS$1001,MATCH(ROWS($V$2:V333),$V$2:$V$1001,0),MATCH(COLUMNS($AC$1006:AP1006),$AC$1006:$AS$1006,0)), HYPERLINK("#",""), HYPERLINK(CONCATENATE("#Metadata!", ADDRESS(INDEX($X$2:$X$1001,MATCH(ROWS($V$2:V333),$V$2:$V$1001,0),0), INDEX($AC$1004:$AS$1004,1,MATCH(COLUMNS($AC$1006:AP1006),$AC$1006:$AS$1006,0)))),"Fix")))</f>
        <v>0</v>
      </c>
      <c r="P333" s="5">
        <f>IF(OR(INDEX($W$2:$W$1001,MATCH(ROWS($V$2:V333),$V$2:$V$1001,0),1)&gt;=100000,INDEX($AC$1005:$AS$1005,1,MATCH(COLUMNS($AC$1006:AQ1006),$AC$1006:$AS$1006,0))&gt;=100000), " ",IF(INDEX($AC$2:$AS$1001,MATCH(ROWS($V$2:V333),$V$2:$V$1001,0),MATCH(COLUMNS($AC$1006:AQ1006),$AC$1006:$AS$1006,0)), HYPERLINK("#",""), HYPERLINK(CONCATENATE("#Metadata!", ADDRESS(INDEX($X$2:$X$1001,MATCH(ROWS($V$2:V333),$V$2:$V$1001,0),0), INDEX($AC$1004:$AS$1004,1,MATCH(COLUMNS($AC$1006:AQ1006),$AC$1006:$AS$1006,0)))),"Fix")))</f>
        <v>0</v>
      </c>
      <c r="Q333" s="5">
        <f>IF(OR(INDEX($W$2:$W$1001,MATCH(ROWS($V$2:V333),$V$2:$V$1001,0),1)&gt;=100000,INDEX($AC$1005:$AS$1005,1,MATCH(COLUMNS($AC$1006:AR1006),$AC$1006:$AS$1006,0))&gt;=100000), " ",IF(INDEX($AC$2:$AS$1001,MATCH(ROWS($V$2:V333),$V$2:$V$1001,0),MATCH(COLUMNS($AC$1006:AR1006),$AC$1006:$AS$1006,0)), HYPERLINK("#",""), HYPERLINK(CONCATENATE("#Metadata!", ADDRESS(INDEX($X$2:$X$1001,MATCH(ROWS($V$2:V333),$V$2:$V$1001,0),0), INDEX($AC$1004:$AS$1004,1,MATCH(COLUMNS($AC$1006:AR1006),$AC$1006:$AS$1006,0)))),"Fix")))</f>
        <v>0</v>
      </c>
      <c r="R333" s="5">
        <f>IF(OR(INDEX($W$2:$W$1001,MATCH(ROWS($V$2:V333),$V$2:$V$1001,0),1)&gt;=100000,INDEX($AC$1005:$AS$1005,1,MATCH(COLUMNS($AC$1006:AS1006),$AC$1006:$AS$1006,0))&gt;=100000), " ",IF(INDEX($AC$2:$AS$1001,MATCH(ROWS($V$2:V333),$V$2:$V$1001,0),MATCH(COLUMNS($AC$1006:AS1006),$AC$1006:$AS$1006,0)), HYPERLINK("#",""), HYPERLINK(CONCATENATE("#Metadata!", ADDRESS(INDEX($X$2:$X$1001,MATCH(ROWS($V$2:V333),$V$2:$V$1001,0),0), INDEX($AC$1004:$AS$1004,1,MATCH(COLUMNS($AC$1006:AS1006),$AC$1006:$AS$1006,0)))),"Fix")))</f>
        <v>0</v>
      </c>
      <c r="V333">
        <v>0</v>
      </c>
      <c r="W333">
        <v>0</v>
      </c>
      <c r="X333">
        <v>0</v>
      </c>
      <c r="Y333">
        <f>IF(Z333,TRUE,AND(AC333:AS333))</f>
        <v>0</v>
      </c>
      <c r="Z333">
        <f>COUNTBLANK(Metadata!B333:R333)=COLUMNS(Metadata!B333:R333)</f>
        <v>0</v>
      </c>
      <c r="AA333">
        <v>0</v>
      </c>
      <c r="AC333">
        <f>AND(IF(Metadata!B333="",FALSE,TRUE),COUNTIF(Metadata!B:B, Metadata!B333) = 1,NOT(ISERROR(SUMPRODUCT(SEARCH(MID(Metadata!B333,ROW(INDIRECT("1:"&amp;LEN(Metadata!B333))), 1),"0123456789abcdefghijklmnopqrstuvwxyzABCDEFGHIJKLMNOPQRSTUVWXYZ.")))))</f>
        <v>0</v>
      </c>
      <c r="AD333">
        <f>AND(IF(Metadata!C333="",FALSE,TRUE),exact(Metadata!C333,"Host-associated"))</f>
        <v>0</v>
      </c>
      <c r="AE333">
        <f>AND(IF(Metadata!D333="",FALSE,TRUE),OR(exact(Metadata!D333,"Animal"),exact(Metadata!D333,"Fungus"),exact(Metadata!D333,"Plant")))</f>
        <v>0</v>
      </c>
      <c r="AF333">
        <f>AND(IF(Metadata!E333="",FALSE,TRUE),OR(exact(Metadata!E333,"Plant secretion"),exact(Metadata!E333,"Plant rhizosphere"),exact(Metadata!E333,"Plant surface"),exact(Metadata!E333,"Plant corpus"),exact(Metadata!E333,"Fungus surface"),exact(Metadata!E333,"Fungus corpus"),exact(Metadata!E333,"Animal surface"),exact(Metadata!E333,"Animal proximal gut"),exact(Metadata!E333,"Animal corpus"),exact(Metadata!E333,"Animal distal gut"),exact(Metadata!E333,"Animal secretion")))</f>
        <v>0</v>
      </c>
      <c r="AG333">
        <f>OR(AND(IF(Metadata!F333="",FALSE,TRUE),OR(exact(Metadata!F333,"not collected"),exact(Metadata!F333,"not provided"),exact(Metadata!F333,"restricted access"))),AND(IF(Metadata!F333="",FALSE,TRUE),OR(exact(Metadata!F333,"organism-associated habitat"),exact(Metadata!F333,"plant-associated habitat"),exact(Metadata!F333,"animal-associated habitat"),exact(Metadata!F333,"insecta-associated habitat"),exact(Metadata!F333,"mammalia-associated habitat"),exact(Metadata!F333,"human-associated habitat"),exact(Metadata!F333,"livestock-associated habitat"))))</f>
        <v>0</v>
      </c>
      <c r="AH333">
        <f>AND(IF(Metadata!G333="",FALSE,TRUE),exact(Metadata!G333,"host-associated"))</f>
        <v>0</v>
      </c>
      <c r="AI333">
        <f>OR(AND(IF(Metadata!H333="",FALSE,TRUE),OR(exact(Metadata!H333,"not collected"),exact(Metadata!H333,"not provided"))),AND(IF(Metadata!H333="",FALSE,ISNUMBER(VALUE(Metadata!H333))),Metadata!H333&gt;0))</f>
        <v>0</v>
      </c>
      <c r="AJ333">
        <f>AND(IF(Metadata!I333="",FALSE,TRUE),exact(Metadata!I333,"years"))</f>
        <v>0</v>
      </c>
      <c r="AK333">
        <f>IF(Metadata!J333="",FALSE,TRUE)</f>
        <v>0</v>
      </c>
      <c r="AL333">
        <f>OR(AND(IF(Metadata!K333="",FALSE,TRUE),OR(exact(Metadata!K333,"not collected"),exact(Metadata!K333,"not provided"))),AND(IF(Metadata!K333="",FALSE,ISNUMBER(VALUE(Metadata!K333))),Metadata!K333&gt;0))</f>
        <v>0</v>
      </c>
      <c r="AM333">
        <f>AND(IF(Metadata!L333="",FALSE,TRUE),exact(Metadata!L333,"cm"))</f>
        <v>0</v>
      </c>
      <c r="AN333">
        <f>IF(Metadata!M333="",FALSE,TRUE)</f>
        <v>0</v>
      </c>
      <c r="AO333">
        <f>OR(AND(IF(Metadata!N333="",FALSE,TRUE),OR(exact(Metadata!N333,"not applicable"),exact(Metadata!N333,"not collected"),exact(Metadata!N333,"not provided"))),AND(IF(Metadata!N333="",FALSE,IF(ISERROR(INT(Metadata!N333)),FALSE,INT(Metadata!N333)=Metadata!N333)),Metadata!N333&gt;0))</f>
        <v>0</v>
      </c>
      <c r="AP333">
        <f>OR(AND(IF(Metadata!O333="",FALSE,TRUE),OR(exact(Metadata!O333,"not collected"),exact(Metadata!O333,"not provided"))),AND(IF(Metadata!O333="",FALSE,ISNUMBER(VALUE(Metadata!O333))),Metadata!O333&gt;0))</f>
        <v>0</v>
      </c>
      <c r="AQ333">
        <f>AND(IF(Metadata!P333="",FALSE,TRUE),exact(Metadata!P333,"kg"))</f>
        <v>0</v>
      </c>
      <c r="AR333">
        <f>OR(AND(IF(Metadata!Q333="",FALSE,TRUE),OR(exact(Metadata!Q333,"not applicable"),exact(Metadata!Q333,"not collected"),exact(Metadata!Q333,"not provided"),exact(Metadata!Q333,"restricted access"))),IF(Metadata!Q333="",FALSE,IF(ISERROR(INT(Metadata!Q333)),FALSE,INT(Metadata!Q333)=Metadata!Q333)))</f>
        <v>0</v>
      </c>
      <c r="AS333">
        <f>AND(IF(Metadata!R333="",FALSE,TRUE),exact(Metadata!R333,"Not applicable"))</f>
        <v>0</v>
      </c>
    </row>
    <row r="334" spans="1:45">
      <c r="A334" s="4">
        <f>IF(B334=" "," ",HYPERLINK(CONCATENATE("#metadata!",ADDRESS(INDEX($X$2:$X$1001,MATCH(ROWS($V$2:V334),$V$2:$V$1001,0),0),2)),INDEX($AA$2:$AA$1001,MATCH(ROWS($V$2:V334),$V$2:$V$1001,0),0)))</f>
        <v>0</v>
      </c>
      <c r="B334" s="5">
        <f>IF(OR(INDEX($W$2:$W$1001,MATCH(ROWS($V$2:V334),$V$2:$V$1001,0),1)&gt;=100000,INDEX($AC$1005:$AS$1005,1,MATCH(COLUMNS($AC$1006:AC1006),$AC$1006:$AS$1006,0))&gt;=100000), " ",IF(INDEX($AC$2:$AS$1001,MATCH(ROWS($V$2:V334),$V$2:$V$1001,0),MATCH(COLUMNS($AC$1006:AC1006),$AC$1006:$AS$1006,0)), HYPERLINK("#",""), HYPERLINK(CONCATENATE("#Metadata!", ADDRESS(INDEX($X$2:$X$1001,MATCH(ROWS($V$2:V334),$V$2:$V$1001,0),0), INDEX($AC$1004:$AS$1004,1,MATCH(COLUMNS($AC$1006:AC1006),$AC$1006:$AS$1006,0)))),"Fix")))</f>
        <v>0</v>
      </c>
      <c r="C334" s="5">
        <f>IF(OR(INDEX($W$2:$W$1001,MATCH(ROWS($V$2:V334),$V$2:$V$1001,0),1)&gt;=100000,INDEX($AC$1005:$AS$1005,1,MATCH(COLUMNS($AC$1006:AD1006),$AC$1006:$AS$1006,0))&gt;=100000), " ",IF(INDEX($AC$2:$AS$1001,MATCH(ROWS($V$2:V334),$V$2:$V$1001,0),MATCH(COLUMNS($AC$1006:AD1006),$AC$1006:$AS$1006,0)), HYPERLINK("#",""), HYPERLINK(CONCATENATE("#Metadata!", ADDRESS(INDEX($X$2:$X$1001,MATCH(ROWS($V$2:V334),$V$2:$V$1001,0),0), INDEX($AC$1004:$AS$1004,1,MATCH(COLUMNS($AC$1006:AD1006),$AC$1006:$AS$1006,0)))),"Fix")))</f>
        <v>0</v>
      </c>
      <c r="D334" s="5">
        <f>IF(OR(INDEX($W$2:$W$1001,MATCH(ROWS($V$2:V334),$V$2:$V$1001,0),1)&gt;=100000,INDEX($AC$1005:$AS$1005,1,MATCH(COLUMNS($AC$1006:AE1006),$AC$1006:$AS$1006,0))&gt;=100000), " ",IF(INDEX($AC$2:$AS$1001,MATCH(ROWS($V$2:V334),$V$2:$V$1001,0),MATCH(COLUMNS($AC$1006:AE1006),$AC$1006:$AS$1006,0)), HYPERLINK("#",""), HYPERLINK(CONCATENATE("#Metadata!", ADDRESS(INDEX($X$2:$X$1001,MATCH(ROWS($V$2:V334),$V$2:$V$1001,0),0), INDEX($AC$1004:$AS$1004,1,MATCH(COLUMNS($AC$1006:AE1006),$AC$1006:$AS$1006,0)))),"Fix")))</f>
        <v>0</v>
      </c>
      <c r="E334" s="5">
        <f>IF(OR(INDEX($W$2:$W$1001,MATCH(ROWS($V$2:V334),$V$2:$V$1001,0),1)&gt;=100000,INDEX($AC$1005:$AS$1005,1,MATCH(COLUMNS($AC$1006:AF1006),$AC$1006:$AS$1006,0))&gt;=100000), " ",IF(INDEX($AC$2:$AS$1001,MATCH(ROWS($V$2:V334),$V$2:$V$1001,0),MATCH(COLUMNS($AC$1006:AF1006),$AC$1006:$AS$1006,0)), HYPERLINK("#",""), HYPERLINK(CONCATENATE("#Metadata!", ADDRESS(INDEX($X$2:$X$1001,MATCH(ROWS($V$2:V334),$V$2:$V$1001,0),0), INDEX($AC$1004:$AS$1004,1,MATCH(COLUMNS($AC$1006:AF1006),$AC$1006:$AS$1006,0)))),"Fix")))</f>
        <v>0</v>
      </c>
      <c r="F334" s="5">
        <f>IF(OR(INDEX($W$2:$W$1001,MATCH(ROWS($V$2:V334),$V$2:$V$1001,0),1)&gt;=100000,INDEX($AC$1005:$AS$1005,1,MATCH(COLUMNS($AC$1006:AG1006),$AC$1006:$AS$1006,0))&gt;=100000), " ",IF(INDEX($AC$2:$AS$1001,MATCH(ROWS($V$2:V334),$V$2:$V$1001,0),MATCH(COLUMNS($AC$1006:AG1006),$AC$1006:$AS$1006,0)), HYPERLINK("#",""), HYPERLINK(CONCATENATE("#Metadata!", ADDRESS(INDEX($X$2:$X$1001,MATCH(ROWS($V$2:V334),$V$2:$V$1001,0),0), INDEX($AC$1004:$AS$1004,1,MATCH(COLUMNS($AC$1006:AG1006),$AC$1006:$AS$1006,0)))),"Fix")))</f>
        <v>0</v>
      </c>
      <c r="G334" s="5">
        <f>IF(OR(INDEX($W$2:$W$1001,MATCH(ROWS($V$2:V334),$V$2:$V$1001,0),1)&gt;=100000,INDEX($AC$1005:$AS$1005,1,MATCH(COLUMNS($AC$1006:AH1006),$AC$1006:$AS$1006,0))&gt;=100000), " ",IF(INDEX($AC$2:$AS$1001,MATCH(ROWS($V$2:V334),$V$2:$V$1001,0),MATCH(COLUMNS($AC$1006:AH1006),$AC$1006:$AS$1006,0)), HYPERLINK("#",""), HYPERLINK(CONCATENATE("#Metadata!", ADDRESS(INDEX($X$2:$X$1001,MATCH(ROWS($V$2:V334),$V$2:$V$1001,0),0), INDEX($AC$1004:$AS$1004,1,MATCH(COLUMNS($AC$1006:AH1006),$AC$1006:$AS$1006,0)))),"Fix")))</f>
        <v>0</v>
      </c>
      <c r="H334" s="5">
        <f>IF(OR(INDEX($W$2:$W$1001,MATCH(ROWS($V$2:V334),$V$2:$V$1001,0),1)&gt;=100000,INDEX($AC$1005:$AS$1005,1,MATCH(COLUMNS($AC$1006:AI1006),$AC$1006:$AS$1006,0))&gt;=100000), " ",IF(INDEX($AC$2:$AS$1001,MATCH(ROWS($V$2:V334),$V$2:$V$1001,0),MATCH(COLUMNS($AC$1006:AI1006),$AC$1006:$AS$1006,0)), HYPERLINK("#",""), HYPERLINK(CONCATENATE("#Metadata!", ADDRESS(INDEX($X$2:$X$1001,MATCH(ROWS($V$2:V334),$V$2:$V$1001,0),0), INDEX($AC$1004:$AS$1004,1,MATCH(COLUMNS($AC$1006:AI1006),$AC$1006:$AS$1006,0)))),"Fix")))</f>
        <v>0</v>
      </c>
      <c r="I334" s="5">
        <f>IF(OR(INDEX($W$2:$W$1001,MATCH(ROWS($V$2:V334),$V$2:$V$1001,0),1)&gt;=100000,INDEX($AC$1005:$AS$1005,1,MATCH(COLUMNS($AC$1006:AJ1006),$AC$1006:$AS$1006,0))&gt;=100000), " ",IF(INDEX($AC$2:$AS$1001,MATCH(ROWS($V$2:V334),$V$2:$V$1001,0),MATCH(COLUMNS($AC$1006:AJ1006),$AC$1006:$AS$1006,0)), HYPERLINK("#",""), HYPERLINK(CONCATENATE("#Metadata!", ADDRESS(INDEX($X$2:$X$1001,MATCH(ROWS($V$2:V334),$V$2:$V$1001,0),0), INDEX($AC$1004:$AS$1004,1,MATCH(COLUMNS($AC$1006:AJ1006),$AC$1006:$AS$1006,0)))),"Fix")))</f>
        <v>0</v>
      </c>
      <c r="J334" s="5">
        <f>IF(OR(INDEX($W$2:$W$1001,MATCH(ROWS($V$2:V334),$V$2:$V$1001,0),1)&gt;=100000,INDEX($AC$1005:$AS$1005,1,MATCH(COLUMNS($AC$1006:AK1006),$AC$1006:$AS$1006,0))&gt;=100000), " ",IF(INDEX($AC$2:$AS$1001,MATCH(ROWS($V$2:V334),$V$2:$V$1001,0),MATCH(COLUMNS($AC$1006:AK1006),$AC$1006:$AS$1006,0)), HYPERLINK("#",""), HYPERLINK(CONCATENATE("#Metadata!", ADDRESS(INDEX($X$2:$X$1001,MATCH(ROWS($V$2:V334),$V$2:$V$1001,0),0), INDEX($AC$1004:$AS$1004,1,MATCH(COLUMNS($AC$1006:AK1006),$AC$1006:$AS$1006,0)))),"Fix")))</f>
        <v>0</v>
      </c>
      <c r="K334" s="5">
        <f>IF(OR(INDEX($W$2:$W$1001,MATCH(ROWS($V$2:V334),$V$2:$V$1001,0),1)&gt;=100000,INDEX($AC$1005:$AS$1005,1,MATCH(COLUMNS($AC$1006:AL1006),$AC$1006:$AS$1006,0))&gt;=100000), " ",IF(INDEX($AC$2:$AS$1001,MATCH(ROWS($V$2:V334),$V$2:$V$1001,0),MATCH(COLUMNS($AC$1006:AL1006),$AC$1006:$AS$1006,0)), HYPERLINK("#",""), HYPERLINK(CONCATENATE("#Metadata!", ADDRESS(INDEX($X$2:$X$1001,MATCH(ROWS($V$2:V334),$V$2:$V$1001,0),0), INDEX($AC$1004:$AS$1004,1,MATCH(COLUMNS($AC$1006:AL1006),$AC$1006:$AS$1006,0)))),"Fix")))</f>
        <v>0</v>
      </c>
      <c r="L334" s="5">
        <f>IF(OR(INDEX($W$2:$W$1001,MATCH(ROWS($V$2:V334),$V$2:$V$1001,0),1)&gt;=100000,INDEX($AC$1005:$AS$1005,1,MATCH(COLUMNS($AC$1006:AM1006),$AC$1006:$AS$1006,0))&gt;=100000), " ",IF(INDEX($AC$2:$AS$1001,MATCH(ROWS($V$2:V334),$V$2:$V$1001,0),MATCH(COLUMNS($AC$1006:AM1006),$AC$1006:$AS$1006,0)), HYPERLINK("#",""), HYPERLINK(CONCATENATE("#Metadata!", ADDRESS(INDEX($X$2:$X$1001,MATCH(ROWS($V$2:V334),$V$2:$V$1001,0),0), INDEX($AC$1004:$AS$1004,1,MATCH(COLUMNS($AC$1006:AM1006),$AC$1006:$AS$1006,0)))),"Fix")))</f>
        <v>0</v>
      </c>
      <c r="M334" s="5">
        <f>IF(OR(INDEX($W$2:$W$1001,MATCH(ROWS($V$2:V334),$V$2:$V$1001,0),1)&gt;=100000,INDEX($AC$1005:$AS$1005,1,MATCH(COLUMNS($AC$1006:AN1006),$AC$1006:$AS$1006,0))&gt;=100000), " ",IF(INDEX($AC$2:$AS$1001,MATCH(ROWS($V$2:V334),$V$2:$V$1001,0),MATCH(COLUMNS($AC$1006:AN1006),$AC$1006:$AS$1006,0)), HYPERLINK("#",""), HYPERLINK(CONCATENATE("#Metadata!", ADDRESS(INDEX($X$2:$X$1001,MATCH(ROWS($V$2:V334),$V$2:$V$1001,0),0), INDEX($AC$1004:$AS$1004,1,MATCH(COLUMNS($AC$1006:AN1006),$AC$1006:$AS$1006,0)))),"Fix")))</f>
        <v>0</v>
      </c>
      <c r="N334" s="5">
        <f>IF(OR(INDEX($W$2:$W$1001,MATCH(ROWS($V$2:V334),$V$2:$V$1001,0),1)&gt;=100000,INDEX($AC$1005:$AS$1005,1,MATCH(COLUMNS($AC$1006:AO1006),$AC$1006:$AS$1006,0))&gt;=100000), " ",IF(INDEX($AC$2:$AS$1001,MATCH(ROWS($V$2:V334),$V$2:$V$1001,0),MATCH(COLUMNS($AC$1006:AO1006),$AC$1006:$AS$1006,0)), HYPERLINK("#",""), HYPERLINK(CONCATENATE("#Metadata!", ADDRESS(INDEX($X$2:$X$1001,MATCH(ROWS($V$2:V334),$V$2:$V$1001,0),0), INDEX($AC$1004:$AS$1004,1,MATCH(COLUMNS($AC$1006:AO1006),$AC$1006:$AS$1006,0)))),"Fix")))</f>
        <v>0</v>
      </c>
      <c r="O334" s="5">
        <f>IF(OR(INDEX($W$2:$W$1001,MATCH(ROWS($V$2:V334),$V$2:$V$1001,0),1)&gt;=100000,INDEX($AC$1005:$AS$1005,1,MATCH(COLUMNS($AC$1006:AP1006),$AC$1006:$AS$1006,0))&gt;=100000), " ",IF(INDEX($AC$2:$AS$1001,MATCH(ROWS($V$2:V334),$V$2:$V$1001,0),MATCH(COLUMNS($AC$1006:AP1006),$AC$1006:$AS$1006,0)), HYPERLINK("#",""), HYPERLINK(CONCATENATE("#Metadata!", ADDRESS(INDEX($X$2:$X$1001,MATCH(ROWS($V$2:V334),$V$2:$V$1001,0),0), INDEX($AC$1004:$AS$1004,1,MATCH(COLUMNS($AC$1006:AP1006),$AC$1006:$AS$1006,0)))),"Fix")))</f>
        <v>0</v>
      </c>
      <c r="P334" s="5">
        <f>IF(OR(INDEX($W$2:$W$1001,MATCH(ROWS($V$2:V334),$V$2:$V$1001,0),1)&gt;=100000,INDEX($AC$1005:$AS$1005,1,MATCH(COLUMNS($AC$1006:AQ1006),$AC$1006:$AS$1006,0))&gt;=100000), " ",IF(INDEX($AC$2:$AS$1001,MATCH(ROWS($V$2:V334),$V$2:$V$1001,0),MATCH(COLUMNS($AC$1006:AQ1006),$AC$1006:$AS$1006,0)), HYPERLINK("#",""), HYPERLINK(CONCATENATE("#Metadata!", ADDRESS(INDEX($X$2:$X$1001,MATCH(ROWS($V$2:V334),$V$2:$V$1001,0),0), INDEX($AC$1004:$AS$1004,1,MATCH(COLUMNS($AC$1006:AQ1006),$AC$1006:$AS$1006,0)))),"Fix")))</f>
        <v>0</v>
      </c>
      <c r="Q334" s="5">
        <f>IF(OR(INDEX($W$2:$W$1001,MATCH(ROWS($V$2:V334),$V$2:$V$1001,0),1)&gt;=100000,INDEX($AC$1005:$AS$1005,1,MATCH(COLUMNS($AC$1006:AR1006),$AC$1006:$AS$1006,0))&gt;=100000), " ",IF(INDEX($AC$2:$AS$1001,MATCH(ROWS($V$2:V334),$V$2:$V$1001,0),MATCH(COLUMNS($AC$1006:AR1006),$AC$1006:$AS$1006,0)), HYPERLINK("#",""), HYPERLINK(CONCATENATE("#Metadata!", ADDRESS(INDEX($X$2:$X$1001,MATCH(ROWS($V$2:V334),$V$2:$V$1001,0),0), INDEX($AC$1004:$AS$1004,1,MATCH(COLUMNS($AC$1006:AR1006),$AC$1006:$AS$1006,0)))),"Fix")))</f>
        <v>0</v>
      </c>
      <c r="R334" s="5">
        <f>IF(OR(INDEX($W$2:$W$1001,MATCH(ROWS($V$2:V334),$V$2:$V$1001,0),1)&gt;=100000,INDEX($AC$1005:$AS$1005,1,MATCH(COLUMNS($AC$1006:AS1006),$AC$1006:$AS$1006,0))&gt;=100000), " ",IF(INDEX($AC$2:$AS$1001,MATCH(ROWS($V$2:V334),$V$2:$V$1001,0),MATCH(COLUMNS($AC$1006:AS1006),$AC$1006:$AS$1006,0)), HYPERLINK("#",""), HYPERLINK(CONCATENATE("#Metadata!", ADDRESS(INDEX($X$2:$X$1001,MATCH(ROWS($V$2:V334),$V$2:$V$1001,0),0), INDEX($AC$1004:$AS$1004,1,MATCH(COLUMNS($AC$1006:AS1006),$AC$1006:$AS$1006,0)))),"Fix")))</f>
        <v>0</v>
      </c>
      <c r="V334">
        <v>0</v>
      </c>
      <c r="W334">
        <v>0</v>
      </c>
      <c r="X334">
        <v>0</v>
      </c>
      <c r="Y334">
        <f>IF(Z334,TRUE,AND(AC334:AS334))</f>
        <v>0</v>
      </c>
      <c r="Z334">
        <f>COUNTBLANK(Metadata!B334:R334)=COLUMNS(Metadata!B334:R334)</f>
        <v>0</v>
      </c>
      <c r="AA334">
        <v>0</v>
      </c>
      <c r="AC334">
        <f>AND(IF(Metadata!B334="",FALSE,TRUE),COUNTIF(Metadata!B:B, Metadata!B334) = 1,NOT(ISERROR(SUMPRODUCT(SEARCH(MID(Metadata!B334,ROW(INDIRECT("1:"&amp;LEN(Metadata!B334))), 1),"0123456789abcdefghijklmnopqrstuvwxyzABCDEFGHIJKLMNOPQRSTUVWXYZ.")))))</f>
        <v>0</v>
      </c>
      <c r="AD334">
        <f>AND(IF(Metadata!C334="",FALSE,TRUE),exact(Metadata!C334,"Host-associated"))</f>
        <v>0</v>
      </c>
      <c r="AE334">
        <f>AND(IF(Metadata!D334="",FALSE,TRUE),OR(exact(Metadata!D334,"Animal"),exact(Metadata!D334,"Fungus"),exact(Metadata!D334,"Plant")))</f>
        <v>0</v>
      </c>
      <c r="AF334">
        <f>AND(IF(Metadata!E334="",FALSE,TRUE),OR(exact(Metadata!E334,"Plant secretion"),exact(Metadata!E334,"Plant rhizosphere"),exact(Metadata!E334,"Plant surface"),exact(Metadata!E334,"Plant corpus"),exact(Metadata!E334,"Fungus surface"),exact(Metadata!E334,"Fungus corpus"),exact(Metadata!E334,"Animal surface"),exact(Metadata!E334,"Animal proximal gut"),exact(Metadata!E334,"Animal corpus"),exact(Metadata!E334,"Animal distal gut"),exact(Metadata!E334,"Animal secretion")))</f>
        <v>0</v>
      </c>
      <c r="AG334">
        <f>OR(AND(IF(Metadata!F334="",FALSE,TRUE),OR(exact(Metadata!F334,"not collected"),exact(Metadata!F334,"not provided"),exact(Metadata!F334,"restricted access"))),AND(IF(Metadata!F334="",FALSE,TRUE),OR(exact(Metadata!F334,"organism-associated habitat"),exact(Metadata!F334,"plant-associated habitat"),exact(Metadata!F334,"animal-associated habitat"),exact(Metadata!F334,"insecta-associated habitat"),exact(Metadata!F334,"mammalia-associated habitat"),exact(Metadata!F334,"human-associated habitat"),exact(Metadata!F334,"livestock-associated habitat"))))</f>
        <v>0</v>
      </c>
      <c r="AH334">
        <f>AND(IF(Metadata!G334="",FALSE,TRUE),exact(Metadata!G334,"host-associated"))</f>
        <v>0</v>
      </c>
      <c r="AI334">
        <f>OR(AND(IF(Metadata!H334="",FALSE,TRUE),OR(exact(Metadata!H334,"not collected"),exact(Metadata!H334,"not provided"))),AND(IF(Metadata!H334="",FALSE,ISNUMBER(VALUE(Metadata!H334))),Metadata!H334&gt;0))</f>
        <v>0</v>
      </c>
      <c r="AJ334">
        <f>AND(IF(Metadata!I334="",FALSE,TRUE),exact(Metadata!I334,"years"))</f>
        <v>0</v>
      </c>
      <c r="AK334">
        <f>IF(Metadata!J334="",FALSE,TRUE)</f>
        <v>0</v>
      </c>
      <c r="AL334">
        <f>OR(AND(IF(Metadata!K334="",FALSE,TRUE),OR(exact(Metadata!K334,"not collected"),exact(Metadata!K334,"not provided"))),AND(IF(Metadata!K334="",FALSE,ISNUMBER(VALUE(Metadata!K334))),Metadata!K334&gt;0))</f>
        <v>0</v>
      </c>
      <c r="AM334">
        <f>AND(IF(Metadata!L334="",FALSE,TRUE),exact(Metadata!L334,"cm"))</f>
        <v>0</v>
      </c>
      <c r="AN334">
        <f>IF(Metadata!M334="",FALSE,TRUE)</f>
        <v>0</v>
      </c>
      <c r="AO334">
        <f>OR(AND(IF(Metadata!N334="",FALSE,TRUE),OR(exact(Metadata!N334,"not applicable"),exact(Metadata!N334,"not collected"),exact(Metadata!N334,"not provided"))),AND(IF(Metadata!N334="",FALSE,IF(ISERROR(INT(Metadata!N334)),FALSE,INT(Metadata!N334)=Metadata!N334)),Metadata!N334&gt;0))</f>
        <v>0</v>
      </c>
      <c r="AP334">
        <f>OR(AND(IF(Metadata!O334="",FALSE,TRUE),OR(exact(Metadata!O334,"not collected"),exact(Metadata!O334,"not provided"))),AND(IF(Metadata!O334="",FALSE,ISNUMBER(VALUE(Metadata!O334))),Metadata!O334&gt;0))</f>
        <v>0</v>
      </c>
      <c r="AQ334">
        <f>AND(IF(Metadata!P334="",FALSE,TRUE),exact(Metadata!P334,"kg"))</f>
        <v>0</v>
      </c>
      <c r="AR334">
        <f>OR(AND(IF(Metadata!Q334="",FALSE,TRUE),OR(exact(Metadata!Q334,"not applicable"),exact(Metadata!Q334,"not collected"),exact(Metadata!Q334,"not provided"),exact(Metadata!Q334,"restricted access"))),IF(Metadata!Q334="",FALSE,IF(ISERROR(INT(Metadata!Q334)),FALSE,INT(Metadata!Q334)=Metadata!Q334)))</f>
        <v>0</v>
      </c>
      <c r="AS334">
        <f>AND(IF(Metadata!R334="",FALSE,TRUE),exact(Metadata!R334,"Not applicable"))</f>
        <v>0</v>
      </c>
    </row>
    <row r="335" spans="1:45">
      <c r="A335" s="4">
        <f>IF(B335=" "," ",HYPERLINK(CONCATENATE("#metadata!",ADDRESS(INDEX($X$2:$X$1001,MATCH(ROWS($V$2:V335),$V$2:$V$1001,0),0),2)),INDEX($AA$2:$AA$1001,MATCH(ROWS($V$2:V335),$V$2:$V$1001,0),0)))</f>
        <v>0</v>
      </c>
      <c r="B335" s="5">
        <f>IF(OR(INDEX($W$2:$W$1001,MATCH(ROWS($V$2:V335),$V$2:$V$1001,0),1)&gt;=100000,INDEX($AC$1005:$AS$1005,1,MATCH(COLUMNS($AC$1006:AC1006),$AC$1006:$AS$1006,0))&gt;=100000), " ",IF(INDEX($AC$2:$AS$1001,MATCH(ROWS($V$2:V335),$V$2:$V$1001,0),MATCH(COLUMNS($AC$1006:AC1006),$AC$1006:$AS$1006,0)), HYPERLINK("#",""), HYPERLINK(CONCATENATE("#Metadata!", ADDRESS(INDEX($X$2:$X$1001,MATCH(ROWS($V$2:V335),$V$2:$V$1001,0),0), INDEX($AC$1004:$AS$1004,1,MATCH(COLUMNS($AC$1006:AC1006),$AC$1006:$AS$1006,0)))),"Fix")))</f>
        <v>0</v>
      </c>
      <c r="C335" s="5">
        <f>IF(OR(INDEX($W$2:$W$1001,MATCH(ROWS($V$2:V335),$V$2:$V$1001,0),1)&gt;=100000,INDEX($AC$1005:$AS$1005,1,MATCH(COLUMNS($AC$1006:AD1006),$AC$1006:$AS$1006,0))&gt;=100000), " ",IF(INDEX($AC$2:$AS$1001,MATCH(ROWS($V$2:V335),$V$2:$V$1001,0),MATCH(COLUMNS($AC$1006:AD1006),$AC$1006:$AS$1006,0)), HYPERLINK("#",""), HYPERLINK(CONCATENATE("#Metadata!", ADDRESS(INDEX($X$2:$X$1001,MATCH(ROWS($V$2:V335),$V$2:$V$1001,0),0), INDEX($AC$1004:$AS$1004,1,MATCH(COLUMNS($AC$1006:AD1006),$AC$1006:$AS$1006,0)))),"Fix")))</f>
        <v>0</v>
      </c>
      <c r="D335" s="5">
        <f>IF(OR(INDEX($W$2:$W$1001,MATCH(ROWS($V$2:V335),$V$2:$V$1001,0),1)&gt;=100000,INDEX($AC$1005:$AS$1005,1,MATCH(COLUMNS($AC$1006:AE1006),$AC$1006:$AS$1006,0))&gt;=100000), " ",IF(INDEX($AC$2:$AS$1001,MATCH(ROWS($V$2:V335),$V$2:$V$1001,0),MATCH(COLUMNS($AC$1006:AE1006),$AC$1006:$AS$1006,0)), HYPERLINK("#",""), HYPERLINK(CONCATENATE("#Metadata!", ADDRESS(INDEX($X$2:$X$1001,MATCH(ROWS($V$2:V335),$V$2:$V$1001,0),0), INDEX($AC$1004:$AS$1004,1,MATCH(COLUMNS($AC$1006:AE1006),$AC$1006:$AS$1006,0)))),"Fix")))</f>
        <v>0</v>
      </c>
      <c r="E335" s="5">
        <f>IF(OR(INDEX($W$2:$W$1001,MATCH(ROWS($V$2:V335),$V$2:$V$1001,0),1)&gt;=100000,INDEX($AC$1005:$AS$1005,1,MATCH(COLUMNS($AC$1006:AF1006),$AC$1006:$AS$1006,0))&gt;=100000), " ",IF(INDEX($AC$2:$AS$1001,MATCH(ROWS($V$2:V335),$V$2:$V$1001,0),MATCH(COLUMNS($AC$1006:AF1006),$AC$1006:$AS$1006,0)), HYPERLINK("#",""), HYPERLINK(CONCATENATE("#Metadata!", ADDRESS(INDEX($X$2:$X$1001,MATCH(ROWS($V$2:V335),$V$2:$V$1001,0),0), INDEX($AC$1004:$AS$1004,1,MATCH(COLUMNS($AC$1006:AF1006),$AC$1006:$AS$1006,0)))),"Fix")))</f>
        <v>0</v>
      </c>
      <c r="F335" s="5">
        <f>IF(OR(INDEX($W$2:$W$1001,MATCH(ROWS($V$2:V335),$V$2:$V$1001,0),1)&gt;=100000,INDEX($AC$1005:$AS$1005,1,MATCH(COLUMNS($AC$1006:AG1006),$AC$1006:$AS$1006,0))&gt;=100000), " ",IF(INDEX($AC$2:$AS$1001,MATCH(ROWS($V$2:V335),$V$2:$V$1001,0),MATCH(COLUMNS($AC$1006:AG1006),$AC$1006:$AS$1006,0)), HYPERLINK("#",""), HYPERLINK(CONCATENATE("#Metadata!", ADDRESS(INDEX($X$2:$X$1001,MATCH(ROWS($V$2:V335),$V$2:$V$1001,0),0), INDEX($AC$1004:$AS$1004,1,MATCH(COLUMNS($AC$1006:AG1006),$AC$1006:$AS$1006,0)))),"Fix")))</f>
        <v>0</v>
      </c>
      <c r="G335" s="5">
        <f>IF(OR(INDEX($W$2:$W$1001,MATCH(ROWS($V$2:V335),$V$2:$V$1001,0),1)&gt;=100000,INDEX($AC$1005:$AS$1005,1,MATCH(COLUMNS($AC$1006:AH1006),$AC$1006:$AS$1006,0))&gt;=100000), " ",IF(INDEX($AC$2:$AS$1001,MATCH(ROWS($V$2:V335),$V$2:$V$1001,0),MATCH(COLUMNS($AC$1006:AH1006),$AC$1006:$AS$1006,0)), HYPERLINK("#",""), HYPERLINK(CONCATENATE("#Metadata!", ADDRESS(INDEX($X$2:$X$1001,MATCH(ROWS($V$2:V335),$V$2:$V$1001,0),0), INDEX($AC$1004:$AS$1004,1,MATCH(COLUMNS($AC$1006:AH1006),$AC$1006:$AS$1006,0)))),"Fix")))</f>
        <v>0</v>
      </c>
      <c r="H335" s="5">
        <f>IF(OR(INDEX($W$2:$W$1001,MATCH(ROWS($V$2:V335),$V$2:$V$1001,0),1)&gt;=100000,INDEX($AC$1005:$AS$1005,1,MATCH(COLUMNS($AC$1006:AI1006),$AC$1006:$AS$1006,0))&gt;=100000), " ",IF(INDEX($AC$2:$AS$1001,MATCH(ROWS($V$2:V335),$V$2:$V$1001,0),MATCH(COLUMNS($AC$1006:AI1006),$AC$1006:$AS$1006,0)), HYPERLINK("#",""), HYPERLINK(CONCATENATE("#Metadata!", ADDRESS(INDEX($X$2:$X$1001,MATCH(ROWS($V$2:V335),$V$2:$V$1001,0),0), INDEX($AC$1004:$AS$1004,1,MATCH(COLUMNS($AC$1006:AI1006),$AC$1006:$AS$1006,0)))),"Fix")))</f>
        <v>0</v>
      </c>
      <c r="I335" s="5">
        <f>IF(OR(INDEX($W$2:$W$1001,MATCH(ROWS($V$2:V335),$V$2:$V$1001,0),1)&gt;=100000,INDEX($AC$1005:$AS$1005,1,MATCH(COLUMNS($AC$1006:AJ1006),$AC$1006:$AS$1006,0))&gt;=100000), " ",IF(INDEX($AC$2:$AS$1001,MATCH(ROWS($V$2:V335),$V$2:$V$1001,0),MATCH(COLUMNS($AC$1006:AJ1006),$AC$1006:$AS$1006,0)), HYPERLINK("#",""), HYPERLINK(CONCATENATE("#Metadata!", ADDRESS(INDEX($X$2:$X$1001,MATCH(ROWS($V$2:V335),$V$2:$V$1001,0),0), INDEX($AC$1004:$AS$1004,1,MATCH(COLUMNS($AC$1006:AJ1006),$AC$1006:$AS$1006,0)))),"Fix")))</f>
        <v>0</v>
      </c>
      <c r="J335" s="5">
        <f>IF(OR(INDEX($W$2:$W$1001,MATCH(ROWS($V$2:V335),$V$2:$V$1001,0),1)&gt;=100000,INDEX($AC$1005:$AS$1005,1,MATCH(COLUMNS($AC$1006:AK1006),$AC$1006:$AS$1006,0))&gt;=100000), " ",IF(INDEX($AC$2:$AS$1001,MATCH(ROWS($V$2:V335),$V$2:$V$1001,0),MATCH(COLUMNS($AC$1006:AK1006),$AC$1006:$AS$1006,0)), HYPERLINK("#",""), HYPERLINK(CONCATENATE("#Metadata!", ADDRESS(INDEX($X$2:$X$1001,MATCH(ROWS($V$2:V335),$V$2:$V$1001,0),0), INDEX($AC$1004:$AS$1004,1,MATCH(COLUMNS($AC$1006:AK1006),$AC$1006:$AS$1006,0)))),"Fix")))</f>
        <v>0</v>
      </c>
      <c r="K335" s="5">
        <f>IF(OR(INDEX($W$2:$W$1001,MATCH(ROWS($V$2:V335),$V$2:$V$1001,0),1)&gt;=100000,INDEX($AC$1005:$AS$1005,1,MATCH(COLUMNS($AC$1006:AL1006),$AC$1006:$AS$1006,0))&gt;=100000), " ",IF(INDEX($AC$2:$AS$1001,MATCH(ROWS($V$2:V335),$V$2:$V$1001,0),MATCH(COLUMNS($AC$1006:AL1006),$AC$1006:$AS$1006,0)), HYPERLINK("#",""), HYPERLINK(CONCATENATE("#Metadata!", ADDRESS(INDEX($X$2:$X$1001,MATCH(ROWS($V$2:V335),$V$2:$V$1001,0),0), INDEX($AC$1004:$AS$1004,1,MATCH(COLUMNS($AC$1006:AL1006),$AC$1006:$AS$1006,0)))),"Fix")))</f>
        <v>0</v>
      </c>
      <c r="L335" s="5">
        <f>IF(OR(INDEX($W$2:$W$1001,MATCH(ROWS($V$2:V335),$V$2:$V$1001,0),1)&gt;=100000,INDEX($AC$1005:$AS$1005,1,MATCH(COLUMNS($AC$1006:AM1006),$AC$1006:$AS$1006,0))&gt;=100000), " ",IF(INDEX($AC$2:$AS$1001,MATCH(ROWS($V$2:V335),$V$2:$V$1001,0),MATCH(COLUMNS($AC$1006:AM1006),$AC$1006:$AS$1006,0)), HYPERLINK("#",""), HYPERLINK(CONCATENATE("#Metadata!", ADDRESS(INDEX($X$2:$X$1001,MATCH(ROWS($V$2:V335),$V$2:$V$1001,0),0), INDEX($AC$1004:$AS$1004,1,MATCH(COLUMNS($AC$1006:AM1006),$AC$1006:$AS$1006,0)))),"Fix")))</f>
        <v>0</v>
      </c>
      <c r="M335" s="5">
        <f>IF(OR(INDEX($W$2:$W$1001,MATCH(ROWS($V$2:V335),$V$2:$V$1001,0),1)&gt;=100000,INDEX($AC$1005:$AS$1005,1,MATCH(COLUMNS($AC$1006:AN1006),$AC$1006:$AS$1006,0))&gt;=100000), " ",IF(INDEX($AC$2:$AS$1001,MATCH(ROWS($V$2:V335),$V$2:$V$1001,0),MATCH(COLUMNS($AC$1006:AN1006),$AC$1006:$AS$1006,0)), HYPERLINK("#",""), HYPERLINK(CONCATENATE("#Metadata!", ADDRESS(INDEX($X$2:$X$1001,MATCH(ROWS($V$2:V335),$V$2:$V$1001,0),0), INDEX($AC$1004:$AS$1004,1,MATCH(COLUMNS($AC$1006:AN1006),$AC$1006:$AS$1006,0)))),"Fix")))</f>
        <v>0</v>
      </c>
      <c r="N335" s="5">
        <f>IF(OR(INDEX($W$2:$W$1001,MATCH(ROWS($V$2:V335),$V$2:$V$1001,0),1)&gt;=100000,INDEX($AC$1005:$AS$1005,1,MATCH(COLUMNS($AC$1006:AO1006),$AC$1006:$AS$1006,0))&gt;=100000), " ",IF(INDEX($AC$2:$AS$1001,MATCH(ROWS($V$2:V335),$V$2:$V$1001,0),MATCH(COLUMNS($AC$1006:AO1006),$AC$1006:$AS$1006,0)), HYPERLINK("#",""), HYPERLINK(CONCATENATE("#Metadata!", ADDRESS(INDEX($X$2:$X$1001,MATCH(ROWS($V$2:V335),$V$2:$V$1001,0),0), INDEX($AC$1004:$AS$1004,1,MATCH(COLUMNS($AC$1006:AO1006),$AC$1006:$AS$1006,0)))),"Fix")))</f>
        <v>0</v>
      </c>
      <c r="O335" s="5">
        <f>IF(OR(INDEX($W$2:$W$1001,MATCH(ROWS($V$2:V335),$V$2:$V$1001,0),1)&gt;=100000,INDEX($AC$1005:$AS$1005,1,MATCH(COLUMNS($AC$1006:AP1006),$AC$1006:$AS$1006,0))&gt;=100000), " ",IF(INDEX($AC$2:$AS$1001,MATCH(ROWS($V$2:V335),$V$2:$V$1001,0),MATCH(COLUMNS($AC$1006:AP1006),$AC$1006:$AS$1006,0)), HYPERLINK("#",""), HYPERLINK(CONCATENATE("#Metadata!", ADDRESS(INDEX($X$2:$X$1001,MATCH(ROWS($V$2:V335),$V$2:$V$1001,0),0), INDEX($AC$1004:$AS$1004,1,MATCH(COLUMNS($AC$1006:AP1006),$AC$1006:$AS$1006,0)))),"Fix")))</f>
        <v>0</v>
      </c>
      <c r="P335" s="5">
        <f>IF(OR(INDEX($W$2:$W$1001,MATCH(ROWS($V$2:V335),$V$2:$V$1001,0),1)&gt;=100000,INDEX($AC$1005:$AS$1005,1,MATCH(COLUMNS($AC$1006:AQ1006),$AC$1006:$AS$1006,0))&gt;=100000), " ",IF(INDEX($AC$2:$AS$1001,MATCH(ROWS($V$2:V335),$V$2:$V$1001,0),MATCH(COLUMNS($AC$1006:AQ1006),$AC$1006:$AS$1006,0)), HYPERLINK("#",""), HYPERLINK(CONCATENATE("#Metadata!", ADDRESS(INDEX($X$2:$X$1001,MATCH(ROWS($V$2:V335),$V$2:$V$1001,0),0), INDEX($AC$1004:$AS$1004,1,MATCH(COLUMNS($AC$1006:AQ1006),$AC$1006:$AS$1006,0)))),"Fix")))</f>
        <v>0</v>
      </c>
      <c r="Q335" s="5">
        <f>IF(OR(INDEX($W$2:$W$1001,MATCH(ROWS($V$2:V335),$V$2:$V$1001,0),1)&gt;=100000,INDEX($AC$1005:$AS$1005,1,MATCH(COLUMNS($AC$1006:AR1006),$AC$1006:$AS$1006,0))&gt;=100000), " ",IF(INDEX($AC$2:$AS$1001,MATCH(ROWS($V$2:V335),$V$2:$V$1001,0),MATCH(COLUMNS($AC$1006:AR1006),$AC$1006:$AS$1006,0)), HYPERLINK("#",""), HYPERLINK(CONCATENATE("#Metadata!", ADDRESS(INDEX($X$2:$X$1001,MATCH(ROWS($V$2:V335),$V$2:$V$1001,0),0), INDEX($AC$1004:$AS$1004,1,MATCH(COLUMNS($AC$1006:AR1006),$AC$1006:$AS$1006,0)))),"Fix")))</f>
        <v>0</v>
      </c>
      <c r="R335" s="5">
        <f>IF(OR(INDEX($W$2:$W$1001,MATCH(ROWS($V$2:V335),$V$2:$V$1001,0),1)&gt;=100000,INDEX($AC$1005:$AS$1005,1,MATCH(COLUMNS($AC$1006:AS1006),$AC$1006:$AS$1006,0))&gt;=100000), " ",IF(INDEX($AC$2:$AS$1001,MATCH(ROWS($V$2:V335),$V$2:$V$1001,0),MATCH(COLUMNS($AC$1006:AS1006),$AC$1006:$AS$1006,0)), HYPERLINK("#",""), HYPERLINK(CONCATENATE("#Metadata!", ADDRESS(INDEX($X$2:$X$1001,MATCH(ROWS($V$2:V335),$V$2:$V$1001,0),0), INDEX($AC$1004:$AS$1004,1,MATCH(COLUMNS($AC$1006:AS1006),$AC$1006:$AS$1006,0)))),"Fix")))</f>
        <v>0</v>
      </c>
      <c r="V335">
        <v>0</v>
      </c>
      <c r="W335">
        <v>0</v>
      </c>
      <c r="X335">
        <v>0</v>
      </c>
      <c r="Y335">
        <f>IF(Z335,TRUE,AND(AC335:AS335))</f>
        <v>0</v>
      </c>
      <c r="Z335">
        <f>COUNTBLANK(Metadata!B335:R335)=COLUMNS(Metadata!B335:R335)</f>
        <v>0</v>
      </c>
      <c r="AA335">
        <v>0</v>
      </c>
      <c r="AC335">
        <f>AND(IF(Metadata!B335="",FALSE,TRUE),COUNTIF(Metadata!B:B, Metadata!B335) = 1,NOT(ISERROR(SUMPRODUCT(SEARCH(MID(Metadata!B335,ROW(INDIRECT("1:"&amp;LEN(Metadata!B335))), 1),"0123456789abcdefghijklmnopqrstuvwxyzABCDEFGHIJKLMNOPQRSTUVWXYZ.")))))</f>
        <v>0</v>
      </c>
      <c r="AD335">
        <f>AND(IF(Metadata!C335="",FALSE,TRUE),exact(Metadata!C335,"Host-associated"))</f>
        <v>0</v>
      </c>
      <c r="AE335">
        <f>AND(IF(Metadata!D335="",FALSE,TRUE),OR(exact(Metadata!D335,"Animal"),exact(Metadata!D335,"Fungus"),exact(Metadata!D335,"Plant")))</f>
        <v>0</v>
      </c>
      <c r="AF335">
        <f>AND(IF(Metadata!E335="",FALSE,TRUE),OR(exact(Metadata!E335,"Plant secretion"),exact(Metadata!E335,"Plant rhizosphere"),exact(Metadata!E335,"Plant surface"),exact(Metadata!E335,"Plant corpus"),exact(Metadata!E335,"Fungus surface"),exact(Metadata!E335,"Fungus corpus"),exact(Metadata!E335,"Animal surface"),exact(Metadata!E335,"Animal proximal gut"),exact(Metadata!E335,"Animal corpus"),exact(Metadata!E335,"Animal distal gut"),exact(Metadata!E335,"Animal secretion")))</f>
        <v>0</v>
      </c>
      <c r="AG335">
        <f>OR(AND(IF(Metadata!F335="",FALSE,TRUE),OR(exact(Metadata!F335,"not collected"),exact(Metadata!F335,"not provided"),exact(Metadata!F335,"restricted access"))),AND(IF(Metadata!F335="",FALSE,TRUE),OR(exact(Metadata!F335,"organism-associated habitat"),exact(Metadata!F335,"plant-associated habitat"),exact(Metadata!F335,"animal-associated habitat"),exact(Metadata!F335,"insecta-associated habitat"),exact(Metadata!F335,"mammalia-associated habitat"),exact(Metadata!F335,"human-associated habitat"),exact(Metadata!F335,"livestock-associated habitat"))))</f>
        <v>0</v>
      </c>
      <c r="AH335">
        <f>AND(IF(Metadata!G335="",FALSE,TRUE),exact(Metadata!G335,"host-associated"))</f>
        <v>0</v>
      </c>
      <c r="AI335">
        <f>OR(AND(IF(Metadata!H335="",FALSE,TRUE),OR(exact(Metadata!H335,"not collected"),exact(Metadata!H335,"not provided"))),AND(IF(Metadata!H335="",FALSE,ISNUMBER(VALUE(Metadata!H335))),Metadata!H335&gt;0))</f>
        <v>0</v>
      </c>
      <c r="AJ335">
        <f>AND(IF(Metadata!I335="",FALSE,TRUE),exact(Metadata!I335,"years"))</f>
        <v>0</v>
      </c>
      <c r="AK335">
        <f>IF(Metadata!J335="",FALSE,TRUE)</f>
        <v>0</v>
      </c>
      <c r="AL335">
        <f>OR(AND(IF(Metadata!K335="",FALSE,TRUE),OR(exact(Metadata!K335,"not collected"),exact(Metadata!K335,"not provided"))),AND(IF(Metadata!K335="",FALSE,ISNUMBER(VALUE(Metadata!K335))),Metadata!K335&gt;0))</f>
        <v>0</v>
      </c>
      <c r="AM335">
        <f>AND(IF(Metadata!L335="",FALSE,TRUE),exact(Metadata!L335,"cm"))</f>
        <v>0</v>
      </c>
      <c r="AN335">
        <f>IF(Metadata!M335="",FALSE,TRUE)</f>
        <v>0</v>
      </c>
      <c r="AO335">
        <f>OR(AND(IF(Metadata!N335="",FALSE,TRUE),OR(exact(Metadata!N335,"not applicable"),exact(Metadata!N335,"not collected"),exact(Metadata!N335,"not provided"))),AND(IF(Metadata!N335="",FALSE,IF(ISERROR(INT(Metadata!N335)),FALSE,INT(Metadata!N335)=Metadata!N335)),Metadata!N335&gt;0))</f>
        <v>0</v>
      </c>
      <c r="AP335">
        <f>OR(AND(IF(Metadata!O335="",FALSE,TRUE),OR(exact(Metadata!O335,"not collected"),exact(Metadata!O335,"not provided"))),AND(IF(Metadata!O335="",FALSE,ISNUMBER(VALUE(Metadata!O335))),Metadata!O335&gt;0))</f>
        <v>0</v>
      </c>
      <c r="AQ335">
        <f>AND(IF(Metadata!P335="",FALSE,TRUE),exact(Metadata!P335,"kg"))</f>
        <v>0</v>
      </c>
      <c r="AR335">
        <f>OR(AND(IF(Metadata!Q335="",FALSE,TRUE),OR(exact(Metadata!Q335,"not applicable"),exact(Metadata!Q335,"not collected"),exact(Metadata!Q335,"not provided"),exact(Metadata!Q335,"restricted access"))),IF(Metadata!Q335="",FALSE,IF(ISERROR(INT(Metadata!Q335)),FALSE,INT(Metadata!Q335)=Metadata!Q335)))</f>
        <v>0</v>
      </c>
      <c r="AS335">
        <f>AND(IF(Metadata!R335="",FALSE,TRUE),exact(Metadata!R335,"Not applicable"))</f>
        <v>0</v>
      </c>
    </row>
    <row r="336" spans="1:45">
      <c r="A336" s="4">
        <f>IF(B336=" "," ",HYPERLINK(CONCATENATE("#metadata!",ADDRESS(INDEX($X$2:$X$1001,MATCH(ROWS($V$2:V336),$V$2:$V$1001,0),0),2)),INDEX($AA$2:$AA$1001,MATCH(ROWS($V$2:V336),$V$2:$V$1001,0),0)))</f>
        <v>0</v>
      </c>
      <c r="B336" s="5">
        <f>IF(OR(INDEX($W$2:$W$1001,MATCH(ROWS($V$2:V336),$V$2:$V$1001,0),1)&gt;=100000,INDEX($AC$1005:$AS$1005,1,MATCH(COLUMNS($AC$1006:AC1006),$AC$1006:$AS$1006,0))&gt;=100000), " ",IF(INDEX($AC$2:$AS$1001,MATCH(ROWS($V$2:V336),$V$2:$V$1001,0),MATCH(COLUMNS($AC$1006:AC1006),$AC$1006:$AS$1006,0)), HYPERLINK("#",""), HYPERLINK(CONCATENATE("#Metadata!", ADDRESS(INDEX($X$2:$X$1001,MATCH(ROWS($V$2:V336),$V$2:$V$1001,0),0), INDEX($AC$1004:$AS$1004,1,MATCH(COLUMNS($AC$1006:AC1006),$AC$1006:$AS$1006,0)))),"Fix")))</f>
        <v>0</v>
      </c>
      <c r="C336" s="5">
        <f>IF(OR(INDEX($W$2:$W$1001,MATCH(ROWS($V$2:V336),$V$2:$V$1001,0),1)&gt;=100000,INDEX($AC$1005:$AS$1005,1,MATCH(COLUMNS($AC$1006:AD1006),$AC$1006:$AS$1006,0))&gt;=100000), " ",IF(INDEX($AC$2:$AS$1001,MATCH(ROWS($V$2:V336),$V$2:$V$1001,0),MATCH(COLUMNS($AC$1006:AD1006),$AC$1006:$AS$1006,0)), HYPERLINK("#",""), HYPERLINK(CONCATENATE("#Metadata!", ADDRESS(INDEX($X$2:$X$1001,MATCH(ROWS($V$2:V336),$V$2:$V$1001,0),0), INDEX($AC$1004:$AS$1004,1,MATCH(COLUMNS($AC$1006:AD1006),$AC$1006:$AS$1006,0)))),"Fix")))</f>
        <v>0</v>
      </c>
      <c r="D336" s="5">
        <f>IF(OR(INDEX($W$2:$W$1001,MATCH(ROWS($V$2:V336),$V$2:$V$1001,0),1)&gt;=100000,INDEX($AC$1005:$AS$1005,1,MATCH(COLUMNS($AC$1006:AE1006),$AC$1006:$AS$1006,0))&gt;=100000), " ",IF(INDEX($AC$2:$AS$1001,MATCH(ROWS($V$2:V336),$V$2:$V$1001,0),MATCH(COLUMNS($AC$1006:AE1006),$AC$1006:$AS$1006,0)), HYPERLINK("#",""), HYPERLINK(CONCATENATE("#Metadata!", ADDRESS(INDEX($X$2:$X$1001,MATCH(ROWS($V$2:V336),$V$2:$V$1001,0),0), INDEX($AC$1004:$AS$1004,1,MATCH(COLUMNS($AC$1006:AE1006),$AC$1006:$AS$1006,0)))),"Fix")))</f>
        <v>0</v>
      </c>
      <c r="E336" s="5">
        <f>IF(OR(INDEX($W$2:$W$1001,MATCH(ROWS($V$2:V336),$V$2:$V$1001,0),1)&gt;=100000,INDEX($AC$1005:$AS$1005,1,MATCH(COLUMNS($AC$1006:AF1006),$AC$1006:$AS$1006,0))&gt;=100000), " ",IF(INDEX($AC$2:$AS$1001,MATCH(ROWS($V$2:V336),$V$2:$V$1001,0),MATCH(COLUMNS($AC$1006:AF1006),$AC$1006:$AS$1006,0)), HYPERLINK("#",""), HYPERLINK(CONCATENATE("#Metadata!", ADDRESS(INDEX($X$2:$X$1001,MATCH(ROWS($V$2:V336),$V$2:$V$1001,0),0), INDEX($AC$1004:$AS$1004,1,MATCH(COLUMNS($AC$1006:AF1006),$AC$1006:$AS$1006,0)))),"Fix")))</f>
        <v>0</v>
      </c>
      <c r="F336" s="5">
        <f>IF(OR(INDEX($W$2:$W$1001,MATCH(ROWS($V$2:V336),$V$2:$V$1001,0),1)&gt;=100000,INDEX($AC$1005:$AS$1005,1,MATCH(COLUMNS($AC$1006:AG1006),$AC$1006:$AS$1006,0))&gt;=100000), " ",IF(INDEX($AC$2:$AS$1001,MATCH(ROWS($V$2:V336),$V$2:$V$1001,0),MATCH(COLUMNS($AC$1006:AG1006),$AC$1006:$AS$1006,0)), HYPERLINK("#",""), HYPERLINK(CONCATENATE("#Metadata!", ADDRESS(INDEX($X$2:$X$1001,MATCH(ROWS($V$2:V336),$V$2:$V$1001,0),0), INDEX($AC$1004:$AS$1004,1,MATCH(COLUMNS($AC$1006:AG1006),$AC$1006:$AS$1006,0)))),"Fix")))</f>
        <v>0</v>
      </c>
      <c r="G336" s="5">
        <f>IF(OR(INDEX($W$2:$W$1001,MATCH(ROWS($V$2:V336),$V$2:$V$1001,0),1)&gt;=100000,INDEX($AC$1005:$AS$1005,1,MATCH(COLUMNS($AC$1006:AH1006),$AC$1006:$AS$1006,0))&gt;=100000), " ",IF(INDEX($AC$2:$AS$1001,MATCH(ROWS($V$2:V336),$V$2:$V$1001,0),MATCH(COLUMNS($AC$1006:AH1006),$AC$1006:$AS$1006,0)), HYPERLINK("#",""), HYPERLINK(CONCATENATE("#Metadata!", ADDRESS(INDEX($X$2:$X$1001,MATCH(ROWS($V$2:V336),$V$2:$V$1001,0),0), INDEX($AC$1004:$AS$1004,1,MATCH(COLUMNS($AC$1006:AH1006),$AC$1006:$AS$1006,0)))),"Fix")))</f>
        <v>0</v>
      </c>
      <c r="H336" s="5">
        <f>IF(OR(INDEX($W$2:$W$1001,MATCH(ROWS($V$2:V336),$V$2:$V$1001,0),1)&gt;=100000,INDEX($AC$1005:$AS$1005,1,MATCH(COLUMNS($AC$1006:AI1006),$AC$1006:$AS$1006,0))&gt;=100000), " ",IF(INDEX($AC$2:$AS$1001,MATCH(ROWS($V$2:V336),$V$2:$V$1001,0),MATCH(COLUMNS($AC$1006:AI1006),$AC$1006:$AS$1006,0)), HYPERLINK("#",""), HYPERLINK(CONCATENATE("#Metadata!", ADDRESS(INDEX($X$2:$X$1001,MATCH(ROWS($V$2:V336),$V$2:$V$1001,0),0), INDEX($AC$1004:$AS$1004,1,MATCH(COLUMNS($AC$1006:AI1006),$AC$1006:$AS$1006,0)))),"Fix")))</f>
        <v>0</v>
      </c>
      <c r="I336" s="5">
        <f>IF(OR(INDEX($W$2:$W$1001,MATCH(ROWS($V$2:V336),$V$2:$V$1001,0),1)&gt;=100000,INDEX($AC$1005:$AS$1005,1,MATCH(COLUMNS($AC$1006:AJ1006),$AC$1006:$AS$1006,0))&gt;=100000), " ",IF(INDEX($AC$2:$AS$1001,MATCH(ROWS($V$2:V336),$V$2:$V$1001,0),MATCH(COLUMNS($AC$1006:AJ1006),$AC$1006:$AS$1006,0)), HYPERLINK("#",""), HYPERLINK(CONCATENATE("#Metadata!", ADDRESS(INDEX($X$2:$X$1001,MATCH(ROWS($V$2:V336),$V$2:$V$1001,0),0), INDEX($AC$1004:$AS$1004,1,MATCH(COLUMNS($AC$1006:AJ1006),$AC$1006:$AS$1006,0)))),"Fix")))</f>
        <v>0</v>
      </c>
      <c r="J336" s="5">
        <f>IF(OR(INDEX($W$2:$W$1001,MATCH(ROWS($V$2:V336),$V$2:$V$1001,0),1)&gt;=100000,INDEX($AC$1005:$AS$1005,1,MATCH(COLUMNS($AC$1006:AK1006),$AC$1006:$AS$1006,0))&gt;=100000), " ",IF(INDEX($AC$2:$AS$1001,MATCH(ROWS($V$2:V336),$V$2:$V$1001,0),MATCH(COLUMNS($AC$1006:AK1006),$AC$1006:$AS$1006,0)), HYPERLINK("#",""), HYPERLINK(CONCATENATE("#Metadata!", ADDRESS(INDEX($X$2:$X$1001,MATCH(ROWS($V$2:V336),$V$2:$V$1001,0),0), INDEX($AC$1004:$AS$1004,1,MATCH(COLUMNS($AC$1006:AK1006),$AC$1006:$AS$1006,0)))),"Fix")))</f>
        <v>0</v>
      </c>
      <c r="K336" s="5">
        <f>IF(OR(INDEX($W$2:$W$1001,MATCH(ROWS($V$2:V336),$V$2:$V$1001,0),1)&gt;=100000,INDEX($AC$1005:$AS$1005,1,MATCH(COLUMNS($AC$1006:AL1006),$AC$1006:$AS$1006,0))&gt;=100000), " ",IF(INDEX($AC$2:$AS$1001,MATCH(ROWS($V$2:V336),$V$2:$V$1001,0),MATCH(COLUMNS($AC$1006:AL1006),$AC$1006:$AS$1006,0)), HYPERLINK("#",""), HYPERLINK(CONCATENATE("#Metadata!", ADDRESS(INDEX($X$2:$X$1001,MATCH(ROWS($V$2:V336),$V$2:$V$1001,0),0), INDEX($AC$1004:$AS$1004,1,MATCH(COLUMNS($AC$1006:AL1006),$AC$1006:$AS$1006,0)))),"Fix")))</f>
        <v>0</v>
      </c>
      <c r="L336" s="5">
        <f>IF(OR(INDEX($W$2:$W$1001,MATCH(ROWS($V$2:V336),$V$2:$V$1001,0),1)&gt;=100000,INDEX($AC$1005:$AS$1005,1,MATCH(COLUMNS($AC$1006:AM1006),$AC$1006:$AS$1006,0))&gt;=100000), " ",IF(INDEX($AC$2:$AS$1001,MATCH(ROWS($V$2:V336),$V$2:$V$1001,0),MATCH(COLUMNS($AC$1006:AM1006),$AC$1006:$AS$1006,0)), HYPERLINK("#",""), HYPERLINK(CONCATENATE("#Metadata!", ADDRESS(INDEX($X$2:$X$1001,MATCH(ROWS($V$2:V336),$V$2:$V$1001,0),0), INDEX($AC$1004:$AS$1004,1,MATCH(COLUMNS($AC$1006:AM1006),$AC$1006:$AS$1006,0)))),"Fix")))</f>
        <v>0</v>
      </c>
      <c r="M336" s="5">
        <f>IF(OR(INDEX($W$2:$W$1001,MATCH(ROWS($V$2:V336),$V$2:$V$1001,0),1)&gt;=100000,INDEX($AC$1005:$AS$1005,1,MATCH(COLUMNS($AC$1006:AN1006),$AC$1006:$AS$1006,0))&gt;=100000), " ",IF(INDEX($AC$2:$AS$1001,MATCH(ROWS($V$2:V336),$V$2:$V$1001,0),MATCH(COLUMNS($AC$1006:AN1006),$AC$1006:$AS$1006,0)), HYPERLINK("#",""), HYPERLINK(CONCATENATE("#Metadata!", ADDRESS(INDEX($X$2:$X$1001,MATCH(ROWS($V$2:V336),$V$2:$V$1001,0),0), INDEX($AC$1004:$AS$1004,1,MATCH(COLUMNS($AC$1006:AN1006),$AC$1006:$AS$1006,0)))),"Fix")))</f>
        <v>0</v>
      </c>
      <c r="N336" s="5">
        <f>IF(OR(INDEX($W$2:$W$1001,MATCH(ROWS($V$2:V336),$V$2:$V$1001,0),1)&gt;=100000,INDEX($AC$1005:$AS$1005,1,MATCH(COLUMNS($AC$1006:AO1006),$AC$1006:$AS$1006,0))&gt;=100000), " ",IF(INDEX($AC$2:$AS$1001,MATCH(ROWS($V$2:V336),$V$2:$V$1001,0),MATCH(COLUMNS($AC$1006:AO1006),$AC$1006:$AS$1006,0)), HYPERLINK("#",""), HYPERLINK(CONCATENATE("#Metadata!", ADDRESS(INDEX($X$2:$X$1001,MATCH(ROWS($V$2:V336),$V$2:$V$1001,0),0), INDEX($AC$1004:$AS$1004,1,MATCH(COLUMNS($AC$1006:AO1006),$AC$1006:$AS$1006,0)))),"Fix")))</f>
        <v>0</v>
      </c>
      <c r="O336" s="5">
        <f>IF(OR(INDEX($W$2:$W$1001,MATCH(ROWS($V$2:V336),$V$2:$V$1001,0),1)&gt;=100000,INDEX($AC$1005:$AS$1005,1,MATCH(COLUMNS($AC$1006:AP1006),$AC$1006:$AS$1006,0))&gt;=100000), " ",IF(INDEX($AC$2:$AS$1001,MATCH(ROWS($V$2:V336),$V$2:$V$1001,0),MATCH(COLUMNS($AC$1006:AP1006),$AC$1006:$AS$1006,0)), HYPERLINK("#",""), HYPERLINK(CONCATENATE("#Metadata!", ADDRESS(INDEX($X$2:$X$1001,MATCH(ROWS($V$2:V336),$V$2:$V$1001,0),0), INDEX($AC$1004:$AS$1004,1,MATCH(COLUMNS($AC$1006:AP1006),$AC$1006:$AS$1006,0)))),"Fix")))</f>
        <v>0</v>
      </c>
      <c r="P336" s="5">
        <f>IF(OR(INDEX($W$2:$W$1001,MATCH(ROWS($V$2:V336),$V$2:$V$1001,0),1)&gt;=100000,INDEX($AC$1005:$AS$1005,1,MATCH(COLUMNS($AC$1006:AQ1006),$AC$1006:$AS$1006,0))&gt;=100000), " ",IF(INDEX($AC$2:$AS$1001,MATCH(ROWS($V$2:V336),$V$2:$V$1001,0),MATCH(COLUMNS($AC$1006:AQ1006),$AC$1006:$AS$1006,0)), HYPERLINK("#",""), HYPERLINK(CONCATENATE("#Metadata!", ADDRESS(INDEX($X$2:$X$1001,MATCH(ROWS($V$2:V336),$V$2:$V$1001,0),0), INDEX($AC$1004:$AS$1004,1,MATCH(COLUMNS($AC$1006:AQ1006),$AC$1006:$AS$1006,0)))),"Fix")))</f>
        <v>0</v>
      </c>
      <c r="Q336" s="5">
        <f>IF(OR(INDEX($W$2:$W$1001,MATCH(ROWS($V$2:V336),$V$2:$V$1001,0),1)&gt;=100000,INDEX($AC$1005:$AS$1005,1,MATCH(COLUMNS($AC$1006:AR1006),$AC$1006:$AS$1006,0))&gt;=100000), " ",IF(INDEX($AC$2:$AS$1001,MATCH(ROWS($V$2:V336),$V$2:$V$1001,0),MATCH(COLUMNS($AC$1006:AR1006),$AC$1006:$AS$1006,0)), HYPERLINK("#",""), HYPERLINK(CONCATENATE("#Metadata!", ADDRESS(INDEX($X$2:$X$1001,MATCH(ROWS($V$2:V336),$V$2:$V$1001,0),0), INDEX($AC$1004:$AS$1004,1,MATCH(COLUMNS($AC$1006:AR1006),$AC$1006:$AS$1006,0)))),"Fix")))</f>
        <v>0</v>
      </c>
      <c r="R336" s="5">
        <f>IF(OR(INDEX($W$2:$W$1001,MATCH(ROWS($V$2:V336),$V$2:$V$1001,0),1)&gt;=100000,INDEX($AC$1005:$AS$1005,1,MATCH(COLUMNS($AC$1006:AS1006),$AC$1006:$AS$1006,0))&gt;=100000), " ",IF(INDEX($AC$2:$AS$1001,MATCH(ROWS($V$2:V336),$V$2:$V$1001,0),MATCH(COLUMNS($AC$1006:AS1006),$AC$1006:$AS$1006,0)), HYPERLINK("#",""), HYPERLINK(CONCATENATE("#Metadata!", ADDRESS(INDEX($X$2:$X$1001,MATCH(ROWS($V$2:V336),$V$2:$V$1001,0),0), INDEX($AC$1004:$AS$1004,1,MATCH(COLUMNS($AC$1006:AS1006),$AC$1006:$AS$1006,0)))),"Fix")))</f>
        <v>0</v>
      </c>
      <c r="V336">
        <v>0</v>
      </c>
      <c r="W336">
        <v>0</v>
      </c>
      <c r="X336">
        <v>0</v>
      </c>
      <c r="Y336">
        <f>IF(Z336,TRUE,AND(AC336:AS336))</f>
        <v>0</v>
      </c>
      <c r="Z336">
        <f>COUNTBLANK(Metadata!B336:R336)=COLUMNS(Metadata!B336:R336)</f>
        <v>0</v>
      </c>
      <c r="AA336">
        <v>0</v>
      </c>
      <c r="AC336">
        <f>AND(IF(Metadata!B336="",FALSE,TRUE),COUNTIF(Metadata!B:B, Metadata!B336) = 1,NOT(ISERROR(SUMPRODUCT(SEARCH(MID(Metadata!B336,ROW(INDIRECT("1:"&amp;LEN(Metadata!B336))), 1),"0123456789abcdefghijklmnopqrstuvwxyzABCDEFGHIJKLMNOPQRSTUVWXYZ.")))))</f>
        <v>0</v>
      </c>
      <c r="AD336">
        <f>AND(IF(Metadata!C336="",FALSE,TRUE),exact(Metadata!C336,"Host-associated"))</f>
        <v>0</v>
      </c>
      <c r="AE336">
        <f>AND(IF(Metadata!D336="",FALSE,TRUE),OR(exact(Metadata!D336,"Animal"),exact(Metadata!D336,"Fungus"),exact(Metadata!D336,"Plant")))</f>
        <v>0</v>
      </c>
      <c r="AF336">
        <f>AND(IF(Metadata!E336="",FALSE,TRUE),OR(exact(Metadata!E336,"Plant secretion"),exact(Metadata!E336,"Plant rhizosphere"),exact(Metadata!E336,"Plant surface"),exact(Metadata!E336,"Plant corpus"),exact(Metadata!E336,"Fungus surface"),exact(Metadata!E336,"Fungus corpus"),exact(Metadata!E336,"Animal surface"),exact(Metadata!E336,"Animal proximal gut"),exact(Metadata!E336,"Animal corpus"),exact(Metadata!E336,"Animal distal gut"),exact(Metadata!E336,"Animal secretion")))</f>
        <v>0</v>
      </c>
      <c r="AG336">
        <f>OR(AND(IF(Metadata!F336="",FALSE,TRUE),OR(exact(Metadata!F336,"not collected"),exact(Metadata!F336,"not provided"),exact(Metadata!F336,"restricted access"))),AND(IF(Metadata!F336="",FALSE,TRUE),OR(exact(Metadata!F336,"organism-associated habitat"),exact(Metadata!F336,"plant-associated habitat"),exact(Metadata!F336,"animal-associated habitat"),exact(Metadata!F336,"insecta-associated habitat"),exact(Metadata!F336,"mammalia-associated habitat"),exact(Metadata!F336,"human-associated habitat"),exact(Metadata!F336,"livestock-associated habitat"))))</f>
        <v>0</v>
      </c>
      <c r="AH336">
        <f>AND(IF(Metadata!G336="",FALSE,TRUE),exact(Metadata!G336,"host-associated"))</f>
        <v>0</v>
      </c>
      <c r="AI336">
        <f>OR(AND(IF(Metadata!H336="",FALSE,TRUE),OR(exact(Metadata!H336,"not collected"),exact(Metadata!H336,"not provided"))),AND(IF(Metadata!H336="",FALSE,ISNUMBER(VALUE(Metadata!H336))),Metadata!H336&gt;0))</f>
        <v>0</v>
      </c>
      <c r="AJ336">
        <f>AND(IF(Metadata!I336="",FALSE,TRUE),exact(Metadata!I336,"years"))</f>
        <v>0</v>
      </c>
      <c r="AK336">
        <f>IF(Metadata!J336="",FALSE,TRUE)</f>
        <v>0</v>
      </c>
      <c r="AL336">
        <f>OR(AND(IF(Metadata!K336="",FALSE,TRUE),OR(exact(Metadata!K336,"not collected"),exact(Metadata!K336,"not provided"))),AND(IF(Metadata!K336="",FALSE,ISNUMBER(VALUE(Metadata!K336))),Metadata!K336&gt;0))</f>
        <v>0</v>
      </c>
      <c r="AM336">
        <f>AND(IF(Metadata!L336="",FALSE,TRUE),exact(Metadata!L336,"cm"))</f>
        <v>0</v>
      </c>
      <c r="AN336">
        <f>IF(Metadata!M336="",FALSE,TRUE)</f>
        <v>0</v>
      </c>
      <c r="AO336">
        <f>OR(AND(IF(Metadata!N336="",FALSE,TRUE),OR(exact(Metadata!N336,"not applicable"),exact(Metadata!N336,"not collected"),exact(Metadata!N336,"not provided"))),AND(IF(Metadata!N336="",FALSE,IF(ISERROR(INT(Metadata!N336)),FALSE,INT(Metadata!N336)=Metadata!N336)),Metadata!N336&gt;0))</f>
        <v>0</v>
      </c>
      <c r="AP336">
        <f>OR(AND(IF(Metadata!O336="",FALSE,TRUE),OR(exact(Metadata!O336,"not collected"),exact(Metadata!O336,"not provided"))),AND(IF(Metadata!O336="",FALSE,ISNUMBER(VALUE(Metadata!O336))),Metadata!O336&gt;0))</f>
        <v>0</v>
      </c>
      <c r="AQ336">
        <f>AND(IF(Metadata!P336="",FALSE,TRUE),exact(Metadata!P336,"kg"))</f>
        <v>0</v>
      </c>
      <c r="AR336">
        <f>OR(AND(IF(Metadata!Q336="",FALSE,TRUE),OR(exact(Metadata!Q336,"not applicable"),exact(Metadata!Q336,"not collected"),exact(Metadata!Q336,"not provided"),exact(Metadata!Q336,"restricted access"))),IF(Metadata!Q336="",FALSE,IF(ISERROR(INT(Metadata!Q336)),FALSE,INT(Metadata!Q336)=Metadata!Q336)))</f>
        <v>0</v>
      </c>
      <c r="AS336">
        <f>AND(IF(Metadata!R336="",FALSE,TRUE),exact(Metadata!R336,"Not applicable"))</f>
        <v>0</v>
      </c>
    </row>
    <row r="337" spans="1:45">
      <c r="A337" s="4">
        <f>IF(B337=" "," ",HYPERLINK(CONCATENATE("#metadata!",ADDRESS(INDEX($X$2:$X$1001,MATCH(ROWS($V$2:V337),$V$2:$V$1001,0),0),2)),INDEX($AA$2:$AA$1001,MATCH(ROWS($V$2:V337),$V$2:$V$1001,0),0)))</f>
        <v>0</v>
      </c>
      <c r="B337" s="5">
        <f>IF(OR(INDEX($W$2:$W$1001,MATCH(ROWS($V$2:V337),$V$2:$V$1001,0),1)&gt;=100000,INDEX($AC$1005:$AS$1005,1,MATCH(COLUMNS($AC$1006:AC1006),$AC$1006:$AS$1006,0))&gt;=100000), " ",IF(INDEX($AC$2:$AS$1001,MATCH(ROWS($V$2:V337),$V$2:$V$1001,0),MATCH(COLUMNS($AC$1006:AC1006),$AC$1006:$AS$1006,0)), HYPERLINK("#",""), HYPERLINK(CONCATENATE("#Metadata!", ADDRESS(INDEX($X$2:$X$1001,MATCH(ROWS($V$2:V337),$V$2:$V$1001,0),0), INDEX($AC$1004:$AS$1004,1,MATCH(COLUMNS($AC$1006:AC1006),$AC$1006:$AS$1006,0)))),"Fix")))</f>
        <v>0</v>
      </c>
      <c r="C337" s="5">
        <f>IF(OR(INDEX($W$2:$W$1001,MATCH(ROWS($V$2:V337),$V$2:$V$1001,0),1)&gt;=100000,INDEX($AC$1005:$AS$1005,1,MATCH(COLUMNS($AC$1006:AD1006),$AC$1006:$AS$1006,0))&gt;=100000), " ",IF(INDEX($AC$2:$AS$1001,MATCH(ROWS($V$2:V337),$V$2:$V$1001,0),MATCH(COLUMNS($AC$1006:AD1006),$AC$1006:$AS$1006,0)), HYPERLINK("#",""), HYPERLINK(CONCATENATE("#Metadata!", ADDRESS(INDEX($X$2:$X$1001,MATCH(ROWS($V$2:V337),$V$2:$V$1001,0),0), INDEX($AC$1004:$AS$1004,1,MATCH(COLUMNS($AC$1006:AD1006),$AC$1006:$AS$1006,0)))),"Fix")))</f>
        <v>0</v>
      </c>
      <c r="D337" s="5">
        <f>IF(OR(INDEX($W$2:$W$1001,MATCH(ROWS($V$2:V337),$V$2:$V$1001,0),1)&gt;=100000,INDEX($AC$1005:$AS$1005,1,MATCH(COLUMNS($AC$1006:AE1006),$AC$1006:$AS$1006,0))&gt;=100000), " ",IF(INDEX($AC$2:$AS$1001,MATCH(ROWS($V$2:V337),$V$2:$V$1001,0),MATCH(COLUMNS($AC$1006:AE1006),$AC$1006:$AS$1006,0)), HYPERLINK("#",""), HYPERLINK(CONCATENATE("#Metadata!", ADDRESS(INDEX($X$2:$X$1001,MATCH(ROWS($V$2:V337),$V$2:$V$1001,0),0), INDEX($AC$1004:$AS$1004,1,MATCH(COLUMNS($AC$1006:AE1006),$AC$1006:$AS$1006,0)))),"Fix")))</f>
        <v>0</v>
      </c>
      <c r="E337" s="5">
        <f>IF(OR(INDEX($W$2:$W$1001,MATCH(ROWS($V$2:V337),$V$2:$V$1001,0),1)&gt;=100000,INDEX($AC$1005:$AS$1005,1,MATCH(COLUMNS($AC$1006:AF1006),$AC$1006:$AS$1006,0))&gt;=100000), " ",IF(INDEX($AC$2:$AS$1001,MATCH(ROWS($V$2:V337),$V$2:$V$1001,0),MATCH(COLUMNS($AC$1006:AF1006),$AC$1006:$AS$1006,0)), HYPERLINK("#",""), HYPERLINK(CONCATENATE("#Metadata!", ADDRESS(INDEX($X$2:$X$1001,MATCH(ROWS($V$2:V337),$V$2:$V$1001,0),0), INDEX($AC$1004:$AS$1004,1,MATCH(COLUMNS($AC$1006:AF1006),$AC$1006:$AS$1006,0)))),"Fix")))</f>
        <v>0</v>
      </c>
      <c r="F337" s="5">
        <f>IF(OR(INDEX($W$2:$W$1001,MATCH(ROWS($V$2:V337),$V$2:$V$1001,0),1)&gt;=100000,INDEX($AC$1005:$AS$1005,1,MATCH(COLUMNS($AC$1006:AG1006),$AC$1006:$AS$1006,0))&gt;=100000), " ",IF(INDEX($AC$2:$AS$1001,MATCH(ROWS($V$2:V337),$V$2:$V$1001,0),MATCH(COLUMNS($AC$1006:AG1006),$AC$1006:$AS$1006,0)), HYPERLINK("#",""), HYPERLINK(CONCATENATE("#Metadata!", ADDRESS(INDEX($X$2:$X$1001,MATCH(ROWS($V$2:V337),$V$2:$V$1001,0),0), INDEX($AC$1004:$AS$1004,1,MATCH(COLUMNS($AC$1006:AG1006),$AC$1006:$AS$1006,0)))),"Fix")))</f>
        <v>0</v>
      </c>
      <c r="G337" s="5">
        <f>IF(OR(INDEX($W$2:$W$1001,MATCH(ROWS($V$2:V337),$V$2:$V$1001,0),1)&gt;=100000,INDEX($AC$1005:$AS$1005,1,MATCH(COLUMNS($AC$1006:AH1006),$AC$1006:$AS$1006,0))&gt;=100000), " ",IF(INDEX($AC$2:$AS$1001,MATCH(ROWS($V$2:V337),$V$2:$V$1001,0),MATCH(COLUMNS($AC$1006:AH1006),$AC$1006:$AS$1006,0)), HYPERLINK("#",""), HYPERLINK(CONCATENATE("#Metadata!", ADDRESS(INDEX($X$2:$X$1001,MATCH(ROWS($V$2:V337),$V$2:$V$1001,0),0), INDEX($AC$1004:$AS$1004,1,MATCH(COLUMNS($AC$1006:AH1006),$AC$1006:$AS$1006,0)))),"Fix")))</f>
        <v>0</v>
      </c>
      <c r="H337" s="5">
        <f>IF(OR(INDEX($W$2:$W$1001,MATCH(ROWS($V$2:V337),$V$2:$V$1001,0),1)&gt;=100000,INDEX($AC$1005:$AS$1005,1,MATCH(COLUMNS($AC$1006:AI1006),$AC$1006:$AS$1006,0))&gt;=100000), " ",IF(INDEX($AC$2:$AS$1001,MATCH(ROWS($V$2:V337),$V$2:$V$1001,0),MATCH(COLUMNS($AC$1006:AI1006),$AC$1006:$AS$1006,0)), HYPERLINK("#",""), HYPERLINK(CONCATENATE("#Metadata!", ADDRESS(INDEX($X$2:$X$1001,MATCH(ROWS($V$2:V337),$V$2:$V$1001,0),0), INDEX($AC$1004:$AS$1004,1,MATCH(COLUMNS($AC$1006:AI1006),$AC$1006:$AS$1006,0)))),"Fix")))</f>
        <v>0</v>
      </c>
      <c r="I337" s="5">
        <f>IF(OR(INDEX($W$2:$W$1001,MATCH(ROWS($V$2:V337),$V$2:$V$1001,0),1)&gt;=100000,INDEX($AC$1005:$AS$1005,1,MATCH(COLUMNS($AC$1006:AJ1006),$AC$1006:$AS$1006,0))&gt;=100000), " ",IF(INDEX($AC$2:$AS$1001,MATCH(ROWS($V$2:V337),$V$2:$V$1001,0),MATCH(COLUMNS($AC$1006:AJ1006),$AC$1006:$AS$1006,0)), HYPERLINK("#",""), HYPERLINK(CONCATENATE("#Metadata!", ADDRESS(INDEX($X$2:$X$1001,MATCH(ROWS($V$2:V337),$V$2:$V$1001,0),0), INDEX($AC$1004:$AS$1004,1,MATCH(COLUMNS($AC$1006:AJ1006),$AC$1006:$AS$1006,0)))),"Fix")))</f>
        <v>0</v>
      </c>
      <c r="J337" s="5">
        <f>IF(OR(INDEX($W$2:$W$1001,MATCH(ROWS($V$2:V337),$V$2:$V$1001,0),1)&gt;=100000,INDEX($AC$1005:$AS$1005,1,MATCH(COLUMNS($AC$1006:AK1006),$AC$1006:$AS$1006,0))&gt;=100000), " ",IF(INDEX($AC$2:$AS$1001,MATCH(ROWS($V$2:V337),$V$2:$V$1001,0),MATCH(COLUMNS($AC$1006:AK1006),$AC$1006:$AS$1006,0)), HYPERLINK("#",""), HYPERLINK(CONCATENATE("#Metadata!", ADDRESS(INDEX($X$2:$X$1001,MATCH(ROWS($V$2:V337),$V$2:$V$1001,0),0), INDEX($AC$1004:$AS$1004,1,MATCH(COLUMNS($AC$1006:AK1006),$AC$1006:$AS$1006,0)))),"Fix")))</f>
        <v>0</v>
      </c>
      <c r="K337" s="5">
        <f>IF(OR(INDEX($W$2:$W$1001,MATCH(ROWS($V$2:V337),$V$2:$V$1001,0),1)&gt;=100000,INDEX($AC$1005:$AS$1005,1,MATCH(COLUMNS($AC$1006:AL1006),$AC$1006:$AS$1006,0))&gt;=100000), " ",IF(INDEX($AC$2:$AS$1001,MATCH(ROWS($V$2:V337),$V$2:$V$1001,0),MATCH(COLUMNS($AC$1006:AL1006),$AC$1006:$AS$1006,0)), HYPERLINK("#",""), HYPERLINK(CONCATENATE("#Metadata!", ADDRESS(INDEX($X$2:$X$1001,MATCH(ROWS($V$2:V337),$V$2:$V$1001,0),0), INDEX($AC$1004:$AS$1004,1,MATCH(COLUMNS($AC$1006:AL1006),$AC$1006:$AS$1006,0)))),"Fix")))</f>
        <v>0</v>
      </c>
      <c r="L337" s="5">
        <f>IF(OR(INDEX($W$2:$W$1001,MATCH(ROWS($V$2:V337),$V$2:$V$1001,0),1)&gt;=100000,INDEX($AC$1005:$AS$1005,1,MATCH(COLUMNS($AC$1006:AM1006),$AC$1006:$AS$1006,0))&gt;=100000), " ",IF(INDEX($AC$2:$AS$1001,MATCH(ROWS($V$2:V337),$V$2:$V$1001,0),MATCH(COLUMNS($AC$1006:AM1006),$AC$1006:$AS$1006,0)), HYPERLINK("#",""), HYPERLINK(CONCATENATE("#Metadata!", ADDRESS(INDEX($X$2:$X$1001,MATCH(ROWS($V$2:V337),$V$2:$V$1001,0),0), INDEX($AC$1004:$AS$1004,1,MATCH(COLUMNS($AC$1006:AM1006),$AC$1006:$AS$1006,0)))),"Fix")))</f>
        <v>0</v>
      </c>
      <c r="M337" s="5">
        <f>IF(OR(INDEX($W$2:$W$1001,MATCH(ROWS($V$2:V337),$V$2:$V$1001,0),1)&gt;=100000,INDEX($AC$1005:$AS$1005,1,MATCH(COLUMNS($AC$1006:AN1006),$AC$1006:$AS$1006,0))&gt;=100000), " ",IF(INDEX($AC$2:$AS$1001,MATCH(ROWS($V$2:V337),$V$2:$V$1001,0),MATCH(COLUMNS($AC$1006:AN1006),$AC$1006:$AS$1006,0)), HYPERLINK("#",""), HYPERLINK(CONCATENATE("#Metadata!", ADDRESS(INDEX($X$2:$X$1001,MATCH(ROWS($V$2:V337),$V$2:$V$1001,0),0), INDEX($AC$1004:$AS$1004,1,MATCH(COLUMNS($AC$1006:AN1006),$AC$1006:$AS$1006,0)))),"Fix")))</f>
        <v>0</v>
      </c>
      <c r="N337" s="5">
        <f>IF(OR(INDEX($W$2:$W$1001,MATCH(ROWS($V$2:V337),$V$2:$V$1001,0),1)&gt;=100000,INDEX($AC$1005:$AS$1005,1,MATCH(COLUMNS($AC$1006:AO1006),$AC$1006:$AS$1006,0))&gt;=100000), " ",IF(INDEX($AC$2:$AS$1001,MATCH(ROWS($V$2:V337),$V$2:$V$1001,0),MATCH(COLUMNS($AC$1006:AO1006),$AC$1006:$AS$1006,0)), HYPERLINK("#",""), HYPERLINK(CONCATENATE("#Metadata!", ADDRESS(INDEX($X$2:$X$1001,MATCH(ROWS($V$2:V337),$V$2:$V$1001,0),0), INDEX($AC$1004:$AS$1004,1,MATCH(COLUMNS($AC$1006:AO1006),$AC$1006:$AS$1006,0)))),"Fix")))</f>
        <v>0</v>
      </c>
      <c r="O337" s="5">
        <f>IF(OR(INDEX($W$2:$W$1001,MATCH(ROWS($V$2:V337),$V$2:$V$1001,0),1)&gt;=100000,INDEX($AC$1005:$AS$1005,1,MATCH(COLUMNS($AC$1006:AP1006),$AC$1006:$AS$1006,0))&gt;=100000), " ",IF(INDEX($AC$2:$AS$1001,MATCH(ROWS($V$2:V337),$V$2:$V$1001,0),MATCH(COLUMNS($AC$1006:AP1006),$AC$1006:$AS$1006,0)), HYPERLINK("#",""), HYPERLINK(CONCATENATE("#Metadata!", ADDRESS(INDEX($X$2:$X$1001,MATCH(ROWS($V$2:V337),$V$2:$V$1001,0),0), INDEX($AC$1004:$AS$1004,1,MATCH(COLUMNS($AC$1006:AP1006),$AC$1006:$AS$1006,0)))),"Fix")))</f>
        <v>0</v>
      </c>
      <c r="P337" s="5">
        <f>IF(OR(INDEX($W$2:$W$1001,MATCH(ROWS($V$2:V337),$V$2:$V$1001,0),1)&gt;=100000,INDEX($AC$1005:$AS$1005,1,MATCH(COLUMNS($AC$1006:AQ1006),$AC$1006:$AS$1006,0))&gt;=100000), " ",IF(INDEX($AC$2:$AS$1001,MATCH(ROWS($V$2:V337),$V$2:$V$1001,0),MATCH(COLUMNS($AC$1006:AQ1006),$AC$1006:$AS$1006,0)), HYPERLINK("#",""), HYPERLINK(CONCATENATE("#Metadata!", ADDRESS(INDEX($X$2:$X$1001,MATCH(ROWS($V$2:V337),$V$2:$V$1001,0),0), INDEX($AC$1004:$AS$1004,1,MATCH(COLUMNS($AC$1006:AQ1006),$AC$1006:$AS$1006,0)))),"Fix")))</f>
        <v>0</v>
      </c>
      <c r="Q337" s="5">
        <f>IF(OR(INDEX($W$2:$W$1001,MATCH(ROWS($V$2:V337),$V$2:$V$1001,0),1)&gt;=100000,INDEX($AC$1005:$AS$1005,1,MATCH(COLUMNS($AC$1006:AR1006),$AC$1006:$AS$1006,0))&gt;=100000), " ",IF(INDEX($AC$2:$AS$1001,MATCH(ROWS($V$2:V337),$V$2:$V$1001,0),MATCH(COLUMNS($AC$1006:AR1006),$AC$1006:$AS$1006,0)), HYPERLINK("#",""), HYPERLINK(CONCATENATE("#Metadata!", ADDRESS(INDEX($X$2:$X$1001,MATCH(ROWS($V$2:V337),$V$2:$V$1001,0),0), INDEX($AC$1004:$AS$1004,1,MATCH(COLUMNS($AC$1006:AR1006),$AC$1006:$AS$1006,0)))),"Fix")))</f>
        <v>0</v>
      </c>
      <c r="R337" s="5">
        <f>IF(OR(INDEX($W$2:$W$1001,MATCH(ROWS($V$2:V337),$V$2:$V$1001,0),1)&gt;=100000,INDEX($AC$1005:$AS$1005,1,MATCH(COLUMNS($AC$1006:AS1006),$AC$1006:$AS$1006,0))&gt;=100000), " ",IF(INDEX($AC$2:$AS$1001,MATCH(ROWS($V$2:V337),$V$2:$V$1001,0),MATCH(COLUMNS($AC$1006:AS1006),$AC$1006:$AS$1006,0)), HYPERLINK("#",""), HYPERLINK(CONCATENATE("#Metadata!", ADDRESS(INDEX($X$2:$X$1001,MATCH(ROWS($V$2:V337),$V$2:$V$1001,0),0), INDEX($AC$1004:$AS$1004,1,MATCH(COLUMNS($AC$1006:AS1006),$AC$1006:$AS$1006,0)))),"Fix")))</f>
        <v>0</v>
      </c>
      <c r="V337">
        <v>0</v>
      </c>
      <c r="W337">
        <v>0</v>
      </c>
      <c r="X337">
        <v>0</v>
      </c>
      <c r="Y337">
        <f>IF(Z337,TRUE,AND(AC337:AS337))</f>
        <v>0</v>
      </c>
      <c r="Z337">
        <f>COUNTBLANK(Metadata!B337:R337)=COLUMNS(Metadata!B337:R337)</f>
        <v>0</v>
      </c>
      <c r="AA337">
        <v>0</v>
      </c>
      <c r="AC337">
        <f>AND(IF(Metadata!B337="",FALSE,TRUE),COUNTIF(Metadata!B:B, Metadata!B337) = 1,NOT(ISERROR(SUMPRODUCT(SEARCH(MID(Metadata!B337,ROW(INDIRECT("1:"&amp;LEN(Metadata!B337))), 1),"0123456789abcdefghijklmnopqrstuvwxyzABCDEFGHIJKLMNOPQRSTUVWXYZ.")))))</f>
        <v>0</v>
      </c>
      <c r="AD337">
        <f>AND(IF(Metadata!C337="",FALSE,TRUE),exact(Metadata!C337,"Host-associated"))</f>
        <v>0</v>
      </c>
      <c r="AE337">
        <f>AND(IF(Metadata!D337="",FALSE,TRUE),OR(exact(Metadata!D337,"Animal"),exact(Metadata!D337,"Fungus"),exact(Metadata!D337,"Plant")))</f>
        <v>0</v>
      </c>
      <c r="AF337">
        <f>AND(IF(Metadata!E337="",FALSE,TRUE),OR(exact(Metadata!E337,"Plant secretion"),exact(Metadata!E337,"Plant rhizosphere"),exact(Metadata!E337,"Plant surface"),exact(Metadata!E337,"Plant corpus"),exact(Metadata!E337,"Fungus surface"),exact(Metadata!E337,"Fungus corpus"),exact(Metadata!E337,"Animal surface"),exact(Metadata!E337,"Animal proximal gut"),exact(Metadata!E337,"Animal corpus"),exact(Metadata!E337,"Animal distal gut"),exact(Metadata!E337,"Animal secretion")))</f>
        <v>0</v>
      </c>
      <c r="AG337">
        <f>OR(AND(IF(Metadata!F337="",FALSE,TRUE),OR(exact(Metadata!F337,"not collected"),exact(Metadata!F337,"not provided"),exact(Metadata!F337,"restricted access"))),AND(IF(Metadata!F337="",FALSE,TRUE),OR(exact(Metadata!F337,"organism-associated habitat"),exact(Metadata!F337,"plant-associated habitat"),exact(Metadata!F337,"animal-associated habitat"),exact(Metadata!F337,"insecta-associated habitat"),exact(Metadata!F337,"mammalia-associated habitat"),exact(Metadata!F337,"human-associated habitat"),exact(Metadata!F337,"livestock-associated habitat"))))</f>
        <v>0</v>
      </c>
      <c r="AH337">
        <f>AND(IF(Metadata!G337="",FALSE,TRUE),exact(Metadata!G337,"host-associated"))</f>
        <v>0</v>
      </c>
      <c r="AI337">
        <f>OR(AND(IF(Metadata!H337="",FALSE,TRUE),OR(exact(Metadata!H337,"not collected"),exact(Metadata!H337,"not provided"))),AND(IF(Metadata!H337="",FALSE,ISNUMBER(VALUE(Metadata!H337))),Metadata!H337&gt;0))</f>
        <v>0</v>
      </c>
      <c r="AJ337">
        <f>AND(IF(Metadata!I337="",FALSE,TRUE),exact(Metadata!I337,"years"))</f>
        <v>0</v>
      </c>
      <c r="AK337">
        <f>IF(Metadata!J337="",FALSE,TRUE)</f>
        <v>0</v>
      </c>
      <c r="AL337">
        <f>OR(AND(IF(Metadata!K337="",FALSE,TRUE),OR(exact(Metadata!K337,"not collected"),exact(Metadata!K337,"not provided"))),AND(IF(Metadata!K337="",FALSE,ISNUMBER(VALUE(Metadata!K337))),Metadata!K337&gt;0))</f>
        <v>0</v>
      </c>
      <c r="AM337">
        <f>AND(IF(Metadata!L337="",FALSE,TRUE),exact(Metadata!L337,"cm"))</f>
        <v>0</v>
      </c>
      <c r="AN337">
        <f>IF(Metadata!M337="",FALSE,TRUE)</f>
        <v>0</v>
      </c>
      <c r="AO337">
        <f>OR(AND(IF(Metadata!N337="",FALSE,TRUE),OR(exact(Metadata!N337,"not applicable"),exact(Metadata!N337,"not collected"),exact(Metadata!N337,"not provided"))),AND(IF(Metadata!N337="",FALSE,IF(ISERROR(INT(Metadata!N337)),FALSE,INT(Metadata!N337)=Metadata!N337)),Metadata!N337&gt;0))</f>
        <v>0</v>
      </c>
      <c r="AP337">
        <f>OR(AND(IF(Metadata!O337="",FALSE,TRUE),OR(exact(Metadata!O337,"not collected"),exact(Metadata!O337,"not provided"))),AND(IF(Metadata!O337="",FALSE,ISNUMBER(VALUE(Metadata!O337))),Metadata!O337&gt;0))</f>
        <v>0</v>
      </c>
      <c r="AQ337">
        <f>AND(IF(Metadata!P337="",FALSE,TRUE),exact(Metadata!P337,"kg"))</f>
        <v>0</v>
      </c>
      <c r="AR337">
        <f>OR(AND(IF(Metadata!Q337="",FALSE,TRUE),OR(exact(Metadata!Q337,"not applicable"),exact(Metadata!Q337,"not collected"),exact(Metadata!Q337,"not provided"),exact(Metadata!Q337,"restricted access"))),IF(Metadata!Q337="",FALSE,IF(ISERROR(INT(Metadata!Q337)),FALSE,INT(Metadata!Q337)=Metadata!Q337)))</f>
        <v>0</v>
      </c>
      <c r="AS337">
        <f>AND(IF(Metadata!R337="",FALSE,TRUE),exact(Metadata!R337,"Not applicable"))</f>
        <v>0</v>
      </c>
    </row>
    <row r="338" spans="1:45">
      <c r="A338" s="4">
        <f>IF(B338=" "," ",HYPERLINK(CONCATENATE("#metadata!",ADDRESS(INDEX($X$2:$X$1001,MATCH(ROWS($V$2:V338),$V$2:$V$1001,0),0),2)),INDEX($AA$2:$AA$1001,MATCH(ROWS($V$2:V338),$V$2:$V$1001,0),0)))</f>
        <v>0</v>
      </c>
      <c r="B338" s="5">
        <f>IF(OR(INDEX($W$2:$W$1001,MATCH(ROWS($V$2:V338),$V$2:$V$1001,0),1)&gt;=100000,INDEX($AC$1005:$AS$1005,1,MATCH(COLUMNS($AC$1006:AC1006),$AC$1006:$AS$1006,0))&gt;=100000), " ",IF(INDEX($AC$2:$AS$1001,MATCH(ROWS($V$2:V338),$V$2:$V$1001,0),MATCH(COLUMNS($AC$1006:AC1006),$AC$1006:$AS$1006,0)), HYPERLINK("#",""), HYPERLINK(CONCATENATE("#Metadata!", ADDRESS(INDEX($X$2:$X$1001,MATCH(ROWS($V$2:V338),$V$2:$V$1001,0),0), INDEX($AC$1004:$AS$1004,1,MATCH(COLUMNS($AC$1006:AC1006),$AC$1006:$AS$1006,0)))),"Fix")))</f>
        <v>0</v>
      </c>
      <c r="C338" s="5">
        <f>IF(OR(INDEX($W$2:$W$1001,MATCH(ROWS($V$2:V338),$V$2:$V$1001,0),1)&gt;=100000,INDEX($AC$1005:$AS$1005,1,MATCH(COLUMNS($AC$1006:AD1006),$AC$1006:$AS$1006,0))&gt;=100000), " ",IF(INDEX($AC$2:$AS$1001,MATCH(ROWS($V$2:V338),$V$2:$V$1001,0),MATCH(COLUMNS($AC$1006:AD1006),$AC$1006:$AS$1006,0)), HYPERLINK("#",""), HYPERLINK(CONCATENATE("#Metadata!", ADDRESS(INDEX($X$2:$X$1001,MATCH(ROWS($V$2:V338),$V$2:$V$1001,0),0), INDEX($AC$1004:$AS$1004,1,MATCH(COLUMNS($AC$1006:AD1006),$AC$1006:$AS$1006,0)))),"Fix")))</f>
        <v>0</v>
      </c>
      <c r="D338" s="5">
        <f>IF(OR(INDEX($W$2:$W$1001,MATCH(ROWS($V$2:V338),$V$2:$V$1001,0),1)&gt;=100000,INDEX($AC$1005:$AS$1005,1,MATCH(COLUMNS($AC$1006:AE1006),$AC$1006:$AS$1006,0))&gt;=100000), " ",IF(INDEX($AC$2:$AS$1001,MATCH(ROWS($V$2:V338),$V$2:$V$1001,0),MATCH(COLUMNS($AC$1006:AE1006),$AC$1006:$AS$1006,0)), HYPERLINK("#",""), HYPERLINK(CONCATENATE("#Metadata!", ADDRESS(INDEX($X$2:$X$1001,MATCH(ROWS($V$2:V338),$V$2:$V$1001,0),0), INDEX($AC$1004:$AS$1004,1,MATCH(COLUMNS($AC$1006:AE1006),$AC$1006:$AS$1006,0)))),"Fix")))</f>
        <v>0</v>
      </c>
      <c r="E338" s="5">
        <f>IF(OR(INDEX($W$2:$W$1001,MATCH(ROWS($V$2:V338),$V$2:$V$1001,0),1)&gt;=100000,INDEX($AC$1005:$AS$1005,1,MATCH(COLUMNS($AC$1006:AF1006),$AC$1006:$AS$1006,0))&gt;=100000), " ",IF(INDEX($AC$2:$AS$1001,MATCH(ROWS($V$2:V338),$V$2:$V$1001,0),MATCH(COLUMNS($AC$1006:AF1006),$AC$1006:$AS$1006,0)), HYPERLINK("#",""), HYPERLINK(CONCATENATE("#Metadata!", ADDRESS(INDEX($X$2:$X$1001,MATCH(ROWS($V$2:V338),$V$2:$V$1001,0),0), INDEX($AC$1004:$AS$1004,1,MATCH(COLUMNS($AC$1006:AF1006),$AC$1006:$AS$1006,0)))),"Fix")))</f>
        <v>0</v>
      </c>
      <c r="F338" s="5">
        <f>IF(OR(INDEX($W$2:$W$1001,MATCH(ROWS($V$2:V338),$V$2:$V$1001,0),1)&gt;=100000,INDEX($AC$1005:$AS$1005,1,MATCH(COLUMNS($AC$1006:AG1006),$AC$1006:$AS$1006,0))&gt;=100000), " ",IF(INDEX($AC$2:$AS$1001,MATCH(ROWS($V$2:V338),$V$2:$V$1001,0),MATCH(COLUMNS($AC$1006:AG1006),$AC$1006:$AS$1006,0)), HYPERLINK("#",""), HYPERLINK(CONCATENATE("#Metadata!", ADDRESS(INDEX($X$2:$X$1001,MATCH(ROWS($V$2:V338),$V$2:$V$1001,0),0), INDEX($AC$1004:$AS$1004,1,MATCH(COLUMNS($AC$1006:AG1006),$AC$1006:$AS$1006,0)))),"Fix")))</f>
        <v>0</v>
      </c>
      <c r="G338" s="5">
        <f>IF(OR(INDEX($W$2:$W$1001,MATCH(ROWS($V$2:V338),$V$2:$V$1001,0),1)&gt;=100000,INDEX($AC$1005:$AS$1005,1,MATCH(COLUMNS($AC$1006:AH1006),$AC$1006:$AS$1006,0))&gt;=100000), " ",IF(INDEX($AC$2:$AS$1001,MATCH(ROWS($V$2:V338),$V$2:$V$1001,0),MATCH(COLUMNS($AC$1006:AH1006),$AC$1006:$AS$1006,0)), HYPERLINK("#",""), HYPERLINK(CONCATENATE("#Metadata!", ADDRESS(INDEX($X$2:$X$1001,MATCH(ROWS($V$2:V338),$V$2:$V$1001,0),0), INDEX($AC$1004:$AS$1004,1,MATCH(COLUMNS($AC$1006:AH1006),$AC$1006:$AS$1006,0)))),"Fix")))</f>
        <v>0</v>
      </c>
      <c r="H338" s="5">
        <f>IF(OR(INDEX($W$2:$W$1001,MATCH(ROWS($V$2:V338),$V$2:$V$1001,0),1)&gt;=100000,INDEX($AC$1005:$AS$1005,1,MATCH(COLUMNS($AC$1006:AI1006),$AC$1006:$AS$1006,0))&gt;=100000), " ",IF(INDEX($AC$2:$AS$1001,MATCH(ROWS($V$2:V338),$V$2:$V$1001,0),MATCH(COLUMNS($AC$1006:AI1006),$AC$1006:$AS$1006,0)), HYPERLINK("#",""), HYPERLINK(CONCATENATE("#Metadata!", ADDRESS(INDEX($X$2:$X$1001,MATCH(ROWS($V$2:V338),$V$2:$V$1001,0),0), INDEX($AC$1004:$AS$1004,1,MATCH(COLUMNS($AC$1006:AI1006),$AC$1006:$AS$1006,0)))),"Fix")))</f>
        <v>0</v>
      </c>
      <c r="I338" s="5">
        <f>IF(OR(INDEX($W$2:$W$1001,MATCH(ROWS($V$2:V338),$V$2:$V$1001,0),1)&gt;=100000,INDEX($AC$1005:$AS$1005,1,MATCH(COLUMNS($AC$1006:AJ1006),$AC$1006:$AS$1006,0))&gt;=100000), " ",IF(INDEX($AC$2:$AS$1001,MATCH(ROWS($V$2:V338),$V$2:$V$1001,0),MATCH(COLUMNS($AC$1006:AJ1006),$AC$1006:$AS$1006,0)), HYPERLINK("#",""), HYPERLINK(CONCATENATE("#Metadata!", ADDRESS(INDEX($X$2:$X$1001,MATCH(ROWS($V$2:V338),$V$2:$V$1001,0),0), INDEX($AC$1004:$AS$1004,1,MATCH(COLUMNS($AC$1006:AJ1006),$AC$1006:$AS$1006,0)))),"Fix")))</f>
        <v>0</v>
      </c>
      <c r="J338" s="5">
        <f>IF(OR(INDEX($W$2:$W$1001,MATCH(ROWS($V$2:V338),$V$2:$V$1001,0),1)&gt;=100000,INDEX($AC$1005:$AS$1005,1,MATCH(COLUMNS($AC$1006:AK1006),$AC$1006:$AS$1006,0))&gt;=100000), " ",IF(INDEX($AC$2:$AS$1001,MATCH(ROWS($V$2:V338),$V$2:$V$1001,0),MATCH(COLUMNS($AC$1006:AK1006),$AC$1006:$AS$1006,0)), HYPERLINK("#",""), HYPERLINK(CONCATENATE("#Metadata!", ADDRESS(INDEX($X$2:$X$1001,MATCH(ROWS($V$2:V338),$V$2:$V$1001,0),0), INDEX($AC$1004:$AS$1004,1,MATCH(COLUMNS($AC$1006:AK1006),$AC$1006:$AS$1006,0)))),"Fix")))</f>
        <v>0</v>
      </c>
      <c r="K338" s="5">
        <f>IF(OR(INDEX($W$2:$W$1001,MATCH(ROWS($V$2:V338),$V$2:$V$1001,0),1)&gt;=100000,INDEX($AC$1005:$AS$1005,1,MATCH(COLUMNS($AC$1006:AL1006),$AC$1006:$AS$1006,0))&gt;=100000), " ",IF(INDEX($AC$2:$AS$1001,MATCH(ROWS($V$2:V338),$V$2:$V$1001,0),MATCH(COLUMNS($AC$1006:AL1006),$AC$1006:$AS$1006,0)), HYPERLINK("#",""), HYPERLINK(CONCATENATE("#Metadata!", ADDRESS(INDEX($X$2:$X$1001,MATCH(ROWS($V$2:V338),$V$2:$V$1001,0),0), INDEX($AC$1004:$AS$1004,1,MATCH(COLUMNS($AC$1006:AL1006),$AC$1006:$AS$1006,0)))),"Fix")))</f>
        <v>0</v>
      </c>
      <c r="L338" s="5">
        <f>IF(OR(INDEX($W$2:$W$1001,MATCH(ROWS($V$2:V338),$V$2:$V$1001,0),1)&gt;=100000,INDEX($AC$1005:$AS$1005,1,MATCH(COLUMNS($AC$1006:AM1006),$AC$1006:$AS$1006,0))&gt;=100000), " ",IF(INDEX($AC$2:$AS$1001,MATCH(ROWS($V$2:V338),$V$2:$V$1001,0),MATCH(COLUMNS($AC$1006:AM1006),$AC$1006:$AS$1006,0)), HYPERLINK("#",""), HYPERLINK(CONCATENATE("#Metadata!", ADDRESS(INDEX($X$2:$X$1001,MATCH(ROWS($V$2:V338),$V$2:$V$1001,0),0), INDEX($AC$1004:$AS$1004,1,MATCH(COLUMNS($AC$1006:AM1006),$AC$1006:$AS$1006,0)))),"Fix")))</f>
        <v>0</v>
      </c>
      <c r="M338" s="5">
        <f>IF(OR(INDEX($W$2:$W$1001,MATCH(ROWS($V$2:V338),$V$2:$V$1001,0),1)&gt;=100000,INDEX($AC$1005:$AS$1005,1,MATCH(COLUMNS($AC$1006:AN1006),$AC$1006:$AS$1006,0))&gt;=100000), " ",IF(INDEX($AC$2:$AS$1001,MATCH(ROWS($V$2:V338),$V$2:$V$1001,0),MATCH(COLUMNS($AC$1006:AN1006),$AC$1006:$AS$1006,0)), HYPERLINK("#",""), HYPERLINK(CONCATENATE("#Metadata!", ADDRESS(INDEX($X$2:$X$1001,MATCH(ROWS($V$2:V338),$V$2:$V$1001,0),0), INDEX($AC$1004:$AS$1004,1,MATCH(COLUMNS($AC$1006:AN1006),$AC$1006:$AS$1006,0)))),"Fix")))</f>
        <v>0</v>
      </c>
      <c r="N338" s="5">
        <f>IF(OR(INDEX($W$2:$W$1001,MATCH(ROWS($V$2:V338),$V$2:$V$1001,0),1)&gt;=100000,INDEX($AC$1005:$AS$1005,1,MATCH(COLUMNS($AC$1006:AO1006),$AC$1006:$AS$1006,0))&gt;=100000), " ",IF(INDEX($AC$2:$AS$1001,MATCH(ROWS($V$2:V338),$V$2:$V$1001,0),MATCH(COLUMNS($AC$1006:AO1006),$AC$1006:$AS$1006,0)), HYPERLINK("#",""), HYPERLINK(CONCATENATE("#Metadata!", ADDRESS(INDEX($X$2:$X$1001,MATCH(ROWS($V$2:V338),$V$2:$V$1001,0),0), INDEX($AC$1004:$AS$1004,1,MATCH(COLUMNS($AC$1006:AO1006),$AC$1006:$AS$1006,0)))),"Fix")))</f>
        <v>0</v>
      </c>
      <c r="O338" s="5">
        <f>IF(OR(INDEX($W$2:$W$1001,MATCH(ROWS($V$2:V338),$V$2:$V$1001,0),1)&gt;=100000,INDEX($AC$1005:$AS$1005,1,MATCH(COLUMNS($AC$1006:AP1006),$AC$1006:$AS$1006,0))&gt;=100000), " ",IF(INDEX($AC$2:$AS$1001,MATCH(ROWS($V$2:V338),$V$2:$V$1001,0),MATCH(COLUMNS($AC$1006:AP1006),$AC$1006:$AS$1006,0)), HYPERLINK("#",""), HYPERLINK(CONCATENATE("#Metadata!", ADDRESS(INDEX($X$2:$X$1001,MATCH(ROWS($V$2:V338),$V$2:$V$1001,0),0), INDEX($AC$1004:$AS$1004,1,MATCH(COLUMNS($AC$1006:AP1006),$AC$1006:$AS$1006,0)))),"Fix")))</f>
        <v>0</v>
      </c>
      <c r="P338" s="5">
        <f>IF(OR(INDEX($W$2:$W$1001,MATCH(ROWS($V$2:V338),$V$2:$V$1001,0),1)&gt;=100000,INDEX($AC$1005:$AS$1005,1,MATCH(COLUMNS($AC$1006:AQ1006),$AC$1006:$AS$1006,0))&gt;=100000), " ",IF(INDEX($AC$2:$AS$1001,MATCH(ROWS($V$2:V338),$V$2:$V$1001,0),MATCH(COLUMNS($AC$1006:AQ1006),$AC$1006:$AS$1006,0)), HYPERLINK("#",""), HYPERLINK(CONCATENATE("#Metadata!", ADDRESS(INDEX($X$2:$X$1001,MATCH(ROWS($V$2:V338),$V$2:$V$1001,0),0), INDEX($AC$1004:$AS$1004,1,MATCH(COLUMNS($AC$1006:AQ1006),$AC$1006:$AS$1006,0)))),"Fix")))</f>
        <v>0</v>
      </c>
      <c r="Q338" s="5">
        <f>IF(OR(INDEX($W$2:$W$1001,MATCH(ROWS($V$2:V338),$V$2:$V$1001,0),1)&gt;=100000,INDEX($AC$1005:$AS$1005,1,MATCH(COLUMNS($AC$1006:AR1006),$AC$1006:$AS$1006,0))&gt;=100000), " ",IF(INDEX($AC$2:$AS$1001,MATCH(ROWS($V$2:V338),$V$2:$V$1001,0),MATCH(COLUMNS($AC$1006:AR1006),$AC$1006:$AS$1006,0)), HYPERLINK("#",""), HYPERLINK(CONCATENATE("#Metadata!", ADDRESS(INDEX($X$2:$X$1001,MATCH(ROWS($V$2:V338),$V$2:$V$1001,0),0), INDEX($AC$1004:$AS$1004,1,MATCH(COLUMNS($AC$1006:AR1006),$AC$1006:$AS$1006,0)))),"Fix")))</f>
        <v>0</v>
      </c>
      <c r="R338" s="5">
        <f>IF(OR(INDEX($W$2:$W$1001,MATCH(ROWS($V$2:V338),$V$2:$V$1001,0),1)&gt;=100000,INDEX($AC$1005:$AS$1005,1,MATCH(COLUMNS($AC$1006:AS1006),$AC$1006:$AS$1006,0))&gt;=100000), " ",IF(INDEX($AC$2:$AS$1001,MATCH(ROWS($V$2:V338),$V$2:$V$1001,0),MATCH(COLUMNS($AC$1006:AS1006),$AC$1006:$AS$1006,0)), HYPERLINK("#",""), HYPERLINK(CONCATENATE("#Metadata!", ADDRESS(INDEX($X$2:$X$1001,MATCH(ROWS($V$2:V338),$V$2:$V$1001,0),0), INDEX($AC$1004:$AS$1004,1,MATCH(COLUMNS($AC$1006:AS1006),$AC$1006:$AS$1006,0)))),"Fix")))</f>
        <v>0</v>
      </c>
      <c r="V338">
        <v>0</v>
      </c>
      <c r="W338">
        <v>0</v>
      </c>
      <c r="X338">
        <v>0</v>
      </c>
      <c r="Y338">
        <f>IF(Z338,TRUE,AND(AC338:AS338))</f>
        <v>0</v>
      </c>
      <c r="Z338">
        <f>COUNTBLANK(Metadata!B338:R338)=COLUMNS(Metadata!B338:R338)</f>
        <v>0</v>
      </c>
      <c r="AA338">
        <v>0</v>
      </c>
      <c r="AC338">
        <f>AND(IF(Metadata!B338="",FALSE,TRUE),COUNTIF(Metadata!B:B, Metadata!B338) = 1,NOT(ISERROR(SUMPRODUCT(SEARCH(MID(Metadata!B338,ROW(INDIRECT("1:"&amp;LEN(Metadata!B338))), 1),"0123456789abcdefghijklmnopqrstuvwxyzABCDEFGHIJKLMNOPQRSTUVWXYZ.")))))</f>
        <v>0</v>
      </c>
      <c r="AD338">
        <f>AND(IF(Metadata!C338="",FALSE,TRUE),exact(Metadata!C338,"Host-associated"))</f>
        <v>0</v>
      </c>
      <c r="AE338">
        <f>AND(IF(Metadata!D338="",FALSE,TRUE),OR(exact(Metadata!D338,"Animal"),exact(Metadata!D338,"Fungus"),exact(Metadata!D338,"Plant")))</f>
        <v>0</v>
      </c>
      <c r="AF338">
        <f>AND(IF(Metadata!E338="",FALSE,TRUE),OR(exact(Metadata!E338,"Plant secretion"),exact(Metadata!E338,"Plant rhizosphere"),exact(Metadata!E338,"Plant surface"),exact(Metadata!E338,"Plant corpus"),exact(Metadata!E338,"Fungus surface"),exact(Metadata!E338,"Fungus corpus"),exact(Metadata!E338,"Animal surface"),exact(Metadata!E338,"Animal proximal gut"),exact(Metadata!E338,"Animal corpus"),exact(Metadata!E338,"Animal distal gut"),exact(Metadata!E338,"Animal secretion")))</f>
        <v>0</v>
      </c>
      <c r="AG338">
        <f>OR(AND(IF(Metadata!F338="",FALSE,TRUE),OR(exact(Metadata!F338,"not collected"),exact(Metadata!F338,"not provided"),exact(Metadata!F338,"restricted access"))),AND(IF(Metadata!F338="",FALSE,TRUE),OR(exact(Metadata!F338,"organism-associated habitat"),exact(Metadata!F338,"plant-associated habitat"),exact(Metadata!F338,"animal-associated habitat"),exact(Metadata!F338,"insecta-associated habitat"),exact(Metadata!F338,"mammalia-associated habitat"),exact(Metadata!F338,"human-associated habitat"),exact(Metadata!F338,"livestock-associated habitat"))))</f>
        <v>0</v>
      </c>
      <c r="AH338">
        <f>AND(IF(Metadata!G338="",FALSE,TRUE),exact(Metadata!G338,"host-associated"))</f>
        <v>0</v>
      </c>
      <c r="AI338">
        <f>OR(AND(IF(Metadata!H338="",FALSE,TRUE),OR(exact(Metadata!H338,"not collected"),exact(Metadata!H338,"not provided"))),AND(IF(Metadata!H338="",FALSE,ISNUMBER(VALUE(Metadata!H338))),Metadata!H338&gt;0))</f>
        <v>0</v>
      </c>
      <c r="AJ338">
        <f>AND(IF(Metadata!I338="",FALSE,TRUE),exact(Metadata!I338,"years"))</f>
        <v>0</v>
      </c>
      <c r="AK338">
        <f>IF(Metadata!J338="",FALSE,TRUE)</f>
        <v>0</v>
      </c>
      <c r="AL338">
        <f>OR(AND(IF(Metadata!K338="",FALSE,TRUE),OR(exact(Metadata!K338,"not collected"),exact(Metadata!K338,"not provided"))),AND(IF(Metadata!K338="",FALSE,ISNUMBER(VALUE(Metadata!K338))),Metadata!K338&gt;0))</f>
        <v>0</v>
      </c>
      <c r="AM338">
        <f>AND(IF(Metadata!L338="",FALSE,TRUE),exact(Metadata!L338,"cm"))</f>
        <v>0</v>
      </c>
      <c r="AN338">
        <f>IF(Metadata!M338="",FALSE,TRUE)</f>
        <v>0</v>
      </c>
      <c r="AO338">
        <f>OR(AND(IF(Metadata!N338="",FALSE,TRUE),OR(exact(Metadata!N338,"not applicable"),exact(Metadata!N338,"not collected"),exact(Metadata!N338,"not provided"))),AND(IF(Metadata!N338="",FALSE,IF(ISERROR(INT(Metadata!N338)),FALSE,INT(Metadata!N338)=Metadata!N338)),Metadata!N338&gt;0))</f>
        <v>0</v>
      </c>
      <c r="AP338">
        <f>OR(AND(IF(Metadata!O338="",FALSE,TRUE),OR(exact(Metadata!O338,"not collected"),exact(Metadata!O338,"not provided"))),AND(IF(Metadata!O338="",FALSE,ISNUMBER(VALUE(Metadata!O338))),Metadata!O338&gt;0))</f>
        <v>0</v>
      </c>
      <c r="AQ338">
        <f>AND(IF(Metadata!P338="",FALSE,TRUE),exact(Metadata!P338,"kg"))</f>
        <v>0</v>
      </c>
      <c r="AR338">
        <f>OR(AND(IF(Metadata!Q338="",FALSE,TRUE),OR(exact(Metadata!Q338,"not applicable"),exact(Metadata!Q338,"not collected"),exact(Metadata!Q338,"not provided"),exact(Metadata!Q338,"restricted access"))),IF(Metadata!Q338="",FALSE,IF(ISERROR(INT(Metadata!Q338)),FALSE,INT(Metadata!Q338)=Metadata!Q338)))</f>
        <v>0</v>
      </c>
      <c r="AS338">
        <f>AND(IF(Metadata!R338="",FALSE,TRUE),exact(Metadata!R338,"Not applicable"))</f>
        <v>0</v>
      </c>
    </row>
    <row r="339" spans="1:45">
      <c r="A339" s="4">
        <f>IF(B339=" "," ",HYPERLINK(CONCATENATE("#metadata!",ADDRESS(INDEX($X$2:$X$1001,MATCH(ROWS($V$2:V339),$V$2:$V$1001,0),0),2)),INDEX($AA$2:$AA$1001,MATCH(ROWS($V$2:V339),$V$2:$V$1001,0),0)))</f>
        <v>0</v>
      </c>
      <c r="B339" s="5">
        <f>IF(OR(INDEX($W$2:$W$1001,MATCH(ROWS($V$2:V339),$V$2:$V$1001,0),1)&gt;=100000,INDEX($AC$1005:$AS$1005,1,MATCH(COLUMNS($AC$1006:AC1006),$AC$1006:$AS$1006,0))&gt;=100000), " ",IF(INDEX($AC$2:$AS$1001,MATCH(ROWS($V$2:V339),$V$2:$V$1001,0),MATCH(COLUMNS($AC$1006:AC1006),$AC$1006:$AS$1006,0)), HYPERLINK("#",""), HYPERLINK(CONCATENATE("#Metadata!", ADDRESS(INDEX($X$2:$X$1001,MATCH(ROWS($V$2:V339),$V$2:$V$1001,0),0), INDEX($AC$1004:$AS$1004,1,MATCH(COLUMNS($AC$1006:AC1006),$AC$1006:$AS$1006,0)))),"Fix")))</f>
        <v>0</v>
      </c>
      <c r="C339" s="5">
        <f>IF(OR(INDEX($W$2:$W$1001,MATCH(ROWS($V$2:V339),$V$2:$V$1001,0),1)&gt;=100000,INDEX($AC$1005:$AS$1005,1,MATCH(COLUMNS($AC$1006:AD1006),$AC$1006:$AS$1006,0))&gt;=100000), " ",IF(INDEX($AC$2:$AS$1001,MATCH(ROWS($V$2:V339),$V$2:$V$1001,0),MATCH(COLUMNS($AC$1006:AD1006),$AC$1006:$AS$1006,0)), HYPERLINK("#",""), HYPERLINK(CONCATENATE("#Metadata!", ADDRESS(INDEX($X$2:$X$1001,MATCH(ROWS($V$2:V339),$V$2:$V$1001,0),0), INDEX($AC$1004:$AS$1004,1,MATCH(COLUMNS($AC$1006:AD1006),$AC$1006:$AS$1006,0)))),"Fix")))</f>
        <v>0</v>
      </c>
      <c r="D339" s="5">
        <f>IF(OR(INDEX($W$2:$W$1001,MATCH(ROWS($V$2:V339),$V$2:$V$1001,0),1)&gt;=100000,INDEX($AC$1005:$AS$1005,1,MATCH(COLUMNS($AC$1006:AE1006),$AC$1006:$AS$1006,0))&gt;=100000), " ",IF(INDEX($AC$2:$AS$1001,MATCH(ROWS($V$2:V339),$V$2:$V$1001,0),MATCH(COLUMNS($AC$1006:AE1006),$AC$1006:$AS$1006,0)), HYPERLINK("#",""), HYPERLINK(CONCATENATE("#Metadata!", ADDRESS(INDEX($X$2:$X$1001,MATCH(ROWS($V$2:V339),$V$2:$V$1001,0),0), INDEX($AC$1004:$AS$1004,1,MATCH(COLUMNS($AC$1006:AE1006),$AC$1006:$AS$1006,0)))),"Fix")))</f>
        <v>0</v>
      </c>
      <c r="E339" s="5">
        <f>IF(OR(INDEX($W$2:$W$1001,MATCH(ROWS($V$2:V339),$V$2:$V$1001,0),1)&gt;=100000,INDEX($AC$1005:$AS$1005,1,MATCH(COLUMNS($AC$1006:AF1006),$AC$1006:$AS$1006,0))&gt;=100000), " ",IF(INDEX($AC$2:$AS$1001,MATCH(ROWS($V$2:V339),$V$2:$V$1001,0),MATCH(COLUMNS($AC$1006:AF1006),$AC$1006:$AS$1006,0)), HYPERLINK("#",""), HYPERLINK(CONCATENATE("#Metadata!", ADDRESS(INDEX($X$2:$X$1001,MATCH(ROWS($V$2:V339),$V$2:$V$1001,0),0), INDEX($AC$1004:$AS$1004,1,MATCH(COLUMNS($AC$1006:AF1006),$AC$1006:$AS$1006,0)))),"Fix")))</f>
        <v>0</v>
      </c>
      <c r="F339" s="5">
        <f>IF(OR(INDEX($W$2:$W$1001,MATCH(ROWS($V$2:V339),$V$2:$V$1001,0),1)&gt;=100000,INDEX($AC$1005:$AS$1005,1,MATCH(COLUMNS($AC$1006:AG1006),$AC$1006:$AS$1006,0))&gt;=100000), " ",IF(INDEX($AC$2:$AS$1001,MATCH(ROWS($V$2:V339),$V$2:$V$1001,0),MATCH(COLUMNS($AC$1006:AG1006),$AC$1006:$AS$1006,0)), HYPERLINK("#",""), HYPERLINK(CONCATENATE("#Metadata!", ADDRESS(INDEX($X$2:$X$1001,MATCH(ROWS($V$2:V339),$V$2:$V$1001,0),0), INDEX($AC$1004:$AS$1004,1,MATCH(COLUMNS($AC$1006:AG1006),$AC$1006:$AS$1006,0)))),"Fix")))</f>
        <v>0</v>
      </c>
      <c r="G339" s="5">
        <f>IF(OR(INDEX($W$2:$W$1001,MATCH(ROWS($V$2:V339),$V$2:$V$1001,0),1)&gt;=100000,INDEX($AC$1005:$AS$1005,1,MATCH(COLUMNS($AC$1006:AH1006),$AC$1006:$AS$1006,0))&gt;=100000), " ",IF(INDEX($AC$2:$AS$1001,MATCH(ROWS($V$2:V339),$V$2:$V$1001,0),MATCH(COLUMNS($AC$1006:AH1006),$AC$1006:$AS$1006,0)), HYPERLINK("#",""), HYPERLINK(CONCATENATE("#Metadata!", ADDRESS(INDEX($X$2:$X$1001,MATCH(ROWS($V$2:V339),$V$2:$V$1001,0),0), INDEX($AC$1004:$AS$1004,1,MATCH(COLUMNS($AC$1006:AH1006),$AC$1006:$AS$1006,0)))),"Fix")))</f>
        <v>0</v>
      </c>
      <c r="H339" s="5">
        <f>IF(OR(INDEX($W$2:$W$1001,MATCH(ROWS($V$2:V339),$V$2:$V$1001,0),1)&gt;=100000,INDEX($AC$1005:$AS$1005,1,MATCH(COLUMNS($AC$1006:AI1006),$AC$1006:$AS$1006,0))&gt;=100000), " ",IF(INDEX($AC$2:$AS$1001,MATCH(ROWS($V$2:V339),$V$2:$V$1001,0),MATCH(COLUMNS($AC$1006:AI1006),$AC$1006:$AS$1006,0)), HYPERLINK("#",""), HYPERLINK(CONCATENATE("#Metadata!", ADDRESS(INDEX($X$2:$X$1001,MATCH(ROWS($V$2:V339),$V$2:$V$1001,0),0), INDEX($AC$1004:$AS$1004,1,MATCH(COLUMNS($AC$1006:AI1006),$AC$1006:$AS$1006,0)))),"Fix")))</f>
        <v>0</v>
      </c>
      <c r="I339" s="5">
        <f>IF(OR(INDEX($W$2:$W$1001,MATCH(ROWS($V$2:V339),$V$2:$V$1001,0),1)&gt;=100000,INDEX($AC$1005:$AS$1005,1,MATCH(COLUMNS($AC$1006:AJ1006),$AC$1006:$AS$1006,0))&gt;=100000), " ",IF(INDEX($AC$2:$AS$1001,MATCH(ROWS($V$2:V339),$V$2:$V$1001,0),MATCH(COLUMNS($AC$1006:AJ1006),$AC$1006:$AS$1006,0)), HYPERLINK("#",""), HYPERLINK(CONCATENATE("#Metadata!", ADDRESS(INDEX($X$2:$X$1001,MATCH(ROWS($V$2:V339),$V$2:$V$1001,0),0), INDEX($AC$1004:$AS$1004,1,MATCH(COLUMNS($AC$1006:AJ1006),$AC$1006:$AS$1006,0)))),"Fix")))</f>
        <v>0</v>
      </c>
      <c r="J339" s="5">
        <f>IF(OR(INDEX($W$2:$W$1001,MATCH(ROWS($V$2:V339),$V$2:$V$1001,0),1)&gt;=100000,INDEX($AC$1005:$AS$1005,1,MATCH(COLUMNS($AC$1006:AK1006),$AC$1006:$AS$1006,0))&gt;=100000), " ",IF(INDEX($AC$2:$AS$1001,MATCH(ROWS($V$2:V339),$V$2:$V$1001,0),MATCH(COLUMNS($AC$1006:AK1006),$AC$1006:$AS$1006,0)), HYPERLINK("#",""), HYPERLINK(CONCATENATE("#Metadata!", ADDRESS(INDEX($X$2:$X$1001,MATCH(ROWS($V$2:V339),$V$2:$V$1001,0),0), INDEX($AC$1004:$AS$1004,1,MATCH(COLUMNS($AC$1006:AK1006),$AC$1006:$AS$1006,0)))),"Fix")))</f>
        <v>0</v>
      </c>
      <c r="K339" s="5">
        <f>IF(OR(INDEX($W$2:$W$1001,MATCH(ROWS($V$2:V339),$V$2:$V$1001,0),1)&gt;=100000,INDEX($AC$1005:$AS$1005,1,MATCH(COLUMNS($AC$1006:AL1006),$AC$1006:$AS$1006,0))&gt;=100000), " ",IF(INDEX($AC$2:$AS$1001,MATCH(ROWS($V$2:V339),$V$2:$V$1001,0),MATCH(COLUMNS($AC$1006:AL1006),$AC$1006:$AS$1006,0)), HYPERLINK("#",""), HYPERLINK(CONCATENATE("#Metadata!", ADDRESS(INDEX($X$2:$X$1001,MATCH(ROWS($V$2:V339),$V$2:$V$1001,0),0), INDEX($AC$1004:$AS$1004,1,MATCH(COLUMNS($AC$1006:AL1006),$AC$1006:$AS$1006,0)))),"Fix")))</f>
        <v>0</v>
      </c>
      <c r="L339" s="5">
        <f>IF(OR(INDEX($W$2:$W$1001,MATCH(ROWS($V$2:V339),$V$2:$V$1001,0),1)&gt;=100000,INDEX($AC$1005:$AS$1005,1,MATCH(COLUMNS($AC$1006:AM1006),$AC$1006:$AS$1006,0))&gt;=100000), " ",IF(INDEX($AC$2:$AS$1001,MATCH(ROWS($V$2:V339),$V$2:$V$1001,0),MATCH(COLUMNS($AC$1006:AM1006),$AC$1006:$AS$1006,0)), HYPERLINK("#",""), HYPERLINK(CONCATENATE("#Metadata!", ADDRESS(INDEX($X$2:$X$1001,MATCH(ROWS($V$2:V339),$V$2:$V$1001,0),0), INDEX($AC$1004:$AS$1004,1,MATCH(COLUMNS($AC$1006:AM1006),$AC$1006:$AS$1006,0)))),"Fix")))</f>
        <v>0</v>
      </c>
      <c r="M339" s="5">
        <f>IF(OR(INDEX($W$2:$W$1001,MATCH(ROWS($V$2:V339),$V$2:$V$1001,0),1)&gt;=100000,INDEX($AC$1005:$AS$1005,1,MATCH(COLUMNS($AC$1006:AN1006),$AC$1006:$AS$1006,0))&gt;=100000), " ",IF(INDEX($AC$2:$AS$1001,MATCH(ROWS($V$2:V339),$V$2:$V$1001,0),MATCH(COLUMNS($AC$1006:AN1006),$AC$1006:$AS$1006,0)), HYPERLINK("#",""), HYPERLINK(CONCATENATE("#Metadata!", ADDRESS(INDEX($X$2:$X$1001,MATCH(ROWS($V$2:V339),$V$2:$V$1001,0),0), INDEX($AC$1004:$AS$1004,1,MATCH(COLUMNS($AC$1006:AN1006),$AC$1006:$AS$1006,0)))),"Fix")))</f>
        <v>0</v>
      </c>
      <c r="N339" s="5">
        <f>IF(OR(INDEX($W$2:$W$1001,MATCH(ROWS($V$2:V339),$V$2:$V$1001,0),1)&gt;=100000,INDEX($AC$1005:$AS$1005,1,MATCH(COLUMNS($AC$1006:AO1006),$AC$1006:$AS$1006,0))&gt;=100000), " ",IF(INDEX($AC$2:$AS$1001,MATCH(ROWS($V$2:V339),$V$2:$V$1001,0),MATCH(COLUMNS($AC$1006:AO1006),$AC$1006:$AS$1006,0)), HYPERLINK("#",""), HYPERLINK(CONCATENATE("#Metadata!", ADDRESS(INDEX($X$2:$X$1001,MATCH(ROWS($V$2:V339),$V$2:$V$1001,0),0), INDEX($AC$1004:$AS$1004,1,MATCH(COLUMNS($AC$1006:AO1006),$AC$1006:$AS$1006,0)))),"Fix")))</f>
        <v>0</v>
      </c>
      <c r="O339" s="5">
        <f>IF(OR(INDEX($W$2:$W$1001,MATCH(ROWS($V$2:V339),$V$2:$V$1001,0),1)&gt;=100000,INDEX($AC$1005:$AS$1005,1,MATCH(COLUMNS($AC$1006:AP1006),$AC$1006:$AS$1006,0))&gt;=100000), " ",IF(INDEX($AC$2:$AS$1001,MATCH(ROWS($V$2:V339),$V$2:$V$1001,0),MATCH(COLUMNS($AC$1006:AP1006),$AC$1006:$AS$1006,0)), HYPERLINK("#",""), HYPERLINK(CONCATENATE("#Metadata!", ADDRESS(INDEX($X$2:$X$1001,MATCH(ROWS($V$2:V339),$V$2:$V$1001,0),0), INDEX($AC$1004:$AS$1004,1,MATCH(COLUMNS($AC$1006:AP1006),$AC$1006:$AS$1006,0)))),"Fix")))</f>
        <v>0</v>
      </c>
      <c r="P339" s="5">
        <f>IF(OR(INDEX($W$2:$W$1001,MATCH(ROWS($V$2:V339),$V$2:$V$1001,0),1)&gt;=100000,INDEX($AC$1005:$AS$1005,1,MATCH(COLUMNS($AC$1006:AQ1006),$AC$1006:$AS$1006,0))&gt;=100000), " ",IF(INDEX($AC$2:$AS$1001,MATCH(ROWS($V$2:V339),$V$2:$V$1001,0),MATCH(COLUMNS($AC$1006:AQ1006),$AC$1006:$AS$1006,0)), HYPERLINK("#",""), HYPERLINK(CONCATENATE("#Metadata!", ADDRESS(INDEX($X$2:$X$1001,MATCH(ROWS($V$2:V339),$V$2:$V$1001,0),0), INDEX($AC$1004:$AS$1004,1,MATCH(COLUMNS($AC$1006:AQ1006),$AC$1006:$AS$1006,0)))),"Fix")))</f>
        <v>0</v>
      </c>
      <c r="Q339" s="5">
        <f>IF(OR(INDEX($W$2:$W$1001,MATCH(ROWS($V$2:V339),$V$2:$V$1001,0),1)&gt;=100000,INDEX($AC$1005:$AS$1005,1,MATCH(COLUMNS($AC$1006:AR1006),$AC$1006:$AS$1006,0))&gt;=100000), " ",IF(INDEX($AC$2:$AS$1001,MATCH(ROWS($V$2:V339),$V$2:$V$1001,0),MATCH(COLUMNS($AC$1006:AR1006),$AC$1006:$AS$1006,0)), HYPERLINK("#",""), HYPERLINK(CONCATENATE("#Metadata!", ADDRESS(INDEX($X$2:$X$1001,MATCH(ROWS($V$2:V339),$V$2:$V$1001,0),0), INDEX($AC$1004:$AS$1004,1,MATCH(COLUMNS($AC$1006:AR1006),$AC$1006:$AS$1006,0)))),"Fix")))</f>
        <v>0</v>
      </c>
      <c r="R339" s="5">
        <f>IF(OR(INDEX($W$2:$W$1001,MATCH(ROWS($V$2:V339),$V$2:$V$1001,0),1)&gt;=100000,INDEX($AC$1005:$AS$1005,1,MATCH(COLUMNS($AC$1006:AS1006),$AC$1006:$AS$1006,0))&gt;=100000), " ",IF(INDEX($AC$2:$AS$1001,MATCH(ROWS($V$2:V339),$V$2:$V$1001,0),MATCH(COLUMNS($AC$1006:AS1006),$AC$1006:$AS$1006,0)), HYPERLINK("#",""), HYPERLINK(CONCATENATE("#Metadata!", ADDRESS(INDEX($X$2:$X$1001,MATCH(ROWS($V$2:V339),$V$2:$V$1001,0),0), INDEX($AC$1004:$AS$1004,1,MATCH(COLUMNS($AC$1006:AS1006),$AC$1006:$AS$1006,0)))),"Fix")))</f>
        <v>0</v>
      </c>
      <c r="V339">
        <v>0</v>
      </c>
      <c r="W339">
        <v>0</v>
      </c>
      <c r="X339">
        <v>0</v>
      </c>
      <c r="Y339">
        <f>IF(Z339,TRUE,AND(AC339:AS339))</f>
        <v>0</v>
      </c>
      <c r="Z339">
        <f>COUNTBLANK(Metadata!B339:R339)=COLUMNS(Metadata!B339:R339)</f>
        <v>0</v>
      </c>
      <c r="AA339">
        <v>0</v>
      </c>
      <c r="AC339">
        <f>AND(IF(Metadata!B339="",FALSE,TRUE),COUNTIF(Metadata!B:B, Metadata!B339) = 1,NOT(ISERROR(SUMPRODUCT(SEARCH(MID(Metadata!B339,ROW(INDIRECT("1:"&amp;LEN(Metadata!B339))), 1),"0123456789abcdefghijklmnopqrstuvwxyzABCDEFGHIJKLMNOPQRSTUVWXYZ.")))))</f>
        <v>0</v>
      </c>
      <c r="AD339">
        <f>AND(IF(Metadata!C339="",FALSE,TRUE),exact(Metadata!C339,"Host-associated"))</f>
        <v>0</v>
      </c>
      <c r="AE339">
        <f>AND(IF(Metadata!D339="",FALSE,TRUE),OR(exact(Metadata!D339,"Animal"),exact(Metadata!D339,"Fungus"),exact(Metadata!D339,"Plant")))</f>
        <v>0</v>
      </c>
      <c r="AF339">
        <f>AND(IF(Metadata!E339="",FALSE,TRUE),OR(exact(Metadata!E339,"Plant secretion"),exact(Metadata!E339,"Plant rhizosphere"),exact(Metadata!E339,"Plant surface"),exact(Metadata!E339,"Plant corpus"),exact(Metadata!E339,"Fungus surface"),exact(Metadata!E339,"Fungus corpus"),exact(Metadata!E339,"Animal surface"),exact(Metadata!E339,"Animal proximal gut"),exact(Metadata!E339,"Animal corpus"),exact(Metadata!E339,"Animal distal gut"),exact(Metadata!E339,"Animal secretion")))</f>
        <v>0</v>
      </c>
      <c r="AG339">
        <f>OR(AND(IF(Metadata!F339="",FALSE,TRUE),OR(exact(Metadata!F339,"not collected"),exact(Metadata!F339,"not provided"),exact(Metadata!F339,"restricted access"))),AND(IF(Metadata!F339="",FALSE,TRUE),OR(exact(Metadata!F339,"organism-associated habitat"),exact(Metadata!F339,"plant-associated habitat"),exact(Metadata!F339,"animal-associated habitat"),exact(Metadata!F339,"insecta-associated habitat"),exact(Metadata!F339,"mammalia-associated habitat"),exact(Metadata!F339,"human-associated habitat"),exact(Metadata!F339,"livestock-associated habitat"))))</f>
        <v>0</v>
      </c>
      <c r="AH339">
        <f>AND(IF(Metadata!G339="",FALSE,TRUE),exact(Metadata!G339,"host-associated"))</f>
        <v>0</v>
      </c>
      <c r="AI339">
        <f>OR(AND(IF(Metadata!H339="",FALSE,TRUE),OR(exact(Metadata!H339,"not collected"),exact(Metadata!H339,"not provided"))),AND(IF(Metadata!H339="",FALSE,ISNUMBER(VALUE(Metadata!H339))),Metadata!H339&gt;0))</f>
        <v>0</v>
      </c>
      <c r="AJ339">
        <f>AND(IF(Metadata!I339="",FALSE,TRUE),exact(Metadata!I339,"years"))</f>
        <v>0</v>
      </c>
      <c r="AK339">
        <f>IF(Metadata!J339="",FALSE,TRUE)</f>
        <v>0</v>
      </c>
      <c r="AL339">
        <f>OR(AND(IF(Metadata!K339="",FALSE,TRUE),OR(exact(Metadata!K339,"not collected"),exact(Metadata!K339,"not provided"))),AND(IF(Metadata!K339="",FALSE,ISNUMBER(VALUE(Metadata!K339))),Metadata!K339&gt;0))</f>
        <v>0</v>
      </c>
      <c r="AM339">
        <f>AND(IF(Metadata!L339="",FALSE,TRUE),exact(Metadata!L339,"cm"))</f>
        <v>0</v>
      </c>
      <c r="AN339">
        <f>IF(Metadata!M339="",FALSE,TRUE)</f>
        <v>0</v>
      </c>
      <c r="AO339">
        <f>OR(AND(IF(Metadata!N339="",FALSE,TRUE),OR(exact(Metadata!N339,"not applicable"),exact(Metadata!N339,"not collected"),exact(Metadata!N339,"not provided"))),AND(IF(Metadata!N339="",FALSE,IF(ISERROR(INT(Metadata!N339)),FALSE,INT(Metadata!N339)=Metadata!N339)),Metadata!N339&gt;0))</f>
        <v>0</v>
      </c>
      <c r="AP339">
        <f>OR(AND(IF(Metadata!O339="",FALSE,TRUE),OR(exact(Metadata!O339,"not collected"),exact(Metadata!O339,"not provided"))),AND(IF(Metadata!O339="",FALSE,ISNUMBER(VALUE(Metadata!O339))),Metadata!O339&gt;0))</f>
        <v>0</v>
      </c>
      <c r="AQ339">
        <f>AND(IF(Metadata!P339="",FALSE,TRUE),exact(Metadata!P339,"kg"))</f>
        <v>0</v>
      </c>
      <c r="AR339">
        <f>OR(AND(IF(Metadata!Q339="",FALSE,TRUE),OR(exact(Metadata!Q339,"not applicable"),exact(Metadata!Q339,"not collected"),exact(Metadata!Q339,"not provided"),exact(Metadata!Q339,"restricted access"))),IF(Metadata!Q339="",FALSE,IF(ISERROR(INT(Metadata!Q339)),FALSE,INT(Metadata!Q339)=Metadata!Q339)))</f>
        <v>0</v>
      </c>
      <c r="AS339">
        <f>AND(IF(Metadata!R339="",FALSE,TRUE),exact(Metadata!R339,"Not applicable"))</f>
        <v>0</v>
      </c>
    </row>
    <row r="340" spans="1:45">
      <c r="A340" s="4">
        <f>IF(B340=" "," ",HYPERLINK(CONCATENATE("#metadata!",ADDRESS(INDEX($X$2:$X$1001,MATCH(ROWS($V$2:V340),$V$2:$V$1001,0),0),2)),INDEX($AA$2:$AA$1001,MATCH(ROWS($V$2:V340),$V$2:$V$1001,0),0)))</f>
        <v>0</v>
      </c>
      <c r="B340" s="5">
        <f>IF(OR(INDEX($W$2:$W$1001,MATCH(ROWS($V$2:V340),$V$2:$V$1001,0),1)&gt;=100000,INDEX($AC$1005:$AS$1005,1,MATCH(COLUMNS($AC$1006:AC1006),$AC$1006:$AS$1006,0))&gt;=100000), " ",IF(INDEX($AC$2:$AS$1001,MATCH(ROWS($V$2:V340),$V$2:$V$1001,0),MATCH(COLUMNS($AC$1006:AC1006),$AC$1006:$AS$1006,0)), HYPERLINK("#",""), HYPERLINK(CONCATENATE("#Metadata!", ADDRESS(INDEX($X$2:$X$1001,MATCH(ROWS($V$2:V340),$V$2:$V$1001,0),0), INDEX($AC$1004:$AS$1004,1,MATCH(COLUMNS($AC$1006:AC1006),$AC$1006:$AS$1006,0)))),"Fix")))</f>
        <v>0</v>
      </c>
      <c r="C340" s="5">
        <f>IF(OR(INDEX($W$2:$W$1001,MATCH(ROWS($V$2:V340),$V$2:$V$1001,0),1)&gt;=100000,INDEX($AC$1005:$AS$1005,1,MATCH(COLUMNS($AC$1006:AD1006),$AC$1006:$AS$1006,0))&gt;=100000), " ",IF(INDEX($AC$2:$AS$1001,MATCH(ROWS($V$2:V340),$V$2:$V$1001,0),MATCH(COLUMNS($AC$1006:AD1006),$AC$1006:$AS$1006,0)), HYPERLINK("#",""), HYPERLINK(CONCATENATE("#Metadata!", ADDRESS(INDEX($X$2:$X$1001,MATCH(ROWS($V$2:V340),$V$2:$V$1001,0),0), INDEX($AC$1004:$AS$1004,1,MATCH(COLUMNS($AC$1006:AD1006),$AC$1006:$AS$1006,0)))),"Fix")))</f>
        <v>0</v>
      </c>
      <c r="D340" s="5">
        <f>IF(OR(INDEX($W$2:$W$1001,MATCH(ROWS($V$2:V340),$V$2:$V$1001,0),1)&gt;=100000,INDEX($AC$1005:$AS$1005,1,MATCH(COLUMNS($AC$1006:AE1006),$AC$1006:$AS$1006,0))&gt;=100000), " ",IF(INDEX($AC$2:$AS$1001,MATCH(ROWS($V$2:V340),$V$2:$V$1001,0),MATCH(COLUMNS($AC$1006:AE1006),$AC$1006:$AS$1006,0)), HYPERLINK("#",""), HYPERLINK(CONCATENATE("#Metadata!", ADDRESS(INDEX($X$2:$X$1001,MATCH(ROWS($V$2:V340),$V$2:$V$1001,0),0), INDEX($AC$1004:$AS$1004,1,MATCH(COLUMNS($AC$1006:AE1006),$AC$1006:$AS$1006,0)))),"Fix")))</f>
        <v>0</v>
      </c>
      <c r="E340" s="5">
        <f>IF(OR(INDEX($W$2:$W$1001,MATCH(ROWS($V$2:V340),$V$2:$V$1001,0),1)&gt;=100000,INDEX($AC$1005:$AS$1005,1,MATCH(COLUMNS($AC$1006:AF1006),$AC$1006:$AS$1006,0))&gt;=100000), " ",IF(INDEX($AC$2:$AS$1001,MATCH(ROWS($V$2:V340),$V$2:$V$1001,0),MATCH(COLUMNS($AC$1006:AF1006),$AC$1006:$AS$1006,0)), HYPERLINK("#",""), HYPERLINK(CONCATENATE("#Metadata!", ADDRESS(INDEX($X$2:$X$1001,MATCH(ROWS($V$2:V340),$V$2:$V$1001,0),0), INDEX($AC$1004:$AS$1004,1,MATCH(COLUMNS($AC$1006:AF1006),$AC$1006:$AS$1006,0)))),"Fix")))</f>
        <v>0</v>
      </c>
      <c r="F340" s="5">
        <f>IF(OR(INDEX($W$2:$W$1001,MATCH(ROWS($V$2:V340),$V$2:$V$1001,0),1)&gt;=100000,INDEX($AC$1005:$AS$1005,1,MATCH(COLUMNS($AC$1006:AG1006),$AC$1006:$AS$1006,0))&gt;=100000), " ",IF(INDEX($AC$2:$AS$1001,MATCH(ROWS($V$2:V340),$V$2:$V$1001,0),MATCH(COLUMNS($AC$1006:AG1006),$AC$1006:$AS$1006,0)), HYPERLINK("#",""), HYPERLINK(CONCATENATE("#Metadata!", ADDRESS(INDEX($X$2:$X$1001,MATCH(ROWS($V$2:V340),$V$2:$V$1001,0),0), INDEX($AC$1004:$AS$1004,1,MATCH(COLUMNS($AC$1006:AG1006),$AC$1006:$AS$1006,0)))),"Fix")))</f>
        <v>0</v>
      </c>
      <c r="G340" s="5">
        <f>IF(OR(INDEX($W$2:$W$1001,MATCH(ROWS($V$2:V340),$V$2:$V$1001,0),1)&gt;=100000,INDEX($AC$1005:$AS$1005,1,MATCH(COLUMNS($AC$1006:AH1006),$AC$1006:$AS$1006,0))&gt;=100000), " ",IF(INDEX($AC$2:$AS$1001,MATCH(ROWS($V$2:V340),$V$2:$V$1001,0),MATCH(COLUMNS($AC$1006:AH1006),$AC$1006:$AS$1006,0)), HYPERLINK("#",""), HYPERLINK(CONCATENATE("#Metadata!", ADDRESS(INDEX($X$2:$X$1001,MATCH(ROWS($V$2:V340),$V$2:$V$1001,0),0), INDEX($AC$1004:$AS$1004,1,MATCH(COLUMNS($AC$1006:AH1006),$AC$1006:$AS$1006,0)))),"Fix")))</f>
        <v>0</v>
      </c>
      <c r="H340" s="5">
        <f>IF(OR(INDEX($W$2:$W$1001,MATCH(ROWS($V$2:V340),$V$2:$V$1001,0),1)&gt;=100000,INDEX($AC$1005:$AS$1005,1,MATCH(COLUMNS($AC$1006:AI1006),$AC$1006:$AS$1006,0))&gt;=100000), " ",IF(INDEX($AC$2:$AS$1001,MATCH(ROWS($V$2:V340),$V$2:$V$1001,0),MATCH(COLUMNS($AC$1006:AI1006),$AC$1006:$AS$1006,0)), HYPERLINK("#",""), HYPERLINK(CONCATENATE("#Metadata!", ADDRESS(INDEX($X$2:$X$1001,MATCH(ROWS($V$2:V340),$V$2:$V$1001,0),0), INDEX($AC$1004:$AS$1004,1,MATCH(COLUMNS($AC$1006:AI1006),$AC$1006:$AS$1006,0)))),"Fix")))</f>
        <v>0</v>
      </c>
      <c r="I340" s="5">
        <f>IF(OR(INDEX($W$2:$W$1001,MATCH(ROWS($V$2:V340),$V$2:$V$1001,0),1)&gt;=100000,INDEX($AC$1005:$AS$1005,1,MATCH(COLUMNS($AC$1006:AJ1006),$AC$1006:$AS$1006,0))&gt;=100000), " ",IF(INDEX($AC$2:$AS$1001,MATCH(ROWS($V$2:V340),$V$2:$V$1001,0),MATCH(COLUMNS($AC$1006:AJ1006),$AC$1006:$AS$1006,0)), HYPERLINK("#",""), HYPERLINK(CONCATENATE("#Metadata!", ADDRESS(INDEX($X$2:$X$1001,MATCH(ROWS($V$2:V340),$V$2:$V$1001,0),0), INDEX($AC$1004:$AS$1004,1,MATCH(COLUMNS($AC$1006:AJ1006),$AC$1006:$AS$1006,0)))),"Fix")))</f>
        <v>0</v>
      </c>
      <c r="J340" s="5">
        <f>IF(OR(INDEX($W$2:$W$1001,MATCH(ROWS($V$2:V340),$V$2:$V$1001,0),1)&gt;=100000,INDEX($AC$1005:$AS$1005,1,MATCH(COLUMNS($AC$1006:AK1006),$AC$1006:$AS$1006,0))&gt;=100000), " ",IF(INDEX($AC$2:$AS$1001,MATCH(ROWS($V$2:V340),$V$2:$V$1001,0),MATCH(COLUMNS($AC$1006:AK1006),$AC$1006:$AS$1006,0)), HYPERLINK("#",""), HYPERLINK(CONCATENATE("#Metadata!", ADDRESS(INDEX($X$2:$X$1001,MATCH(ROWS($V$2:V340),$V$2:$V$1001,0),0), INDEX($AC$1004:$AS$1004,1,MATCH(COLUMNS($AC$1006:AK1006),$AC$1006:$AS$1006,0)))),"Fix")))</f>
        <v>0</v>
      </c>
      <c r="K340" s="5">
        <f>IF(OR(INDEX($W$2:$W$1001,MATCH(ROWS($V$2:V340),$V$2:$V$1001,0),1)&gt;=100000,INDEX($AC$1005:$AS$1005,1,MATCH(COLUMNS($AC$1006:AL1006),$AC$1006:$AS$1006,0))&gt;=100000), " ",IF(INDEX($AC$2:$AS$1001,MATCH(ROWS($V$2:V340),$V$2:$V$1001,0),MATCH(COLUMNS($AC$1006:AL1006),$AC$1006:$AS$1006,0)), HYPERLINK("#",""), HYPERLINK(CONCATENATE("#Metadata!", ADDRESS(INDEX($X$2:$X$1001,MATCH(ROWS($V$2:V340),$V$2:$V$1001,0),0), INDEX($AC$1004:$AS$1004,1,MATCH(COLUMNS($AC$1006:AL1006),$AC$1006:$AS$1006,0)))),"Fix")))</f>
        <v>0</v>
      </c>
      <c r="L340" s="5">
        <f>IF(OR(INDEX($W$2:$W$1001,MATCH(ROWS($V$2:V340),$V$2:$V$1001,0),1)&gt;=100000,INDEX($AC$1005:$AS$1005,1,MATCH(COLUMNS($AC$1006:AM1006),$AC$1006:$AS$1006,0))&gt;=100000), " ",IF(INDEX($AC$2:$AS$1001,MATCH(ROWS($V$2:V340),$V$2:$V$1001,0),MATCH(COLUMNS($AC$1006:AM1006),$AC$1006:$AS$1006,0)), HYPERLINK("#",""), HYPERLINK(CONCATENATE("#Metadata!", ADDRESS(INDEX($X$2:$X$1001,MATCH(ROWS($V$2:V340),$V$2:$V$1001,0),0), INDEX($AC$1004:$AS$1004,1,MATCH(COLUMNS($AC$1006:AM1006),$AC$1006:$AS$1006,0)))),"Fix")))</f>
        <v>0</v>
      </c>
      <c r="M340" s="5">
        <f>IF(OR(INDEX($W$2:$W$1001,MATCH(ROWS($V$2:V340),$V$2:$V$1001,0),1)&gt;=100000,INDEX($AC$1005:$AS$1005,1,MATCH(COLUMNS($AC$1006:AN1006),$AC$1006:$AS$1006,0))&gt;=100000), " ",IF(INDEX($AC$2:$AS$1001,MATCH(ROWS($V$2:V340),$V$2:$V$1001,0),MATCH(COLUMNS($AC$1006:AN1006),$AC$1006:$AS$1006,0)), HYPERLINK("#",""), HYPERLINK(CONCATENATE("#Metadata!", ADDRESS(INDEX($X$2:$X$1001,MATCH(ROWS($V$2:V340),$V$2:$V$1001,0),0), INDEX($AC$1004:$AS$1004,1,MATCH(COLUMNS($AC$1006:AN1006),$AC$1006:$AS$1006,0)))),"Fix")))</f>
        <v>0</v>
      </c>
      <c r="N340" s="5">
        <f>IF(OR(INDEX($W$2:$W$1001,MATCH(ROWS($V$2:V340),$V$2:$V$1001,0),1)&gt;=100000,INDEX($AC$1005:$AS$1005,1,MATCH(COLUMNS($AC$1006:AO1006),$AC$1006:$AS$1006,0))&gt;=100000), " ",IF(INDEX($AC$2:$AS$1001,MATCH(ROWS($V$2:V340),$V$2:$V$1001,0),MATCH(COLUMNS($AC$1006:AO1006),$AC$1006:$AS$1006,0)), HYPERLINK("#",""), HYPERLINK(CONCATENATE("#Metadata!", ADDRESS(INDEX($X$2:$X$1001,MATCH(ROWS($V$2:V340),$V$2:$V$1001,0),0), INDEX($AC$1004:$AS$1004,1,MATCH(COLUMNS($AC$1006:AO1006),$AC$1006:$AS$1006,0)))),"Fix")))</f>
        <v>0</v>
      </c>
      <c r="O340" s="5">
        <f>IF(OR(INDEX($W$2:$W$1001,MATCH(ROWS($V$2:V340),$V$2:$V$1001,0),1)&gt;=100000,INDEX($AC$1005:$AS$1005,1,MATCH(COLUMNS($AC$1006:AP1006),$AC$1006:$AS$1006,0))&gt;=100000), " ",IF(INDEX($AC$2:$AS$1001,MATCH(ROWS($V$2:V340),$V$2:$V$1001,0),MATCH(COLUMNS($AC$1006:AP1006),$AC$1006:$AS$1006,0)), HYPERLINK("#",""), HYPERLINK(CONCATENATE("#Metadata!", ADDRESS(INDEX($X$2:$X$1001,MATCH(ROWS($V$2:V340),$V$2:$V$1001,0),0), INDEX($AC$1004:$AS$1004,1,MATCH(COLUMNS($AC$1006:AP1006),$AC$1006:$AS$1006,0)))),"Fix")))</f>
        <v>0</v>
      </c>
      <c r="P340" s="5">
        <f>IF(OR(INDEX($W$2:$W$1001,MATCH(ROWS($V$2:V340),$V$2:$V$1001,0),1)&gt;=100000,INDEX($AC$1005:$AS$1005,1,MATCH(COLUMNS($AC$1006:AQ1006),$AC$1006:$AS$1006,0))&gt;=100000), " ",IF(INDEX($AC$2:$AS$1001,MATCH(ROWS($V$2:V340),$V$2:$V$1001,0),MATCH(COLUMNS($AC$1006:AQ1006),$AC$1006:$AS$1006,0)), HYPERLINK("#",""), HYPERLINK(CONCATENATE("#Metadata!", ADDRESS(INDEX($X$2:$X$1001,MATCH(ROWS($V$2:V340),$V$2:$V$1001,0),0), INDEX($AC$1004:$AS$1004,1,MATCH(COLUMNS($AC$1006:AQ1006),$AC$1006:$AS$1006,0)))),"Fix")))</f>
        <v>0</v>
      </c>
      <c r="Q340" s="5">
        <f>IF(OR(INDEX($W$2:$W$1001,MATCH(ROWS($V$2:V340),$V$2:$V$1001,0),1)&gt;=100000,INDEX($AC$1005:$AS$1005,1,MATCH(COLUMNS($AC$1006:AR1006),$AC$1006:$AS$1006,0))&gt;=100000), " ",IF(INDEX($AC$2:$AS$1001,MATCH(ROWS($V$2:V340),$V$2:$V$1001,0),MATCH(COLUMNS($AC$1006:AR1006),$AC$1006:$AS$1006,0)), HYPERLINK("#",""), HYPERLINK(CONCATENATE("#Metadata!", ADDRESS(INDEX($X$2:$X$1001,MATCH(ROWS($V$2:V340),$V$2:$V$1001,0),0), INDEX($AC$1004:$AS$1004,1,MATCH(COLUMNS($AC$1006:AR1006),$AC$1006:$AS$1006,0)))),"Fix")))</f>
        <v>0</v>
      </c>
      <c r="R340" s="5">
        <f>IF(OR(INDEX($W$2:$W$1001,MATCH(ROWS($V$2:V340),$V$2:$V$1001,0),1)&gt;=100000,INDEX($AC$1005:$AS$1005,1,MATCH(COLUMNS($AC$1006:AS1006),$AC$1006:$AS$1006,0))&gt;=100000), " ",IF(INDEX($AC$2:$AS$1001,MATCH(ROWS($V$2:V340),$V$2:$V$1001,0),MATCH(COLUMNS($AC$1006:AS1006),$AC$1006:$AS$1006,0)), HYPERLINK("#",""), HYPERLINK(CONCATENATE("#Metadata!", ADDRESS(INDEX($X$2:$X$1001,MATCH(ROWS($V$2:V340),$V$2:$V$1001,0),0), INDEX($AC$1004:$AS$1004,1,MATCH(COLUMNS($AC$1006:AS1006),$AC$1006:$AS$1006,0)))),"Fix")))</f>
        <v>0</v>
      </c>
      <c r="V340">
        <v>0</v>
      </c>
      <c r="W340">
        <v>0</v>
      </c>
      <c r="X340">
        <v>0</v>
      </c>
      <c r="Y340">
        <f>IF(Z340,TRUE,AND(AC340:AS340))</f>
        <v>0</v>
      </c>
      <c r="Z340">
        <f>COUNTBLANK(Metadata!B340:R340)=COLUMNS(Metadata!B340:R340)</f>
        <v>0</v>
      </c>
      <c r="AA340">
        <v>0</v>
      </c>
      <c r="AC340">
        <f>AND(IF(Metadata!B340="",FALSE,TRUE),COUNTIF(Metadata!B:B, Metadata!B340) = 1,NOT(ISERROR(SUMPRODUCT(SEARCH(MID(Metadata!B340,ROW(INDIRECT("1:"&amp;LEN(Metadata!B340))), 1),"0123456789abcdefghijklmnopqrstuvwxyzABCDEFGHIJKLMNOPQRSTUVWXYZ.")))))</f>
        <v>0</v>
      </c>
      <c r="AD340">
        <f>AND(IF(Metadata!C340="",FALSE,TRUE),exact(Metadata!C340,"Host-associated"))</f>
        <v>0</v>
      </c>
      <c r="AE340">
        <f>AND(IF(Metadata!D340="",FALSE,TRUE),OR(exact(Metadata!D340,"Animal"),exact(Metadata!D340,"Fungus"),exact(Metadata!D340,"Plant")))</f>
        <v>0</v>
      </c>
      <c r="AF340">
        <f>AND(IF(Metadata!E340="",FALSE,TRUE),OR(exact(Metadata!E340,"Plant secretion"),exact(Metadata!E340,"Plant rhizosphere"),exact(Metadata!E340,"Plant surface"),exact(Metadata!E340,"Plant corpus"),exact(Metadata!E340,"Fungus surface"),exact(Metadata!E340,"Fungus corpus"),exact(Metadata!E340,"Animal surface"),exact(Metadata!E340,"Animal proximal gut"),exact(Metadata!E340,"Animal corpus"),exact(Metadata!E340,"Animal distal gut"),exact(Metadata!E340,"Animal secretion")))</f>
        <v>0</v>
      </c>
      <c r="AG340">
        <f>OR(AND(IF(Metadata!F340="",FALSE,TRUE),OR(exact(Metadata!F340,"not collected"),exact(Metadata!F340,"not provided"),exact(Metadata!F340,"restricted access"))),AND(IF(Metadata!F340="",FALSE,TRUE),OR(exact(Metadata!F340,"organism-associated habitat"),exact(Metadata!F340,"plant-associated habitat"),exact(Metadata!F340,"animal-associated habitat"),exact(Metadata!F340,"insecta-associated habitat"),exact(Metadata!F340,"mammalia-associated habitat"),exact(Metadata!F340,"human-associated habitat"),exact(Metadata!F340,"livestock-associated habitat"))))</f>
        <v>0</v>
      </c>
      <c r="AH340">
        <f>AND(IF(Metadata!G340="",FALSE,TRUE),exact(Metadata!G340,"host-associated"))</f>
        <v>0</v>
      </c>
      <c r="AI340">
        <f>OR(AND(IF(Metadata!H340="",FALSE,TRUE),OR(exact(Metadata!H340,"not collected"),exact(Metadata!H340,"not provided"))),AND(IF(Metadata!H340="",FALSE,ISNUMBER(VALUE(Metadata!H340))),Metadata!H340&gt;0))</f>
        <v>0</v>
      </c>
      <c r="AJ340">
        <f>AND(IF(Metadata!I340="",FALSE,TRUE),exact(Metadata!I340,"years"))</f>
        <v>0</v>
      </c>
      <c r="AK340">
        <f>IF(Metadata!J340="",FALSE,TRUE)</f>
        <v>0</v>
      </c>
      <c r="AL340">
        <f>OR(AND(IF(Metadata!K340="",FALSE,TRUE),OR(exact(Metadata!K340,"not collected"),exact(Metadata!K340,"not provided"))),AND(IF(Metadata!K340="",FALSE,ISNUMBER(VALUE(Metadata!K340))),Metadata!K340&gt;0))</f>
        <v>0</v>
      </c>
      <c r="AM340">
        <f>AND(IF(Metadata!L340="",FALSE,TRUE),exact(Metadata!L340,"cm"))</f>
        <v>0</v>
      </c>
      <c r="AN340">
        <f>IF(Metadata!M340="",FALSE,TRUE)</f>
        <v>0</v>
      </c>
      <c r="AO340">
        <f>OR(AND(IF(Metadata!N340="",FALSE,TRUE),OR(exact(Metadata!N340,"not applicable"),exact(Metadata!N340,"not collected"),exact(Metadata!N340,"not provided"))),AND(IF(Metadata!N340="",FALSE,IF(ISERROR(INT(Metadata!N340)),FALSE,INT(Metadata!N340)=Metadata!N340)),Metadata!N340&gt;0))</f>
        <v>0</v>
      </c>
      <c r="AP340">
        <f>OR(AND(IF(Metadata!O340="",FALSE,TRUE),OR(exact(Metadata!O340,"not collected"),exact(Metadata!O340,"not provided"))),AND(IF(Metadata!O340="",FALSE,ISNUMBER(VALUE(Metadata!O340))),Metadata!O340&gt;0))</f>
        <v>0</v>
      </c>
      <c r="AQ340">
        <f>AND(IF(Metadata!P340="",FALSE,TRUE),exact(Metadata!P340,"kg"))</f>
        <v>0</v>
      </c>
      <c r="AR340">
        <f>OR(AND(IF(Metadata!Q340="",FALSE,TRUE),OR(exact(Metadata!Q340,"not applicable"),exact(Metadata!Q340,"not collected"),exact(Metadata!Q340,"not provided"),exact(Metadata!Q340,"restricted access"))),IF(Metadata!Q340="",FALSE,IF(ISERROR(INT(Metadata!Q340)),FALSE,INT(Metadata!Q340)=Metadata!Q340)))</f>
        <v>0</v>
      </c>
      <c r="AS340">
        <f>AND(IF(Metadata!R340="",FALSE,TRUE),exact(Metadata!R340,"Not applicable"))</f>
        <v>0</v>
      </c>
    </row>
    <row r="341" spans="1:45">
      <c r="A341" s="4">
        <f>IF(B341=" "," ",HYPERLINK(CONCATENATE("#metadata!",ADDRESS(INDEX($X$2:$X$1001,MATCH(ROWS($V$2:V341),$V$2:$V$1001,0),0),2)),INDEX($AA$2:$AA$1001,MATCH(ROWS($V$2:V341),$V$2:$V$1001,0),0)))</f>
        <v>0</v>
      </c>
      <c r="B341" s="5">
        <f>IF(OR(INDEX($W$2:$W$1001,MATCH(ROWS($V$2:V341),$V$2:$V$1001,0),1)&gt;=100000,INDEX($AC$1005:$AS$1005,1,MATCH(COLUMNS($AC$1006:AC1006),$AC$1006:$AS$1006,0))&gt;=100000), " ",IF(INDEX($AC$2:$AS$1001,MATCH(ROWS($V$2:V341),$V$2:$V$1001,0),MATCH(COLUMNS($AC$1006:AC1006),$AC$1006:$AS$1006,0)), HYPERLINK("#",""), HYPERLINK(CONCATENATE("#Metadata!", ADDRESS(INDEX($X$2:$X$1001,MATCH(ROWS($V$2:V341),$V$2:$V$1001,0),0), INDEX($AC$1004:$AS$1004,1,MATCH(COLUMNS($AC$1006:AC1006),$AC$1006:$AS$1006,0)))),"Fix")))</f>
        <v>0</v>
      </c>
      <c r="C341" s="5">
        <f>IF(OR(INDEX($W$2:$W$1001,MATCH(ROWS($V$2:V341),$V$2:$V$1001,0),1)&gt;=100000,INDEX($AC$1005:$AS$1005,1,MATCH(COLUMNS($AC$1006:AD1006),$AC$1006:$AS$1006,0))&gt;=100000), " ",IF(INDEX($AC$2:$AS$1001,MATCH(ROWS($V$2:V341),$V$2:$V$1001,0),MATCH(COLUMNS($AC$1006:AD1006),$AC$1006:$AS$1006,0)), HYPERLINK("#",""), HYPERLINK(CONCATENATE("#Metadata!", ADDRESS(INDEX($X$2:$X$1001,MATCH(ROWS($V$2:V341),$V$2:$V$1001,0),0), INDEX($AC$1004:$AS$1004,1,MATCH(COLUMNS($AC$1006:AD1006),$AC$1006:$AS$1006,0)))),"Fix")))</f>
        <v>0</v>
      </c>
      <c r="D341" s="5">
        <f>IF(OR(INDEX($W$2:$W$1001,MATCH(ROWS($V$2:V341),$V$2:$V$1001,0),1)&gt;=100000,INDEX($AC$1005:$AS$1005,1,MATCH(COLUMNS($AC$1006:AE1006),$AC$1006:$AS$1006,0))&gt;=100000), " ",IF(INDEX($AC$2:$AS$1001,MATCH(ROWS($V$2:V341),$V$2:$V$1001,0),MATCH(COLUMNS($AC$1006:AE1006),$AC$1006:$AS$1006,0)), HYPERLINK("#",""), HYPERLINK(CONCATENATE("#Metadata!", ADDRESS(INDEX($X$2:$X$1001,MATCH(ROWS($V$2:V341),$V$2:$V$1001,0),0), INDEX($AC$1004:$AS$1004,1,MATCH(COLUMNS($AC$1006:AE1006),$AC$1006:$AS$1006,0)))),"Fix")))</f>
        <v>0</v>
      </c>
      <c r="E341" s="5">
        <f>IF(OR(INDEX($W$2:$W$1001,MATCH(ROWS($V$2:V341),$V$2:$V$1001,0),1)&gt;=100000,INDEX($AC$1005:$AS$1005,1,MATCH(COLUMNS($AC$1006:AF1006),$AC$1006:$AS$1006,0))&gt;=100000), " ",IF(INDEX($AC$2:$AS$1001,MATCH(ROWS($V$2:V341),$V$2:$V$1001,0),MATCH(COLUMNS($AC$1006:AF1006),$AC$1006:$AS$1006,0)), HYPERLINK("#",""), HYPERLINK(CONCATENATE("#Metadata!", ADDRESS(INDEX($X$2:$X$1001,MATCH(ROWS($V$2:V341),$V$2:$V$1001,0),0), INDEX($AC$1004:$AS$1004,1,MATCH(COLUMNS($AC$1006:AF1006),$AC$1006:$AS$1006,0)))),"Fix")))</f>
        <v>0</v>
      </c>
      <c r="F341" s="5">
        <f>IF(OR(INDEX($W$2:$W$1001,MATCH(ROWS($V$2:V341),$V$2:$V$1001,0),1)&gt;=100000,INDEX($AC$1005:$AS$1005,1,MATCH(COLUMNS($AC$1006:AG1006),$AC$1006:$AS$1006,0))&gt;=100000), " ",IF(INDEX($AC$2:$AS$1001,MATCH(ROWS($V$2:V341),$V$2:$V$1001,0),MATCH(COLUMNS($AC$1006:AG1006),$AC$1006:$AS$1006,0)), HYPERLINK("#",""), HYPERLINK(CONCATENATE("#Metadata!", ADDRESS(INDEX($X$2:$X$1001,MATCH(ROWS($V$2:V341),$V$2:$V$1001,0),0), INDEX($AC$1004:$AS$1004,1,MATCH(COLUMNS($AC$1006:AG1006),$AC$1006:$AS$1006,0)))),"Fix")))</f>
        <v>0</v>
      </c>
      <c r="G341" s="5">
        <f>IF(OR(INDEX($W$2:$W$1001,MATCH(ROWS($V$2:V341),$V$2:$V$1001,0),1)&gt;=100000,INDEX($AC$1005:$AS$1005,1,MATCH(COLUMNS($AC$1006:AH1006),$AC$1006:$AS$1006,0))&gt;=100000), " ",IF(INDEX($AC$2:$AS$1001,MATCH(ROWS($V$2:V341),$V$2:$V$1001,0),MATCH(COLUMNS($AC$1006:AH1006),$AC$1006:$AS$1006,0)), HYPERLINK("#",""), HYPERLINK(CONCATENATE("#Metadata!", ADDRESS(INDEX($X$2:$X$1001,MATCH(ROWS($V$2:V341),$V$2:$V$1001,0),0), INDEX($AC$1004:$AS$1004,1,MATCH(COLUMNS($AC$1006:AH1006),$AC$1006:$AS$1006,0)))),"Fix")))</f>
        <v>0</v>
      </c>
      <c r="H341" s="5">
        <f>IF(OR(INDEX($W$2:$W$1001,MATCH(ROWS($V$2:V341),$V$2:$V$1001,0),1)&gt;=100000,INDEX($AC$1005:$AS$1005,1,MATCH(COLUMNS($AC$1006:AI1006),$AC$1006:$AS$1006,0))&gt;=100000), " ",IF(INDEX($AC$2:$AS$1001,MATCH(ROWS($V$2:V341),$V$2:$V$1001,0),MATCH(COLUMNS($AC$1006:AI1006),$AC$1006:$AS$1006,0)), HYPERLINK("#",""), HYPERLINK(CONCATENATE("#Metadata!", ADDRESS(INDEX($X$2:$X$1001,MATCH(ROWS($V$2:V341),$V$2:$V$1001,0),0), INDEX($AC$1004:$AS$1004,1,MATCH(COLUMNS($AC$1006:AI1006),$AC$1006:$AS$1006,0)))),"Fix")))</f>
        <v>0</v>
      </c>
      <c r="I341" s="5">
        <f>IF(OR(INDEX($W$2:$W$1001,MATCH(ROWS($V$2:V341),$V$2:$V$1001,0),1)&gt;=100000,INDEX($AC$1005:$AS$1005,1,MATCH(COLUMNS($AC$1006:AJ1006),$AC$1006:$AS$1006,0))&gt;=100000), " ",IF(INDEX($AC$2:$AS$1001,MATCH(ROWS($V$2:V341),$V$2:$V$1001,0),MATCH(COLUMNS($AC$1006:AJ1006),$AC$1006:$AS$1006,0)), HYPERLINK("#",""), HYPERLINK(CONCATENATE("#Metadata!", ADDRESS(INDEX($X$2:$X$1001,MATCH(ROWS($V$2:V341),$V$2:$V$1001,0),0), INDEX($AC$1004:$AS$1004,1,MATCH(COLUMNS($AC$1006:AJ1006),$AC$1006:$AS$1006,0)))),"Fix")))</f>
        <v>0</v>
      </c>
      <c r="J341" s="5">
        <f>IF(OR(INDEX($W$2:$W$1001,MATCH(ROWS($V$2:V341),$V$2:$V$1001,0),1)&gt;=100000,INDEX($AC$1005:$AS$1005,1,MATCH(COLUMNS($AC$1006:AK1006),$AC$1006:$AS$1006,0))&gt;=100000), " ",IF(INDEX($AC$2:$AS$1001,MATCH(ROWS($V$2:V341),$V$2:$V$1001,0),MATCH(COLUMNS($AC$1006:AK1006),$AC$1006:$AS$1006,0)), HYPERLINK("#",""), HYPERLINK(CONCATENATE("#Metadata!", ADDRESS(INDEX($X$2:$X$1001,MATCH(ROWS($V$2:V341),$V$2:$V$1001,0),0), INDEX($AC$1004:$AS$1004,1,MATCH(COLUMNS($AC$1006:AK1006),$AC$1006:$AS$1006,0)))),"Fix")))</f>
        <v>0</v>
      </c>
      <c r="K341" s="5">
        <f>IF(OR(INDEX($W$2:$W$1001,MATCH(ROWS($V$2:V341),$V$2:$V$1001,0),1)&gt;=100000,INDEX($AC$1005:$AS$1005,1,MATCH(COLUMNS($AC$1006:AL1006),$AC$1006:$AS$1006,0))&gt;=100000), " ",IF(INDEX($AC$2:$AS$1001,MATCH(ROWS($V$2:V341),$V$2:$V$1001,0),MATCH(COLUMNS($AC$1006:AL1006),$AC$1006:$AS$1006,0)), HYPERLINK("#",""), HYPERLINK(CONCATENATE("#Metadata!", ADDRESS(INDEX($X$2:$X$1001,MATCH(ROWS($V$2:V341),$V$2:$V$1001,0),0), INDEX($AC$1004:$AS$1004,1,MATCH(COLUMNS($AC$1006:AL1006),$AC$1006:$AS$1006,0)))),"Fix")))</f>
        <v>0</v>
      </c>
      <c r="L341" s="5">
        <f>IF(OR(INDEX($W$2:$W$1001,MATCH(ROWS($V$2:V341),$V$2:$V$1001,0),1)&gt;=100000,INDEX($AC$1005:$AS$1005,1,MATCH(COLUMNS($AC$1006:AM1006),$AC$1006:$AS$1006,0))&gt;=100000), " ",IF(INDEX($AC$2:$AS$1001,MATCH(ROWS($V$2:V341),$V$2:$V$1001,0),MATCH(COLUMNS($AC$1006:AM1006),$AC$1006:$AS$1006,0)), HYPERLINK("#",""), HYPERLINK(CONCATENATE("#Metadata!", ADDRESS(INDEX($X$2:$X$1001,MATCH(ROWS($V$2:V341),$V$2:$V$1001,0),0), INDEX($AC$1004:$AS$1004,1,MATCH(COLUMNS($AC$1006:AM1006),$AC$1006:$AS$1006,0)))),"Fix")))</f>
        <v>0</v>
      </c>
      <c r="M341" s="5">
        <f>IF(OR(INDEX($W$2:$W$1001,MATCH(ROWS($V$2:V341),$V$2:$V$1001,0),1)&gt;=100000,INDEX($AC$1005:$AS$1005,1,MATCH(COLUMNS($AC$1006:AN1006),$AC$1006:$AS$1006,0))&gt;=100000), " ",IF(INDEX($AC$2:$AS$1001,MATCH(ROWS($V$2:V341),$V$2:$V$1001,0),MATCH(COLUMNS($AC$1006:AN1006),$AC$1006:$AS$1006,0)), HYPERLINK("#",""), HYPERLINK(CONCATENATE("#Metadata!", ADDRESS(INDEX($X$2:$X$1001,MATCH(ROWS($V$2:V341),$V$2:$V$1001,0),0), INDEX($AC$1004:$AS$1004,1,MATCH(COLUMNS($AC$1006:AN1006),$AC$1006:$AS$1006,0)))),"Fix")))</f>
        <v>0</v>
      </c>
      <c r="N341" s="5">
        <f>IF(OR(INDEX($W$2:$W$1001,MATCH(ROWS($V$2:V341),$V$2:$V$1001,0),1)&gt;=100000,INDEX($AC$1005:$AS$1005,1,MATCH(COLUMNS($AC$1006:AO1006),$AC$1006:$AS$1006,0))&gt;=100000), " ",IF(INDEX($AC$2:$AS$1001,MATCH(ROWS($V$2:V341),$V$2:$V$1001,0),MATCH(COLUMNS($AC$1006:AO1006),$AC$1006:$AS$1006,0)), HYPERLINK("#",""), HYPERLINK(CONCATENATE("#Metadata!", ADDRESS(INDEX($X$2:$X$1001,MATCH(ROWS($V$2:V341),$V$2:$V$1001,0),0), INDEX($AC$1004:$AS$1004,1,MATCH(COLUMNS($AC$1006:AO1006),$AC$1006:$AS$1006,0)))),"Fix")))</f>
        <v>0</v>
      </c>
      <c r="O341" s="5">
        <f>IF(OR(INDEX($W$2:$W$1001,MATCH(ROWS($V$2:V341),$V$2:$V$1001,0),1)&gt;=100000,INDEX($AC$1005:$AS$1005,1,MATCH(COLUMNS($AC$1006:AP1006),$AC$1006:$AS$1006,0))&gt;=100000), " ",IF(INDEX($AC$2:$AS$1001,MATCH(ROWS($V$2:V341),$V$2:$V$1001,0),MATCH(COLUMNS($AC$1006:AP1006),$AC$1006:$AS$1006,0)), HYPERLINK("#",""), HYPERLINK(CONCATENATE("#Metadata!", ADDRESS(INDEX($X$2:$X$1001,MATCH(ROWS($V$2:V341),$V$2:$V$1001,0),0), INDEX($AC$1004:$AS$1004,1,MATCH(COLUMNS($AC$1006:AP1006),$AC$1006:$AS$1006,0)))),"Fix")))</f>
        <v>0</v>
      </c>
      <c r="P341" s="5">
        <f>IF(OR(INDEX($W$2:$W$1001,MATCH(ROWS($V$2:V341),$V$2:$V$1001,0),1)&gt;=100000,INDEX($AC$1005:$AS$1005,1,MATCH(COLUMNS($AC$1006:AQ1006),$AC$1006:$AS$1006,0))&gt;=100000), " ",IF(INDEX($AC$2:$AS$1001,MATCH(ROWS($V$2:V341),$V$2:$V$1001,0),MATCH(COLUMNS($AC$1006:AQ1006),$AC$1006:$AS$1006,0)), HYPERLINK("#",""), HYPERLINK(CONCATENATE("#Metadata!", ADDRESS(INDEX($X$2:$X$1001,MATCH(ROWS($V$2:V341),$V$2:$V$1001,0),0), INDEX($AC$1004:$AS$1004,1,MATCH(COLUMNS($AC$1006:AQ1006),$AC$1006:$AS$1006,0)))),"Fix")))</f>
        <v>0</v>
      </c>
      <c r="Q341" s="5">
        <f>IF(OR(INDEX($W$2:$W$1001,MATCH(ROWS($V$2:V341),$V$2:$V$1001,0),1)&gt;=100000,INDEX($AC$1005:$AS$1005,1,MATCH(COLUMNS($AC$1006:AR1006),$AC$1006:$AS$1006,0))&gt;=100000), " ",IF(INDEX($AC$2:$AS$1001,MATCH(ROWS($V$2:V341),$V$2:$V$1001,0),MATCH(COLUMNS($AC$1006:AR1006),$AC$1006:$AS$1006,0)), HYPERLINK("#",""), HYPERLINK(CONCATENATE("#Metadata!", ADDRESS(INDEX($X$2:$X$1001,MATCH(ROWS($V$2:V341),$V$2:$V$1001,0),0), INDEX($AC$1004:$AS$1004,1,MATCH(COLUMNS($AC$1006:AR1006),$AC$1006:$AS$1006,0)))),"Fix")))</f>
        <v>0</v>
      </c>
      <c r="R341" s="5">
        <f>IF(OR(INDEX($W$2:$W$1001,MATCH(ROWS($V$2:V341),$V$2:$V$1001,0),1)&gt;=100000,INDEX($AC$1005:$AS$1005,1,MATCH(COLUMNS($AC$1006:AS1006),$AC$1006:$AS$1006,0))&gt;=100000), " ",IF(INDEX($AC$2:$AS$1001,MATCH(ROWS($V$2:V341),$V$2:$V$1001,0),MATCH(COLUMNS($AC$1006:AS1006),$AC$1006:$AS$1006,0)), HYPERLINK("#",""), HYPERLINK(CONCATENATE("#Metadata!", ADDRESS(INDEX($X$2:$X$1001,MATCH(ROWS($V$2:V341),$V$2:$V$1001,0),0), INDEX($AC$1004:$AS$1004,1,MATCH(COLUMNS($AC$1006:AS1006),$AC$1006:$AS$1006,0)))),"Fix")))</f>
        <v>0</v>
      </c>
      <c r="V341">
        <v>0</v>
      </c>
      <c r="W341">
        <v>0</v>
      </c>
      <c r="X341">
        <v>0</v>
      </c>
      <c r="Y341">
        <f>IF(Z341,TRUE,AND(AC341:AS341))</f>
        <v>0</v>
      </c>
      <c r="Z341">
        <f>COUNTBLANK(Metadata!B341:R341)=COLUMNS(Metadata!B341:R341)</f>
        <v>0</v>
      </c>
      <c r="AA341">
        <v>0</v>
      </c>
      <c r="AC341">
        <f>AND(IF(Metadata!B341="",FALSE,TRUE),COUNTIF(Metadata!B:B, Metadata!B341) = 1,NOT(ISERROR(SUMPRODUCT(SEARCH(MID(Metadata!B341,ROW(INDIRECT("1:"&amp;LEN(Metadata!B341))), 1),"0123456789abcdefghijklmnopqrstuvwxyzABCDEFGHIJKLMNOPQRSTUVWXYZ.")))))</f>
        <v>0</v>
      </c>
      <c r="AD341">
        <f>AND(IF(Metadata!C341="",FALSE,TRUE),exact(Metadata!C341,"Host-associated"))</f>
        <v>0</v>
      </c>
      <c r="AE341">
        <f>AND(IF(Metadata!D341="",FALSE,TRUE),OR(exact(Metadata!D341,"Animal"),exact(Metadata!D341,"Fungus"),exact(Metadata!D341,"Plant")))</f>
        <v>0</v>
      </c>
      <c r="AF341">
        <f>AND(IF(Metadata!E341="",FALSE,TRUE),OR(exact(Metadata!E341,"Plant secretion"),exact(Metadata!E341,"Plant rhizosphere"),exact(Metadata!E341,"Plant surface"),exact(Metadata!E341,"Plant corpus"),exact(Metadata!E341,"Fungus surface"),exact(Metadata!E341,"Fungus corpus"),exact(Metadata!E341,"Animal surface"),exact(Metadata!E341,"Animal proximal gut"),exact(Metadata!E341,"Animal corpus"),exact(Metadata!E341,"Animal distal gut"),exact(Metadata!E341,"Animal secretion")))</f>
        <v>0</v>
      </c>
      <c r="AG341">
        <f>OR(AND(IF(Metadata!F341="",FALSE,TRUE),OR(exact(Metadata!F341,"not collected"),exact(Metadata!F341,"not provided"),exact(Metadata!F341,"restricted access"))),AND(IF(Metadata!F341="",FALSE,TRUE),OR(exact(Metadata!F341,"organism-associated habitat"),exact(Metadata!F341,"plant-associated habitat"),exact(Metadata!F341,"animal-associated habitat"),exact(Metadata!F341,"insecta-associated habitat"),exact(Metadata!F341,"mammalia-associated habitat"),exact(Metadata!F341,"human-associated habitat"),exact(Metadata!F341,"livestock-associated habitat"))))</f>
        <v>0</v>
      </c>
      <c r="AH341">
        <f>AND(IF(Metadata!G341="",FALSE,TRUE),exact(Metadata!G341,"host-associated"))</f>
        <v>0</v>
      </c>
      <c r="AI341">
        <f>OR(AND(IF(Metadata!H341="",FALSE,TRUE),OR(exact(Metadata!H341,"not collected"),exact(Metadata!H341,"not provided"))),AND(IF(Metadata!H341="",FALSE,ISNUMBER(VALUE(Metadata!H341))),Metadata!H341&gt;0))</f>
        <v>0</v>
      </c>
      <c r="AJ341">
        <f>AND(IF(Metadata!I341="",FALSE,TRUE),exact(Metadata!I341,"years"))</f>
        <v>0</v>
      </c>
      <c r="AK341">
        <f>IF(Metadata!J341="",FALSE,TRUE)</f>
        <v>0</v>
      </c>
      <c r="AL341">
        <f>OR(AND(IF(Metadata!K341="",FALSE,TRUE),OR(exact(Metadata!K341,"not collected"),exact(Metadata!K341,"not provided"))),AND(IF(Metadata!K341="",FALSE,ISNUMBER(VALUE(Metadata!K341))),Metadata!K341&gt;0))</f>
        <v>0</v>
      </c>
      <c r="AM341">
        <f>AND(IF(Metadata!L341="",FALSE,TRUE),exact(Metadata!L341,"cm"))</f>
        <v>0</v>
      </c>
      <c r="AN341">
        <f>IF(Metadata!M341="",FALSE,TRUE)</f>
        <v>0</v>
      </c>
      <c r="AO341">
        <f>OR(AND(IF(Metadata!N341="",FALSE,TRUE),OR(exact(Metadata!N341,"not applicable"),exact(Metadata!N341,"not collected"),exact(Metadata!N341,"not provided"))),AND(IF(Metadata!N341="",FALSE,IF(ISERROR(INT(Metadata!N341)),FALSE,INT(Metadata!N341)=Metadata!N341)),Metadata!N341&gt;0))</f>
        <v>0</v>
      </c>
      <c r="AP341">
        <f>OR(AND(IF(Metadata!O341="",FALSE,TRUE),OR(exact(Metadata!O341,"not collected"),exact(Metadata!O341,"not provided"))),AND(IF(Metadata!O341="",FALSE,ISNUMBER(VALUE(Metadata!O341))),Metadata!O341&gt;0))</f>
        <v>0</v>
      </c>
      <c r="AQ341">
        <f>AND(IF(Metadata!P341="",FALSE,TRUE),exact(Metadata!P341,"kg"))</f>
        <v>0</v>
      </c>
      <c r="AR341">
        <f>OR(AND(IF(Metadata!Q341="",FALSE,TRUE),OR(exact(Metadata!Q341,"not applicable"),exact(Metadata!Q341,"not collected"),exact(Metadata!Q341,"not provided"),exact(Metadata!Q341,"restricted access"))),IF(Metadata!Q341="",FALSE,IF(ISERROR(INT(Metadata!Q341)),FALSE,INT(Metadata!Q341)=Metadata!Q341)))</f>
        <v>0</v>
      </c>
      <c r="AS341">
        <f>AND(IF(Metadata!R341="",FALSE,TRUE),exact(Metadata!R341,"Not applicable"))</f>
        <v>0</v>
      </c>
    </row>
    <row r="342" spans="1:45">
      <c r="A342" s="4">
        <f>IF(B342=" "," ",HYPERLINK(CONCATENATE("#metadata!",ADDRESS(INDEX($X$2:$X$1001,MATCH(ROWS($V$2:V342),$V$2:$V$1001,0),0),2)),INDEX($AA$2:$AA$1001,MATCH(ROWS($V$2:V342),$V$2:$V$1001,0),0)))</f>
        <v>0</v>
      </c>
      <c r="B342" s="5">
        <f>IF(OR(INDEX($W$2:$W$1001,MATCH(ROWS($V$2:V342),$V$2:$V$1001,0),1)&gt;=100000,INDEX($AC$1005:$AS$1005,1,MATCH(COLUMNS($AC$1006:AC1006),$AC$1006:$AS$1006,0))&gt;=100000), " ",IF(INDEX($AC$2:$AS$1001,MATCH(ROWS($V$2:V342),$V$2:$V$1001,0),MATCH(COLUMNS($AC$1006:AC1006),$AC$1006:$AS$1006,0)), HYPERLINK("#",""), HYPERLINK(CONCATENATE("#Metadata!", ADDRESS(INDEX($X$2:$X$1001,MATCH(ROWS($V$2:V342),$V$2:$V$1001,0),0), INDEX($AC$1004:$AS$1004,1,MATCH(COLUMNS($AC$1006:AC1006),$AC$1006:$AS$1006,0)))),"Fix")))</f>
        <v>0</v>
      </c>
      <c r="C342" s="5">
        <f>IF(OR(INDEX($W$2:$W$1001,MATCH(ROWS($V$2:V342),$V$2:$V$1001,0),1)&gt;=100000,INDEX($AC$1005:$AS$1005,1,MATCH(COLUMNS($AC$1006:AD1006),$AC$1006:$AS$1006,0))&gt;=100000), " ",IF(INDEX($AC$2:$AS$1001,MATCH(ROWS($V$2:V342),$V$2:$V$1001,0),MATCH(COLUMNS($AC$1006:AD1006),$AC$1006:$AS$1006,0)), HYPERLINK("#",""), HYPERLINK(CONCATENATE("#Metadata!", ADDRESS(INDEX($X$2:$X$1001,MATCH(ROWS($V$2:V342),$V$2:$V$1001,0),0), INDEX($AC$1004:$AS$1004,1,MATCH(COLUMNS($AC$1006:AD1006),$AC$1006:$AS$1006,0)))),"Fix")))</f>
        <v>0</v>
      </c>
      <c r="D342" s="5">
        <f>IF(OR(INDEX($W$2:$W$1001,MATCH(ROWS($V$2:V342),$V$2:$V$1001,0),1)&gt;=100000,INDEX($AC$1005:$AS$1005,1,MATCH(COLUMNS($AC$1006:AE1006),$AC$1006:$AS$1006,0))&gt;=100000), " ",IF(INDEX($AC$2:$AS$1001,MATCH(ROWS($V$2:V342),$V$2:$V$1001,0),MATCH(COLUMNS($AC$1006:AE1006),$AC$1006:$AS$1006,0)), HYPERLINK("#",""), HYPERLINK(CONCATENATE("#Metadata!", ADDRESS(INDEX($X$2:$X$1001,MATCH(ROWS($V$2:V342),$V$2:$V$1001,0),0), INDEX($AC$1004:$AS$1004,1,MATCH(COLUMNS($AC$1006:AE1006),$AC$1006:$AS$1006,0)))),"Fix")))</f>
        <v>0</v>
      </c>
      <c r="E342" s="5">
        <f>IF(OR(INDEX($W$2:$W$1001,MATCH(ROWS($V$2:V342),$V$2:$V$1001,0),1)&gt;=100000,INDEX($AC$1005:$AS$1005,1,MATCH(COLUMNS($AC$1006:AF1006),$AC$1006:$AS$1006,0))&gt;=100000), " ",IF(INDEX($AC$2:$AS$1001,MATCH(ROWS($V$2:V342),$V$2:$V$1001,0),MATCH(COLUMNS($AC$1006:AF1006),$AC$1006:$AS$1006,0)), HYPERLINK("#",""), HYPERLINK(CONCATENATE("#Metadata!", ADDRESS(INDEX($X$2:$X$1001,MATCH(ROWS($V$2:V342),$V$2:$V$1001,0),0), INDEX($AC$1004:$AS$1004,1,MATCH(COLUMNS($AC$1006:AF1006),$AC$1006:$AS$1006,0)))),"Fix")))</f>
        <v>0</v>
      </c>
      <c r="F342" s="5">
        <f>IF(OR(INDEX($W$2:$W$1001,MATCH(ROWS($V$2:V342),$V$2:$V$1001,0),1)&gt;=100000,INDEX($AC$1005:$AS$1005,1,MATCH(COLUMNS($AC$1006:AG1006),$AC$1006:$AS$1006,0))&gt;=100000), " ",IF(INDEX($AC$2:$AS$1001,MATCH(ROWS($V$2:V342),$V$2:$V$1001,0),MATCH(COLUMNS($AC$1006:AG1006),$AC$1006:$AS$1006,0)), HYPERLINK("#",""), HYPERLINK(CONCATENATE("#Metadata!", ADDRESS(INDEX($X$2:$X$1001,MATCH(ROWS($V$2:V342),$V$2:$V$1001,0),0), INDEX($AC$1004:$AS$1004,1,MATCH(COLUMNS($AC$1006:AG1006),$AC$1006:$AS$1006,0)))),"Fix")))</f>
        <v>0</v>
      </c>
      <c r="G342" s="5">
        <f>IF(OR(INDEX($W$2:$W$1001,MATCH(ROWS($V$2:V342),$V$2:$V$1001,0),1)&gt;=100000,INDEX($AC$1005:$AS$1005,1,MATCH(COLUMNS($AC$1006:AH1006),$AC$1006:$AS$1006,0))&gt;=100000), " ",IF(INDEX($AC$2:$AS$1001,MATCH(ROWS($V$2:V342),$V$2:$V$1001,0),MATCH(COLUMNS($AC$1006:AH1006),$AC$1006:$AS$1006,0)), HYPERLINK("#",""), HYPERLINK(CONCATENATE("#Metadata!", ADDRESS(INDEX($X$2:$X$1001,MATCH(ROWS($V$2:V342),$V$2:$V$1001,0),0), INDEX($AC$1004:$AS$1004,1,MATCH(COLUMNS($AC$1006:AH1006),$AC$1006:$AS$1006,0)))),"Fix")))</f>
        <v>0</v>
      </c>
      <c r="H342" s="5">
        <f>IF(OR(INDEX($W$2:$W$1001,MATCH(ROWS($V$2:V342),$V$2:$V$1001,0),1)&gt;=100000,INDEX($AC$1005:$AS$1005,1,MATCH(COLUMNS($AC$1006:AI1006),$AC$1006:$AS$1006,0))&gt;=100000), " ",IF(INDEX($AC$2:$AS$1001,MATCH(ROWS($V$2:V342),$V$2:$V$1001,0),MATCH(COLUMNS($AC$1006:AI1006),$AC$1006:$AS$1006,0)), HYPERLINK("#",""), HYPERLINK(CONCATENATE("#Metadata!", ADDRESS(INDEX($X$2:$X$1001,MATCH(ROWS($V$2:V342),$V$2:$V$1001,0),0), INDEX($AC$1004:$AS$1004,1,MATCH(COLUMNS($AC$1006:AI1006),$AC$1006:$AS$1006,0)))),"Fix")))</f>
        <v>0</v>
      </c>
      <c r="I342" s="5">
        <f>IF(OR(INDEX($W$2:$W$1001,MATCH(ROWS($V$2:V342),$V$2:$V$1001,0),1)&gt;=100000,INDEX($AC$1005:$AS$1005,1,MATCH(COLUMNS($AC$1006:AJ1006),$AC$1006:$AS$1006,0))&gt;=100000), " ",IF(INDEX($AC$2:$AS$1001,MATCH(ROWS($V$2:V342),$V$2:$V$1001,0),MATCH(COLUMNS($AC$1006:AJ1006),$AC$1006:$AS$1006,0)), HYPERLINK("#",""), HYPERLINK(CONCATENATE("#Metadata!", ADDRESS(INDEX($X$2:$X$1001,MATCH(ROWS($V$2:V342),$V$2:$V$1001,0),0), INDEX($AC$1004:$AS$1004,1,MATCH(COLUMNS($AC$1006:AJ1006),$AC$1006:$AS$1006,0)))),"Fix")))</f>
        <v>0</v>
      </c>
      <c r="J342" s="5">
        <f>IF(OR(INDEX($W$2:$W$1001,MATCH(ROWS($V$2:V342),$V$2:$V$1001,0),1)&gt;=100000,INDEX($AC$1005:$AS$1005,1,MATCH(COLUMNS($AC$1006:AK1006),$AC$1006:$AS$1006,0))&gt;=100000), " ",IF(INDEX($AC$2:$AS$1001,MATCH(ROWS($V$2:V342),$V$2:$V$1001,0),MATCH(COLUMNS($AC$1006:AK1006),$AC$1006:$AS$1006,0)), HYPERLINK("#",""), HYPERLINK(CONCATENATE("#Metadata!", ADDRESS(INDEX($X$2:$X$1001,MATCH(ROWS($V$2:V342),$V$2:$V$1001,0),0), INDEX($AC$1004:$AS$1004,1,MATCH(COLUMNS($AC$1006:AK1006),$AC$1006:$AS$1006,0)))),"Fix")))</f>
        <v>0</v>
      </c>
      <c r="K342" s="5">
        <f>IF(OR(INDEX($W$2:$W$1001,MATCH(ROWS($V$2:V342),$V$2:$V$1001,0),1)&gt;=100000,INDEX($AC$1005:$AS$1005,1,MATCH(COLUMNS($AC$1006:AL1006),$AC$1006:$AS$1006,0))&gt;=100000), " ",IF(INDEX($AC$2:$AS$1001,MATCH(ROWS($V$2:V342),$V$2:$V$1001,0),MATCH(COLUMNS($AC$1006:AL1006),$AC$1006:$AS$1006,0)), HYPERLINK("#",""), HYPERLINK(CONCATENATE("#Metadata!", ADDRESS(INDEX($X$2:$X$1001,MATCH(ROWS($V$2:V342),$V$2:$V$1001,0),0), INDEX($AC$1004:$AS$1004,1,MATCH(COLUMNS($AC$1006:AL1006),$AC$1006:$AS$1006,0)))),"Fix")))</f>
        <v>0</v>
      </c>
      <c r="L342" s="5">
        <f>IF(OR(INDEX($W$2:$W$1001,MATCH(ROWS($V$2:V342),$V$2:$V$1001,0),1)&gt;=100000,INDEX($AC$1005:$AS$1005,1,MATCH(COLUMNS($AC$1006:AM1006),$AC$1006:$AS$1006,0))&gt;=100000), " ",IF(INDEX($AC$2:$AS$1001,MATCH(ROWS($V$2:V342),$V$2:$V$1001,0),MATCH(COLUMNS($AC$1006:AM1006),$AC$1006:$AS$1006,0)), HYPERLINK("#",""), HYPERLINK(CONCATENATE("#Metadata!", ADDRESS(INDEX($X$2:$X$1001,MATCH(ROWS($V$2:V342),$V$2:$V$1001,0),0), INDEX($AC$1004:$AS$1004,1,MATCH(COLUMNS($AC$1006:AM1006),$AC$1006:$AS$1006,0)))),"Fix")))</f>
        <v>0</v>
      </c>
      <c r="M342" s="5">
        <f>IF(OR(INDEX($W$2:$W$1001,MATCH(ROWS($V$2:V342),$V$2:$V$1001,0),1)&gt;=100000,INDEX($AC$1005:$AS$1005,1,MATCH(COLUMNS($AC$1006:AN1006),$AC$1006:$AS$1006,0))&gt;=100000), " ",IF(INDEX($AC$2:$AS$1001,MATCH(ROWS($V$2:V342),$V$2:$V$1001,0),MATCH(COLUMNS($AC$1006:AN1006),$AC$1006:$AS$1006,0)), HYPERLINK("#",""), HYPERLINK(CONCATENATE("#Metadata!", ADDRESS(INDEX($X$2:$X$1001,MATCH(ROWS($V$2:V342),$V$2:$V$1001,0),0), INDEX($AC$1004:$AS$1004,1,MATCH(COLUMNS($AC$1006:AN1006),$AC$1006:$AS$1006,0)))),"Fix")))</f>
        <v>0</v>
      </c>
      <c r="N342" s="5">
        <f>IF(OR(INDEX($W$2:$W$1001,MATCH(ROWS($V$2:V342),$V$2:$V$1001,0),1)&gt;=100000,INDEX($AC$1005:$AS$1005,1,MATCH(COLUMNS($AC$1006:AO1006),$AC$1006:$AS$1006,0))&gt;=100000), " ",IF(INDEX($AC$2:$AS$1001,MATCH(ROWS($V$2:V342),$V$2:$V$1001,0),MATCH(COLUMNS($AC$1006:AO1006),$AC$1006:$AS$1006,0)), HYPERLINK("#",""), HYPERLINK(CONCATENATE("#Metadata!", ADDRESS(INDEX($X$2:$X$1001,MATCH(ROWS($V$2:V342),$V$2:$V$1001,0),0), INDEX($AC$1004:$AS$1004,1,MATCH(COLUMNS($AC$1006:AO1006),$AC$1006:$AS$1006,0)))),"Fix")))</f>
        <v>0</v>
      </c>
      <c r="O342" s="5">
        <f>IF(OR(INDEX($W$2:$W$1001,MATCH(ROWS($V$2:V342),$V$2:$V$1001,0),1)&gt;=100000,INDEX($AC$1005:$AS$1005,1,MATCH(COLUMNS($AC$1006:AP1006),$AC$1006:$AS$1006,0))&gt;=100000), " ",IF(INDEX($AC$2:$AS$1001,MATCH(ROWS($V$2:V342),$V$2:$V$1001,0),MATCH(COLUMNS($AC$1006:AP1006),$AC$1006:$AS$1006,0)), HYPERLINK("#",""), HYPERLINK(CONCATENATE("#Metadata!", ADDRESS(INDEX($X$2:$X$1001,MATCH(ROWS($V$2:V342),$V$2:$V$1001,0),0), INDEX($AC$1004:$AS$1004,1,MATCH(COLUMNS($AC$1006:AP1006),$AC$1006:$AS$1006,0)))),"Fix")))</f>
        <v>0</v>
      </c>
      <c r="P342" s="5">
        <f>IF(OR(INDEX($W$2:$W$1001,MATCH(ROWS($V$2:V342),$V$2:$V$1001,0),1)&gt;=100000,INDEX($AC$1005:$AS$1005,1,MATCH(COLUMNS($AC$1006:AQ1006),$AC$1006:$AS$1006,0))&gt;=100000), " ",IF(INDEX($AC$2:$AS$1001,MATCH(ROWS($V$2:V342),$V$2:$V$1001,0),MATCH(COLUMNS($AC$1006:AQ1006),$AC$1006:$AS$1006,0)), HYPERLINK("#",""), HYPERLINK(CONCATENATE("#Metadata!", ADDRESS(INDEX($X$2:$X$1001,MATCH(ROWS($V$2:V342),$V$2:$V$1001,0),0), INDEX($AC$1004:$AS$1004,1,MATCH(COLUMNS($AC$1006:AQ1006),$AC$1006:$AS$1006,0)))),"Fix")))</f>
        <v>0</v>
      </c>
      <c r="Q342" s="5">
        <f>IF(OR(INDEX($W$2:$W$1001,MATCH(ROWS($V$2:V342),$V$2:$V$1001,0),1)&gt;=100000,INDEX($AC$1005:$AS$1005,1,MATCH(COLUMNS($AC$1006:AR1006),$AC$1006:$AS$1006,0))&gt;=100000), " ",IF(INDEX($AC$2:$AS$1001,MATCH(ROWS($V$2:V342),$V$2:$V$1001,0),MATCH(COLUMNS($AC$1006:AR1006),$AC$1006:$AS$1006,0)), HYPERLINK("#",""), HYPERLINK(CONCATENATE("#Metadata!", ADDRESS(INDEX($X$2:$X$1001,MATCH(ROWS($V$2:V342),$V$2:$V$1001,0),0), INDEX($AC$1004:$AS$1004,1,MATCH(COLUMNS($AC$1006:AR1006),$AC$1006:$AS$1006,0)))),"Fix")))</f>
        <v>0</v>
      </c>
      <c r="R342" s="5">
        <f>IF(OR(INDEX($W$2:$W$1001,MATCH(ROWS($V$2:V342),$V$2:$V$1001,0),1)&gt;=100000,INDEX($AC$1005:$AS$1005,1,MATCH(COLUMNS($AC$1006:AS1006),$AC$1006:$AS$1006,0))&gt;=100000), " ",IF(INDEX($AC$2:$AS$1001,MATCH(ROWS($V$2:V342),$V$2:$V$1001,0),MATCH(COLUMNS($AC$1006:AS1006),$AC$1006:$AS$1006,0)), HYPERLINK("#",""), HYPERLINK(CONCATENATE("#Metadata!", ADDRESS(INDEX($X$2:$X$1001,MATCH(ROWS($V$2:V342),$V$2:$V$1001,0),0), INDEX($AC$1004:$AS$1004,1,MATCH(COLUMNS($AC$1006:AS1006),$AC$1006:$AS$1006,0)))),"Fix")))</f>
        <v>0</v>
      </c>
      <c r="V342">
        <v>0</v>
      </c>
      <c r="W342">
        <v>0</v>
      </c>
      <c r="X342">
        <v>0</v>
      </c>
      <c r="Y342">
        <f>IF(Z342,TRUE,AND(AC342:AS342))</f>
        <v>0</v>
      </c>
      <c r="Z342">
        <f>COUNTBLANK(Metadata!B342:R342)=COLUMNS(Metadata!B342:R342)</f>
        <v>0</v>
      </c>
      <c r="AA342">
        <v>0</v>
      </c>
      <c r="AC342">
        <f>AND(IF(Metadata!B342="",FALSE,TRUE),COUNTIF(Metadata!B:B, Metadata!B342) = 1,NOT(ISERROR(SUMPRODUCT(SEARCH(MID(Metadata!B342,ROW(INDIRECT("1:"&amp;LEN(Metadata!B342))), 1),"0123456789abcdefghijklmnopqrstuvwxyzABCDEFGHIJKLMNOPQRSTUVWXYZ.")))))</f>
        <v>0</v>
      </c>
      <c r="AD342">
        <f>AND(IF(Metadata!C342="",FALSE,TRUE),exact(Metadata!C342,"Host-associated"))</f>
        <v>0</v>
      </c>
      <c r="AE342">
        <f>AND(IF(Metadata!D342="",FALSE,TRUE),OR(exact(Metadata!D342,"Animal"),exact(Metadata!D342,"Fungus"),exact(Metadata!D342,"Plant")))</f>
        <v>0</v>
      </c>
      <c r="AF342">
        <f>AND(IF(Metadata!E342="",FALSE,TRUE),OR(exact(Metadata!E342,"Plant secretion"),exact(Metadata!E342,"Plant rhizosphere"),exact(Metadata!E342,"Plant surface"),exact(Metadata!E342,"Plant corpus"),exact(Metadata!E342,"Fungus surface"),exact(Metadata!E342,"Fungus corpus"),exact(Metadata!E342,"Animal surface"),exact(Metadata!E342,"Animal proximal gut"),exact(Metadata!E342,"Animal corpus"),exact(Metadata!E342,"Animal distal gut"),exact(Metadata!E342,"Animal secretion")))</f>
        <v>0</v>
      </c>
      <c r="AG342">
        <f>OR(AND(IF(Metadata!F342="",FALSE,TRUE),OR(exact(Metadata!F342,"not collected"),exact(Metadata!F342,"not provided"),exact(Metadata!F342,"restricted access"))),AND(IF(Metadata!F342="",FALSE,TRUE),OR(exact(Metadata!F342,"organism-associated habitat"),exact(Metadata!F342,"plant-associated habitat"),exact(Metadata!F342,"animal-associated habitat"),exact(Metadata!F342,"insecta-associated habitat"),exact(Metadata!F342,"mammalia-associated habitat"),exact(Metadata!F342,"human-associated habitat"),exact(Metadata!F342,"livestock-associated habitat"))))</f>
        <v>0</v>
      </c>
      <c r="AH342">
        <f>AND(IF(Metadata!G342="",FALSE,TRUE),exact(Metadata!G342,"host-associated"))</f>
        <v>0</v>
      </c>
      <c r="AI342">
        <f>OR(AND(IF(Metadata!H342="",FALSE,TRUE),OR(exact(Metadata!H342,"not collected"),exact(Metadata!H342,"not provided"))),AND(IF(Metadata!H342="",FALSE,ISNUMBER(VALUE(Metadata!H342))),Metadata!H342&gt;0))</f>
        <v>0</v>
      </c>
      <c r="AJ342">
        <f>AND(IF(Metadata!I342="",FALSE,TRUE),exact(Metadata!I342,"years"))</f>
        <v>0</v>
      </c>
      <c r="AK342">
        <f>IF(Metadata!J342="",FALSE,TRUE)</f>
        <v>0</v>
      </c>
      <c r="AL342">
        <f>OR(AND(IF(Metadata!K342="",FALSE,TRUE),OR(exact(Metadata!K342,"not collected"),exact(Metadata!K342,"not provided"))),AND(IF(Metadata!K342="",FALSE,ISNUMBER(VALUE(Metadata!K342))),Metadata!K342&gt;0))</f>
        <v>0</v>
      </c>
      <c r="AM342">
        <f>AND(IF(Metadata!L342="",FALSE,TRUE),exact(Metadata!L342,"cm"))</f>
        <v>0</v>
      </c>
      <c r="AN342">
        <f>IF(Metadata!M342="",FALSE,TRUE)</f>
        <v>0</v>
      </c>
      <c r="AO342">
        <f>OR(AND(IF(Metadata!N342="",FALSE,TRUE),OR(exact(Metadata!N342,"not applicable"),exact(Metadata!N342,"not collected"),exact(Metadata!N342,"not provided"))),AND(IF(Metadata!N342="",FALSE,IF(ISERROR(INT(Metadata!N342)),FALSE,INT(Metadata!N342)=Metadata!N342)),Metadata!N342&gt;0))</f>
        <v>0</v>
      </c>
      <c r="AP342">
        <f>OR(AND(IF(Metadata!O342="",FALSE,TRUE),OR(exact(Metadata!O342,"not collected"),exact(Metadata!O342,"not provided"))),AND(IF(Metadata!O342="",FALSE,ISNUMBER(VALUE(Metadata!O342))),Metadata!O342&gt;0))</f>
        <v>0</v>
      </c>
      <c r="AQ342">
        <f>AND(IF(Metadata!P342="",FALSE,TRUE),exact(Metadata!P342,"kg"))</f>
        <v>0</v>
      </c>
      <c r="AR342">
        <f>OR(AND(IF(Metadata!Q342="",FALSE,TRUE),OR(exact(Metadata!Q342,"not applicable"),exact(Metadata!Q342,"not collected"),exact(Metadata!Q342,"not provided"),exact(Metadata!Q342,"restricted access"))),IF(Metadata!Q342="",FALSE,IF(ISERROR(INT(Metadata!Q342)),FALSE,INT(Metadata!Q342)=Metadata!Q342)))</f>
        <v>0</v>
      </c>
      <c r="AS342">
        <f>AND(IF(Metadata!R342="",FALSE,TRUE),exact(Metadata!R342,"Not applicable"))</f>
        <v>0</v>
      </c>
    </row>
    <row r="343" spans="1:45">
      <c r="A343" s="4">
        <f>IF(B343=" "," ",HYPERLINK(CONCATENATE("#metadata!",ADDRESS(INDEX($X$2:$X$1001,MATCH(ROWS($V$2:V343),$V$2:$V$1001,0),0),2)),INDEX($AA$2:$AA$1001,MATCH(ROWS($V$2:V343),$V$2:$V$1001,0),0)))</f>
        <v>0</v>
      </c>
      <c r="B343" s="5">
        <f>IF(OR(INDEX($W$2:$W$1001,MATCH(ROWS($V$2:V343),$V$2:$V$1001,0),1)&gt;=100000,INDEX($AC$1005:$AS$1005,1,MATCH(COLUMNS($AC$1006:AC1006),$AC$1006:$AS$1006,0))&gt;=100000), " ",IF(INDEX($AC$2:$AS$1001,MATCH(ROWS($V$2:V343),$V$2:$V$1001,0),MATCH(COLUMNS($AC$1006:AC1006),$AC$1006:$AS$1006,0)), HYPERLINK("#",""), HYPERLINK(CONCATENATE("#Metadata!", ADDRESS(INDEX($X$2:$X$1001,MATCH(ROWS($V$2:V343),$V$2:$V$1001,0),0), INDEX($AC$1004:$AS$1004,1,MATCH(COLUMNS($AC$1006:AC1006),$AC$1006:$AS$1006,0)))),"Fix")))</f>
        <v>0</v>
      </c>
      <c r="C343" s="5">
        <f>IF(OR(INDEX($W$2:$W$1001,MATCH(ROWS($V$2:V343),$V$2:$V$1001,0),1)&gt;=100000,INDEX($AC$1005:$AS$1005,1,MATCH(COLUMNS($AC$1006:AD1006),$AC$1006:$AS$1006,0))&gt;=100000), " ",IF(INDEX($AC$2:$AS$1001,MATCH(ROWS($V$2:V343),$V$2:$V$1001,0),MATCH(COLUMNS($AC$1006:AD1006),$AC$1006:$AS$1006,0)), HYPERLINK("#",""), HYPERLINK(CONCATENATE("#Metadata!", ADDRESS(INDEX($X$2:$X$1001,MATCH(ROWS($V$2:V343),$V$2:$V$1001,0),0), INDEX($AC$1004:$AS$1004,1,MATCH(COLUMNS($AC$1006:AD1006),$AC$1006:$AS$1006,0)))),"Fix")))</f>
        <v>0</v>
      </c>
      <c r="D343" s="5">
        <f>IF(OR(INDEX($W$2:$W$1001,MATCH(ROWS($V$2:V343),$V$2:$V$1001,0),1)&gt;=100000,INDEX($AC$1005:$AS$1005,1,MATCH(COLUMNS($AC$1006:AE1006),$AC$1006:$AS$1006,0))&gt;=100000), " ",IF(INDEX($AC$2:$AS$1001,MATCH(ROWS($V$2:V343),$V$2:$V$1001,0),MATCH(COLUMNS($AC$1006:AE1006),$AC$1006:$AS$1006,0)), HYPERLINK("#",""), HYPERLINK(CONCATENATE("#Metadata!", ADDRESS(INDEX($X$2:$X$1001,MATCH(ROWS($V$2:V343),$V$2:$V$1001,0),0), INDEX($AC$1004:$AS$1004,1,MATCH(COLUMNS($AC$1006:AE1006),$AC$1006:$AS$1006,0)))),"Fix")))</f>
        <v>0</v>
      </c>
      <c r="E343" s="5">
        <f>IF(OR(INDEX($W$2:$W$1001,MATCH(ROWS($V$2:V343),$V$2:$V$1001,0),1)&gt;=100000,INDEX($AC$1005:$AS$1005,1,MATCH(COLUMNS($AC$1006:AF1006),$AC$1006:$AS$1006,0))&gt;=100000), " ",IF(INDEX($AC$2:$AS$1001,MATCH(ROWS($V$2:V343),$V$2:$V$1001,0),MATCH(COLUMNS($AC$1006:AF1006),$AC$1006:$AS$1006,0)), HYPERLINK("#",""), HYPERLINK(CONCATENATE("#Metadata!", ADDRESS(INDEX($X$2:$X$1001,MATCH(ROWS($V$2:V343),$V$2:$V$1001,0),0), INDEX($AC$1004:$AS$1004,1,MATCH(COLUMNS($AC$1006:AF1006),$AC$1006:$AS$1006,0)))),"Fix")))</f>
        <v>0</v>
      </c>
      <c r="F343" s="5">
        <f>IF(OR(INDEX($W$2:$W$1001,MATCH(ROWS($V$2:V343),$V$2:$V$1001,0),1)&gt;=100000,INDEX($AC$1005:$AS$1005,1,MATCH(COLUMNS($AC$1006:AG1006),$AC$1006:$AS$1006,0))&gt;=100000), " ",IF(INDEX($AC$2:$AS$1001,MATCH(ROWS($V$2:V343),$V$2:$V$1001,0),MATCH(COLUMNS($AC$1006:AG1006),$AC$1006:$AS$1006,0)), HYPERLINK("#",""), HYPERLINK(CONCATENATE("#Metadata!", ADDRESS(INDEX($X$2:$X$1001,MATCH(ROWS($V$2:V343),$V$2:$V$1001,0),0), INDEX($AC$1004:$AS$1004,1,MATCH(COLUMNS($AC$1006:AG1006),$AC$1006:$AS$1006,0)))),"Fix")))</f>
        <v>0</v>
      </c>
      <c r="G343" s="5">
        <f>IF(OR(INDEX($W$2:$W$1001,MATCH(ROWS($V$2:V343),$V$2:$V$1001,0),1)&gt;=100000,INDEX($AC$1005:$AS$1005,1,MATCH(COLUMNS($AC$1006:AH1006),$AC$1006:$AS$1006,0))&gt;=100000), " ",IF(INDEX($AC$2:$AS$1001,MATCH(ROWS($V$2:V343),$V$2:$V$1001,0),MATCH(COLUMNS($AC$1006:AH1006),$AC$1006:$AS$1006,0)), HYPERLINK("#",""), HYPERLINK(CONCATENATE("#Metadata!", ADDRESS(INDEX($X$2:$X$1001,MATCH(ROWS($V$2:V343),$V$2:$V$1001,0),0), INDEX($AC$1004:$AS$1004,1,MATCH(COLUMNS($AC$1006:AH1006),$AC$1006:$AS$1006,0)))),"Fix")))</f>
        <v>0</v>
      </c>
      <c r="H343" s="5">
        <f>IF(OR(INDEX($W$2:$W$1001,MATCH(ROWS($V$2:V343),$V$2:$V$1001,0),1)&gt;=100000,INDEX($AC$1005:$AS$1005,1,MATCH(COLUMNS($AC$1006:AI1006),$AC$1006:$AS$1006,0))&gt;=100000), " ",IF(INDEX($AC$2:$AS$1001,MATCH(ROWS($V$2:V343),$V$2:$V$1001,0),MATCH(COLUMNS($AC$1006:AI1006),$AC$1006:$AS$1006,0)), HYPERLINK("#",""), HYPERLINK(CONCATENATE("#Metadata!", ADDRESS(INDEX($X$2:$X$1001,MATCH(ROWS($V$2:V343),$V$2:$V$1001,0),0), INDEX($AC$1004:$AS$1004,1,MATCH(COLUMNS($AC$1006:AI1006),$AC$1006:$AS$1006,0)))),"Fix")))</f>
        <v>0</v>
      </c>
      <c r="I343" s="5">
        <f>IF(OR(INDEX($W$2:$W$1001,MATCH(ROWS($V$2:V343),$V$2:$V$1001,0),1)&gt;=100000,INDEX($AC$1005:$AS$1005,1,MATCH(COLUMNS($AC$1006:AJ1006),$AC$1006:$AS$1006,0))&gt;=100000), " ",IF(INDEX($AC$2:$AS$1001,MATCH(ROWS($V$2:V343),$V$2:$V$1001,0),MATCH(COLUMNS($AC$1006:AJ1006),$AC$1006:$AS$1006,0)), HYPERLINK("#",""), HYPERLINK(CONCATENATE("#Metadata!", ADDRESS(INDEX($X$2:$X$1001,MATCH(ROWS($V$2:V343),$V$2:$V$1001,0),0), INDEX($AC$1004:$AS$1004,1,MATCH(COLUMNS($AC$1006:AJ1006),$AC$1006:$AS$1006,0)))),"Fix")))</f>
        <v>0</v>
      </c>
      <c r="J343" s="5">
        <f>IF(OR(INDEX($W$2:$W$1001,MATCH(ROWS($V$2:V343),$V$2:$V$1001,0),1)&gt;=100000,INDEX($AC$1005:$AS$1005,1,MATCH(COLUMNS($AC$1006:AK1006),$AC$1006:$AS$1006,0))&gt;=100000), " ",IF(INDEX($AC$2:$AS$1001,MATCH(ROWS($V$2:V343),$V$2:$V$1001,0),MATCH(COLUMNS($AC$1006:AK1006),$AC$1006:$AS$1006,0)), HYPERLINK("#",""), HYPERLINK(CONCATENATE("#Metadata!", ADDRESS(INDEX($X$2:$X$1001,MATCH(ROWS($V$2:V343),$V$2:$V$1001,0),0), INDEX($AC$1004:$AS$1004,1,MATCH(COLUMNS($AC$1006:AK1006),$AC$1006:$AS$1006,0)))),"Fix")))</f>
        <v>0</v>
      </c>
      <c r="K343" s="5">
        <f>IF(OR(INDEX($W$2:$W$1001,MATCH(ROWS($V$2:V343),$V$2:$V$1001,0),1)&gt;=100000,INDEX($AC$1005:$AS$1005,1,MATCH(COLUMNS($AC$1006:AL1006),$AC$1006:$AS$1006,0))&gt;=100000), " ",IF(INDEX($AC$2:$AS$1001,MATCH(ROWS($V$2:V343),$V$2:$V$1001,0),MATCH(COLUMNS($AC$1006:AL1006),$AC$1006:$AS$1006,0)), HYPERLINK("#",""), HYPERLINK(CONCATENATE("#Metadata!", ADDRESS(INDEX($X$2:$X$1001,MATCH(ROWS($V$2:V343),$V$2:$V$1001,0),0), INDEX($AC$1004:$AS$1004,1,MATCH(COLUMNS($AC$1006:AL1006),$AC$1006:$AS$1006,0)))),"Fix")))</f>
        <v>0</v>
      </c>
      <c r="L343" s="5">
        <f>IF(OR(INDEX($W$2:$W$1001,MATCH(ROWS($V$2:V343),$V$2:$V$1001,0),1)&gt;=100000,INDEX($AC$1005:$AS$1005,1,MATCH(COLUMNS($AC$1006:AM1006),$AC$1006:$AS$1006,0))&gt;=100000), " ",IF(INDEX($AC$2:$AS$1001,MATCH(ROWS($V$2:V343),$V$2:$V$1001,0),MATCH(COLUMNS($AC$1006:AM1006),$AC$1006:$AS$1006,0)), HYPERLINK("#",""), HYPERLINK(CONCATENATE("#Metadata!", ADDRESS(INDEX($X$2:$X$1001,MATCH(ROWS($V$2:V343),$V$2:$V$1001,0),0), INDEX($AC$1004:$AS$1004,1,MATCH(COLUMNS($AC$1006:AM1006),$AC$1006:$AS$1006,0)))),"Fix")))</f>
        <v>0</v>
      </c>
      <c r="M343" s="5">
        <f>IF(OR(INDEX($W$2:$W$1001,MATCH(ROWS($V$2:V343),$V$2:$V$1001,0),1)&gt;=100000,INDEX($AC$1005:$AS$1005,1,MATCH(COLUMNS($AC$1006:AN1006),$AC$1006:$AS$1006,0))&gt;=100000), " ",IF(INDEX($AC$2:$AS$1001,MATCH(ROWS($V$2:V343),$V$2:$V$1001,0),MATCH(COLUMNS($AC$1006:AN1006),$AC$1006:$AS$1006,0)), HYPERLINK("#",""), HYPERLINK(CONCATENATE("#Metadata!", ADDRESS(INDEX($X$2:$X$1001,MATCH(ROWS($V$2:V343),$V$2:$V$1001,0),0), INDEX($AC$1004:$AS$1004,1,MATCH(COLUMNS($AC$1006:AN1006),$AC$1006:$AS$1006,0)))),"Fix")))</f>
        <v>0</v>
      </c>
      <c r="N343" s="5">
        <f>IF(OR(INDEX($W$2:$W$1001,MATCH(ROWS($V$2:V343),$V$2:$V$1001,0),1)&gt;=100000,INDEX($AC$1005:$AS$1005,1,MATCH(COLUMNS($AC$1006:AO1006),$AC$1006:$AS$1006,0))&gt;=100000), " ",IF(INDEX($AC$2:$AS$1001,MATCH(ROWS($V$2:V343),$V$2:$V$1001,0),MATCH(COLUMNS($AC$1006:AO1006),$AC$1006:$AS$1006,0)), HYPERLINK("#",""), HYPERLINK(CONCATENATE("#Metadata!", ADDRESS(INDEX($X$2:$X$1001,MATCH(ROWS($V$2:V343),$V$2:$V$1001,0),0), INDEX($AC$1004:$AS$1004,1,MATCH(COLUMNS($AC$1006:AO1006),$AC$1006:$AS$1006,0)))),"Fix")))</f>
        <v>0</v>
      </c>
      <c r="O343" s="5">
        <f>IF(OR(INDEX($W$2:$W$1001,MATCH(ROWS($V$2:V343),$V$2:$V$1001,0),1)&gt;=100000,INDEX($AC$1005:$AS$1005,1,MATCH(COLUMNS($AC$1006:AP1006),$AC$1006:$AS$1006,0))&gt;=100000), " ",IF(INDEX($AC$2:$AS$1001,MATCH(ROWS($V$2:V343),$V$2:$V$1001,0),MATCH(COLUMNS($AC$1006:AP1006),$AC$1006:$AS$1006,0)), HYPERLINK("#",""), HYPERLINK(CONCATENATE("#Metadata!", ADDRESS(INDEX($X$2:$X$1001,MATCH(ROWS($V$2:V343),$V$2:$V$1001,0),0), INDEX($AC$1004:$AS$1004,1,MATCH(COLUMNS($AC$1006:AP1006),$AC$1006:$AS$1006,0)))),"Fix")))</f>
        <v>0</v>
      </c>
      <c r="P343" s="5">
        <f>IF(OR(INDEX($W$2:$W$1001,MATCH(ROWS($V$2:V343),$V$2:$V$1001,0),1)&gt;=100000,INDEX($AC$1005:$AS$1005,1,MATCH(COLUMNS($AC$1006:AQ1006),$AC$1006:$AS$1006,0))&gt;=100000), " ",IF(INDEX($AC$2:$AS$1001,MATCH(ROWS($V$2:V343),$V$2:$V$1001,0),MATCH(COLUMNS($AC$1006:AQ1006),$AC$1006:$AS$1006,0)), HYPERLINK("#",""), HYPERLINK(CONCATENATE("#Metadata!", ADDRESS(INDEX($X$2:$X$1001,MATCH(ROWS($V$2:V343),$V$2:$V$1001,0),0), INDEX($AC$1004:$AS$1004,1,MATCH(COLUMNS($AC$1006:AQ1006),$AC$1006:$AS$1006,0)))),"Fix")))</f>
        <v>0</v>
      </c>
      <c r="Q343" s="5">
        <f>IF(OR(INDEX($W$2:$W$1001,MATCH(ROWS($V$2:V343),$V$2:$V$1001,0),1)&gt;=100000,INDEX($AC$1005:$AS$1005,1,MATCH(COLUMNS($AC$1006:AR1006),$AC$1006:$AS$1006,0))&gt;=100000), " ",IF(INDEX($AC$2:$AS$1001,MATCH(ROWS($V$2:V343),$V$2:$V$1001,0),MATCH(COLUMNS($AC$1006:AR1006),$AC$1006:$AS$1006,0)), HYPERLINK("#",""), HYPERLINK(CONCATENATE("#Metadata!", ADDRESS(INDEX($X$2:$X$1001,MATCH(ROWS($V$2:V343),$V$2:$V$1001,0),0), INDEX($AC$1004:$AS$1004,1,MATCH(COLUMNS($AC$1006:AR1006),$AC$1006:$AS$1006,0)))),"Fix")))</f>
        <v>0</v>
      </c>
      <c r="R343" s="5">
        <f>IF(OR(INDEX($W$2:$W$1001,MATCH(ROWS($V$2:V343),$V$2:$V$1001,0),1)&gt;=100000,INDEX($AC$1005:$AS$1005,1,MATCH(COLUMNS($AC$1006:AS1006),$AC$1006:$AS$1006,0))&gt;=100000), " ",IF(INDEX($AC$2:$AS$1001,MATCH(ROWS($V$2:V343),$V$2:$V$1001,0),MATCH(COLUMNS($AC$1006:AS1006),$AC$1006:$AS$1006,0)), HYPERLINK("#",""), HYPERLINK(CONCATENATE("#Metadata!", ADDRESS(INDEX($X$2:$X$1001,MATCH(ROWS($V$2:V343),$V$2:$V$1001,0),0), INDEX($AC$1004:$AS$1004,1,MATCH(COLUMNS($AC$1006:AS1006),$AC$1006:$AS$1006,0)))),"Fix")))</f>
        <v>0</v>
      </c>
      <c r="V343">
        <v>0</v>
      </c>
      <c r="W343">
        <v>0</v>
      </c>
      <c r="X343">
        <v>0</v>
      </c>
      <c r="Y343">
        <f>IF(Z343,TRUE,AND(AC343:AS343))</f>
        <v>0</v>
      </c>
      <c r="Z343">
        <f>COUNTBLANK(Metadata!B343:R343)=COLUMNS(Metadata!B343:R343)</f>
        <v>0</v>
      </c>
      <c r="AA343">
        <v>0</v>
      </c>
      <c r="AC343">
        <f>AND(IF(Metadata!B343="",FALSE,TRUE),COUNTIF(Metadata!B:B, Metadata!B343) = 1,NOT(ISERROR(SUMPRODUCT(SEARCH(MID(Metadata!B343,ROW(INDIRECT("1:"&amp;LEN(Metadata!B343))), 1),"0123456789abcdefghijklmnopqrstuvwxyzABCDEFGHIJKLMNOPQRSTUVWXYZ.")))))</f>
        <v>0</v>
      </c>
      <c r="AD343">
        <f>AND(IF(Metadata!C343="",FALSE,TRUE),exact(Metadata!C343,"Host-associated"))</f>
        <v>0</v>
      </c>
      <c r="AE343">
        <f>AND(IF(Metadata!D343="",FALSE,TRUE),OR(exact(Metadata!D343,"Animal"),exact(Metadata!D343,"Fungus"),exact(Metadata!D343,"Plant")))</f>
        <v>0</v>
      </c>
      <c r="AF343">
        <f>AND(IF(Metadata!E343="",FALSE,TRUE),OR(exact(Metadata!E343,"Plant secretion"),exact(Metadata!E343,"Plant rhizosphere"),exact(Metadata!E343,"Plant surface"),exact(Metadata!E343,"Plant corpus"),exact(Metadata!E343,"Fungus surface"),exact(Metadata!E343,"Fungus corpus"),exact(Metadata!E343,"Animal surface"),exact(Metadata!E343,"Animal proximal gut"),exact(Metadata!E343,"Animal corpus"),exact(Metadata!E343,"Animal distal gut"),exact(Metadata!E343,"Animal secretion")))</f>
        <v>0</v>
      </c>
      <c r="AG343">
        <f>OR(AND(IF(Metadata!F343="",FALSE,TRUE),OR(exact(Metadata!F343,"not collected"),exact(Metadata!F343,"not provided"),exact(Metadata!F343,"restricted access"))),AND(IF(Metadata!F343="",FALSE,TRUE),OR(exact(Metadata!F343,"organism-associated habitat"),exact(Metadata!F343,"plant-associated habitat"),exact(Metadata!F343,"animal-associated habitat"),exact(Metadata!F343,"insecta-associated habitat"),exact(Metadata!F343,"mammalia-associated habitat"),exact(Metadata!F343,"human-associated habitat"),exact(Metadata!F343,"livestock-associated habitat"))))</f>
        <v>0</v>
      </c>
      <c r="AH343">
        <f>AND(IF(Metadata!G343="",FALSE,TRUE),exact(Metadata!G343,"host-associated"))</f>
        <v>0</v>
      </c>
      <c r="AI343">
        <f>OR(AND(IF(Metadata!H343="",FALSE,TRUE),OR(exact(Metadata!H343,"not collected"),exact(Metadata!H343,"not provided"))),AND(IF(Metadata!H343="",FALSE,ISNUMBER(VALUE(Metadata!H343))),Metadata!H343&gt;0))</f>
        <v>0</v>
      </c>
      <c r="AJ343">
        <f>AND(IF(Metadata!I343="",FALSE,TRUE),exact(Metadata!I343,"years"))</f>
        <v>0</v>
      </c>
      <c r="AK343">
        <f>IF(Metadata!J343="",FALSE,TRUE)</f>
        <v>0</v>
      </c>
      <c r="AL343">
        <f>OR(AND(IF(Metadata!K343="",FALSE,TRUE),OR(exact(Metadata!K343,"not collected"),exact(Metadata!K343,"not provided"))),AND(IF(Metadata!K343="",FALSE,ISNUMBER(VALUE(Metadata!K343))),Metadata!K343&gt;0))</f>
        <v>0</v>
      </c>
      <c r="AM343">
        <f>AND(IF(Metadata!L343="",FALSE,TRUE),exact(Metadata!L343,"cm"))</f>
        <v>0</v>
      </c>
      <c r="AN343">
        <f>IF(Metadata!M343="",FALSE,TRUE)</f>
        <v>0</v>
      </c>
      <c r="AO343">
        <f>OR(AND(IF(Metadata!N343="",FALSE,TRUE),OR(exact(Metadata!N343,"not applicable"),exact(Metadata!N343,"not collected"),exact(Metadata!N343,"not provided"))),AND(IF(Metadata!N343="",FALSE,IF(ISERROR(INT(Metadata!N343)),FALSE,INT(Metadata!N343)=Metadata!N343)),Metadata!N343&gt;0))</f>
        <v>0</v>
      </c>
      <c r="AP343">
        <f>OR(AND(IF(Metadata!O343="",FALSE,TRUE),OR(exact(Metadata!O343,"not collected"),exact(Metadata!O343,"not provided"))),AND(IF(Metadata!O343="",FALSE,ISNUMBER(VALUE(Metadata!O343))),Metadata!O343&gt;0))</f>
        <v>0</v>
      </c>
      <c r="AQ343">
        <f>AND(IF(Metadata!P343="",FALSE,TRUE),exact(Metadata!P343,"kg"))</f>
        <v>0</v>
      </c>
      <c r="AR343">
        <f>OR(AND(IF(Metadata!Q343="",FALSE,TRUE),OR(exact(Metadata!Q343,"not applicable"),exact(Metadata!Q343,"not collected"),exact(Metadata!Q343,"not provided"),exact(Metadata!Q343,"restricted access"))),IF(Metadata!Q343="",FALSE,IF(ISERROR(INT(Metadata!Q343)),FALSE,INT(Metadata!Q343)=Metadata!Q343)))</f>
        <v>0</v>
      </c>
      <c r="AS343">
        <f>AND(IF(Metadata!R343="",FALSE,TRUE),exact(Metadata!R343,"Not applicable"))</f>
        <v>0</v>
      </c>
    </row>
    <row r="344" spans="1:45">
      <c r="A344" s="4">
        <f>IF(B344=" "," ",HYPERLINK(CONCATENATE("#metadata!",ADDRESS(INDEX($X$2:$X$1001,MATCH(ROWS($V$2:V344),$V$2:$V$1001,0),0),2)),INDEX($AA$2:$AA$1001,MATCH(ROWS($V$2:V344),$V$2:$V$1001,0),0)))</f>
        <v>0</v>
      </c>
      <c r="B344" s="5">
        <f>IF(OR(INDEX($W$2:$W$1001,MATCH(ROWS($V$2:V344),$V$2:$V$1001,0),1)&gt;=100000,INDEX($AC$1005:$AS$1005,1,MATCH(COLUMNS($AC$1006:AC1006),$AC$1006:$AS$1006,0))&gt;=100000), " ",IF(INDEX($AC$2:$AS$1001,MATCH(ROWS($V$2:V344),$V$2:$V$1001,0),MATCH(COLUMNS($AC$1006:AC1006),$AC$1006:$AS$1006,0)), HYPERLINK("#",""), HYPERLINK(CONCATENATE("#Metadata!", ADDRESS(INDEX($X$2:$X$1001,MATCH(ROWS($V$2:V344),$V$2:$V$1001,0),0), INDEX($AC$1004:$AS$1004,1,MATCH(COLUMNS($AC$1006:AC1006),$AC$1006:$AS$1006,0)))),"Fix")))</f>
        <v>0</v>
      </c>
      <c r="C344" s="5">
        <f>IF(OR(INDEX($W$2:$W$1001,MATCH(ROWS($V$2:V344),$V$2:$V$1001,0),1)&gt;=100000,INDEX($AC$1005:$AS$1005,1,MATCH(COLUMNS($AC$1006:AD1006),$AC$1006:$AS$1006,0))&gt;=100000), " ",IF(INDEX($AC$2:$AS$1001,MATCH(ROWS($V$2:V344),$V$2:$V$1001,0),MATCH(COLUMNS($AC$1006:AD1006),$AC$1006:$AS$1006,0)), HYPERLINK("#",""), HYPERLINK(CONCATENATE("#Metadata!", ADDRESS(INDEX($X$2:$X$1001,MATCH(ROWS($V$2:V344),$V$2:$V$1001,0),0), INDEX($AC$1004:$AS$1004,1,MATCH(COLUMNS($AC$1006:AD1006),$AC$1006:$AS$1006,0)))),"Fix")))</f>
        <v>0</v>
      </c>
      <c r="D344" s="5">
        <f>IF(OR(INDEX($W$2:$W$1001,MATCH(ROWS($V$2:V344),$V$2:$V$1001,0),1)&gt;=100000,INDEX($AC$1005:$AS$1005,1,MATCH(COLUMNS($AC$1006:AE1006),$AC$1006:$AS$1006,0))&gt;=100000), " ",IF(INDEX($AC$2:$AS$1001,MATCH(ROWS($V$2:V344),$V$2:$V$1001,0),MATCH(COLUMNS($AC$1006:AE1006),$AC$1006:$AS$1006,0)), HYPERLINK("#",""), HYPERLINK(CONCATENATE("#Metadata!", ADDRESS(INDEX($X$2:$X$1001,MATCH(ROWS($V$2:V344),$V$2:$V$1001,0),0), INDEX($AC$1004:$AS$1004,1,MATCH(COLUMNS($AC$1006:AE1006),$AC$1006:$AS$1006,0)))),"Fix")))</f>
        <v>0</v>
      </c>
      <c r="E344" s="5">
        <f>IF(OR(INDEX($W$2:$W$1001,MATCH(ROWS($V$2:V344),$V$2:$V$1001,0),1)&gt;=100000,INDEX($AC$1005:$AS$1005,1,MATCH(COLUMNS($AC$1006:AF1006),$AC$1006:$AS$1006,0))&gt;=100000), " ",IF(INDEX($AC$2:$AS$1001,MATCH(ROWS($V$2:V344),$V$2:$V$1001,0),MATCH(COLUMNS($AC$1006:AF1006),$AC$1006:$AS$1006,0)), HYPERLINK("#",""), HYPERLINK(CONCATENATE("#Metadata!", ADDRESS(INDEX($X$2:$X$1001,MATCH(ROWS($V$2:V344),$V$2:$V$1001,0),0), INDEX($AC$1004:$AS$1004,1,MATCH(COLUMNS($AC$1006:AF1006),$AC$1006:$AS$1006,0)))),"Fix")))</f>
        <v>0</v>
      </c>
      <c r="F344" s="5">
        <f>IF(OR(INDEX($W$2:$W$1001,MATCH(ROWS($V$2:V344),$V$2:$V$1001,0),1)&gt;=100000,INDEX($AC$1005:$AS$1005,1,MATCH(COLUMNS($AC$1006:AG1006),$AC$1006:$AS$1006,0))&gt;=100000), " ",IF(INDEX($AC$2:$AS$1001,MATCH(ROWS($V$2:V344),$V$2:$V$1001,0),MATCH(COLUMNS($AC$1006:AG1006),$AC$1006:$AS$1006,0)), HYPERLINK("#",""), HYPERLINK(CONCATENATE("#Metadata!", ADDRESS(INDEX($X$2:$X$1001,MATCH(ROWS($V$2:V344),$V$2:$V$1001,0),0), INDEX($AC$1004:$AS$1004,1,MATCH(COLUMNS($AC$1006:AG1006),$AC$1006:$AS$1006,0)))),"Fix")))</f>
        <v>0</v>
      </c>
      <c r="G344" s="5">
        <f>IF(OR(INDEX($W$2:$W$1001,MATCH(ROWS($V$2:V344),$V$2:$V$1001,0),1)&gt;=100000,INDEX($AC$1005:$AS$1005,1,MATCH(COLUMNS($AC$1006:AH1006),$AC$1006:$AS$1006,0))&gt;=100000), " ",IF(INDEX($AC$2:$AS$1001,MATCH(ROWS($V$2:V344),$V$2:$V$1001,0),MATCH(COLUMNS($AC$1006:AH1006),$AC$1006:$AS$1006,0)), HYPERLINK("#",""), HYPERLINK(CONCATENATE("#Metadata!", ADDRESS(INDEX($X$2:$X$1001,MATCH(ROWS($V$2:V344),$V$2:$V$1001,0),0), INDEX($AC$1004:$AS$1004,1,MATCH(COLUMNS($AC$1006:AH1006),$AC$1006:$AS$1006,0)))),"Fix")))</f>
        <v>0</v>
      </c>
      <c r="H344" s="5">
        <f>IF(OR(INDEX($W$2:$W$1001,MATCH(ROWS($V$2:V344),$V$2:$V$1001,0),1)&gt;=100000,INDEX($AC$1005:$AS$1005,1,MATCH(COLUMNS($AC$1006:AI1006),$AC$1006:$AS$1006,0))&gt;=100000), " ",IF(INDEX($AC$2:$AS$1001,MATCH(ROWS($V$2:V344),$V$2:$V$1001,0),MATCH(COLUMNS($AC$1006:AI1006),$AC$1006:$AS$1006,0)), HYPERLINK("#",""), HYPERLINK(CONCATENATE("#Metadata!", ADDRESS(INDEX($X$2:$X$1001,MATCH(ROWS($V$2:V344),$V$2:$V$1001,0),0), INDEX($AC$1004:$AS$1004,1,MATCH(COLUMNS($AC$1006:AI1006),$AC$1006:$AS$1006,0)))),"Fix")))</f>
        <v>0</v>
      </c>
      <c r="I344" s="5">
        <f>IF(OR(INDEX($W$2:$W$1001,MATCH(ROWS($V$2:V344),$V$2:$V$1001,0),1)&gt;=100000,INDEX($AC$1005:$AS$1005,1,MATCH(COLUMNS($AC$1006:AJ1006),$AC$1006:$AS$1006,0))&gt;=100000), " ",IF(INDEX($AC$2:$AS$1001,MATCH(ROWS($V$2:V344),$V$2:$V$1001,0),MATCH(COLUMNS($AC$1006:AJ1006),$AC$1006:$AS$1006,0)), HYPERLINK("#",""), HYPERLINK(CONCATENATE("#Metadata!", ADDRESS(INDEX($X$2:$X$1001,MATCH(ROWS($V$2:V344),$V$2:$V$1001,0),0), INDEX($AC$1004:$AS$1004,1,MATCH(COLUMNS($AC$1006:AJ1006),$AC$1006:$AS$1006,0)))),"Fix")))</f>
        <v>0</v>
      </c>
      <c r="J344" s="5">
        <f>IF(OR(INDEX($W$2:$W$1001,MATCH(ROWS($V$2:V344),$V$2:$V$1001,0),1)&gt;=100000,INDEX($AC$1005:$AS$1005,1,MATCH(COLUMNS($AC$1006:AK1006),$AC$1006:$AS$1006,0))&gt;=100000), " ",IF(INDEX($AC$2:$AS$1001,MATCH(ROWS($V$2:V344),$V$2:$V$1001,0),MATCH(COLUMNS($AC$1006:AK1006),$AC$1006:$AS$1006,0)), HYPERLINK("#",""), HYPERLINK(CONCATENATE("#Metadata!", ADDRESS(INDEX($X$2:$X$1001,MATCH(ROWS($V$2:V344),$V$2:$V$1001,0),0), INDEX($AC$1004:$AS$1004,1,MATCH(COLUMNS($AC$1006:AK1006),$AC$1006:$AS$1006,0)))),"Fix")))</f>
        <v>0</v>
      </c>
      <c r="K344" s="5">
        <f>IF(OR(INDEX($W$2:$W$1001,MATCH(ROWS($V$2:V344),$V$2:$V$1001,0),1)&gt;=100000,INDEX($AC$1005:$AS$1005,1,MATCH(COLUMNS($AC$1006:AL1006),$AC$1006:$AS$1006,0))&gt;=100000), " ",IF(INDEX($AC$2:$AS$1001,MATCH(ROWS($V$2:V344),$V$2:$V$1001,0),MATCH(COLUMNS($AC$1006:AL1006),$AC$1006:$AS$1006,0)), HYPERLINK("#",""), HYPERLINK(CONCATENATE("#Metadata!", ADDRESS(INDEX($X$2:$X$1001,MATCH(ROWS($V$2:V344),$V$2:$V$1001,0),0), INDEX($AC$1004:$AS$1004,1,MATCH(COLUMNS($AC$1006:AL1006),$AC$1006:$AS$1006,0)))),"Fix")))</f>
        <v>0</v>
      </c>
      <c r="L344" s="5">
        <f>IF(OR(INDEX($W$2:$W$1001,MATCH(ROWS($V$2:V344),$V$2:$V$1001,0),1)&gt;=100000,INDEX($AC$1005:$AS$1005,1,MATCH(COLUMNS($AC$1006:AM1006),$AC$1006:$AS$1006,0))&gt;=100000), " ",IF(INDEX($AC$2:$AS$1001,MATCH(ROWS($V$2:V344),$V$2:$V$1001,0),MATCH(COLUMNS($AC$1006:AM1006),$AC$1006:$AS$1006,0)), HYPERLINK("#",""), HYPERLINK(CONCATENATE("#Metadata!", ADDRESS(INDEX($X$2:$X$1001,MATCH(ROWS($V$2:V344),$V$2:$V$1001,0),0), INDEX($AC$1004:$AS$1004,1,MATCH(COLUMNS($AC$1006:AM1006),$AC$1006:$AS$1006,0)))),"Fix")))</f>
        <v>0</v>
      </c>
      <c r="M344" s="5">
        <f>IF(OR(INDEX($W$2:$W$1001,MATCH(ROWS($V$2:V344),$V$2:$V$1001,0),1)&gt;=100000,INDEX($AC$1005:$AS$1005,1,MATCH(COLUMNS($AC$1006:AN1006),$AC$1006:$AS$1006,0))&gt;=100000), " ",IF(INDEX($AC$2:$AS$1001,MATCH(ROWS($V$2:V344),$V$2:$V$1001,0),MATCH(COLUMNS($AC$1006:AN1006),$AC$1006:$AS$1006,0)), HYPERLINK("#",""), HYPERLINK(CONCATENATE("#Metadata!", ADDRESS(INDEX($X$2:$X$1001,MATCH(ROWS($V$2:V344),$V$2:$V$1001,0),0), INDEX($AC$1004:$AS$1004,1,MATCH(COLUMNS($AC$1006:AN1006),$AC$1006:$AS$1006,0)))),"Fix")))</f>
        <v>0</v>
      </c>
      <c r="N344" s="5">
        <f>IF(OR(INDEX($W$2:$W$1001,MATCH(ROWS($V$2:V344),$V$2:$V$1001,0),1)&gt;=100000,INDEX($AC$1005:$AS$1005,1,MATCH(COLUMNS($AC$1006:AO1006),$AC$1006:$AS$1006,0))&gt;=100000), " ",IF(INDEX($AC$2:$AS$1001,MATCH(ROWS($V$2:V344),$V$2:$V$1001,0),MATCH(COLUMNS($AC$1006:AO1006),$AC$1006:$AS$1006,0)), HYPERLINK("#",""), HYPERLINK(CONCATENATE("#Metadata!", ADDRESS(INDEX($X$2:$X$1001,MATCH(ROWS($V$2:V344),$V$2:$V$1001,0),0), INDEX($AC$1004:$AS$1004,1,MATCH(COLUMNS($AC$1006:AO1006),$AC$1006:$AS$1006,0)))),"Fix")))</f>
        <v>0</v>
      </c>
      <c r="O344" s="5">
        <f>IF(OR(INDEX($W$2:$W$1001,MATCH(ROWS($V$2:V344),$V$2:$V$1001,0),1)&gt;=100000,INDEX($AC$1005:$AS$1005,1,MATCH(COLUMNS($AC$1006:AP1006),$AC$1006:$AS$1006,0))&gt;=100000), " ",IF(INDEX($AC$2:$AS$1001,MATCH(ROWS($V$2:V344),$V$2:$V$1001,0),MATCH(COLUMNS($AC$1006:AP1006),$AC$1006:$AS$1006,0)), HYPERLINK("#",""), HYPERLINK(CONCATENATE("#Metadata!", ADDRESS(INDEX($X$2:$X$1001,MATCH(ROWS($V$2:V344),$V$2:$V$1001,0),0), INDEX($AC$1004:$AS$1004,1,MATCH(COLUMNS($AC$1006:AP1006),$AC$1006:$AS$1006,0)))),"Fix")))</f>
        <v>0</v>
      </c>
      <c r="P344" s="5">
        <f>IF(OR(INDEX($W$2:$W$1001,MATCH(ROWS($V$2:V344),$V$2:$V$1001,0),1)&gt;=100000,INDEX($AC$1005:$AS$1005,1,MATCH(COLUMNS($AC$1006:AQ1006),$AC$1006:$AS$1006,0))&gt;=100000), " ",IF(INDEX($AC$2:$AS$1001,MATCH(ROWS($V$2:V344),$V$2:$V$1001,0),MATCH(COLUMNS($AC$1006:AQ1006),$AC$1006:$AS$1006,0)), HYPERLINK("#",""), HYPERLINK(CONCATENATE("#Metadata!", ADDRESS(INDEX($X$2:$X$1001,MATCH(ROWS($V$2:V344),$V$2:$V$1001,0),0), INDEX($AC$1004:$AS$1004,1,MATCH(COLUMNS($AC$1006:AQ1006),$AC$1006:$AS$1006,0)))),"Fix")))</f>
        <v>0</v>
      </c>
      <c r="Q344" s="5">
        <f>IF(OR(INDEX($W$2:$W$1001,MATCH(ROWS($V$2:V344),$V$2:$V$1001,0),1)&gt;=100000,INDEX($AC$1005:$AS$1005,1,MATCH(COLUMNS($AC$1006:AR1006),$AC$1006:$AS$1006,0))&gt;=100000), " ",IF(INDEX($AC$2:$AS$1001,MATCH(ROWS($V$2:V344),$V$2:$V$1001,0),MATCH(COLUMNS($AC$1006:AR1006),$AC$1006:$AS$1006,0)), HYPERLINK("#",""), HYPERLINK(CONCATENATE("#Metadata!", ADDRESS(INDEX($X$2:$X$1001,MATCH(ROWS($V$2:V344),$V$2:$V$1001,0),0), INDEX($AC$1004:$AS$1004,1,MATCH(COLUMNS($AC$1006:AR1006),$AC$1006:$AS$1006,0)))),"Fix")))</f>
        <v>0</v>
      </c>
      <c r="R344" s="5">
        <f>IF(OR(INDEX($W$2:$W$1001,MATCH(ROWS($V$2:V344),$V$2:$V$1001,0),1)&gt;=100000,INDEX($AC$1005:$AS$1005,1,MATCH(COLUMNS($AC$1006:AS1006),$AC$1006:$AS$1006,0))&gt;=100000), " ",IF(INDEX($AC$2:$AS$1001,MATCH(ROWS($V$2:V344),$V$2:$V$1001,0),MATCH(COLUMNS($AC$1006:AS1006),$AC$1006:$AS$1006,0)), HYPERLINK("#",""), HYPERLINK(CONCATENATE("#Metadata!", ADDRESS(INDEX($X$2:$X$1001,MATCH(ROWS($V$2:V344),$V$2:$V$1001,0),0), INDEX($AC$1004:$AS$1004,1,MATCH(COLUMNS($AC$1006:AS1006),$AC$1006:$AS$1006,0)))),"Fix")))</f>
        <v>0</v>
      </c>
      <c r="V344">
        <v>0</v>
      </c>
      <c r="W344">
        <v>0</v>
      </c>
      <c r="X344">
        <v>0</v>
      </c>
      <c r="Y344">
        <f>IF(Z344,TRUE,AND(AC344:AS344))</f>
        <v>0</v>
      </c>
      <c r="Z344">
        <f>COUNTBLANK(Metadata!B344:R344)=COLUMNS(Metadata!B344:R344)</f>
        <v>0</v>
      </c>
      <c r="AA344">
        <v>0</v>
      </c>
      <c r="AC344">
        <f>AND(IF(Metadata!B344="",FALSE,TRUE),COUNTIF(Metadata!B:B, Metadata!B344) = 1,NOT(ISERROR(SUMPRODUCT(SEARCH(MID(Metadata!B344,ROW(INDIRECT("1:"&amp;LEN(Metadata!B344))), 1),"0123456789abcdefghijklmnopqrstuvwxyzABCDEFGHIJKLMNOPQRSTUVWXYZ.")))))</f>
        <v>0</v>
      </c>
      <c r="AD344">
        <f>AND(IF(Metadata!C344="",FALSE,TRUE),exact(Metadata!C344,"Host-associated"))</f>
        <v>0</v>
      </c>
      <c r="AE344">
        <f>AND(IF(Metadata!D344="",FALSE,TRUE),OR(exact(Metadata!D344,"Animal"),exact(Metadata!D344,"Fungus"),exact(Metadata!D344,"Plant")))</f>
        <v>0</v>
      </c>
      <c r="AF344">
        <f>AND(IF(Metadata!E344="",FALSE,TRUE),OR(exact(Metadata!E344,"Plant secretion"),exact(Metadata!E344,"Plant rhizosphere"),exact(Metadata!E344,"Plant surface"),exact(Metadata!E344,"Plant corpus"),exact(Metadata!E344,"Fungus surface"),exact(Metadata!E344,"Fungus corpus"),exact(Metadata!E344,"Animal surface"),exact(Metadata!E344,"Animal proximal gut"),exact(Metadata!E344,"Animal corpus"),exact(Metadata!E344,"Animal distal gut"),exact(Metadata!E344,"Animal secretion")))</f>
        <v>0</v>
      </c>
      <c r="AG344">
        <f>OR(AND(IF(Metadata!F344="",FALSE,TRUE),OR(exact(Metadata!F344,"not collected"),exact(Metadata!F344,"not provided"),exact(Metadata!F344,"restricted access"))),AND(IF(Metadata!F344="",FALSE,TRUE),OR(exact(Metadata!F344,"organism-associated habitat"),exact(Metadata!F344,"plant-associated habitat"),exact(Metadata!F344,"animal-associated habitat"),exact(Metadata!F344,"insecta-associated habitat"),exact(Metadata!F344,"mammalia-associated habitat"),exact(Metadata!F344,"human-associated habitat"),exact(Metadata!F344,"livestock-associated habitat"))))</f>
        <v>0</v>
      </c>
      <c r="AH344">
        <f>AND(IF(Metadata!G344="",FALSE,TRUE),exact(Metadata!G344,"host-associated"))</f>
        <v>0</v>
      </c>
      <c r="AI344">
        <f>OR(AND(IF(Metadata!H344="",FALSE,TRUE),OR(exact(Metadata!H344,"not collected"),exact(Metadata!H344,"not provided"))),AND(IF(Metadata!H344="",FALSE,ISNUMBER(VALUE(Metadata!H344))),Metadata!H344&gt;0))</f>
        <v>0</v>
      </c>
      <c r="AJ344">
        <f>AND(IF(Metadata!I344="",FALSE,TRUE),exact(Metadata!I344,"years"))</f>
        <v>0</v>
      </c>
      <c r="AK344">
        <f>IF(Metadata!J344="",FALSE,TRUE)</f>
        <v>0</v>
      </c>
      <c r="AL344">
        <f>OR(AND(IF(Metadata!K344="",FALSE,TRUE),OR(exact(Metadata!K344,"not collected"),exact(Metadata!K344,"not provided"))),AND(IF(Metadata!K344="",FALSE,ISNUMBER(VALUE(Metadata!K344))),Metadata!K344&gt;0))</f>
        <v>0</v>
      </c>
      <c r="AM344">
        <f>AND(IF(Metadata!L344="",FALSE,TRUE),exact(Metadata!L344,"cm"))</f>
        <v>0</v>
      </c>
      <c r="AN344">
        <f>IF(Metadata!M344="",FALSE,TRUE)</f>
        <v>0</v>
      </c>
      <c r="AO344">
        <f>OR(AND(IF(Metadata!N344="",FALSE,TRUE),OR(exact(Metadata!N344,"not applicable"),exact(Metadata!N344,"not collected"),exact(Metadata!N344,"not provided"))),AND(IF(Metadata!N344="",FALSE,IF(ISERROR(INT(Metadata!N344)),FALSE,INT(Metadata!N344)=Metadata!N344)),Metadata!N344&gt;0))</f>
        <v>0</v>
      </c>
      <c r="AP344">
        <f>OR(AND(IF(Metadata!O344="",FALSE,TRUE),OR(exact(Metadata!O344,"not collected"),exact(Metadata!O344,"not provided"))),AND(IF(Metadata!O344="",FALSE,ISNUMBER(VALUE(Metadata!O344))),Metadata!O344&gt;0))</f>
        <v>0</v>
      </c>
      <c r="AQ344">
        <f>AND(IF(Metadata!P344="",FALSE,TRUE),exact(Metadata!P344,"kg"))</f>
        <v>0</v>
      </c>
      <c r="AR344">
        <f>OR(AND(IF(Metadata!Q344="",FALSE,TRUE),OR(exact(Metadata!Q344,"not applicable"),exact(Metadata!Q344,"not collected"),exact(Metadata!Q344,"not provided"),exact(Metadata!Q344,"restricted access"))),IF(Metadata!Q344="",FALSE,IF(ISERROR(INT(Metadata!Q344)),FALSE,INT(Metadata!Q344)=Metadata!Q344)))</f>
        <v>0</v>
      </c>
      <c r="AS344">
        <f>AND(IF(Metadata!R344="",FALSE,TRUE),exact(Metadata!R344,"Not applicable"))</f>
        <v>0</v>
      </c>
    </row>
    <row r="345" spans="1:45">
      <c r="A345" s="4">
        <f>IF(B345=" "," ",HYPERLINK(CONCATENATE("#metadata!",ADDRESS(INDEX($X$2:$X$1001,MATCH(ROWS($V$2:V345),$V$2:$V$1001,0),0),2)),INDEX($AA$2:$AA$1001,MATCH(ROWS($V$2:V345),$V$2:$V$1001,0),0)))</f>
        <v>0</v>
      </c>
      <c r="B345" s="5">
        <f>IF(OR(INDEX($W$2:$W$1001,MATCH(ROWS($V$2:V345),$V$2:$V$1001,0),1)&gt;=100000,INDEX($AC$1005:$AS$1005,1,MATCH(COLUMNS($AC$1006:AC1006),$AC$1006:$AS$1006,0))&gt;=100000), " ",IF(INDEX($AC$2:$AS$1001,MATCH(ROWS($V$2:V345),$V$2:$V$1001,0),MATCH(COLUMNS($AC$1006:AC1006),$AC$1006:$AS$1006,0)), HYPERLINK("#",""), HYPERLINK(CONCATENATE("#Metadata!", ADDRESS(INDEX($X$2:$X$1001,MATCH(ROWS($V$2:V345),$V$2:$V$1001,0),0), INDEX($AC$1004:$AS$1004,1,MATCH(COLUMNS($AC$1006:AC1006),$AC$1006:$AS$1006,0)))),"Fix")))</f>
        <v>0</v>
      </c>
      <c r="C345" s="5">
        <f>IF(OR(INDEX($W$2:$W$1001,MATCH(ROWS($V$2:V345),$V$2:$V$1001,0),1)&gt;=100000,INDEX($AC$1005:$AS$1005,1,MATCH(COLUMNS($AC$1006:AD1006),$AC$1006:$AS$1006,0))&gt;=100000), " ",IF(INDEX($AC$2:$AS$1001,MATCH(ROWS($V$2:V345),$V$2:$V$1001,0),MATCH(COLUMNS($AC$1006:AD1006),$AC$1006:$AS$1006,0)), HYPERLINK("#",""), HYPERLINK(CONCATENATE("#Metadata!", ADDRESS(INDEX($X$2:$X$1001,MATCH(ROWS($V$2:V345),$V$2:$V$1001,0),0), INDEX($AC$1004:$AS$1004,1,MATCH(COLUMNS($AC$1006:AD1006),$AC$1006:$AS$1006,0)))),"Fix")))</f>
        <v>0</v>
      </c>
      <c r="D345" s="5">
        <f>IF(OR(INDEX($W$2:$W$1001,MATCH(ROWS($V$2:V345),$V$2:$V$1001,0),1)&gt;=100000,INDEX($AC$1005:$AS$1005,1,MATCH(COLUMNS($AC$1006:AE1006),$AC$1006:$AS$1006,0))&gt;=100000), " ",IF(INDEX($AC$2:$AS$1001,MATCH(ROWS($V$2:V345),$V$2:$V$1001,0),MATCH(COLUMNS($AC$1006:AE1006),$AC$1006:$AS$1006,0)), HYPERLINK("#",""), HYPERLINK(CONCATENATE("#Metadata!", ADDRESS(INDEX($X$2:$X$1001,MATCH(ROWS($V$2:V345),$V$2:$V$1001,0),0), INDEX($AC$1004:$AS$1004,1,MATCH(COLUMNS($AC$1006:AE1006),$AC$1006:$AS$1006,0)))),"Fix")))</f>
        <v>0</v>
      </c>
      <c r="E345" s="5">
        <f>IF(OR(INDEX($W$2:$W$1001,MATCH(ROWS($V$2:V345),$V$2:$V$1001,0),1)&gt;=100000,INDEX($AC$1005:$AS$1005,1,MATCH(COLUMNS($AC$1006:AF1006),$AC$1006:$AS$1006,0))&gt;=100000), " ",IF(INDEX($AC$2:$AS$1001,MATCH(ROWS($V$2:V345),$V$2:$V$1001,0),MATCH(COLUMNS($AC$1006:AF1006),$AC$1006:$AS$1006,0)), HYPERLINK("#",""), HYPERLINK(CONCATENATE("#Metadata!", ADDRESS(INDEX($X$2:$X$1001,MATCH(ROWS($V$2:V345),$V$2:$V$1001,0),0), INDEX($AC$1004:$AS$1004,1,MATCH(COLUMNS($AC$1006:AF1006),$AC$1006:$AS$1006,0)))),"Fix")))</f>
        <v>0</v>
      </c>
      <c r="F345" s="5">
        <f>IF(OR(INDEX($W$2:$W$1001,MATCH(ROWS($V$2:V345),$V$2:$V$1001,0),1)&gt;=100000,INDEX($AC$1005:$AS$1005,1,MATCH(COLUMNS($AC$1006:AG1006),$AC$1006:$AS$1006,0))&gt;=100000), " ",IF(INDEX($AC$2:$AS$1001,MATCH(ROWS($V$2:V345),$V$2:$V$1001,0),MATCH(COLUMNS($AC$1006:AG1006),$AC$1006:$AS$1006,0)), HYPERLINK("#",""), HYPERLINK(CONCATENATE("#Metadata!", ADDRESS(INDEX($X$2:$X$1001,MATCH(ROWS($V$2:V345),$V$2:$V$1001,0),0), INDEX($AC$1004:$AS$1004,1,MATCH(COLUMNS($AC$1006:AG1006),$AC$1006:$AS$1006,0)))),"Fix")))</f>
        <v>0</v>
      </c>
      <c r="G345" s="5">
        <f>IF(OR(INDEX($W$2:$W$1001,MATCH(ROWS($V$2:V345),$V$2:$V$1001,0),1)&gt;=100000,INDEX($AC$1005:$AS$1005,1,MATCH(COLUMNS($AC$1006:AH1006),$AC$1006:$AS$1006,0))&gt;=100000), " ",IF(INDEX($AC$2:$AS$1001,MATCH(ROWS($V$2:V345),$V$2:$V$1001,0),MATCH(COLUMNS($AC$1006:AH1006),$AC$1006:$AS$1006,0)), HYPERLINK("#",""), HYPERLINK(CONCATENATE("#Metadata!", ADDRESS(INDEX($X$2:$X$1001,MATCH(ROWS($V$2:V345),$V$2:$V$1001,0),0), INDEX($AC$1004:$AS$1004,1,MATCH(COLUMNS($AC$1006:AH1006),$AC$1006:$AS$1006,0)))),"Fix")))</f>
        <v>0</v>
      </c>
      <c r="H345" s="5">
        <f>IF(OR(INDEX($W$2:$W$1001,MATCH(ROWS($V$2:V345),$V$2:$V$1001,0),1)&gt;=100000,INDEX($AC$1005:$AS$1005,1,MATCH(COLUMNS($AC$1006:AI1006),$AC$1006:$AS$1006,0))&gt;=100000), " ",IF(INDEX($AC$2:$AS$1001,MATCH(ROWS($V$2:V345),$V$2:$V$1001,0),MATCH(COLUMNS($AC$1006:AI1006),$AC$1006:$AS$1006,0)), HYPERLINK("#",""), HYPERLINK(CONCATENATE("#Metadata!", ADDRESS(INDEX($X$2:$X$1001,MATCH(ROWS($V$2:V345),$V$2:$V$1001,0),0), INDEX($AC$1004:$AS$1004,1,MATCH(COLUMNS($AC$1006:AI1006),$AC$1006:$AS$1006,0)))),"Fix")))</f>
        <v>0</v>
      </c>
      <c r="I345" s="5">
        <f>IF(OR(INDEX($W$2:$W$1001,MATCH(ROWS($V$2:V345),$V$2:$V$1001,0),1)&gt;=100000,INDEX($AC$1005:$AS$1005,1,MATCH(COLUMNS($AC$1006:AJ1006),$AC$1006:$AS$1006,0))&gt;=100000), " ",IF(INDEX($AC$2:$AS$1001,MATCH(ROWS($V$2:V345),$V$2:$V$1001,0),MATCH(COLUMNS($AC$1006:AJ1006),$AC$1006:$AS$1006,0)), HYPERLINK("#",""), HYPERLINK(CONCATENATE("#Metadata!", ADDRESS(INDEX($X$2:$X$1001,MATCH(ROWS($V$2:V345),$V$2:$V$1001,0),0), INDEX($AC$1004:$AS$1004,1,MATCH(COLUMNS($AC$1006:AJ1006),$AC$1006:$AS$1006,0)))),"Fix")))</f>
        <v>0</v>
      </c>
      <c r="J345" s="5">
        <f>IF(OR(INDEX($W$2:$W$1001,MATCH(ROWS($V$2:V345),$V$2:$V$1001,0),1)&gt;=100000,INDEX($AC$1005:$AS$1005,1,MATCH(COLUMNS($AC$1006:AK1006),$AC$1006:$AS$1006,0))&gt;=100000), " ",IF(INDEX($AC$2:$AS$1001,MATCH(ROWS($V$2:V345),$V$2:$V$1001,0),MATCH(COLUMNS($AC$1006:AK1006),$AC$1006:$AS$1006,0)), HYPERLINK("#",""), HYPERLINK(CONCATENATE("#Metadata!", ADDRESS(INDEX($X$2:$X$1001,MATCH(ROWS($V$2:V345),$V$2:$V$1001,0),0), INDEX($AC$1004:$AS$1004,1,MATCH(COLUMNS($AC$1006:AK1006),$AC$1006:$AS$1006,0)))),"Fix")))</f>
        <v>0</v>
      </c>
      <c r="K345" s="5">
        <f>IF(OR(INDEX($W$2:$W$1001,MATCH(ROWS($V$2:V345),$V$2:$V$1001,0),1)&gt;=100000,INDEX($AC$1005:$AS$1005,1,MATCH(COLUMNS($AC$1006:AL1006),$AC$1006:$AS$1006,0))&gt;=100000), " ",IF(INDEX($AC$2:$AS$1001,MATCH(ROWS($V$2:V345),$V$2:$V$1001,0),MATCH(COLUMNS($AC$1006:AL1006),$AC$1006:$AS$1006,0)), HYPERLINK("#",""), HYPERLINK(CONCATENATE("#Metadata!", ADDRESS(INDEX($X$2:$X$1001,MATCH(ROWS($V$2:V345),$V$2:$V$1001,0),0), INDEX($AC$1004:$AS$1004,1,MATCH(COLUMNS($AC$1006:AL1006),$AC$1006:$AS$1006,0)))),"Fix")))</f>
        <v>0</v>
      </c>
      <c r="L345" s="5">
        <f>IF(OR(INDEX($W$2:$W$1001,MATCH(ROWS($V$2:V345),$V$2:$V$1001,0),1)&gt;=100000,INDEX($AC$1005:$AS$1005,1,MATCH(COLUMNS($AC$1006:AM1006),$AC$1006:$AS$1006,0))&gt;=100000), " ",IF(INDEX($AC$2:$AS$1001,MATCH(ROWS($V$2:V345),$V$2:$V$1001,0),MATCH(COLUMNS($AC$1006:AM1006),$AC$1006:$AS$1006,0)), HYPERLINK("#",""), HYPERLINK(CONCATENATE("#Metadata!", ADDRESS(INDEX($X$2:$X$1001,MATCH(ROWS($V$2:V345),$V$2:$V$1001,0),0), INDEX($AC$1004:$AS$1004,1,MATCH(COLUMNS($AC$1006:AM1006),$AC$1006:$AS$1006,0)))),"Fix")))</f>
        <v>0</v>
      </c>
      <c r="M345" s="5">
        <f>IF(OR(INDEX($W$2:$W$1001,MATCH(ROWS($V$2:V345),$V$2:$V$1001,0),1)&gt;=100000,INDEX($AC$1005:$AS$1005,1,MATCH(COLUMNS($AC$1006:AN1006),$AC$1006:$AS$1006,0))&gt;=100000), " ",IF(INDEX($AC$2:$AS$1001,MATCH(ROWS($V$2:V345),$V$2:$V$1001,0),MATCH(COLUMNS($AC$1006:AN1006),$AC$1006:$AS$1006,0)), HYPERLINK("#",""), HYPERLINK(CONCATENATE("#Metadata!", ADDRESS(INDEX($X$2:$X$1001,MATCH(ROWS($V$2:V345),$V$2:$V$1001,0),0), INDEX($AC$1004:$AS$1004,1,MATCH(COLUMNS($AC$1006:AN1006),$AC$1006:$AS$1006,0)))),"Fix")))</f>
        <v>0</v>
      </c>
      <c r="N345" s="5">
        <f>IF(OR(INDEX($W$2:$W$1001,MATCH(ROWS($V$2:V345),$V$2:$V$1001,0),1)&gt;=100000,INDEX($AC$1005:$AS$1005,1,MATCH(COLUMNS($AC$1006:AO1006),$AC$1006:$AS$1006,0))&gt;=100000), " ",IF(INDEX($AC$2:$AS$1001,MATCH(ROWS($V$2:V345),$V$2:$V$1001,0),MATCH(COLUMNS($AC$1006:AO1006),$AC$1006:$AS$1006,0)), HYPERLINK("#",""), HYPERLINK(CONCATENATE("#Metadata!", ADDRESS(INDEX($X$2:$X$1001,MATCH(ROWS($V$2:V345),$V$2:$V$1001,0),0), INDEX($AC$1004:$AS$1004,1,MATCH(COLUMNS($AC$1006:AO1006),$AC$1006:$AS$1006,0)))),"Fix")))</f>
        <v>0</v>
      </c>
      <c r="O345" s="5">
        <f>IF(OR(INDEX($W$2:$W$1001,MATCH(ROWS($V$2:V345),$V$2:$V$1001,0),1)&gt;=100000,INDEX($AC$1005:$AS$1005,1,MATCH(COLUMNS($AC$1006:AP1006),$AC$1006:$AS$1006,0))&gt;=100000), " ",IF(INDEX($AC$2:$AS$1001,MATCH(ROWS($V$2:V345),$V$2:$V$1001,0),MATCH(COLUMNS($AC$1006:AP1006),$AC$1006:$AS$1006,0)), HYPERLINK("#",""), HYPERLINK(CONCATENATE("#Metadata!", ADDRESS(INDEX($X$2:$X$1001,MATCH(ROWS($V$2:V345),$V$2:$V$1001,0),0), INDEX($AC$1004:$AS$1004,1,MATCH(COLUMNS($AC$1006:AP1006),$AC$1006:$AS$1006,0)))),"Fix")))</f>
        <v>0</v>
      </c>
      <c r="P345" s="5">
        <f>IF(OR(INDEX($W$2:$W$1001,MATCH(ROWS($V$2:V345),$V$2:$V$1001,0),1)&gt;=100000,INDEX($AC$1005:$AS$1005,1,MATCH(COLUMNS($AC$1006:AQ1006),$AC$1006:$AS$1006,0))&gt;=100000), " ",IF(INDEX($AC$2:$AS$1001,MATCH(ROWS($V$2:V345),$V$2:$V$1001,0),MATCH(COLUMNS($AC$1006:AQ1006),$AC$1006:$AS$1006,0)), HYPERLINK("#",""), HYPERLINK(CONCATENATE("#Metadata!", ADDRESS(INDEX($X$2:$X$1001,MATCH(ROWS($V$2:V345),$V$2:$V$1001,0),0), INDEX($AC$1004:$AS$1004,1,MATCH(COLUMNS($AC$1006:AQ1006),$AC$1006:$AS$1006,0)))),"Fix")))</f>
        <v>0</v>
      </c>
      <c r="Q345" s="5">
        <f>IF(OR(INDEX($W$2:$W$1001,MATCH(ROWS($V$2:V345),$V$2:$V$1001,0),1)&gt;=100000,INDEX($AC$1005:$AS$1005,1,MATCH(COLUMNS($AC$1006:AR1006),$AC$1006:$AS$1006,0))&gt;=100000), " ",IF(INDEX($AC$2:$AS$1001,MATCH(ROWS($V$2:V345),$V$2:$V$1001,0),MATCH(COLUMNS($AC$1006:AR1006),$AC$1006:$AS$1006,0)), HYPERLINK("#",""), HYPERLINK(CONCATENATE("#Metadata!", ADDRESS(INDEX($X$2:$X$1001,MATCH(ROWS($V$2:V345),$V$2:$V$1001,0),0), INDEX($AC$1004:$AS$1004,1,MATCH(COLUMNS($AC$1006:AR1006),$AC$1006:$AS$1006,0)))),"Fix")))</f>
        <v>0</v>
      </c>
      <c r="R345" s="5">
        <f>IF(OR(INDEX($W$2:$W$1001,MATCH(ROWS($V$2:V345),$V$2:$V$1001,0),1)&gt;=100000,INDEX($AC$1005:$AS$1005,1,MATCH(COLUMNS($AC$1006:AS1006),$AC$1006:$AS$1006,0))&gt;=100000), " ",IF(INDEX($AC$2:$AS$1001,MATCH(ROWS($V$2:V345),$V$2:$V$1001,0),MATCH(COLUMNS($AC$1006:AS1006),$AC$1006:$AS$1006,0)), HYPERLINK("#",""), HYPERLINK(CONCATENATE("#Metadata!", ADDRESS(INDEX($X$2:$X$1001,MATCH(ROWS($V$2:V345),$V$2:$V$1001,0),0), INDEX($AC$1004:$AS$1004,1,MATCH(COLUMNS($AC$1006:AS1006),$AC$1006:$AS$1006,0)))),"Fix")))</f>
        <v>0</v>
      </c>
      <c r="V345">
        <v>0</v>
      </c>
      <c r="W345">
        <v>0</v>
      </c>
      <c r="X345">
        <v>0</v>
      </c>
      <c r="Y345">
        <f>IF(Z345,TRUE,AND(AC345:AS345))</f>
        <v>0</v>
      </c>
      <c r="Z345">
        <f>COUNTBLANK(Metadata!B345:R345)=COLUMNS(Metadata!B345:R345)</f>
        <v>0</v>
      </c>
      <c r="AA345">
        <v>0</v>
      </c>
      <c r="AC345">
        <f>AND(IF(Metadata!B345="",FALSE,TRUE),COUNTIF(Metadata!B:B, Metadata!B345) = 1,NOT(ISERROR(SUMPRODUCT(SEARCH(MID(Metadata!B345,ROW(INDIRECT("1:"&amp;LEN(Metadata!B345))), 1),"0123456789abcdefghijklmnopqrstuvwxyzABCDEFGHIJKLMNOPQRSTUVWXYZ.")))))</f>
        <v>0</v>
      </c>
      <c r="AD345">
        <f>AND(IF(Metadata!C345="",FALSE,TRUE),exact(Metadata!C345,"Host-associated"))</f>
        <v>0</v>
      </c>
      <c r="AE345">
        <f>AND(IF(Metadata!D345="",FALSE,TRUE),OR(exact(Metadata!D345,"Animal"),exact(Metadata!D345,"Fungus"),exact(Metadata!D345,"Plant")))</f>
        <v>0</v>
      </c>
      <c r="AF345">
        <f>AND(IF(Metadata!E345="",FALSE,TRUE),OR(exact(Metadata!E345,"Plant secretion"),exact(Metadata!E345,"Plant rhizosphere"),exact(Metadata!E345,"Plant surface"),exact(Metadata!E345,"Plant corpus"),exact(Metadata!E345,"Fungus surface"),exact(Metadata!E345,"Fungus corpus"),exact(Metadata!E345,"Animal surface"),exact(Metadata!E345,"Animal proximal gut"),exact(Metadata!E345,"Animal corpus"),exact(Metadata!E345,"Animal distal gut"),exact(Metadata!E345,"Animal secretion")))</f>
        <v>0</v>
      </c>
      <c r="AG345">
        <f>OR(AND(IF(Metadata!F345="",FALSE,TRUE),OR(exact(Metadata!F345,"not collected"),exact(Metadata!F345,"not provided"),exact(Metadata!F345,"restricted access"))),AND(IF(Metadata!F345="",FALSE,TRUE),OR(exact(Metadata!F345,"organism-associated habitat"),exact(Metadata!F345,"plant-associated habitat"),exact(Metadata!F345,"animal-associated habitat"),exact(Metadata!F345,"insecta-associated habitat"),exact(Metadata!F345,"mammalia-associated habitat"),exact(Metadata!F345,"human-associated habitat"),exact(Metadata!F345,"livestock-associated habitat"))))</f>
        <v>0</v>
      </c>
      <c r="AH345">
        <f>AND(IF(Metadata!G345="",FALSE,TRUE),exact(Metadata!G345,"host-associated"))</f>
        <v>0</v>
      </c>
      <c r="AI345">
        <f>OR(AND(IF(Metadata!H345="",FALSE,TRUE),OR(exact(Metadata!H345,"not collected"),exact(Metadata!H345,"not provided"))),AND(IF(Metadata!H345="",FALSE,ISNUMBER(VALUE(Metadata!H345))),Metadata!H345&gt;0))</f>
        <v>0</v>
      </c>
      <c r="AJ345">
        <f>AND(IF(Metadata!I345="",FALSE,TRUE),exact(Metadata!I345,"years"))</f>
        <v>0</v>
      </c>
      <c r="AK345">
        <f>IF(Metadata!J345="",FALSE,TRUE)</f>
        <v>0</v>
      </c>
      <c r="AL345">
        <f>OR(AND(IF(Metadata!K345="",FALSE,TRUE),OR(exact(Metadata!K345,"not collected"),exact(Metadata!K345,"not provided"))),AND(IF(Metadata!K345="",FALSE,ISNUMBER(VALUE(Metadata!K345))),Metadata!K345&gt;0))</f>
        <v>0</v>
      </c>
      <c r="AM345">
        <f>AND(IF(Metadata!L345="",FALSE,TRUE),exact(Metadata!L345,"cm"))</f>
        <v>0</v>
      </c>
      <c r="AN345">
        <f>IF(Metadata!M345="",FALSE,TRUE)</f>
        <v>0</v>
      </c>
      <c r="AO345">
        <f>OR(AND(IF(Metadata!N345="",FALSE,TRUE),OR(exact(Metadata!N345,"not applicable"),exact(Metadata!N345,"not collected"),exact(Metadata!N345,"not provided"))),AND(IF(Metadata!N345="",FALSE,IF(ISERROR(INT(Metadata!N345)),FALSE,INT(Metadata!N345)=Metadata!N345)),Metadata!N345&gt;0))</f>
        <v>0</v>
      </c>
      <c r="AP345">
        <f>OR(AND(IF(Metadata!O345="",FALSE,TRUE),OR(exact(Metadata!O345,"not collected"),exact(Metadata!O345,"not provided"))),AND(IF(Metadata!O345="",FALSE,ISNUMBER(VALUE(Metadata!O345))),Metadata!O345&gt;0))</f>
        <v>0</v>
      </c>
      <c r="AQ345">
        <f>AND(IF(Metadata!P345="",FALSE,TRUE),exact(Metadata!P345,"kg"))</f>
        <v>0</v>
      </c>
      <c r="AR345">
        <f>OR(AND(IF(Metadata!Q345="",FALSE,TRUE),OR(exact(Metadata!Q345,"not applicable"),exact(Metadata!Q345,"not collected"),exact(Metadata!Q345,"not provided"),exact(Metadata!Q345,"restricted access"))),IF(Metadata!Q345="",FALSE,IF(ISERROR(INT(Metadata!Q345)),FALSE,INT(Metadata!Q345)=Metadata!Q345)))</f>
        <v>0</v>
      </c>
      <c r="AS345">
        <f>AND(IF(Metadata!R345="",FALSE,TRUE),exact(Metadata!R345,"Not applicable"))</f>
        <v>0</v>
      </c>
    </row>
    <row r="346" spans="1:45">
      <c r="A346" s="4">
        <f>IF(B346=" "," ",HYPERLINK(CONCATENATE("#metadata!",ADDRESS(INDEX($X$2:$X$1001,MATCH(ROWS($V$2:V346),$V$2:$V$1001,0),0),2)),INDEX($AA$2:$AA$1001,MATCH(ROWS($V$2:V346),$V$2:$V$1001,0),0)))</f>
        <v>0</v>
      </c>
      <c r="B346" s="5">
        <f>IF(OR(INDEX($W$2:$W$1001,MATCH(ROWS($V$2:V346),$V$2:$V$1001,0),1)&gt;=100000,INDEX($AC$1005:$AS$1005,1,MATCH(COLUMNS($AC$1006:AC1006),$AC$1006:$AS$1006,0))&gt;=100000), " ",IF(INDEX($AC$2:$AS$1001,MATCH(ROWS($V$2:V346),$V$2:$V$1001,0),MATCH(COLUMNS($AC$1006:AC1006),$AC$1006:$AS$1006,0)), HYPERLINK("#",""), HYPERLINK(CONCATENATE("#Metadata!", ADDRESS(INDEX($X$2:$X$1001,MATCH(ROWS($V$2:V346),$V$2:$V$1001,0),0), INDEX($AC$1004:$AS$1004,1,MATCH(COLUMNS($AC$1006:AC1006),$AC$1006:$AS$1006,0)))),"Fix")))</f>
        <v>0</v>
      </c>
      <c r="C346" s="5">
        <f>IF(OR(INDEX($W$2:$W$1001,MATCH(ROWS($V$2:V346),$V$2:$V$1001,0),1)&gt;=100000,INDEX($AC$1005:$AS$1005,1,MATCH(COLUMNS($AC$1006:AD1006),$AC$1006:$AS$1006,0))&gt;=100000), " ",IF(INDEX($AC$2:$AS$1001,MATCH(ROWS($V$2:V346),$V$2:$V$1001,0),MATCH(COLUMNS($AC$1006:AD1006),$AC$1006:$AS$1006,0)), HYPERLINK("#",""), HYPERLINK(CONCATENATE("#Metadata!", ADDRESS(INDEX($X$2:$X$1001,MATCH(ROWS($V$2:V346),$V$2:$V$1001,0),0), INDEX($AC$1004:$AS$1004,1,MATCH(COLUMNS($AC$1006:AD1006),$AC$1006:$AS$1006,0)))),"Fix")))</f>
        <v>0</v>
      </c>
      <c r="D346" s="5">
        <f>IF(OR(INDEX($W$2:$W$1001,MATCH(ROWS($V$2:V346),$V$2:$V$1001,0),1)&gt;=100000,INDEX($AC$1005:$AS$1005,1,MATCH(COLUMNS($AC$1006:AE1006),$AC$1006:$AS$1006,0))&gt;=100000), " ",IF(INDEX($AC$2:$AS$1001,MATCH(ROWS($V$2:V346),$V$2:$V$1001,0),MATCH(COLUMNS($AC$1006:AE1006),$AC$1006:$AS$1006,0)), HYPERLINK("#",""), HYPERLINK(CONCATENATE("#Metadata!", ADDRESS(INDEX($X$2:$X$1001,MATCH(ROWS($V$2:V346),$V$2:$V$1001,0),0), INDEX($AC$1004:$AS$1004,1,MATCH(COLUMNS($AC$1006:AE1006),$AC$1006:$AS$1006,0)))),"Fix")))</f>
        <v>0</v>
      </c>
      <c r="E346" s="5">
        <f>IF(OR(INDEX($W$2:$W$1001,MATCH(ROWS($V$2:V346),$V$2:$V$1001,0),1)&gt;=100000,INDEX($AC$1005:$AS$1005,1,MATCH(COLUMNS($AC$1006:AF1006),$AC$1006:$AS$1006,0))&gt;=100000), " ",IF(INDEX($AC$2:$AS$1001,MATCH(ROWS($V$2:V346),$V$2:$V$1001,0),MATCH(COLUMNS($AC$1006:AF1006),$AC$1006:$AS$1006,0)), HYPERLINK("#",""), HYPERLINK(CONCATENATE("#Metadata!", ADDRESS(INDEX($X$2:$X$1001,MATCH(ROWS($V$2:V346),$V$2:$V$1001,0),0), INDEX($AC$1004:$AS$1004,1,MATCH(COLUMNS($AC$1006:AF1006),$AC$1006:$AS$1006,0)))),"Fix")))</f>
        <v>0</v>
      </c>
      <c r="F346" s="5">
        <f>IF(OR(INDEX($W$2:$W$1001,MATCH(ROWS($V$2:V346),$V$2:$V$1001,0),1)&gt;=100000,INDEX($AC$1005:$AS$1005,1,MATCH(COLUMNS($AC$1006:AG1006),$AC$1006:$AS$1006,0))&gt;=100000), " ",IF(INDEX($AC$2:$AS$1001,MATCH(ROWS($V$2:V346),$V$2:$V$1001,0),MATCH(COLUMNS($AC$1006:AG1006),$AC$1006:$AS$1006,0)), HYPERLINK("#",""), HYPERLINK(CONCATENATE("#Metadata!", ADDRESS(INDEX($X$2:$X$1001,MATCH(ROWS($V$2:V346),$V$2:$V$1001,0),0), INDEX($AC$1004:$AS$1004,1,MATCH(COLUMNS($AC$1006:AG1006),$AC$1006:$AS$1006,0)))),"Fix")))</f>
        <v>0</v>
      </c>
      <c r="G346" s="5">
        <f>IF(OR(INDEX($W$2:$W$1001,MATCH(ROWS($V$2:V346),$V$2:$V$1001,0),1)&gt;=100000,INDEX($AC$1005:$AS$1005,1,MATCH(COLUMNS($AC$1006:AH1006),$AC$1006:$AS$1006,0))&gt;=100000), " ",IF(INDEX($AC$2:$AS$1001,MATCH(ROWS($V$2:V346),$V$2:$V$1001,0),MATCH(COLUMNS($AC$1006:AH1006),$AC$1006:$AS$1006,0)), HYPERLINK("#",""), HYPERLINK(CONCATENATE("#Metadata!", ADDRESS(INDEX($X$2:$X$1001,MATCH(ROWS($V$2:V346),$V$2:$V$1001,0),0), INDEX($AC$1004:$AS$1004,1,MATCH(COLUMNS($AC$1006:AH1006),$AC$1006:$AS$1006,0)))),"Fix")))</f>
        <v>0</v>
      </c>
      <c r="H346" s="5">
        <f>IF(OR(INDEX($W$2:$W$1001,MATCH(ROWS($V$2:V346),$V$2:$V$1001,0),1)&gt;=100000,INDEX($AC$1005:$AS$1005,1,MATCH(COLUMNS($AC$1006:AI1006),$AC$1006:$AS$1006,0))&gt;=100000), " ",IF(INDEX($AC$2:$AS$1001,MATCH(ROWS($V$2:V346),$V$2:$V$1001,0),MATCH(COLUMNS($AC$1006:AI1006),$AC$1006:$AS$1006,0)), HYPERLINK("#",""), HYPERLINK(CONCATENATE("#Metadata!", ADDRESS(INDEX($X$2:$X$1001,MATCH(ROWS($V$2:V346),$V$2:$V$1001,0),0), INDEX($AC$1004:$AS$1004,1,MATCH(COLUMNS($AC$1006:AI1006),$AC$1006:$AS$1006,0)))),"Fix")))</f>
        <v>0</v>
      </c>
      <c r="I346" s="5">
        <f>IF(OR(INDEX($W$2:$W$1001,MATCH(ROWS($V$2:V346),$V$2:$V$1001,0),1)&gt;=100000,INDEX($AC$1005:$AS$1005,1,MATCH(COLUMNS($AC$1006:AJ1006),$AC$1006:$AS$1006,0))&gt;=100000), " ",IF(INDEX($AC$2:$AS$1001,MATCH(ROWS($V$2:V346),$V$2:$V$1001,0),MATCH(COLUMNS($AC$1006:AJ1006),$AC$1006:$AS$1006,0)), HYPERLINK("#",""), HYPERLINK(CONCATENATE("#Metadata!", ADDRESS(INDEX($X$2:$X$1001,MATCH(ROWS($V$2:V346),$V$2:$V$1001,0),0), INDEX($AC$1004:$AS$1004,1,MATCH(COLUMNS($AC$1006:AJ1006),$AC$1006:$AS$1006,0)))),"Fix")))</f>
        <v>0</v>
      </c>
      <c r="J346" s="5">
        <f>IF(OR(INDEX($W$2:$W$1001,MATCH(ROWS($V$2:V346),$V$2:$V$1001,0),1)&gt;=100000,INDEX($AC$1005:$AS$1005,1,MATCH(COLUMNS($AC$1006:AK1006),$AC$1006:$AS$1006,0))&gt;=100000), " ",IF(INDEX($AC$2:$AS$1001,MATCH(ROWS($V$2:V346),$V$2:$V$1001,0),MATCH(COLUMNS($AC$1006:AK1006),$AC$1006:$AS$1006,0)), HYPERLINK("#",""), HYPERLINK(CONCATENATE("#Metadata!", ADDRESS(INDEX($X$2:$X$1001,MATCH(ROWS($V$2:V346),$V$2:$V$1001,0),0), INDEX($AC$1004:$AS$1004,1,MATCH(COLUMNS($AC$1006:AK1006),$AC$1006:$AS$1006,0)))),"Fix")))</f>
        <v>0</v>
      </c>
      <c r="K346" s="5">
        <f>IF(OR(INDEX($W$2:$W$1001,MATCH(ROWS($V$2:V346),$V$2:$V$1001,0),1)&gt;=100000,INDEX($AC$1005:$AS$1005,1,MATCH(COLUMNS($AC$1006:AL1006),$AC$1006:$AS$1006,0))&gt;=100000), " ",IF(INDEX($AC$2:$AS$1001,MATCH(ROWS($V$2:V346),$V$2:$V$1001,0),MATCH(COLUMNS($AC$1006:AL1006),$AC$1006:$AS$1006,0)), HYPERLINK("#",""), HYPERLINK(CONCATENATE("#Metadata!", ADDRESS(INDEX($X$2:$X$1001,MATCH(ROWS($V$2:V346),$V$2:$V$1001,0),0), INDEX($AC$1004:$AS$1004,1,MATCH(COLUMNS($AC$1006:AL1006),$AC$1006:$AS$1006,0)))),"Fix")))</f>
        <v>0</v>
      </c>
      <c r="L346" s="5">
        <f>IF(OR(INDEX($W$2:$W$1001,MATCH(ROWS($V$2:V346),$V$2:$V$1001,0),1)&gt;=100000,INDEX($AC$1005:$AS$1005,1,MATCH(COLUMNS($AC$1006:AM1006),$AC$1006:$AS$1006,0))&gt;=100000), " ",IF(INDEX($AC$2:$AS$1001,MATCH(ROWS($V$2:V346),$V$2:$V$1001,0),MATCH(COLUMNS($AC$1006:AM1006),$AC$1006:$AS$1006,0)), HYPERLINK("#",""), HYPERLINK(CONCATENATE("#Metadata!", ADDRESS(INDEX($X$2:$X$1001,MATCH(ROWS($V$2:V346),$V$2:$V$1001,0),0), INDEX($AC$1004:$AS$1004,1,MATCH(COLUMNS($AC$1006:AM1006),$AC$1006:$AS$1006,0)))),"Fix")))</f>
        <v>0</v>
      </c>
      <c r="M346" s="5">
        <f>IF(OR(INDEX($W$2:$W$1001,MATCH(ROWS($V$2:V346),$V$2:$V$1001,0),1)&gt;=100000,INDEX($AC$1005:$AS$1005,1,MATCH(COLUMNS($AC$1006:AN1006),$AC$1006:$AS$1006,0))&gt;=100000), " ",IF(INDEX($AC$2:$AS$1001,MATCH(ROWS($V$2:V346),$V$2:$V$1001,0),MATCH(COLUMNS($AC$1006:AN1006),$AC$1006:$AS$1006,0)), HYPERLINK("#",""), HYPERLINK(CONCATENATE("#Metadata!", ADDRESS(INDEX($X$2:$X$1001,MATCH(ROWS($V$2:V346),$V$2:$V$1001,0),0), INDEX($AC$1004:$AS$1004,1,MATCH(COLUMNS($AC$1006:AN1006),$AC$1006:$AS$1006,0)))),"Fix")))</f>
        <v>0</v>
      </c>
      <c r="N346" s="5">
        <f>IF(OR(INDEX($W$2:$W$1001,MATCH(ROWS($V$2:V346),$V$2:$V$1001,0),1)&gt;=100000,INDEX($AC$1005:$AS$1005,1,MATCH(COLUMNS($AC$1006:AO1006),$AC$1006:$AS$1006,0))&gt;=100000), " ",IF(INDEX($AC$2:$AS$1001,MATCH(ROWS($V$2:V346),$V$2:$V$1001,0),MATCH(COLUMNS($AC$1006:AO1006),$AC$1006:$AS$1006,0)), HYPERLINK("#",""), HYPERLINK(CONCATENATE("#Metadata!", ADDRESS(INDEX($X$2:$X$1001,MATCH(ROWS($V$2:V346),$V$2:$V$1001,0),0), INDEX($AC$1004:$AS$1004,1,MATCH(COLUMNS($AC$1006:AO1006),$AC$1006:$AS$1006,0)))),"Fix")))</f>
        <v>0</v>
      </c>
      <c r="O346" s="5">
        <f>IF(OR(INDEX($W$2:$W$1001,MATCH(ROWS($V$2:V346),$V$2:$V$1001,0),1)&gt;=100000,INDEX($AC$1005:$AS$1005,1,MATCH(COLUMNS($AC$1006:AP1006),$AC$1006:$AS$1006,0))&gt;=100000), " ",IF(INDEX($AC$2:$AS$1001,MATCH(ROWS($V$2:V346),$V$2:$V$1001,0),MATCH(COLUMNS($AC$1006:AP1006),$AC$1006:$AS$1006,0)), HYPERLINK("#",""), HYPERLINK(CONCATENATE("#Metadata!", ADDRESS(INDEX($X$2:$X$1001,MATCH(ROWS($V$2:V346),$V$2:$V$1001,0),0), INDEX($AC$1004:$AS$1004,1,MATCH(COLUMNS($AC$1006:AP1006),$AC$1006:$AS$1006,0)))),"Fix")))</f>
        <v>0</v>
      </c>
      <c r="P346" s="5">
        <f>IF(OR(INDEX($W$2:$W$1001,MATCH(ROWS($V$2:V346),$V$2:$V$1001,0),1)&gt;=100000,INDEX($AC$1005:$AS$1005,1,MATCH(COLUMNS($AC$1006:AQ1006),$AC$1006:$AS$1006,0))&gt;=100000), " ",IF(INDEX($AC$2:$AS$1001,MATCH(ROWS($V$2:V346),$V$2:$V$1001,0),MATCH(COLUMNS($AC$1006:AQ1006),$AC$1006:$AS$1006,0)), HYPERLINK("#",""), HYPERLINK(CONCATENATE("#Metadata!", ADDRESS(INDEX($X$2:$X$1001,MATCH(ROWS($V$2:V346),$V$2:$V$1001,0),0), INDEX($AC$1004:$AS$1004,1,MATCH(COLUMNS($AC$1006:AQ1006),$AC$1006:$AS$1006,0)))),"Fix")))</f>
        <v>0</v>
      </c>
      <c r="Q346" s="5">
        <f>IF(OR(INDEX($W$2:$W$1001,MATCH(ROWS($V$2:V346),$V$2:$V$1001,0),1)&gt;=100000,INDEX($AC$1005:$AS$1005,1,MATCH(COLUMNS($AC$1006:AR1006),$AC$1006:$AS$1006,0))&gt;=100000), " ",IF(INDEX($AC$2:$AS$1001,MATCH(ROWS($V$2:V346),$V$2:$V$1001,0),MATCH(COLUMNS($AC$1006:AR1006),$AC$1006:$AS$1006,0)), HYPERLINK("#",""), HYPERLINK(CONCATENATE("#Metadata!", ADDRESS(INDEX($X$2:$X$1001,MATCH(ROWS($V$2:V346),$V$2:$V$1001,0),0), INDEX($AC$1004:$AS$1004,1,MATCH(COLUMNS($AC$1006:AR1006),$AC$1006:$AS$1006,0)))),"Fix")))</f>
        <v>0</v>
      </c>
      <c r="R346" s="5">
        <f>IF(OR(INDEX($W$2:$W$1001,MATCH(ROWS($V$2:V346),$V$2:$V$1001,0),1)&gt;=100000,INDEX($AC$1005:$AS$1005,1,MATCH(COLUMNS($AC$1006:AS1006),$AC$1006:$AS$1006,0))&gt;=100000), " ",IF(INDEX($AC$2:$AS$1001,MATCH(ROWS($V$2:V346),$V$2:$V$1001,0),MATCH(COLUMNS($AC$1006:AS1006),$AC$1006:$AS$1006,0)), HYPERLINK("#",""), HYPERLINK(CONCATENATE("#Metadata!", ADDRESS(INDEX($X$2:$X$1001,MATCH(ROWS($V$2:V346),$V$2:$V$1001,0),0), INDEX($AC$1004:$AS$1004,1,MATCH(COLUMNS($AC$1006:AS1006),$AC$1006:$AS$1006,0)))),"Fix")))</f>
        <v>0</v>
      </c>
      <c r="V346">
        <v>0</v>
      </c>
      <c r="W346">
        <v>0</v>
      </c>
      <c r="X346">
        <v>0</v>
      </c>
      <c r="Y346">
        <f>IF(Z346,TRUE,AND(AC346:AS346))</f>
        <v>0</v>
      </c>
      <c r="Z346">
        <f>COUNTBLANK(Metadata!B346:R346)=COLUMNS(Metadata!B346:R346)</f>
        <v>0</v>
      </c>
      <c r="AA346">
        <v>0</v>
      </c>
      <c r="AC346">
        <f>AND(IF(Metadata!B346="",FALSE,TRUE),COUNTIF(Metadata!B:B, Metadata!B346) = 1,NOT(ISERROR(SUMPRODUCT(SEARCH(MID(Metadata!B346,ROW(INDIRECT("1:"&amp;LEN(Metadata!B346))), 1),"0123456789abcdefghijklmnopqrstuvwxyzABCDEFGHIJKLMNOPQRSTUVWXYZ.")))))</f>
        <v>0</v>
      </c>
      <c r="AD346">
        <f>AND(IF(Metadata!C346="",FALSE,TRUE),exact(Metadata!C346,"Host-associated"))</f>
        <v>0</v>
      </c>
      <c r="AE346">
        <f>AND(IF(Metadata!D346="",FALSE,TRUE),OR(exact(Metadata!D346,"Animal"),exact(Metadata!D346,"Fungus"),exact(Metadata!D346,"Plant")))</f>
        <v>0</v>
      </c>
      <c r="AF346">
        <f>AND(IF(Metadata!E346="",FALSE,TRUE),OR(exact(Metadata!E346,"Plant secretion"),exact(Metadata!E346,"Plant rhizosphere"),exact(Metadata!E346,"Plant surface"),exact(Metadata!E346,"Plant corpus"),exact(Metadata!E346,"Fungus surface"),exact(Metadata!E346,"Fungus corpus"),exact(Metadata!E346,"Animal surface"),exact(Metadata!E346,"Animal proximal gut"),exact(Metadata!E346,"Animal corpus"),exact(Metadata!E346,"Animal distal gut"),exact(Metadata!E346,"Animal secretion")))</f>
        <v>0</v>
      </c>
      <c r="AG346">
        <f>OR(AND(IF(Metadata!F346="",FALSE,TRUE),OR(exact(Metadata!F346,"not collected"),exact(Metadata!F346,"not provided"),exact(Metadata!F346,"restricted access"))),AND(IF(Metadata!F346="",FALSE,TRUE),OR(exact(Metadata!F346,"organism-associated habitat"),exact(Metadata!F346,"plant-associated habitat"),exact(Metadata!F346,"animal-associated habitat"),exact(Metadata!F346,"insecta-associated habitat"),exact(Metadata!F346,"mammalia-associated habitat"),exact(Metadata!F346,"human-associated habitat"),exact(Metadata!F346,"livestock-associated habitat"))))</f>
        <v>0</v>
      </c>
      <c r="AH346">
        <f>AND(IF(Metadata!G346="",FALSE,TRUE),exact(Metadata!G346,"host-associated"))</f>
        <v>0</v>
      </c>
      <c r="AI346">
        <f>OR(AND(IF(Metadata!H346="",FALSE,TRUE),OR(exact(Metadata!H346,"not collected"),exact(Metadata!H346,"not provided"))),AND(IF(Metadata!H346="",FALSE,ISNUMBER(VALUE(Metadata!H346))),Metadata!H346&gt;0))</f>
        <v>0</v>
      </c>
      <c r="AJ346">
        <f>AND(IF(Metadata!I346="",FALSE,TRUE),exact(Metadata!I346,"years"))</f>
        <v>0</v>
      </c>
      <c r="AK346">
        <f>IF(Metadata!J346="",FALSE,TRUE)</f>
        <v>0</v>
      </c>
      <c r="AL346">
        <f>OR(AND(IF(Metadata!K346="",FALSE,TRUE),OR(exact(Metadata!K346,"not collected"),exact(Metadata!K346,"not provided"))),AND(IF(Metadata!K346="",FALSE,ISNUMBER(VALUE(Metadata!K346))),Metadata!K346&gt;0))</f>
        <v>0</v>
      </c>
      <c r="AM346">
        <f>AND(IF(Metadata!L346="",FALSE,TRUE),exact(Metadata!L346,"cm"))</f>
        <v>0</v>
      </c>
      <c r="AN346">
        <f>IF(Metadata!M346="",FALSE,TRUE)</f>
        <v>0</v>
      </c>
      <c r="AO346">
        <f>OR(AND(IF(Metadata!N346="",FALSE,TRUE),OR(exact(Metadata!N346,"not applicable"),exact(Metadata!N346,"not collected"),exact(Metadata!N346,"not provided"))),AND(IF(Metadata!N346="",FALSE,IF(ISERROR(INT(Metadata!N346)),FALSE,INT(Metadata!N346)=Metadata!N346)),Metadata!N346&gt;0))</f>
        <v>0</v>
      </c>
      <c r="AP346">
        <f>OR(AND(IF(Metadata!O346="",FALSE,TRUE),OR(exact(Metadata!O346,"not collected"),exact(Metadata!O346,"not provided"))),AND(IF(Metadata!O346="",FALSE,ISNUMBER(VALUE(Metadata!O346))),Metadata!O346&gt;0))</f>
        <v>0</v>
      </c>
      <c r="AQ346">
        <f>AND(IF(Metadata!P346="",FALSE,TRUE),exact(Metadata!P346,"kg"))</f>
        <v>0</v>
      </c>
      <c r="AR346">
        <f>OR(AND(IF(Metadata!Q346="",FALSE,TRUE),OR(exact(Metadata!Q346,"not applicable"),exact(Metadata!Q346,"not collected"),exact(Metadata!Q346,"not provided"),exact(Metadata!Q346,"restricted access"))),IF(Metadata!Q346="",FALSE,IF(ISERROR(INT(Metadata!Q346)),FALSE,INT(Metadata!Q346)=Metadata!Q346)))</f>
        <v>0</v>
      </c>
      <c r="AS346">
        <f>AND(IF(Metadata!R346="",FALSE,TRUE),exact(Metadata!R346,"Not applicable"))</f>
        <v>0</v>
      </c>
    </row>
    <row r="347" spans="1:45">
      <c r="A347" s="4">
        <f>IF(B347=" "," ",HYPERLINK(CONCATENATE("#metadata!",ADDRESS(INDEX($X$2:$X$1001,MATCH(ROWS($V$2:V347),$V$2:$V$1001,0),0),2)),INDEX($AA$2:$AA$1001,MATCH(ROWS($V$2:V347),$V$2:$V$1001,0),0)))</f>
        <v>0</v>
      </c>
      <c r="B347" s="5">
        <f>IF(OR(INDEX($W$2:$W$1001,MATCH(ROWS($V$2:V347),$V$2:$V$1001,0),1)&gt;=100000,INDEX($AC$1005:$AS$1005,1,MATCH(COLUMNS($AC$1006:AC1006),$AC$1006:$AS$1006,0))&gt;=100000), " ",IF(INDEX($AC$2:$AS$1001,MATCH(ROWS($V$2:V347),$V$2:$V$1001,0),MATCH(COLUMNS($AC$1006:AC1006),$AC$1006:$AS$1006,0)), HYPERLINK("#",""), HYPERLINK(CONCATENATE("#Metadata!", ADDRESS(INDEX($X$2:$X$1001,MATCH(ROWS($V$2:V347),$V$2:$V$1001,0),0), INDEX($AC$1004:$AS$1004,1,MATCH(COLUMNS($AC$1006:AC1006),$AC$1006:$AS$1006,0)))),"Fix")))</f>
        <v>0</v>
      </c>
      <c r="C347" s="5">
        <f>IF(OR(INDEX($W$2:$W$1001,MATCH(ROWS($V$2:V347),$V$2:$V$1001,0),1)&gt;=100000,INDEX($AC$1005:$AS$1005,1,MATCH(COLUMNS($AC$1006:AD1006),$AC$1006:$AS$1006,0))&gt;=100000), " ",IF(INDEX($AC$2:$AS$1001,MATCH(ROWS($V$2:V347),$V$2:$V$1001,0),MATCH(COLUMNS($AC$1006:AD1006),$AC$1006:$AS$1006,0)), HYPERLINK("#",""), HYPERLINK(CONCATENATE("#Metadata!", ADDRESS(INDEX($X$2:$X$1001,MATCH(ROWS($V$2:V347),$V$2:$V$1001,0),0), INDEX($AC$1004:$AS$1004,1,MATCH(COLUMNS($AC$1006:AD1006),$AC$1006:$AS$1006,0)))),"Fix")))</f>
        <v>0</v>
      </c>
      <c r="D347" s="5">
        <f>IF(OR(INDEX($W$2:$W$1001,MATCH(ROWS($V$2:V347),$V$2:$V$1001,0),1)&gt;=100000,INDEX($AC$1005:$AS$1005,1,MATCH(COLUMNS($AC$1006:AE1006),$AC$1006:$AS$1006,0))&gt;=100000), " ",IF(INDEX($AC$2:$AS$1001,MATCH(ROWS($V$2:V347),$V$2:$V$1001,0),MATCH(COLUMNS($AC$1006:AE1006),$AC$1006:$AS$1006,0)), HYPERLINK("#",""), HYPERLINK(CONCATENATE("#Metadata!", ADDRESS(INDEX($X$2:$X$1001,MATCH(ROWS($V$2:V347),$V$2:$V$1001,0),0), INDEX($AC$1004:$AS$1004,1,MATCH(COLUMNS($AC$1006:AE1006),$AC$1006:$AS$1006,0)))),"Fix")))</f>
        <v>0</v>
      </c>
      <c r="E347" s="5">
        <f>IF(OR(INDEX($W$2:$W$1001,MATCH(ROWS($V$2:V347),$V$2:$V$1001,0),1)&gt;=100000,INDEX($AC$1005:$AS$1005,1,MATCH(COLUMNS($AC$1006:AF1006),$AC$1006:$AS$1006,0))&gt;=100000), " ",IF(INDEX($AC$2:$AS$1001,MATCH(ROWS($V$2:V347),$V$2:$V$1001,0),MATCH(COLUMNS($AC$1006:AF1006),$AC$1006:$AS$1006,0)), HYPERLINK("#",""), HYPERLINK(CONCATENATE("#Metadata!", ADDRESS(INDEX($X$2:$X$1001,MATCH(ROWS($V$2:V347),$V$2:$V$1001,0),0), INDEX($AC$1004:$AS$1004,1,MATCH(COLUMNS($AC$1006:AF1006),$AC$1006:$AS$1006,0)))),"Fix")))</f>
        <v>0</v>
      </c>
      <c r="F347" s="5">
        <f>IF(OR(INDEX($W$2:$W$1001,MATCH(ROWS($V$2:V347),$V$2:$V$1001,0),1)&gt;=100000,INDEX($AC$1005:$AS$1005,1,MATCH(COLUMNS($AC$1006:AG1006),$AC$1006:$AS$1006,0))&gt;=100000), " ",IF(INDEX($AC$2:$AS$1001,MATCH(ROWS($V$2:V347),$V$2:$V$1001,0),MATCH(COLUMNS($AC$1006:AG1006),$AC$1006:$AS$1006,0)), HYPERLINK("#",""), HYPERLINK(CONCATENATE("#Metadata!", ADDRESS(INDEX($X$2:$X$1001,MATCH(ROWS($V$2:V347),$V$2:$V$1001,0),0), INDEX($AC$1004:$AS$1004,1,MATCH(COLUMNS($AC$1006:AG1006),$AC$1006:$AS$1006,0)))),"Fix")))</f>
        <v>0</v>
      </c>
      <c r="G347" s="5">
        <f>IF(OR(INDEX($W$2:$W$1001,MATCH(ROWS($V$2:V347),$V$2:$V$1001,0),1)&gt;=100000,INDEX($AC$1005:$AS$1005,1,MATCH(COLUMNS($AC$1006:AH1006),$AC$1006:$AS$1006,0))&gt;=100000), " ",IF(INDEX($AC$2:$AS$1001,MATCH(ROWS($V$2:V347),$V$2:$V$1001,0),MATCH(COLUMNS($AC$1006:AH1006),$AC$1006:$AS$1006,0)), HYPERLINK("#",""), HYPERLINK(CONCATENATE("#Metadata!", ADDRESS(INDEX($X$2:$X$1001,MATCH(ROWS($V$2:V347),$V$2:$V$1001,0),0), INDEX($AC$1004:$AS$1004,1,MATCH(COLUMNS($AC$1006:AH1006),$AC$1006:$AS$1006,0)))),"Fix")))</f>
        <v>0</v>
      </c>
      <c r="H347" s="5">
        <f>IF(OR(INDEX($W$2:$W$1001,MATCH(ROWS($V$2:V347),$V$2:$V$1001,0),1)&gt;=100000,INDEX($AC$1005:$AS$1005,1,MATCH(COLUMNS($AC$1006:AI1006),$AC$1006:$AS$1006,0))&gt;=100000), " ",IF(INDEX($AC$2:$AS$1001,MATCH(ROWS($V$2:V347),$V$2:$V$1001,0),MATCH(COLUMNS($AC$1006:AI1006),$AC$1006:$AS$1006,0)), HYPERLINK("#",""), HYPERLINK(CONCATENATE("#Metadata!", ADDRESS(INDEX($X$2:$X$1001,MATCH(ROWS($V$2:V347),$V$2:$V$1001,0),0), INDEX($AC$1004:$AS$1004,1,MATCH(COLUMNS($AC$1006:AI1006),$AC$1006:$AS$1006,0)))),"Fix")))</f>
        <v>0</v>
      </c>
      <c r="I347" s="5">
        <f>IF(OR(INDEX($W$2:$W$1001,MATCH(ROWS($V$2:V347),$V$2:$V$1001,0),1)&gt;=100000,INDEX($AC$1005:$AS$1005,1,MATCH(COLUMNS($AC$1006:AJ1006),$AC$1006:$AS$1006,0))&gt;=100000), " ",IF(INDEX($AC$2:$AS$1001,MATCH(ROWS($V$2:V347),$V$2:$V$1001,0),MATCH(COLUMNS($AC$1006:AJ1006),$AC$1006:$AS$1006,0)), HYPERLINK("#",""), HYPERLINK(CONCATENATE("#Metadata!", ADDRESS(INDEX($X$2:$X$1001,MATCH(ROWS($V$2:V347),$V$2:$V$1001,0),0), INDEX($AC$1004:$AS$1004,1,MATCH(COLUMNS($AC$1006:AJ1006),$AC$1006:$AS$1006,0)))),"Fix")))</f>
        <v>0</v>
      </c>
      <c r="J347" s="5">
        <f>IF(OR(INDEX($W$2:$W$1001,MATCH(ROWS($V$2:V347),$V$2:$V$1001,0),1)&gt;=100000,INDEX($AC$1005:$AS$1005,1,MATCH(COLUMNS($AC$1006:AK1006),$AC$1006:$AS$1006,0))&gt;=100000), " ",IF(INDEX($AC$2:$AS$1001,MATCH(ROWS($V$2:V347),$V$2:$V$1001,0),MATCH(COLUMNS($AC$1006:AK1006),$AC$1006:$AS$1006,0)), HYPERLINK("#",""), HYPERLINK(CONCATENATE("#Metadata!", ADDRESS(INDEX($X$2:$X$1001,MATCH(ROWS($V$2:V347),$V$2:$V$1001,0),0), INDEX($AC$1004:$AS$1004,1,MATCH(COLUMNS($AC$1006:AK1006),$AC$1006:$AS$1006,0)))),"Fix")))</f>
        <v>0</v>
      </c>
      <c r="K347" s="5">
        <f>IF(OR(INDEX($W$2:$W$1001,MATCH(ROWS($V$2:V347),$V$2:$V$1001,0),1)&gt;=100000,INDEX($AC$1005:$AS$1005,1,MATCH(COLUMNS($AC$1006:AL1006),$AC$1006:$AS$1006,0))&gt;=100000), " ",IF(INDEX($AC$2:$AS$1001,MATCH(ROWS($V$2:V347),$V$2:$V$1001,0),MATCH(COLUMNS($AC$1006:AL1006),$AC$1006:$AS$1006,0)), HYPERLINK("#",""), HYPERLINK(CONCATENATE("#Metadata!", ADDRESS(INDEX($X$2:$X$1001,MATCH(ROWS($V$2:V347),$V$2:$V$1001,0),0), INDEX($AC$1004:$AS$1004,1,MATCH(COLUMNS($AC$1006:AL1006),$AC$1006:$AS$1006,0)))),"Fix")))</f>
        <v>0</v>
      </c>
      <c r="L347" s="5">
        <f>IF(OR(INDEX($W$2:$W$1001,MATCH(ROWS($V$2:V347),$V$2:$V$1001,0),1)&gt;=100000,INDEX($AC$1005:$AS$1005,1,MATCH(COLUMNS($AC$1006:AM1006),$AC$1006:$AS$1006,0))&gt;=100000), " ",IF(INDEX($AC$2:$AS$1001,MATCH(ROWS($V$2:V347),$V$2:$V$1001,0),MATCH(COLUMNS($AC$1006:AM1006),$AC$1006:$AS$1006,0)), HYPERLINK("#",""), HYPERLINK(CONCATENATE("#Metadata!", ADDRESS(INDEX($X$2:$X$1001,MATCH(ROWS($V$2:V347),$V$2:$V$1001,0),0), INDEX($AC$1004:$AS$1004,1,MATCH(COLUMNS($AC$1006:AM1006),$AC$1006:$AS$1006,0)))),"Fix")))</f>
        <v>0</v>
      </c>
      <c r="M347" s="5">
        <f>IF(OR(INDEX($W$2:$W$1001,MATCH(ROWS($V$2:V347),$V$2:$V$1001,0),1)&gt;=100000,INDEX($AC$1005:$AS$1005,1,MATCH(COLUMNS($AC$1006:AN1006),$AC$1006:$AS$1006,0))&gt;=100000), " ",IF(INDEX($AC$2:$AS$1001,MATCH(ROWS($V$2:V347),$V$2:$V$1001,0),MATCH(COLUMNS($AC$1006:AN1006),$AC$1006:$AS$1006,0)), HYPERLINK("#",""), HYPERLINK(CONCATENATE("#Metadata!", ADDRESS(INDEX($X$2:$X$1001,MATCH(ROWS($V$2:V347),$V$2:$V$1001,0),0), INDEX($AC$1004:$AS$1004,1,MATCH(COLUMNS($AC$1006:AN1006),$AC$1006:$AS$1006,0)))),"Fix")))</f>
        <v>0</v>
      </c>
      <c r="N347" s="5">
        <f>IF(OR(INDEX($W$2:$W$1001,MATCH(ROWS($V$2:V347),$V$2:$V$1001,0),1)&gt;=100000,INDEX($AC$1005:$AS$1005,1,MATCH(COLUMNS($AC$1006:AO1006),$AC$1006:$AS$1006,0))&gt;=100000), " ",IF(INDEX($AC$2:$AS$1001,MATCH(ROWS($V$2:V347),$V$2:$V$1001,0),MATCH(COLUMNS($AC$1006:AO1006),$AC$1006:$AS$1006,0)), HYPERLINK("#",""), HYPERLINK(CONCATENATE("#Metadata!", ADDRESS(INDEX($X$2:$X$1001,MATCH(ROWS($V$2:V347),$V$2:$V$1001,0),0), INDEX($AC$1004:$AS$1004,1,MATCH(COLUMNS($AC$1006:AO1006),$AC$1006:$AS$1006,0)))),"Fix")))</f>
        <v>0</v>
      </c>
      <c r="O347" s="5">
        <f>IF(OR(INDEX($W$2:$W$1001,MATCH(ROWS($V$2:V347),$V$2:$V$1001,0),1)&gt;=100000,INDEX($AC$1005:$AS$1005,1,MATCH(COLUMNS($AC$1006:AP1006),$AC$1006:$AS$1006,0))&gt;=100000), " ",IF(INDEX($AC$2:$AS$1001,MATCH(ROWS($V$2:V347),$V$2:$V$1001,0),MATCH(COLUMNS($AC$1006:AP1006),$AC$1006:$AS$1006,0)), HYPERLINK("#",""), HYPERLINK(CONCATENATE("#Metadata!", ADDRESS(INDEX($X$2:$X$1001,MATCH(ROWS($V$2:V347),$V$2:$V$1001,0),0), INDEX($AC$1004:$AS$1004,1,MATCH(COLUMNS($AC$1006:AP1006),$AC$1006:$AS$1006,0)))),"Fix")))</f>
        <v>0</v>
      </c>
      <c r="P347" s="5">
        <f>IF(OR(INDEX($W$2:$W$1001,MATCH(ROWS($V$2:V347),$V$2:$V$1001,0),1)&gt;=100000,INDEX($AC$1005:$AS$1005,1,MATCH(COLUMNS($AC$1006:AQ1006),$AC$1006:$AS$1006,0))&gt;=100000), " ",IF(INDEX($AC$2:$AS$1001,MATCH(ROWS($V$2:V347),$V$2:$V$1001,0),MATCH(COLUMNS($AC$1006:AQ1006),$AC$1006:$AS$1006,0)), HYPERLINK("#",""), HYPERLINK(CONCATENATE("#Metadata!", ADDRESS(INDEX($X$2:$X$1001,MATCH(ROWS($V$2:V347),$V$2:$V$1001,0),0), INDEX($AC$1004:$AS$1004,1,MATCH(COLUMNS($AC$1006:AQ1006),$AC$1006:$AS$1006,0)))),"Fix")))</f>
        <v>0</v>
      </c>
      <c r="Q347" s="5">
        <f>IF(OR(INDEX($W$2:$W$1001,MATCH(ROWS($V$2:V347),$V$2:$V$1001,0),1)&gt;=100000,INDEX($AC$1005:$AS$1005,1,MATCH(COLUMNS($AC$1006:AR1006),$AC$1006:$AS$1006,0))&gt;=100000), " ",IF(INDEX($AC$2:$AS$1001,MATCH(ROWS($V$2:V347),$V$2:$V$1001,0),MATCH(COLUMNS($AC$1006:AR1006),$AC$1006:$AS$1006,0)), HYPERLINK("#",""), HYPERLINK(CONCATENATE("#Metadata!", ADDRESS(INDEX($X$2:$X$1001,MATCH(ROWS($V$2:V347),$V$2:$V$1001,0),0), INDEX($AC$1004:$AS$1004,1,MATCH(COLUMNS($AC$1006:AR1006),$AC$1006:$AS$1006,0)))),"Fix")))</f>
        <v>0</v>
      </c>
      <c r="R347" s="5">
        <f>IF(OR(INDEX($W$2:$W$1001,MATCH(ROWS($V$2:V347),$V$2:$V$1001,0),1)&gt;=100000,INDEX($AC$1005:$AS$1005,1,MATCH(COLUMNS($AC$1006:AS1006),$AC$1006:$AS$1006,0))&gt;=100000), " ",IF(INDEX($AC$2:$AS$1001,MATCH(ROWS($V$2:V347),$V$2:$V$1001,0),MATCH(COLUMNS($AC$1006:AS1006),$AC$1006:$AS$1006,0)), HYPERLINK("#",""), HYPERLINK(CONCATENATE("#Metadata!", ADDRESS(INDEX($X$2:$X$1001,MATCH(ROWS($V$2:V347),$V$2:$V$1001,0),0), INDEX($AC$1004:$AS$1004,1,MATCH(COLUMNS($AC$1006:AS1006),$AC$1006:$AS$1006,0)))),"Fix")))</f>
        <v>0</v>
      </c>
      <c r="V347">
        <v>0</v>
      </c>
      <c r="W347">
        <v>0</v>
      </c>
      <c r="X347">
        <v>0</v>
      </c>
      <c r="Y347">
        <f>IF(Z347,TRUE,AND(AC347:AS347))</f>
        <v>0</v>
      </c>
      <c r="Z347">
        <f>COUNTBLANK(Metadata!B347:R347)=COLUMNS(Metadata!B347:R347)</f>
        <v>0</v>
      </c>
      <c r="AA347">
        <v>0</v>
      </c>
      <c r="AC347">
        <f>AND(IF(Metadata!B347="",FALSE,TRUE),COUNTIF(Metadata!B:B, Metadata!B347) = 1,NOT(ISERROR(SUMPRODUCT(SEARCH(MID(Metadata!B347,ROW(INDIRECT("1:"&amp;LEN(Metadata!B347))), 1),"0123456789abcdefghijklmnopqrstuvwxyzABCDEFGHIJKLMNOPQRSTUVWXYZ.")))))</f>
        <v>0</v>
      </c>
      <c r="AD347">
        <f>AND(IF(Metadata!C347="",FALSE,TRUE),exact(Metadata!C347,"Host-associated"))</f>
        <v>0</v>
      </c>
      <c r="AE347">
        <f>AND(IF(Metadata!D347="",FALSE,TRUE),OR(exact(Metadata!D347,"Animal"),exact(Metadata!D347,"Fungus"),exact(Metadata!D347,"Plant")))</f>
        <v>0</v>
      </c>
      <c r="AF347">
        <f>AND(IF(Metadata!E347="",FALSE,TRUE),OR(exact(Metadata!E347,"Plant secretion"),exact(Metadata!E347,"Plant rhizosphere"),exact(Metadata!E347,"Plant surface"),exact(Metadata!E347,"Plant corpus"),exact(Metadata!E347,"Fungus surface"),exact(Metadata!E347,"Fungus corpus"),exact(Metadata!E347,"Animal surface"),exact(Metadata!E347,"Animal proximal gut"),exact(Metadata!E347,"Animal corpus"),exact(Metadata!E347,"Animal distal gut"),exact(Metadata!E347,"Animal secretion")))</f>
        <v>0</v>
      </c>
      <c r="AG347">
        <f>OR(AND(IF(Metadata!F347="",FALSE,TRUE),OR(exact(Metadata!F347,"not collected"),exact(Metadata!F347,"not provided"),exact(Metadata!F347,"restricted access"))),AND(IF(Metadata!F347="",FALSE,TRUE),OR(exact(Metadata!F347,"organism-associated habitat"),exact(Metadata!F347,"plant-associated habitat"),exact(Metadata!F347,"animal-associated habitat"),exact(Metadata!F347,"insecta-associated habitat"),exact(Metadata!F347,"mammalia-associated habitat"),exact(Metadata!F347,"human-associated habitat"),exact(Metadata!F347,"livestock-associated habitat"))))</f>
        <v>0</v>
      </c>
      <c r="AH347">
        <f>AND(IF(Metadata!G347="",FALSE,TRUE),exact(Metadata!G347,"host-associated"))</f>
        <v>0</v>
      </c>
      <c r="AI347">
        <f>OR(AND(IF(Metadata!H347="",FALSE,TRUE),OR(exact(Metadata!H347,"not collected"),exact(Metadata!H347,"not provided"))),AND(IF(Metadata!H347="",FALSE,ISNUMBER(VALUE(Metadata!H347))),Metadata!H347&gt;0))</f>
        <v>0</v>
      </c>
      <c r="AJ347">
        <f>AND(IF(Metadata!I347="",FALSE,TRUE),exact(Metadata!I347,"years"))</f>
        <v>0</v>
      </c>
      <c r="AK347">
        <f>IF(Metadata!J347="",FALSE,TRUE)</f>
        <v>0</v>
      </c>
      <c r="AL347">
        <f>OR(AND(IF(Metadata!K347="",FALSE,TRUE),OR(exact(Metadata!K347,"not collected"),exact(Metadata!K347,"not provided"))),AND(IF(Metadata!K347="",FALSE,ISNUMBER(VALUE(Metadata!K347))),Metadata!K347&gt;0))</f>
        <v>0</v>
      </c>
      <c r="AM347">
        <f>AND(IF(Metadata!L347="",FALSE,TRUE),exact(Metadata!L347,"cm"))</f>
        <v>0</v>
      </c>
      <c r="AN347">
        <f>IF(Metadata!M347="",FALSE,TRUE)</f>
        <v>0</v>
      </c>
      <c r="AO347">
        <f>OR(AND(IF(Metadata!N347="",FALSE,TRUE),OR(exact(Metadata!N347,"not applicable"),exact(Metadata!N347,"not collected"),exact(Metadata!N347,"not provided"))),AND(IF(Metadata!N347="",FALSE,IF(ISERROR(INT(Metadata!N347)),FALSE,INT(Metadata!N347)=Metadata!N347)),Metadata!N347&gt;0))</f>
        <v>0</v>
      </c>
      <c r="AP347">
        <f>OR(AND(IF(Metadata!O347="",FALSE,TRUE),OR(exact(Metadata!O347,"not collected"),exact(Metadata!O347,"not provided"))),AND(IF(Metadata!O347="",FALSE,ISNUMBER(VALUE(Metadata!O347))),Metadata!O347&gt;0))</f>
        <v>0</v>
      </c>
      <c r="AQ347">
        <f>AND(IF(Metadata!P347="",FALSE,TRUE),exact(Metadata!P347,"kg"))</f>
        <v>0</v>
      </c>
      <c r="AR347">
        <f>OR(AND(IF(Metadata!Q347="",FALSE,TRUE),OR(exact(Metadata!Q347,"not applicable"),exact(Metadata!Q347,"not collected"),exact(Metadata!Q347,"not provided"),exact(Metadata!Q347,"restricted access"))),IF(Metadata!Q347="",FALSE,IF(ISERROR(INT(Metadata!Q347)),FALSE,INT(Metadata!Q347)=Metadata!Q347)))</f>
        <v>0</v>
      </c>
      <c r="AS347">
        <f>AND(IF(Metadata!R347="",FALSE,TRUE),exact(Metadata!R347,"Not applicable"))</f>
        <v>0</v>
      </c>
    </row>
    <row r="348" spans="1:45">
      <c r="A348" s="4">
        <f>IF(B348=" "," ",HYPERLINK(CONCATENATE("#metadata!",ADDRESS(INDEX($X$2:$X$1001,MATCH(ROWS($V$2:V348),$V$2:$V$1001,0),0),2)),INDEX($AA$2:$AA$1001,MATCH(ROWS($V$2:V348),$V$2:$V$1001,0),0)))</f>
        <v>0</v>
      </c>
      <c r="B348" s="5">
        <f>IF(OR(INDEX($W$2:$W$1001,MATCH(ROWS($V$2:V348),$V$2:$V$1001,0),1)&gt;=100000,INDEX($AC$1005:$AS$1005,1,MATCH(COLUMNS($AC$1006:AC1006),$AC$1006:$AS$1006,0))&gt;=100000), " ",IF(INDEX($AC$2:$AS$1001,MATCH(ROWS($V$2:V348),$V$2:$V$1001,0),MATCH(COLUMNS($AC$1006:AC1006),$AC$1006:$AS$1006,0)), HYPERLINK("#",""), HYPERLINK(CONCATENATE("#Metadata!", ADDRESS(INDEX($X$2:$X$1001,MATCH(ROWS($V$2:V348),$V$2:$V$1001,0),0), INDEX($AC$1004:$AS$1004,1,MATCH(COLUMNS($AC$1006:AC1006),$AC$1006:$AS$1006,0)))),"Fix")))</f>
        <v>0</v>
      </c>
      <c r="C348" s="5">
        <f>IF(OR(INDEX($W$2:$W$1001,MATCH(ROWS($V$2:V348),$V$2:$V$1001,0),1)&gt;=100000,INDEX($AC$1005:$AS$1005,1,MATCH(COLUMNS($AC$1006:AD1006),$AC$1006:$AS$1006,0))&gt;=100000), " ",IF(INDEX($AC$2:$AS$1001,MATCH(ROWS($V$2:V348),$V$2:$V$1001,0),MATCH(COLUMNS($AC$1006:AD1006),$AC$1006:$AS$1006,0)), HYPERLINK("#",""), HYPERLINK(CONCATENATE("#Metadata!", ADDRESS(INDEX($X$2:$X$1001,MATCH(ROWS($V$2:V348),$V$2:$V$1001,0),0), INDEX($AC$1004:$AS$1004,1,MATCH(COLUMNS($AC$1006:AD1006),$AC$1006:$AS$1006,0)))),"Fix")))</f>
        <v>0</v>
      </c>
      <c r="D348" s="5">
        <f>IF(OR(INDEX($W$2:$W$1001,MATCH(ROWS($V$2:V348),$V$2:$V$1001,0),1)&gt;=100000,INDEX($AC$1005:$AS$1005,1,MATCH(COLUMNS($AC$1006:AE1006),$AC$1006:$AS$1006,0))&gt;=100000), " ",IF(INDEX($AC$2:$AS$1001,MATCH(ROWS($V$2:V348),$V$2:$V$1001,0),MATCH(COLUMNS($AC$1006:AE1006),$AC$1006:$AS$1006,0)), HYPERLINK("#",""), HYPERLINK(CONCATENATE("#Metadata!", ADDRESS(INDEX($X$2:$X$1001,MATCH(ROWS($V$2:V348),$V$2:$V$1001,0),0), INDEX($AC$1004:$AS$1004,1,MATCH(COLUMNS($AC$1006:AE1006),$AC$1006:$AS$1006,0)))),"Fix")))</f>
        <v>0</v>
      </c>
      <c r="E348" s="5">
        <f>IF(OR(INDEX($W$2:$W$1001,MATCH(ROWS($V$2:V348),$V$2:$V$1001,0),1)&gt;=100000,INDEX($AC$1005:$AS$1005,1,MATCH(COLUMNS($AC$1006:AF1006),$AC$1006:$AS$1006,0))&gt;=100000), " ",IF(INDEX($AC$2:$AS$1001,MATCH(ROWS($V$2:V348),$V$2:$V$1001,0),MATCH(COLUMNS($AC$1006:AF1006),$AC$1006:$AS$1006,0)), HYPERLINK("#",""), HYPERLINK(CONCATENATE("#Metadata!", ADDRESS(INDEX($X$2:$X$1001,MATCH(ROWS($V$2:V348),$V$2:$V$1001,0),0), INDEX($AC$1004:$AS$1004,1,MATCH(COLUMNS($AC$1006:AF1006),$AC$1006:$AS$1006,0)))),"Fix")))</f>
        <v>0</v>
      </c>
      <c r="F348" s="5">
        <f>IF(OR(INDEX($W$2:$W$1001,MATCH(ROWS($V$2:V348),$V$2:$V$1001,0),1)&gt;=100000,INDEX($AC$1005:$AS$1005,1,MATCH(COLUMNS($AC$1006:AG1006),$AC$1006:$AS$1006,0))&gt;=100000), " ",IF(INDEX($AC$2:$AS$1001,MATCH(ROWS($V$2:V348),$V$2:$V$1001,0),MATCH(COLUMNS($AC$1006:AG1006),$AC$1006:$AS$1006,0)), HYPERLINK("#",""), HYPERLINK(CONCATENATE("#Metadata!", ADDRESS(INDEX($X$2:$X$1001,MATCH(ROWS($V$2:V348),$V$2:$V$1001,0),0), INDEX($AC$1004:$AS$1004,1,MATCH(COLUMNS($AC$1006:AG1006),$AC$1006:$AS$1006,0)))),"Fix")))</f>
        <v>0</v>
      </c>
      <c r="G348" s="5">
        <f>IF(OR(INDEX($W$2:$W$1001,MATCH(ROWS($V$2:V348),$V$2:$V$1001,0),1)&gt;=100000,INDEX($AC$1005:$AS$1005,1,MATCH(COLUMNS($AC$1006:AH1006),$AC$1006:$AS$1006,0))&gt;=100000), " ",IF(INDEX($AC$2:$AS$1001,MATCH(ROWS($V$2:V348),$V$2:$V$1001,0),MATCH(COLUMNS($AC$1006:AH1006),$AC$1006:$AS$1006,0)), HYPERLINK("#",""), HYPERLINK(CONCATENATE("#Metadata!", ADDRESS(INDEX($X$2:$X$1001,MATCH(ROWS($V$2:V348),$V$2:$V$1001,0),0), INDEX($AC$1004:$AS$1004,1,MATCH(COLUMNS($AC$1006:AH1006),$AC$1006:$AS$1006,0)))),"Fix")))</f>
        <v>0</v>
      </c>
      <c r="H348" s="5">
        <f>IF(OR(INDEX($W$2:$W$1001,MATCH(ROWS($V$2:V348),$V$2:$V$1001,0),1)&gt;=100000,INDEX($AC$1005:$AS$1005,1,MATCH(COLUMNS($AC$1006:AI1006),$AC$1006:$AS$1006,0))&gt;=100000), " ",IF(INDEX($AC$2:$AS$1001,MATCH(ROWS($V$2:V348),$V$2:$V$1001,0),MATCH(COLUMNS($AC$1006:AI1006),$AC$1006:$AS$1006,0)), HYPERLINK("#",""), HYPERLINK(CONCATENATE("#Metadata!", ADDRESS(INDEX($X$2:$X$1001,MATCH(ROWS($V$2:V348),$V$2:$V$1001,0),0), INDEX($AC$1004:$AS$1004,1,MATCH(COLUMNS($AC$1006:AI1006),$AC$1006:$AS$1006,0)))),"Fix")))</f>
        <v>0</v>
      </c>
      <c r="I348" s="5">
        <f>IF(OR(INDEX($W$2:$W$1001,MATCH(ROWS($V$2:V348),$V$2:$V$1001,0),1)&gt;=100000,INDEX($AC$1005:$AS$1005,1,MATCH(COLUMNS($AC$1006:AJ1006),$AC$1006:$AS$1006,0))&gt;=100000), " ",IF(INDEX($AC$2:$AS$1001,MATCH(ROWS($V$2:V348),$V$2:$V$1001,0),MATCH(COLUMNS($AC$1006:AJ1006),$AC$1006:$AS$1006,0)), HYPERLINK("#",""), HYPERLINK(CONCATENATE("#Metadata!", ADDRESS(INDEX($X$2:$X$1001,MATCH(ROWS($V$2:V348),$V$2:$V$1001,0),0), INDEX($AC$1004:$AS$1004,1,MATCH(COLUMNS($AC$1006:AJ1006),$AC$1006:$AS$1006,0)))),"Fix")))</f>
        <v>0</v>
      </c>
      <c r="J348" s="5">
        <f>IF(OR(INDEX($W$2:$W$1001,MATCH(ROWS($V$2:V348),$V$2:$V$1001,0),1)&gt;=100000,INDEX($AC$1005:$AS$1005,1,MATCH(COLUMNS($AC$1006:AK1006),$AC$1006:$AS$1006,0))&gt;=100000), " ",IF(INDEX($AC$2:$AS$1001,MATCH(ROWS($V$2:V348),$V$2:$V$1001,0),MATCH(COLUMNS($AC$1006:AK1006),$AC$1006:$AS$1006,0)), HYPERLINK("#",""), HYPERLINK(CONCATENATE("#Metadata!", ADDRESS(INDEX($X$2:$X$1001,MATCH(ROWS($V$2:V348),$V$2:$V$1001,0),0), INDEX($AC$1004:$AS$1004,1,MATCH(COLUMNS($AC$1006:AK1006),$AC$1006:$AS$1006,0)))),"Fix")))</f>
        <v>0</v>
      </c>
      <c r="K348" s="5">
        <f>IF(OR(INDEX($W$2:$W$1001,MATCH(ROWS($V$2:V348),$V$2:$V$1001,0),1)&gt;=100000,INDEX($AC$1005:$AS$1005,1,MATCH(COLUMNS($AC$1006:AL1006),$AC$1006:$AS$1006,0))&gt;=100000), " ",IF(INDEX($AC$2:$AS$1001,MATCH(ROWS($V$2:V348),$V$2:$V$1001,0),MATCH(COLUMNS($AC$1006:AL1006),$AC$1006:$AS$1006,0)), HYPERLINK("#",""), HYPERLINK(CONCATENATE("#Metadata!", ADDRESS(INDEX($X$2:$X$1001,MATCH(ROWS($V$2:V348),$V$2:$V$1001,0),0), INDEX($AC$1004:$AS$1004,1,MATCH(COLUMNS($AC$1006:AL1006),$AC$1006:$AS$1006,0)))),"Fix")))</f>
        <v>0</v>
      </c>
      <c r="L348" s="5">
        <f>IF(OR(INDEX($W$2:$W$1001,MATCH(ROWS($V$2:V348),$V$2:$V$1001,0),1)&gt;=100000,INDEX($AC$1005:$AS$1005,1,MATCH(COLUMNS($AC$1006:AM1006),$AC$1006:$AS$1006,0))&gt;=100000), " ",IF(INDEX($AC$2:$AS$1001,MATCH(ROWS($V$2:V348),$V$2:$V$1001,0),MATCH(COLUMNS($AC$1006:AM1006),$AC$1006:$AS$1006,0)), HYPERLINK("#",""), HYPERLINK(CONCATENATE("#Metadata!", ADDRESS(INDEX($X$2:$X$1001,MATCH(ROWS($V$2:V348),$V$2:$V$1001,0),0), INDEX($AC$1004:$AS$1004,1,MATCH(COLUMNS($AC$1006:AM1006),$AC$1006:$AS$1006,0)))),"Fix")))</f>
        <v>0</v>
      </c>
      <c r="M348" s="5">
        <f>IF(OR(INDEX($W$2:$W$1001,MATCH(ROWS($V$2:V348),$V$2:$V$1001,0),1)&gt;=100000,INDEX($AC$1005:$AS$1005,1,MATCH(COLUMNS($AC$1006:AN1006),$AC$1006:$AS$1006,0))&gt;=100000), " ",IF(INDEX($AC$2:$AS$1001,MATCH(ROWS($V$2:V348),$V$2:$V$1001,0),MATCH(COLUMNS($AC$1006:AN1006),$AC$1006:$AS$1006,0)), HYPERLINK("#",""), HYPERLINK(CONCATENATE("#Metadata!", ADDRESS(INDEX($X$2:$X$1001,MATCH(ROWS($V$2:V348),$V$2:$V$1001,0),0), INDEX($AC$1004:$AS$1004,1,MATCH(COLUMNS($AC$1006:AN1006),$AC$1006:$AS$1006,0)))),"Fix")))</f>
        <v>0</v>
      </c>
      <c r="N348" s="5">
        <f>IF(OR(INDEX($W$2:$W$1001,MATCH(ROWS($V$2:V348),$V$2:$V$1001,0),1)&gt;=100000,INDEX($AC$1005:$AS$1005,1,MATCH(COLUMNS($AC$1006:AO1006),$AC$1006:$AS$1006,0))&gt;=100000), " ",IF(INDEX($AC$2:$AS$1001,MATCH(ROWS($V$2:V348),$V$2:$V$1001,0),MATCH(COLUMNS($AC$1006:AO1006),$AC$1006:$AS$1006,0)), HYPERLINK("#",""), HYPERLINK(CONCATENATE("#Metadata!", ADDRESS(INDEX($X$2:$X$1001,MATCH(ROWS($V$2:V348),$V$2:$V$1001,0),0), INDEX($AC$1004:$AS$1004,1,MATCH(COLUMNS($AC$1006:AO1006),$AC$1006:$AS$1006,0)))),"Fix")))</f>
        <v>0</v>
      </c>
      <c r="O348" s="5">
        <f>IF(OR(INDEX($W$2:$W$1001,MATCH(ROWS($V$2:V348),$V$2:$V$1001,0),1)&gt;=100000,INDEX($AC$1005:$AS$1005,1,MATCH(COLUMNS($AC$1006:AP1006),$AC$1006:$AS$1006,0))&gt;=100000), " ",IF(INDEX($AC$2:$AS$1001,MATCH(ROWS($V$2:V348),$V$2:$V$1001,0),MATCH(COLUMNS($AC$1006:AP1006),$AC$1006:$AS$1006,0)), HYPERLINK("#",""), HYPERLINK(CONCATENATE("#Metadata!", ADDRESS(INDEX($X$2:$X$1001,MATCH(ROWS($V$2:V348),$V$2:$V$1001,0),0), INDEX($AC$1004:$AS$1004,1,MATCH(COLUMNS($AC$1006:AP1006),$AC$1006:$AS$1006,0)))),"Fix")))</f>
        <v>0</v>
      </c>
      <c r="P348" s="5">
        <f>IF(OR(INDEX($W$2:$W$1001,MATCH(ROWS($V$2:V348),$V$2:$V$1001,0),1)&gt;=100000,INDEX($AC$1005:$AS$1005,1,MATCH(COLUMNS($AC$1006:AQ1006),$AC$1006:$AS$1006,0))&gt;=100000), " ",IF(INDEX($AC$2:$AS$1001,MATCH(ROWS($V$2:V348),$V$2:$V$1001,0),MATCH(COLUMNS($AC$1006:AQ1006),$AC$1006:$AS$1006,0)), HYPERLINK("#",""), HYPERLINK(CONCATENATE("#Metadata!", ADDRESS(INDEX($X$2:$X$1001,MATCH(ROWS($V$2:V348),$V$2:$V$1001,0),0), INDEX($AC$1004:$AS$1004,1,MATCH(COLUMNS($AC$1006:AQ1006),$AC$1006:$AS$1006,0)))),"Fix")))</f>
        <v>0</v>
      </c>
      <c r="Q348" s="5">
        <f>IF(OR(INDEX($W$2:$W$1001,MATCH(ROWS($V$2:V348),$V$2:$V$1001,0),1)&gt;=100000,INDEX($AC$1005:$AS$1005,1,MATCH(COLUMNS($AC$1006:AR1006),$AC$1006:$AS$1006,0))&gt;=100000), " ",IF(INDEX($AC$2:$AS$1001,MATCH(ROWS($V$2:V348),$V$2:$V$1001,0),MATCH(COLUMNS($AC$1006:AR1006),$AC$1006:$AS$1006,0)), HYPERLINK("#",""), HYPERLINK(CONCATENATE("#Metadata!", ADDRESS(INDEX($X$2:$X$1001,MATCH(ROWS($V$2:V348),$V$2:$V$1001,0),0), INDEX($AC$1004:$AS$1004,1,MATCH(COLUMNS($AC$1006:AR1006),$AC$1006:$AS$1006,0)))),"Fix")))</f>
        <v>0</v>
      </c>
      <c r="R348" s="5">
        <f>IF(OR(INDEX($W$2:$W$1001,MATCH(ROWS($V$2:V348),$V$2:$V$1001,0),1)&gt;=100000,INDEX($AC$1005:$AS$1005,1,MATCH(COLUMNS($AC$1006:AS1006),$AC$1006:$AS$1006,0))&gt;=100000), " ",IF(INDEX($AC$2:$AS$1001,MATCH(ROWS($V$2:V348),$V$2:$V$1001,0),MATCH(COLUMNS($AC$1006:AS1006),$AC$1006:$AS$1006,0)), HYPERLINK("#",""), HYPERLINK(CONCATENATE("#Metadata!", ADDRESS(INDEX($X$2:$X$1001,MATCH(ROWS($V$2:V348),$V$2:$V$1001,0),0), INDEX($AC$1004:$AS$1004,1,MATCH(COLUMNS($AC$1006:AS1006),$AC$1006:$AS$1006,0)))),"Fix")))</f>
        <v>0</v>
      </c>
      <c r="V348">
        <v>0</v>
      </c>
      <c r="W348">
        <v>0</v>
      </c>
      <c r="X348">
        <v>0</v>
      </c>
      <c r="Y348">
        <f>IF(Z348,TRUE,AND(AC348:AS348))</f>
        <v>0</v>
      </c>
      <c r="Z348">
        <f>COUNTBLANK(Metadata!B348:R348)=COLUMNS(Metadata!B348:R348)</f>
        <v>0</v>
      </c>
      <c r="AA348">
        <v>0</v>
      </c>
      <c r="AC348">
        <f>AND(IF(Metadata!B348="",FALSE,TRUE),COUNTIF(Metadata!B:B, Metadata!B348) = 1,NOT(ISERROR(SUMPRODUCT(SEARCH(MID(Metadata!B348,ROW(INDIRECT("1:"&amp;LEN(Metadata!B348))), 1),"0123456789abcdefghijklmnopqrstuvwxyzABCDEFGHIJKLMNOPQRSTUVWXYZ.")))))</f>
        <v>0</v>
      </c>
      <c r="AD348">
        <f>AND(IF(Metadata!C348="",FALSE,TRUE),exact(Metadata!C348,"Host-associated"))</f>
        <v>0</v>
      </c>
      <c r="AE348">
        <f>AND(IF(Metadata!D348="",FALSE,TRUE),OR(exact(Metadata!D348,"Animal"),exact(Metadata!D348,"Fungus"),exact(Metadata!D348,"Plant")))</f>
        <v>0</v>
      </c>
      <c r="AF348">
        <f>AND(IF(Metadata!E348="",FALSE,TRUE),OR(exact(Metadata!E348,"Plant secretion"),exact(Metadata!E348,"Plant rhizosphere"),exact(Metadata!E348,"Plant surface"),exact(Metadata!E348,"Plant corpus"),exact(Metadata!E348,"Fungus surface"),exact(Metadata!E348,"Fungus corpus"),exact(Metadata!E348,"Animal surface"),exact(Metadata!E348,"Animal proximal gut"),exact(Metadata!E348,"Animal corpus"),exact(Metadata!E348,"Animal distal gut"),exact(Metadata!E348,"Animal secretion")))</f>
        <v>0</v>
      </c>
      <c r="AG348">
        <f>OR(AND(IF(Metadata!F348="",FALSE,TRUE),OR(exact(Metadata!F348,"not collected"),exact(Metadata!F348,"not provided"),exact(Metadata!F348,"restricted access"))),AND(IF(Metadata!F348="",FALSE,TRUE),OR(exact(Metadata!F348,"organism-associated habitat"),exact(Metadata!F348,"plant-associated habitat"),exact(Metadata!F348,"animal-associated habitat"),exact(Metadata!F348,"insecta-associated habitat"),exact(Metadata!F348,"mammalia-associated habitat"),exact(Metadata!F348,"human-associated habitat"),exact(Metadata!F348,"livestock-associated habitat"))))</f>
        <v>0</v>
      </c>
      <c r="AH348">
        <f>AND(IF(Metadata!G348="",FALSE,TRUE),exact(Metadata!G348,"host-associated"))</f>
        <v>0</v>
      </c>
      <c r="AI348">
        <f>OR(AND(IF(Metadata!H348="",FALSE,TRUE),OR(exact(Metadata!H348,"not collected"),exact(Metadata!H348,"not provided"))),AND(IF(Metadata!H348="",FALSE,ISNUMBER(VALUE(Metadata!H348))),Metadata!H348&gt;0))</f>
        <v>0</v>
      </c>
      <c r="AJ348">
        <f>AND(IF(Metadata!I348="",FALSE,TRUE),exact(Metadata!I348,"years"))</f>
        <v>0</v>
      </c>
      <c r="AK348">
        <f>IF(Metadata!J348="",FALSE,TRUE)</f>
        <v>0</v>
      </c>
      <c r="AL348">
        <f>OR(AND(IF(Metadata!K348="",FALSE,TRUE),OR(exact(Metadata!K348,"not collected"),exact(Metadata!K348,"not provided"))),AND(IF(Metadata!K348="",FALSE,ISNUMBER(VALUE(Metadata!K348))),Metadata!K348&gt;0))</f>
        <v>0</v>
      </c>
      <c r="AM348">
        <f>AND(IF(Metadata!L348="",FALSE,TRUE),exact(Metadata!L348,"cm"))</f>
        <v>0</v>
      </c>
      <c r="AN348">
        <f>IF(Metadata!M348="",FALSE,TRUE)</f>
        <v>0</v>
      </c>
      <c r="AO348">
        <f>OR(AND(IF(Metadata!N348="",FALSE,TRUE),OR(exact(Metadata!N348,"not applicable"),exact(Metadata!N348,"not collected"),exact(Metadata!N348,"not provided"))),AND(IF(Metadata!N348="",FALSE,IF(ISERROR(INT(Metadata!N348)),FALSE,INT(Metadata!N348)=Metadata!N348)),Metadata!N348&gt;0))</f>
        <v>0</v>
      </c>
      <c r="AP348">
        <f>OR(AND(IF(Metadata!O348="",FALSE,TRUE),OR(exact(Metadata!O348,"not collected"),exact(Metadata!O348,"not provided"))),AND(IF(Metadata!O348="",FALSE,ISNUMBER(VALUE(Metadata!O348))),Metadata!O348&gt;0))</f>
        <v>0</v>
      </c>
      <c r="AQ348">
        <f>AND(IF(Metadata!P348="",FALSE,TRUE),exact(Metadata!P348,"kg"))</f>
        <v>0</v>
      </c>
      <c r="AR348">
        <f>OR(AND(IF(Metadata!Q348="",FALSE,TRUE),OR(exact(Metadata!Q348,"not applicable"),exact(Metadata!Q348,"not collected"),exact(Metadata!Q348,"not provided"),exact(Metadata!Q348,"restricted access"))),IF(Metadata!Q348="",FALSE,IF(ISERROR(INT(Metadata!Q348)),FALSE,INT(Metadata!Q348)=Metadata!Q348)))</f>
        <v>0</v>
      </c>
      <c r="AS348">
        <f>AND(IF(Metadata!R348="",FALSE,TRUE),exact(Metadata!R348,"Not applicable"))</f>
        <v>0</v>
      </c>
    </row>
    <row r="349" spans="1:45">
      <c r="A349" s="4">
        <f>IF(B349=" "," ",HYPERLINK(CONCATENATE("#metadata!",ADDRESS(INDEX($X$2:$X$1001,MATCH(ROWS($V$2:V349),$V$2:$V$1001,0),0),2)),INDEX($AA$2:$AA$1001,MATCH(ROWS($V$2:V349),$V$2:$V$1001,0),0)))</f>
        <v>0</v>
      </c>
      <c r="B349" s="5">
        <f>IF(OR(INDEX($W$2:$W$1001,MATCH(ROWS($V$2:V349),$V$2:$V$1001,0),1)&gt;=100000,INDEX($AC$1005:$AS$1005,1,MATCH(COLUMNS($AC$1006:AC1006),$AC$1006:$AS$1006,0))&gt;=100000), " ",IF(INDEX($AC$2:$AS$1001,MATCH(ROWS($V$2:V349),$V$2:$V$1001,0),MATCH(COLUMNS($AC$1006:AC1006),$AC$1006:$AS$1006,0)), HYPERLINK("#",""), HYPERLINK(CONCATENATE("#Metadata!", ADDRESS(INDEX($X$2:$X$1001,MATCH(ROWS($V$2:V349),$V$2:$V$1001,0),0), INDEX($AC$1004:$AS$1004,1,MATCH(COLUMNS($AC$1006:AC1006),$AC$1006:$AS$1006,0)))),"Fix")))</f>
        <v>0</v>
      </c>
      <c r="C349" s="5">
        <f>IF(OR(INDEX($W$2:$W$1001,MATCH(ROWS($V$2:V349),$V$2:$V$1001,0),1)&gt;=100000,INDEX($AC$1005:$AS$1005,1,MATCH(COLUMNS($AC$1006:AD1006),$AC$1006:$AS$1006,0))&gt;=100000), " ",IF(INDEX($AC$2:$AS$1001,MATCH(ROWS($V$2:V349),$V$2:$V$1001,0),MATCH(COLUMNS($AC$1006:AD1006),$AC$1006:$AS$1006,0)), HYPERLINK("#",""), HYPERLINK(CONCATENATE("#Metadata!", ADDRESS(INDEX($X$2:$X$1001,MATCH(ROWS($V$2:V349),$V$2:$V$1001,0),0), INDEX($AC$1004:$AS$1004,1,MATCH(COLUMNS($AC$1006:AD1006),$AC$1006:$AS$1006,0)))),"Fix")))</f>
        <v>0</v>
      </c>
      <c r="D349" s="5">
        <f>IF(OR(INDEX($W$2:$W$1001,MATCH(ROWS($V$2:V349),$V$2:$V$1001,0),1)&gt;=100000,INDEX($AC$1005:$AS$1005,1,MATCH(COLUMNS($AC$1006:AE1006),$AC$1006:$AS$1006,0))&gt;=100000), " ",IF(INDEX($AC$2:$AS$1001,MATCH(ROWS($V$2:V349),$V$2:$V$1001,0),MATCH(COLUMNS($AC$1006:AE1006),$AC$1006:$AS$1006,0)), HYPERLINK("#",""), HYPERLINK(CONCATENATE("#Metadata!", ADDRESS(INDEX($X$2:$X$1001,MATCH(ROWS($V$2:V349),$V$2:$V$1001,0),0), INDEX($AC$1004:$AS$1004,1,MATCH(COLUMNS($AC$1006:AE1006),$AC$1006:$AS$1006,0)))),"Fix")))</f>
        <v>0</v>
      </c>
      <c r="E349" s="5">
        <f>IF(OR(INDEX($W$2:$W$1001,MATCH(ROWS($V$2:V349),$V$2:$V$1001,0),1)&gt;=100000,INDEX($AC$1005:$AS$1005,1,MATCH(COLUMNS($AC$1006:AF1006),$AC$1006:$AS$1006,0))&gt;=100000), " ",IF(INDEX($AC$2:$AS$1001,MATCH(ROWS($V$2:V349),$V$2:$V$1001,0),MATCH(COLUMNS($AC$1006:AF1006),$AC$1006:$AS$1006,0)), HYPERLINK("#",""), HYPERLINK(CONCATENATE("#Metadata!", ADDRESS(INDEX($X$2:$X$1001,MATCH(ROWS($V$2:V349),$V$2:$V$1001,0),0), INDEX($AC$1004:$AS$1004,1,MATCH(COLUMNS($AC$1006:AF1006),$AC$1006:$AS$1006,0)))),"Fix")))</f>
        <v>0</v>
      </c>
      <c r="F349" s="5">
        <f>IF(OR(INDEX($W$2:$W$1001,MATCH(ROWS($V$2:V349),$V$2:$V$1001,0),1)&gt;=100000,INDEX($AC$1005:$AS$1005,1,MATCH(COLUMNS($AC$1006:AG1006),$AC$1006:$AS$1006,0))&gt;=100000), " ",IF(INDEX($AC$2:$AS$1001,MATCH(ROWS($V$2:V349),$V$2:$V$1001,0),MATCH(COLUMNS($AC$1006:AG1006),$AC$1006:$AS$1006,0)), HYPERLINK("#",""), HYPERLINK(CONCATENATE("#Metadata!", ADDRESS(INDEX($X$2:$X$1001,MATCH(ROWS($V$2:V349),$V$2:$V$1001,0),0), INDEX($AC$1004:$AS$1004,1,MATCH(COLUMNS($AC$1006:AG1006),$AC$1006:$AS$1006,0)))),"Fix")))</f>
        <v>0</v>
      </c>
      <c r="G349" s="5">
        <f>IF(OR(INDEX($W$2:$W$1001,MATCH(ROWS($V$2:V349),$V$2:$V$1001,0),1)&gt;=100000,INDEX($AC$1005:$AS$1005,1,MATCH(COLUMNS($AC$1006:AH1006),$AC$1006:$AS$1006,0))&gt;=100000), " ",IF(INDEX($AC$2:$AS$1001,MATCH(ROWS($V$2:V349),$V$2:$V$1001,0),MATCH(COLUMNS($AC$1006:AH1006),$AC$1006:$AS$1006,0)), HYPERLINK("#",""), HYPERLINK(CONCATENATE("#Metadata!", ADDRESS(INDEX($X$2:$X$1001,MATCH(ROWS($V$2:V349),$V$2:$V$1001,0),0), INDEX($AC$1004:$AS$1004,1,MATCH(COLUMNS($AC$1006:AH1006),$AC$1006:$AS$1006,0)))),"Fix")))</f>
        <v>0</v>
      </c>
      <c r="H349" s="5">
        <f>IF(OR(INDEX($W$2:$W$1001,MATCH(ROWS($V$2:V349),$V$2:$V$1001,0),1)&gt;=100000,INDEX($AC$1005:$AS$1005,1,MATCH(COLUMNS($AC$1006:AI1006),$AC$1006:$AS$1006,0))&gt;=100000), " ",IF(INDEX($AC$2:$AS$1001,MATCH(ROWS($V$2:V349),$V$2:$V$1001,0),MATCH(COLUMNS($AC$1006:AI1006),$AC$1006:$AS$1006,0)), HYPERLINK("#",""), HYPERLINK(CONCATENATE("#Metadata!", ADDRESS(INDEX($X$2:$X$1001,MATCH(ROWS($V$2:V349),$V$2:$V$1001,0),0), INDEX($AC$1004:$AS$1004,1,MATCH(COLUMNS($AC$1006:AI1006),$AC$1006:$AS$1006,0)))),"Fix")))</f>
        <v>0</v>
      </c>
      <c r="I349" s="5">
        <f>IF(OR(INDEX($W$2:$W$1001,MATCH(ROWS($V$2:V349),$V$2:$V$1001,0),1)&gt;=100000,INDEX($AC$1005:$AS$1005,1,MATCH(COLUMNS($AC$1006:AJ1006),$AC$1006:$AS$1006,0))&gt;=100000), " ",IF(INDEX($AC$2:$AS$1001,MATCH(ROWS($V$2:V349),$V$2:$V$1001,0),MATCH(COLUMNS($AC$1006:AJ1006),$AC$1006:$AS$1006,0)), HYPERLINK("#",""), HYPERLINK(CONCATENATE("#Metadata!", ADDRESS(INDEX($X$2:$X$1001,MATCH(ROWS($V$2:V349),$V$2:$V$1001,0),0), INDEX($AC$1004:$AS$1004,1,MATCH(COLUMNS($AC$1006:AJ1006),$AC$1006:$AS$1006,0)))),"Fix")))</f>
        <v>0</v>
      </c>
      <c r="J349" s="5">
        <f>IF(OR(INDEX($W$2:$W$1001,MATCH(ROWS($V$2:V349),$V$2:$V$1001,0),1)&gt;=100000,INDEX($AC$1005:$AS$1005,1,MATCH(COLUMNS($AC$1006:AK1006),$AC$1006:$AS$1006,0))&gt;=100000), " ",IF(INDEX($AC$2:$AS$1001,MATCH(ROWS($V$2:V349),$V$2:$V$1001,0),MATCH(COLUMNS($AC$1006:AK1006),$AC$1006:$AS$1006,0)), HYPERLINK("#",""), HYPERLINK(CONCATENATE("#Metadata!", ADDRESS(INDEX($X$2:$X$1001,MATCH(ROWS($V$2:V349),$V$2:$V$1001,0),0), INDEX($AC$1004:$AS$1004,1,MATCH(COLUMNS($AC$1006:AK1006),$AC$1006:$AS$1006,0)))),"Fix")))</f>
        <v>0</v>
      </c>
      <c r="K349" s="5">
        <f>IF(OR(INDEX($W$2:$W$1001,MATCH(ROWS($V$2:V349),$V$2:$V$1001,0),1)&gt;=100000,INDEX($AC$1005:$AS$1005,1,MATCH(COLUMNS($AC$1006:AL1006),$AC$1006:$AS$1006,0))&gt;=100000), " ",IF(INDEX($AC$2:$AS$1001,MATCH(ROWS($V$2:V349),$V$2:$V$1001,0),MATCH(COLUMNS($AC$1006:AL1006),$AC$1006:$AS$1006,0)), HYPERLINK("#",""), HYPERLINK(CONCATENATE("#Metadata!", ADDRESS(INDEX($X$2:$X$1001,MATCH(ROWS($V$2:V349),$V$2:$V$1001,0),0), INDEX($AC$1004:$AS$1004,1,MATCH(COLUMNS($AC$1006:AL1006),$AC$1006:$AS$1006,0)))),"Fix")))</f>
        <v>0</v>
      </c>
      <c r="L349" s="5">
        <f>IF(OR(INDEX($W$2:$W$1001,MATCH(ROWS($V$2:V349),$V$2:$V$1001,0),1)&gt;=100000,INDEX($AC$1005:$AS$1005,1,MATCH(COLUMNS($AC$1006:AM1006),$AC$1006:$AS$1006,0))&gt;=100000), " ",IF(INDEX($AC$2:$AS$1001,MATCH(ROWS($V$2:V349),$V$2:$V$1001,0),MATCH(COLUMNS($AC$1006:AM1006),$AC$1006:$AS$1006,0)), HYPERLINK("#",""), HYPERLINK(CONCATENATE("#Metadata!", ADDRESS(INDEX($X$2:$X$1001,MATCH(ROWS($V$2:V349),$V$2:$V$1001,0),0), INDEX($AC$1004:$AS$1004,1,MATCH(COLUMNS($AC$1006:AM1006),$AC$1006:$AS$1006,0)))),"Fix")))</f>
        <v>0</v>
      </c>
      <c r="M349" s="5">
        <f>IF(OR(INDEX($W$2:$W$1001,MATCH(ROWS($V$2:V349),$V$2:$V$1001,0),1)&gt;=100000,INDEX($AC$1005:$AS$1005,1,MATCH(COLUMNS($AC$1006:AN1006),$AC$1006:$AS$1006,0))&gt;=100000), " ",IF(INDEX($AC$2:$AS$1001,MATCH(ROWS($V$2:V349),$V$2:$V$1001,0),MATCH(COLUMNS($AC$1006:AN1006),$AC$1006:$AS$1006,0)), HYPERLINK("#",""), HYPERLINK(CONCATENATE("#Metadata!", ADDRESS(INDEX($X$2:$X$1001,MATCH(ROWS($V$2:V349),$V$2:$V$1001,0),0), INDEX($AC$1004:$AS$1004,1,MATCH(COLUMNS($AC$1006:AN1006),$AC$1006:$AS$1006,0)))),"Fix")))</f>
        <v>0</v>
      </c>
      <c r="N349" s="5">
        <f>IF(OR(INDEX($W$2:$W$1001,MATCH(ROWS($V$2:V349),$V$2:$V$1001,0),1)&gt;=100000,INDEX($AC$1005:$AS$1005,1,MATCH(COLUMNS($AC$1006:AO1006),$AC$1006:$AS$1006,0))&gt;=100000), " ",IF(INDEX($AC$2:$AS$1001,MATCH(ROWS($V$2:V349),$V$2:$V$1001,0),MATCH(COLUMNS($AC$1006:AO1006),$AC$1006:$AS$1006,0)), HYPERLINK("#",""), HYPERLINK(CONCATENATE("#Metadata!", ADDRESS(INDEX($X$2:$X$1001,MATCH(ROWS($V$2:V349),$V$2:$V$1001,0),0), INDEX($AC$1004:$AS$1004,1,MATCH(COLUMNS($AC$1006:AO1006),$AC$1006:$AS$1006,0)))),"Fix")))</f>
        <v>0</v>
      </c>
      <c r="O349" s="5">
        <f>IF(OR(INDEX($W$2:$W$1001,MATCH(ROWS($V$2:V349),$V$2:$V$1001,0),1)&gt;=100000,INDEX($AC$1005:$AS$1005,1,MATCH(COLUMNS($AC$1006:AP1006),$AC$1006:$AS$1006,0))&gt;=100000), " ",IF(INDEX($AC$2:$AS$1001,MATCH(ROWS($V$2:V349),$V$2:$V$1001,0),MATCH(COLUMNS($AC$1006:AP1006),$AC$1006:$AS$1006,0)), HYPERLINK("#",""), HYPERLINK(CONCATENATE("#Metadata!", ADDRESS(INDEX($X$2:$X$1001,MATCH(ROWS($V$2:V349),$V$2:$V$1001,0),0), INDEX($AC$1004:$AS$1004,1,MATCH(COLUMNS($AC$1006:AP1006),$AC$1006:$AS$1006,0)))),"Fix")))</f>
        <v>0</v>
      </c>
      <c r="P349" s="5">
        <f>IF(OR(INDEX($W$2:$W$1001,MATCH(ROWS($V$2:V349),$V$2:$V$1001,0),1)&gt;=100000,INDEX($AC$1005:$AS$1005,1,MATCH(COLUMNS($AC$1006:AQ1006),$AC$1006:$AS$1006,0))&gt;=100000), " ",IF(INDEX($AC$2:$AS$1001,MATCH(ROWS($V$2:V349),$V$2:$V$1001,0),MATCH(COLUMNS($AC$1006:AQ1006),$AC$1006:$AS$1006,0)), HYPERLINK("#",""), HYPERLINK(CONCATENATE("#Metadata!", ADDRESS(INDEX($X$2:$X$1001,MATCH(ROWS($V$2:V349),$V$2:$V$1001,0),0), INDEX($AC$1004:$AS$1004,1,MATCH(COLUMNS($AC$1006:AQ1006),$AC$1006:$AS$1006,0)))),"Fix")))</f>
        <v>0</v>
      </c>
      <c r="Q349" s="5">
        <f>IF(OR(INDEX($W$2:$W$1001,MATCH(ROWS($V$2:V349),$V$2:$V$1001,0),1)&gt;=100000,INDEX($AC$1005:$AS$1005,1,MATCH(COLUMNS($AC$1006:AR1006),$AC$1006:$AS$1006,0))&gt;=100000), " ",IF(INDEX($AC$2:$AS$1001,MATCH(ROWS($V$2:V349),$V$2:$V$1001,0),MATCH(COLUMNS($AC$1006:AR1006),$AC$1006:$AS$1006,0)), HYPERLINK("#",""), HYPERLINK(CONCATENATE("#Metadata!", ADDRESS(INDEX($X$2:$X$1001,MATCH(ROWS($V$2:V349),$V$2:$V$1001,0),0), INDEX($AC$1004:$AS$1004,1,MATCH(COLUMNS($AC$1006:AR1006),$AC$1006:$AS$1006,0)))),"Fix")))</f>
        <v>0</v>
      </c>
      <c r="R349" s="5">
        <f>IF(OR(INDEX($W$2:$W$1001,MATCH(ROWS($V$2:V349),$V$2:$V$1001,0),1)&gt;=100000,INDEX($AC$1005:$AS$1005,1,MATCH(COLUMNS($AC$1006:AS1006),$AC$1006:$AS$1006,0))&gt;=100000), " ",IF(INDEX($AC$2:$AS$1001,MATCH(ROWS($V$2:V349),$V$2:$V$1001,0),MATCH(COLUMNS($AC$1006:AS1006),$AC$1006:$AS$1006,0)), HYPERLINK("#",""), HYPERLINK(CONCATENATE("#Metadata!", ADDRESS(INDEX($X$2:$X$1001,MATCH(ROWS($V$2:V349),$V$2:$V$1001,0),0), INDEX($AC$1004:$AS$1004,1,MATCH(COLUMNS($AC$1006:AS1006),$AC$1006:$AS$1006,0)))),"Fix")))</f>
        <v>0</v>
      </c>
      <c r="V349">
        <v>0</v>
      </c>
      <c r="W349">
        <v>0</v>
      </c>
      <c r="X349">
        <v>0</v>
      </c>
      <c r="Y349">
        <f>IF(Z349,TRUE,AND(AC349:AS349))</f>
        <v>0</v>
      </c>
      <c r="Z349">
        <f>COUNTBLANK(Metadata!B349:R349)=COLUMNS(Metadata!B349:R349)</f>
        <v>0</v>
      </c>
      <c r="AA349">
        <v>0</v>
      </c>
      <c r="AC349">
        <f>AND(IF(Metadata!B349="",FALSE,TRUE),COUNTIF(Metadata!B:B, Metadata!B349) = 1,NOT(ISERROR(SUMPRODUCT(SEARCH(MID(Metadata!B349,ROW(INDIRECT("1:"&amp;LEN(Metadata!B349))), 1),"0123456789abcdefghijklmnopqrstuvwxyzABCDEFGHIJKLMNOPQRSTUVWXYZ.")))))</f>
        <v>0</v>
      </c>
      <c r="AD349">
        <f>AND(IF(Metadata!C349="",FALSE,TRUE),exact(Metadata!C349,"Host-associated"))</f>
        <v>0</v>
      </c>
      <c r="AE349">
        <f>AND(IF(Metadata!D349="",FALSE,TRUE),OR(exact(Metadata!D349,"Animal"),exact(Metadata!D349,"Fungus"),exact(Metadata!D349,"Plant")))</f>
        <v>0</v>
      </c>
      <c r="AF349">
        <f>AND(IF(Metadata!E349="",FALSE,TRUE),OR(exact(Metadata!E349,"Plant secretion"),exact(Metadata!E349,"Plant rhizosphere"),exact(Metadata!E349,"Plant surface"),exact(Metadata!E349,"Plant corpus"),exact(Metadata!E349,"Fungus surface"),exact(Metadata!E349,"Fungus corpus"),exact(Metadata!E349,"Animal surface"),exact(Metadata!E349,"Animal proximal gut"),exact(Metadata!E349,"Animal corpus"),exact(Metadata!E349,"Animal distal gut"),exact(Metadata!E349,"Animal secretion")))</f>
        <v>0</v>
      </c>
      <c r="AG349">
        <f>OR(AND(IF(Metadata!F349="",FALSE,TRUE),OR(exact(Metadata!F349,"not collected"),exact(Metadata!F349,"not provided"),exact(Metadata!F349,"restricted access"))),AND(IF(Metadata!F349="",FALSE,TRUE),OR(exact(Metadata!F349,"organism-associated habitat"),exact(Metadata!F349,"plant-associated habitat"),exact(Metadata!F349,"animal-associated habitat"),exact(Metadata!F349,"insecta-associated habitat"),exact(Metadata!F349,"mammalia-associated habitat"),exact(Metadata!F349,"human-associated habitat"),exact(Metadata!F349,"livestock-associated habitat"))))</f>
        <v>0</v>
      </c>
      <c r="AH349">
        <f>AND(IF(Metadata!G349="",FALSE,TRUE),exact(Metadata!G349,"host-associated"))</f>
        <v>0</v>
      </c>
      <c r="AI349">
        <f>OR(AND(IF(Metadata!H349="",FALSE,TRUE),OR(exact(Metadata!H349,"not collected"),exact(Metadata!H349,"not provided"))),AND(IF(Metadata!H349="",FALSE,ISNUMBER(VALUE(Metadata!H349))),Metadata!H349&gt;0))</f>
        <v>0</v>
      </c>
      <c r="AJ349">
        <f>AND(IF(Metadata!I349="",FALSE,TRUE),exact(Metadata!I349,"years"))</f>
        <v>0</v>
      </c>
      <c r="AK349">
        <f>IF(Metadata!J349="",FALSE,TRUE)</f>
        <v>0</v>
      </c>
      <c r="AL349">
        <f>OR(AND(IF(Metadata!K349="",FALSE,TRUE),OR(exact(Metadata!K349,"not collected"),exact(Metadata!K349,"not provided"))),AND(IF(Metadata!K349="",FALSE,ISNUMBER(VALUE(Metadata!K349))),Metadata!K349&gt;0))</f>
        <v>0</v>
      </c>
      <c r="AM349">
        <f>AND(IF(Metadata!L349="",FALSE,TRUE),exact(Metadata!L349,"cm"))</f>
        <v>0</v>
      </c>
      <c r="AN349">
        <f>IF(Metadata!M349="",FALSE,TRUE)</f>
        <v>0</v>
      </c>
      <c r="AO349">
        <f>OR(AND(IF(Metadata!N349="",FALSE,TRUE),OR(exact(Metadata!N349,"not applicable"),exact(Metadata!N349,"not collected"),exact(Metadata!N349,"not provided"))),AND(IF(Metadata!N349="",FALSE,IF(ISERROR(INT(Metadata!N349)),FALSE,INT(Metadata!N349)=Metadata!N349)),Metadata!N349&gt;0))</f>
        <v>0</v>
      </c>
      <c r="AP349">
        <f>OR(AND(IF(Metadata!O349="",FALSE,TRUE),OR(exact(Metadata!O349,"not collected"),exact(Metadata!O349,"not provided"))),AND(IF(Metadata!O349="",FALSE,ISNUMBER(VALUE(Metadata!O349))),Metadata!O349&gt;0))</f>
        <v>0</v>
      </c>
      <c r="AQ349">
        <f>AND(IF(Metadata!P349="",FALSE,TRUE),exact(Metadata!P349,"kg"))</f>
        <v>0</v>
      </c>
      <c r="AR349">
        <f>OR(AND(IF(Metadata!Q349="",FALSE,TRUE),OR(exact(Metadata!Q349,"not applicable"),exact(Metadata!Q349,"not collected"),exact(Metadata!Q349,"not provided"),exact(Metadata!Q349,"restricted access"))),IF(Metadata!Q349="",FALSE,IF(ISERROR(INT(Metadata!Q349)),FALSE,INT(Metadata!Q349)=Metadata!Q349)))</f>
        <v>0</v>
      </c>
      <c r="AS349">
        <f>AND(IF(Metadata!R349="",FALSE,TRUE),exact(Metadata!R349,"Not applicable"))</f>
        <v>0</v>
      </c>
    </row>
    <row r="350" spans="1:45">
      <c r="A350" s="4">
        <f>IF(B350=" "," ",HYPERLINK(CONCATENATE("#metadata!",ADDRESS(INDEX($X$2:$X$1001,MATCH(ROWS($V$2:V350),$V$2:$V$1001,0),0),2)),INDEX($AA$2:$AA$1001,MATCH(ROWS($V$2:V350),$V$2:$V$1001,0),0)))</f>
        <v>0</v>
      </c>
      <c r="B350" s="5">
        <f>IF(OR(INDEX($W$2:$W$1001,MATCH(ROWS($V$2:V350),$V$2:$V$1001,0),1)&gt;=100000,INDEX($AC$1005:$AS$1005,1,MATCH(COLUMNS($AC$1006:AC1006),$AC$1006:$AS$1006,0))&gt;=100000), " ",IF(INDEX($AC$2:$AS$1001,MATCH(ROWS($V$2:V350),$V$2:$V$1001,0),MATCH(COLUMNS($AC$1006:AC1006),$AC$1006:$AS$1006,0)), HYPERLINK("#",""), HYPERLINK(CONCATENATE("#Metadata!", ADDRESS(INDEX($X$2:$X$1001,MATCH(ROWS($V$2:V350),$V$2:$V$1001,0),0), INDEX($AC$1004:$AS$1004,1,MATCH(COLUMNS($AC$1006:AC1006),$AC$1006:$AS$1006,0)))),"Fix")))</f>
        <v>0</v>
      </c>
      <c r="C350" s="5">
        <f>IF(OR(INDEX($W$2:$W$1001,MATCH(ROWS($V$2:V350),$V$2:$V$1001,0),1)&gt;=100000,INDEX($AC$1005:$AS$1005,1,MATCH(COLUMNS($AC$1006:AD1006),$AC$1006:$AS$1006,0))&gt;=100000), " ",IF(INDEX($AC$2:$AS$1001,MATCH(ROWS($V$2:V350),$V$2:$V$1001,0),MATCH(COLUMNS($AC$1006:AD1006),$AC$1006:$AS$1006,0)), HYPERLINK("#",""), HYPERLINK(CONCATENATE("#Metadata!", ADDRESS(INDEX($X$2:$X$1001,MATCH(ROWS($V$2:V350),$V$2:$V$1001,0),0), INDEX($AC$1004:$AS$1004,1,MATCH(COLUMNS($AC$1006:AD1006),$AC$1006:$AS$1006,0)))),"Fix")))</f>
        <v>0</v>
      </c>
      <c r="D350" s="5">
        <f>IF(OR(INDEX($W$2:$W$1001,MATCH(ROWS($V$2:V350),$V$2:$V$1001,0),1)&gt;=100000,INDEX($AC$1005:$AS$1005,1,MATCH(COLUMNS($AC$1006:AE1006),$AC$1006:$AS$1006,0))&gt;=100000), " ",IF(INDEX($AC$2:$AS$1001,MATCH(ROWS($V$2:V350),$V$2:$V$1001,0),MATCH(COLUMNS($AC$1006:AE1006),$AC$1006:$AS$1006,0)), HYPERLINK("#",""), HYPERLINK(CONCATENATE("#Metadata!", ADDRESS(INDEX($X$2:$X$1001,MATCH(ROWS($V$2:V350),$V$2:$V$1001,0),0), INDEX($AC$1004:$AS$1004,1,MATCH(COLUMNS($AC$1006:AE1006),$AC$1006:$AS$1006,0)))),"Fix")))</f>
        <v>0</v>
      </c>
      <c r="E350" s="5">
        <f>IF(OR(INDEX($W$2:$W$1001,MATCH(ROWS($V$2:V350),$V$2:$V$1001,0),1)&gt;=100000,INDEX($AC$1005:$AS$1005,1,MATCH(COLUMNS($AC$1006:AF1006),$AC$1006:$AS$1006,0))&gt;=100000), " ",IF(INDEX($AC$2:$AS$1001,MATCH(ROWS($V$2:V350),$V$2:$V$1001,0),MATCH(COLUMNS($AC$1006:AF1006),$AC$1006:$AS$1006,0)), HYPERLINK("#",""), HYPERLINK(CONCATENATE("#Metadata!", ADDRESS(INDEX($X$2:$X$1001,MATCH(ROWS($V$2:V350),$V$2:$V$1001,0),0), INDEX($AC$1004:$AS$1004,1,MATCH(COLUMNS($AC$1006:AF1006),$AC$1006:$AS$1006,0)))),"Fix")))</f>
        <v>0</v>
      </c>
      <c r="F350" s="5">
        <f>IF(OR(INDEX($W$2:$W$1001,MATCH(ROWS($V$2:V350),$V$2:$V$1001,0),1)&gt;=100000,INDEX($AC$1005:$AS$1005,1,MATCH(COLUMNS($AC$1006:AG1006),$AC$1006:$AS$1006,0))&gt;=100000), " ",IF(INDEX($AC$2:$AS$1001,MATCH(ROWS($V$2:V350),$V$2:$V$1001,0),MATCH(COLUMNS($AC$1006:AG1006),$AC$1006:$AS$1006,0)), HYPERLINK("#",""), HYPERLINK(CONCATENATE("#Metadata!", ADDRESS(INDEX($X$2:$X$1001,MATCH(ROWS($V$2:V350),$V$2:$V$1001,0),0), INDEX($AC$1004:$AS$1004,1,MATCH(COLUMNS($AC$1006:AG1006),$AC$1006:$AS$1006,0)))),"Fix")))</f>
        <v>0</v>
      </c>
      <c r="G350" s="5">
        <f>IF(OR(INDEX($W$2:$W$1001,MATCH(ROWS($V$2:V350),$V$2:$V$1001,0),1)&gt;=100000,INDEX($AC$1005:$AS$1005,1,MATCH(COLUMNS($AC$1006:AH1006),$AC$1006:$AS$1006,0))&gt;=100000), " ",IF(INDEX($AC$2:$AS$1001,MATCH(ROWS($V$2:V350),$V$2:$V$1001,0),MATCH(COLUMNS($AC$1006:AH1006),$AC$1006:$AS$1006,0)), HYPERLINK("#",""), HYPERLINK(CONCATENATE("#Metadata!", ADDRESS(INDEX($X$2:$X$1001,MATCH(ROWS($V$2:V350),$V$2:$V$1001,0),0), INDEX($AC$1004:$AS$1004,1,MATCH(COLUMNS($AC$1006:AH1006),$AC$1006:$AS$1006,0)))),"Fix")))</f>
        <v>0</v>
      </c>
      <c r="H350" s="5">
        <f>IF(OR(INDEX($W$2:$W$1001,MATCH(ROWS($V$2:V350),$V$2:$V$1001,0),1)&gt;=100000,INDEX($AC$1005:$AS$1005,1,MATCH(COLUMNS($AC$1006:AI1006),$AC$1006:$AS$1006,0))&gt;=100000), " ",IF(INDEX($AC$2:$AS$1001,MATCH(ROWS($V$2:V350),$V$2:$V$1001,0),MATCH(COLUMNS($AC$1006:AI1006),$AC$1006:$AS$1006,0)), HYPERLINK("#",""), HYPERLINK(CONCATENATE("#Metadata!", ADDRESS(INDEX($X$2:$X$1001,MATCH(ROWS($V$2:V350),$V$2:$V$1001,0),0), INDEX($AC$1004:$AS$1004,1,MATCH(COLUMNS($AC$1006:AI1006),$AC$1006:$AS$1006,0)))),"Fix")))</f>
        <v>0</v>
      </c>
      <c r="I350" s="5">
        <f>IF(OR(INDEX($W$2:$W$1001,MATCH(ROWS($V$2:V350),$V$2:$V$1001,0),1)&gt;=100000,INDEX($AC$1005:$AS$1005,1,MATCH(COLUMNS($AC$1006:AJ1006),$AC$1006:$AS$1006,0))&gt;=100000), " ",IF(INDEX($AC$2:$AS$1001,MATCH(ROWS($V$2:V350),$V$2:$V$1001,0),MATCH(COLUMNS($AC$1006:AJ1006),$AC$1006:$AS$1006,0)), HYPERLINK("#",""), HYPERLINK(CONCATENATE("#Metadata!", ADDRESS(INDEX($X$2:$X$1001,MATCH(ROWS($V$2:V350),$V$2:$V$1001,0),0), INDEX($AC$1004:$AS$1004,1,MATCH(COLUMNS($AC$1006:AJ1006),$AC$1006:$AS$1006,0)))),"Fix")))</f>
        <v>0</v>
      </c>
      <c r="J350" s="5">
        <f>IF(OR(INDEX($W$2:$W$1001,MATCH(ROWS($V$2:V350),$V$2:$V$1001,0),1)&gt;=100000,INDEX($AC$1005:$AS$1005,1,MATCH(COLUMNS($AC$1006:AK1006),$AC$1006:$AS$1006,0))&gt;=100000), " ",IF(INDEX($AC$2:$AS$1001,MATCH(ROWS($V$2:V350),$V$2:$V$1001,0),MATCH(COLUMNS($AC$1006:AK1006),$AC$1006:$AS$1006,0)), HYPERLINK("#",""), HYPERLINK(CONCATENATE("#Metadata!", ADDRESS(INDEX($X$2:$X$1001,MATCH(ROWS($V$2:V350),$V$2:$V$1001,0),0), INDEX($AC$1004:$AS$1004,1,MATCH(COLUMNS($AC$1006:AK1006),$AC$1006:$AS$1006,0)))),"Fix")))</f>
        <v>0</v>
      </c>
      <c r="K350" s="5">
        <f>IF(OR(INDEX($W$2:$W$1001,MATCH(ROWS($V$2:V350),$V$2:$V$1001,0),1)&gt;=100000,INDEX($AC$1005:$AS$1005,1,MATCH(COLUMNS($AC$1006:AL1006),$AC$1006:$AS$1006,0))&gt;=100000), " ",IF(INDEX($AC$2:$AS$1001,MATCH(ROWS($V$2:V350),$V$2:$V$1001,0),MATCH(COLUMNS($AC$1006:AL1006),$AC$1006:$AS$1006,0)), HYPERLINK("#",""), HYPERLINK(CONCATENATE("#Metadata!", ADDRESS(INDEX($X$2:$X$1001,MATCH(ROWS($V$2:V350),$V$2:$V$1001,0),0), INDEX($AC$1004:$AS$1004,1,MATCH(COLUMNS($AC$1006:AL1006),$AC$1006:$AS$1006,0)))),"Fix")))</f>
        <v>0</v>
      </c>
      <c r="L350" s="5">
        <f>IF(OR(INDEX($W$2:$W$1001,MATCH(ROWS($V$2:V350),$V$2:$V$1001,0),1)&gt;=100000,INDEX($AC$1005:$AS$1005,1,MATCH(COLUMNS($AC$1006:AM1006),$AC$1006:$AS$1006,0))&gt;=100000), " ",IF(INDEX($AC$2:$AS$1001,MATCH(ROWS($V$2:V350),$V$2:$V$1001,0),MATCH(COLUMNS($AC$1006:AM1006),$AC$1006:$AS$1006,0)), HYPERLINK("#",""), HYPERLINK(CONCATENATE("#Metadata!", ADDRESS(INDEX($X$2:$X$1001,MATCH(ROWS($V$2:V350),$V$2:$V$1001,0),0), INDEX($AC$1004:$AS$1004,1,MATCH(COLUMNS($AC$1006:AM1006),$AC$1006:$AS$1006,0)))),"Fix")))</f>
        <v>0</v>
      </c>
      <c r="M350" s="5">
        <f>IF(OR(INDEX($W$2:$W$1001,MATCH(ROWS($V$2:V350),$V$2:$V$1001,0),1)&gt;=100000,INDEX($AC$1005:$AS$1005,1,MATCH(COLUMNS($AC$1006:AN1006),$AC$1006:$AS$1006,0))&gt;=100000), " ",IF(INDEX($AC$2:$AS$1001,MATCH(ROWS($V$2:V350),$V$2:$V$1001,0),MATCH(COLUMNS($AC$1006:AN1006),$AC$1006:$AS$1006,0)), HYPERLINK("#",""), HYPERLINK(CONCATENATE("#Metadata!", ADDRESS(INDEX($X$2:$X$1001,MATCH(ROWS($V$2:V350),$V$2:$V$1001,0),0), INDEX($AC$1004:$AS$1004,1,MATCH(COLUMNS($AC$1006:AN1006),$AC$1006:$AS$1006,0)))),"Fix")))</f>
        <v>0</v>
      </c>
      <c r="N350" s="5">
        <f>IF(OR(INDEX($W$2:$W$1001,MATCH(ROWS($V$2:V350),$V$2:$V$1001,0),1)&gt;=100000,INDEX($AC$1005:$AS$1005,1,MATCH(COLUMNS($AC$1006:AO1006),$AC$1006:$AS$1006,0))&gt;=100000), " ",IF(INDEX($AC$2:$AS$1001,MATCH(ROWS($V$2:V350),$V$2:$V$1001,0),MATCH(COLUMNS($AC$1006:AO1006),$AC$1006:$AS$1006,0)), HYPERLINK("#",""), HYPERLINK(CONCATENATE("#Metadata!", ADDRESS(INDEX($X$2:$X$1001,MATCH(ROWS($V$2:V350),$V$2:$V$1001,0),0), INDEX($AC$1004:$AS$1004,1,MATCH(COLUMNS($AC$1006:AO1006),$AC$1006:$AS$1006,0)))),"Fix")))</f>
        <v>0</v>
      </c>
      <c r="O350" s="5">
        <f>IF(OR(INDEX($W$2:$W$1001,MATCH(ROWS($V$2:V350),$V$2:$V$1001,0),1)&gt;=100000,INDEX($AC$1005:$AS$1005,1,MATCH(COLUMNS($AC$1006:AP1006),$AC$1006:$AS$1006,0))&gt;=100000), " ",IF(INDEX($AC$2:$AS$1001,MATCH(ROWS($V$2:V350),$V$2:$V$1001,0),MATCH(COLUMNS($AC$1006:AP1006),$AC$1006:$AS$1006,0)), HYPERLINK("#",""), HYPERLINK(CONCATENATE("#Metadata!", ADDRESS(INDEX($X$2:$X$1001,MATCH(ROWS($V$2:V350),$V$2:$V$1001,0),0), INDEX($AC$1004:$AS$1004,1,MATCH(COLUMNS($AC$1006:AP1006),$AC$1006:$AS$1006,0)))),"Fix")))</f>
        <v>0</v>
      </c>
      <c r="P350" s="5">
        <f>IF(OR(INDEX($W$2:$W$1001,MATCH(ROWS($V$2:V350),$V$2:$V$1001,0),1)&gt;=100000,INDEX($AC$1005:$AS$1005,1,MATCH(COLUMNS($AC$1006:AQ1006),$AC$1006:$AS$1006,0))&gt;=100000), " ",IF(INDEX($AC$2:$AS$1001,MATCH(ROWS($V$2:V350),$V$2:$V$1001,0),MATCH(COLUMNS($AC$1006:AQ1006),$AC$1006:$AS$1006,0)), HYPERLINK("#",""), HYPERLINK(CONCATENATE("#Metadata!", ADDRESS(INDEX($X$2:$X$1001,MATCH(ROWS($V$2:V350),$V$2:$V$1001,0),0), INDEX($AC$1004:$AS$1004,1,MATCH(COLUMNS($AC$1006:AQ1006),$AC$1006:$AS$1006,0)))),"Fix")))</f>
        <v>0</v>
      </c>
      <c r="Q350" s="5">
        <f>IF(OR(INDEX($W$2:$W$1001,MATCH(ROWS($V$2:V350),$V$2:$V$1001,0),1)&gt;=100000,INDEX($AC$1005:$AS$1005,1,MATCH(COLUMNS($AC$1006:AR1006),$AC$1006:$AS$1006,0))&gt;=100000), " ",IF(INDEX($AC$2:$AS$1001,MATCH(ROWS($V$2:V350),$V$2:$V$1001,0),MATCH(COLUMNS($AC$1006:AR1006),$AC$1006:$AS$1006,0)), HYPERLINK("#",""), HYPERLINK(CONCATENATE("#Metadata!", ADDRESS(INDEX($X$2:$X$1001,MATCH(ROWS($V$2:V350),$V$2:$V$1001,0),0), INDEX($AC$1004:$AS$1004,1,MATCH(COLUMNS($AC$1006:AR1006),$AC$1006:$AS$1006,0)))),"Fix")))</f>
        <v>0</v>
      </c>
      <c r="R350" s="5">
        <f>IF(OR(INDEX($W$2:$W$1001,MATCH(ROWS($V$2:V350),$V$2:$V$1001,0),1)&gt;=100000,INDEX($AC$1005:$AS$1005,1,MATCH(COLUMNS($AC$1006:AS1006),$AC$1006:$AS$1006,0))&gt;=100000), " ",IF(INDEX($AC$2:$AS$1001,MATCH(ROWS($V$2:V350),$V$2:$V$1001,0),MATCH(COLUMNS($AC$1006:AS1006),$AC$1006:$AS$1006,0)), HYPERLINK("#",""), HYPERLINK(CONCATENATE("#Metadata!", ADDRESS(INDEX($X$2:$X$1001,MATCH(ROWS($V$2:V350),$V$2:$V$1001,0),0), INDEX($AC$1004:$AS$1004,1,MATCH(COLUMNS($AC$1006:AS1006),$AC$1006:$AS$1006,0)))),"Fix")))</f>
        <v>0</v>
      </c>
      <c r="V350">
        <v>0</v>
      </c>
      <c r="W350">
        <v>0</v>
      </c>
      <c r="X350">
        <v>0</v>
      </c>
      <c r="Y350">
        <f>IF(Z350,TRUE,AND(AC350:AS350))</f>
        <v>0</v>
      </c>
      <c r="Z350">
        <f>COUNTBLANK(Metadata!B350:R350)=COLUMNS(Metadata!B350:R350)</f>
        <v>0</v>
      </c>
      <c r="AA350">
        <v>0</v>
      </c>
      <c r="AC350">
        <f>AND(IF(Metadata!B350="",FALSE,TRUE),COUNTIF(Metadata!B:B, Metadata!B350) = 1,NOT(ISERROR(SUMPRODUCT(SEARCH(MID(Metadata!B350,ROW(INDIRECT("1:"&amp;LEN(Metadata!B350))), 1),"0123456789abcdefghijklmnopqrstuvwxyzABCDEFGHIJKLMNOPQRSTUVWXYZ.")))))</f>
        <v>0</v>
      </c>
      <c r="AD350">
        <f>AND(IF(Metadata!C350="",FALSE,TRUE),exact(Metadata!C350,"Host-associated"))</f>
        <v>0</v>
      </c>
      <c r="AE350">
        <f>AND(IF(Metadata!D350="",FALSE,TRUE),OR(exact(Metadata!D350,"Animal"),exact(Metadata!D350,"Fungus"),exact(Metadata!D350,"Plant")))</f>
        <v>0</v>
      </c>
      <c r="AF350">
        <f>AND(IF(Metadata!E350="",FALSE,TRUE),OR(exact(Metadata!E350,"Plant secretion"),exact(Metadata!E350,"Plant rhizosphere"),exact(Metadata!E350,"Plant surface"),exact(Metadata!E350,"Plant corpus"),exact(Metadata!E350,"Fungus surface"),exact(Metadata!E350,"Fungus corpus"),exact(Metadata!E350,"Animal surface"),exact(Metadata!E350,"Animal proximal gut"),exact(Metadata!E350,"Animal corpus"),exact(Metadata!E350,"Animal distal gut"),exact(Metadata!E350,"Animal secretion")))</f>
        <v>0</v>
      </c>
      <c r="AG350">
        <f>OR(AND(IF(Metadata!F350="",FALSE,TRUE),OR(exact(Metadata!F350,"not collected"),exact(Metadata!F350,"not provided"),exact(Metadata!F350,"restricted access"))),AND(IF(Metadata!F350="",FALSE,TRUE),OR(exact(Metadata!F350,"organism-associated habitat"),exact(Metadata!F350,"plant-associated habitat"),exact(Metadata!F350,"animal-associated habitat"),exact(Metadata!F350,"insecta-associated habitat"),exact(Metadata!F350,"mammalia-associated habitat"),exact(Metadata!F350,"human-associated habitat"),exact(Metadata!F350,"livestock-associated habitat"))))</f>
        <v>0</v>
      </c>
      <c r="AH350">
        <f>AND(IF(Metadata!G350="",FALSE,TRUE),exact(Metadata!G350,"host-associated"))</f>
        <v>0</v>
      </c>
      <c r="AI350">
        <f>OR(AND(IF(Metadata!H350="",FALSE,TRUE),OR(exact(Metadata!H350,"not collected"),exact(Metadata!H350,"not provided"))),AND(IF(Metadata!H350="",FALSE,ISNUMBER(VALUE(Metadata!H350))),Metadata!H350&gt;0))</f>
        <v>0</v>
      </c>
      <c r="AJ350">
        <f>AND(IF(Metadata!I350="",FALSE,TRUE),exact(Metadata!I350,"years"))</f>
        <v>0</v>
      </c>
      <c r="AK350">
        <f>IF(Metadata!J350="",FALSE,TRUE)</f>
        <v>0</v>
      </c>
      <c r="AL350">
        <f>OR(AND(IF(Metadata!K350="",FALSE,TRUE),OR(exact(Metadata!K350,"not collected"),exact(Metadata!K350,"not provided"))),AND(IF(Metadata!K350="",FALSE,ISNUMBER(VALUE(Metadata!K350))),Metadata!K350&gt;0))</f>
        <v>0</v>
      </c>
      <c r="AM350">
        <f>AND(IF(Metadata!L350="",FALSE,TRUE),exact(Metadata!L350,"cm"))</f>
        <v>0</v>
      </c>
      <c r="AN350">
        <f>IF(Metadata!M350="",FALSE,TRUE)</f>
        <v>0</v>
      </c>
      <c r="AO350">
        <f>OR(AND(IF(Metadata!N350="",FALSE,TRUE),OR(exact(Metadata!N350,"not applicable"),exact(Metadata!N350,"not collected"),exact(Metadata!N350,"not provided"))),AND(IF(Metadata!N350="",FALSE,IF(ISERROR(INT(Metadata!N350)),FALSE,INT(Metadata!N350)=Metadata!N350)),Metadata!N350&gt;0))</f>
        <v>0</v>
      </c>
      <c r="AP350">
        <f>OR(AND(IF(Metadata!O350="",FALSE,TRUE),OR(exact(Metadata!O350,"not collected"),exact(Metadata!O350,"not provided"))),AND(IF(Metadata!O350="",FALSE,ISNUMBER(VALUE(Metadata!O350))),Metadata!O350&gt;0))</f>
        <v>0</v>
      </c>
      <c r="AQ350">
        <f>AND(IF(Metadata!P350="",FALSE,TRUE),exact(Metadata!P350,"kg"))</f>
        <v>0</v>
      </c>
      <c r="AR350">
        <f>OR(AND(IF(Metadata!Q350="",FALSE,TRUE),OR(exact(Metadata!Q350,"not applicable"),exact(Metadata!Q350,"not collected"),exact(Metadata!Q350,"not provided"),exact(Metadata!Q350,"restricted access"))),IF(Metadata!Q350="",FALSE,IF(ISERROR(INT(Metadata!Q350)),FALSE,INT(Metadata!Q350)=Metadata!Q350)))</f>
        <v>0</v>
      </c>
      <c r="AS350">
        <f>AND(IF(Metadata!R350="",FALSE,TRUE),exact(Metadata!R350,"Not applicable"))</f>
        <v>0</v>
      </c>
    </row>
    <row r="351" spans="1:45">
      <c r="A351" s="4">
        <f>IF(B351=" "," ",HYPERLINK(CONCATENATE("#metadata!",ADDRESS(INDEX($X$2:$X$1001,MATCH(ROWS($V$2:V351),$V$2:$V$1001,0),0),2)),INDEX($AA$2:$AA$1001,MATCH(ROWS($V$2:V351),$V$2:$V$1001,0),0)))</f>
        <v>0</v>
      </c>
      <c r="B351" s="5">
        <f>IF(OR(INDEX($W$2:$W$1001,MATCH(ROWS($V$2:V351),$V$2:$V$1001,0),1)&gt;=100000,INDEX($AC$1005:$AS$1005,1,MATCH(COLUMNS($AC$1006:AC1006),$AC$1006:$AS$1006,0))&gt;=100000), " ",IF(INDEX($AC$2:$AS$1001,MATCH(ROWS($V$2:V351),$V$2:$V$1001,0),MATCH(COLUMNS($AC$1006:AC1006),$AC$1006:$AS$1006,0)), HYPERLINK("#",""), HYPERLINK(CONCATENATE("#Metadata!", ADDRESS(INDEX($X$2:$X$1001,MATCH(ROWS($V$2:V351),$V$2:$V$1001,0),0), INDEX($AC$1004:$AS$1004,1,MATCH(COLUMNS($AC$1006:AC1006),$AC$1006:$AS$1006,0)))),"Fix")))</f>
        <v>0</v>
      </c>
      <c r="C351" s="5">
        <f>IF(OR(INDEX($W$2:$W$1001,MATCH(ROWS($V$2:V351),$V$2:$V$1001,0),1)&gt;=100000,INDEX($AC$1005:$AS$1005,1,MATCH(COLUMNS($AC$1006:AD1006),$AC$1006:$AS$1006,0))&gt;=100000), " ",IF(INDEX($AC$2:$AS$1001,MATCH(ROWS($V$2:V351),$V$2:$V$1001,0),MATCH(COLUMNS($AC$1006:AD1006),$AC$1006:$AS$1006,0)), HYPERLINK("#",""), HYPERLINK(CONCATENATE("#Metadata!", ADDRESS(INDEX($X$2:$X$1001,MATCH(ROWS($V$2:V351),$V$2:$V$1001,0),0), INDEX($AC$1004:$AS$1004,1,MATCH(COLUMNS($AC$1006:AD1006),$AC$1006:$AS$1006,0)))),"Fix")))</f>
        <v>0</v>
      </c>
      <c r="D351" s="5">
        <f>IF(OR(INDEX($W$2:$W$1001,MATCH(ROWS($V$2:V351),$V$2:$V$1001,0),1)&gt;=100000,INDEX($AC$1005:$AS$1005,1,MATCH(COLUMNS($AC$1006:AE1006),$AC$1006:$AS$1006,0))&gt;=100000), " ",IF(INDEX($AC$2:$AS$1001,MATCH(ROWS($V$2:V351),$V$2:$V$1001,0),MATCH(COLUMNS($AC$1006:AE1006),$AC$1006:$AS$1006,0)), HYPERLINK("#",""), HYPERLINK(CONCATENATE("#Metadata!", ADDRESS(INDEX($X$2:$X$1001,MATCH(ROWS($V$2:V351),$V$2:$V$1001,0),0), INDEX($AC$1004:$AS$1004,1,MATCH(COLUMNS($AC$1006:AE1006),$AC$1006:$AS$1006,0)))),"Fix")))</f>
        <v>0</v>
      </c>
      <c r="E351" s="5">
        <f>IF(OR(INDEX($W$2:$W$1001,MATCH(ROWS($V$2:V351),$V$2:$V$1001,0),1)&gt;=100000,INDEX($AC$1005:$AS$1005,1,MATCH(COLUMNS($AC$1006:AF1006),$AC$1006:$AS$1006,0))&gt;=100000), " ",IF(INDEX($AC$2:$AS$1001,MATCH(ROWS($V$2:V351),$V$2:$V$1001,0),MATCH(COLUMNS($AC$1006:AF1006),$AC$1006:$AS$1006,0)), HYPERLINK("#",""), HYPERLINK(CONCATENATE("#Metadata!", ADDRESS(INDEX($X$2:$X$1001,MATCH(ROWS($V$2:V351),$V$2:$V$1001,0),0), INDEX($AC$1004:$AS$1004,1,MATCH(COLUMNS($AC$1006:AF1006),$AC$1006:$AS$1006,0)))),"Fix")))</f>
        <v>0</v>
      </c>
      <c r="F351" s="5">
        <f>IF(OR(INDEX($W$2:$W$1001,MATCH(ROWS($V$2:V351),$V$2:$V$1001,0),1)&gt;=100000,INDEX($AC$1005:$AS$1005,1,MATCH(COLUMNS($AC$1006:AG1006),$AC$1006:$AS$1006,0))&gt;=100000), " ",IF(INDEX($AC$2:$AS$1001,MATCH(ROWS($V$2:V351),$V$2:$V$1001,0),MATCH(COLUMNS($AC$1006:AG1006),$AC$1006:$AS$1006,0)), HYPERLINK("#",""), HYPERLINK(CONCATENATE("#Metadata!", ADDRESS(INDEX($X$2:$X$1001,MATCH(ROWS($V$2:V351),$V$2:$V$1001,0),0), INDEX($AC$1004:$AS$1004,1,MATCH(COLUMNS($AC$1006:AG1006),$AC$1006:$AS$1006,0)))),"Fix")))</f>
        <v>0</v>
      </c>
      <c r="G351" s="5">
        <f>IF(OR(INDEX($W$2:$W$1001,MATCH(ROWS($V$2:V351),$V$2:$V$1001,0),1)&gt;=100000,INDEX($AC$1005:$AS$1005,1,MATCH(COLUMNS($AC$1006:AH1006),$AC$1006:$AS$1006,0))&gt;=100000), " ",IF(INDEX($AC$2:$AS$1001,MATCH(ROWS($V$2:V351),$V$2:$V$1001,0),MATCH(COLUMNS($AC$1006:AH1006),$AC$1006:$AS$1006,0)), HYPERLINK("#",""), HYPERLINK(CONCATENATE("#Metadata!", ADDRESS(INDEX($X$2:$X$1001,MATCH(ROWS($V$2:V351),$V$2:$V$1001,0),0), INDEX($AC$1004:$AS$1004,1,MATCH(COLUMNS($AC$1006:AH1006),$AC$1006:$AS$1006,0)))),"Fix")))</f>
        <v>0</v>
      </c>
      <c r="H351" s="5">
        <f>IF(OR(INDEX($W$2:$W$1001,MATCH(ROWS($V$2:V351),$V$2:$V$1001,0),1)&gt;=100000,INDEX($AC$1005:$AS$1005,1,MATCH(COLUMNS($AC$1006:AI1006),$AC$1006:$AS$1006,0))&gt;=100000), " ",IF(INDEX($AC$2:$AS$1001,MATCH(ROWS($V$2:V351),$V$2:$V$1001,0),MATCH(COLUMNS($AC$1006:AI1006),$AC$1006:$AS$1006,0)), HYPERLINK("#",""), HYPERLINK(CONCATENATE("#Metadata!", ADDRESS(INDEX($X$2:$X$1001,MATCH(ROWS($V$2:V351),$V$2:$V$1001,0),0), INDEX($AC$1004:$AS$1004,1,MATCH(COLUMNS($AC$1006:AI1006),$AC$1006:$AS$1006,0)))),"Fix")))</f>
        <v>0</v>
      </c>
      <c r="I351" s="5">
        <f>IF(OR(INDEX($W$2:$W$1001,MATCH(ROWS($V$2:V351),$V$2:$V$1001,0),1)&gt;=100000,INDEX($AC$1005:$AS$1005,1,MATCH(COLUMNS($AC$1006:AJ1006),$AC$1006:$AS$1006,0))&gt;=100000), " ",IF(INDEX($AC$2:$AS$1001,MATCH(ROWS($V$2:V351),$V$2:$V$1001,0),MATCH(COLUMNS($AC$1006:AJ1006),$AC$1006:$AS$1006,0)), HYPERLINK("#",""), HYPERLINK(CONCATENATE("#Metadata!", ADDRESS(INDEX($X$2:$X$1001,MATCH(ROWS($V$2:V351),$V$2:$V$1001,0),0), INDEX($AC$1004:$AS$1004,1,MATCH(COLUMNS($AC$1006:AJ1006),$AC$1006:$AS$1006,0)))),"Fix")))</f>
        <v>0</v>
      </c>
      <c r="J351" s="5">
        <f>IF(OR(INDEX($W$2:$W$1001,MATCH(ROWS($V$2:V351),$V$2:$V$1001,0),1)&gt;=100000,INDEX($AC$1005:$AS$1005,1,MATCH(COLUMNS($AC$1006:AK1006),$AC$1006:$AS$1006,0))&gt;=100000), " ",IF(INDEX($AC$2:$AS$1001,MATCH(ROWS($V$2:V351),$V$2:$V$1001,0),MATCH(COLUMNS($AC$1006:AK1006),$AC$1006:$AS$1006,0)), HYPERLINK("#",""), HYPERLINK(CONCATENATE("#Metadata!", ADDRESS(INDEX($X$2:$X$1001,MATCH(ROWS($V$2:V351),$V$2:$V$1001,0),0), INDEX($AC$1004:$AS$1004,1,MATCH(COLUMNS($AC$1006:AK1006),$AC$1006:$AS$1006,0)))),"Fix")))</f>
        <v>0</v>
      </c>
      <c r="K351" s="5">
        <f>IF(OR(INDEX($W$2:$W$1001,MATCH(ROWS($V$2:V351),$V$2:$V$1001,0),1)&gt;=100000,INDEX($AC$1005:$AS$1005,1,MATCH(COLUMNS($AC$1006:AL1006),$AC$1006:$AS$1006,0))&gt;=100000), " ",IF(INDEX($AC$2:$AS$1001,MATCH(ROWS($V$2:V351),$V$2:$V$1001,0),MATCH(COLUMNS($AC$1006:AL1006),$AC$1006:$AS$1006,0)), HYPERLINK("#",""), HYPERLINK(CONCATENATE("#Metadata!", ADDRESS(INDEX($X$2:$X$1001,MATCH(ROWS($V$2:V351),$V$2:$V$1001,0),0), INDEX($AC$1004:$AS$1004,1,MATCH(COLUMNS($AC$1006:AL1006),$AC$1006:$AS$1006,0)))),"Fix")))</f>
        <v>0</v>
      </c>
      <c r="L351" s="5">
        <f>IF(OR(INDEX($W$2:$W$1001,MATCH(ROWS($V$2:V351),$V$2:$V$1001,0),1)&gt;=100000,INDEX($AC$1005:$AS$1005,1,MATCH(COLUMNS($AC$1006:AM1006),$AC$1006:$AS$1006,0))&gt;=100000), " ",IF(INDEX($AC$2:$AS$1001,MATCH(ROWS($V$2:V351),$V$2:$V$1001,0),MATCH(COLUMNS($AC$1006:AM1006),$AC$1006:$AS$1006,0)), HYPERLINK("#",""), HYPERLINK(CONCATENATE("#Metadata!", ADDRESS(INDEX($X$2:$X$1001,MATCH(ROWS($V$2:V351),$V$2:$V$1001,0),0), INDEX($AC$1004:$AS$1004,1,MATCH(COLUMNS($AC$1006:AM1006),$AC$1006:$AS$1006,0)))),"Fix")))</f>
        <v>0</v>
      </c>
      <c r="M351" s="5">
        <f>IF(OR(INDEX($W$2:$W$1001,MATCH(ROWS($V$2:V351),$V$2:$V$1001,0),1)&gt;=100000,INDEX($AC$1005:$AS$1005,1,MATCH(COLUMNS($AC$1006:AN1006),$AC$1006:$AS$1006,0))&gt;=100000), " ",IF(INDEX($AC$2:$AS$1001,MATCH(ROWS($V$2:V351),$V$2:$V$1001,0),MATCH(COLUMNS($AC$1006:AN1006),$AC$1006:$AS$1006,0)), HYPERLINK("#",""), HYPERLINK(CONCATENATE("#Metadata!", ADDRESS(INDEX($X$2:$X$1001,MATCH(ROWS($V$2:V351),$V$2:$V$1001,0),0), INDEX($AC$1004:$AS$1004,1,MATCH(COLUMNS($AC$1006:AN1006),$AC$1006:$AS$1006,0)))),"Fix")))</f>
        <v>0</v>
      </c>
      <c r="N351" s="5">
        <f>IF(OR(INDEX($W$2:$W$1001,MATCH(ROWS($V$2:V351),$V$2:$V$1001,0),1)&gt;=100000,INDEX($AC$1005:$AS$1005,1,MATCH(COLUMNS($AC$1006:AO1006),$AC$1006:$AS$1006,0))&gt;=100000), " ",IF(INDEX($AC$2:$AS$1001,MATCH(ROWS($V$2:V351),$V$2:$V$1001,0),MATCH(COLUMNS($AC$1006:AO1006),$AC$1006:$AS$1006,0)), HYPERLINK("#",""), HYPERLINK(CONCATENATE("#Metadata!", ADDRESS(INDEX($X$2:$X$1001,MATCH(ROWS($V$2:V351),$V$2:$V$1001,0),0), INDEX($AC$1004:$AS$1004,1,MATCH(COLUMNS($AC$1006:AO1006),$AC$1006:$AS$1006,0)))),"Fix")))</f>
        <v>0</v>
      </c>
      <c r="O351" s="5">
        <f>IF(OR(INDEX($W$2:$W$1001,MATCH(ROWS($V$2:V351),$V$2:$V$1001,0),1)&gt;=100000,INDEX($AC$1005:$AS$1005,1,MATCH(COLUMNS($AC$1006:AP1006),$AC$1006:$AS$1006,0))&gt;=100000), " ",IF(INDEX($AC$2:$AS$1001,MATCH(ROWS($V$2:V351),$V$2:$V$1001,0),MATCH(COLUMNS($AC$1006:AP1006),$AC$1006:$AS$1006,0)), HYPERLINK("#",""), HYPERLINK(CONCATENATE("#Metadata!", ADDRESS(INDEX($X$2:$X$1001,MATCH(ROWS($V$2:V351),$V$2:$V$1001,0),0), INDEX($AC$1004:$AS$1004,1,MATCH(COLUMNS($AC$1006:AP1006),$AC$1006:$AS$1006,0)))),"Fix")))</f>
        <v>0</v>
      </c>
      <c r="P351" s="5">
        <f>IF(OR(INDEX($W$2:$W$1001,MATCH(ROWS($V$2:V351),$V$2:$V$1001,0),1)&gt;=100000,INDEX($AC$1005:$AS$1005,1,MATCH(COLUMNS($AC$1006:AQ1006),$AC$1006:$AS$1006,0))&gt;=100000), " ",IF(INDEX($AC$2:$AS$1001,MATCH(ROWS($V$2:V351),$V$2:$V$1001,0),MATCH(COLUMNS($AC$1006:AQ1006),$AC$1006:$AS$1006,0)), HYPERLINK("#",""), HYPERLINK(CONCATENATE("#Metadata!", ADDRESS(INDEX($X$2:$X$1001,MATCH(ROWS($V$2:V351),$V$2:$V$1001,0),0), INDEX($AC$1004:$AS$1004,1,MATCH(COLUMNS($AC$1006:AQ1006),$AC$1006:$AS$1006,0)))),"Fix")))</f>
        <v>0</v>
      </c>
      <c r="Q351" s="5">
        <f>IF(OR(INDEX($W$2:$W$1001,MATCH(ROWS($V$2:V351),$V$2:$V$1001,0),1)&gt;=100000,INDEX($AC$1005:$AS$1005,1,MATCH(COLUMNS($AC$1006:AR1006),$AC$1006:$AS$1006,0))&gt;=100000), " ",IF(INDEX($AC$2:$AS$1001,MATCH(ROWS($V$2:V351),$V$2:$V$1001,0),MATCH(COLUMNS($AC$1006:AR1006),$AC$1006:$AS$1006,0)), HYPERLINK("#",""), HYPERLINK(CONCATENATE("#Metadata!", ADDRESS(INDEX($X$2:$X$1001,MATCH(ROWS($V$2:V351),$V$2:$V$1001,0),0), INDEX($AC$1004:$AS$1004,1,MATCH(COLUMNS($AC$1006:AR1006),$AC$1006:$AS$1006,0)))),"Fix")))</f>
        <v>0</v>
      </c>
      <c r="R351" s="5">
        <f>IF(OR(INDEX($W$2:$W$1001,MATCH(ROWS($V$2:V351),$V$2:$V$1001,0),1)&gt;=100000,INDEX($AC$1005:$AS$1005,1,MATCH(COLUMNS($AC$1006:AS1006),$AC$1006:$AS$1006,0))&gt;=100000), " ",IF(INDEX($AC$2:$AS$1001,MATCH(ROWS($V$2:V351),$V$2:$V$1001,0),MATCH(COLUMNS($AC$1006:AS1006),$AC$1006:$AS$1006,0)), HYPERLINK("#",""), HYPERLINK(CONCATENATE("#Metadata!", ADDRESS(INDEX($X$2:$X$1001,MATCH(ROWS($V$2:V351),$V$2:$V$1001,0),0), INDEX($AC$1004:$AS$1004,1,MATCH(COLUMNS($AC$1006:AS1006),$AC$1006:$AS$1006,0)))),"Fix")))</f>
        <v>0</v>
      </c>
      <c r="V351">
        <v>0</v>
      </c>
      <c r="W351">
        <v>0</v>
      </c>
      <c r="X351">
        <v>0</v>
      </c>
      <c r="Y351">
        <f>IF(Z351,TRUE,AND(AC351:AS351))</f>
        <v>0</v>
      </c>
      <c r="Z351">
        <f>COUNTBLANK(Metadata!B351:R351)=COLUMNS(Metadata!B351:R351)</f>
        <v>0</v>
      </c>
      <c r="AA351">
        <v>0</v>
      </c>
      <c r="AC351">
        <f>AND(IF(Metadata!B351="",FALSE,TRUE),COUNTIF(Metadata!B:B, Metadata!B351) = 1,NOT(ISERROR(SUMPRODUCT(SEARCH(MID(Metadata!B351,ROW(INDIRECT("1:"&amp;LEN(Metadata!B351))), 1),"0123456789abcdefghijklmnopqrstuvwxyzABCDEFGHIJKLMNOPQRSTUVWXYZ.")))))</f>
        <v>0</v>
      </c>
      <c r="AD351">
        <f>AND(IF(Metadata!C351="",FALSE,TRUE),exact(Metadata!C351,"Host-associated"))</f>
        <v>0</v>
      </c>
      <c r="AE351">
        <f>AND(IF(Metadata!D351="",FALSE,TRUE),OR(exact(Metadata!D351,"Animal"),exact(Metadata!D351,"Fungus"),exact(Metadata!D351,"Plant")))</f>
        <v>0</v>
      </c>
      <c r="AF351">
        <f>AND(IF(Metadata!E351="",FALSE,TRUE),OR(exact(Metadata!E351,"Plant secretion"),exact(Metadata!E351,"Plant rhizosphere"),exact(Metadata!E351,"Plant surface"),exact(Metadata!E351,"Plant corpus"),exact(Metadata!E351,"Fungus surface"),exact(Metadata!E351,"Fungus corpus"),exact(Metadata!E351,"Animal surface"),exact(Metadata!E351,"Animal proximal gut"),exact(Metadata!E351,"Animal corpus"),exact(Metadata!E351,"Animal distal gut"),exact(Metadata!E351,"Animal secretion")))</f>
        <v>0</v>
      </c>
      <c r="AG351">
        <f>OR(AND(IF(Metadata!F351="",FALSE,TRUE),OR(exact(Metadata!F351,"not collected"),exact(Metadata!F351,"not provided"),exact(Metadata!F351,"restricted access"))),AND(IF(Metadata!F351="",FALSE,TRUE),OR(exact(Metadata!F351,"organism-associated habitat"),exact(Metadata!F351,"plant-associated habitat"),exact(Metadata!F351,"animal-associated habitat"),exact(Metadata!F351,"insecta-associated habitat"),exact(Metadata!F351,"mammalia-associated habitat"),exact(Metadata!F351,"human-associated habitat"),exact(Metadata!F351,"livestock-associated habitat"))))</f>
        <v>0</v>
      </c>
      <c r="AH351">
        <f>AND(IF(Metadata!G351="",FALSE,TRUE),exact(Metadata!G351,"host-associated"))</f>
        <v>0</v>
      </c>
      <c r="AI351">
        <f>OR(AND(IF(Metadata!H351="",FALSE,TRUE),OR(exact(Metadata!H351,"not collected"),exact(Metadata!H351,"not provided"))),AND(IF(Metadata!H351="",FALSE,ISNUMBER(VALUE(Metadata!H351))),Metadata!H351&gt;0))</f>
        <v>0</v>
      </c>
      <c r="AJ351">
        <f>AND(IF(Metadata!I351="",FALSE,TRUE),exact(Metadata!I351,"years"))</f>
        <v>0</v>
      </c>
      <c r="AK351">
        <f>IF(Metadata!J351="",FALSE,TRUE)</f>
        <v>0</v>
      </c>
      <c r="AL351">
        <f>OR(AND(IF(Metadata!K351="",FALSE,TRUE),OR(exact(Metadata!K351,"not collected"),exact(Metadata!K351,"not provided"))),AND(IF(Metadata!K351="",FALSE,ISNUMBER(VALUE(Metadata!K351))),Metadata!K351&gt;0))</f>
        <v>0</v>
      </c>
      <c r="AM351">
        <f>AND(IF(Metadata!L351="",FALSE,TRUE),exact(Metadata!L351,"cm"))</f>
        <v>0</v>
      </c>
      <c r="AN351">
        <f>IF(Metadata!M351="",FALSE,TRUE)</f>
        <v>0</v>
      </c>
      <c r="AO351">
        <f>OR(AND(IF(Metadata!N351="",FALSE,TRUE),OR(exact(Metadata!N351,"not applicable"),exact(Metadata!N351,"not collected"),exact(Metadata!N351,"not provided"))),AND(IF(Metadata!N351="",FALSE,IF(ISERROR(INT(Metadata!N351)),FALSE,INT(Metadata!N351)=Metadata!N351)),Metadata!N351&gt;0))</f>
        <v>0</v>
      </c>
      <c r="AP351">
        <f>OR(AND(IF(Metadata!O351="",FALSE,TRUE),OR(exact(Metadata!O351,"not collected"),exact(Metadata!O351,"not provided"))),AND(IF(Metadata!O351="",FALSE,ISNUMBER(VALUE(Metadata!O351))),Metadata!O351&gt;0))</f>
        <v>0</v>
      </c>
      <c r="AQ351">
        <f>AND(IF(Metadata!P351="",FALSE,TRUE),exact(Metadata!P351,"kg"))</f>
        <v>0</v>
      </c>
      <c r="AR351">
        <f>OR(AND(IF(Metadata!Q351="",FALSE,TRUE),OR(exact(Metadata!Q351,"not applicable"),exact(Metadata!Q351,"not collected"),exact(Metadata!Q351,"not provided"),exact(Metadata!Q351,"restricted access"))),IF(Metadata!Q351="",FALSE,IF(ISERROR(INT(Metadata!Q351)),FALSE,INT(Metadata!Q351)=Metadata!Q351)))</f>
        <v>0</v>
      </c>
      <c r="AS351">
        <f>AND(IF(Metadata!R351="",FALSE,TRUE),exact(Metadata!R351,"Not applicable"))</f>
        <v>0</v>
      </c>
    </row>
    <row r="352" spans="1:45">
      <c r="A352" s="4">
        <f>IF(B352=" "," ",HYPERLINK(CONCATENATE("#metadata!",ADDRESS(INDEX($X$2:$X$1001,MATCH(ROWS($V$2:V352),$V$2:$V$1001,0),0),2)),INDEX($AA$2:$AA$1001,MATCH(ROWS($V$2:V352),$V$2:$V$1001,0),0)))</f>
        <v>0</v>
      </c>
      <c r="B352" s="5">
        <f>IF(OR(INDEX($W$2:$W$1001,MATCH(ROWS($V$2:V352),$V$2:$V$1001,0),1)&gt;=100000,INDEX($AC$1005:$AS$1005,1,MATCH(COLUMNS($AC$1006:AC1006),$AC$1006:$AS$1006,0))&gt;=100000), " ",IF(INDEX($AC$2:$AS$1001,MATCH(ROWS($V$2:V352),$V$2:$V$1001,0),MATCH(COLUMNS($AC$1006:AC1006),$AC$1006:$AS$1006,0)), HYPERLINK("#",""), HYPERLINK(CONCATENATE("#Metadata!", ADDRESS(INDEX($X$2:$X$1001,MATCH(ROWS($V$2:V352),$V$2:$V$1001,0),0), INDEX($AC$1004:$AS$1004,1,MATCH(COLUMNS($AC$1006:AC1006),$AC$1006:$AS$1006,0)))),"Fix")))</f>
        <v>0</v>
      </c>
      <c r="C352" s="5">
        <f>IF(OR(INDEX($W$2:$W$1001,MATCH(ROWS($V$2:V352),$V$2:$V$1001,0),1)&gt;=100000,INDEX($AC$1005:$AS$1005,1,MATCH(COLUMNS($AC$1006:AD1006),$AC$1006:$AS$1006,0))&gt;=100000), " ",IF(INDEX($AC$2:$AS$1001,MATCH(ROWS($V$2:V352),$V$2:$V$1001,0),MATCH(COLUMNS($AC$1006:AD1006),$AC$1006:$AS$1006,0)), HYPERLINK("#",""), HYPERLINK(CONCATENATE("#Metadata!", ADDRESS(INDEX($X$2:$X$1001,MATCH(ROWS($V$2:V352),$V$2:$V$1001,0),0), INDEX($AC$1004:$AS$1004,1,MATCH(COLUMNS($AC$1006:AD1006),$AC$1006:$AS$1006,0)))),"Fix")))</f>
        <v>0</v>
      </c>
      <c r="D352" s="5">
        <f>IF(OR(INDEX($W$2:$W$1001,MATCH(ROWS($V$2:V352),$V$2:$V$1001,0),1)&gt;=100000,INDEX($AC$1005:$AS$1005,1,MATCH(COLUMNS($AC$1006:AE1006),$AC$1006:$AS$1006,0))&gt;=100000), " ",IF(INDEX($AC$2:$AS$1001,MATCH(ROWS($V$2:V352),$V$2:$V$1001,0),MATCH(COLUMNS($AC$1006:AE1006),$AC$1006:$AS$1006,0)), HYPERLINK("#",""), HYPERLINK(CONCATENATE("#Metadata!", ADDRESS(INDEX($X$2:$X$1001,MATCH(ROWS($V$2:V352),$V$2:$V$1001,0),0), INDEX($AC$1004:$AS$1004,1,MATCH(COLUMNS($AC$1006:AE1006),$AC$1006:$AS$1006,0)))),"Fix")))</f>
        <v>0</v>
      </c>
      <c r="E352" s="5">
        <f>IF(OR(INDEX($W$2:$W$1001,MATCH(ROWS($V$2:V352),$V$2:$V$1001,0),1)&gt;=100000,INDEX($AC$1005:$AS$1005,1,MATCH(COLUMNS($AC$1006:AF1006),$AC$1006:$AS$1006,0))&gt;=100000), " ",IF(INDEX($AC$2:$AS$1001,MATCH(ROWS($V$2:V352),$V$2:$V$1001,0),MATCH(COLUMNS($AC$1006:AF1006),$AC$1006:$AS$1006,0)), HYPERLINK("#",""), HYPERLINK(CONCATENATE("#Metadata!", ADDRESS(INDEX($X$2:$X$1001,MATCH(ROWS($V$2:V352),$V$2:$V$1001,0),0), INDEX($AC$1004:$AS$1004,1,MATCH(COLUMNS($AC$1006:AF1006),$AC$1006:$AS$1006,0)))),"Fix")))</f>
        <v>0</v>
      </c>
      <c r="F352" s="5">
        <f>IF(OR(INDEX($W$2:$W$1001,MATCH(ROWS($V$2:V352),$V$2:$V$1001,0),1)&gt;=100000,INDEX($AC$1005:$AS$1005,1,MATCH(COLUMNS($AC$1006:AG1006),$AC$1006:$AS$1006,0))&gt;=100000), " ",IF(INDEX($AC$2:$AS$1001,MATCH(ROWS($V$2:V352),$V$2:$V$1001,0),MATCH(COLUMNS($AC$1006:AG1006),$AC$1006:$AS$1006,0)), HYPERLINK("#",""), HYPERLINK(CONCATENATE("#Metadata!", ADDRESS(INDEX($X$2:$X$1001,MATCH(ROWS($V$2:V352),$V$2:$V$1001,0),0), INDEX($AC$1004:$AS$1004,1,MATCH(COLUMNS($AC$1006:AG1006),$AC$1006:$AS$1006,0)))),"Fix")))</f>
        <v>0</v>
      </c>
      <c r="G352" s="5">
        <f>IF(OR(INDEX($W$2:$W$1001,MATCH(ROWS($V$2:V352),$V$2:$V$1001,0),1)&gt;=100000,INDEX($AC$1005:$AS$1005,1,MATCH(COLUMNS($AC$1006:AH1006),$AC$1006:$AS$1006,0))&gt;=100000), " ",IF(INDEX($AC$2:$AS$1001,MATCH(ROWS($V$2:V352),$V$2:$V$1001,0),MATCH(COLUMNS($AC$1006:AH1006),$AC$1006:$AS$1006,0)), HYPERLINK("#",""), HYPERLINK(CONCATENATE("#Metadata!", ADDRESS(INDEX($X$2:$X$1001,MATCH(ROWS($V$2:V352),$V$2:$V$1001,0),0), INDEX($AC$1004:$AS$1004,1,MATCH(COLUMNS($AC$1006:AH1006),$AC$1006:$AS$1006,0)))),"Fix")))</f>
        <v>0</v>
      </c>
      <c r="H352" s="5">
        <f>IF(OR(INDEX($W$2:$W$1001,MATCH(ROWS($V$2:V352),$V$2:$V$1001,0),1)&gt;=100000,INDEX($AC$1005:$AS$1005,1,MATCH(COLUMNS($AC$1006:AI1006),$AC$1006:$AS$1006,0))&gt;=100000), " ",IF(INDEX($AC$2:$AS$1001,MATCH(ROWS($V$2:V352),$V$2:$V$1001,0),MATCH(COLUMNS($AC$1006:AI1006),$AC$1006:$AS$1006,0)), HYPERLINK("#",""), HYPERLINK(CONCATENATE("#Metadata!", ADDRESS(INDEX($X$2:$X$1001,MATCH(ROWS($V$2:V352),$V$2:$V$1001,0),0), INDEX($AC$1004:$AS$1004,1,MATCH(COLUMNS($AC$1006:AI1006),$AC$1006:$AS$1006,0)))),"Fix")))</f>
        <v>0</v>
      </c>
      <c r="I352" s="5">
        <f>IF(OR(INDEX($W$2:$W$1001,MATCH(ROWS($V$2:V352),$V$2:$V$1001,0),1)&gt;=100000,INDEX($AC$1005:$AS$1005,1,MATCH(COLUMNS($AC$1006:AJ1006),$AC$1006:$AS$1006,0))&gt;=100000), " ",IF(INDEX($AC$2:$AS$1001,MATCH(ROWS($V$2:V352),$V$2:$V$1001,0),MATCH(COLUMNS($AC$1006:AJ1006),$AC$1006:$AS$1006,0)), HYPERLINK("#",""), HYPERLINK(CONCATENATE("#Metadata!", ADDRESS(INDEX($X$2:$X$1001,MATCH(ROWS($V$2:V352),$V$2:$V$1001,0),0), INDEX($AC$1004:$AS$1004,1,MATCH(COLUMNS($AC$1006:AJ1006),$AC$1006:$AS$1006,0)))),"Fix")))</f>
        <v>0</v>
      </c>
      <c r="J352" s="5">
        <f>IF(OR(INDEX($W$2:$W$1001,MATCH(ROWS($V$2:V352),$V$2:$V$1001,0),1)&gt;=100000,INDEX($AC$1005:$AS$1005,1,MATCH(COLUMNS($AC$1006:AK1006),$AC$1006:$AS$1006,0))&gt;=100000), " ",IF(INDEX($AC$2:$AS$1001,MATCH(ROWS($V$2:V352),$V$2:$V$1001,0),MATCH(COLUMNS($AC$1006:AK1006),$AC$1006:$AS$1006,0)), HYPERLINK("#",""), HYPERLINK(CONCATENATE("#Metadata!", ADDRESS(INDEX($X$2:$X$1001,MATCH(ROWS($V$2:V352),$V$2:$V$1001,0),0), INDEX($AC$1004:$AS$1004,1,MATCH(COLUMNS($AC$1006:AK1006),$AC$1006:$AS$1006,0)))),"Fix")))</f>
        <v>0</v>
      </c>
      <c r="K352" s="5">
        <f>IF(OR(INDEX($W$2:$W$1001,MATCH(ROWS($V$2:V352),$V$2:$V$1001,0),1)&gt;=100000,INDEX($AC$1005:$AS$1005,1,MATCH(COLUMNS($AC$1006:AL1006),$AC$1006:$AS$1006,0))&gt;=100000), " ",IF(INDEX($AC$2:$AS$1001,MATCH(ROWS($V$2:V352),$V$2:$V$1001,0),MATCH(COLUMNS($AC$1006:AL1006),$AC$1006:$AS$1006,0)), HYPERLINK("#",""), HYPERLINK(CONCATENATE("#Metadata!", ADDRESS(INDEX($X$2:$X$1001,MATCH(ROWS($V$2:V352),$V$2:$V$1001,0),0), INDEX($AC$1004:$AS$1004,1,MATCH(COLUMNS($AC$1006:AL1006),$AC$1006:$AS$1006,0)))),"Fix")))</f>
        <v>0</v>
      </c>
      <c r="L352" s="5">
        <f>IF(OR(INDEX($W$2:$W$1001,MATCH(ROWS($V$2:V352),$V$2:$V$1001,0),1)&gt;=100000,INDEX($AC$1005:$AS$1005,1,MATCH(COLUMNS($AC$1006:AM1006),$AC$1006:$AS$1006,0))&gt;=100000), " ",IF(INDEX($AC$2:$AS$1001,MATCH(ROWS($V$2:V352),$V$2:$V$1001,0),MATCH(COLUMNS($AC$1006:AM1006),$AC$1006:$AS$1006,0)), HYPERLINK("#",""), HYPERLINK(CONCATENATE("#Metadata!", ADDRESS(INDEX($X$2:$X$1001,MATCH(ROWS($V$2:V352),$V$2:$V$1001,0),0), INDEX($AC$1004:$AS$1004,1,MATCH(COLUMNS($AC$1006:AM1006),$AC$1006:$AS$1006,0)))),"Fix")))</f>
        <v>0</v>
      </c>
      <c r="M352" s="5">
        <f>IF(OR(INDEX($W$2:$W$1001,MATCH(ROWS($V$2:V352),$V$2:$V$1001,0),1)&gt;=100000,INDEX($AC$1005:$AS$1005,1,MATCH(COLUMNS($AC$1006:AN1006),$AC$1006:$AS$1006,0))&gt;=100000), " ",IF(INDEX($AC$2:$AS$1001,MATCH(ROWS($V$2:V352),$V$2:$V$1001,0),MATCH(COLUMNS($AC$1006:AN1006),$AC$1006:$AS$1006,0)), HYPERLINK("#",""), HYPERLINK(CONCATENATE("#Metadata!", ADDRESS(INDEX($X$2:$X$1001,MATCH(ROWS($V$2:V352),$V$2:$V$1001,0),0), INDEX($AC$1004:$AS$1004,1,MATCH(COLUMNS($AC$1006:AN1006),$AC$1006:$AS$1006,0)))),"Fix")))</f>
        <v>0</v>
      </c>
      <c r="N352" s="5">
        <f>IF(OR(INDEX($W$2:$W$1001,MATCH(ROWS($V$2:V352),$V$2:$V$1001,0),1)&gt;=100000,INDEX($AC$1005:$AS$1005,1,MATCH(COLUMNS($AC$1006:AO1006),$AC$1006:$AS$1006,0))&gt;=100000), " ",IF(INDEX($AC$2:$AS$1001,MATCH(ROWS($V$2:V352),$V$2:$V$1001,0),MATCH(COLUMNS($AC$1006:AO1006),$AC$1006:$AS$1006,0)), HYPERLINK("#",""), HYPERLINK(CONCATENATE("#Metadata!", ADDRESS(INDEX($X$2:$X$1001,MATCH(ROWS($V$2:V352),$V$2:$V$1001,0),0), INDEX($AC$1004:$AS$1004,1,MATCH(COLUMNS($AC$1006:AO1006),$AC$1006:$AS$1006,0)))),"Fix")))</f>
        <v>0</v>
      </c>
      <c r="O352" s="5">
        <f>IF(OR(INDEX($W$2:$W$1001,MATCH(ROWS($V$2:V352),$V$2:$V$1001,0),1)&gt;=100000,INDEX($AC$1005:$AS$1005,1,MATCH(COLUMNS($AC$1006:AP1006),$AC$1006:$AS$1006,0))&gt;=100000), " ",IF(INDEX($AC$2:$AS$1001,MATCH(ROWS($V$2:V352),$V$2:$V$1001,0),MATCH(COLUMNS($AC$1006:AP1006),$AC$1006:$AS$1006,0)), HYPERLINK("#",""), HYPERLINK(CONCATENATE("#Metadata!", ADDRESS(INDEX($X$2:$X$1001,MATCH(ROWS($V$2:V352),$V$2:$V$1001,0),0), INDEX($AC$1004:$AS$1004,1,MATCH(COLUMNS($AC$1006:AP1006),$AC$1006:$AS$1006,0)))),"Fix")))</f>
        <v>0</v>
      </c>
      <c r="P352" s="5">
        <f>IF(OR(INDEX($W$2:$W$1001,MATCH(ROWS($V$2:V352),$V$2:$V$1001,0),1)&gt;=100000,INDEX($AC$1005:$AS$1005,1,MATCH(COLUMNS($AC$1006:AQ1006),$AC$1006:$AS$1006,0))&gt;=100000), " ",IF(INDEX($AC$2:$AS$1001,MATCH(ROWS($V$2:V352),$V$2:$V$1001,0),MATCH(COLUMNS($AC$1006:AQ1006),$AC$1006:$AS$1006,0)), HYPERLINK("#",""), HYPERLINK(CONCATENATE("#Metadata!", ADDRESS(INDEX($X$2:$X$1001,MATCH(ROWS($V$2:V352),$V$2:$V$1001,0),0), INDEX($AC$1004:$AS$1004,1,MATCH(COLUMNS($AC$1006:AQ1006),$AC$1006:$AS$1006,0)))),"Fix")))</f>
        <v>0</v>
      </c>
      <c r="Q352" s="5">
        <f>IF(OR(INDEX($W$2:$W$1001,MATCH(ROWS($V$2:V352),$V$2:$V$1001,0),1)&gt;=100000,INDEX($AC$1005:$AS$1005,1,MATCH(COLUMNS($AC$1006:AR1006),$AC$1006:$AS$1006,0))&gt;=100000), " ",IF(INDEX($AC$2:$AS$1001,MATCH(ROWS($V$2:V352),$V$2:$V$1001,0),MATCH(COLUMNS($AC$1006:AR1006),$AC$1006:$AS$1006,0)), HYPERLINK("#",""), HYPERLINK(CONCATENATE("#Metadata!", ADDRESS(INDEX($X$2:$X$1001,MATCH(ROWS($V$2:V352),$V$2:$V$1001,0),0), INDEX($AC$1004:$AS$1004,1,MATCH(COLUMNS($AC$1006:AR1006),$AC$1006:$AS$1006,0)))),"Fix")))</f>
        <v>0</v>
      </c>
      <c r="R352" s="5">
        <f>IF(OR(INDEX($W$2:$W$1001,MATCH(ROWS($V$2:V352),$V$2:$V$1001,0),1)&gt;=100000,INDEX($AC$1005:$AS$1005,1,MATCH(COLUMNS($AC$1006:AS1006),$AC$1006:$AS$1006,0))&gt;=100000), " ",IF(INDEX($AC$2:$AS$1001,MATCH(ROWS($V$2:V352),$V$2:$V$1001,0),MATCH(COLUMNS($AC$1006:AS1006),$AC$1006:$AS$1006,0)), HYPERLINK("#",""), HYPERLINK(CONCATENATE("#Metadata!", ADDRESS(INDEX($X$2:$X$1001,MATCH(ROWS($V$2:V352),$V$2:$V$1001,0),0), INDEX($AC$1004:$AS$1004,1,MATCH(COLUMNS($AC$1006:AS1006),$AC$1006:$AS$1006,0)))),"Fix")))</f>
        <v>0</v>
      </c>
      <c r="V352">
        <v>0</v>
      </c>
      <c r="W352">
        <v>0</v>
      </c>
      <c r="X352">
        <v>0</v>
      </c>
      <c r="Y352">
        <f>IF(Z352,TRUE,AND(AC352:AS352))</f>
        <v>0</v>
      </c>
      <c r="Z352">
        <f>COUNTBLANK(Metadata!B352:R352)=COLUMNS(Metadata!B352:R352)</f>
        <v>0</v>
      </c>
      <c r="AA352">
        <v>0</v>
      </c>
      <c r="AC352">
        <f>AND(IF(Metadata!B352="",FALSE,TRUE),COUNTIF(Metadata!B:B, Metadata!B352) = 1,NOT(ISERROR(SUMPRODUCT(SEARCH(MID(Metadata!B352,ROW(INDIRECT("1:"&amp;LEN(Metadata!B352))), 1),"0123456789abcdefghijklmnopqrstuvwxyzABCDEFGHIJKLMNOPQRSTUVWXYZ.")))))</f>
        <v>0</v>
      </c>
      <c r="AD352">
        <f>AND(IF(Metadata!C352="",FALSE,TRUE),exact(Metadata!C352,"Host-associated"))</f>
        <v>0</v>
      </c>
      <c r="AE352">
        <f>AND(IF(Metadata!D352="",FALSE,TRUE),OR(exact(Metadata!D352,"Animal"),exact(Metadata!D352,"Fungus"),exact(Metadata!D352,"Plant")))</f>
        <v>0</v>
      </c>
      <c r="AF352">
        <f>AND(IF(Metadata!E352="",FALSE,TRUE),OR(exact(Metadata!E352,"Plant secretion"),exact(Metadata!E352,"Plant rhizosphere"),exact(Metadata!E352,"Plant surface"),exact(Metadata!E352,"Plant corpus"),exact(Metadata!E352,"Fungus surface"),exact(Metadata!E352,"Fungus corpus"),exact(Metadata!E352,"Animal surface"),exact(Metadata!E352,"Animal proximal gut"),exact(Metadata!E352,"Animal corpus"),exact(Metadata!E352,"Animal distal gut"),exact(Metadata!E352,"Animal secretion")))</f>
        <v>0</v>
      </c>
      <c r="AG352">
        <f>OR(AND(IF(Metadata!F352="",FALSE,TRUE),OR(exact(Metadata!F352,"not collected"),exact(Metadata!F352,"not provided"),exact(Metadata!F352,"restricted access"))),AND(IF(Metadata!F352="",FALSE,TRUE),OR(exact(Metadata!F352,"organism-associated habitat"),exact(Metadata!F352,"plant-associated habitat"),exact(Metadata!F352,"animal-associated habitat"),exact(Metadata!F352,"insecta-associated habitat"),exact(Metadata!F352,"mammalia-associated habitat"),exact(Metadata!F352,"human-associated habitat"),exact(Metadata!F352,"livestock-associated habitat"))))</f>
        <v>0</v>
      </c>
      <c r="AH352">
        <f>AND(IF(Metadata!G352="",FALSE,TRUE),exact(Metadata!G352,"host-associated"))</f>
        <v>0</v>
      </c>
      <c r="AI352">
        <f>OR(AND(IF(Metadata!H352="",FALSE,TRUE),OR(exact(Metadata!H352,"not collected"),exact(Metadata!H352,"not provided"))),AND(IF(Metadata!H352="",FALSE,ISNUMBER(VALUE(Metadata!H352))),Metadata!H352&gt;0))</f>
        <v>0</v>
      </c>
      <c r="AJ352">
        <f>AND(IF(Metadata!I352="",FALSE,TRUE),exact(Metadata!I352,"years"))</f>
        <v>0</v>
      </c>
      <c r="AK352">
        <f>IF(Metadata!J352="",FALSE,TRUE)</f>
        <v>0</v>
      </c>
      <c r="AL352">
        <f>OR(AND(IF(Metadata!K352="",FALSE,TRUE),OR(exact(Metadata!K352,"not collected"),exact(Metadata!K352,"not provided"))),AND(IF(Metadata!K352="",FALSE,ISNUMBER(VALUE(Metadata!K352))),Metadata!K352&gt;0))</f>
        <v>0</v>
      </c>
      <c r="AM352">
        <f>AND(IF(Metadata!L352="",FALSE,TRUE),exact(Metadata!L352,"cm"))</f>
        <v>0</v>
      </c>
      <c r="AN352">
        <f>IF(Metadata!M352="",FALSE,TRUE)</f>
        <v>0</v>
      </c>
      <c r="AO352">
        <f>OR(AND(IF(Metadata!N352="",FALSE,TRUE),OR(exact(Metadata!N352,"not applicable"),exact(Metadata!N352,"not collected"),exact(Metadata!N352,"not provided"))),AND(IF(Metadata!N352="",FALSE,IF(ISERROR(INT(Metadata!N352)),FALSE,INT(Metadata!N352)=Metadata!N352)),Metadata!N352&gt;0))</f>
        <v>0</v>
      </c>
      <c r="AP352">
        <f>OR(AND(IF(Metadata!O352="",FALSE,TRUE),OR(exact(Metadata!O352,"not collected"),exact(Metadata!O352,"not provided"))),AND(IF(Metadata!O352="",FALSE,ISNUMBER(VALUE(Metadata!O352))),Metadata!O352&gt;0))</f>
        <v>0</v>
      </c>
      <c r="AQ352">
        <f>AND(IF(Metadata!P352="",FALSE,TRUE),exact(Metadata!P352,"kg"))</f>
        <v>0</v>
      </c>
      <c r="AR352">
        <f>OR(AND(IF(Metadata!Q352="",FALSE,TRUE),OR(exact(Metadata!Q352,"not applicable"),exact(Metadata!Q352,"not collected"),exact(Metadata!Q352,"not provided"),exact(Metadata!Q352,"restricted access"))),IF(Metadata!Q352="",FALSE,IF(ISERROR(INT(Metadata!Q352)),FALSE,INT(Metadata!Q352)=Metadata!Q352)))</f>
        <v>0</v>
      </c>
      <c r="AS352">
        <f>AND(IF(Metadata!R352="",FALSE,TRUE),exact(Metadata!R352,"Not applicable"))</f>
        <v>0</v>
      </c>
    </row>
    <row r="353" spans="1:45">
      <c r="A353" s="4">
        <f>IF(B353=" "," ",HYPERLINK(CONCATENATE("#metadata!",ADDRESS(INDEX($X$2:$X$1001,MATCH(ROWS($V$2:V353),$V$2:$V$1001,0),0),2)),INDEX($AA$2:$AA$1001,MATCH(ROWS($V$2:V353),$V$2:$V$1001,0),0)))</f>
        <v>0</v>
      </c>
      <c r="B353" s="5">
        <f>IF(OR(INDEX($W$2:$W$1001,MATCH(ROWS($V$2:V353),$V$2:$V$1001,0),1)&gt;=100000,INDEX($AC$1005:$AS$1005,1,MATCH(COLUMNS($AC$1006:AC1006),$AC$1006:$AS$1006,0))&gt;=100000), " ",IF(INDEX($AC$2:$AS$1001,MATCH(ROWS($V$2:V353),$V$2:$V$1001,0),MATCH(COLUMNS($AC$1006:AC1006),$AC$1006:$AS$1006,0)), HYPERLINK("#",""), HYPERLINK(CONCATENATE("#Metadata!", ADDRESS(INDEX($X$2:$X$1001,MATCH(ROWS($V$2:V353),$V$2:$V$1001,0),0), INDEX($AC$1004:$AS$1004,1,MATCH(COLUMNS($AC$1006:AC1006),$AC$1006:$AS$1006,0)))),"Fix")))</f>
        <v>0</v>
      </c>
      <c r="C353" s="5">
        <f>IF(OR(INDEX($W$2:$W$1001,MATCH(ROWS($V$2:V353),$V$2:$V$1001,0),1)&gt;=100000,INDEX($AC$1005:$AS$1005,1,MATCH(COLUMNS($AC$1006:AD1006),$AC$1006:$AS$1006,0))&gt;=100000), " ",IF(INDEX($AC$2:$AS$1001,MATCH(ROWS($V$2:V353),$V$2:$V$1001,0),MATCH(COLUMNS($AC$1006:AD1006),$AC$1006:$AS$1006,0)), HYPERLINK("#",""), HYPERLINK(CONCATENATE("#Metadata!", ADDRESS(INDEX($X$2:$X$1001,MATCH(ROWS($V$2:V353),$V$2:$V$1001,0),0), INDEX($AC$1004:$AS$1004,1,MATCH(COLUMNS($AC$1006:AD1006),$AC$1006:$AS$1006,0)))),"Fix")))</f>
        <v>0</v>
      </c>
      <c r="D353" s="5">
        <f>IF(OR(INDEX($W$2:$W$1001,MATCH(ROWS($V$2:V353),$V$2:$V$1001,0),1)&gt;=100000,INDEX($AC$1005:$AS$1005,1,MATCH(COLUMNS($AC$1006:AE1006),$AC$1006:$AS$1006,0))&gt;=100000), " ",IF(INDEX($AC$2:$AS$1001,MATCH(ROWS($V$2:V353),$V$2:$V$1001,0),MATCH(COLUMNS($AC$1006:AE1006),$AC$1006:$AS$1006,0)), HYPERLINK("#",""), HYPERLINK(CONCATENATE("#Metadata!", ADDRESS(INDEX($X$2:$X$1001,MATCH(ROWS($V$2:V353),$V$2:$V$1001,0),0), INDEX($AC$1004:$AS$1004,1,MATCH(COLUMNS($AC$1006:AE1006),$AC$1006:$AS$1006,0)))),"Fix")))</f>
        <v>0</v>
      </c>
      <c r="E353" s="5">
        <f>IF(OR(INDEX($W$2:$W$1001,MATCH(ROWS($V$2:V353),$V$2:$V$1001,0),1)&gt;=100000,INDEX($AC$1005:$AS$1005,1,MATCH(COLUMNS($AC$1006:AF1006),$AC$1006:$AS$1006,0))&gt;=100000), " ",IF(INDEX($AC$2:$AS$1001,MATCH(ROWS($V$2:V353),$V$2:$V$1001,0),MATCH(COLUMNS($AC$1006:AF1006),$AC$1006:$AS$1006,0)), HYPERLINK("#",""), HYPERLINK(CONCATENATE("#Metadata!", ADDRESS(INDEX($X$2:$X$1001,MATCH(ROWS($V$2:V353),$V$2:$V$1001,0),0), INDEX($AC$1004:$AS$1004,1,MATCH(COLUMNS($AC$1006:AF1006),$AC$1006:$AS$1006,0)))),"Fix")))</f>
        <v>0</v>
      </c>
      <c r="F353" s="5">
        <f>IF(OR(INDEX($W$2:$W$1001,MATCH(ROWS($V$2:V353),$V$2:$V$1001,0),1)&gt;=100000,INDEX($AC$1005:$AS$1005,1,MATCH(COLUMNS($AC$1006:AG1006),$AC$1006:$AS$1006,0))&gt;=100000), " ",IF(INDEX($AC$2:$AS$1001,MATCH(ROWS($V$2:V353),$V$2:$V$1001,0),MATCH(COLUMNS($AC$1006:AG1006),$AC$1006:$AS$1006,0)), HYPERLINK("#",""), HYPERLINK(CONCATENATE("#Metadata!", ADDRESS(INDEX($X$2:$X$1001,MATCH(ROWS($V$2:V353),$V$2:$V$1001,0),0), INDEX($AC$1004:$AS$1004,1,MATCH(COLUMNS($AC$1006:AG1006),$AC$1006:$AS$1006,0)))),"Fix")))</f>
        <v>0</v>
      </c>
      <c r="G353" s="5">
        <f>IF(OR(INDEX($W$2:$W$1001,MATCH(ROWS($V$2:V353),$V$2:$V$1001,0),1)&gt;=100000,INDEX($AC$1005:$AS$1005,1,MATCH(COLUMNS($AC$1006:AH1006),$AC$1006:$AS$1006,0))&gt;=100000), " ",IF(INDEX($AC$2:$AS$1001,MATCH(ROWS($V$2:V353),$V$2:$V$1001,0),MATCH(COLUMNS($AC$1006:AH1006),$AC$1006:$AS$1006,0)), HYPERLINK("#",""), HYPERLINK(CONCATENATE("#Metadata!", ADDRESS(INDEX($X$2:$X$1001,MATCH(ROWS($V$2:V353),$V$2:$V$1001,0),0), INDEX($AC$1004:$AS$1004,1,MATCH(COLUMNS($AC$1006:AH1006),$AC$1006:$AS$1006,0)))),"Fix")))</f>
        <v>0</v>
      </c>
      <c r="H353" s="5">
        <f>IF(OR(INDEX($W$2:$W$1001,MATCH(ROWS($V$2:V353),$V$2:$V$1001,0),1)&gt;=100000,INDEX($AC$1005:$AS$1005,1,MATCH(COLUMNS($AC$1006:AI1006),$AC$1006:$AS$1006,0))&gt;=100000), " ",IF(INDEX($AC$2:$AS$1001,MATCH(ROWS($V$2:V353),$V$2:$V$1001,0),MATCH(COLUMNS($AC$1006:AI1006),$AC$1006:$AS$1006,0)), HYPERLINK("#",""), HYPERLINK(CONCATENATE("#Metadata!", ADDRESS(INDEX($X$2:$X$1001,MATCH(ROWS($V$2:V353),$V$2:$V$1001,0),0), INDEX($AC$1004:$AS$1004,1,MATCH(COLUMNS($AC$1006:AI1006),$AC$1006:$AS$1006,0)))),"Fix")))</f>
        <v>0</v>
      </c>
      <c r="I353" s="5">
        <f>IF(OR(INDEX($W$2:$W$1001,MATCH(ROWS($V$2:V353),$V$2:$V$1001,0),1)&gt;=100000,INDEX($AC$1005:$AS$1005,1,MATCH(COLUMNS($AC$1006:AJ1006),$AC$1006:$AS$1006,0))&gt;=100000), " ",IF(INDEX($AC$2:$AS$1001,MATCH(ROWS($V$2:V353),$V$2:$V$1001,0),MATCH(COLUMNS($AC$1006:AJ1006),$AC$1006:$AS$1006,0)), HYPERLINK("#",""), HYPERLINK(CONCATENATE("#Metadata!", ADDRESS(INDEX($X$2:$X$1001,MATCH(ROWS($V$2:V353),$V$2:$V$1001,0),0), INDEX($AC$1004:$AS$1004,1,MATCH(COLUMNS($AC$1006:AJ1006),$AC$1006:$AS$1006,0)))),"Fix")))</f>
        <v>0</v>
      </c>
      <c r="J353" s="5">
        <f>IF(OR(INDEX($W$2:$W$1001,MATCH(ROWS($V$2:V353),$V$2:$V$1001,0),1)&gt;=100000,INDEX($AC$1005:$AS$1005,1,MATCH(COLUMNS($AC$1006:AK1006),$AC$1006:$AS$1006,0))&gt;=100000), " ",IF(INDEX($AC$2:$AS$1001,MATCH(ROWS($V$2:V353),$V$2:$V$1001,0),MATCH(COLUMNS($AC$1006:AK1006),$AC$1006:$AS$1006,0)), HYPERLINK("#",""), HYPERLINK(CONCATENATE("#Metadata!", ADDRESS(INDEX($X$2:$X$1001,MATCH(ROWS($V$2:V353),$V$2:$V$1001,0),0), INDEX($AC$1004:$AS$1004,1,MATCH(COLUMNS($AC$1006:AK1006),$AC$1006:$AS$1006,0)))),"Fix")))</f>
        <v>0</v>
      </c>
      <c r="K353" s="5">
        <f>IF(OR(INDEX($W$2:$W$1001,MATCH(ROWS($V$2:V353),$V$2:$V$1001,0),1)&gt;=100000,INDEX($AC$1005:$AS$1005,1,MATCH(COLUMNS($AC$1006:AL1006),$AC$1006:$AS$1006,0))&gt;=100000), " ",IF(INDEX($AC$2:$AS$1001,MATCH(ROWS($V$2:V353),$V$2:$V$1001,0),MATCH(COLUMNS($AC$1006:AL1006),$AC$1006:$AS$1006,0)), HYPERLINK("#",""), HYPERLINK(CONCATENATE("#Metadata!", ADDRESS(INDEX($X$2:$X$1001,MATCH(ROWS($V$2:V353),$V$2:$V$1001,0),0), INDEX($AC$1004:$AS$1004,1,MATCH(COLUMNS($AC$1006:AL1006),$AC$1006:$AS$1006,0)))),"Fix")))</f>
        <v>0</v>
      </c>
      <c r="L353" s="5">
        <f>IF(OR(INDEX($W$2:$W$1001,MATCH(ROWS($V$2:V353),$V$2:$V$1001,0),1)&gt;=100000,INDEX($AC$1005:$AS$1005,1,MATCH(COLUMNS($AC$1006:AM1006),$AC$1006:$AS$1006,0))&gt;=100000), " ",IF(INDEX($AC$2:$AS$1001,MATCH(ROWS($V$2:V353),$V$2:$V$1001,0),MATCH(COLUMNS($AC$1006:AM1006),$AC$1006:$AS$1006,0)), HYPERLINK("#",""), HYPERLINK(CONCATENATE("#Metadata!", ADDRESS(INDEX($X$2:$X$1001,MATCH(ROWS($V$2:V353),$V$2:$V$1001,0),0), INDEX($AC$1004:$AS$1004,1,MATCH(COLUMNS($AC$1006:AM1006),$AC$1006:$AS$1006,0)))),"Fix")))</f>
        <v>0</v>
      </c>
      <c r="M353" s="5">
        <f>IF(OR(INDEX($W$2:$W$1001,MATCH(ROWS($V$2:V353),$V$2:$V$1001,0),1)&gt;=100000,INDEX($AC$1005:$AS$1005,1,MATCH(COLUMNS($AC$1006:AN1006),$AC$1006:$AS$1006,0))&gt;=100000), " ",IF(INDEX($AC$2:$AS$1001,MATCH(ROWS($V$2:V353),$V$2:$V$1001,0),MATCH(COLUMNS($AC$1006:AN1006),$AC$1006:$AS$1006,0)), HYPERLINK("#",""), HYPERLINK(CONCATENATE("#Metadata!", ADDRESS(INDEX($X$2:$X$1001,MATCH(ROWS($V$2:V353),$V$2:$V$1001,0),0), INDEX($AC$1004:$AS$1004,1,MATCH(COLUMNS($AC$1006:AN1006),$AC$1006:$AS$1006,0)))),"Fix")))</f>
        <v>0</v>
      </c>
      <c r="N353" s="5">
        <f>IF(OR(INDEX($W$2:$W$1001,MATCH(ROWS($V$2:V353),$V$2:$V$1001,0),1)&gt;=100000,INDEX($AC$1005:$AS$1005,1,MATCH(COLUMNS($AC$1006:AO1006),$AC$1006:$AS$1006,0))&gt;=100000), " ",IF(INDEX($AC$2:$AS$1001,MATCH(ROWS($V$2:V353),$V$2:$V$1001,0),MATCH(COLUMNS($AC$1006:AO1006),$AC$1006:$AS$1006,0)), HYPERLINK("#",""), HYPERLINK(CONCATENATE("#Metadata!", ADDRESS(INDEX($X$2:$X$1001,MATCH(ROWS($V$2:V353),$V$2:$V$1001,0),0), INDEX($AC$1004:$AS$1004,1,MATCH(COLUMNS($AC$1006:AO1006),$AC$1006:$AS$1006,0)))),"Fix")))</f>
        <v>0</v>
      </c>
      <c r="O353" s="5">
        <f>IF(OR(INDEX($W$2:$W$1001,MATCH(ROWS($V$2:V353),$V$2:$V$1001,0),1)&gt;=100000,INDEX($AC$1005:$AS$1005,1,MATCH(COLUMNS($AC$1006:AP1006),$AC$1006:$AS$1006,0))&gt;=100000), " ",IF(INDEX($AC$2:$AS$1001,MATCH(ROWS($V$2:V353),$V$2:$V$1001,0),MATCH(COLUMNS($AC$1006:AP1006),$AC$1006:$AS$1006,0)), HYPERLINK("#",""), HYPERLINK(CONCATENATE("#Metadata!", ADDRESS(INDEX($X$2:$X$1001,MATCH(ROWS($V$2:V353),$V$2:$V$1001,0),0), INDEX($AC$1004:$AS$1004,1,MATCH(COLUMNS($AC$1006:AP1006),$AC$1006:$AS$1006,0)))),"Fix")))</f>
        <v>0</v>
      </c>
      <c r="P353" s="5">
        <f>IF(OR(INDEX($W$2:$W$1001,MATCH(ROWS($V$2:V353),$V$2:$V$1001,0),1)&gt;=100000,INDEX($AC$1005:$AS$1005,1,MATCH(COLUMNS($AC$1006:AQ1006),$AC$1006:$AS$1006,0))&gt;=100000), " ",IF(INDEX($AC$2:$AS$1001,MATCH(ROWS($V$2:V353),$V$2:$V$1001,0),MATCH(COLUMNS($AC$1006:AQ1006),$AC$1006:$AS$1006,0)), HYPERLINK("#",""), HYPERLINK(CONCATENATE("#Metadata!", ADDRESS(INDEX($X$2:$X$1001,MATCH(ROWS($V$2:V353),$V$2:$V$1001,0),0), INDEX($AC$1004:$AS$1004,1,MATCH(COLUMNS($AC$1006:AQ1006),$AC$1006:$AS$1006,0)))),"Fix")))</f>
        <v>0</v>
      </c>
      <c r="Q353" s="5">
        <f>IF(OR(INDEX($W$2:$W$1001,MATCH(ROWS($V$2:V353),$V$2:$V$1001,0),1)&gt;=100000,INDEX($AC$1005:$AS$1005,1,MATCH(COLUMNS($AC$1006:AR1006),$AC$1006:$AS$1006,0))&gt;=100000), " ",IF(INDEX($AC$2:$AS$1001,MATCH(ROWS($V$2:V353),$V$2:$V$1001,0),MATCH(COLUMNS($AC$1006:AR1006),$AC$1006:$AS$1006,0)), HYPERLINK("#",""), HYPERLINK(CONCATENATE("#Metadata!", ADDRESS(INDEX($X$2:$X$1001,MATCH(ROWS($V$2:V353),$V$2:$V$1001,0),0), INDEX($AC$1004:$AS$1004,1,MATCH(COLUMNS($AC$1006:AR1006),$AC$1006:$AS$1006,0)))),"Fix")))</f>
        <v>0</v>
      </c>
      <c r="R353" s="5">
        <f>IF(OR(INDEX($W$2:$W$1001,MATCH(ROWS($V$2:V353),$V$2:$V$1001,0),1)&gt;=100000,INDEX($AC$1005:$AS$1005,1,MATCH(COLUMNS($AC$1006:AS1006),$AC$1006:$AS$1006,0))&gt;=100000), " ",IF(INDEX($AC$2:$AS$1001,MATCH(ROWS($V$2:V353),$V$2:$V$1001,0),MATCH(COLUMNS($AC$1006:AS1006),$AC$1006:$AS$1006,0)), HYPERLINK("#",""), HYPERLINK(CONCATENATE("#Metadata!", ADDRESS(INDEX($X$2:$X$1001,MATCH(ROWS($V$2:V353),$V$2:$V$1001,0),0), INDEX($AC$1004:$AS$1004,1,MATCH(COLUMNS($AC$1006:AS1006),$AC$1006:$AS$1006,0)))),"Fix")))</f>
        <v>0</v>
      </c>
      <c r="V353">
        <v>0</v>
      </c>
      <c r="W353">
        <v>0</v>
      </c>
      <c r="X353">
        <v>0</v>
      </c>
      <c r="Y353">
        <f>IF(Z353,TRUE,AND(AC353:AS353))</f>
        <v>0</v>
      </c>
      <c r="Z353">
        <f>COUNTBLANK(Metadata!B353:R353)=COLUMNS(Metadata!B353:R353)</f>
        <v>0</v>
      </c>
      <c r="AA353">
        <v>0</v>
      </c>
      <c r="AC353">
        <f>AND(IF(Metadata!B353="",FALSE,TRUE),COUNTIF(Metadata!B:B, Metadata!B353) = 1,NOT(ISERROR(SUMPRODUCT(SEARCH(MID(Metadata!B353,ROW(INDIRECT("1:"&amp;LEN(Metadata!B353))), 1),"0123456789abcdefghijklmnopqrstuvwxyzABCDEFGHIJKLMNOPQRSTUVWXYZ.")))))</f>
        <v>0</v>
      </c>
      <c r="AD353">
        <f>AND(IF(Metadata!C353="",FALSE,TRUE),exact(Metadata!C353,"Host-associated"))</f>
        <v>0</v>
      </c>
      <c r="AE353">
        <f>AND(IF(Metadata!D353="",FALSE,TRUE),OR(exact(Metadata!D353,"Animal"),exact(Metadata!D353,"Fungus"),exact(Metadata!D353,"Plant")))</f>
        <v>0</v>
      </c>
      <c r="AF353">
        <f>AND(IF(Metadata!E353="",FALSE,TRUE),OR(exact(Metadata!E353,"Plant secretion"),exact(Metadata!E353,"Plant rhizosphere"),exact(Metadata!E353,"Plant surface"),exact(Metadata!E353,"Plant corpus"),exact(Metadata!E353,"Fungus surface"),exact(Metadata!E353,"Fungus corpus"),exact(Metadata!E353,"Animal surface"),exact(Metadata!E353,"Animal proximal gut"),exact(Metadata!E353,"Animal corpus"),exact(Metadata!E353,"Animal distal gut"),exact(Metadata!E353,"Animal secretion")))</f>
        <v>0</v>
      </c>
      <c r="AG353">
        <f>OR(AND(IF(Metadata!F353="",FALSE,TRUE),OR(exact(Metadata!F353,"not collected"),exact(Metadata!F353,"not provided"),exact(Metadata!F353,"restricted access"))),AND(IF(Metadata!F353="",FALSE,TRUE),OR(exact(Metadata!F353,"organism-associated habitat"),exact(Metadata!F353,"plant-associated habitat"),exact(Metadata!F353,"animal-associated habitat"),exact(Metadata!F353,"insecta-associated habitat"),exact(Metadata!F353,"mammalia-associated habitat"),exact(Metadata!F353,"human-associated habitat"),exact(Metadata!F353,"livestock-associated habitat"))))</f>
        <v>0</v>
      </c>
      <c r="AH353">
        <f>AND(IF(Metadata!G353="",FALSE,TRUE),exact(Metadata!G353,"host-associated"))</f>
        <v>0</v>
      </c>
      <c r="AI353">
        <f>OR(AND(IF(Metadata!H353="",FALSE,TRUE),OR(exact(Metadata!H353,"not collected"),exact(Metadata!H353,"not provided"))),AND(IF(Metadata!H353="",FALSE,ISNUMBER(VALUE(Metadata!H353))),Metadata!H353&gt;0))</f>
        <v>0</v>
      </c>
      <c r="AJ353">
        <f>AND(IF(Metadata!I353="",FALSE,TRUE),exact(Metadata!I353,"years"))</f>
        <v>0</v>
      </c>
      <c r="AK353">
        <f>IF(Metadata!J353="",FALSE,TRUE)</f>
        <v>0</v>
      </c>
      <c r="AL353">
        <f>OR(AND(IF(Metadata!K353="",FALSE,TRUE),OR(exact(Metadata!K353,"not collected"),exact(Metadata!K353,"not provided"))),AND(IF(Metadata!K353="",FALSE,ISNUMBER(VALUE(Metadata!K353))),Metadata!K353&gt;0))</f>
        <v>0</v>
      </c>
      <c r="AM353">
        <f>AND(IF(Metadata!L353="",FALSE,TRUE),exact(Metadata!L353,"cm"))</f>
        <v>0</v>
      </c>
      <c r="AN353">
        <f>IF(Metadata!M353="",FALSE,TRUE)</f>
        <v>0</v>
      </c>
      <c r="AO353">
        <f>OR(AND(IF(Metadata!N353="",FALSE,TRUE),OR(exact(Metadata!N353,"not applicable"),exact(Metadata!N353,"not collected"),exact(Metadata!N353,"not provided"))),AND(IF(Metadata!N353="",FALSE,IF(ISERROR(INT(Metadata!N353)),FALSE,INT(Metadata!N353)=Metadata!N353)),Metadata!N353&gt;0))</f>
        <v>0</v>
      </c>
      <c r="AP353">
        <f>OR(AND(IF(Metadata!O353="",FALSE,TRUE),OR(exact(Metadata!O353,"not collected"),exact(Metadata!O353,"not provided"))),AND(IF(Metadata!O353="",FALSE,ISNUMBER(VALUE(Metadata!O353))),Metadata!O353&gt;0))</f>
        <v>0</v>
      </c>
      <c r="AQ353">
        <f>AND(IF(Metadata!P353="",FALSE,TRUE),exact(Metadata!P353,"kg"))</f>
        <v>0</v>
      </c>
      <c r="AR353">
        <f>OR(AND(IF(Metadata!Q353="",FALSE,TRUE),OR(exact(Metadata!Q353,"not applicable"),exact(Metadata!Q353,"not collected"),exact(Metadata!Q353,"not provided"),exact(Metadata!Q353,"restricted access"))),IF(Metadata!Q353="",FALSE,IF(ISERROR(INT(Metadata!Q353)),FALSE,INT(Metadata!Q353)=Metadata!Q353)))</f>
        <v>0</v>
      </c>
      <c r="AS353">
        <f>AND(IF(Metadata!R353="",FALSE,TRUE),exact(Metadata!R353,"Not applicable"))</f>
        <v>0</v>
      </c>
    </row>
    <row r="354" spans="1:45">
      <c r="A354" s="4">
        <f>IF(B354=" "," ",HYPERLINK(CONCATENATE("#metadata!",ADDRESS(INDEX($X$2:$X$1001,MATCH(ROWS($V$2:V354),$V$2:$V$1001,0),0),2)),INDEX($AA$2:$AA$1001,MATCH(ROWS($V$2:V354),$V$2:$V$1001,0),0)))</f>
        <v>0</v>
      </c>
      <c r="B354" s="5">
        <f>IF(OR(INDEX($W$2:$W$1001,MATCH(ROWS($V$2:V354),$V$2:$V$1001,0),1)&gt;=100000,INDEX($AC$1005:$AS$1005,1,MATCH(COLUMNS($AC$1006:AC1006),$AC$1006:$AS$1006,0))&gt;=100000), " ",IF(INDEX($AC$2:$AS$1001,MATCH(ROWS($V$2:V354),$V$2:$V$1001,0),MATCH(COLUMNS($AC$1006:AC1006),$AC$1006:$AS$1006,0)), HYPERLINK("#",""), HYPERLINK(CONCATENATE("#Metadata!", ADDRESS(INDEX($X$2:$X$1001,MATCH(ROWS($V$2:V354),$V$2:$V$1001,0),0), INDEX($AC$1004:$AS$1004,1,MATCH(COLUMNS($AC$1006:AC1006),$AC$1006:$AS$1006,0)))),"Fix")))</f>
        <v>0</v>
      </c>
      <c r="C354" s="5">
        <f>IF(OR(INDEX($W$2:$W$1001,MATCH(ROWS($V$2:V354),$V$2:$V$1001,0),1)&gt;=100000,INDEX($AC$1005:$AS$1005,1,MATCH(COLUMNS($AC$1006:AD1006),$AC$1006:$AS$1006,0))&gt;=100000), " ",IF(INDEX($AC$2:$AS$1001,MATCH(ROWS($V$2:V354),$V$2:$V$1001,0),MATCH(COLUMNS($AC$1006:AD1006),$AC$1006:$AS$1006,0)), HYPERLINK("#",""), HYPERLINK(CONCATENATE("#Metadata!", ADDRESS(INDEX($X$2:$X$1001,MATCH(ROWS($V$2:V354),$V$2:$V$1001,0),0), INDEX($AC$1004:$AS$1004,1,MATCH(COLUMNS($AC$1006:AD1006),$AC$1006:$AS$1006,0)))),"Fix")))</f>
        <v>0</v>
      </c>
      <c r="D354" s="5">
        <f>IF(OR(INDEX($W$2:$W$1001,MATCH(ROWS($V$2:V354),$V$2:$V$1001,0),1)&gt;=100000,INDEX($AC$1005:$AS$1005,1,MATCH(COLUMNS($AC$1006:AE1006),$AC$1006:$AS$1006,0))&gt;=100000), " ",IF(INDEX($AC$2:$AS$1001,MATCH(ROWS($V$2:V354),$V$2:$V$1001,0),MATCH(COLUMNS($AC$1006:AE1006),$AC$1006:$AS$1006,0)), HYPERLINK("#",""), HYPERLINK(CONCATENATE("#Metadata!", ADDRESS(INDEX($X$2:$X$1001,MATCH(ROWS($V$2:V354),$V$2:$V$1001,0),0), INDEX($AC$1004:$AS$1004,1,MATCH(COLUMNS($AC$1006:AE1006),$AC$1006:$AS$1006,0)))),"Fix")))</f>
        <v>0</v>
      </c>
      <c r="E354" s="5">
        <f>IF(OR(INDEX($W$2:$W$1001,MATCH(ROWS($V$2:V354),$V$2:$V$1001,0),1)&gt;=100000,INDEX($AC$1005:$AS$1005,1,MATCH(COLUMNS($AC$1006:AF1006),$AC$1006:$AS$1006,0))&gt;=100000), " ",IF(INDEX($AC$2:$AS$1001,MATCH(ROWS($V$2:V354),$V$2:$V$1001,0),MATCH(COLUMNS($AC$1006:AF1006),$AC$1006:$AS$1006,0)), HYPERLINK("#",""), HYPERLINK(CONCATENATE("#Metadata!", ADDRESS(INDEX($X$2:$X$1001,MATCH(ROWS($V$2:V354),$V$2:$V$1001,0),0), INDEX($AC$1004:$AS$1004,1,MATCH(COLUMNS($AC$1006:AF1006),$AC$1006:$AS$1006,0)))),"Fix")))</f>
        <v>0</v>
      </c>
      <c r="F354" s="5">
        <f>IF(OR(INDEX($W$2:$W$1001,MATCH(ROWS($V$2:V354),$V$2:$V$1001,0),1)&gt;=100000,INDEX($AC$1005:$AS$1005,1,MATCH(COLUMNS($AC$1006:AG1006),$AC$1006:$AS$1006,0))&gt;=100000), " ",IF(INDEX($AC$2:$AS$1001,MATCH(ROWS($V$2:V354),$V$2:$V$1001,0),MATCH(COLUMNS($AC$1006:AG1006),$AC$1006:$AS$1006,0)), HYPERLINK("#",""), HYPERLINK(CONCATENATE("#Metadata!", ADDRESS(INDEX($X$2:$X$1001,MATCH(ROWS($V$2:V354),$V$2:$V$1001,0),0), INDEX($AC$1004:$AS$1004,1,MATCH(COLUMNS($AC$1006:AG1006),$AC$1006:$AS$1006,0)))),"Fix")))</f>
        <v>0</v>
      </c>
      <c r="G354" s="5">
        <f>IF(OR(INDEX($W$2:$W$1001,MATCH(ROWS($V$2:V354),$V$2:$V$1001,0),1)&gt;=100000,INDEX($AC$1005:$AS$1005,1,MATCH(COLUMNS($AC$1006:AH1006),$AC$1006:$AS$1006,0))&gt;=100000), " ",IF(INDEX($AC$2:$AS$1001,MATCH(ROWS($V$2:V354),$V$2:$V$1001,0),MATCH(COLUMNS($AC$1006:AH1006),$AC$1006:$AS$1006,0)), HYPERLINK("#",""), HYPERLINK(CONCATENATE("#Metadata!", ADDRESS(INDEX($X$2:$X$1001,MATCH(ROWS($V$2:V354),$V$2:$V$1001,0),0), INDEX($AC$1004:$AS$1004,1,MATCH(COLUMNS($AC$1006:AH1006),$AC$1006:$AS$1006,0)))),"Fix")))</f>
        <v>0</v>
      </c>
      <c r="H354" s="5">
        <f>IF(OR(INDEX($W$2:$W$1001,MATCH(ROWS($V$2:V354),$V$2:$V$1001,0),1)&gt;=100000,INDEX($AC$1005:$AS$1005,1,MATCH(COLUMNS($AC$1006:AI1006),$AC$1006:$AS$1006,0))&gt;=100000), " ",IF(INDEX($AC$2:$AS$1001,MATCH(ROWS($V$2:V354),$V$2:$V$1001,0),MATCH(COLUMNS($AC$1006:AI1006),$AC$1006:$AS$1006,0)), HYPERLINK("#",""), HYPERLINK(CONCATENATE("#Metadata!", ADDRESS(INDEX($X$2:$X$1001,MATCH(ROWS($V$2:V354),$V$2:$V$1001,0),0), INDEX($AC$1004:$AS$1004,1,MATCH(COLUMNS($AC$1006:AI1006),$AC$1006:$AS$1006,0)))),"Fix")))</f>
        <v>0</v>
      </c>
      <c r="I354" s="5">
        <f>IF(OR(INDEX($W$2:$W$1001,MATCH(ROWS($V$2:V354),$V$2:$V$1001,0),1)&gt;=100000,INDEX($AC$1005:$AS$1005,1,MATCH(COLUMNS($AC$1006:AJ1006),$AC$1006:$AS$1006,0))&gt;=100000), " ",IF(INDEX($AC$2:$AS$1001,MATCH(ROWS($V$2:V354),$V$2:$V$1001,0),MATCH(COLUMNS($AC$1006:AJ1006),$AC$1006:$AS$1006,0)), HYPERLINK("#",""), HYPERLINK(CONCATENATE("#Metadata!", ADDRESS(INDEX($X$2:$X$1001,MATCH(ROWS($V$2:V354),$V$2:$V$1001,0),0), INDEX($AC$1004:$AS$1004,1,MATCH(COLUMNS($AC$1006:AJ1006),$AC$1006:$AS$1006,0)))),"Fix")))</f>
        <v>0</v>
      </c>
      <c r="J354" s="5">
        <f>IF(OR(INDEX($W$2:$W$1001,MATCH(ROWS($V$2:V354),$V$2:$V$1001,0),1)&gt;=100000,INDEX($AC$1005:$AS$1005,1,MATCH(COLUMNS($AC$1006:AK1006),$AC$1006:$AS$1006,0))&gt;=100000), " ",IF(INDEX($AC$2:$AS$1001,MATCH(ROWS($V$2:V354),$V$2:$V$1001,0),MATCH(COLUMNS($AC$1006:AK1006),$AC$1006:$AS$1006,0)), HYPERLINK("#",""), HYPERLINK(CONCATENATE("#Metadata!", ADDRESS(INDEX($X$2:$X$1001,MATCH(ROWS($V$2:V354),$V$2:$V$1001,0),0), INDEX($AC$1004:$AS$1004,1,MATCH(COLUMNS($AC$1006:AK1006),$AC$1006:$AS$1006,0)))),"Fix")))</f>
        <v>0</v>
      </c>
      <c r="K354" s="5">
        <f>IF(OR(INDEX($W$2:$W$1001,MATCH(ROWS($V$2:V354),$V$2:$V$1001,0),1)&gt;=100000,INDEX($AC$1005:$AS$1005,1,MATCH(COLUMNS($AC$1006:AL1006),$AC$1006:$AS$1006,0))&gt;=100000), " ",IF(INDEX($AC$2:$AS$1001,MATCH(ROWS($V$2:V354),$V$2:$V$1001,0),MATCH(COLUMNS($AC$1006:AL1006),$AC$1006:$AS$1006,0)), HYPERLINK("#",""), HYPERLINK(CONCATENATE("#Metadata!", ADDRESS(INDEX($X$2:$X$1001,MATCH(ROWS($V$2:V354),$V$2:$V$1001,0),0), INDEX($AC$1004:$AS$1004,1,MATCH(COLUMNS($AC$1006:AL1006),$AC$1006:$AS$1006,0)))),"Fix")))</f>
        <v>0</v>
      </c>
      <c r="L354" s="5">
        <f>IF(OR(INDEX($W$2:$W$1001,MATCH(ROWS($V$2:V354),$V$2:$V$1001,0),1)&gt;=100000,INDEX($AC$1005:$AS$1005,1,MATCH(COLUMNS($AC$1006:AM1006),$AC$1006:$AS$1006,0))&gt;=100000), " ",IF(INDEX($AC$2:$AS$1001,MATCH(ROWS($V$2:V354),$V$2:$V$1001,0),MATCH(COLUMNS($AC$1006:AM1006),$AC$1006:$AS$1006,0)), HYPERLINK("#",""), HYPERLINK(CONCATENATE("#Metadata!", ADDRESS(INDEX($X$2:$X$1001,MATCH(ROWS($V$2:V354),$V$2:$V$1001,0),0), INDEX($AC$1004:$AS$1004,1,MATCH(COLUMNS($AC$1006:AM1006),$AC$1006:$AS$1006,0)))),"Fix")))</f>
        <v>0</v>
      </c>
      <c r="M354" s="5">
        <f>IF(OR(INDEX($W$2:$W$1001,MATCH(ROWS($V$2:V354),$V$2:$V$1001,0),1)&gt;=100000,INDEX($AC$1005:$AS$1005,1,MATCH(COLUMNS($AC$1006:AN1006),$AC$1006:$AS$1006,0))&gt;=100000), " ",IF(INDEX($AC$2:$AS$1001,MATCH(ROWS($V$2:V354),$V$2:$V$1001,0),MATCH(COLUMNS($AC$1006:AN1006),$AC$1006:$AS$1006,0)), HYPERLINK("#",""), HYPERLINK(CONCATENATE("#Metadata!", ADDRESS(INDEX($X$2:$X$1001,MATCH(ROWS($V$2:V354),$V$2:$V$1001,0),0), INDEX($AC$1004:$AS$1004,1,MATCH(COLUMNS($AC$1006:AN1006),$AC$1006:$AS$1006,0)))),"Fix")))</f>
        <v>0</v>
      </c>
      <c r="N354" s="5">
        <f>IF(OR(INDEX($W$2:$W$1001,MATCH(ROWS($V$2:V354),$V$2:$V$1001,0),1)&gt;=100000,INDEX($AC$1005:$AS$1005,1,MATCH(COLUMNS($AC$1006:AO1006),$AC$1006:$AS$1006,0))&gt;=100000), " ",IF(INDEX($AC$2:$AS$1001,MATCH(ROWS($V$2:V354),$V$2:$V$1001,0),MATCH(COLUMNS($AC$1006:AO1006),$AC$1006:$AS$1006,0)), HYPERLINK("#",""), HYPERLINK(CONCATENATE("#Metadata!", ADDRESS(INDEX($X$2:$X$1001,MATCH(ROWS($V$2:V354),$V$2:$V$1001,0),0), INDEX($AC$1004:$AS$1004,1,MATCH(COLUMNS($AC$1006:AO1006),$AC$1006:$AS$1006,0)))),"Fix")))</f>
        <v>0</v>
      </c>
      <c r="O354" s="5">
        <f>IF(OR(INDEX($W$2:$W$1001,MATCH(ROWS($V$2:V354),$V$2:$V$1001,0),1)&gt;=100000,INDEX($AC$1005:$AS$1005,1,MATCH(COLUMNS($AC$1006:AP1006),$AC$1006:$AS$1006,0))&gt;=100000), " ",IF(INDEX($AC$2:$AS$1001,MATCH(ROWS($V$2:V354),$V$2:$V$1001,0),MATCH(COLUMNS($AC$1006:AP1006),$AC$1006:$AS$1006,0)), HYPERLINK("#",""), HYPERLINK(CONCATENATE("#Metadata!", ADDRESS(INDEX($X$2:$X$1001,MATCH(ROWS($V$2:V354),$V$2:$V$1001,0),0), INDEX($AC$1004:$AS$1004,1,MATCH(COLUMNS($AC$1006:AP1006),$AC$1006:$AS$1006,0)))),"Fix")))</f>
        <v>0</v>
      </c>
      <c r="P354" s="5">
        <f>IF(OR(INDEX($W$2:$W$1001,MATCH(ROWS($V$2:V354),$V$2:$V$1001,0),1)&gt;=100000,INDEX($AC$1005:$AS$1005,1,MATCH(COLUMNS($AC$1006:AQ1006),$AC$1006:$AS$1006,0))&gt;=100000), " ",IF(INDEX($AC$2:$AS$1001,MATCH(ROWS($V$2:V354),$V$2:$V$1001,0),MATCH(COLUMNS($AC$1006:AQ1006),$AC$1006:$AS$1006,0)), HYPERLINK("#",""), HYPERLINK(CONCATENATE("#Metadata!", ADDRESS(INDEX($X$2:$X$1001,MATCH(ROWS($V$2:V354),$V$2:$V$1001,0),0), INDEX($AC$1004:$AS$1004,1,MATCH(COLUMNS($AC$1006:AQ1006),$AC$1006:$AS$1006,0)))),"Fix")))</f>
        <v>0</v>
      </c>
      <c r="Q354" s="5">
        <f>IF(OR(INDEX($W$2:$W$1001,MATCH(ROWS($V$2:V354),$V$2:$V$1001,0),1)&gt;=100000,INDEX($AC$1005:$AS$1005,1,MATCH(COLUMNS($AC$1006:AR1006),$AC$1006:$AS$1006,0))&gt;=100000), " ",IF(INDEX($AC$2:$AS$1001,MATCH(ROWS($V$2:V354),$V$2:$V$1001,0),MATCH(COLUMNS($AC$1006:AR1006),$AC$1006:$AS$1006,0)), HYPERLINK("#",""), HYPERLINK(CONCATENATE("#Metadata!", ADDRESS(INDEX($X$2:$X$1001,MATCH(ROWS($V$2:V354),$V$2:$V$1001,0),0), INDEX($AC$1004:$AS$1004,1,MATCH(COLUMNS($AC$1006:AR1006),$AC$1006:$AS$1006,0)))),"Fix")))</f>
        <v>0</v>
      </c>
      <c r="R354" s="5">
        <f>IF(OR(INDEX($W$2:$W$1001,MATCH(ROWS($V$2:V354),$V$2:$V$1001,0),1)&gt;=100000,INDEX($AC$1005:$AS$1005,1,MATCH(COLUMNS($AC$1006:AS1006),$AC$1006:$AS$1006,0))&gt;=100000), " ",IF(INDEX($AC$2:$AS$1001,MATCH(ROWS($V$2:V354),$V$2:$V$1001,0),MATCH(COLUMNS($AC$1006:AS1006),$AC$1006:$AS$1006,0)), HYPERLINK("#",""), HYPERLINK(CONCATENATE("#Metadata!", ADDRESS(INDEX($X$2:$X$1001,MATCH(ROWS($V$2:V354),$V$2:$V$1001,0),0), INDEX($AC$1004:$AS$1004,1,MATCH(COLUMNS($AC$1006:AS1006),$AC$1006:$AS$1006,0)))),"Fix")))</f>
        <v>0</v>
      </c>
      <c r="V354">
        <v>0</v>
      </c>
      <c r="W354">
        <v>0</v>
      </c>
      <c r="X354">
        <v>0</v>
      </c>
      <c r="Y354">
        <f>IF(Z354,TRUE,AND(AC354:AS354))</f>
        <v>0</v>
      </c>
      <c r="Z354">
        <f>COUNTBLANK(Metadata!B354:R354)=COLUMNS(Metadata!B354:R354)</f>
        <v>0</v>
      </c>
      <c r="AA354">
        <v>0</v>
      </c>
      <c r="AC354">
        <f>AND(IF(Metadata!B354="",FALSE,TRUE),COUNTIF(Metadata!B:B, Metadata!B354) = 1,NOT(ISERROR(SUMPRODUCT(SEARCH(MID(Metadata!B354,ROW(INDIRECT("1:"&amp;LEN(Metadata!B354))), 1),"0123456789abcdefghijklmnopqrstuvwxyzABCDEFGHIJKLMNOPQRSTUVWXYZ.")))))</f>
        <v>0</v>
      </c>
      <c r="AD354">
        <f>AND(IF(Metadata!C354="",FALSE,TRUE),exact(Metadata!C354,"Host-associated"))</f>
        <v>0</v>
      </c>
      <c r="AE354">
        <f>AND(IF(Metadata!D354="",FALSE,TRUE),OR(exact(Metadata!D354,"Animal"),exact(Metadata!D354,"Fungus"),exact(Metadata!D354,"Plant")))</f>
        <v>0</v>
      </c>
      <c r="AF354">
        <f>AND(IF(Metadata!E354="",FALSE,TRUE),OR(exact(Metadata!E354,"Plant secretion"),exact(Metadata!E354,"Plant rhizosphere"),exact(Metadata!E354,"Plant surface"),exact(Metadata!E354,"Plant corpus"),exact(Metadata!E354,"Fungus surface"),exact(Metadata!E354,"Fungus corpus"),exact(Metadata!E354,"Animal surface"),exact(Metadata!E354,"Animal proximal gut"),exact(Metadata!E354,"Animal corpus"),exact(Metadata!E354,"Animal distal gut"),exact(Metadata!E354,"Animal secretion")))</f>
        <v>0</v>
      </c>
      <c r="AG354">
        <f>OR(AND(IF(Metadata!F354="",FALSE,TRUE),OR(exact(Metadata!F354,"not collected"),exact(Metadata!F354,"not provided"),exact(Metadata!F354,"restricted access"))),AND(IF(Metadata!F354="",FALSE,TRUE),OR(exact(Metadata!F354,"organism-associated habitat"),exact(Metadata!F354,"plant-associated habitat"),exact(Metadata!F354,"animal-associated habitat"),exact(Metadata!F354,"insecta-associated habitat"),exact(Metadata!F354,"mammalia-associated habitat"),exact(Metadata!F354,"human-associated habitat"),exact(Metadata!F354,"livestock-associated habitat"))))</f>
        <v>0</v>
      </c>
      <c r="AH354">
        <f>AND(IF(Metadata!G354="",FALSE,TRUE),exact(Metadata!G354,"host-associated"))</f>
        <v>0</v>
      </c>
      <c r="AI354">
        <f>OR(AND(IF(Metadata!H354="",FALSE,TRUE),OR(exact(Metadata!H354,"not collected"),exact(Metadata!H354,"not provided"))),AND(IF(Metadata!H354="",FALSE,ISNUMBER(VALUE(Metadata!H354))),Metadata!H354&gt;0))</f>
        <v>0</v>
      </c>
      <c r="AJ354">
        <f>AND(IF(Metadata!I354="",FALSE,TRUE),exact(Metadata!I354,"years"))</f>
        <v>0</v>
      </c>
      <c r="AK354">
        <f>IF(Metadata!J354="",FALSE,TRUE)</f>
        <v>0</v>
      </c>
      <c r="AL354">
        <f>OR(AND(IF(Metadata!K354="",FALSE,TRUE),OR(exact(Metadata!K354,"not collected"),exact(Metadata!K354,"not provided"))),AND(IF(Metadata!K354="",FALSE,ISNUMBER(VALUE(Metadata!K354))),Metadata!K354&gt;0))</f>
        <v>0</v>
      </c>
      <c r="AM354">
        <f>AND(IF(Metadata!L354="",FALSE,TRUE),exact(Metadata!L354,"cm"))</f>
        <v>0</v>
      </c>
      <c r="AN354">
        <f>IF(Metadata!M354="",FALSE,TRUE)</f>
        <v>0</v>
      </c>
      <c r="AO354">
        <f>OR(AND(IF(Metadata!N354="",FALSE,TRUE),OR(exact(Metadata!N354,"not applicable"),exact(Metadata!N354,"not collected"),exact(Metadata!N354,"not provided"))),AND(IF(Metadata!N354="",FALSE,IF(ISERROR(INT(Metadata!N354)),FALSE,INT(Metadata!N354)=Metadata!N354)),Metadata!N354&gt;0))</f>
        <v>0</v>
      </c>
      <c r="AP354">
        <f>OR(AND(IF(Metadata!O354="",FALSE,TRUE),OR(exact(Metadata!O354,"not collected"),exact(Metadata!O354,"not provided"))),AND(IF(Metadata!O354="",FALSE,ISNUMBER(VALUE(Metadata!O354))),Metadata!O354&gt;0))</f>
        <v>0</v>
      </c>
      <c r="AQ354">
        <f>AND(IF(Metadata!P354="",FALSE,TRUE),exact(Metadata!P354,"kg"))</f>
        <v>0</v>
      </c>
      <c r="AR354">
        <f>OR(AND(IF(Metadata!Q354="",FALSE,TRUE),OR(exact(Metadata!Q354,"not applicable"),exact(Metadata!Q354,"not collected"),exact(Metadata!Q354,"not provided"),exact(Metadata!Q354,"restricted access"))),IF(Metadata!Q354="",FALSE,IF(ISERROR(INT(Metadata!Q354)),FALSE,INT(Metadata!Q354)=Metadata!Q354)))</f>
        <v>0</v>
      </c>
      <c r="AS354">
        <f>AND(IF(Metadata!R354="",FALSE,TRUE),exact(Metadata!R354,"Not applicable"))</f>
        <v>0</v>
      </c>
    </row>
    <row r="355" spans="1:45">
      <c r="A355" s="4">
        <f>IF(B355=" "," ",HYPERLINK(CONCATENATE("#metadata!",ADDRESS(INDEX($X$2:$X$1001,MATCH(ROWS($V$2:V355),$V$2:$V$1001,0),0),2)),INDEX($AA$2:$AA$1001,MATCH(ROWS($V$2:V355),$V$2:$V$1001,0),0)))</f>
        <v>0</v>
      </c>
      <c r="B355" s="5">
        <f>IF(OR(INDEX($W$2:$W$1001,MATCH(ROWS($V$2:V355),$V$2:$V$1001,0),1)&gt;=100000,INDEX($AC$1005:$AS$1005,1,MATCH(COLUMNS($AC$1006:AC1006),$AC$1006:$AS$1006,0))&gt;=100000), " ",IF(INDEX($AC$2:$AS$1001,MATCH(ROWS($V$2:V355),$V$2:$V$1001,0),MATCH(COLUMNS($AC$1006:AC1006),$AC$1006:$AS$1006,0)), HYPERLINK("#",""), HYPERLINK(CONCATENATE("#Metadata!", ADDRESS(INDEX($X$2:$X$1001,MATCH(ROWS($V$2:V355),$V$2:$V$1001,0),0), INDEX($AC$1004:$AS$1004,1,MATCH(COLUMNS($AC$1006:AC1006),$AC$1006:$AS$1006,0)))),"Fix")))</f>
        <v>0</v>
      </c>
      <c r="C355" s="5">
        <f>IF(OR(INDEX($W$2:$W$1001,MATCH(ROWS($V$2:V355),$V$2:$V$1001,0),1)&gt;=100000,INDEX($AC$1005:$AS$1005,1,MATCH(COLUMNS($AC$1006:AD1006),$AC$1006:$AS$1006,0))&gt;=100000), " ",IF(INDEX($AC$2:$AS$1001,MATCH(ROWS($V$2:V355),$V$2:$V$1001,0),MATCH(COLUMNS($AC$1006:AD1006),$AC$1006:$AS$1006,0)), HYPERLINK("#",""), HYPERLINK(CONCATENATE("#Metadata!", ADDRESS(INDEX($X$2:$X$1001,MATCH(ROWS($V$2:V355),$V$2:$V$1001,0),0), INDEX($AC$1004:$AS$1004,1,MATCH(COLUMNS($AC$1006:AD1006),$AC$1006:$AS$1006,0)))),"Fix")))</f>
        <v>0</v>
      </c>
      <c r="D355" s="5">
        <f>IF(OR(INDEX($W$2:$W$1001,MATCH(ROWS($V$2:V355),$V$2:$V$1001,0),1)&gt;=100000,INDEX($AC$1005:$AS$1005,1,MATCH(COLUMNS($AC$1006:AE1006),$AC$1006:$AS$1006,0))&gt;=100000), " ",IF(INDEX($AC$2:$AS$1001,MATCH(ROWS($V$2:V355),$V$2:$V$1001,0),MATCH(COLUMNS($AC$1006:AE1006),$AC$1006:$AS$1006,0)), HYPERLINK("#",""), HYPERLINK(CONCATENATE("#Metadata!", ADDRESS(INDEX($X$2:$X$1001,MATCH(ROWS($V$2:V355),$V$2:$V$1001,0),0), INDEX($AC$1004:$AS$1004,1,MATCH(COLUMNS($AC$1006:AE1006),$AC$1006:$AS$1006,0)))),"Fix")))</f>
        <v>0</v>
      </c>
      <c r="E355" s="5">
        <f>IF(OR(INDEX($W$2:$W$1001,MATCH(ROWS($V$2:V355),$V$2:$V$1001,0),1)&gt;=100000,INDEX($AC$1005:$AS$1005,1,MATCH(COLUMNS($AC$1006:AF1006),$AC$1006:$AS$1006,0))&gt;=100000), " ",IF(INDEX($AC$2:$AS$1001,MATCH(ROWS($V$2:V355),$V$2:$V$1001,0),MATCH(COLUMNS($AC$1006:AF1006),$AC$1006:$AS$1006,0)), HYPERLINK("#",""), HYPERLINK(CONCATENATE("#Metadata!", ADDRESS(INDEX($X$2:$X$1001,MATCH(ROWS($V$2:V355),$V$2:$V$1001,0),0), INDEX($AC$1004:$AS$1004,1,MATCH(COLUMNS($AC$1006:AF1006),$AC$1006:$AS$1006,0)))),"Fix")))</f>
        <v>0</v>
      </c>
      <c r="F355" s="5">
        <f>IF(OR(INDEX($W$2:$W$1001,MATCH(ROWS($V$2:V355),$V$2:$V$1001,0),1)&gt;=100000,INDEX($AC$1005:$AS$1005,1,MATCH(COLUMNS($AC$1006:AG1006),$AC$1006:$AS$1006,0))&gt;=100000), " ",IF(INDEX($AC$2:$AS$1001,MATCH(ROWS($V$2:V355),$V$2:$V$1001,0),MATCH(COLUMNS($AC$1006:AG1006),$AC$1006:$AS$1006,0)), HYPERLINK("#",""), HYPERLINK(CONCATENATE("#Metadata!", ADDRESS(INDEX($X$2:$X$1001,MATCH(ROWS($V$2:V355),$V$2:$V$1001,0),0), INDEX($AC$1004:$AS$1004,1,MATCH(COLUMNS($AC$1006:AG1006),$AC$1006:$AS$1006,0)))),"Fix")))</f>
        <v>0</v>
      </c>
      <c r="G355" s="5">
        <f>IF(OR(INDEX($W$2:$W$1001,MATCH(ROWS($V$2:V355),$V$2:$V$1001,0),1)&gt;=100000,INDEX($AC$1005:$AS$1005,1,MATCH(COLUMNS($AC$1006:AH1006),$AC$1006:$AS$1006,0))&gt;=100000), " ",IF(INDEX($AC$2:$AS$1001,MATCH(ROWS($V$2:V355),$V$2:$V$1001,0),MATCH(COLUMNS($AC$1006:AH1006),$AC$1006:$AS$1006,0)), HYPERLINK("#",""), HYPERLINK(CONCATENATE("#Metadata!", ADDRESS(INDEX($X$2:$X$1001,MATCH(ROWS($V$2:V355),$V$2:$V$1001,0),0), INDEX($AC$1004:$AS$1004,1,MATCH(COLUMNS($AC$1006:AH1006),$AC$1006:$AS$1006,0)))),"Fix")))</f>
        <v>0</v>
      </c>
      <c r="H355" s="5">
        <f>IF(OR(INDEX($W$2:$W$1001,MATCH(ROWS($V$2:V355),$V$2:$V$1001,0),1)&gt;=100000,INDEX($AC$1005:$AS$1005,1,MATCH(COLUMNS($AC$1006:AI1006),$AC$1006:$AS$1006,0))&gt;=100000), " ",IF(INDEX($AC$2:$AS$1001,MATCH(ROWS($V$2:V355),$V$2:$V$1001,0),MATCH(COLUMNS($AC$1006:AI1006),$AC$1006:$AS$1006,0)), HYPERLINK("#",""), HYPERLINK(CONCATENATE("#Metadata!", ADDRESS(INDEX($X$2:$X$1001,MATCH(ROWS($V$2:V355),$V$2:$V$1001,0),0), INDEX($AC$1004:$AS$1004,1,MATCH(COLUMNS($AC$1006:AI1006),$AC$1006:$AS$1006,0)))),"Fix")))</f>
        <v>0</v>
      </c>
      <c r="I355" s="5">
        <f>IF(OR(INDEX($W$2:$W$1001,MATCH(ROWS($V$2:V355),$V$2:$V$1001,0),1)&gt;=100000,INDEX($AC$1005:$AS$1005,1,MATCH(COLUMNS($AC$1006:AJ1006),$AC$1006:$AS$1006,0))&gt;=100000), " ",IF(INDEX($AC$2:$AS$1001,MATCH(ROWS($V$2:V355),$V$2:$V$1001,0),MATCH(COLUMNS($AC$1006:AJ1006),$AC$1006:$AS$1006,0)), HYPERLINK("#",""), HYPERLINK(CONCATENATE("#Metadata!", ADDRESS(INDEX($X$2:$X$1001,MATCH(ROWS($V$2:V355),$V$2:$V$1001,0),0), INDEX($AC$1004:$AS$1004,1,MATCH(COLUMNS($AC$1006:AJ1006),$AC$1006:$AS$1006,0)))),"Fix")))</f>
        <v>0</v>
      </c>
      <c r="J355" s="5">
        <f>IF(OR(INDEX($W$2:$W$1001,MATCH(ROWS($V$2:V355),$V$2:$V$1001,0),1)&gt;=100000,INDEX($AC$1005:$AS$1005,1,MATCH(COLUMNS($AC$1006:AK1006),$AC$1006:$AS$1006,0))&gt;=100000), " ",IF(INDEX($AC$2:$AS$1001,MATCH(ROWS($V$2:V355),$V$2:$V$1001,0),MATCH(COLUMNS($AC$1006:AK1006),$AC$1006:$AS$1006,0)), HYPERLINK("#",""), HYPERLINK(CONCATENATE("#Metadata!", ADDRESS(INDEX($X$2:$X$1001,MATCH(ROWS($V$2:V355),$V$2:$V$1001,0),0), INDEX($AC$1004:$AS$1004,1,MATCH(COLUMNS($AC$1006:AK1006),$AC$1006:$AS$1006,0)))),"Fix")))</f>
        <v>0</v>
      </c>
      <c r="K355" s="5">
        <f>IF(OR(INDEX($W$2:$W$1001,MATCH(ROWS($V$2:V355),$V$2:$V$1001,0),1)&gt;=100000,INDEX($AC$1005:$AS$1005,1,MATCH(COLUMNS($AC$1006:AL1006),$AC$1006:$AS$1006,0))&gt;=100000), " ",IF(INDEX($AC$2:$AS$1001,MATCH(ROWS($V$2:V355),$V$2:$V$1001,0),MATCH(COLUMNS($AC$1006:AL1006),$AC$1006:$AS$1006,0)), HYPERLINK("#",""), HYPERLINK(CONCATENATE("#Metadata!", ADDRESS(INDEX($X$2:$X$1001,MATCH(ROWS($V$2:V355),$V$2:$V$1001,0),0), INDEX($AC$1004:$AS$1004,1,MATCH(COLUMNS($AC$1006:AL1006),$AC$1006:$AS$1006,0)))),"Fix")))</f>
        <v>0</v>
      </c>
      <c r="L355" s="5">
        <f>IF(OR(INDEX($W$2:$W$1001,MATCH(ROWS($V$2:V355),$V$2:$V$1001,0),1)&gt;=100000,INDEX($AC$1005:$AS$1005,1,MATCH(COLUMNS($AC$1006:AM1006),$AC$1006:$AS$1006,0))&gt;=100000), " ",IF(INDEX($AC$2:$AS$1001,MATCH(ROWS($V$2:V355),$V$2:$V$1001,0),MATCH(COLUMNS($AC$1006:AM1006),$AC$1006:$AS$1006,0)), HYPERLINK("#",""), HYPERLINK(CONCATENATE("#Metadata!", ADDRESS(INDEX($X$2:$X$1001,MATCH(ROWS($V$2:V355),$V$2:$V$1001,0),0), INDEX($AC$1004:$AS$1004,1,MATCH(COLUMNS($AC$1006:AM1006),$AC$1006:$AS$1006,0)))),"Fix")))</f>
        <v>0</v>
      </c>
      <c r="M355" s="5">
        <f>IF(OR(INDEX($W$2:$W$1001,MATCH(ROWS($V$2:V355),$V$2:$V$1001,0),1)&gt;=100000,INDEX($AC$1005:$AS$1005,1,MATCH(COLUMNS($AC$1006:AN1006),$AC$1006:$AS$1006,0))&gt;=100000), " ",IF(INDEX($AC$2:$AS$1001,MATCH(ROWS($V$2:V355),$V$2:$V$1001,0),MATCH(COLUMNS($AC$1006:AN1006),$AC$1006:$AS$1006,0)), HYPERLINK("#",""), HYPERLINK(CONCATENATE("#Metadata!", ADDRESS(INDEX($X$2:$X$1001,MATCH(ROWS($V$2:V355),$V$2:$V$1001,0),0), INDEX($AC$1004:$AS$1004,1,MATCH(COLUMNS($AC$1006:AN1006),$AC$1006:$AS$1006,0)))),"Fix")))</f>
        <v>0</v>
      </c>
      <c r="N355" s="5">
        <f>IF(OR(INDEX($W$2:$W$1001,MATCH(ROWS($V$2:V355),$V$2:$V$1001,0),1)&gt;=100000,INDEX($AC$1005:$AS$1005,1,MATCH(COLUMNS($AC$1006:AO1006),$AC$1006:$AS$1006,0))&gt;=100000), " ",IF(INDEX($AC$2:$AS$1001,MATCH(ROWS($V$2:V355),$V$2:$V$1001,0),MATCH(COLUMNS($AC$1006:AO1006),$AC$1006:$AS$1006,0)), HYPERLINK("#",""), HYPERLINK(CONCATENATE("#Metadata!", ADDRESS(INDEX($X$2:$X$1001,MATCH(ROWS($V$2:V355),$V$2:$V$1001,0),0), INDEX($AC$1004:$AS$1004,1,MATCH(COLUMNS($AC$1006:AO1006),$AC$1006:$AS$1006,0)))),"Fix")))</f>
        <v>0</v>
      </c>
      <c r="O355" s="5">
        <f>IF(OR(INDEX($W$2:$W$1001,MATCH(ROWS($V$2:V355),$V$2:$V$1001,0),1)&gt;=100000,INDEX($AC$1005:$AS$1005,1,MATCH(COLUMNS($AC$1006:AP1006),$AC$1006:$AS$1006,0))&gt;=100000), " ",IF(INDEX($AC$2:$AS$1001,MATCH(ROWS($V$2:V355),$V$2:$V$1001,0),MATCH(COLUMNS($AC$1006:AP1006),$AC$1006:$AS$1006,0)), HYPERLINK("#",""), HYPERLINK(CONCATENATE("#Metadata!", ADDRESS(INDEX($X$2:$X$1001,MATCH(ROWS($V$2:V355),$V$2:$V$1001,0),0), INDEX($AC$1004:$AS$1004,1,MATCH(COLUMNS($AC$1006:AP1006),$AC$1006:$AS$1006,0)))),"Fix")))</f>
        <v>0</v>
      </c>
      <c r="P355" s="5">
        <f>IF(OR(INDEX($W$2:$W$1001,MATCH(ROWS($V$2:V355),$V$2:$V$1001,0),1)&gt;=100000,INDEX($AC$1005:$AS$1005,1,MATCH(COLUMNS($AC$1006:AQ1006),$AC$1006:$AS$1006,0))&gt;=100000), " ",IF(INDEX($AC$2:$AS$1001,MATCH(ROWS($V$2:V355),$V$2:$V$1001,0),MATCH(COLUMNS($AC$1006:AQ1006),$AC$1006:$AS$1006,0)), HYPERLINK("#",""), HYPERLINK(CONCATENATE("#Metadata!", ADDRESS(INDEX($X$2:$X$1001,MATCH(ROWS($V$2:V355),$V$2:$V$1001,0),0), INDEX($AC$1004:$AS$1004,1,MATCH(COLUMNS($AC$1006:AQ1006),$AC$1006:$AS$1006,0)))),"Fix")))</f>
        <v>0</v>
      </c>
      <c r="Q355" s="5">
        <f>IF(OR(INDEX($W$2:$W$1001,MATCH(ROWS($V$2:V355),$V$2:$V$1001,0),1)&gt;=100000,INDEX($AC$1005:$AS$1005,1,MATCH(COLUMNS($AC$1006:AR1006),$AC$1006:$AS$1006,0))&gt;=100000), " ",IF(INDEX($AC$2:$AS$1001,MATCH(ROWS($V$2:V355),$V$2:$V$1001,0),MATCH(COLUMNS($AC$1006:AR1006),$AC$1006:$AS$1006,0)), HYPERLINK("#",""), HYPERLINK(CONCATENATE("#Metadata!", ADDRESS(INDEX($X$2:$X$1001,MATCH(ROWS($V$2:V355),$V$2:$V$1001,0),0), INDEX($AC$1004:$AS$1004,1,MATCH(COLUMNS($AC$1006:AR1006),$AC$1006:$AS$1006,0)))),"Fix")))</f>
        <v>0</v>
      </c>
      <c r="R355" s="5">
        <f>IF(OR(INDEX($W$2:$W$1001,MATCH(ROWS($V$2:V355),$V$2:$V$1001,0),1)&gt;=100000,INDEX($AC$1005:$AS$1005,1,MATCH(COLUMNS($AC$1006:AS1006),$AC$1006:$AS$1006,0))&gt;=100000), " ",IF(INDEX($AC$2:$AS$1001,MATCH(ROWS($V$2:V355),$V$2:$V$1001,0),MATCH(COLUMNS($AC$1006:AS1006),$AC$1006:$AS$1006,0)), HYPERLINK("#",""), HYPERLINK(CONCATENATE("#Metadata!", ADDRESS(INDEX($X$2:$X$1001,MATCH(ROWS($V$2:V355),$V$2:$V$1001,0),0), INDEX($AC$1004:$AS$1004,1,MATCH(COLUMNS($AC$1006:AS1006),$AC$1006:$AS$1006,0)))),"Fix")))</f>
        <v>0</v>
      </c>
      <c r="V355">
        <v>0</v>
      </c>
      <c r="W355">
        <v>0</v>
      </c>
      <c r="X355">
        <v>0</v>
      </c>
      <c r="Y355">
        <f>IF(Z355,TRUE,AND(AC355:AS355))</f>
        <v>0</v>
      </c>
      <c r="Z355">
        <f>COUNTBLANK(Metadata!B355:R355)=COLUMNS(Metadata!B355:R355)</f>
        <v>0</v>
      </c>
      <c r="AA355">
        <v>0</v>
      </c>
      <c r="AC355">
        <f>AND(IF(Metadata!B355="",FALSE,TRUE),COUNTIF(Metadata!B:B, Metadata!B355) = 1,NOT(ISERROR(SUMPRODUCT(SEARCH(MID(Metadata!B355,ROW(INDIRECT("1:"&amp;LEN(Metadata!B355))), 1),"0123456789abcdefghijklmnopqrstuvwxyzABCDEFGHIJKLMNOPQRSTUVWXYZ.")))))</f>
        <v>0</v>
      </c>
      <c r="AD355">
        <f>AND(IF(Metadata!C355="",FALSE,TRUE),exact(Metadata!C355,"Host-associated"))</f>
        <v>0</v>
      </c>
      <c r="AE355">
        <f>AND(IF(Metadata!D355="",FALSE,TRUE),OR(exact(Metadata!D355,"Animal"),exact(Metadata!D355,"Fungus"),exact(Metadata!D355,"Plant")))</f>
        <v>0</v>
      </c>
      <c r="AF355">
        <f>AND(IF(Metadata!E355="",FALSE,TRUE),OR(exact(Metadata!E355,"Plant secretion"),exact(Metadata!E355,"Plant rhizosphere"),exact(Metadata!E355,"Plant surface"),exact(Metadata!E355,"Plant corpus"),exact(Metadata!E355,"Fungus surface"),exact(Metadata!E355,"Fungus corpus"),exact(Metadata!E355,"Animal surface"),exact(Metadata!E355,"Animal proximal gut"),exact(Metadata!E355,"Animal corpus"),exact(Metadata!E355,"Animal distal gut"),exact(Metadata!E355,"Animal secretion")))</f>
        <v>0</v>
      </c>
      <c r="AG355">
        <f>OR(AND(IF(Metadata!F355="",FALSE,TRUE),OR(exact(Metadata!F355,"not collected"),exact(Metadata!F355,"not provided"),exact(Metadata!F355,"restricted access"))),AND(IF(Metadata!F355="",FALSE,TRUE),OR(exact(Metadata!F355,"organism-associated habitat"),exact(Metadata!F355,"plant-associated habitat"),exact(Metadata!F355,"animal-associated habitat"),exact(Metadata!F355,"insecta-associated habitat"),exact(Metadata!F355,"mammalia-associated habitat"),exact(Metadata!F355,"human-associated habitat"),exact(Metadata!F355,"livestock-associated habitat"))))</f>
        <v>0</v>
      </c>
      <c r="AH355">
        <f>AND(IF(Metadata!G355="",FALSE,TRUE),exact(Metadata!G355,"host-associated"))</f>
        <v>0</v>
      </c>
      <c r="AI355">
        <f>OR(AND(IF(Metadata!H355="",FALSE,TRUE),OR(exact(Metadata!H355,"not collected"),exact(Metadata!H355,"not provided"))),AND(IF(Metadata!H355="",FALSE,ISNUMBER(VALUE(Metadata!H355))),Metadata!H355&gt;0))</f>
        <v>0</v>
      </c>
      <c r="AJ355">
        <f>AND(IF(Metadata!I355="",FALSE,TRUE),exact(Metadata!I355,"years"))</f>
        <v>0</v>
      </c>
      <c r="AK355">
        <f>IF(Metadata!J355="",FALSE,TRUE)</f>
        <v>0</v>
      </c>
      <c r="AL355">
        <f>OR(AND(IF(Metadata!K355="",FALSE,TRUE),OR(exact(Metadata!K355,"not collected"),exact(Metadata!K355,"not provided"))),AND(IF(Metadata!K355="",FALSE,ISNUMBER(VALUE(Metadata!K355))),Metadata!K355&gt;0))</f>
        <v>0</v>
      </c>
      <c r="AM355">
        <f>AND(IF(Metadata!L355="",FALSE,TRUE),exact(Metadata!L355,"cm"))</f>
        <v>0</v>
      </c>
      <c r="AN355">
        <f>IF(Metadata!M355="",FALSE,TRUE)</f>
        <v>0</v>
      </c>
      <c r="AO355">
        <f>OR(AND(IF(Metadata!N355="",FALSE,TRUE),OR(exact(Metadata!N355,"not applicable"),exact(Metadata!N355,"not collected"),exact(Metadata!N355,"not provided"))),AND(IF(Metadata!N355="",FALSE,IF(ISERROR(INT(Metadata!N355)),FALSE,INT(Metadata!N355)=Metadata!N355)),Metadata!N355&gt;0))</f>
        <v>0</v>
      </c>
      <c r="AP355">
        <f>OR(AND(IF(Metadata!O355="",FALSE,TRUE),OR(exact(Metadata!O355,"not collected"),exact(Metadata!O355,"not provided"))),AND(IF(Metadata!O355="",FALSE,ISNUMBER(VALUE(Metadata!O355))),Metadata!O355&gt;0))</f>
        <v>0</v>
      </c>
      <c r="AQ355">
        <f>AND(IF(Metadata!P355="",FALSE,TRUE),exact(Metadata!P355,"kg"))</f>
        <v>0</v>
      </c>
      <c r="AR355">
        <f>OR(AND(IF(Metadata!Q355="",FALSE,TRUE),OR(exact(Metadata!Q355,"not applicable"),exact(Metadata!Q355,"not collected"),exact(Metadata!Q355,"not provided"),exact(Metadata!Q355,"restricted access"))),IF(Metadata!Q355="",FALSE,IF(ISERROR(INT(Metadata!Q355)),FALSE,INT(Metadata!Q355)=Metadata!Q355)))</f>
        <v>0</v>
      </c>
      <c r="AS355">
        <f>AND(IF(Metadata!R355="",FALSE,TRUE),exact(Metadata!R355,"Not applicable"))</f>
        <v>0</v>
      </c>
    </row>
    <row r="356" spans="1:45">
      <c r="A356" s="4">
        <f>IF(B356=" "," ",HYPERLINK(CONCATENATE("#metadata!",ADDRESS(INDEX($X$2:$X$1001,MATCH(ROWS($V$2:V356),$V$2:$V$1001,0),0),2)),INDEX($AA$2:$AA$1001,MATCH(ROWS($V$2:V356),$V$2:$V$1001,0),0)))</f>
        <v>0</v>
      </c>
      <c r="B356" s="5">
        <f>IF(OR(INDEX($W$2:$W$1001,MATCH(ROWS($V$2:V356),$V$2:$V$1001,0),1)&gt;=100000,INDEX($AC$1005:$AS$1005,1,MATCH(COLUMNS($AC$1006:AC1006),$AC$1006:$AS$1006,0))&gt;=100000), " ",IF(INDEX($AC$2:$AS$1001,MATCH(ROWS($V$2:V356),$V$2:$V$1001,0),MATCH(COLUMNS($AC$1006:AC1006),$AC$1006:$AS$1006,0)), HYPERLINK("#",""), HYPERLINK(CONCATENATE("#Metadata!", ADDRESS(INDEX($X$2:$X$1001,MATCH(ROWS($V$2:V356),$V$2:$V$1001,0),0), INDEX($AC$1004:$AS$1004,1,MATCH(COLUMNS($AC$1006:AC1006),$AC$1006:$AS$1006,0)))),"Fix")))</f>
        <v>0</v>
      </c>
      <c r="C356" s="5">
        <f>IF(OR(INDEX($W$2:$W$1001,MATCH(ROWS($V$2:V356),$V$2:$V$1001,0),1)&gt;=100000,INDEX($AC$1005:$AS$1005,1,MATCH(COLUMNS($AC$1006:AD1006),$AC$1006:$AS$1006,0))&gt;=100000), " ",IF(INDEX($AC$2:$AS$1001,MATCH(ROWS($V$2:V356),$V$2:$V$1001,0),MATCH(COLUMNS($AC$1006:AD1006),$AC$1006:$AS$1006,0)), HYPERLINK("#",""), HYPERLINK(CONCATENATE("#Metadata!", ADDRESS(INDEX($X$2:$X$1001,MATCH(ROWS($V$2:V356),$V$2:$V$1001,0),0), INDEX($AC$1004:$AS$1004,1,MATCH(COLUMNS($AC$1006:AD1006),$AC$1006:$AS$1006,0)))),"Fix")))</f>
        <v>0</v>
      </c>
      <c r="D356" s="5">
        <f>IF(OR(INDEX($W$2:$W$1001,MATCH(ROWS($V$2:V356),$V$2:$V$1001,0),1)&gt;=100000,INDEX($AC$1005:$AS$1005,1,MATCH(COLUMNS($AC$1006:AE1006),$AC$1006:$AS$1006,0))&gt;=100000), " ",IF(INDEX($AC$2:$AS$1001,MATCH(ROWS($V$2:V356),$V$2:$V$1001,0),MATCH(COLUMNS($AC$1006:AE1006),$AC$1006:$AS$1006,0)), HYPERLINK("#",""), HYPERLINK(CONCATENATE("#Metadata!", ADDRESS(INDEX($X$2:$X$1001,MATCH(ROWS($V$2:V356),$V$2:$V$1001,0),0), INDEX($AC$1004:$AS$1004,1,MATCH(COLUMNS($AC$1006:AE1006),$AC$1006:$AS$1006,0)))),"Fix")))</f>
        <v>0</v>
      </c>
      <c r="E356" s="5">
        <f>IF(OR(INDEX($W$2:$W$1001,MATCH(ROWS($V$2:V356),$V$2:$V$1001,0),1)&gt;=100000,INDEX($AC$1005:$AS$1005,1,MATCH(COLUMNS($AC$1006:AF1006),$AC$1006:$AS$1006,0))&gt;=100000), " ",IF(INDEX($AC$2:$AS$1001,MATCH(ROWS($V$2:V356),$V$2:$V$1001,0),MATCH(COLUMNS($AC$1006:AF1006),$AC$1006:$AS$1006,0)), HYPERLINK("#",""), HYPERLINK(CONCATENATE("#Metadata!", ADDRESS(INDEX($X$2:$X$1001,MATCH(ROWS($V$2:V356),$V$2:$V$1001,0),0), INDEX($AC$1004:$AS$1004,1,MATCH(COLUMNS($AC$1006:AF1006),$AC$1006:$AS$1006,0)))),"Fix")))</f>
        <v>0</v>
      </c>
      <c r="F356" s="5">
        <f>IF(OR(INDEX($W$2:$W$1001,MATCH(ROWS($V$2:V356),$V$2:$V$1001,0),1)&gt;=100000,INDEX($AC$1005:$AS$1005,1,MATCH(COLUMNS($AC$1006:AG1006),$AC$1006:$AS$1006,0))&gt;=100000), " ",IF(INDEX($AC$2:$AS$1001,MATCH(ROWS($V$2:V356),$V$2:$V$1001,0),MATCH(COLUMNS($AC$1006:AG1006),$AC$1006:$AS$1006,0)), HYPERLINK("#",""), HYPERLINK(CONCATENATE("#Metadata!", ADDRESS(INDEX($X$2:$X$1001,MATCH(ROWS($V$2:V356),$V$2:$V$1001,0),0), INDEX($AC$1004:$AS$1004,1,MATCH(COLUMNS($AC$1006:AG1006),$AC$1006:$AS$1006,0)))),"Fix")))</f>
        <v>0</v>
      </c>
      <c r="G356" s="5">
        <f>IF(OR(INDEX($W$2:$W$1001,MATCH(ROWS($V$2:V356),$V$2:$V$1001,0),1)&gt;=100000,INDEX($AC$1005:$AS$1005,1,MATCH(COLUMNS($AC$1006:AH1006),$AC$1006:$AS$1006,0))&gt;=100000), " ",IF(INDEX($AC$2:$AS$1001,MATCH(ROWS($V$2:V356),$V$2:$V$1001,0),MATCH(COLUMNS($AC$1006:AH1006),$AC$1006:$AS$1006,0)), HYPERLINK("#",""), HYPERLINK(CONCATENATE("#Metadata!", ADDRESS(INDEX($X$2:$X$1001,MATCH(ROWS($V$2:V356),$V$2:$V$1001,0),0), INDEX($AC$1004:$AS$1004,1,MATCH(COLUMNS($AC$1006:AH1006),$AC$1006:$AS$1006,0)))),"Fix")))</f>
        <v>0</v>
      </c>
      <c r="H356" s="5">
        <f>IF(OR(INDEX($W$2:$W$1001,MATCH(ROWS($V$2:V356),$V$2:$V$1001,0),1)&gt;=100000,INDEX($AC$1005:$AS$1005,1,MATCH(COLUMNS($AC$1006:AI1006),$AC$1006:$AS$1006,0))&gt;=100000), " ",IF(INDEX($AC$2:$AS$1001,MATCH(ROWS($V$2:V356),$V$2:$V$1001,0),MATCH(COLUMNS($AC$1006:AI1006),$AC$1006:$AS$1006,0)), HYPERLINK("#",""), HYPERLINK(CONCATENATE("#Metadata!", ADDRESS(INDEX($X$2:$X$1001,MATCH(ROWS($V$2:V356),$V$2:$V$1001,0),0), INDEX($AC$1004:$AS$1004,1,MATCH(COLUMNS($AC$1006:AI1006),$AC$1006:$AS$1006,0)))),"Fix")))</f>
        <v>0</v>
      </c>
      <c r="I356" s="5">
        <f>IF(OR(INDEX($W$2:$W$1001,MATCH(ROWS($V$2:V356),$V$2:$V$1001,0),1)&gt;=100000,INDEX($AC$1005:$AS$1005,1,MATCH(COLUMNS($AC$1006:AJ1006),$AC$1006:$AS$1006,0))&gt;=100000), " ",IF(INDEX($AC$2:$AS$1001,MATCH(ROWS($V$2:V356),$V$2:$V$1001,0),MATCH(COLUMNS($AC$1006:AJ1006),$AC$1006:$AS$1006,0)), HYPERLINK("#",""), HYPERLINK(CONCATENATE("#Metadata!", ADDRESS(INDEX($X$2:$X$1001,MATCH(ROWS($V$2:V356),$V$2:$V$1001,0),0), INDEX($AC$1004:$AS$1004,1,MATCH(COLUMNS($AC$1006:AJ1006),$AC$1006:$AS$1006,0)))),"Fix")))</f>
        <v>0</v>
      </c>
      <c r="J356" s="5">
        <f>IF(OR(INDEX($W$2:$W$1001,MATCH(ROWS($V$2:V356),$V$2:$V$1001,0),1)&gt;=100000,INDEX($AC$1005:$AS$1005,1,MATCH(COLUMNS($AC$1006:AK1006),$AC$1006:$AS$1006,0))&gt;=100000), " ",IF(INDEX($AC$2:$AS$1001,MATCH(ROWS($V$2:V356),$V$2:$V$1001,0),MATCH(COLUMNS($AC$1006:AK1006),$AC$1006:$AS$1006,0)), HYPERLINK("#",""), HYPERLINK(CONCATENATE("#Metadata!", ADDRESS(INDEX($X$2:$X$1001,MATCH(ROWS($V$2:V356),$V$2:$V$1001,0),0), INDEX($AC$1004:$AS$1004,1,MATCH(COLUMNS($AC$1006:AK1006),$AC$1006:$AS$1006,0)))),"Fix")))</f>
        <v>0</v>
      </c>
      <c r="K356" s="5">
        <f>IF(OR(INDEX($W$2:$W$1001,MATCH(ROWS($V$2:V356),$V$2:$V$1001,0),1)&gt;=100000,INDEX($AC$1005:$AS$1005,1,MATCH(COLUMNS($AC$1006:AL1006),$AC$1006:$AS$1006,0))&gt;=100000), " ",IF(INDEX($AC$2:$AS$1001,MATCH(ROWS($V$2:V356),$V$2:$V$1001,0),MATCH(COLUMNS($AC$1006:AL1006),$AC$1006:$AS$1006,0)), HYPERLINK("#",""), HYPERLINK(CONCATENATE("#Metadata!", ADDRESS(INDEX($X$2:$X$1001,MATCH(ROWS($V$2:V356),$V$2:$V$1001,0),0), INDEX($AC$1004:$AS$1004,1,MATCH(COLUMNS($AC$1006:AL1006),$AC$1006:$AS$1006,0)))),"Fix")))</f>
        <v>0</v>
      </c>
      <c r="L356" s="5">
        <f>IF(OR(INDEX($W$2:$W$1001,MATCH(ROWS($V$2:V356),$V$2:$V$1001,0),1)&gt;=100000,INDEX($AC$1005:$AS$1005,1,MATCH(COLUMNS($AC$1006:AM1006),$AC$1006:$AS$1006,0))&gt;=100000), " ",IF(INDEX($AC$2:$AS$1001,MATCH(ROWS($V$2:V356),$V$2:$V$1001,0),MATCH(COLUMNS($AC$1006:AM1006),$AC$1006:$AS$1006,0)), HYPERLINK("#",""), HYPERLINK(CONCATENATE("#Metadata!", ADDRESS(INDEX($X$2:$X$1001,MATCH(ROWS($V$2:V356),$V$2:$V$1001,0),0), INDEX($AC$1004:$AS$1004,1,MATCH(COLUMNS($AC$1006:AM1006),$AC$1006:$AS$1006,0)))),"Fix")))</f>
        <v>0</v>
      </c>
      <c r="M356" s="5">
        <f>IF(OR(INDEX($W$2:$W$1001,MATCH(ROWS($V$2:V356),$V$2:$V$1001,0),1)&gt;=100000,INDEX($AC$1005:$AS$1005,1,MATCH(COLUMNS($AC$1006:AN1006),$AC$1006:$AS$1006,0))&gt;=100000), " ",IF(INDEX($AC$2:$AS$1001,MATCH(ROWS($V$2:V356),$V$2:$V$1001,0),MATCH(COLUMNS($AC$1006:AN1006),$AC$1006:$AS$1006,0)), HYPERLINK("#",""), HYPERLINK(CONCATENATE("#Metadata!", ADDRESS(INDEX($X$2:$X$1001,MATCH(ROWS($V$2:V356),$V$2:$V$1001,0),0), INDEX($AC$1004:$AS$1004,1,MATCH(COLUMNS($AC$1006:AN1006),$AC$1006:$AS$1006,0)))),"Fix")))</f>
        <v>0</v>
      </c>
      <c r="N356" s="5">
        <f>IF(OR(INDEX($W$2:$W$1001,MATCH(ROWS($V$2:V356),$V$2:$V$1001,0),1)&gt;=100000,INDEX($AC$1005:$AS$1005,1,MATCH(COLUMNS($AC$1006:AO1006),$AC$1006:$AS$1006,0))&gt;=100000), " ",IF(INDEX($AC$2:$AS$1001,MATCH(ROWS($V$2:V356),$V$2:$V$1001,0),MATCH(COLUMNS($AC$1006:AO1006),$AC$1006:$AS$1006,0)), HYPERLINK("#",""), HYPERLINK(CONCATENATE("#Metadata!", ADDRESS(INDEX($X$2:$X$1001,MATCH(ROWS($V$2:V356),$V$2:$V$1001,0),0), INDEX($AC$1004:$AS$1004,1,MATCH(COLUMNS($AC$1006:AO1006),$AC$1006:$AS$1006,0)))),"Fix")))</f>
        <v>0</v>
      </c>
      <c r="O356" s="5">
        <f>IF(OR(INDEX($W$2:$W$1001,MATCH(ROWS($V$2:V356),$V$2:$V$1001,0),1)&gt;=100000,INDEX($AC$1005:$AS$1005,1,MATCH(COLUMNS($AC$1006:AP1006),$AC$1006:$AS$1006,0))&gt;=100000), " ",IF(INDEX($AC$2:$AS$1001,MATCH(ROWS($V$2:V356),$V$2:$V$1001,0),MATCH(COLUMNS($AC$1006:AP1006),$AC$1006:$AS$1006,0)), HYPERLINK("#",""), HYPERLINK(CONCATENATE("#Metadata!", ADDRESS(INDEX($X$2:$X$1001,MATCH(ROWS($V$2:V356),$V$2:$V$1001,0),0), INDEX($AC$1004:$AS$1004,1,MATCH(COLUMNS($AC$1006:AP1006),$AC$1006:$AS$1006,0)))),"Fix")))</f>
        <v>0</v>
      </c>
      <c r="P356" s="5">
        <f>IF(OR(INDEX($W$2:$W$1001,MATCH(ROWS($V$2:V356),$V$2:$V$1001,0),1)&gt;=100000,INDEX($AC$1005:$AS$1005,1,MATCH(COLUMNS($AC$1006:AQ1006),$AC$1006:$AS$1006,0))&gt;=100000), " ",IF(INDEX($AC$2:$AS$1001,MATCH(ROWS($V$2:V356),$V$2:$V$1001,0),MATCH(COLUMNS($AC$1006:AQ1006),$AC$1006:$AS$1006,0)), HYPERLINK("#",""), HYPERLINK(CONCATENATE("#Metadata!", ADDRESS(INDEX($X$2:$X$1001,MATCH(ROWS($V$2:V356),$V$2:$V$1001,0),0), INDEX($AC$1004:$AS$1004,1,MATCH(COLUMNS($AC$1006:AQ1006),$AC$1006:$AS$1006,0)))),"Fix")))</f>
        <v>0</v>
      </c>
      <c r="Q356" s="5">
        <f>IF(OR(INDEX($W$2:$W$1001,MATCH(ROWS($V$2:V356),$V$2:$V$1001,0),1)&gt;=100000,INDEX($AC$1005:$AS$1005,1,MATCH(COLUMNS($AC$1006:AR1006),$AC$1006:$AS$1006,0))&gt;=100000), " ",IF(INDEX($AC$2:$AS$1001,MATCH(ROWS($V$2:V356),$V$2:$V$1001,0),MATCH(COLUMNS($AC$1006:AR1006),$AC$1006:$AS$1006,0)), HYPERLINK("#",""), HYPERLINK(CONCATENATE("#Metadata!", ADDRESS(INDEX($X$2:$X$1001,MATCH(ROWS($V$2:V356),$V$2:$V$1001,0),0), INDEX($AC$1004:$AS$1004,1,MATCH(COLUMNS($AC$1006:AR1006),$AC$1006:$AS$1006,0)))),"Fix")))</f>
        <v>0</v>
      </c>
      <c r="R356" s="5">
        <f>IF(OR(INDEX($W$2:$W$1001,MATCH(ROWS($V$2:V356),$V$2:$V$1001,0),1)&gt;=100000,INDEX($AC$1005:$AS$1005,1,MATCH(COLUMNS($AC$1006:AS1006),$AC$1006:$AS$1006,0))&gt;=100000), " ",IF(INDEX($AC$2:$AS$1001,MATCH(ROWS($V$2:V356),$V$2:$V$1001,0),MATCH(COLUMNS($AC$1006:AS1006),$AC$1006:$AS$1006,0)), HYPERLINK("#",""), HYPERLINK(CONCATENATE("#Metadata!", ADDRESS(INDEX($X$2:$X$1001,MATCH(ROWS($V$2:V356),$V$2:$V$1001,0),0), INDEX($AC$1004:$AS$1004,1,MATCH(COLUMNS($AC$1006:AS1006),$AC$1006:$AS$1006,0)))),"Fix")))</f>
        <v>0</v>
      </c>
      <c r="V356">
        <v>0</v>
      </c>
      <c r="W356">
        <v>0</v>
      </c>
      <c r="X356">
        <v>0</v>
      </c>
      <c r="Y356">
        <f>IF(Z356,TRUE,AND(AC356:AS356))</f>
        <v>0</v>
      </c>
      <c r="Z356">
        <f>COUNTBLANK(Metadata!B356:R356)=COLUMNS(Metadata!B356:R356)</f>
        <v>0</v>
      </c>
      <c r="AA356">
        <v>0</v>
      </c>
      <c r="AC356">
        <f>AND(IF(Metadata!B356="",FALSE,TRUE),COUNTIF(Metadata!B:B, Metadata!B356) = 1,NOT(ISERROR(SUMPRODUCT(SEARCH(MID(Metadata!B356,ROW(INDIRECT("1:"&amp;LEN(Metadata!B356))), 1),"0123456789abcdefghijklmnopqrstuvwxyzABCDEFGHIJKLMNOPQRSTUVWXYZ.")))))</f>
        <v>0</v>
      </c>
      <c r="AD356">
        <f>AND(IF(Metadata!C356="",FALSE,TRUE),exact(Metadata!C356,"Host-associated"))</f>
        <v>0</v>
      </c>
      <c r="AE356">
        <f>AND(IF(Metadata!D356="",FALSE,TRUE),OR(exact(Metadata!D356,"Animal"),exact(Metadata!D356,"Fungus"),exact(Metadata!D356,"Plant")))</f>
        <v>0</v>
      </c>
      <c r="AF356">
        <f>AND(IF(Metadata!E356="",FALSE,TRUE),OR(exact(Metadata!E356,"Plant secretion"),exact(Metadata!E356,"Plant rhizosphere"),exact(Metadata!E356,"Plant surface"),exact(Metadata!E356,"Plant corpus"),exact(Metadata!E356,"Fungus surface"),exact(Metadata!E356,"Fungus corpus"),exact(Metadata!E356,"Animal surface"),exact(Metadata!E356,"Animal proximal gut"),exact(Metadata!E356,"Animal corpus"),exact(Metadata!E356,"Animal distal gut"),exact(Metadata!E356,"Animal secretion")))</f>
        <v>0</v>
      </c>
      <c r="AG356">
        <f>OR(AND(IF(Metadata!F356="",FALSE,TRUE),OR(exact(Metadata!F356,"not collected"),exact(Metadata!F356,"not provided"),exact(Metadata!F356,"restricted access"))),AND(IF(Metadata!F356="",FALSE,TRUE),OR(exact(Metadata!F356,"organism-associated habitat"),exact(Metadata!F356,"plant-associated habitat"),exact(Metadata!F356,"animal-associated habitat"),exact(Metadata!F356,"insecta-associated habitat"),exact(Metadata!F356,"mammalia-associated habitat"),exact(Metadata!F356,"human-associated habitat"),exact(Metadata!F356,"livestock-associated habitat"))))</f>
        <v>0</v>
      </c>
      <c r="AH356">
        <f>AND(IF(Metadata!G356="",FALSE,TRUE),exact(Metadata!G356,"host-associated"))</f>
        <v>0</v>
      </c>
      <c r="AI356">
        <f>OR(AND(IF(Metadata!H356="",FALSE,TRUE),OR(exact(Metadata!H356,"not collected"),exact(Metadata!H356,"not provided"))),AND(IF(Metadata!H356="",FALSE,ISNUMBER(VALUE(Metadata!H356))),Metadata!H356&gt;0))</f>
        <v>0</v>
      </c>
      <c r="AJ356">
        <f>AND(IF(Metadata!I356="",FALSE,TRUE),exact(Metadata!I356,"years"))</f>
        <v>0</v>
      </c>
      <c r="AK356">
        <f>IF(Metadata!J356="",FALSE,TRUE)</f>
        <v>0</v>
      </c>
      <c r="AL356">
        <f>OR(AND(IF(Metadata!K356="",FALSE,TRUE),OR(exact(Metadata!K356,"not collected"),exact(Metadata!K356,"not provided"))),AND(IF(Metadata!K356="",FALSE,ISNUMBER(VALUE(Metadata!K356))),Metadata!K356&gt;0))</f>
        <v>0</v>
      </c>
      <c r="AM356">
        <f>AND(IF(Metadata!L356="",FALSE,TRUE),exact(Metadata!L356,"cm"))</f>
        <v>0</v>
      </c>
      <c r="AN356">
        <f>IF(Metadata!M356="",FALSE,TRUE)</f>
        <v>0</v>
      </c>
      <c r="AO356">
        <f>OR(AND(IF(Metadata!N356="",FALSE,TRUE),OR(exact(Metadata!N356,"not applicable"),exact(Metadata!N356,"not collected"),exact(Metadata!N356,"not provided"))),AND(IF(Metadata!N356="",FALSE,IF(ISERROR(INT(Metadata!N356)),FALSE,INT(Metadata!N356)=Metadata!N356)),Metadata!N356&gt;0))</f>
        <v>0</v>
      </c>
      <c r="AP356">
        <f>OR(AND(IF(Metadata!O356="",FALSE,TRUE),OR(exact(Metadata!O356,"not collected"),exact(Metadata!O356,"not provided"))),AND(IF(Metadata!O356="",FALSE,ISNUMBER(VALUE(Metadata!O356))),Metadata!O356&gt;0))</f>
        <v>0</v>
      </c>
      <c r="AQ356">
        <f>AND(IF(Metadata!P356="",FALSE,TRUE),exact(Metadata!P356,"kg"))</f>
        <v>0</v>
      </c>
      <c r="AR356">
        <f>OR(AND(IF(Metadata!Q356="",FALSE,TRUE),OR(exact(Metadata!Q356,"not applicable"),exact(Metadata!Q356,"not collected"),exact(Metadata!Q356,"not provided"),exact(Metadata!Q356,"restricted access"))),IF(Metadata!Q356="",FALSE,IF(ISERROR(INT(Metadata!Q356)),FALSE,INT(Metadata!Q356)=Metadata!Q356)))</f>
        <v>0</v>
      </c>
      <c r="AS356">
        <f>AND(IF(Metadata!R356="",FALSE,TRUE),exact(Metadata!R356,"Not applicable"))</f>
        <v>0</v>
      </c>
    </row>
    <row r="357" spans="1:45">
      <c r="A357" s="4">
        <f>IF(B357=" "," ",HYPERLINK(CONCATENATE("#metadata!",ADDRESS(INDEX($X$2:$X$1001,MATCH(ROWS($V$2:V357),$V$2:$V$1001,0),0),2)),INDEX($AA$2:$AA$1001,MATCH(ROWS($V$2:V357),$V$2:$V$1001,0),0)))</f>
        <v>0</v>
      </c>
      <c r="B357" s="5">
        <f>IF(OR(INDEX($W$2:$W$1001,MATCH(ROWS($V$2:V357),$V$2:$V$1001,0),1)&gt;=100000,INDEX($AC$1005:$AS$1005,1,MATCH(COLUMNS($AC$1006:AC1006),$AC$1006:$AS$1006,0))&gt;=100000), " ",IF(INDEX($AC$2:$AS$1001,MATCH(ROWS($V$2:V357),$V$2:$V$1001,0),MATCH(COLUMNS($AC$1006:AC1006),$AC$1006:$AS$1006,0)), HYPERLINK("#",""), HYPERLINK(CONCATENATE("#Metadata!", ADDRESS(INDEX($X$2:$X$1001,MATCH(ROWS($V$2:V357),$V$2:$V$1001,0),0), INDEX($AC$1004:$AS$1004,1,MATCH(COLUMNS($AC$1006:AC1006),$AC$1006:$AS$1006,0)))),"Fix")))</f>
        <v>0</v>
      </c>
      <c r="C357" s="5">
        <f>IF(OR(INDEX($W$2:$W$1001,MATCH(ROWS($V$2:V357),$V$2:$V$1001,0),1)&gt;=100000,INDEX($AC$1005:$AS$1005,1,MATCH(COLUMNS($AC$1006:AD1006),$AC$1006:$AS$1006,0))&gt;=100000), " ",IF(INDEX($AC$2:$AS$1001,MATCH(ROWS($V$2:V357),$V$2:$V$1001,0),MATCH(COLUMNS($AC$1006:AD1006),$AC$1006:$AS$1006,0)), HYPERLINK("#",""), HYPERLINK(CONCATENATE("#Metadata!", ADDRESS(INDEX($X$2:$X$1001,MATCH(ROWS($V$2:V357),$V$2:$V$1001,0),0), INDEX($AC$1004:$AS$1004,1,MATCH(COLUMNS($AC$1006:AD1006),$AC$1006:$AS$1006,0)))),"Fix")))</f>
        <v>0</v>
      </c>
      <c r="D357" s="5">
        <f>IF(OR(INDEX($W$2:$W$1001,MATCH(ROWS($V$2:V357),$V$2:$V$1001,0),1)&gt;=100000,INDEX($AC$1005:$AS$1005,1,MATCH(COLUMNS($AC$1006:AE1006),$AC$1006:$AS$1006,0))&gt;=100000), " ",IF(INDEX($AC$2:$AS$1001,MATCH(ROWS($V$2:V357),$V$2:$V$1001,0),MATCH(COLUMNS($AC$1006:AE1006),$AC$1006:$AS$1006,0)), HYPERLINK("#",""), HYPERLINK(CONCATENATE("#Metadata!", ADDRESS(INDEX($X$2:$X$1001,MATCH(ROWS($V$2:V357),$V$2:$V$1001,0),0), INDEX($AC$1004:$AS$1004,1,MATCH(COLUMNS($AC$1006:AE1006),$AC$1006:$AS$1006,0)))),"Fix")))</f>
        <v>0</v>
      </c>
      <c r="E357" s="5">
        <f>IF(OR(INDEX($W$2:$W$1001,MATCH(ROWS($V$2:V357),$V$2:$V$1001,0),1)&gt;=100000,INDEX($AC$1005:$AS$1005,1,MATCH(COLUMNS($AC$1006:AF1006),$AC$1006:$AS$1006,0))&gt;=100000), " ",IF(INDEX($AC$2:$AS$1001,MATCH(ROWS($V$2:V357),$V$2:$V$1001,0),MATCH(COLUMNS($AC$1006:AF1006),$AC$1006:$AS$1006,0)), HYPERLINK("#",""), HYPERLINK(CONCATENATE("#Metadata!", ADDRESS(INDEX($X$2:$X$1001,MATCH(ROWS($V$2:V357),$V$2:$V$1001,0),0), INDEX($AC$1004:$AS$1004,1,MATCH(COLUMNS($AC$1006:AF1006),$AC$1006:$AS$1006,0)))),"Fix")))</f>
        <v>0</v>
      </c>
      <c r="F357" s="5">
        <f>IF(OR(INDEX($W$2:$W$1001,MATCH(ROWS($V$2:V357),$V$2:$V$1001,0),1)&gt;=100000,INDEX($AC$1005:$AS$1005,1,MATCH(COLUMNS($AC$1006:AG1006),$AC$1006:$AS$1006,0))&gt;=100000), " ",IF(INDEX($AC$2:$AS$1001,MATCH(ROWS($V$2:V357),$V$2:$V$1001,0),MATCH(COLUMNS($AC$1006:AG1006),$AC$1006:$AS$1006,0)), HYPERLINK("#",""), HYPERLINK(CONCATENATE("#Metadata!", ADDRESS(INDEX($X$2:$X$1001,MATCH(ROWS($V$2:V357),$V$2:$V$1001,0),0), INDEX($AC$1004:$AS$1004,1,MATCH(COLUMNS($AC$1006:AG1006),$AC$1006:$AS$1006,0)))),"Fix")))</f>
        <v>0</v>
      </c>
      <c r="G357" s="5">
        <f>IF(OR(INDEX($W$2:$W$1001,MATCH(ROWS($V$2:V357),$V$2:$V$1001,0),1)&gt;=100000,INDEX($AC$1005:$AS$1005,1,MATCH(COLUMNS($AC$1006:AH1006),$AC$1006:$AS$1006,0))&gt;=100000), " ",IF(INDEX($AC$2:$AS$1001,MATCH(ROWS($V$2:V357),$V$2:$V$1001,0),MATCH(COLUMNS($AC$1006:AH1006),$AC$1006:$AS$1006,0)), HYPERLINK("#",""), HYPERLINK(CONCATENATE("#Metadata!", ADDRESS(INDEX($X$2:$X$1001,MATCH(ROWS($V$2:V357),$V$2:$V$1001,0),0), INDEX($AC$1004:$AS$1004,1,MATCH(COLUMNS($AC$1006:AH1006),$AC$1006:$AS$1006,0)))),"Fix")))</f>
        <v>0</v>
      </c>
      <c r="H357" s="5">
        <f>IF(OR(INDEX($W$2:$W$1001,MATCH(ROWS($V$2:V357),$V$2:$V$1001,0),1)&gt;=100000,INDEX($AC$1005:$AS$1005,1,MATCH(COLUMNS($AC$1006:AI1006),$AC$1006:$AS$1006,0))&gt;=100000), " ",IF(INDEX($AC$2:$AS$1001,MATCH(ROWS($V$2:V357),$V$2:$V$1001,0),MATCH(COLUMNS($AC$1006:AI1006),$AC$1006:$AS$1006,0)), HYPERLINK("#",""), HYPERLINK(CONCATENATE("#Metadata!", ADDRESS(INDEX($X$2:$X$1001,MATCH(ROWS($V$2:V357),$V$2:$V$1001,0),0), INDEX($AC$1004:$AS$1004,1,MATCH(COLUMNS($AC$1006:AI1006),$AC$1006:$AS$1006,0)))),"Fix")))</f>
        <v>0</v>
      </c>
      <c r="I357" s="5">
        <f>IF(OR(INDEX($W$2:$W$1001,MATCH(ROWS($V$2:V357),$V$2:$V$1001,0),1)&gt;=100000,INDEX($AC$1005:$AS$1005,1,MATCH(COLUMNS($AC$1006:AJ1006),$AC$1006:$AS$1006,0))&gt;=100000), " ",IF(INDEX($AC$2:$AS$1001,MATCH(ROWS($V$2:V357),$V$2:$V$1001,0),MATCH(COLUMNS($AC$1006:AJ1006),$AC$1006:$AS$1006,0)), HYPERLINK("#",""), HYPERLINK(CONCATENATE("#Metadata!", ADDRESS(INDEX($X$2:$X$1001,MATCH(ROWS($V$2:V357),$V$2:$V$1001,0),0), INDEX($AC$1004:$AS$1004,1,MATCH(COLUMNS($AC$1006:AJ1006),$AC$1006:$AS$1006,0)))),"Fix")))</f>
        <v>0</v>
      </c>
      <c r="J357" s="5">
        <f>IF(OR(INDEX($W$2:$W$1001,MATCH(ROWS($V$2:V357),$V$2:$V$1001,0),1)&gt;=100000,INDEX($AC$1005:$AS$1005,1,MATCH(COLUMNS($AC$1006:AK1006),$AC$1006:$AS$1006,0))&gt;=100000), " ",IF(INDEX($AC$2:$AS$1001,MATCH(ROWS($V$2:V357),$V$2:$V$1001,0),MATCH(COLUMNS($AC$1006:AK1006),$AC$1006:$AS$1006,0)), HYPERLINK("#",""), HYPERLINK(CONCATENATE("#Metadata!", ADDRESS(INDEX($X$2:$X$1001,MATCH(ROWS($V$2:V357),$V$2:$V$1001,0),0), INDEX($AC$1004:$AS$1004,1,MATCH(COLUMNS($AC$1006:AK1006),$AC$1006:$AS$1006,0)))),"Fix")))</f>
        <v>0</v>
      </c>
      <c r="K357" s="5">
        <f>IF(OR(INDEX($W$2:$W$1001,MATCH(ROWS($V$2:V357),$V$2:$V$1001,0),1)&gt;=100000,INDEX($AC$1005:$AS$1005,1,MATCH(COLUMNS($AC$1006:AL1006),$AC$1006:$AS$1006,0))&gt;=100000), " ",IF(INDEX($AC$2:$AS$1001,MATCH(ROWS($V$2:V357),$V$2:$V$1001,0),MATCH(COLUMNS($AC$1006:AL1006),$AC$1006:$AS$1006,0)), HYPERLINK("#",""), HYPERLINK(CONCATENATE("#Metadata!", ADDRESS(INDEX($X$2:$X$1001,MATCH(ROWS($V$2:V357),$V$2:$V$1001,0),0), INDEX($AC$1004:$AS$1004,1,MATCH(COLUMNS($AC$1006:AL1006),$AC$1006:$AS$1006,0)))),"Fix")))</f>
        <v>0</v>
      </c>
      <c r="L357" s="5">
        <f>IF(OR(INDEX($W$2:$W$1001,MATCH(ROWS($V$2:V357),$V$2:$V$1001,0),1)&gt;=100000,INDEX($AC$1005:$AS$1005,1,MATCH(COLUMNS($AC$1006:AM1006),$AC$1006:$AS$1006,0))&gt;=100000), " ",IF(INDEX($AC$2:$AS$1001,MATCH(ROWS($V$2:V357),$V$2:$V$1001,0),MATCH(COLUMNS($AC$1006:AM1006),$AC$1006:$AS$1006,0)), HYPERLINK("#",""), HYPERLINK(CONCATENATE("#Metadata!", ADDRESS(INDEX($X$2:$X$1001,MATCH(ROWS($V$2:V357),$V$2:$V$1001,0),0), INDEX($AC$1004:$AS$1004,1,MATCH(COLUMNS($AC$1006:AM1006),$AC$1006:$AS$1006,0)))),"Fix")))</f>
        <v>0</v>
      </c>
      <c r="M357" s="5">
        <f>IF(OR(INDEX($W$2:$W$1001,MATCH(ROWS($V$2:V357),$V$2:$V$1001,0),1)&gt;=100000,INDEX($AC$1005:$AS$1005,1,MATCH(COLUMNS($AC$1006:AN1006),$AC$1006:$AS$1006,0))&gt;=100000), " ",IF(INDEX($AC$2:$AS$1001,MATCH(ROWS($V$2:V357),$V$2:$V$1001,0),MATCH(COLUMNS($AC$1006:AN1006),$AC$1006:$AS$1006,0)), HYPERLINK("#",""), HYPERLINK(CONCATENATE("#Metadata!", ADDRESS(INDEX($X$2:$X$1001,MATCH(ROWS($V$2:V357),$V$2:$V$1001,0),0), INDEX($AC$1004:$AS$1004,1,MATCH(COLUMNS($AC$1006:AN1006),$AC$1006:$AS$1006,0)))),"Fix")))</f>
        <v>0</v>
      </c>
      <c r="N357" s="5">
        <f>IF(OR(INDEX($W$2:$W$1001,MATCH(ROWS($V$2:V357),$V$2:$V$1001,0),1)&gt;=100000,INDEX($AC$1005:$AS$1005,1,MATCH(COLUMNS($AC$1006:AO1006),$AC$1006:$AS$1006,0))&gt;=100000), " ",IF(INDEX($AC$2:$AS$1001,MATCH(ROWS($V$2:V357),$V$2:$V$1001,0),MATCH(COLUMNS($AC$1006:AO1006),$AC$1006:$AS$1006,0)), HYPERLINK("#",""), HYPERLINK(CONCATENATE("#Metadata!", ADDRESS(INDEX($X$2:$X$1001,MATCH(ROWS($V$2:V357),$V$2:$V$1001,0),0), INDEX($AC$1004:$AS$1004,1,MATCH(COLUMNS($AC$1006:AO1006),$AC$1006:$AS$1006,0)))),"Fix")))</f>
        <v>0</v>
      </c>
      <c r="O357" s="5">
        <f>IF(OR(INDEX($W$2:$W$1001,MATCH(ROWS($V$2:V357),$V$2:$V$1001,0),1)&gt;=100000,INDEX($AC$1005:$AS$1005,1,MATCH(COLUMNS($AC$1006:AP1006),$AC$1006:$AS$1006,0))&gt;=100000), " ",IF(INDEX($AC$2:$AS$1001,MATCH(ROWS($V$2:V357),$V$2:$V$1001,0),MATCH(COLUMNS($AC$1006:AP1006),$AC$1006:$AS$1006,0)), HYPERLINK("#",""), HYPERLINK(CONCATENATE("#Metadata!", ADDRESS(INDEX($X$2:$X$1001,MATCH(ROWS($V$2:V357),$V$2:$V$1001,0),0), INDEX($AC$1004:$AS$1004,1,MATCH(COLUMNS($AC$1006:AP1006),$AC$1006:$AS$1006,0)))),"Fix")))</f>
        <v>0</v>
      </c>
      <c r="P357" s="5">
        <f>IF(OR(INDEX($W$2:$W$1001,MATCH(ROWS($V$2:V357),$V$2:$V$1001,0),1)&gt;=100000,INDEX($AC$1005:$AS$1005,1,MATCH(COLUMNS($AC$1006:AQ1006),$AC$1006:$AS$1006,0))&gt;=100000), " ",IF(INDEX($AC$2:$AS$1001,MATCH(ROWS($V$2:V357),$V$2:$V$1001,0),MATCH(COLUMNS($AC$1006:AQ1006),$AC$1006:$AS$1006,0)), HYPERLINK("#",""), HYPERLINK(CONCATENATE("#Metadata!", ADDRESS(INDEX($X$2:$X$1001,MATCH(ROWS($V$2:V357),$V$2:$V$1001,0),0), INDEX($AC$1004:$AS$1004,1,MATCH(COLUMNS($AC$1006:AQ1006),$AC$1006:$AS$1006,0)))),"Fix")))</f>
        <v>0</v>
      </c>
      <c r="Q357" s="5">
        <f>IF(OR(INDEX($W$2:$W$1001,MATCH(ROWS($V$2:V357),$V$2:$V$1001,0),1)&gt;=100000,INDEX($AC$1005:$AS$1005,1,MATCH(COLUMNS($AC$1006:AR1006),$AC$1006:$AS$1006,0))&gt;=100000), " ",IF(INDEX($AC$2:$AS$1001,MATCH(ROWS($V$2:V357),$V$2:$V$1001,0),MATCH(COLUMNS($AC$1006:AR1006),$AC$1006:$AS$1006,0)), HYPERLINK("#",""), HYPERLINK(CONCATENATE("#Metadata!", ADDRESS(INDEX($X$2:$X$1001,MATCH(ROWS($V$2:V357),$V$2:$V$1001,0),0), INDEX($AC$1004:$AS$1004,1,MATCH(COLUMNS($AC$1006:AR1006),$AC$1006:$AS$1006,0)))),"Fix")))</f>
        <v>0</v>
      </c>
      <c r="R357" s="5">
        <f>IF(OR(INDEX($W$2:$W$1001,MATCH(ROWS($V$2:V357),$V$2:$V$1001,0),1)&gt;=100000,INDEX($AC$1005:$AS$1005,1,MATCH(COLUMNS($AC$1006:AS1006),$AC$1006:$AS$1006,0))&gt;=100000), " ",IF(INDEX($AC$2:$AS$1001,MATCH(ROWS($V$2:V357),$V$2:$V$1001,0),MATCH(COLUMNS($AC$1006:AS1006),$AC$1006:$AS$1006,0)), HYPERLINK("#",""), HYPERLINK(CONCATENATE("#Metadata!", ADDRESS(INDEX($X$2:$X$1001,MATCH(ROWS($V$2:V357),$V$2:$V$1001,0),0), INDEX($AC$1004:$AS$1004,1,MATCH(COLUMNS($AC$1006:AS1006),$AC$1006:$AS$1006,0)))),"Fix")))</f>
        <v>0</v>
      </c>
      <c r="V357">
        <v>0</v>
      </c>
      <c r="W357">
        <v>0</v>
      </c>
      <c r="X357">
        <v>0</v>
      </c>
      <c r="Y357">
        <f>IF(Z357,TRUE,AND(AC357:AS357))</f>
        <v>0</v>
      </c>
      <c r="Z357">
        <f>COUNTBLANK(Metadata!B357:R357)=COLUMNS(Metadata!B357:R357)</f>
        <v>0</v>
      </c>
      <c r="AA357">
        <v>0</v>
      </c>
      <c r="AC357">
        <f>AND(IF(Metadata!B357="",FALSE,TRUE),COUNTIF(Metadata!B:B, Metadata!B357) = 1,NOT(ISERROR(SUMPRODUCT(SEARCH(MID(Metadata!B357,ROW(INDIRECT("1:"&amp;LEN(Metadata!B357))), 1),"0123456789abcdefghijklmnopqrstuvwxyzABCDEFGHIJKLMNOPQRSTUVWXYZ.")))))</f>
        <v>0</v>
      </c>
      <c r="AD357">
        <f>AND(IF(Metadata!C357="",FALSE,TRUE),exact(Metadata!C357,"Host-associated"))</f>
        <v>0</v>
      </c>
      <c r="AE357">
        <f>AND(IF(Metadata!D357="",FALSE,TRUE),OR(exact(Metadata!D357,"Animal"),exact(Metadata!D357,"Fungus"),exact(Metadata!D357,"Plant")))</f>
        <v>0</v>
      </c>
      <c r="AF357">
        <f>AND(IF(Metadata!E357="",FALSE,TRUE),OR(exact(Metadata!E357,"Plant secretion"),exact(Metadata!E357,"Plant rhizosphere"),exact(Metadata!E357,"Plant surface"),exact(Metadata!E357,"Plant corpus"),exact(Metadata!E357,"Fungus surface"),exact(Metadata!E357,"Fungus corpus"),exact(Metadata!E357,"Animal surface"),exact(Metadata!E357,"Animal proximal gut"),exact(Metadata!E357,"Animal corpus"),exact(Metadata!E357,"Animal distal gut"),exact(Metadata!E357,"Animal secretion")))</f>
        <v>0</v>
      </c>
      <c r="AG357">
        <f>OR(AND(IF(Metadata!F357="",FALSE,TRUE),OR(exact(Metadata!F357,"not collected"),exact(Metadata!F357,"not provided"),exact(Metadata!F357,"restricted access"))),AND(IF(Metadata!F357="",FALSE,TRUE),OR(exact(Metadata!F357,"organism-associated habitat"),exact(Metadata!F357,"plant-associated habitat"),exact(Metadata!F357,"animal-associated habitat"),exact(Metadata!F357,"insecta-associated habitat"),exact(Metadata!F357,"mammalia-associated habitat"),exact(Metadata!F357,"human-associated habitat"),exact(Metadata!F357,"livestock-associated habitat"))))</f>
        <v>0</v>
      </c>
      <c r="AH357">
        <f>AND(IF(Metadata!G357="",FALSE,TRUE),exact(Metadata!G357,"host-associated"))</f>
        <v>0</v>
      </c>
      <c r="AI357">
        <f>OR(AND(IF(Metadata!H357="",FALSE,TRUE),OR(exact(Metadata!H357,"not collected"),exact(Metadata!H357,"not provided"))),AND(IF(Metadata!H357="",FALSE,ISNUMBER(VALUE(Metadata!H357))),Metadata!H357&gt;0))</f>
        <v>0</v>
      </c>
      <c r="AJ357">
        <f>AND(IF(Metadata!I357="",FALSE,TRUE),exact(Metadata!I357,"years"))</f>
        <v>0</v>
      </c>
      <c r="AK357">
        <f>IF(Metadata!J357="",FALSE,TRUE)</f>
        <v>0</v>
      </c>
      <c r="AL357">
        <f>OR(AND(IF(Metadata!K357="",FALSE,TRUE),OR(exact(Metadata!K357,"not collected"),exact(Metadata!K357,"not provided"))),AND(IF(Metadata!K357="",FALSE,ISNUMBER(VALUE(Metadata!K357))),Metadata!K357&gt;0))</f>
        <v>0</v>
      </c>
      <c r="AM357">
        <f>AND(IF(Metadata!L357="",FALSE,TRUE),exact(Metadata!L357,"cm"))</f>
        <v>0</v>
      </c>
      <c r="AN357">
        <f>IF(Metadata!M357="",FALSE,TRUE)</f>
        <v>0</v>
      </c>
      <c r="AO357">
        <f>OR(AND(IF(Metadata!N357="",FALSE,TRUE),OR(exact(Metadata!N357,"not applicable"),exact(Metadata!N357,"not collected"),exact(Metadata!N357,"not provided"))),AND(IF(Metadata!N357="",FALSE,IF(ISERROR(INT(Metadata!N357)),FALSE,INT(Metadata!N357)=Metadata!N357)),Metadata!N357&gt;0))</f>
        <v>0</v>
      </c>
      <c r="AP357">
        <f>OR(AND(IF(Metadata!O357="",FALSE,TRUE),OR(exact(Metadata!O357,"not collected"),exact(Metadata!O357,"not provided"))),AND(IF(Metadata!O357="",FALSE,ISNUMBER(VALUE(Metadata!O357))),Metadata!O357&gt;0))</f>
        <v>0</v>
      </c>
      <c r="AQ357">
        <f>AND(IF(Metadata!P357="",FALSE,TRUE),exact(Metadata!P357,"kg"))</f>
        <v>0</v>
      </c>
      <c r="AR357">
        <f>OR(AND(IF(Metadata!Q357="",FALSE,TRUE),OR(exact(Metadata!Q357,"not applicable"),exact(Metadata!Q357,"not collected"),exact(Metadata!Q357,"not provided"),exact(Metadata!Q357,"restricted access"))),IF(Metadata!Q357="",FALSE,IF(ISERROR(INT(Metadata!Q357)),FALSE,INT(Metadata!Q357)=Metadata!Q357)))</f>
        <v>0</v>
      </c>
      <c r="AS357">
        <f>AND(IF(Metadata!R357="",FALSE,TRUE),exact(Metadata!R357,"Not applicable"))</f>
        <v>0</v>
      </c>
    </row>
    <row r="358" spans="1:45">
      <c r="A358" s="4">
        <f>IF(B358=" "," ",HYPERLINK(CONCATENATE("#metadata!",ADDRESS(INDEX($X$2:$X$1001,MATCH(ROWS($V$2:V358),$V$2:$V$1001,0),0),2)),INDEX($AA$2:$AA$1001,MATCH(ROWS($V$2:V358),$V$2:$V$1001,0),0)))</f>
        <v>0</v>
      </c>
      <c r="B358" s="5">
        <f>IF(OR(INDEX($W$2:$W$1001,MATCH(ROWS($V$2:V358),$V$2:$V$1001,0),1)&gt;=100000,INDEX($AC$1005:$AS$1005,1,MATCH(COLUMNS($AC$1006:AC1006),$AC$1006:$AS$1006,0))&gt;=100000), " ",IF(INDEX($AC$2:$AS$1001,MATCH(ROWS($V$2:V358),$V$2:$V$1001,0),MATCH(COLUMNS($AC$1006:AC1006),$AC$1006:$AS$1006,0)), HYPERLINK("#",""), HYPERLINK(CONCATENATE("#Metadata!", ADDRESS(INDEX($X$2:$X$1001,MATCH(ROWS($V$2:V358),$V$2:$V$1001,0),0), INDEX($AC$1004:$AS$1004,1,MATCH(COLUMNS($AC$1006:AC1006),$AC$1006:$AS$1006,0)))),"Fix")))</f>
        <v>0</v>
      </c>
      <c r="C358" s="5">
        <f>IF(OR(INDEX($W$2:$W$1001,MATCH(ROWS($V$2:V358),$V$2:$V$1001,0),1)&gt;=100000,INDEX($AC$1005:$AS$1005,1,MATCH(COLUMNS($AC$1006:AD1006),$AC$1006:$AS$1006,0))&gt;=100000), " ",IF(INDEX($AC$2:$AS$1001,MATCH(ROWS($V$2:V358),$V$2:$V$1001,0),MATCH(COLUMNS($AC$1006:AD1006),$AC$1006:$AS$1006,0)), HYPERLINK("#",""), HYPERLINK(CONCATENATE("#Metadata!", ADDRESS(INDEX($X$2:$X$1001,MATCH(ROWS($V$2:V358),$V$2:$V$1001,0),0), INDEX($AC$1004:$AS$1004,1,MATCH(COLUMNS($AC$1006:AD1006),$AC$1006:$AS$1006,0)))),"Fix")))</f>
        <v>0</v>
      </c>
      <c r="D358" s="5">
        <f>IF(OR(INDEX($W$2:$W$1001,MATCH(ROWS($V$2:V358),$V$2:$V$1001,0),1)&gt;=100000,INDEX($AC$1005:$AS$1005,1,MATCH(COLUMNS($AC$1006:AE1006),$AC$1006:$AS$1006,0))&gt;=100000), " ",IF(INDEX($AC$2:$AS$1001,MATCH(ROWS($V$2:V358),$V$2:$V$1001,0),MATCH(COLUMNS($AC$1006:AE1006),$AC$1006:$AS$1006,0)), HYPERLINK("#",""), HYPERLINK(CONCATENATE("#Metadata!", ADDRESS(INDEX($X$2:$X$1001,MATCH(ROWS($V$2:V358),$V$2:$V$1001,0),0), INDEX($AC$1004:$AS$1004,1,MATCH(COLUMNS($AC$1006:AE1006),$AC$1006:$AS$1006,0)))),"Fix")))</f>
        <v>0</v>
      </c>
      <c r="E358" s="5">
        <f>IF(OR(INDEX($W$2:$W$1001,MATCH(ROWS($V$2:V358),$V$2:$V$1001,0),1)&gt;=100000,INDEX($AC$1005:$AS$1005,1,MATCH(COLUMNS($AC$1006:AF1006),$AC$1006:$AS$1006,0))&gt;=100000), " ",IF(INDEX($AC$2:$AS$1001,MATCH(ROWS($V$2:V358),$V$2:$V$1001,0),MATCH(COLUMNS($AC$1006:AF1006),$AC$1006:$AS$1006,0)), HYPERLINK("#",""), HYPERLINK(CONCATENATE("#Metadata!", ADDRESS(INDEX($X$2:$X$1001,MATCH(ROWS($V$2:V358),$V$2:$V$1001,0),0), INDEX($AC$1004:$AS$1004,1,MATCH(COLUMNS($AC$1006:AF1006),$AC$1006:$AS$1006,0)))),"Fix")))</f>
        <v>0</v>
      </c>
      <c r="F358" s="5">
        <f>IF(OR(INDEX($W$2:$W$1001,MATCH(ROWS($V$2:V358),$V$2:$V$1001,0),1)&gt;=100000,INDEX($AC$1005:$AS$1005,1,MATCH(COLUMNS($AC$1006:AG1006),$AC$1006:$AS$1006,0))&gt;=100000), " ",IF(INDEX($AC$2:$AS$1001,MATCH(ROWS($V$2:V358),$V$2:$V$1001,0),MATCH(COLUMNS($AC$1006:AG1006),$AC$1006:$AS$1006,0)), HYPERLINK("#",""), HYPERLINK(CONCATENATE("#Metadata!", ADDRESS(INDEX($X$2:$X$1001,MATCH(ROWS($V$2:V358),$V$2:$V$1001,0),0), INDEX($AC$1004:$AS$1004,1,MATCH(COLUMNS($AC$1006:AG1006),$AC$1006:$AS$1006,0)))),"Fix")))</f>
        <v>0</v>
      </c>
      <c r="G358" s="5">
        <f>IF(OR(INDEX($W$2:$W$1001,MATCH(ROWS($V$2:V358),$V$2:$V$1001,0),1)&gt;=100000,INDEX($AC$1005:$AS$1005,1,MATCH(COLUMNS($AC$1006:AH1006),$AC$1006:$AS$1006,0))&gt;=100000), " ",IF(INDEX($AC$2:$AS$1001,MATCH(ROWS($V$2:V358),$V$2:$V$1001,0),MATCH(COLUMNS($AC$1006:AH1006),$AC$1006:$AS$1006,0)), HYPERLINK("#",""), HYPERLINK(CONCATENATE("#Metadata!", ADDRESS(INDEX($X$2:$X$1001,MATCH(ROWS($V$2:V358),$V$2:$V$1001,0),0), INDEX($AC$1004:$AS$1004,1,MATCH(COLUMNS($AC$1006:AH1006),$AC$1006:$AS$1006,0)))),"Fix")))</f>
        <v>0</v>
      </c>
      <c r="H358" s="5">
        <f>IF(OR(INDEX($W$2:$W$1001,MATCH(ROWS($V$2:V358),$V$2:$V$1001,0),1)&gt;=100000,INDEX($AC$1005:$AS$1005,1,MATCH(COLUMNS($AC$1006:AI1006),$AC$1006:$AS$1006,0))&gt;=100000), " ",IF(INDEX($AC$2:$AS$1001,MATCH(ROWS($V$2:V358),$V$2:$V$1001,0),MATCH(COLUMNS($AC$1006:AI1006),$AC$1006:$AS$1006,0)), HYPERLINK("#",""), HYPERLINK(CONCATENATE("#Metadata!", ADDRESS(INDEX($X$2:$X$1001,MATCH(ROWS($V$2:V358),$V$2:$V$1001,0),0), INDEX($AC$1004:$AS$1004,1,MATCH(COLUMNS($AC$1006:AI1006),$AC$1006:$AS$1006,0)))),"Fix")))</f>
        <v>0</v>
      </c>
      <c r="I358" s="5">
        <f>IF(OR(INDEX($W$2:$W$1001,MATCH(ROWS($V$2:V358),$V$2:$V$1001,0),1)&gt;=100000,INDEX($AC$1005:$AS$1005,1,MATCH(COLUMNS($AC$1006:AJ1006),$AC$1006:$AS$1006,0))&gt;=100000), " ",IF(INDEX($AC$2:$AS$1001,MATCH(ROWS($V$2:V358),$V$2:$V$1001,0),MATCH(COLUMNS($AC$1006:AJ1006),$AC$1006:$AS$1006,0)), HYPERLINK("#",""), HYPERLINK(CONCATENATE("#Metadata!", ADDRESS(INDEX($X$2:$X$1001,MATCH(ROWS($V$2:V358),$V$2:$V$1001,0),0), INDEX($AC$1004:$AS$1004,1,MATCH(COLUMNS($AC$1006:AJ1006),$AC$1006:$AS$1006,0)))),"Fix")))</f>
        <v>0</v>
      </c>
      <c r="J358" s="5">
        <f>IF(OR(INDEX($W$2:$W$1001,MATCH(ROWS($V$2:V358),$V$2:$V$1001,0),1)&gt;=100000,INDEX($AC$1005:$AS$1005,1,MATCH(COLUMNS($AC$1006:AK1006),$AC$1006:$AS$1006,0))&gt;=100000), " ",IF(INDEX($AC$2:$AS$1001,MATCH(ROWS($V$2:V358),$V$2:$V$1001,0),MATCH(COLUMNS($AC$1006:AK1006),$AC$1006:$AS$1006,0)), HYPERLINK("#",""), HYPERLINK(CONCATENATE("#Metadata!", ADDRESS(INDEX($X$2:$X$1001,MATCH(ROWS($V$2:V358),$V$2:$V$1001,0),0), INDEX($AC$1004:$AS$1004,1,MATCH(COLUMNS($AC$1006:AK1006),$AC$1006:$AS$1006,0)))),"Fix")))</f>
        <v>0</v>
      </c>
      <c r="K358" s="5">
        <f>IF(OR(INDEX($W$2:$W$1001,MATCH(ROWS($V$2:V358),$V$2:$V$1001,0),1)&gt;=100000,INDEX($AC$1005:$AS$1005,1,MATCH(COLUMNS($AC$1006:AL1006),$AC$1006:$AS$1006,0))&gt;=100000), " ",IF(INDEX($AC$2:$AS$1001,MATCH(ROWS($V$2:V358),$V$2:$V$1001,0),MATCH(COLUMNS($AC$1006:AL1006),$AC$1006:$AS$1006,0)), HYPERLINK("#",""), HYPERLINK(CONCATENATE("#Metadata!", ADDRESS(INDEX($X$2:$X$1001,MATCH(ROWS($V$2:V358),$V$2:$V$1001,0),0), INDEX($AC$1004:$AS$1004,1,MATCH(COLUMNS($AC$1006:AL1006),$AC$1006:$AS$1006,0)))),"Fix")))</f>
        <v>0</v>
      </c>
      <c r="L358" s="5">
        <f>IF(OR(INDEX($W$2:$W$1001,MATCH(ROWS($V$2:V358),$V$2:$V$1001,0),1)&gt;=100000,INDEX($AC$1005:$AS$1005,1,MATCH(COLUMNS($AC$1006:AM1006),$AC$1006:$AS$1006,0))&gt;=100000), " ",IF(INDEX($AC$2:$AS$1001,MATCH(ROWS($V$2:V358),$V$2:$V$1001,0),MATCH(COLUMNS($AC$1006:AM1006),$AC$1006:$AS$1006,0)), HYPERLINK("#",""), HYPERLINK(CONCATENATE("#Metadata!", ADDRESS(INDEX($X$2:$X$1001,MATCH(ROWS($V$2:V358),$V$2:$V$1001,0),0), INDEX($AC$1004:$AS$1004,1,MATCH(COLUMNS($AC$1006:AM1006),$AC$1006:$AS$1006,0)))),"Fix")))</f>
        <v>0</v>
      </c>
      <c r="M358" s="5">
        <f>IF(OR(INDEX($W$2:$W$1001,MATCH(ROWS($V$2:V358),$V$2:$V$1001,0),1)&gt;=100000,INDEX($AC$1005:$AS$1005,1,MATCH(COLUMNS($AC$1006:AN1006),$AC$1006:$AS$1006,0))&gt;=100000), " ",IF(INDEX($AC$2:$AS$1001,MATCH(ROWS($V$2:V358),$V$2:$V$1001,0),MATCH(COLUMNS($AC$1006:AN1006),$AC$1006:$AS$1006,0)), HYPERLINK("#",""), HYPERLINK(CONCATENATE("#Metadata!", ADDRESS(INDEX($X$2:$X$1001,MATCH(ROWS($V$2:V358),$V$2:$V$1001,0),0), INDEX($AC$1004:$AS$1004,1,MATCH(COLUMNS($AC$1006:AN1006),$AC$1006:$AS$1006,0)))),"Fix")))</f>
        <v>0</v>
      </c>
      <c r="N358" s="5">
        <f>IF(OR(INDEX($W$2:$W$1001,MATCH(ROWS($V$2:V358),$V$2:$V$1001,0),1)&gt;=100000,INDEX($AC$1005:$AS$1005,1,MATCH(COLUMNS($AC$1006:AO1006),$AC$1006:$AS$1006,0))&gt;=100000), " ",IF(INDEX($AC$2:$AS$1001,MATCH(ROWS($V$2:V358),$V$2:$V$1001,0),MATCH(COLUMNS($AC$1006:AO1006),$AC$1006:$AS$1006,0)), HYPERLINK("#",""), HYPERLINK(CONCATENATE("#Metadata!", ADDRESS(INDEX($X$2:$X$1001,MATCH(ROWS($V$2:V358),$V$2:$V$1001,0),0), INDEX($AC$1004:$AS$1004,1,MATCH(COLUMNS($AC$1006:AO1006),$AC$1006:$AS$1006,0)))),"Fix")))</f>
        <v>0</v>
      </c>
      <c r="O358" s="5">
        <f>IF(OR(INDEX($W$2:$W$1001,MATCH(ROWS($V$2:V358),$V$2:$V$1001,0),1)&gt;=100000,INDEX($AC$1005:$AS$1005,1,MATCH(COLUMNS($AC$1006:AP1006),$AC$1006:$AS$1006,0))&gt;=100000), " ",IF(INDEX($AC$2:$AS$1001,MATCH(ROWS($V$2:V358),$V$2:$V$1001,0),MATCH(COLUMNS($AC$1006:AP1006),$AC$1006:$AS$1006,0)), HYPERLINK("#",""), HYPERLINK(CONCATENATE("#Metadata!", ADDRESS(INDEX($X$2:$X$1001,MATCH(ROWS($V$2:V358),$V$2:$V$1001,0),0), INDEX($AC$1004:$AS$1004,1,MATCH(COLUMNS($AC$1006:AP1006),$AC$1006:$AS$1006,0)))),"Fix")))</f>
        <v>0</v>
      </c>
      <c r="P358" s="5">
        <f>IF(OR(INDEX($W$2:$W$1001,MATCH(ROWS($V$2:V358),$V$2:$V$1001,0),1)&gt;=100000,INDEX($AC$1005:$AS$1005,1,MATCH(COLUMNS($AC$1006:AQ1006),$AC$1006:$AS$1006,0))&gt;=100000), " ",IF(INDEX($AC$2:$AS$1001,MATCH(ROWS($V$2:V358),$V$2:$V$1001,0),MATCH(COLUMNS($AC$1006:AQ1006),$AC$1006:$AS$1006,0)), HYPERLINK("#",""), HYPERLINK(CONCATENATE("#Metadata!", ADDRESS(INDEX($X$2:$X$1001,MATCH(ROWS($V$2:V358),$V$2:$V$1001,0),0), INDEX($AC$1004:$AS$1004,1,MATCH(COLUMNS($AC$1006:AQ1006),$AC$1006:$AS$1006,0)))),"Fix")))</f>
        <v>0</v>
      </c>
      <c r="Q358" s="5">
        <f>IF(OR(INDEX($W$2:$W$1001,MATCH(ROWS($V$2:V358),$V$2:$V$1001,0),1)&gt;=100000,INDEX($AC$1005:$AS$1005,1,MATCH(COLUMNS($AC$1006:AR1006),$AC$1006:$AS$1006,0))&gt;=100000), " ",IF(INDEX($AC$2:$AS$1001,MATCH(ROWS($V$2:V358),$V$2:$V$1001,0),MATCH(COLUMNS($AC$1006:AR1006),$AC$1006:$AS$1006,0)), HYPERLINK("#",""), HYPERLINK(CONCATENATE("#Metadata!", ADDRESS(INDEX($X$2:$X$1001,MATCH(ROWS($V$2:V358),$V$2:$V$1001,0),0), INDEX($AC$1004:$AS$1004,1,MATCH(COLUMNS($AC$1006:AR1006),$AC$1006:$AS$1006,0)))),"Fix")))</f>
        <v>0</v>
      </c>
      <c r="R358" s="5">
        <f>IF(OR(INDEX($W$2:$W$1001,MATCH(ROWS($V$2:V358),$V$2:$V$1001,0),1)&gt;=100000,INDEX($AC$1005:$AS$1005,1,MATCH(COLUMNS($AC$1006:AS1006),$AC$1006:$AS$1006,0))&gt;=100000), " ",IF(INDEX($AC$2:$AS$1001,MATCH(ROWS($V$2:V358),$V$2:$V$1001,0),MATCH(COLUMNS($AC$1006:AS1006),$AC$1006:$AS$1006,0)), HYPERLINK("#",""), HYPERLINK(CONCATENATE("#Metadata!", ADDRESS(INDEX($X$2:$X$1001,MATCH(ROWS($V$2:V358),$V$2:$V$1001,0),0), INDEX($AC$1004:$AS$1004,1,MATCH(COLUMNS($AC$1006:AS1006),$AC$1006:$AS$1006,0)))),"Fix")))</f>
        <v>0</v>
      </c>
      <c r="V358">
        <v>0</v>
      </c>
      <c r="W358">
        <v>0</v>
      </c>
      <c r="X358">
        <v>0</v>
      </c>
      <c r="Y358">
        <f>IF(Z358,TRUE,AND(AC358:AS358))</f>
        <v>0</v>
      </c>
      <c r="Z358">
        <f>COUNTBLANK(Metadata!B358:R358)=COLUMNS(Metadata!B358:R358)</f>
        <v>0</v>
      </c>
      <c r="AA358">
        <v>0</v>
      </c>
      <c r="AC358">
        <f>AND(IF(Metadata!B358="",FALSE,TRUE),COUNTIF(Metadata!B:B, Metadata!B358) = 1,NOT(ISERROR(SUMPRODUCT(SEARCH(MID(Metadata!B358,ROW(INDIRECT("1:"&amp;LEN(Metadata!B358))), 1),"0123456789abcdefghijklmnopqrstuvwxyzABCDEFGHIJKLMNOPQRSTUVWXYZ.")))))</f>
        <v>0</v>
      </c>
      <c r="AD358">
        <f>AND(IF(Metadata!C358="",FALSE,TRUE),exact(Metadata!C358,"Host-associated"))</f>
        <v>0</v>
      </c>
      <c r="AE358">
        <f>AND(IF(Metadata!D358="",FALSE,TRUE),OR(exact(Metadata!D358,"Animal"),exact(Metadata!D358,"Fungus"),exact(Metadata!D358,"Plant")))</f>
        <v>0</v>
      </c>
      <c r="AF358">
        <f>AND(IF(Metadata!E358="",FALSE,TRUE),OR(exact(Metadata!E358,"Plant secretion"),exact(Metadata!E358,"Plant rhizosphere"),exact(Metadata!E358,"Plant surface"),exact(Metadata!E358,"Plant corpus"),exact(Metadata!E358,"Fungus surface"),exact(Metadata!E358,"Fungus corpus"),exact(Metadata!E358,"Animal surface"),exact(Metadata!E358,"Animal proximal gut"),exact(Metadata!E358,"Animal corpus"),exact(Metadata!E358,"Animal distal gut"),exact(Metadata!E358,"Animal secretion")))</f>
        <v>0</v>
      </c>
      <c r="AG358">
        <f>OR(AND(IF(Metadata!F358="",FALSE,TRUE),OR(exact(Metadata!F358,"not collected"),exact(Metadata!F358,"not provided"),exact(Metadata!F358,"restricted access"))),AND(IF(Metadata!F358="",FALSE,TRUE),OR(exact(Metadata!F358,"organism-associated habitat"),exact(Metadata!F358,"plant-associated habitat"),exact(Metadata!F358,"animal-associated habitat"),exact(Metadata!F358,"insecta-associated habitat"),exact(Metadata!F358,"mammalia-associated habitat"),exact(Metadata!F358,"human-associated habitat"),exact(Metadata!F358,"livestock-associated habitat"))))</f>
        <v>0</v>
      </c>
      <c r="AH358">
        <f>AND(IF(Metadata!G358="",FALSE,TRUE),exact(Metadata!G358,"host-associated"))</f>
        <v>0</v>
      </c>
      <c r="AI358">
        <f>OR(AND(IF(Metadata!H358="",FALSE,TRUE),OR(exact(Metadata!H358,"not collected"),exact(Metadata!H358,"not provided"))),AND(IF(Metadata!H358="",FALSE,ISNUMBER(VALUE(Metadata!H358))),Metadata!H358&gt;0))</f>
        <v>0</v>
      </c>
      <c r="AJ358">
        <f>AND(IF(Metadata!I358="",FALSE,TRUE),exact(Metadata!I358,"years"))</f>
        <v>0</v>
      </c>
      <c r="AK358">
        <f>IF(Metadata!J358="",FALSE,TRUE)</f>
        <v>0</v>
      </c>
      <c r="AL358">
        <f>OR(AND(IF(Metadata!K358="",FALSE,TRUE),OR(exact(Metadata!K358,"not collected"),exact(Metadata!K358,"not provided"))),AND(IF(Metadata!K358="",FALSE,ISNUMBER(VALUE(Metadata!K358))),Metadata!K358&gt;0))</f>
        <v>0</v>
      </c>
      <c r="AM358">
        <f>AND(IF(Metadata!L358="",FALSE,TRUE),exact(Metadata!L358,"cm"))</f>
        <v>0</v>
      </c>
      <c r="AN358">
        <f>IF(Metadata!M358="",FALSE,TRUE)</f>
        <v>0</v>
      </c>
      <c r="AO358">
        <f>OR(AND(IF(Metadata!N358="",FALSE,TRUE),OR(exact(Metadata!N358,"not applicable"),exact(Metadata!N358,"not collected"),exact(Metadata!N358,"not provided"))),AND(IF(Metadata!N358="",FALSE,IF(ISERROR(INT(Metadata!N358)),FALSE,INT(Metadata!N358)=Metadata!N358)),Metadata!N358&gt;0))</f>
        <v>0</v>
      </c>
      <c r="AP358">
        <f>OR(AND(IF(Metadata!O358="",FALSE,TRUE),OR(exact(Metadata!O358,"not collected"),exact(Metadata!O358,"not provided"))),AND(IF(Metadata!O358="",FALSE,ISNUMBER(VALUE(Metadata!O358))),Metadata!O358&gt;0))</f>
        <v>0</v>
      </c>
      <c r="AQ358">
        <f>AND(IF(Metadata!P358="",FALSE,TRUE),exact(Metadata!P358,"kg"))</f>
        <v>0</v>
      </c>
      <c r="AR358">
        <f>OR(AND(IF(Metadata!Q358="",FALSE,TRUE),OR(exact(Metadata!Q358,"not applicable"),exact(Metadata!Q358,"not collected"),exact(Metadata!Q358,"not provided"),exact(Metadata!Q358,"restricted access"))),IF(Metadata!Q358="",FALSE,IF(ISERROR(INT(Metadata!Q358)),FALSE,INT(Metadata!Q358)=Metadata!Q358)))</f>
        <v>0</v>
      </c>
      <c r="AS358">
        <f>AND(IF(Metadata!R358="",FALSE,TRUE),exact(Metadata!R358,"Not applicable"))</f>
        <v>0</v>
      </c>
    </row>
    <row r="359" spans="1:45">
      <c r="A359" s="4">
        <f>IF(B359=" "," ",HYPERLINK(CONCATENATE("#metadata!",ADDRESS(INDEX($X$2:$X$1001,MATCH(ROWS($V$2:V359),$V$2:$V$1001,0),0),2)),INDEX($AA$2:$AA$1001,MATCH(ROWS($V$2:V359),$V$2:$V$1001,0),0)))</f>
        <v>0</v>
      </c>
      <c r="B359" s="5">
        <f>IF(OR(INDEX($W$2:$W$1001,MATCH(ROWS($V$2:V359),$V$2:$V$1001,0),1)&gt;=100000,INDEX($AC$1005:$AS$1005,1,MATCH(COLUMNS($AC$1006:AC1006),$AC$1006:$AS$1006,0))&gt;=100000), " ",IF(INDEX($AC$2:$AS$1001,MATCH(ROWS($V$2:V359),$V$2:$V$1001,0),MATCH(COLUMNS($AC$1006:AC1006),$AC$1006:$AS$1006,0)), HYPERLINK("#",""), HYPERLINK(CONCATENATE("#Metadata!", ADDRESS(INDEX($X$2:$X$1001,MATCH(ROWS($V$2:V359),$V$2:$V$1001,0),0), INDEX($AC$1004:$AS$1004,1,MATCH(COLUMNS($AC$1006:AC1006),$AC$1006:$AS$1006,0)))),"Fix")))</f>
        <v>0</v>
      </c>
      <c r="C359" s="5">
        <f>IF(OR(INDEX($W$2:$W$1001,MATCH(ROWS($V$2:V359),$V$2:$V$1001,0),1)&gt;=100000,INDEX($AC$1005:$AS$1005,1,MATCH(COLUMNS($AC$1006:AD1006),$AC$1006:$AS$1006,0))&gt;=100000), " ",IF(INDEX($AC$2:$AS$1001,MATCH(ROWS($V$2:V359),$V$2:$V$1001,0),MATCH(COLUMNS($AC$1006:AD1006),$AC$1006:$AS$1006,0)), HYPERLINK("#",""), HYPERLINK(CONCATENATE("#Metadata!", ADDRESS(INDEX($X$2:$X$1001,MATCH(ROWS($V$2:V359),$V$2:$V$1001,0),0), INDEX($AC$1004:$AS$1004,1,MATCH(COLUMNS($AC$1006:AD1006),$AC$1006:$AS$1006,0)))),"Fix")))</f>
        <v>0</v>
      </c>
      <c r="D359" s="5">
        <f>IF(OR(INDEX($W$2:$W$1001,MATCH(ROWS($V$2:V359),$V$2:$V$1001,0),1)&gt;=100000,INDEX($AC$1005:$AS$1005,1,MATCH(COLUMNS($AC$1006:AE1006),$AC$1006:$AS$1006,0))&gt;=100000), " ",IF(INDEX($AC$2:$AS$1001,MATCH(ROWS($V$2:V359),$V$2:$V$1001,0),MATCH(COLUMNS($AC$1006:AE1006),$AC$1006:$AS$1006,0)), HYPERLINK("#",""), HYPERLINK(CONCATENATE("#Metadata!", ADDRESS(INDEX($X$2:$X$1001,MATCH(ROWS($V$2:V359),$V$2:$V$1001,0),0), INDEX($AC$1004:$AS$1004,1,MATCH(COLUMNS($AC$1006:AE1006),$AC$1006:$AS$1006,0)))),"Fix")))</f>
        <v>0</v>
      </c>
      <c r="E359" s="5">
        <f>IF(OR(INDEX($W$2:$W$1001,MATCH(ROWS($V$2:V359),$V$2:$V$1001,0),1)&gt;=100000,INDEX($AC$1005:$AS$1005,1,MATCH(COLUMNS($AC$1006:AF1006),$AC$1006:$AS$1006,0))&gt;=100000), " ",IF(INDEX($AC$2:$AS$1001,MATCH(ROWS($V$2:V359),$V$2:$V$1001,0),MATCH(COLUMNS($AC$1006:AF1006),$AC$1006:$AS$1006,0)), HYPERLINK("#",""), HYPERLINK(CONCATENATE("#Metadata!", ADDRESS(INDEX($X$2:$X$1001,MATCH(ROWS($V$2:V359),$V$2:$V$1001,0),0), INDEX($AC$1004:$AS$1004,1,MATCH(COLUMNS($AC$1006:AF1006),$AC$1006:$AS$1006,0)))),"Fix")))</f>
        <v>0</v>
      </c>
      <c r="F359" s="5">
        <f>IF(OR(INDEX($W$2:$W$1001,MATCH(ROWS($V$2:V359),$V$2:$V$1001,0),1)&gt;=100000,INDEX($AC$1005:$AS$1005,1,MATCH(COLUMNS($AC$1006:AG1006),$AC$1006:$AS$1006,0))&gt;=100000), " ",IF(INDEX($AC$2:$AS$1001,MATCH(ROWS($V$2:V359),$V$2:$V$1001,0),MATCH(COLUMNS($AC$1006:AG1006),$AC$1006:$AS$1006,0)), HYPERLINK("#",""), HYPERLINK(CONCATENATE("#Metadata!", ADDRESS(INDEX($X$2:$X$1001,MATCH(ROWS($V$2:V359),$V$2:$V$1001,0),0), INDEX($AC$1004:$AS$1004,1,MATCH(COLUMNS($AC$1006:AG1006),$AC$1006:$AS$1006,0)))),"Fix")))</f>
        <v>0</v>
      </c>
      <c r="G359" s="5">
        <f>IF(OR(INDEX($W$2:$W$1001,MATCH(ROWS($V$2:V359),$V$2:$V$1001,0),1)&gt;=100000,INDEX($AC$1005:$AS$1005,1,MATCH(COLUMNS($AC$1006:AH1006),$AC$1006:$AS$1006,0))&gt;=100000), " ",IF(INDEX($AC$2:$AS$1001,MATCH(ROWS($V$2:V359),$V$2:$V$1001,0),MATCH(COLUMNS($AC$1006:AH1006),$AC$1006:$AS$1006,0)), HYPERLINK("#",""), HYPERLINK(CONCATENATE("#Metadata!", ADDRESS(INDEX($X$2:$X$1001,MATCH(ROWS($V$2:V359),$V$2:$V$1001,0),0), INDEX($AC$1004:$AS$1004,1,MATCH(COLUMNS($AC$1006:AH1006),$AC$1006:$AS$1006,0)))),"Fix")))</f>
        <v>0</v>
      </c>
      <c r="H359" s="5">
        <f>IF(OR(INDEX($W$2:$W$1001,MATCH(ROWS($V$2:V359),$V$2:$V$1001,0),1)&gt;=100000,INDEX($AC$1005:$AS$1005,1,MATCH(COLUMNS($AC$1006:AI1006),$AC$1006:$AS$1006,0))&gt;=100000), " ",IF(INDEX($AC$2:$AS$1001,MATCH(ROWS($V$2:V359),$V$2:$V$1001,0),MATCH(COLUMNS($AC$1006:AI1006),$AC$1006:$AS$1006,0)), HYPERLINK("#",""), HYPERLINK(CONCATENATE("#Metadata!", ADDRESS(INDEX($X$2:$X$1001,MATCH(ROWS($V$2:V359),$V$2:$V$1001,0),0), INDEX($AC$1004:$AS$1004,1,MATCH(COLUMNS($AC$1006:AI1006),$AC$1006:$AS$1006,0)))),"Fix")))</f>
        <v>0</v>
      </c>
      <c r="I359" s="5">
        <f>IF(OR(INDEX($W$2:$W$1001,MATCH(ROWS($V$2:V359),$V$2:$V$1001,0),1)&gt;=100000,INDEX($AC$1005:$AS$1005,1,MATCH(COLUMNS($AC$1006:AJ1006),$AC$1006:$AS$1006,0))&gt;=100000), " ",IF(INDEX($AC$2:$AS$1001,MATCH(ROWS($V$2:V359),$V$2:$V$1001,0),MATCH(COLUMNS($AC$1006:AJ1006),$AC$1006:$AS$1006,0)), HYPERLINK("#",""), HYPERLINK(CONCATENATE("#Metadata!", ADDRESS(INDEX($X$2:$X$1001,MATCH(ROWS($V$2:V359),$V$2:$V$1001,0),0), INDEX($AC$1004:$AS$1004,1,MATCH(COLUMNS($AC$1006:AJ1006),$AC$1006:$AS$1006,0)))),"Fix")))</f>
        <v>0</v>
      </c>
      <c r="J359" s="5">
        <f>IF(OR(INDEX($W$2:$W$1001,MATCH(ROWS($V$2:V359),$V$2:$V$1001,0),1)&gt;=100000,INDEX($AC$1005:$AS$1005,1,MATCH(COLUMNS($AC$1006:AK1006),$AC$1006:$AS$1006,0))&gt;=100000), " ",IF(INDEX($AC$2:$AS$1001,MATCH(ROWS($V$2:V359),$V$2:$V$1001,0),MATCH(COLUMNS($AC$1006:AK1006),$AC$1006:$AS$1006,0)), HYPERLINK("#",""), HYPERLINK(CONCATENATE("#Metadata!", ADDRESS(INDEX($X$2:$X$1001,MATCH(ROWS($V$2:V359),$V$2:$V$1001,0),0), INDEX($AC$1004:$AS$1004,1,MATCH(COLUMNS($AC$1006:AK1006),$AC$1006:$AS$1006,0)))),"Fix")))</f>
        <v>0</v>
      </c>
      <c r="K359" s="5">
        <f>IF(OR(INDEX($W$2:$W$1001,MATCH(ROWS($V$2:V359),$V$2:$V$1001,0),1)&gt;=100000,INDEX($AC$1005:$AS$1005,1,MATCH(COLUMNS($AC$1006:AL1006),$AC$1006:$AS$1006,0))&gt;=100000), " ",IF(INDEX($AC$2:$AS$1001,MATCH(ROWS($V$2:V359),$V$2:$V$1001,0),MATCH(COLUMNS($AC$1006:AL1006),$AC$1006:$AS$1006,0)), HYPERLINK("#",""), HYPERLINK(CONCATENATE("#Metadata!", ADDRESS(INDEX($X$2:$X$1001,MATCH(ROWS($V$2:V359),$V$2:$V$1001,0),0), INDEX($AC$1004:$AS$1004,1,MATCH(COLUMNS($AC$1006:AL1006),$AC$1006:$AS$1006,0)))),"Fix")))</f>
        <v>0</v>
      </c>
      <c r="L359" s="5">
        <f>IF(OR(INDEX($W$2:$W$1001,MATCH(ROWS($V$2:V359),$V$2:$V$1001,0),1)&gt;=100000,INDEX($AC$1005:$AS$1005,1,MATCH(COLUMNS($AC$1006:AM1006),$AC$1006:$AS$1006,0))&gt;=100000), " ",IF(INDEX($AC$2:$AS$1001,MATCH(ROWS($V$2:V359),$V$2:$V$1001,0),MATCH(COLUMNS($AC$1006:AM1006),$AC$1006:$AS$1006,0)), HYPERLINK("#",""), HYPERLINK(CONCATENATE("#Metadata!", ADDRESS(INDEX($X$2:$X$1001,MATCH(ROWS($V$2:V359),$V$2:$V$1001,0),0), INDEX($AC$1004:$AS$1004,1,MATCH(COLUMNS($AC$1006:AM1006),$AC$1006:$AS$1006,0)))),"Fix")))</f>
        <v>0</v>
      </c>
      <c r="M359" s="5">
        <f>IF(OR(INDEX($W$2:$W$1001,MATCH(ROWS($V$2:V359),$V$2:$V$1001,0),1)&gt;=100000,INDEX($AC$1005:$AS$1005,1,MATCH(COLUMNS($AC$1006:AN1006),$AC$1006:$AS$1006,0))&gt;=100000), " ",IF(INDEX($AC$2:$AS$1001,MATCH(ROWS($V$2:V359),$V$2:$V$1001,0),MATCH(COLUMNS($AC$1006:AN1006),$AC$1006:$AS$1006,0)), HYPERLINK("#",""), HYPERLINK(CONCATENATE("#Metadata!", ADDRESS(INDEX($X$2:$X$1001,MATCH(ROWS($V$2:V359),$V$2:$V$1001,0),0), INDEX($AC$1004:$AS$1004,1,MATCH(COLUMNS($AC$1006:AN1006),$AC$1006:$AS$1006,0)))),"Fix")))</f>
        <v>0</v>
      </c>
      <c r="N359" s="5">
        <f>IF(OR(INDEX($W$2:$W$1001,MATCH(ROWS($V$2:V359),$V$2:$V$1001,0),1)&gt;=100000,INDEX($AC$1005:$AS$1005,1,MATCH(COLUMNS($AC$1006:AO1006),$AC$1006:$AS$1006,0))&gt;=100000), " ",IF(INDEX($AC$2:$AS$1001,MATCH(ROWS($V$2:V359),$V$2:$V$1001,0),MATCH(COLUMNS($AC$1006:AO1006),$AC$1006:$AS$1006,0)), HYPERLINK("#",""), HYPERLINK(CONCATENATE("#Metadata!", ADDRESS(INDEX($X$2:$X$1001,MATCH(ROWS($V$2:V359),$V$2:$V$1001,0),0), INDEX($AC$1004:$AS$1004,1,MATCH(COLUMNS($AC$1006:AO1006),$AC$1006:$AS$1006,0)))),"Fix")))</f>
        <v>0</v>
      </c>
      <c r="O359" s="5">
        <f>IF(OR(INDEX($W$2:$W$1001,MATCH(ROWS($V$2:V359),$V$2:$V$1001,0),1)&gt;=100000,INDEX($AC$1005:$AS$1005,1,MATCH(COLUMNS($AC$1006:AP1006),$AC$1006:$AS$1006,0))&gt;=100000), " ",IF(INDEX($AC$2:$AS$1001,MATCH(ROWS($V$2:V359),$V$2:$V$1001,0),MATCH(COLUMNS($AC$1006:AP1006),$AC$1006:$AS$1006,0)), HYPERLINK("#",""), HYPERLINK(CONCATENATE("#Metadata!", ADDRESS(INDEX($X$2:$X$1001,MATCH(ROWS($V$2:V359),$V$2:$V$1001,0),0), INDEX($AC$1004:$AS$1004,1,MATCH(COLUMNS($AC$1006:AP1006),$AC$1006:$AS$1006,0)))),"Fix")))</f>
        <v>0</v>
      </c>
      <c r="P359" s="5">
        <f>IF(OR(INDEX($W$2:$W$1001,MATCH(ROWS($V$2:V359),$V$2:$V$1001,0),1)&gt;=100000,INDEX($AC$1005:$AS$1005,1,MATCH(COLUMNS($AC$1006:AQ1006),$AC$1006:$AS$1006,0))&gt;=100000), " ",IF(INDEX($AC$2:$AS$1001,MATCH(ROWS($V$2:V359),$V$2:$V$1001,0),MATCH(COLUMNS($AC$1006:AQ1006),$AC$1006:$AS$1006,0)), HYPERLINK("#",""), HYPERLINK(CONCATENATE("#Metadata!", ADDRESS(INDEX($X$2:$X$1001,MATCH(ROWS($V$2:V359),$V$2:$V$1001,0),0), INDEX($AC$1004:$AS$1004,1,MATCH(COLUMNS($AC$1006:AQ1006),$AC$1006:$AS$1006,0)))),"Fix")))</f>
        <v>0</v>
      </c>
      <c r="Q359" s="5">
        <f>IF(OR(INDEX($W$2:$W$1001,MATCH(ROWS($V$2:V359),$V$2:$V$1001,0),1)&gt;=100000,INDEX($AC$1005:$AS$1005,1,MATCH(COLUMNS($AC$1006:AR1006),$AC$1006:$AS$1006,0))&gt;=100000), " ",IF(INDEX($AC$2:$AS$1001,MATCH(ROWS($V$2:V359),$V$2:$V$1001,0),MATCH(COLUMNS($AC$1006:AR1006),$AC$1006:$AS$1006,0)), HYPERLINK("#",""), HYPERLINK(CONCATENATE("#Metadata!", ADDRESS(INDEX($X$2:$X$1001,MATCH(ROWS($V$2:V359),$V$2:$V$1001,0),0), INDEX($AC$1004:$AS$1004,1,MATCH(COLUMNS($AC$1006:AR1006),$AC$1006:$AS$1006,0)))),"Fix")))</f>
        <v>0</v>
      </c>
      <c r="R359" s="5">
        <f>IF(OR(INDEX($W$2:$W$1001,MATCH(ROWS($V$2:V359),$V$2:$V$1001,0),1)&gt;=100000,INDEX($AC$1005:$AS$1005,1,MATCH(COLUMNS($AC$1006:AS1006),$AC$1006:$AS$1006,0))&gt;=100000), " ",IF(INDEX($AC$2:$AS$1001,MATCH(ROWS($V$2:V359),$V$2:$V$1001,0),MATCH(COLUMNS($AC$1006:AS1006),$AC$1006:$AS$1006,0)), HYPERLINK("#",""), HYPERLINK(CONCATENATE("#Metadata!", ADDRESS(INDEX($X$2:$X$1001,MATCH(ROWS($V$2:V359),$V$2:$V$1001,0),0), INDEX($AC$1004:$AS$1004,1,MATCH(COLUMNS($AC$1006:AS1006),$AC$1006:$AS$1006,0)))),"Fix")))</f>
        <v>0</v>
      </c>
      <c r="V359">
        <v>0</v>
      </c>
      <c r="W359">
        <v>0</v>
      </c>
      <c r="X359">
        <v>0</v>
      </c>
      <c r="Y359">
        <f>IF(Z359,TRUE,AND(AC359:AS359))</f>
        <v>0</v>
      </c>
      <c r="Z359">
        <f>COUNTBLANK(Metadata!B359:R359)=COLUMNS(Metadata!B359:R359)</f>
        <v>0</v>
      </c>
      <c r="AA359">
        <v>0</v>
      </c>
      <c r="AC359">
        <f>AND(IF(Metadata!B359="",FALSE,TRUE),COUNTIF(Metadata!B:B, Metadata!B359) = 1,NOT(ISERROR(SUMPRODUCT(SEARCH(MID(Metadata!B359,ROW(INDIRECT("1:"&amp;LEN(Metadata!B359))), 1),"0123456789abcdefghijklmnopqrstuvwxyzABCDEFGHIJKLMNOPQRSTUVWXYZ.")))))</f>
        <v>0</v>
      </c>
      <c r="AD359">
        <f>AND(IF(Metadata!C359="",FALSE,TRUE),exact(Metadata!C359,"Host-associated"))</f>
        <v>0</v>
      </c>
      <c r="AE359">
        <f>AND(IF(Metadata!D359="",FALSE,TRUE),OR(exact(Metadata!D359,"Animal"),exact(Metadata!D359,"Fungus"),exact(Metadata!D359,"Plant")))</f>
        <v>0</v>
      </c>
      <c r="AF359">
        <f>AND(IF(Metadata!E359="",FALSE,TRUE),OR(exact(Metadata!E359,"Plant secretion"),exact(Metadata!E359,"Plant rhizosphere"),exact(Metadata!E359,"Plant surface"),exact(Metadata!E359,"Plant corpus"),exact(Metadata!E359,"Fungus surface"),exact(Metadata!E359,"Fungus corpus"),exact(Metadata!E359,"Animal surface"),exact(Metadata!E359,"Animal proximal gut"),exact(Metadata!E359,"Animal corpus"),exact(Metadata!E359,"Animal distal gut"),exact(Metadata!E359,"Animal secretion")))</f>
        <v>0</v>
      </c>
      <c r="AG359">
        <f>OR(AND(IF(Metadata!F359="",FALSE,TRUE),OR(exact(Metadata!F359,"not collected"),exact(Metadata!F359,"not provided"),exact(Metadata!F359,"restricted access"))),AND(IF(Metadata!F359="",FALSE,TRUE),OR(exact(Metadata!F359,"organism-associated habitat"),exact(Metadata!F359,"plant-associated habitat"),exact(Metadata!F359,"animal-associated habitat"),exact(Metadata!F359,"insecta-associated habitat"),exact(Metadata!F359,"mammalia-associated habitat"),exact(Metadata!F359,"human-associated habitat"),exact(Metadata!F359,"livestock-associated habitat"))))</f>
        <v>0</v>
      </c>
      <c r="AH359">
        <f>AND(IF(Metadata!G359="",FALSE,TRUE),exact(Metadata!G359,"host-associated"))</f>
        <v>0</v>
      </c>
      <c r="AI359">
        <f>OR(AND(IF(Metadata!H359="",FALSE,TRUE),OR(exact(Metadata!H359,"not collected"),exact(Metadata!H359,"not provided"))),AND(IF(Metadata!H359="",FALSE,ISNUMBER(VALUE(Metadata!H359))),Metadata!H359&gt;0))</f>
        <v>0</v>
      </c>
      <c r="AJ359">
        <f>AND(IF(Metadata!I359="",FALSE,TRUE),exact(Metadata!I359,"years"))</f>
        <v>0</v>
      </c>
      <c r="AK359">
        <f>IF(Metadata!J359="",FALSE,TRUE)</f>
        <v>0</v>
      </c>
      <c r="AL359">
        <f>OR(AND(IF(Metadata!K359="",FALSE,TRUE),OR(exact(Metadata!K359,"not collected"),exact(Metadata!K359,"not provided"))),AND(IF(Metadata!K359="",FALSE,ISNUMBER(VALUE(Metadata!K359))),Metadata!K359&gt;0))</f>
        <v>0</v>
      </c>
      <c r="AM359">
        <f>AND(IF(Metadata!L359="",FALSE,TRUE),exact(Metadata!L359,"cm"))</f>
        <v>0</v>
      </c>
      <c r="AN359">
        <f>IF(Metadata!M359="",FALSE,TRUE)</f>
        <v>0</v>
      </c>
      <c r="AO359">
        <f>OR(AND(IF(Metadata!N359="",FALSE,TRUE),OR(exact(Metadata!N359,"not applicable"),exact(Metadata!N359,"not collected"),exact(Metadata!N359,"not provided"))),AND(IF(Metadata!N359="",FALSE,IF(ISERROR(INT(Metadata!N359)),FALSE,INT(Metadata!N359)=Metadata!N359)),Metadata!N359&gt;0))</f>
        <v>0</v>
      </c>
      <c r="AP359">
        <f>OR(AND(IF(Metadata!O359="",FALSE,TRUE),OR(exact(Metadata!O359,"not collected"),exact(Metadata!O359,"not provided"))),AND(IF(Metadata!O359="",FALSE,ISNUMBER(VALUE(Metadata!O359))),Metadata!O359&gt;0))</f>
        <v>0</v>
      </c>
      <c r="AQ359">
        <f>AND(IF(Metadata!P359="",FALSE,TRUE),exact(Metadata!P359,"kg"))</f>
        <v>0</v>
      </c>
      <c r="AR359">
        <f>OR(AND(IF(Metadata!Q359="",FALSE,TRUE),OR(exact(Metadata!Q359,"not applicable"),exact(Metadata!Q359,"not collected"),exact(Metadata!Q359,"not provided"),exact(Metadata!Q359,"restricted access"))),IF(Metadata!Q359="",FALSE,IF(ISERROR(INT(Metadata!Q359)),FALSE,INT(Metadata!Q359)=Metadata!Q359)))</f>
        <v>0</v>
      </c>
      <c r="AS359">
        <f>AND(IF(Metadata!R359="",FALSE,TRUE),exact(Metadata!R359,"Not applicable"))</f>
        <v>0</v>
      </c>
    </row>
    <row r="360" spans="1:45">
      <c r="A360" s="4">
        <f>IF(B360=" "," ",HYPERLINK(CONCATENATE("#metadata!",ADDRESS(INDEX($X$2:$X$1001,MATCH(ROWS($V$2:V360),$V$2:$V$1001,0),0),2)),INDEX($AA$2:$AA$1001,MATCH(ROWS($V$2:V360),$V$2:$V$1001,0),0)))</f>
        <v>0</v>
      </c>
      <c r="B360" s="5">
        <f>IF(OR(INDEX($W$2:$W$1001,MATCH(ROWS($V$2:V360),$V$2:$V$1001,0),1)&gt;=100000,INDEX($AC$1005:$AS$1005,1,MATCH(COLUMNS($AC$1006:AC1006),$AC$1006:$AS$1006,0))&gt;=100000), " ",IF(INDEX($AC$2:$AS$1001,MATCH(ROWS($V$2:V360),$V$2:$V$1001,0),MATCH(COLUMNS($AC$1006:AC1006),$AC$1006:$AS$1006,0)), HYPERLINK("#",""), HYPERLINK(CONCATENATE("#Metadata!", ADDRESS(INDEX($X$2:$X$1001,MATCH(ROWS($V$2:V360),$V$2:$V$1001,0),0), INDEX($AC$1004:$AS$1004,1,MATCH(COLUMNS($AC$1006:AC1006),$AC$1006:$AS$1006,0)))),"Fix")))</f>
        <v>0</v>
      </c>
      <c r="C360" s="5">
        <f>IF(OR(INDEX($W$2:$W$1001,MATCH(ROWS($V$2:V360),$V$2:$V$1001,0),1)&gt;=100000,INDEX($AC$1005:$AS$1005,1,MATCH(COLUMNS($AC$1006:AD1006),$AC$1006:$AS$1006,0))&gt;=100000), " ",IF(INDEX($AC$2:$AS$1001,MATCH(ROWS($V$2:V360),$V$2:$V$1001,0),MATCH(COLUMNS($AC$1006:AD1006),$AC$1006:$AS$1006,0)), HYPERLINK("#",""), HYPERLINK(CONCATENATE("#Metadata!", ADDRESS(INDEX($X$2:$X$1001,MATCH(ROWS($V$2:V360),$V$2:$V$1001,0),0), INDEX($AC$1004:$AS$1004,1,MATCH(COLUMNS($AC$1006:AD1006),$AC$1006:$AS$1006,0)))),"Fix")))</f>
        <v>0</v>
      </c>
      <c r="D360" s="5">
        <f>IF(OR(INDEX($W$2:$W$1001,MATCH(ROWS($V$2:V360),$V$2:$V$1001,0),1)&gt;=100000,INDEX($AC$1005:$AS$1005,1,MATCH(COLUMNS($AC$1006:AE1006),$AC$1006:$AS$1006,0))&gt;=100000), " ",IF(INDEX($AC$2:$AS$1001,MATCH(ROWS($V$2:V360),$V$2:$V$1001,0),MATCH(COLUMNS($AC$1006:AE1006),$AC$1006:$AS$1006,0)), HYPERLINK("#",""), HYPERLINK(CONCATENATE("#Metadata!", ADDRESS(INDEX($X$2:$X$1001,MATCH(ROWS($V$2:V360),$V$2:$V$1001,0),0), INDEX($AC$1004:$AS$1004,1,MATCH(COLUMNS($AC$1006:AE1006),$AC$1006:$AS$1006,0)))),"Fix")))</f>
        <v>0</v>
      </c>
      <c r="E360" s="5">
        <f>IF(OR(INDEX($W$2:$W$1001,MATCH(ROWS($V$2:V360),$V$2:$V$1001,0),1)&gt;=100000,INDEX($AC$1005:$AS$1005,1,MATCH(COLUMNS($AC$1006:AF1006),$AC$1006:$AS$1006,0))&gt;=100000), " ",IF(INDEX($AC$2:$AS$1001,MATCH(ROWS($V$2:V360),$V$2:$V$1001,0),MATCH(COLUMNS($AC$1006:AF1006),$AC$1006:$AS$1006,0)), HYPERLINK("#",""), HYPERLINK(CONCATENATE("#Metadata!", ADDRESS(INDEX($X$2:$X$1001,MATCH(ROWS($V$2:V360),$V$2:$V$1001,0),0), INDEX($AC$1004:$AS$1004,1,MATCH(COLUMNS($AC$1006:AF1006),$AC$1006:$AS$1006,0)))),"Fix")))</f>
        <v>0</v>
      </c>
      <c r="F360" s="5">
        <f>IF(OR(INDEX($W$2:$W$1001,MATCH(ROWS($V$2:V360),$V$2:$V$1001,0),1)&gt;=100000,INDEX($AC$1005:$AS$1005,1,MATCH(COLUMNS($AC$1006:AG1006),$AC$1006:$AS$1006,0))&gt;=100000), " ",IF(INDEX($AC$2:$AS$1001,MATCH(ROWS($V$2:V360),$V$2:$V$1001,0),MATCH(COLUMNS($AC$1006:AG1006),$AC$1006:$AS$1006,0)), HYPERLINK("#",""), HYPERLINK(CONCATENATE("#Metadata!", ADDRESS(INDEX($X$2:$X$1001,MATCH(ROWS($V$2:V360),$V$2:$V$1001,0),0), INDEX($AC$1004:$AS$1004,1,MATCH(COLUMNS($AC$1006:AG1006),$AC$1006:$AS$1006,0)))),"Fix")))</f>
        <v>0</v>
      </c>
      <c r="G360" s="5">
        <f>IF(OR(INDEX($W$2:$W$1001,MATCH(ROWS($V$2:V360),$V$2:$V$1001,0),1)&gt;=100000,INDEX($AC$1005:$AS$1005,1,MATCH(COLUMNS($AC$1006:AH1006),$AC$1006:$AS$1006,0))&gt;=100000), " ",IF(INDEX($AC$2:$AS$1001,MATCH(ROWS($V$2:V360),$V$2:$V$1001,0),MATCH(COLUMNS($AC$1006:AH1006),$AC$1006:$AS$1006,0)), HYPERLINK("#",""), HYPERLINK(CONCATENATE("#Metadata!", ADDRESS(INDEX($X$2:$X$1001,MATCH(ROWS($V$2:V360),$V$2:$V$1001,0),0), INDEX($AC$1004:$AS$1004,1,MATCH(COLUMNS($AC$1006:AH1006),$AC$1006:$AS$1006,0)))),"Fix")))</f>
        <v>0</v>
      </c>
      <c r="H360" s="5">
        <f>IF(OR(INDEX($W$2:$W$1001,MATCH(ROWS($V$2:V360),$V$2:$V$1001,0),1)&gt;=100000,INDEX($AC$1005:$AS$1005,1,MATCH(COLUMNS($AC$1006:AI1006),$AC$1006:$AS$1006,0))&gt;=100000), " ",IF(INDEX($AC$2:$AS$1001,MATCH(ROWS($V$2:V360),$V$2:$V$1001,0),MATCH(COLUMNS($AC$1006:AI1006),$AC$1006:$AS$1006,0)), HYPERLINK("#",""), HYPERLINK(CONCATENATE("#Metadata!", ADDRESS(INDEX($X$2:$X$1001,MATCH(ROWS($V$2:V360),$V$2:$V$1001,0),0), INDEX($AC$1004:$AS$1004,1,MATCH(COLUMNS($AC$1006:AI1006),$AC$1006:$AS$1006,0)))),"Fix")))</f>
        <v>0</v>
      </c>
      <c r="I360" s="5">
        <f>IF(OR(INDEX($W$2:$W$1001,MATCH(ROWS($V$2:V360),$V$2:$V$1001,0),1)&gt;=100000,INDEX($AC$1005:$AS$1005,1,MATCH(COLUMNS($AC$1006:AJ1006),$AC$1006:$AS$1006,0))&gt;=100000), " ",IF(INDEX($AC$2:$AS$1001,MATCH(ROWS($V$2:V360),$V$2:$V$1001,0),MATCH(COLUMNS($AC$1006:AJ1006),$AC$1006:$AS$1006,0)), HYPERLINK("#",""), HYPERLINK(CONCATENATE("#Metadata!", ADDRESS(INDEX($X$2:$X$1001,MATCH(ROWS($V$2:V360),$V$2:$V$1001,0),0), INDEX($AC$1004:$AS$1004,1,MATCH(COLUMNS($AC$1006:AJ1006),$AC$1006:$AS$1006,0)))),"Fix")))</f>
        <v>0</v>
      </c>
      <c r="J360" s="5">
        <f>IF(OR(INDEX($W$2:$W$1001,MATCH(ROWS($V$2:V360),$V$2:$V$1001,0),1)&gt;=100000,INDEX($AC$1005:$AS$1005,1,MATCH(COLUMNS($AC$1006:AK1006),$AC$1006:$AS$1006,0))&gt;=100000), " ",IF(INDEX($AC$2:$AS$1001,MATCH(ROWS($V$2:V360),$V$2:$V$1001,0),MATCH(COLUMNS($AC$1006:AK1006),$AC$1006:$AS$1006,0)), HYPERLINK("#",""), HYPERLINK(CONCATENATE("#Metadata!", ADDRESS(INDEX($X$2:$X$1001,MATCH(ROWS($V$2:V360),$V$2:$V$1001,0),0), INDEX($AC$1004:$AS$1004,1,MATCH(COLUMNS($AC$1006:AK1006),$AC$1006:$AS$1006,0)))),"Fix")))</f>
        <v>0</v>
      </c>
      <c r="K360" s="5">
        <f>IF(OR(INDEX($W$2:$W$1001,MATCH(ROWS($V$2:V360),$V$2:$V$1001,0),1)&gt;=100000,INDEX($AC$1005:$AS$1005,1,MATCH(COLUMNS($AC$1006:AL1006),$AC$1006:$AS$1006,0))&gt;=100000), " ",IF(INDEX($AC$2:$AS$1001,MATCH(ROWS($V$2:V360),$V$2:$V$1001,0),MATCH(COLUMNS($AC$1006:AL1006),$AC$1006:$AS$1006,0)), HYPERLINK("#",""), HYPERLINK(CONCATENATE("#Metadata!", ADDRESS(INDEX($X$2:$X$1001,MATCH(ROWS($V$2:V360),$V$2:$V$1001,0),0), INDEX($AC$1004:$AS$1004,1,MATCH(COLUMNS($AC$1006:AL1006),$AC$1006:$AS$1006,0)))),"Fix")))</f>
        <v>0</v>
      </c>
      <c r="L360" s="5">
        <f>IF(OR(INDEX($W$2:$W$1001,MATCH(ROWS($V$2:V360),$V$2:$V$1001,0),1)&gt;=100000,INDEX($AC$1005:$AS$1005,1,MATCH(COLUMNS($AC$1006:AM1006),$AC$1006:$AS$1006,0))&gt;=100000), " ",IF(INDEX($AC$2:$AS$1001,MATCH(ROWS($V$2:V360),$V$2:$V$1001,0),MATCH(COLUMNS($AC$1006:AM1006),$AC$1006:$AS$1006,0)), HYPERLINK("#",""), HYPERLINK(CONCATENATE("#Metadata!", ADDRESS(INDEX($X$2:$X$1001,MATCH(ROWS($V$2:V360),$V$2:$V$1001,0),0), INDEX($AC$1004:$AS$1004,1,MATCH(COLUMNS($AC$1006:AM1006),$AC$1006:$AS$1006,0)))),"Fix")))</f>
        <v>0</v>
      </c>
      <c r="M360" s="5">
        <f>IF(OR(INDEX($W$2:$W$1001,MATCH(ROWS($V$2:V360),$V$2:$V$1001,0),1)&gt;=100000,INDEX($AC$1005:$AS$1005,1,MATCH(COLUMNS($AC$1006:AN1006),$AC$1006:$AS$1006,0))&gt;=100000), " ",IF(INDEX($AC$2:$AS$1001,MATCH(ROWS($V$2:V360),$V$2:$V$1001,0),MATCH(COLUMNS($AC$1006:AN1006),$AC$1006:$AS$1006,0)), HYPERLINK("#",""), HYPERLINK(CONCATENATE("#Metadata!", ADDRESS(INDEX($X$2:$X$1001,MATCH(ROWS($V$2:V360),$V$2:$V$1001,0),0), INDEX($AC$1004:$AS$1004,1,MATCH(COLUMNS($AC$1006:AN1006),$AC$1006:$AS$1006,0)))),"Fix")))</f>
        <v>0</v>
      </c>
      <c r="N360" s="5">
        <f>IF(OR(INDEX($W$2:$W$1001,MATCH(ROWS($V$2:V360),$V$2:$V$1001,0),1)&gt;=100000,INDEX($AC$1005:$AS$1005,1,MATCH(COLUMNS($AC$1006:AO1006),$AC$1006:$AS$1006,0))&gt;=100000), " ",IF(INDEX($AC$2:$AS$1001,MATCH(ROWS($V$2:V360),$V$2:$V$1001,0),MATCH(COLUMNS($AC$1006:AO1006),$AC$1006:$AS$1006,0)), HYPERLINK("#",""), HYPERLINK(CONCATENATE("#Metadata!", ADDRESS(INDEX($X$2:$X$1001,MATCH(ROWS($V$2:V360),$V$2:$V$1001,0),0), INDEX($AC$1004:$AS$1004,1,MATCH(COLUMNS($AC$1006:AO1006),$AC$1006:$AS$1006,0)))),"Fix")))</f>
        <v>0</v>
      </c>
      <c r="O360" s="5">
        <f>IF(OR(INDEX($W$2:$W$1001,MATCH(ROWS($V$2:V360),$V$2:$V$1001,0),1)&gt;=100000,INDEX($AC$1005:$AS$1005,1,MATCH(COLUMNS($AC$1006:AP1006),$AC$1006:$AS$1006,0))&gt;=100000), " ",IF(INDEX($AC$2:$AS$1001,MATCH(ROWS($V$2:V360),$V$2:$V$1001,0),MATCH(COLUMNS($AC$1006:AP1006),$AC$1006:$AS$1006,0)), HYPERLINK("#",""), HYPERLINK(CONCATENATE("#Metadata!", ADDRESS(INDEX($X$2:$X$1001,MATCH(ROWS($V$2:V360),$V$2:$V$1001,0),0), INDEX($AC$1004:$AS$1004,1,MATCH(COLUMNS($AC$1006:AP1006),$AC$1006:$AS$1006,0)))),"Fix")))</f>
        <v>0</v>
      </c>
      <c r="P360" s="5">
        <f>IF(OR(INDEX($W$2:$W$1001,MATCH(ROWS($V$2:V360),$V$2:$V$1001,0),1)&gt;=100000,INDEX($AC$1005:$AS$1005,1,MATCH(COLUMNS($AC$1006:AQ1006),$AC$1006:$AS$1006,0))&gt;=100000), " ",IF(INDEX($AC$2:$AS$1001,MATCH(ROWS($V$2:V360),$V$2:$V$1001,0),MATCH(COLUMNS($AC$1006:AQ1006),$AC$1006:$AS$1006,0)), HYPERLINK("#",""), HYPERLINK(CONCATENATE("#Metadata!", ADDRESS(INDEX($X$2:$X$1001,MATCH(ROWS($V$2:V360),$V$2:$V$1001,0),0), INDEX($AC$1004:$AS$1004,1,MATCH(COLUMNS($AC$1006:AQ1006),$AC$1006:$AS$1006,0)))),"Fix")))</f>
        <v>0</v>
      </c>
      <c r="Q360" s="5">
        <f>IF(OR(INDEX($W$2:$W$1001,MATCH(ROWS($V$2:V360),$V$2:$V$1001,0),1)&gt;=100000,INDEX($AC$1005:$AS$1005,1,MATCH(COLUMNS($AC$1006:AR1006),$AC$1006:$AS$1006,0))&gt;=100000), " ",IF(INDEX($AC$2:$AS$1001,MATCH(ROWS($V$2:V360),$V$2:$V$1001,0),MATCH(COLUMNS($AC$1006:AR1006),$AC$1006:$AS$1006,0)), HYPERLINK("#",""), HYPERLINK(CONCATENATE("#Metadata!", ADDRESS(INDEX($X$2:$X$1001,MATCH(ROWS($V$2:V360),$V$2:$V$1001,0),0), INDEX($AC$1004:$AS$1004,1,MATCH(COLUMNS($AC$1006:AR1006),$AC$1006:$AS$1006,0)))),"Fix")))</f>
        <v>0</v>
      </c>
      <c r="R360" s="5">
        <f>IF(OR(INDEX($W$2:$W$1001,MATCH(ROWS($V$2:V360),$V$2:$V$1001,0),1)&gt;=100000,INDEX($AC$1005:$AS$1005,1,MATCH(COLUMNS($AC$1006:AS1006),$AC$1006:$AS$1006,0))&gt;=100000), " ",IF(INDEX($AC$2:$AS$1001,MATCH(ROWS($V$2:V360),$V$2:$V$1001,0),MATCH(COLUMNS($AC$1006:AS1006),$AC$1006:$AS$1006,0)), HYPERLINK("#",""), HYPERLINK(CONCATENATE("#Metadata!", ADDRESS(INDEX($X$2:$X$1001,MATCH(ROWS($V$2:V360),$V$2:$V$1001,0),0), INDEX($AC$1004:$AS$1004,1,MATCH(COLUMNS($AC$1006:AS1006),$AC$1006:$AS$1006,0)))),"Fix")))</f>
        <v>0</v>
      </c>
      <c r="V360">
        <v>0</v>
      </c>
      <c r="W360">
        <v>0</v>
      </c>
      <c r="X360">
        <v>0</v>
      </c>
      <c r="Y360">
        <f>IF(Z360,TRUE,AND(AC360:AS360))</f>
        <v>0</v>
      </c>
      <c r="Z360">
        <f>COUNTBLANK(Metadata!B360:R360)=COLUMNS(Metadata!B360:R360)</f>
        <v>0</v>
      </c>
      <c r="AA360">
        <v>0</v>
      </c>
      <c r="AC360">
        <f>AND(IF(Metadata!B360="",FALSE,TRUE),COUNTIF(Metadata!B:B, Metadata!B360) = 1,NOT(ISERROR(SUMPRODUCT(SEARCH(MID(Metadata!B360,ROW(INDIRECT("1:"&amp;LEN(Metadata!B360))), 1),"0123456789abcdefghijklmnopqrstuvwxyzABCDEFGHIJKLMNOPQRSTUVWXYZ.")))))</f>
        <v>0</v>
      </c>
      <c r="AD360">
        <f>AND(IF(Metadata!C360="",FALSE,TRUE),exact(Metadata!C360,"Host-associated"))</f>
        <v>0</v>
      </c>
      <c r="AE360">
        <f>AND(IF(Metadata!D360="",FALSE,TRUE),OR(exact(Metadata!D360,"Animal"),exact(Metadata!D360,"Fungus"),exact(Metadata!D360,"Plant")))</f>
        <v>0</v>
      </c>
      <c r="AF360">
        <f>AND(IF(Metadata!E360="",FALSE,TRUE),OR(exact(Metadata!E360,"Plant secretion"),exact(Metadata!E360,"Plant rhizosphere"),exact(Metadata!E360,"Plant surface"),exact(Metadata!E360,"Plant corpus"),exact(Metadata!E360,"Fungus surface"),exact(Metadata!E360,"Fungus corpus"),exact(Metadata!E360,"Animal surface"),exact(Metadata!E360,"Animal proximal gut"),exact(Metadata!E360,"Animal corpus"),exact(Metadata!E360,"Animal distal gut"),exact(Metadata!E360,"Animal secretion")))</f>
        <v>0</v>
      </c>
      <c r="AG360">
        <f>OR(AND(IF(Metadata!F360="",FALSE,TRUE),OR(exact(Metadata!F360,"not collected"),exact(Metadata!F360,"not provided"),exact(Metadata!F360,"restricted access"))),AND(IF(Metadata!F360="",FALSE,TRUE),OR(exact(Metadata!F360,"organism-associated habitat"),exact(Metadata!F360,"plant-associated habitat"),exact(Metadata!F360,"animal-associated habitat"),exact(Metadata!F360,"insecta-associated habitat"),exact(Metadata!F360,"mammalia-associated habitat"),exact(Metadata!F360,"human-associated habitat"),exact(Metadata!F360,"livestock-associated habitat"))))</f>
        <v>0</v>
      </c>
      <c r="AH360">
        <f>AND(IF(Metadata!G360="",FALSE,TRUE),exact(Metadata!G360,"host-associated"))</f>
        <v>0</v>
      </c>
      <c r="AI360">
        <f>OR(AND(IF(Metadata!H360="",FALSE,TRUE),OR(exact(Metadata!H360,"not collected"),exact(Metadata!H360,"not provided"))),AND(IF(Metadata!H360="",FALSE,ISNUMBER(VALUE(Metadata!H360))),Metadata!H360&gt;0))</f>
        <v>0</v>
      </c>
      <c r="AJ360">
        <f>AND(IF(Metadata!I360="",FALSE,TRUE),exact(Metadata!I360,"years"))</f>
        <v>0</v>
      </c>
      <c r="AK360">
        <f>IF(Metadata!J360="",FALSE,TRUE)</f>
        <v>0</v>
      </c>
      <c r="AL360">
        <f>OR(AND(IF(Metadata!K360="",FALSE,TRUE),OR(exact(Metadata!K360,"not collected"),exact(Metadata!K360,"not provided"))),AND(IF(Metadata!K360="",FALSE,ISNUMBER(VALUE(Metadata!K360))),Metadata!K360&gt;0))</f>
        <v>0</v>
      </c>
      <c r="AM360">
        <f>AND(IF(Metadata!L360="",FALSE,TRUE),exact(Metadata!L360,"cm"))</f>
        <v>0</v>
      </c>
      <c r="AN360">
        <f>IF(Metadata!M360="",FALSE,TRUE)</f>
        <v>0</v>
      </c>
      <c r="AO360">
        <f>OR(AND(IF(Metadata!N360="",FALSE,TRUE),OR(exact(Metadata!N360,"not applicable"),exact(Metadata!N360,"not collected"),exact(Metadata!N360,"not provided"))),AND(IF(Metadata!N360="",FALSE,IF(ISERROR(INT(Metadata!N360)),FALSE,INT(Metadata!N360)=Metadata!N360)),Metadata!N360&gt;0))</f>
        <v>0</v>
      </c>
      <c r="AP360">
        <f>OR(AND(IF(Metadata!O360="",FALSE,TRUE),OR(exact(Metadata!O360,"not collected"),exact(Metadata!O360,"not provided"))),AND(IF(Metadata!O360="",FALSE,ISNUMBER(VALUE(Metadata!O360))),Metadata!O360&gt;0))</f>
        <v>0</v>
      </c>
      <c r="AQ360">
        <f>AND(IF(Metadata!P360="",FALSE,TRUE),exact(Metadata!P360,"kg"))</f>
        <v>0</v>
      </c>
      <c r="AR360">
        <f>OR(AND(IF(Metadata!Q360="",FALSE,TRUE),OR(exact(Metadata!Q360,"not applicable"),exact(Metadata!Q360,"not collected"),exact(Metadata!Q360,"not provided"),exact(Metadata!Q360,"restricted access"))),IF(Metadata!Q360="",FALSE,IF(ISERROR(INT(Metadata!Q360)),FALSE,INT(Metadata!Q360)=Metadata!Q360)))</f>
        <v>0</v>
      </c>
      <c r="AS360">
        <f>AND(IF(Metadata!R360="",FALSE,TRUE),exact(Metadata!R360,"Not applicable"))</f>
        <v>0</v>
      </c>
    </row>
    <row r="361" spans="1:45">
      <c r="A361" s="4">
        <f>IF(B361=" "," ",HYPERLINK(CONCATENATE("#metadata!",ADDRESS(INDEX($X$2:$X$1001,MATCH(ROWS($V$2:V361),$V$2:$V$1001,0),0),2)),INDEX($AA$2:$AA$1001,MATCH(ROWS($V$2:V361),$V$2:$V$1001,0),0)))</f>
        <v>0</v>
      </c>
      <c r="B361" s="5">
        <f>IF(OR(INDEX($W$2:$W$1001,MATCH(ROWS($V$2:V361),$V$2:$V$1001,0),1)&gt;=100000,INDEX($AC$1005:$AS$1005,1,MATCH(COLUMNS($AC$1006:AC1006),$AC$1006:$AS$1006,0))&gt;=100000), " ",IF(INDEX($AC$2:$AS$1001,MATCH(ROWS($V$2:V361),$V$2:$V$1001,0),MATCH(COLUMNS($AC$1006:AC1006),$AC$1006:$AS$1006,0)), HYPERLINK("#",""), HYPERLINK(CONCATENATE("#Metadata!", ADDRESS(INDEX($X$2:$X$1001,MATCH(ROWS($V$2:V361),$V$2:$V$1001,0),0), INDEX($AC$1004:$AS$1004,1,MATCH(COLUMNS($AC$1006:AC1006),$AC$1006:$AS$1006,0)))),"Fix")))</f>
        <v>0</v>
      </c>
      <c r="C361" s="5">
        <f>IF(OR(INDEX($W$2:$W$1001,MATCH(ROWS($V$2:V361),$V$2:$V$1001,0),1)&gt;=100000,INDEX($AC$1005:$AS$1005,1,MATCH(COLUMNS($AC$1006:AD1006),$AC$1006:$AS$1006,0))&gt;=100000), " ",IF(INDEX($AC$2:$AS$1001,MATCH(ROWS($V$2:V361),$V$2:$V$1001,0),MATCH(COLUMNS($AC$1006:AD1006),$AC$1006:$AS$1006,0)), HYPERLINK("#",""), HYPERLINK(CONCATENATE("#Metadata!", ADDRESS(INDEX($X$2:$X$1001,MATCH(ROWS($V$2:V361),$V$2:$V$1001,0),0), INDEX($AC$1004:$AS$1004,1,MATCH(COLUMNS($AC$1006:AD1006),$AC$1006:$AS$1006,0)))),"Fix")))</f>
        <v>0</v>
      </c>
      <c r="D361" s="5">
        <f>IF(OR(INDEX($W$2:$W$1001,MATCH(ROWS($V$2:V361),$V$2:$V$1001,0),1)&gt;=100000,INDEX($AC$1005:$AS$1005,1,MATCH(COLUMNS($AC$1006:AE1006),$AC$1006:$AS$1006,0))&gt;=100000), " ",IF(INDEX($AC$2:$AS$1001,MATCH(ROWS($V$2:V361),$V$2:$V$1001,0),MATCH(COLUMNS($AC$1006:AE1006),$AC$1006:$AS$1006,0)), HYPERLINK("#",""), HYPERLINK(CONCATENATE("#Metadata!", ADDRESS(INDEX($X$2:$X$1001,MATCH(ROWS($V$2:V361),$V$2:$V$1001,0),0), INDEX($AC$1004:$AS$1004,1,MATCH(COLUMNS($AC$1006:AE1006),$AC$1006:$AS$1006,0)))),"Fix")))</f>
        <v>0</v>
      </c>
      <c r="E361" s="5">
        <f>IF(OR(INDEX($W$2:$W$1001,MATCH(ROWS($V$2:V361),$V$2:$V$1001,0),1)&gt;=100000,INDEX($AC$1005:$AS$1005,1,MATCH(COLUMNS($AC$1006:AF1006),$AC$1006:$AS$1006,0))&gt;=100000), " ",IF(INDEX($AC$2:$AS$1001,MATCH(ROWS($V$2:V361),$V$2:$V$1001,0),MATCH(COLUMNS($AC$1006:AF1006),$AC$1006:$AS$1006,0)), HYPERLINK("#",""), HYPERLINK(CONCATENATE("#Metadata!", ADDRESS(INDEX($X$2:$X$1001,MATCH(ROWS($V$2:V361),$V$2:$V$1001,0),0), INDEX($AC$1004:$AS$1004,1,MATCH(COLUMNS($AC$1006:AF1006),$AC$1006:$AS$1006,0)))),"Fix")))</f>
        <v>0</v>
      </c>
      <c r="F361" s="5">
        <f>IF(OR(INDEX($W$2:$W$1001,MATCH(ROWS($V$2:V361),$V$2:$V$1001,0),1)&gt;=100000,INDEX($AC$1005:$AS$1005,1,MATCH(COLUMNS($AC$1006:AG1006),$AC$1006:$AS$1006,0))&gt;=100000), " ",IF(INDEX($AC$2:$AS$1001,MATCH(ROWS($V$2:V361),$V$2:$V$1001,0),MATCH(COLUMNS($AC$1006:AG1006),$AC$1006:$AS$1006,0)), HYPERLINK("#",""), HYPERLINK(CONCATENATE("#Metadata!", ADDRESS(INDEX($X$2:$X$1001,MATCH(ROWS($V$2:V361),$V$2:$V$1001,0),0), INDEX($AC$1004:$AS$1004,1,MATCH(COLUMNS($AC$1006:AG1006),$AC$1006:$AS$1006,0)))),"Fix")))</f>
        <v>0</v>
      </c>
      <c r="G361" s="5">
        <f>IF(OR(INDEX($W$2:$W$1001,MATCH(ROWS($V$2:V361),$V$2:$V$1001,0),1)&gt;=100000,INDEX($AC$1005:$AS$1005,1,MATCH(COLUMNS($AC$1006:AH1006),$AC$1006:$AS$1006,0))&gt;=100000), " ",IF(INDEX($AC$2:$AS$1001,MATCH(ROWS($V$2:V361),$V$2:$V$1001,0),MATCH(COLUMNS($AC$1006:AH1006),$AC$1006:$AS$1006,0)), HYPERLINK("#",""), HYPERLINK(CONCATENATE("#Metadata!", ADDRESS(INDEX($X$2:$X$1001,MATCH(ROWS($V$2:V361),$V$2:$V$1001,0),0), INDEX($AC$1004:$AS$1004,1,MATCH(COLUMNS($AC$1006:AH1006),$AC$1006:$AS$1006,0)))),"Fix")))</f>
        <v>0</v>
      </c>
      <c r="H361" s="5">
        <f>IF(OR(INDEX($W$2:$W$1001,MATCH(ROWS($V$2:V361),$V$2:$V$1001,0),1)&gt;=100000,INDEX($AC$1005:$AS$1005,1,MATCH(COLUMNS($AC$1006:AI1006),$AC$1006:$AS$1006,0))&gt;=100000), " ",IF(INDEX($AC$2:$AS$1001,MATCH(ROWS($V$2:V361),$V$2:$V$1001,0),MATCH(COLUMNS($AC$1006:AI1006),$AC$1006:$AS$1006,0)), HYPERLINK("#",""), HYPERLINK(CONCATENATE("#Metadata!", ADDRESS(INDEX($X$2:$X$1001,MATCH(ROWS($V$2:V361),$V$2:$V$1001,0),0), INDEX($AC$1004:$AS$1004,1,MATCH(COLUMNS($AC$1006:AI1006),$AC$1006:$AS$1006,0)))),"Fix")))</f>
        <v>0</v>
      </c>
      <c r="I361" s="5">
        <f>IF(OR(INDEX($W$2:$W$1001,MATCH(ROWS($V$2:V361),$V$2:$V$1001,0),1)&gt;=100000,INDEX($AC$1005:$AS$1005,1,MATCH(COLUMNS($AC$1006:AJ1006),$AC$1006:$AS$1006,0))&gt;=100000), " ",IF(INDEX($AC$2:$AS$1001,MATCH(ROWS($V$2:V361),$V$2:$V$1001,0),MATCH(COLUMNS($AC$1006:AJ1006),$AC$1006:$AS$1006,0)), HYPERLINK("#",""), HYPERLINK(CONCATENATE("#Metadata!", ADDRESS(INDEX($X$2:$X$1001,MATCH(ROWS($V$2:V361),$V$2:$V$1001,0),0), INDEX($AC$1004:$AS$1004,1,MATCH(COLUMNS($AC$1006:AJ1006),$AC$1006:$AS$1006,0)))),"Fix")))</f>
        <v>0</v>
      </c>
      <c r="J361" s="5">
        <f>IF(OR(INDEX($W$2:$W$1001,MATCH(ROWS($V$2:V361),$V$2:$V$1001,0),1)&gt;=100000,INDEX($AC$1005:$AS$1005,1,MATCH(COLUMNS($AC$1006:AK1006),$AC$1006:$AS$1006,0))&gt;=100000), " ",IF(INDEX($AC$2:$AS$1001,MATCH(ROWS($V$2:V361),$V$2:$V$1001,0),MATCH(COLUMNS($AC$1006:AK1006),$AC$1006:$AS$1006,0)), HYPERLINK("#",""), HYPERLINK(CONCATENATE("#Metadata!", ADDRESS(INDEX($X$2:$X$1001,MATCH(ROWS($V$2:V361),$V$2:$V$1001,0),0), INDEX($AC$1004:$AS$1004,1,MATCH(COLUMNS($AC$1006:AK1006),$AC$1006:$AS$1006,0)))),"Fix")))</f>
        <v>0</v>
      </c>
      <c r="K361" s="5">
        <f>IF(OR(INDEX($W$2:$W$1001,MATCH(ROWS($V$2:V361),$V$2:$V$1001,0),1)&gt;=100000,INDEX($AC$1005:$AS$1005,1,MATCH(COLUMNS($AC$1006:AL1006),$AC$1006:$AS$1006,0))&gt;=100000), " ",IF(INDEX($AC$2:$AS$1001,MATCH(ROWS($V$2:V361),$V$2:$V$1001,0),MATCH(COLUMNS($AC$1006:AL1006),$AC$1006:$AS$1006,0)), HYPERLINK("#",""), HYPERLINK(CONCATENATE("#Metadata!", ADDRESS(INDEX($X$2:$X$1001,MATCH(ROWS($V$2:V361),$V$2:$V$1001,0),0), INDEX($AC$1004:$AS$1004,1,MATCH(COLUMNS($AC$1006:AL1006),$AC$1006:$AS$1006,0)))),"Fix")))</f>
        <v>0</v>
      </c>
      <c r="L361" s="5">
        <f>IF(OR(INDEX($W$2:$W$1001,MATCH(ROWS($V$2:V361),$V$2:$V$1001,0),1)&gt;=100000,INDEX($AC$1005:$AS$1005,1,MATCH(COLUMNS($AC$1006:AM1006),$AC$1006:$AS$1006,0))&gt;=100000), " ",IF(INDEX($AC$2:$AS$1001,MATCH(ROWS($V$2:V361),$V$2:$V$1001,0),MATCH(COLUMNS($AC$1006:AM1006),$AC$1006:$AS$1006,0)), HYPERLINK("#",""), HYPERLINK(CONCATENATE("#Metadata!", ADDRESS(INDEX($X$2:$X$1001,MATCH(ROWS($V$2:V361),$V$2:$V$1001,0),0), INDEX($AC$1004:$AS$1004,1,MATCH(COLUMNS($AC$1006:AM1006),$AC$1006:$AS$1006,0)))),"Fix")))</f>
        <v>0</v>
      </c>
      <c r="M361" s="5">
        <f>IF(OR(INDEX($W$2:$W$1001,MATCH(ROWS($V$2:V361),$V$2:$V$1001,0),1)&gt;=100000,INDEX($AC$1005:$AS$1005,1,MATCH(COLUMNS($AC$1006:AN1006),$AC$1006:$AS$1006,0))&gt;=100000), " ",IF(INDEX($AC$2:$AS$1001,MATCH(ROWS($V$2:V361),$V$2:$V$1001,0),MATCH(COLUMNS($AC$1006:AN1006),$AC$1006:$AS$1006,0)), HYPERLINK("#",""), HYPERLINK(CONCATENATE("#Metadata!", ADDRESS(INDEX($X$2:$X$1001,MATCH(ROWS($V$2:V361),$V$2:$V$1001,0),0), INDEX($AC$1004:$AS$1004,1,MATCH(COLUMNS($AC$1006:AN1006),$AC$1006:$AS$1006,0)))),"Fix")))</f>
        <v>0</v>
      </c>
      <c r="N361" s="5">
        <f>IF(OR(INDEX($W$2:$W$1001,MATCH(ROWS($V$2:V361),$V$2:$V$1001,0),1)&gt;=100000,INDEX($AC$1005:$AS$1005,1,MATCH(COLUMNS($AC$1006:AO1006),$AC$1006:$AS$1006,0))&gt;=100000), " ",IF(INDEX($AC$2:$AS$1001,MATCH(ROWS($V$2:V361),$V$2:$V$1001,0),MATCH(COLUMNS($AC$1006:AO1006),$AC$1006:$AS$1006,0)), HYPERLINK("#",""), HYPERLINK(CONCATENATE("#Metadata!", ADDRESS(INDEX($X$2:$X$1001,MATCH(ROWS($V$2:V361),$V$2:$V$1001,0),0), INDEX($AC$1004:$AS$1004,1,MATCH(COLUMNS($AC$1006:AO1006),$AC$1006:$AS$1006,0)))),"Fix")))</f>
        <v>0</v>
      </c>
      <c r="O361" s="5">
        <f>IF(OR(INDEX($W$2:$W$1001,MATCH(ROWS($V$2:V361),$V$2:$V$1001,0),1)&gt;=100000,INDEX($AC$1005:$AS$1005,1,MATCH(COLUMNS($AC$1006:AP1006),$AC$1006:$AS$1006,0))&gt;=100000), " ",IF(INDEX($AC$2:$AS$1001,MATCH(ROWS($V$2:V361),$V$2:$V$1001,0),MATCH(COLUMNS($AC$1006:AP1006),$AC$1006:$AS$1006,0)), HYPERLINK("#",""), HYPERLINK(CONCATENATE("#Metadata!", ADDRESS(INDEX($X$2:$X$1001,MATCH(ROWS($V$2:V361),$V$2:$V$1001,0),0), INDEX($AC$1004:$AS$1004,1,MATCH(COLUMNS($AC$1006:AP1006),$AC$1006:$AS$1006,0)))),"Fix")))</f>
        <v>0</v>
      </c>
      <c r="P361" s="5">
        <f>IF(OR(INDEX($W$2:$W$1001,MATCH(ROWS($V$2:V361),$V$2:$V$1001,0),1)&gt;=100000,INDEX($AC$1005:$AS$1005,1,MATCH(COLUMNS($AC$1006:AQ1006),$AC$1006:$AS$1006,0))&gt;=100000), " ",IF(INDEX($AC$2:$AS$1001,MATCH(ROWS($V$2:V361),$V$2:$V$1001,0),MATCH(COLUMNS($AC$1006:AQ1006),$AC$1006:$AS$1006,0)), HYPERLINK("#",""), HYPERLINK(CONCATENATE("#Metadata!", ADDRESS(INDEX($X$2:$X$1001,MATCH(ROWS($V$2:V361),$V$2:$V$1001,0),0), INDEX($AC$1004:$AS$1004,1,MATCH(COLUMNS($AC$1006:AQ1006),$AC$1006:$AS$1006,0)))),"Fix")))</f>
        <v>0</v>
      </c>
      <c r="Q361" s="5">
        <f>IF(OR(INDEX($W$2:$W$1001,MATCH(ROWS($V$2:V361),$V$2:$V$1001,0),1)&gt;=100000,INDEX($AC$1005:$AS$1005,1,MATCH(COLUMNS($AC$1006:AR1006),$AC$1006:$AS$1006,0))&gt;=100000), " ",IF(INDEX($AC$2:$AS$1001,MATCH(ROWS($V$2:V361),$V$2:$V$1001,0),MATCH(COLUMNS($AC$1006:AR1006),$AC$1006:$AS$1006,0)), HYPERLINK("#",""), HYPERLINK(CONCATENATE("#Metadata!", ADDRESS(INDEX($X$2:$X$1001,MATCH(ROWS($V$2:V361),$V$2:$V$1001,0),0), INDEX($AC$1004:$AS$1004,1,MATCH(COLUMNS($AC$1006:AR1006),$AC$1006:$AS$1006,0)))),"Fix")))</f>
        <v>0</v>
      </c>
      <c r="R361" s="5">
        <f>IF(OR(INDEX($W$2:$W$1001,MATCH(ROWS($V$2:V361),$V$2:$V$1001,0),1)&gt;=100000,INDEX($AC$1005:$AS$1005,1,MATCH(COLUMNS($AC$1006:AS1006),$AC$1006:$AS$1006,0))&gt;=100000), " ",IF(INDEX($AC$2:$AS$1001,MATCH(ROWS($V$2:V361),$V$2:$V$1001,0),MATCH(COLUMNS($AC$1006:AS1006),$AC$1006:$AS$1006,0)), HYPERLINK("#",""), HYPERLINK(CONCATENATE("#Metadata!", ADDRESS(INDEX($X$2:$X$1001,MATCH(ROWS($V$2:V361),$V$2:$V$1001,0),0), INDEX($AC$1004:$AS$1004,1,MATCH(COLUMNS($AC$1006:AS1006),$AC$1006:$AS$1006,0)))),"Fix")))</f>
        <v>0</v>
      </c>
      <c r="V361">
        <v>0</v>
      </c>
      <c r="W361">
        <v>0</v>
      </c>
      <c r="X361">
        <v>0</v>
      </c>
      <c r="Y361">
        <f>IF(Z361,TRUE,AND(AC361:AS361))</f>
        <v>0</v>
      </c>
      <c r="Z361">
        <f>COUNTBLANK(Metadata!B361:R361)=COLUMNS(Metadata!B361:R361)</f>
        <v>0</v>
      </c>
      <c r="AA361">
        <v>0</v>
      </c>
      <c r="AC361">
        <f>AND(IF(Metadata!B361="",FALSE,TRUE),COUNTIF(Metadata!B:B, Metadata!B361) = 1,NOT(ISERROR(SUMPRODUCT(SEARCH(MID(Metadata!B361,ROW(INDIRECT("1:"&amp;LEN(Metadata!B361))), 1),"0123456789abcdefghijklmnopqrstuvwxyzABCDEFGHIJKLMNOPQRSTUVWXYZ.")))))</f>
        <v>0</v>
      </c>
      <c r="AD361">
        <f>AND(IF(Metadata!C361="",FALSE,TRUE),exact(Metadata!C361,"Host-associated"))</f>
        <v>0</v>
      </c>
      <c r="AE361">
        <f>AND(IF(Metadata!D361="",FALSE,TRUE),OR(exact(Metadata!D361,"Animal"),exact(Metadata!D361,"Fungus"),exact(Metadata!D361,"Plant")))</f>
        <v>0</v>
      </c>
      <c r="AF361">
        <f>AND(IF(Metadata!E361="",FALSE,TRUE),OR(exact(Metadata!E361,"Plant secretion"),exact(Metadata!E361,"Plant rhizosphere"),exact(Metadata!E361,"Plant surface"),exact(Metadata!E361,"Plant corpus"),exact(Metadata!E361,"Fungus surface"),exact(Metadata!E361,"Fungus corpus"),exact(Metadata!E361,"Animal surface"),exact(Metadata!E361,"Animal proximal gut"),exact(Metadata!E361,"Animal corpus"),exact(Metadata!E361,"Animal distal gut"),exact(Metadata!E361,"Animal secretion")))</f>
        <v>0</v>
      </c>
      <c r="AG361">
        <f>OR(AND(IF(Metadata!F361="",FALSE,TRUE),OR(exact(Metadata!F361,"not collected"),exact(Metadata!F361,"not provided"),exact(Metadata!F361,"restricted access"))),AND(IF(Metadata!F361="",FALSE,TRUE),OR(exact(Metadata!F361,"organism-associated habitat"),exact(Metadata!F361,"plant-associated habitat"),exact(Metadata!F361,"animal-associated habitat"),exact(Metadata!F361,"insecta-associated habitat"),exact(Metadata!F361,"mammalia-associated habitat"),exact(Metadata!F361,"human-associated habitat"),exact(Metadata!F361,"livestock-associated habitat"))))</f>
        <v>0</v>
      </c>
      <c r="AH361">
        <f>AND(IF(Metadata!G361="",FALSE,TRUE),exact(Metadata!G361,"host-associated"))</f>
        <v>0</v>
      </c>
      <c r="AI361">
        <f>OR(AND(IF(Metadata!H361="",FALSE,TRUE),OR(exact(Metadata!H361,"not collected"),exact(Metadata!H361,"not provided"))),AND(IF(Metadata!H361="",FALSE,ISNUMBER(VALUE(Metadata!H361))),Metadata!H361&gt;0))</f>
        <v>0</v>
      </c>
      <c r="AJ361">
        <f>AND(IF(Metadata!I361="",FALSE,TRUE),exact(Metadata!I361,"years"))</f>
        <v>0</v>
      </c>
      <c r="AK361">
        <f>IF(Metadata!J361="",FALSE,TRUE)</f>
        <v>0</v>
      </c>
      <c r="AL361">
        <f>OR(AND(IF(Metadata!K361="",FALSE,TRUE),OR(exact(Metadata!K361,"not collected"),exact(Metadata!K361,"not provided"))),AND(IF(Metadata!K361="",FALSE,ISNUMBER(VALUE(Metadata!K361))),Metadata!K361&gt;0))</f>
        <v>0</v>
      </c>
      <c r="AM361">
        <f>AND(IF(Metadata!L361="",FALSE,TRUE),exact(Metadata!L361,"cm"))</f>
        <v>0</v>
      </c>
      <c r="AN361">
        <f>IF(Metadata!M361="",FALSE,TRUE)</f>
        <v>0</v>
      </c>
      <c r="AO361">
        <f>OR(AND(IF(Metadata!N361="",FALSE,TRUE),OR(exact(Metadata!N361,"not applicable"),exact(Metadata!N361,"not collected"),exact(Metadata!N361,"not provided"))),AND(IF(Metadata!N361="",FALSE,IF(ISERROR(INT(Metadata!N361)),FALSE,INT(Metadata!N361)=Metadata!N361)),Metadata!N361&gt;0))</f>
        <v>0</v>
      </c>
      <c r="AP361">
        <f>OR(AND(IF(Metadata!O361="",FALSE,TRUE),OR(exact(Metadata!O361,"not collected"),exact(Metadata!O361,"not provided"))),AND(IF(Metadata!O361="",FALSE,ISNUMBER(VALUE(Metadata!O361))),Metadata!O361&gt;0))</f>
        <v>0</v>
      </c>
      <c r="AQ361">
        <f>AND(IF(Metadata!P361="",FALSE,TRUE),exact(Metadata!P361,"kg"))</f>
        <v>0</v>
      </c>
      <c r="AR361">
        <f>OR(AND(IF(Metadata!Q361="",FALSE,TRUE),OR(exact(Metadata!Q361,"not applicable"),exact(Metadata!Q361,"not collected"),exact(Metadata!Q361,"not provided"),exact(Metadata!Q361,"restricted access"))),IF(Metadata!Q361="",FALSE,IF(ISERROR(INT(Metadata!Q361)),FALSE,INT(Metadata!Q361)=Metadata!Q361)))</f>
        <v>0</v>
      </c>
      <c r="AS361">
        <f>AND(IF(Metadata!R361="",FALSE,TRUE),exact(Metadata!R361,"Not applicable"))</f>
        <v>0</v>
      </c>
    </row>
    <row r="362" spans="1:45">
      <c r="A362" s="4">
        <f>IF(B362=" "," ",HYPERLINK(CONCATENATE("#metadata!",ADDRESS(INDEX($X$2:$X$1001,MATCH(ROWS($V$2:V362),$V$2:$V$1001,0),0),2)),INDEX($AA$2:$AA$1001,MATCH(ROWS($V$2:V362),$V$2:$V$1001,0),0)))</f>
        <v>0</v>
      </c>
      <c r="B362" s="5">
        <f>IF(OR(INDEX($W$2:$W$1001,MATCH(ROWS($V$2:V362),$V$2:$V$1001,0),1)&gt;=100000,INDEX($AC$1005:$AS$1005,1,MATCH(COLUMNS($AC$1006:AC1006),$AC$1006:$AS$1006,0))&gt;=100000), " ",IF(INDEX($AC$2:$AS$1001,MATCH(ROWS($V$2:V362),$V$2:$V$1001,0),MATCH(COLUMNS($AC$1006:AC1006),$AC$1006:$AS$1006,0)), HYPERLINK("#",""), HYPERLINK(CONCATENATE("#Metadata!", ADDRESS(INDEX($X$2:$X$1001,MATCH(ROWS($V$2:V362),$V$2:$V$1001,0),0), INDEX($AC$1004:$AS$1004,1,MATCH(COLUMNS($AC$1006:AC1006),$AC$1006:$AS$1006,0)))),"Fix")))</f>
        <v>0</v>
      </c>
      <c r="C362" s="5">
        <f>IF(OR(INDEX($W$2:$W$1001,MATCH(ROWS($V$2:V362),$V$2:$V$1001,0),1)&gt;=100000,INDEX($AC$1005:$AS$1005,1,MATCH(COLUMNS($AC$1006:AD1006),$AC$1006:$AS$1006,0))&gt;=100000), " ",IF(INDEX($AC$2:$AS$1001,MATCH(ROWS($V$2:V362),$V$2:$V$1001,0),MATCH(COLUMNS($AC$1006:AD1006),$AC$1006:$AS$1006,0)), HYPERLINK("#",""), HYPERLINK(CONCATENATE("#Metadata!", ADDRESS(INDEX($X$2:$X$1001,MATCH(ROWS($V$2:V362),$V$2:$V$1001,0),0), INDEX($AC$1004:$AS$1004,1,MATCH(COLUMNS($AC$1006:AD1006),$AC$1006:$AS$1006,0)))),"Fix")))</f>
        <v>0</v>
      </c>
      <c r="D362" s="5">
        <f>IF(OR(INDEX($W$2:$W$1001,MATCH(ROWS($V$2:V362),$V$2:$V$1001,0),1)&gt;=100000,INDEX($AC$1005:$AS$1005,1,MATCH(COLUMNS($AC$1006:AE1006),$AC$1006:$AS$1006,0))&gt;=100000), " ",IF(INDEX($AC$2:$AS$1001,MATCH(ROWS($V$2:V362),$V$2:$V$1001,0),MATCH(COLUMNS($AC$1006:AE1006),$AC$1006:$AS$1006,0)), HYPERLINK("#",""), HYPERLINK(CONCATENATE("#Metadata!", ADDRESS(INDEX($X$2:$X$1001,MATCH(ROWS($V$2:V362),$V$2:$V$1001,0),0), INDEX($AC$1004:$AS$1004,1,MATCH(COLUMNS($AC$1006:AE1006),$AC$1006:$AS$1006,0)))),"Fix")))</f>
        <v>0</v>
      </c>
      <c r="E362" s="5">
        <f>IF(OR(INDEX($W$2:$W$1001,MATCH(ROWS($V$2:V362),$V$2:$V$1001,0),1)&gt;=100000,INDEX($AC$1005:$AS$1005,1,MATCH(COLUMNS($AC$1006:AF1006),$AC$1006:$AS$1006,0))&gt;=100000), " ",IF(INDEX($AC$2:$AS$1001,MATCH(ROWS($V$2:V362),$V$2:$V$1001,0),MATCH(COLUMNS($AC$1006:AF1006),$AC$1006:$AS$1006,0)), HYPERLINK("#",""), HYPERLINK(CONCATENATE("#Metadata!", ADDRESS(INDEX($X$2:$X$1001,MATCH(ROWS($V$2:V362),$V$2:$V$1001,0),0), INDEX($AC$1004:$AS$1004,1,MATCH(COLUMNS($AC$1006:AF1006),$AC$1006:$AS$1006,0)))),"Fix")))</f>
        <v>0</v>
      </c>
      <c r="F362" s="5">
        <f>IF(OR(INDEX($W$2:$W$1001,MATCH(ROWS($V$2:V362),$V$2:$V$1001,0),1)&gt;=100000,INDEX($AC$1005:$AS$1005,1,MATCH(COLUMNS($AC$1006:AG1006),$AC$1006:$AS$1006,0))&gt;=100000), " ",IF(INDEX($AC$2:$AS$1001,MATCH(ROWS($V$2:V362),$V$2:$V$1001,0),MATCH(COLUMNS($AC$1006:AG1006),$AC$1006:$AS$1006,0)), HYPERLINK("#",""), HYPERLINK(CONCATENATE("#Metadata!", ADDRESS(INDEX($X$2:$X$1001,MATCH(ROWS($V$2:V362),$V$2:$V$1001,0),0), INDEX($AC$1004:$AS$1004,1,MATCH(COLUMNS($AC$1006:AG1006),$AC$1006:$AS$1006,0)))),"Fix")))</f>
        <v>0</v>
      </c>
      <c r="G362" s="5">
        <f>IF(OR(INDEX($W$2:$W$1001,MATCH(ROWS($V$2:V362),$V$2:$V$1001,0),1)&gt;=100000,INDEX($AC$1005:$AS$1005,1,MATCH(COLUMNS($AC$1006:AH1006),$AC$1006:$AS$1006,0))&gt;=100000), " ",IF(INDEX($AC$2:$AS$1001,MATCH(ROWS($V$2:V362),$V$2:$V$1001,0),MATCH(COLUMNS($AC$1006:AH1006),$AC$1006:$AS$1006,0)), HYPERLINK("#",""), HYPERLINK(CONCATENATE("#Metadata!", ADDRESS(INDEX($X$2:$X$1001,MATCH(ROWS($V$2:V362),$V$2:$V$1001,0),0), INDEX($AC$1004:$AS$1004,1,MATCH(COLUMNS($AC$1006:AH1006),$AC$1006:$AS$1006,0)))),"Fix")))</f>
        <v>0</v>
      </c>
      <c r="H362" s="5">
        <f>IF(OR(INDEX($W$2:$W$1001,MATCH(ROWS($V$2:V362),$V$2:$V$1001,0),1)&gt;=100000,INDEX($AC$1005:$AS$1005,1,MATCH(COLUMNS($AC$1006:AI1006),$AC$1006:$AS$1006,0))&gt;=100000), " ",IF(INDEX($AC$2:$AS$1001,MATCH(ROWS($V$2:V362),$V$2:$V$1001,0),MATCH(COLUMNS($AC$1006:AI1006),$AC$1006:$AS$1006,0)), HYPERLINK("#",""), HYPERLINK(CONCATENATE("#Metadata!", ADDRESS(INDEX($X$2:$X$1001,MATCH(ROWS($V$2:V362),$V$2:$V$1001,0),0), INDEX($AC$1004:$AS$1004,1,MATCH(COLUMNS($AC$1006:AI1006),$AC$1006:$AS$1006,0)))),"Fix")))</f>
        <v>0</v>
      </c>
      <c r="I362" s="5">
        <f>IF(OR(INDEX($W$2:$W$1001,MATCH(ROWS($V$2:V362),$V$2:$V$1001,0),1)&gt;=100000,INDEX($AC$1005:$AS$1005,1,MATCH(COLUMNS($AC$1006:AJ1006),$AC$1006:$AS$1006,0))&gt;=100000), " ",IF(INDEX($AC$2:$AS$1001,MATCH(ROWS($V$2:V362),$V$2:$V$1001,0),MATCH(COLUMNS($AC$1006:AJ1006),$AC$1006:$AS$1006,0)), HYPERLINK("#",""), HYPERLINK(CONCATENATE("#Metadata!", ADDRESS(INDEX($X$2:$X$1001,MATCH(ROWS($V$2:V362),$V$2:$V$1001,0),0), INDEX($AC$1004:$AS$1004,1,MATCH(COLUMNS($AC$1006:AJ1006),$AC$1006:$AS$1006,0)))),"Fix")))</f>
        <v>0</v>
      </c>
      <c r="J362" s="5">
        <f>IF(OR(INDEX($W$2:$W$1001,MATCH(ROWS($V$2:V362),$V$2:$V$1001,0),1)&gt;=100000,INDEX($AC$1005:$AS$1005,1,MATCH(COLUMNS($AC$1006:AK1006),$AC$1006:$AS$1006,0))&gt;=100000), " ",IF(INDEX($AC$2:$AS$1001,MATCH(ROWS($V$2:V362),$V$2:$V$1001,0),MATCH(COLUMNS($AC$1006:AK1006),$AC$1006:$AS$1006,0)), HYPERLINK("#",""), HYPERLINK(CONCATENATE("#Metadata!", ADDRESS(INDEX($X$2:$X$1001,MATCH(ROWS($V$2:V362),$V$2:$V$1001,0),0), INDEX($AC$1004:$AS$1004,1,MATCH(COLUMNS($AC$1006:AK1006),$AC$1006:$AS$1006,0)))),"Fix")))</f>
        <v>0</v>
      </c>
      <c r="K362" s="5">
        <f>IF(OR(INDEX($W$2:$W$1001,MATCH(ROWS($V$2:V362),$V$2:$V$1001,0),1)&gt;=100000,INDEX($AC$1005:$AS$1005,1,MATCH(COLUMNS($AC$1006:AL1006),$AC$1006:$AS$1006,0))&gt;=100000), " ",IF(INDEX($AC$2:$AS$1001,MATCH(ROWS($V$2:V362),$V$2:$V$1001,0),MATCH(COLUMNS($AC$1006:AL1006),$AC$1006:$AS$1006,0)), HYPERLINK("#",""), HYPERLINK(CONCATENATE("#Metadata!", ADDRESS(INDEX($X$2:$X$1001,MATCH(ROWS($V$2:V362),$V$2:$V$1001,0),0), INDEX($AC$1004:$AS$1004,1,MATCH(COLUMNS($AC$1006:AL1006),$AC$1006:$AS$1006,0)))),"Fix")))</f>
        <v>0</v>
      </c>
      <c r="L362" s="5">
        <f>IF(OR(INDEX($W$2:$W$1001,MATCH(ROWS($V$2:V362),$V$2:$V$1001,0),1)&gt;=100000,INDEX($AC$1005:$AS$1005,1,MATCH(COLUMNS($AC$1006:AM1006),$AC$1006:$AS$1006,0))&gt;=100000), " ",IF(INDEX($AC$2:$AS$1001,MATCH(ROWS($V$2:V362),$V$2:$V$1001,0),MATCH(COLUMNS($AC$1006:AM1006),$AC$1006:$AS$1006,0)), HYPERLINK("#",""), HYPERLINK(CONCATENATE("#Metadata!", ADDRESS(INDEX($X$2:$X$1001,MATCH(ROWS($V$2:V362),$V$2:$V$1001,0),0), INDEX($AC$1004:$AS$1004,1,MATCH(COLUMNS($AC$1006:AM1006),$AC$1006:$AS$1006,0)))),"Fix")))</f>
        <v>0</v>
      </c>
      <c r="M362" s="5">
        <f>IF(OR(INDEX($W$2:$W$1001,MATCH(ROWS($V$2:V362),$V$2:$V$1001,0),1)&gt;=100000,INDEX($AC$1005:$AS$1005,1,MATCH(COLUMNS($AC$1006:AN1006),$AC$1006:$AS$1006,0))&gt;=100000), " ",IF(INDEX($AC$2:$AS$1001,MATCH(ROWS($V$2:V362),$V$2:$V$1001,0),MATCH(COLUMNS($AC$1006:AN1006),$AC$1006:$AS$1006,0)), HYPERLINK("#",""), HYPERLINK(CONCATENATE("#Metadata!", ADDRESS(INDEX($X$2:$X$1001,MATCH(ROWS($V$2:V362),$V$2:$V$1001,0),0), INDEX($AC$1004:$AS$1004,1,MATCH(COLUMNS($AC$1006:AN1006),$AC$1006:$AS$1006,0)))),"Fix")))</f>
        <v>0</v>
      </c>
      <c r="N362" s="5">
        <f>IF(OR(INDEX($W$2:$W$1001,MATCH(ROWS($V$2:V362),$V$2:$V$1001,0),1)&gt;=100000,INDEX($AC$1005:$AS$1005,1,MATCH(COLUMNS($AC$1006:AO1006),$AC$1006:$AS$1006,0))&gt;=100000), " ",IF(INDEX($AC$2:$AS$1001,MATCH(ROWS($V$2:V362),$V$2:$V$1001,0),MATCH(COLUMNS($AC$1006:AO1006),$AC$1006:$AS$1006,0)), HYPERLINK("#",""), HYPERLINK(CONCATENATE("#Metadata!", ADDRESS(INDEX($X$2:$X$1001,MATCH(ROWS($V$2:V362),$V$2:$V$1001,0),0), INDEX($AC$1004:$AS$1004,1,MATCH(COLUMNS($AC$1006:AO1006),$AC$1006:$AS$1006,0)))),"Fix")))</f>
        <v>0</v>
      </c>
      <c r="O362" s="5">
        <f>IF(OR(INDEX($W$2:$W$1001,MATCH(ROWS($V$2:V362),$V$2:$V$1001,0),1)&gt;=100000,INDEX($AC$1005:$AS$1005,1,MATCH(COLUMNS($AC$1006:AP1006),$AC$1006:$AS$1006,0))&gt;=100000), " ",IF(INDEX($AC$2:$AS$1001,MATCH(ROWS($V$2:V362),$V$2:$V$1001,0),MATCH(COLUMNS($AC$1006:AP1006),$AC$1006:$AS$1006,0)), HYPERLINK("#",""), HYPERLINK(CONCATENATE("#Metadata!", ADDRESS(INDEX($X$2:$X$1001,MATCH(ROWS($V$2:V362),$V$2:$V$1001,0),0), INDEX($AC$1004:$AS$1004,1,MATCH(COLUMNS($AC$1006:AP1006),$AC$1006:$AS$1006,0)))),"Fix")))</f>
        <v>0</v>
      </c>
      <c r="P362" s="5">
        <f>IF(OR(INDEX($W$2:$W$1001,MATCH(ROWS($V$2:V362),$V$2:$V$1001,0),1)&gt;=100000,INDEX($AC$1005:$AS$1005,1,MATCH(COLUMNS($AC$1006:AQ1006),$AC$1006:$AS$1006,0))&gt;=100000), " ",IF(INDEX($AC$2:$AS$1001,MATCH(ROWS($V$2:V362),$V$2:$V$1001,0),MATCH(COLUMNS($AC$1006:AQ1006),$AC$1006:$AS$1006,0)), HYPERLINK("#",""), HYPERLINK(CONCATENATE("#Metadata!", ADDRESS(INDEX($X$2:$X$1001,MATCH(ROWS($V$2:V362),$V$2:$V$1001,0),0), INDEX($AC$1004:$AS$1004,1,MATCH(COLUMNS($AC$1006:AQ1006),$AC$1006:$AS$1006,0)))),"Fix")))</f>
        <v>0</v>
      </c>
      <c r="Q362" s="5">
        <f>IF(OR(INDEX($W$2:$W$1001,MATCH(ROWS($V$2:V362),$V$2:$V$1001,0),1)&gt;=100000,INDEX($AC$1005:$AS$1005,1,MATCH(COLUMNS($AC$1006:AR1006),$AC$1006:$AS$1006,0))&gt;=100000), " ",IF(INDEX($AC$2:$AS$1001,MATCH(ROWS($V$2:V362),$V$2:$V$1001,0),MATCH(COLUMNS($AC$1006:AR1006),$AC$1006:$AS$1006,0)), HYPERLINK("#",""), HYPERLINK(CONCATENATE("#Metadata!", ADDRESS(INDEX($X$2:$X$1001,MATCH(ROWS($V$2:V362),$V$2:$V$1001,0),0), INDEX($AC$1004:$AS$1004,1,MATCH(COLUMNS($AC$1006:AR1006),$AC$1006:$AS$1006,0)))),"Fix")))</f>
        <v>0</v>
      </c>
      <c r="R362" s="5">
        <f>IF(OR(INDEX($W$2:$W$1001,MATCH(ROWS($V$2:V362),$V$2:$V$1001,0),1)&gt;=100000,INDEX($AC$1005:$AS$1005,1,MATCH(COLUMNS($AC$1006:AS1006),$AC$1006:$AS$1006,0))&gt;=100000), " ",IF(INDEX($AC$2:$AS$1001,MATCH(ROWS($V$2:V362),$V$2:$V$1001,0),MATCH(COLUMNS($AC$1006:AS1006),$AC$1006:$AS$1006,0)), HYPERLINK("#",""), HYPERLINK(CONCATENATE("#Metadata!", ADDRESS(INDEX($X$2:$X$1001,MATCH(ROWS($V$2:V362),$V$2:$V$1001,0),0), INDEX($AC$1004:$AS$1004,1,MATCH(COLUMNS($AC$1006:AS1006),$AC$1006:$AS$1006,0)))),"Fix")))</f>
        <v>0</v>
      </c>
      <c r="V362">
        <v>0</v>
      </c>
      <c r="W362">
        <v>0</v>
      </c>
      <c r="X362">
        <v>0</v>
      </c>
      <c r="Y362">
        <f>IF(Z362,TRUE,AND(AC362:AS362))</f>
        <v>0</v>
      </c>
      <c r="Z362">
        <f>COUNTBLANK(Metadata!B362:R362)=COLUMNS(Metadata!B362:R362)</f>
        <v>0</v>
      </c>
      <c r="AA362">
        <v>0</v>
      </c>
      <c r="AC362">
        <f>AND(IF(Metadata!B362="",FALSE,TRUE),COUNTIF(Metadata!B:B, Metadata!B362) = 1,NOT(ISERROR(SUMPRODUCT(SEARCH(MID(Metadata!B362,ROW(INDIRECT("1:"&amp;LEN(Metadata!B362))), 1),"0123456789abcdefghijklmnopqrstuvwxyzABCDEFGHIJKLMNOPQRSTUVWXYZ.")))))</f>
        <v>0</v>
      </c>
      <c r="AD362">
        <f>AND(IF(Metadata!C362="",FALSE,TRUE),exact(Metadata!C362,"Host-associated"))</f>
        <v>0</v>
      </c>
      <c r="AE362">
        <f>AND(IF(Metadata!D362="",FALSE,TRUE),OR(exact(Metadata!D362,"Animal"),exact(Metadata!D362,"Fungus"),exact(Metadata!D362,"Plant")))</f>
        <v>0</v>
      </c>
      <c r="AF362">
        <f>AND(IF(Metadata!E362="",FALSE,TRUE),OR(exact(Metadata!E362,"Plant secretion"),exact(Metadata!E362,"Plant rhizosphere"),exact(Metadata!E362,"Plant surface"),exact(Metadata!E362,"Plant corpus"),exact(Metadata!E362,"Fungus surface"),exact(Metadata!E362,"Fungus corpus"),exact(Metadata!E362,"Animal surface"),exact(Metadata!E362,"Animal proximal gut"),exact(Metadata!E362,"Animal corpus"),exact(Metadata!E362,"Animal distal gut"),exact(Metadata!E362,"Animal secretion")))</f>
        <v>0</v>
      </c>
      <c r="AG362">
        <f>OR(AND(IF(Metadata!F362="",FALSE,TRUE),OR(exact(Metadata!F362,"not collected"),exact(Metadata!F362,"not provided"),exact(Metadata!F362,"restricted access"))),AND(IF(Metadata!F362="",FALSE,TRUE),OR(exact(Metadata!F362,"organism-associated habitat"),exact(Metadata!F362,"plant-associated habitat"),exact(Metadata!F362,"animal-associated habitat"),exact(Metadata!F362,"insecta-associated habitat"),exact(Metadata!F362,"mammalia-associated habitat"),exact(Metadata!F362,"human-associated habitat"),exact(Metadata!F362,"livestock-associated habitat"))))</f>
        <v>0</v>
      </c>
      <c r="AH362">
        <f>AND(IF(Metadata!G362="",FALSE,TRUE),exact(Metadata!G362,"host-associated"))</f>
        <v>0</v>
      </c>
      <c r="AI362">
        <f>OR(AND(IF(Metadata!H362="",FALSE,TRUE),OR(exact(Metadata!H362,"not collected"),exact(Metadata!H362,"not provided"))),AND(IF(Metadata!H362="",FALSE,ISNUMBER(VALUE(Metadata!H362))),Metadata!H362&gt;0))</f>
        <v>0</v>
      </c>
      <c r="AJ362">
        <f>AND(IF(Metadata!I362="",FALSE,TRUE),exact(Metadata!I362,"years"))</f>
        <v>0</v>
      </c>
      <c r="AK362">
        <f>IF(Metadata!J362="",FALSE,TRUE)</f>
        <v>0</v>
      </c>
      <c r="AL362">
        <f>OR(AND(IF(Metadata!K362="",FALSE,TRUE),OR(exact(Metadata!K362,"not collected"),exact(Metadata!K362,"not provided"))),AND(IF(Metadata!K362="",FALSE,ISNUMBER(VALUE(Metadata!K362))),Metadata!K362&gt;0))</f>
        <v>0</v>
      </c>
      <c r="AM362">
        <f>AND(IF(Metadata!L362="",FALSE,TRUE),exact(Metadata!L362,"cm"))</f>
        <v>0</v>
      </c>
      <c r="AN362">
        <f>IF(Metadata!M362="",FALSE,TRUE)</f>
        <v>0</v>
      </c>
      <c r="AO362">
        <f>OR(AND(IF(Metadata!N362="",FALSE,TRUE),OR(exact(Metadata!N362,"not applicable"),exact(Metadata!N362,"not collected"),exact(Metadata!N362,"not provided"))),AND(IF(Metadata!N362="",FALSE,IF(ISERROR(INT(Metadata!N362)),FALSE,INT(Metadata!N362)=Metadata!N362)),Metadata!N362&gt;0))</f>
        <v>0</v>
      </c>
      <c r="AP362">
        <f>OR(AND(IF(Metadata!O362="",FALSE,TRUE),OR(exact(Metadata!O362,"not collected"),exact(Metadata!O362,"not provided"))),AND(IF(Metadata!O362="",FALSE,ISNUMBER(VALUE(Metadata!O362))),Metadata!O362&gt;0))</f>
        <v>0</v>
      </c>
      <c r="AQ362">
        <f>AND(IF(Metadata!P362="",FALSE,TRUE),exact(Metadata!P362,"kg"))</f>
        <v>0</v>
      </c>
      <c r="AR362">
        <f>OR(AND(IF(Metadata!Q362="",FALSE,TRUE),OR(exact(Metadata!Q362,"not applicable"),exact(Metadata!Q362,"not collected"),exact(Metadata!Q362,"not provided"),exact(Metadata!Q362,"restricted access"))),IF(Metadata!Q362="",FALSE,IF(ISERROR(INT(Metadata!Q362)),FALSE,INT(Metadata!Q362)=Metadata!Q362)))</f>
        <v>0</v>
      </c>
      <c r="AS362">
        <f>AND(IF(Metadata!R362="",FALSE,TRUE),exact(Metadata!R362,"Not applicable"))</f>
        <v>0</v>
      </c>
    </row>
    <row r="363" spans="1:45">
      <c r="A363" s="4">
        <f>IF(B363=" "," ",HYPERLINK(CONCATENATE("#metadata!",ADDRESS(INDEX($X$2:$X$1001,MATCH(ROWS($V$2:V363),$V$2:$V$1001,0),0),2)),INDEX($AA$2:$AA$1001,MATCH(ROWS($V$2:V363),$V$2:$V$1001,0),0)))</f>
        <v>0</v>
      </c>
      <c r="B363" s="5">
        <f>IF(OR(INDEX($W$2:$W$1001,MATCH(ROWS($V$2:V363),$V$2:$V$1001,0),1)&gt;=100000,INDEX($AC$1005:$AS$1005,1,MATCH(COLUMNS($AC$1006:AC1006),$AC$1006:$AS$1006,0))&gt;=100000), " ",IF(INDEX($AC$2:$AS$1001,MATCH(ROWS($V$2:V363),$V$2:$V$1001,0),MATCH(COLUMNS($AC$1006:AC1006),$AC$1006:$AS$1006,0)), HYPERLINK("#",""), HYPERLINK(CONCATENATE("#Metadata!", ADDRESS(INDEX($X$2:$X$1001,MATCH(ROWS($V$2:V363),$V$2:$V$1001,0),0), INDEX($AC$1004:$AS$1004,1,MATCH(COLUMNS($AC$1006:AC1006),$AC$1006:$AS$1006,0)))),"Fix")))</f>
        <v>0</v>
      </c>
      <c r="C363" s="5">
        <f>IF(OR(INDEX($W$2:$W$1001,MATCH(ROWS($V$2:V363),$V$2:$V$1001,0),1)&gt;=100000,INDEX($AC$1005:$AS$1005,1,MATCH(COLUMNS($AC$1006:AD1006),$AC$1006:$AS$1006,0))&gt;=100000), " ",IF(INDEX($AC$2:$AS$1001,MATCH(ROWS($V$2:V363),$V$2:$V$1001,0),MATCH(COLUMNS($AC$1006:AD1006),$AC$1006:$AS$1006,0)), HYPERLINK("#",""), HYPERLINK(CONCATENATE("#Metadata!", ADDRESS(INDEX($X$2:$X$1001,MATCH(ROWS($V$2:V363),$V$2:$V$1001,0),0), INDEX($AC$1004:$AS$1004,1,MATCH(COLUMNS($AC$1006:AD1006),$AC$1006:$AS$1006,0)))),"Fix")))</f>
        <v>0</v>
      </c>
      <c r="D363" s="5">
        <f>IF(OR(INDEX($W$2:$W$1001,MATCH(ROWS($V$2:V363),$V$2:$V$1001,0),1)&gt;=100000,INDEX($AC$1005:$AS$1005,1,MATCH(COLUMNS($AC$1006:AE1006),$AC$1006:$AS$1006,0))&gt;=100000), " ",IF(INDEX($AC$2:$AS$1001,MATCH(ROWS($V$2:V363),$V$2:$V$1001,0),MATCH(COLUMNS($AC$1006:AE1006),$AC$1006:$AS$1006,0)), HYPERLINK("#",""), HYPERLINK(CONCATENATE("#Metadata!", ADDRESS(INDEX($X$2:$X$1001,MATCH(ROWS($V$2:V363),$V$2:$V$1001,0),0), INDEX($AC$1004:$AS$1004,1,MATCH(COLUMNS($AC$1006:AE1006),$AC$1006:$AS$1006,0)))),"Fix")))</f>
        <v>0</v>
      </c>
      <c r="E363" s="5">
        <f>IF(OR(INDEX($W$2:$W$1001,MATCH(ROWS($V$2:V363),$V$2:$V$1001,0),1)&gt;=100000,INDEX($AC$1005:$AS$1005,1,MATCH(COLUMNS($AC$1006:AF1006),$AC$1006:$AS$1006,0))&gt;=100000), " ",IF(INDEX($AC$2:$AS$1001,MATCH(ROWS($V$2:V363),$V$2:$V$1001,0),MATCH(COLUMNS($AC$1006:AF1006),$AC$1006:$AS$1006,0)), HYPERLINK("#",""), HYPERLINK(CONCATENATE("#Metadata!", ADDRESS(INDEX($X$2:$X$1001,MATCH(ROWS($V$2:V363),$V$2:$V$1001,0),0), INDEX($AC$1004:$AS$1004,1,MATCH(COLUMNS($AC$1006:AF1006),$AC$1006:$AS$1006,0)))),"Fix")))</f>
        <v>0</v>
      </c>
      <c r="F363" s="5">
        <f>IF(OR(INDEX($W$2:$W$1001,MATCH(ROWS($V$2:V363),$V$2:$V$1001,0),1)&gt;=100000,INDEX($AC$1005:$AS$1005,1,MATCH(COLUMNS($AC$1006:AG1006),$AC$1006:$AS$1006,0))&gt;=100000), " ",IF(INDEX($AC$2:$AS$1001,MATCH(ROWS($V$2:V363),$V$2:$V$1001,0),MATCH(COLUMNS($AC$1006:AG1006),$AC$1006:$AS$1006,0)), HYPERLINK("#",""), HYPERLINK(CONCATENATE("#Metadata!", ADDRESS(INDEX($X$2:$X$1001,MATCH(ROWS($V$2:V363),$V$2:$V$1001,0),0), INDEX($AC$1004:$AS$1004,1,MATCH(COLUMNS($AC$1006:AG1006),$AC$1006:$AS$1006,0)))),"Fix")))</f>
        <v>0</v>
      </c>
      <c r="G363" s="5">
        <f>IF(OR(INDEX($W$2:$W$1001,MATCH(ROWS($V$2:V363),$V$2:$V$1001,0),1)&gt;=100000,INDEX($AC$1005:$AS$1005,1,MATCH(COLUMNS($AC$1006:AH1006),$AC$1006:$AS$1006,0))&gt;=100000), " ",IF(INDEX($AC$2:$AS$1001,MATCH(ROWS($V$2:V363),$V$2:$V$1001,0),MATCH(COLUMNS($AC$1006:AH1006),$AC$1006:$AS$1006,0)), HYPERLINK("#",""), HYPERLINK(CONCATENATE("#Metadata!", ADDRESS(INDEX($X$2:$X$1001,MATCH(ROWS($V$2:V363),$V$2:$V$1001,0),0), INDEX($AC$1004:$AS$1004,1,MATCH(COLUMNS($AC$1006:AH1006),$AC$1006:$AS$1006,0)))),"Fix")))</f>
        <v>0</v>
      </c>
      <c r="H363" s="5">
        <f>IF(OR(INDEX($W$2:$W$1001,MATCH(ROWS($V$2:V363),$V$2:$V$1001,0),1)&gt;=100000,INDEX($AC$1005:$AS$1005,1,MATCH(COLUMNS($AC$1006:AI1006),$AC$1006:$AS$1006,0))&gt;=100000), " ",IF(INDEX($AC$2:$AS$1001,MATCH(ROWS($V$2:V363),$V$2:$V$1001,0),MATCH(COLUMNS($AC$1006:AI1006),$AC$1006:$AS$1006,0)), HYPERLINK("#",""), HYPERLINK(CONCATENATE("#Metadata!", ADDRESS(INDEX($X$2:$X$1001,MATCH(ROWS($V$2:V363),$V$2:$V$1001,0),0), INDEX($AC$1004:$AS$1004,1,MATCH(COLUMNS($AC$1006:AI1006),$AC$1006:$AS$1006,0)))),"Fix")))</f>
        <v>0</v>
      </c>
      <c r="I363" s="5">
        <f>IF(OR(INDEX($W$2:$W$1001,MATCH(ROWS($V$2:V363),$V$2:$V$1001,0),1)&gt;=100000,INDEX($AC$1005:$AS$1005,1,MATCH(COLUMNS($AC$1006:AJ1006),$AC$1006:$AS$1006,0))&gt;=100000), " ",IF(INDEX($AC$2:$AS$1001,MATCH(ROWS($V$2:V363),$V$2:$V$1001,0),MATCH(COLUMNS($AC$1006:AJ1006),$AC$1006:$AS$1006,0)), HYPERLINK("#",""), HYPERLINK(CONCATENATE("#Metadata!", ADDRESS(INDEX($X$2:$X$1001,MATCH(ROWS($V$2:V363),$V$2:$V$1001,0),0), INDEX($AC$1004:$AS$1004,1,MATCH(COLUMNS($AC$1006:AJ1006),$AC$1006:$AS$1006,0)))),"Fix")))</f>
        <v>0</v>
      </c>
      <c r="J363" s="5">
        <f>IF(OR(INDEX($W$2:$W$1001,MATCH(ROWS($V$2:V363),$V$2:$V$1001,0),1)&gt;=100000,INDEX($AC$1005:$AS$1005,1,MATCH(COLUMNS($AC$1006:AK1006),$AC$1006:$AS$1006,0))&gt;=100000), " ",IF(INDEX($AC$2:$AS$1001,MATCH(ROWS($V$2:V363),$V$2:$V$1001,0),MATCH(COLUMNS($AC$1006:AK1006),$AC$1006:$AS$1006,0)), HYPERLINK("#",""), HYPERLINK(CONCATENATE("#Metadata!", ADDRESS(INDEX($X$2:$X$1001,MATCH(ROWS($V$2:V363),$V$2:$V$1001,0),0), INDEX($AC$1004:$AS$1004,1,MATCH(COLUMNS($AC$1006:AK1006),$AC$1006:$AS$1006,0)))),"Fix")))</f>
        <v>0</v>
      </c>
      <c r="K363" s="5">
        <f>IF(OR(INDEX($W$2:$W$1001,MATCH(ROWS($V$2:V363),$V$2:$V$1001,0),1)&gt;=100000,INDEX($AC$1005:$AS$1005,1,MATCH(COLUMNS($AC$1006:AL1006),$AC$1006:$AS$1006,0))&gt;=100000), " ",IF(INDEX($AC$2:$AS$1001,MATCH(ROWS($V$2:V363),$V$2:$V$1001,0),MATCH(COLUMNS($AC$1006:AL1006),$AC$1006:$AS$1006,0)), HYPERLINK("#",""), HYPERLINK(CONCATENATE("#Metadata!", ADDRESS(INDEX($X$2:$X$1001,MATCH(ROWS($V$2:V363),$V$2:$V$1001,0),0), INDEX($AC$1004:$AS$1004,1,MATCH(COLUMNS($AC$1006:AL1006),$AC$1006:$AS$1006,0)))),"Fix")))</f>
        <v>0</v>
      </c>
      <c r="L363" s="5">
        <f>IF(OR(INDEX($W$2:$W$1001,MATCH(ROWS($V$2:V363),$V$2:$V$1001,0),1)&gt;=100000,INDEX($AC$1005:$AS$1005,1,MATCH(COLUMNS($AC$1006:AM1006),$AC$1006:$AS$1006,0))&gt;=100000), " ",IF(INDEX($AC$2:$AS$1001,MATCH(ROWS($V$2:V363),$V$2:$V$1001,0),MATCH(COLUMNS($AC$1006:AM1006),$AC$1006:$AS$1006,0)), HYPERLINK("#",""), HYPERLINK(CONCATENATE("#Metadata!", ADDRESS(INDEX($X$2:$X$1001,MATCH(ROWS($V$2:V363),$V$2:$V$1001,0),0), INDEX($AC$1004:$AS$1004,1,MATCH(COLUMNS($AC$1006:AM1006),$AC$1006:$AS$1006,0)))),"Fix")))</f>
        <v>0</v>
      </c>
      <c r="M363" s="5">
        <f>IF(OR(INDEX($W$2:$W$1001,MATCH(ROWS($V$2:V363),$V$2:$V$1001,0),1)&gt;=100000,INDEX($AC$1005:$AS$1005,1,MATCH(COLUMNS($AC$1006:AN1006),$AC$1006:$AS$1006,0))&gt;=100000), " ",IF(INDEX($AC$2:$AS$1001,MATCH(ROWS($V$2:V363),$V$2:$V$1001,0),MATCH(COLUMNS($AC$1006:AN1006),$AC$1006:$AS$1006,0)), HYPERLINK("#",""), HYPERLINK(CONCATENATE("#Metadata!", ADDRESS(INDEX($X$2:$X$1001,MATCH(ROWS($V$2:V363),$V$2:$V$1001,0),0), INDEX($AC$1004:$AS$1004,1,MATCH(COLUMNS($AC$1006:AN1006),$AC$1006:$AS$1006,0)))),"Fix")))</f>
        <v>0</v>
      </c>
      <c r="N363" s="5">
        <f>IF(OR(INDEX($W$2:$W$1001,MATCH(ROWS($V$2:V363),$V$2:$V$1001,0),1)&gt;=100000,INDEX($AC$1005:$AS$1005,1,MATCH(COLUMNS($AC$1006:AO1006),$AC$1006:$AS$1006,0))&gt;=100000), " ",IF(INDEX($AC$2:$AS$1001,MATCH(ROWS($V$2:V363),$V$2:$V$1001,0),MATCH(COLUMNS($AC$1006:AO1006),$AC$1006:$AS$1006,0)), HYPERLINK("#",""), HYPERLINK(CONCATENATE("#Metadata!", ADDRESS(INDEX($X$2:$X$1001,MATCH(ROWS($V$2:V363),$V$2:$V$1001,0),0), INDEX($AC$1004:$AS$1004,1,MATCH(COLUMNS($AC$1006:AO1006),$AC$1006:$AS$1006,0)))),"Fix")))</f>
        <v>0</v>
      </c>
      <c r="O363" s="5">
        <f>IF(OR(INDEX($W$2:$W$1001,MATCH(ROWS($V$2:V363),$V$2:$V$1001,0),1)&gt;=100000,INDEX($AC$1005:$AS$1005,1,MATCH(COLUMNS($AC$1006:AP1006),$AC$1006:$AS$1006,0))&gt;=100000), " ",IF(INDEX($AC$2:$AS$1001,MATCH(ROWS($V$2:V363),$V$2:$V$1001,0),MATCH(COLUMNS($AC$1006:AP1006),$AC$1006:$AS$1006,0)), HYPERLINK("#",""), HYPERLINK(CONCATENATE("#Metadata!", ADDRESS(INDEX($X$2:$X$1001,MATCH(ROWS($V$2:V363),$V$2:$V$1001,0),0), INDEX($AC$1004:$AS$1004,1,MATCH(COLUMNS($AC$1006:AP1006),$AC$1006:$AS$1006,0)))),"Fix")))</f>
        <v>0</v>
      </c>
      <c r="P363" s="5">
        <f>IF(OR(INDEX($W$2:$W$1001,MATCH(ROWS($V$2:V363),$V$2:$V$1001,0),1)&gt;=100000,INDEX($AC$1005:$AS$1005,1,MATCH(COLUMNS($AC$1006:AQ1006),$AC$1006:$AS$1006,0))&gt;=100000), " ",IF(INDEX($AC$2:$AS$1001,MATCH(ROWS($V$2:V363),$V$2:$V$1001,0),MATCH(COLUMNS($AC$1006:AQ1006),$AC$1006:$AS$1006,0)), HYPERLINK("#",""), HYPERLINK(CONCATENATE("#Metadata!", ADDRESS(INDEX($X$2:$X$1001,MATCH(ROWS($V$2:V363),$V$2:$V$1001,0),0), INDEX($AC$1004:$AS$1004,1,MATCH(COLUMNS($AC$1006:AQ1006),$AC$1006:$AS$1006,0)))),"Fix")))</f>
        <v>0</v>
      </c>
      <c r="Q363" s="5">
        <f>IF(OR(INDEX($W$2:$W$1001,MATCH(ROWS($V$2:V363),$V$2:$V$1001,0),1)&gt;=100000,INDEX($AC$1005:$AS$1005,1,MATCH(COLUMNS($AC$1006:AR1006),$AC$1006:$AS$1006,0))&gt;=100000), " ",IF(INDEX($AC$2:$AS$1001,MATCH(ROWS($V$2:V363),$V$2:$V$1001,0),MATCH(COLUMNS($AC$1006:AR1006),$AC$1006:$AS$1006,0)), HYPERLINK("#",""), HYPERLINK(CONCATENATE("#Metadata!", ADDRESS(INDEX($X$2:$X$1001,MATCH(ROWS($V$2:V363),$V$2:$V$1001,0),0), INDEX($AC$1004:$AS$1004,1,MATCH(COLUMNS($AC$1006:AR1006),$AC$1006:$AS$1006,0)))),"Fix")))</f>
        <v>0</v>
      </c>
      <c r="R363" s="5">
        <f>IF(OR(INDEX($W$2:$W$1001,MATCH(ROWS($V$2:V363),$V$2:$V$1001,0),1)&gt;=100000,INDEX($AC$1005:$AS$1005,1,MATCH(COLUMNS($AC$1006:AS1006),$AC$1006:$AS$1006,0))&gt;=100000), " ",IF(INDEX($AC$2:$AS$1001,MATCH(ROWS($V$2:V363),$V$2:$V$1001,0),MATCH(COLUMNS($AC$1006:AS1006),$AC$1006:$AS$1006,0)), HYPERLINK("#",""), HYPERLINK(CONCATENATE("#Metadata!", ADDRESS(INDEX($X$2:$X$1001,MATCH(ROWS($V$2:V363),$V$2:$V$1001,0),0), INDEX($AC$1004:$AS$1004,1,MATCH(COLUMNS($AC$1006:AS1006),$AC$1006:$AS$1006,0)))),"Fix")))</f>
        <v>0</v>
      </c>
      <c r="V363">
        <v>0</v>
      </c>
      <c r="W363">
        <v>0</v>
      </c>
      <c r="X363">
        <v>0</v>
      </c>
      <c r="Y363">
        <f>IF(Z363,TRUE,AND(AC363:AS363))</f>
        <v>0</v>
      </c>
      <c r="Z363">
        <f>COUNTBLANK(Metadata!B363:R363)=COLUMNS(Metadata!B363:R363)</f>
        <v>0</v>
      </c>
      <c r="AA363">
        <v>0</v>
      </c>
      <c r="AC363">
        <f>AND(IF(Metadata!B363="",FALSE,TRUE),COUNTIF(Metadata!B:B, Metadata!B363) = 1,NOT(ISERROR(SUMPRODUCT(SEARCH(MID(Metadata!B363,ROW(INDIRECT("1:"&amp;LEN(Metadata!B363))), 1),"0123456789abcdefghijklmnopqrstuvwxyzABCDEFGHIJKLMNOPQRSTUVWXYZ.")))))</f>
        <v>0</v>
      </c>
      <c r="AD363">
        <f>AND(IF(Metadata!C363="",FALSE,TRUE),exact(Metadata!C363,"Host-associated"))</f>
        <v>0</v>
      </c>
      <c r="AE363">
        <f>AND(IF(Metadata!D363="",FALSE,TRUE),OR(exact(Metadata!D363,"Animal"),exact(Metadata!D363,"Fungus"),exact(Metadata!D363,"Plant")))</f>
        <v>0</v>
      </c>
      <c r="AF363">
        <f>AND(IF(Metadata!E363="",FALSE,TRUE),OR(exact(Metadata!E363,"Plant secretion"),exact(Metadata!E363,"Plant rhizosphere"),exact(Metadata!E363,"Plant surface"),exact(Metadata!E363,"Plant corpus"),exact(Metadata!E363,"Fungus surface"),exact(Metadata!E363,"Fungus corpus"),exact(Metadata!E363,"Animal surface"),exact(Metadata!E363,"Animal proximal gut"),exact(Metadata!E363,"Animal corpus"),exact(Metadata!E363,"Animal distal gut"),exact(Metadata!E363,"Animal secretion")))</f>
        <v>0</v>
      </c>
      <c r="AG363">
        <f>OR(AND(IF(Metadata!F363="",FALSE,TRUE),OR(exact(Metadata!F363,"not collected"),exact(Metadata!F363,"not provided"),exact(Metadata!F363,"restricted access"))),AND(IF(Metadata!F363="",FALSE,TRUE),OR(exact(Metadata!F363,"organism-associated habitat"),exact(Metadata!F363,"plant-associated habitat"),exact(Metadata!F363,"animal-associated habitat"),exact(Metadata!F363,"insecta-associated habitat"),exact(Metadata!F363,"mammalia-associated habitat"),exact(Metadata!F363,"human-associated habitat"),exact(Metadata!F363,"livestock-associated habitat"))))</f>
        <v>0</v>
      </c>
      <c r="AH363">
        <f>AND(IF(Metadata!G363="",FALSE,TRUE),exact(Metadata!G363,"host-associated"))</f>
        <v>0</v>
      </c>
      <c r="AI363">
        <f>OR(AND(IF(Metadata!H363="",FALSE,TRUE),OR(exact(Metadata!H363,"not collected"),exact(Metadata!H363,"not provided"))),AND(IF(Metadata!H363="",FALSE,ISNUMBER(VALUE(Metadata!H363))),Metadata!H363&gt;0))</f>
        <v>0</v>
      </c>
      <c r="AJ363">
        <f>AND(IF(Metadata!I363="",FALSE,TRUE),exact(Metadata!I363,"years"))</f>
        <v>0</v>
      </c>
      <c r="AK363">
        <f>IF(Metadata!J363="",FALSE,TRUE)</f>
        <v>0</v>
      </c>
      <c r="AL363">
        <f>OR(AND(IF(Metadata!K363="",FALSE,TRUE),OR(exact(Metadata!K363,"not collected"),exact(Metadata!K363,"not provided"))),AND(IF(Metadata!K363="",FALSE,ISNUMBER(VALUE(Metadata!K363))),Metadata!K363&gt;0))</f>
        <v>0</v>
      </c>
      <c r="AM363">
        <f>AND(IF(Metadata!L363="",FALSE,TRUE),exact(Metadata!L363,"cm"))</f>
        <v>0</v>
      </c>
      <c r="AN363">
        <f>IF(Metadata!M363="",FALSE,TRUE)</f>
        <v>0</v>
      </c>
      <c r="AO363">
        <f>OR(AND(IF(Metadata!N363="",FALSE,TRUE),OR(exact(Metadata!N363,"not applicable"),exact(Metadata!N363,"not collected"),exact(Metadata!N363,"not provided"))),AND(IF(Metadata!N363="",FALSE,IF(ISERROR(INT(Metadata!N363)),FALSE,INT(Metadata!N363)=Metadata!N363)),Metadata!N363&gt;0))</f>
        <v>0</v>
      </c>
      <c r="AP363">
        <f>OR(AND(IF(Metadata!O363="",FALSE,TRUE),OR(exact(Metadata!O363,"not collected"),exact(Metadata!O363,"not provided"))),AND(IF(Metadata!O363="",FALSE,ISNUMBER(VALUE(Metadata!O363))),Metadata!O363&gt;0))</f>
        <v>0</v>
      </c>
      <c r="AQ363">
        <f>AND(IF(Metadata!P363="",FALSE,TRUE),exact(Metadata!P363,"kg"))</f>
        <v>0</v>
      </c>
      <c r="AR363">
        <f>OR(AND(IF(Metadata!Q363="",FALSE,TRUE),OR(exact(Metadata!Q363,"not applicable"),exact(Metadata!Q363,"not collected"),exact(Metadata!Q363,"not provided"),exact(Metadata!Q363,"restricted access"))),IF(Metadata!Q363="",FALSE,IF(ISERROR(INT(Metadata!Q363)),FALSE,INT(Metadata!Q363)=Metadata!Q363)))</f>
        <v>0</v>
      </c>
      <c r="AS363">
        <f>AND(IF(Metadata!R363="",FALSE,TRUE),exact(Metadata!R363,"Not applicable"))</f>
        <v>0</v>
      </c>
    </row>
    <row r="364" spans="1:45">
      <c r="A364" s="4">
        <f>IF(B364=" "," ",HYPERLINK(CONCATENATE("#metadata!",ADDRESS(INDEX($X$2:$X$1001,MATCH(ROWS($V$2:V364),$V$2:$V$1001,0),0),2)),INDEX($AA$2:$AA$1001,MATCH(ROWS($V$2:V364),$V$2:$V$1001,0),0)))</f>
        <v>0</v>
      </c>
      <c r="B364" s="5">
        <f>IF(OR(INDEX($W$2:$W$1001,MATCH(ROWS($V$2:V364),$V$2:$V$1001,0),1)&gt;=100000,INDEX($AC$1005:$AS$1005,1,MATCH(COLUMNS($AC$1006:AC1006),$AC$1006:$AS$1006,0))&gt;=100000), " ",IF(INDEX($AC$2:$AS$1001,MATCH(ROWS($V$2:V364),$V$2:$V$1001,0),MATCH(COLUMNS($AC$1006:AC1006),$AC$1006:$AS$1006,0)), HYPERLINK("#",""), HYPERLINK(CONCATENATE("#Metadata!", ADDRESS(INDEX($X$2:$X$1001,MATCH(ROWS($V$2:V364),$V$2:$V$1001,0),0), INDEX($AC$1004:$AS$1004,1,MATCH(COLUMNS($AC$1006:AC1006),$AC$1006:$AS$1006,0)))),"Fix")))</f>
        <v>0</v>
      </c>
      <c r="C364" s="5">
        <f>IF(OR(INDEX($W$2:$W$1001,MATCH(ROWS($V$2:V364),$V$2:$V$1001,0),1)&gt;=100000,INDEX($AC$1005:$AS$1005,1,MATCH(COLUMNS($AC$1006:AD1006),$AC$1006:$AS$1006,0))&gt;=100000), " ",IF(INDEX($AC$2:$AS$1001,MATCH(ROWS($V$2:V364),$V$2:$V$1001,0),MATCH(COLUMNS($AC$1006:AD1006),$AC$1006:$AS$1006,0)), HYPERLINK("#",""), HYPERLINK(CONCATENATE("#Metadata!", ADDRESS(INDEX($X$2:$X$1001,MATCH(ROWS($V$2:V364),$V$2:$V$1001,0),0), INDEX($AC$1004:$AS$1004,1,MATCH(COLUMNS($AC$1006:AD1006),$AC$1006:$AS$1006,0)))),"Fix")))</f>
        <v>0</v>
      </c>
      <c r="D364" s="5">
        <f>IF(OR(INDEX($W$2:$W$1001,MATCH(ROWS($V$2:V364),$V$2:$V$1001,0),1)&gt;=100000,INDEX($AC$1005:$AS$1005,1,MATCH(COLUMNS($AC$1006:AE1006),$AC$1006:$AS$1006,0))&gt;=100000), " ",IF(INDEX($AC$2:$AS$1001,MATCH(ROWS($V$2:V364),$V$2:$V$1001,0),MATCH(COLUMNS($AC$1006:AE1006),$AC$1006:$AS$1006,0)), HYPERLINK("#",""), HYPERLINK(CONCATENATE("#Metadata!", ADDRESS(INDEX($X$2:$X$1001,MATCH(ROWS($V$2:V364),$V$2:$V$1001,0),0), INDEX($AC$1004:$AS$1004,1,MATCH(COLUMNS($AC$1006:AE1006),$AC$1006:$AS$1006,0)))),"Fix")))</f>
        <v>0</v>
      </c>
      <c r="E364" s="5">
        <f>IF(OR(INDEX($W$2:$W$1001,MATCH(ROWS($V$2:V364),$V$2:$V$1001,0),1)&gt;=100000,INDEX($AC$1005:$AS$1005,1,MATCH(COLUMNS($AC$1006:AF1006),$AC$1006:$AS$1006,0))&gt;=100000), " ",IF(INDEX($AC$2:$AS$1001,MATCH(ROWS($V$2:V364),$V$2:$V$1001,0),MATCH(COLUMNS($AC$1006:AF1006),$AC$1006:$AS$1006,0)), HYPERLINK("#",""), HYPERLINK(CONCATENATE("#Metadata!", ADDRESS(INDEX($X$2:$X$1001,MATCH(ROWS($V$2:V364),$V$2:$V$1001,0),0), INDEX($AC$1004:$AS$1004,1,MATCH(COLUMNS($AC$1006:AF1006),$AC$1006:$AS$1006,0)))),"Fix")))</f>
        <v>0</v>
      </c>
      <c r="F364" s="5">
        <f>IF(OR(INDEX($W$2:$W$1001,MATCH(ROWS($V$2:V364),$V$2:$V$1001,0),1)&gt;=100000,INDEX($AC$1005:$AS$1005,1,MATCH(COLUMNS($AC$1006:AG1006),$AC$1006:$AS$1006,0))&gt;=100000), " ",IF(INDEX($AC$2:$AS$1001,MATCH(ROWS($V$2:V364),$V$2:$V$1001,0),MATCH(COLUMNS($AC$1006:AG1006),$AC$1006:$AS$1006,0)), HYPERLINK("#",""), HYPERLINK(CONCATENATE("#Metadata!", ADDRESS(INDEX($X$2:$X$1001,MATCH(ROWS($V$2:V364),$V$2:$V$1001,0),0), INDEX($AC$1004:$AS$1004,1,MATCH(COLUMNS($AC$1006:AG1006),$AC$1006:$AS$1006,0)))),"Fix")))</f>
        <v>0</v>
      </c>
      <c r="G364" s="5">
        <f>IF(OR(INDEX($W$2:$W$1001,MATCH(ROWS($V$2:V364),$V$2:$V$1001,0),1)&gt;=100000,INDEX($AC$1005:$AS$1005,1,MATCH(COLUMNS($AC$1006:AH1006),$AC$1006:$AS$1006,0))&gt;=100000), " ",IF(INDEX($AC$2:$AS$1001,MATCH(ROWS($V$2:V364),$V$2:$V$1001,0),MATCH(COLUMNS($AC$1006:AH1006),$AC$1006:$AS$1006,0)), HYPERLINK("#",""), HYPERLINK(CONCATENATE("#Metadata!", ADDRESS(INDEX($X$2:$X$1001,MATCH(ROWS($V$2:V364),$V$2:$V$1001,0),0), INDEX($AC$1004:$AS$1004,1,MATCH(COLUMNS($AC$1006:AH1006),$AC$1006:$AS$1006,0)))),"Fix")))</f>
        <v>0</v>
      </c>
      <c r="H364" s="5">
        <f>IF(OR(INDEX($W$2:$W$1001,MATCH(ROWS($V$2:V364),$V$2:$V$1001,0),1)&gt;=100000,INDEX($AC$1005:$AS$1005,1,MATCH(COLUMNS($AC$1006:AI1006),$AC$1006:$AS$1006,0))&gt;=100000), " ",IF(INDEX($AC$2:$AS$1001,MATCH(ROWS($V$2:V364),$V$2:$V$1001,0),MATCH(COLUMNS($AC$1006:AI1006),$AC$1006:$AS$1006,0)), HYPERLINK("#",""), HYPERLINK(CONCATENATE("#Metadata!", ADDRESS(INDEX($X$2:$X$1001,MATCH(ROWS($V$2:V364),$V$2:$V$1001,0),0), INDEX($AC$1004:$AS$1004,1,MATCH(COLUMNS($AC$1006:AI1006),$AC$1006:$AS$1006,0)))),"Fix")))</f>
        <v>0</v>
      </c>
      <c r="I364" s="5">
        <f>IF(OR(INDEX($W$2:$W$1001,MATCH(ROWS($V$2:V364),$V$2:$V$1001,0),1)&gt;=100000,INDEX($AC$1005:$AS$1005,1,MATCH(COLUMNS($AC$1006:AJ1006),$AC$1006:$AS$1006,0))&gt;=100000), " ",IF(INDEX($AC$2:$AS$1001,MATCH(ROWS($V$2:V364),$V$2:$V$1001,0),MATCH(COLUMNS($AC$1006:AJ1006),$AC$1006:$AS$1006,0)), HYPERLINK("#",""), HYPERLINK(CONCATENATE("#Metadata!", ADDRESS(INDEX($X$2:$X$1001,MATCH(ROWS($V$2:V364),$V$2:$V$1001,0),0), INDEX($AC$1004:$AS$1004,1,MATCH(COLUMNS($AC$1006:AJ1006),$AC$1006:$AS$1006,0)))),"Fix")))</f>
        <v>0</v>
      </c>
      <c r="J364" s="5">
        <f>IF(OR(INDEX($W$2:$W$1001,MATCH(ROWS($V$2:V364),$V$2:$V$1001,0),1)&gt;=100000,INDEX($AC$1005:$AS$1005,1,MATCH(COLUMNS($AC$1006:AK1006),$AC$1006:$AS$1006,0))&gt;=100000), " ",IF(INDEX($AC$2:$AS$1001,MATCH(ROWS($V$2:V364),$V$2:$V$1001,0),MATCH(COLUMNS($AC$1006:AK1006),$AC$1006:$AS$1006,0)), HYPERLINK("#",""), HYPERLINK(CONCATENATE("#Metadata!", ADDRESS(INDEX($X$2:$X$1001,MATCH(ROWS($V$2:V364),$V$2:$V$1001,0),0), INDEX($AC$1004:$AS$1004,1,MATCH(COLUMNS($AC$1006:AK1006),$AC$1006:$AS$1006,0)))),"Fix")))</f>
        <v>0</v>
      </c>
      <c r="K364" s="5">
        <f>IF(OR(INDEX($W$2:$W$1001,MATCH(ROWS($V$2:V364),$V$2:$V$1001,0),1)&gt;=100000,INDEX($AC$1005:$AS$1005,1,MATCH(COLUMNS($AC$1006:AL1006),$AC$1006:$AS$1006,0))&gt;=100000), " ",IF(INDEX($AC$2:$AS$1001,MATCH(ROWS($V$2:V364),$V$2:$V$1001,0),MATCH(COLUMNS($AC$1006:AL1006),$AC$1006:$AS$1006,0)), HYPERLINK("#",""), HYPERLINK(CONCATENATE("#Metadata!", ADDRESS(INDEX($X$2:$X$1001,MATCH(ROWS($V$2:V364),$V$2:$V$1001,0),0), INDEX($AC$1004:$AS$1004,1,MATCH(COLUMNS($AC$1006:AL1006),$AC$1006:$AS$1006,0)))),"Fix")))</f>
        <v>0</v>
      </c>
      <c r="L364" s="5">
        <f>IF(OR(INDEX($W$2:$W$1001,MATCH(ROWS($V$2:V364),$V$2:$V$1001,0),1)&gt;=100000,INDEX($AC$1005:$AS$1005,1,MATCH(COLUMNS($AC$1006:AM1006),$AC$1006:$AS$1006,0))&gt;=100000), " ",IF(INDEX($AC$2:$AS$1001,MATCH(ROWS($V$2:V364),$V$2:$V$1001,0),MATCH(COLUMNS($AC$1006:AM1006),$AC$1006:$AS$1006,0)), HYPERLINK("#",""), HYPERLINK(CONCATENATE("#Metadata!", ADDRESS(INDEX($X$2:$X$1001,MATCH(ROWS($V$2:V364),$V$2:$V$1001,0),0), INDEX($AC$1004:$AS$1004,1,MATCH(COLUMNS($AC$1006:AM1006),$AC$1006:$AS$1006,0)))),"Fix")))</f>
        <v>0</v>
      </c>
      <c r="M364" s="5">
        <f>IF(OR(INDEX($W$2:$W$1001,MATCH(ROWS($V$2:V364),$V$2:$V$1001,0),1)&gt;=100000,INDEX($AC$1005:$AS$1005,1,MATCH(COLUMNS($AC$1006:AN1006),$AC$1006:$AS$1006,0))&gt;=100000), " ",IF(INDEX($AC$2:$AS$1001,MATCH(ROWS($V$2:V364),$V$2:$V$1001,0),MATCH(COLUMNS($AC$1006:AN1006),$AC$1006:$AS$1006,0)), HYPERLINK("#",""), HYPERLINK(CONCATENATE("#Metadata!", ADDRESS(INDEX($X$2:$X$1001,MATCH(ROWS($V$2:V364),$V$2:$V$1001,0),0), INDEX($AC$1004:$AS$1004,1,MATCH(COLUMNS($AC$1006:AN1006),$AC$1006:$AS$1006,0)))),"Fix")))</f>
        <v>0</v>
      </c>
      <c r="N364" s="5">
        <f>IF(OR(INDEX($W$2:$W$1001,MATCH(ROWS($V$2:V364),$V$2:$V$1001,0),1)&gt;=100000,INDEX($AC$1005:$AS$1005,1,MATCH(COLUMNS($AC$1006:AO1006),$AC$1006:$AS$1006,0))&gt;=100000), " ",IF(INDEX($AC$2:$AS$1001,MATCH(ROWS($V$2:V364),$V$2:$V$1001,0),MATCH(COLUMNS($AC$1006:AO1006),$AC$1006:$AS$1006,0)), HYPERLINK("#",""), HYPERLINK(CONCATENATE("#Metadata!", ADDRESS(INDEX($X$2:$X$1001,MATCH(ROWS($V$2:V364),$V$2:$V$1001,0),0), INDEX($AC$1004:$AS$1004,1,MATCH(COLUMNS($AC$1006:AO1006),$AC$1006:$AS$1006,0)))),"Fix")))</f>
        <v>0</v>
      </c>
      <c r="O364" s="5">
        <f>IF(OR(INDEX($W$2:$W$1001,MATCH(ROWS($V$2:V364),$V$2:$V$1001,0),1)&gt;=100000,INDEX($AC$1005:$AS$1005,1,MATCH(COLUMNS($AC$1006:AP1006),$AC$1006:$AS$1006,0))&gt;=100000), " ",IF(INDEX($AC$2:$AS$1001,MATCH(ROWS($V$2:V364),$V$2:$V$1001,0),MATCH(COLUMNS($AC$1006:AP1006),$AC$1006:$AS$1006,0)), HYPERLINK("#",""), HYPERLINK(CONCATENATE("#Metadata!", ADDRESS(INDEX($X$2:$X$1001,MATCH(ROWS($V$2:V364),$V$2:$V$1001,0),0), INDEX($AC$1004:$AS$1004,1,MATCH(COLUMNS($AC$1006:AP1006),$AC$1006:$AS$1006,0)))),"Fix")))</f>
        <v>0</v>
      </c>
      <c r="P364" s="5">
        <f>IF(OR(INDEX($W$2:$W$1001,MATCH(ROWS($V$2:V364),$V$2:$V$1001,0),1)&gt;=100000,INDEX($AC$1005:$AS$1005,1,MATCH(COLUMNS($AC$1006:AQ1006),$AC$1006:$AS$1006,0))&gt;=100000), " ",IF(INDEX($AC$2:$AS$1001,MATCH(ROWS($V$2:V364),$V$2:$V$1001,0),MATCH(COLUMNS($AC$1006:AQ1006),$AC$1006:$AS$1006,0)), HYPERLINK("#",""), HYPERLINK(CONCATENATE("#Metadata!", ADDRESS(INDEX($X$2:$X$1001,MATCH(ROWS($V$2:V364),$V$2:$V$1001,0),0), INDEX($AC$1004:$AS$1004,1,MATCH(COLUMNS($AC$1006:AQ1006),$AC$1006:$AS$1006,0)))),"Fix")))</f>
        <v>0</v>
      </c>
      <c r="Q364" s="5">
        <f>IF(OR(INDEX($W$2:$W$1001,MATCH(ROWS($V$2:V364),$V$2:$V$1001,0),1)&gt;=100000,INDEX($AC$1005:$AS$1005,1,MATCH(COLUMNS($AC$1006:AR1006),$AC$1006:$AS$1006,0))&gt;=100000), " ",IF(INDEX($AC$2:$AS$1001,MATCH(ROWS($V$2:V364),$V$2:$V$1001,0),MATCH(COLUMNS($AC$1006:AR1006),$AC$1006:$AS$1006,0)), HYPERLINK("#",""), HYPERLINK(CONCATENATE("#Metadata!", ADDRESS(INDEX($X$2:$X$1001,MATCH(ROWS($V$2:V364),$V$2:$V$1001,0),0), INDEX($AC$1004:$AS$1004,1,MATCH(COLUMNS($AC$1006:AR1006),$AC$1006:$AS$1006,0)))),"Fix")))</f>
        <v>0</v>
      </c>
      <c r="R364" s="5">
        <f>IF(OR(INDEX($W$2:$W$1001,MATCH(ROWS($V$2:V364),$V$2:$V$1001,0),1)&gt;=100000,INDEX($AC$1005:$AS$1005,1,MATCH(COLUMNS($AC$1006:AS1006),$AC$1006:$AS$1006,0))&gt;=100000), " ",IF(INDEX($AC$2:$AS$1001,MATCH(ROWS($V$2:V364),$V$2:$V$1001,0),MATCH(COLUMNS($AC$1006:AS1006),$AC$1006:$AS$1006,0)), HYPERLINK("#",""), HYPERLINK(CONCATENATE("#Metadata!", ADDRESS(INDEX($X$2:$X$1001,MATCH(ROWS($V$2:V364),$V$2:$V$1001,0),0), INDEX($AC$1004:$AS$1004,1,MATCH(COLUMNS($AC$1006:AS1006),$AC$1006:$AS$1006,0)))),"Fix")))</f>
        <v>0</v>
      </c>
      <c r="V364">
        <v>0</v>
      </c>
      <c r="W364">
        <v>0</v>
      </c>
      <c r="X364">
        <v>0</v>
      </c>
      <c r="Y364">
        <f>IF(Z364,TRUE,AND(AC364:AS364))</f>
        <v>0</v>
      </c>
      <c r="Z364">
        <f>COUNTBLANK(Metadata!B364:R364)=COLUMNS(Metadata!B364:R364)</f>
        <v>0</v>
      </c>
      <c r="AA364">
        <v>0</v>
      </c>
      <c r="AC364">
        <f>AND(IF(Metadata!B364="",FALSE,TRUE),COUNTIF(Metadata!B:B, Metadata!B364) = 1,NOT(ISERROR(SUMPRODUCT(SEARCH(MID(Metadata!B364,ROW(INDIRECT("1:"&amp;LEN(Metadata!B364))), 1),"0123456789abcdefghijklmnopqrstuvwxyzABCDEFGHIJKLMNOPQRSTUVWXYZ.")))))</f>
        <v>0</v>
      </c>
      <c r="AD364">
        <f>AND(IF(Metadata!C364="",FALSE,TRUE),exact(Metadata!C364,"Host-associated"))</f>
        <v>0</v>
      </c>
      <c r="AE364">
        <f>AND(IF(Metadata!D364="",FALSE,TRUE),OR(exact(Metadata!D364,"Animal"),exact(Metadata!D364,"Fungus"),exact(Metadata!D364,"Plant")))</f>
        <v>0</v>
      </c>
      <c r="AF364">
        <f>AND(IF(Metadata!E364="",FALSE,TRUE),OR(exact(Metadata!E364,"Plant secretion"),exact(Metadata!E364,"Plant rhizosphere"),exact(Metadata!E364,"Plant surface"),exact(Metadata!E364,"Plant corpus"),exact(Metadata!E364,"Fungus surface"),exact(Metadata!E364,"Fungus corpus"),exact(Metadata!E364,"Animal surface"),exact(Metadata!E364,"Animal proximal gut"),exact(Metadata!E364,"Animal corpus"),exact(Metadata!E364,"Animal distal gut"),exact(Metadata!E364,"Animal secretion")))</f>
        <v>0</v>
      </c>
      <c r="AG364">
        <f>OR(AND(IF(Metadata!F364="",FALSE,TRUE),OR(exact(Metadata!F364,"not collected"),exact(Metadata!F364,"not provided"),exact(Metadata!F364,"restricted access"))),AND(IF(Metadata!F364="",FALSE,TRUE),OR(exact(Metadata!F364,"organism-associated habitat"),exact(Metadata!F364,"plant-associated habitat"),exact(Metadata!F364,"animal-associated habitat"),exact(Metadata!F364,"insecta-associated habitat"),exact(Metadata!F364,"mammalia-associated habitat"),exact(Metadata!F364,"human-associated habitat"),exact(Metadata!F364,"livestock-associated habitat"))))</f>
        <v>0</v>
      </c>
      <c r="AH364">
        <f>AND(IF(Metadata!G364="",FALSE,TRUE),exact(Metadata!G364,"host-associated"))</f>
        <v>0</v>
      </c>
      <c r="AI364">
        <f>OR(AND(IF(Metadata!H364="",FALSE,TRUE),OR(exact(Metadata!H364,"not collected"),exact(Metadata!H364,"not provided"))),AND(IF(Metadata!H364="",FALSE,ISNUMBER(VALUE(Metadata!H364))),Metadata!H364&gt;0))</f>
        <v>0</v>
      </c>
      <c r="AJ364">
        <f>AND(IF(Metadata!I364="",FALSE,TRUE),exact(Metadata!I364,"years"))</f>
        <v>0</v>
      </c>
      <c r="AK364">
        <f>IF(Metadata!J364="",FALSE,TRUE)</f>
        <v>0</v>
      </c>
      <c r="AL364">
        <f>OR(AND(IF(Metadata!K364="",FALSE,TRUE),OR(exact(Metadata!K364,"not collected"),exact(Metadata!K364,"not provided"))),AND(IF(Metadata!K364="",FALSE,ISNUMBER(VALUE(Metadata!K364))),Metadata!K364&gt;0))</f>
        <v>0</v>
      </c>
      <c r="AM364">
        <f>AND(IF(Metadata!L364="",FALSE,TRUE),exact(Metadata!L364,"cm"))</f>
        <v>0</v>
      </c>
      <c r="AN364">
        <f>IF(Metadata!M364="",FALSE,TRUE)</f>
        <v>0</v>
      </c>
      <c r="AO364">
        <f>OR(AND(IF(Metadata!N364="",FALSE,TRUE),OR(exact(Metadata!N364,"not applicable"),exact(Metadata!N364,"not collected"),exact(Metadata!N364,"not provided"))),AND(IF(Metadata!N364="",FALSE,IF(ISERROR(INT(Metadata!N364)),FALSE,INT(Metadata!N364)=Metadata!N364)),Metadata!N364&gt;0))</f>
        <v>0</v>
      </c>
      <c r="AP364">
        <f>OR(AND(IF(Metadata!O364="",FALSE,TRUE),OR(exact(Metadata!O364,"not collected"),exact(Metadata!O364,"not provided"))),AND(IF(Metadata!O364="",FALSE,ISNUMBER(VALUE(Metadata!O364))),Metadata!O364&gt;0))</f>
        <v>0</v>
      </c>
      <c r="AQ364">
        <f>AND(IF(Metadata!P364="",FALSE,TRUE),exact(Metadata!P364,"kg"))</f>
        <v>0</v>
      </c>
      <c r="AR364">
        <f>OR(AND(IF(Metadata!Q364="",FALSE,TRUE),OR(exact(Metadata!Q364,"not applicable"),exact(Metadata!Q364,"not collected"),exact(Metadata!Q364,"not provided"),exact(Metadata!Q364,"restricted access"))),IF(Metadata!Q364="",FALSE,IF(ISERROR(INT(Metadata!Q364)),FALSE,INT(Metadata!Q364)=Metadata!Q364)))</f>
        <v>0</v>
      </c>
      <c r="AS364">
        <f>AND(IF(Metadata!R364="",FALSE,TRUE),exact(Metadata!R364,"Not applicable"))</f>
        <v>0</v>
      </c>
    </row>
    <row r="365" spans="1:45">
      <c r="A365" s="4">
        <f>IF(B365=" "," ",HYPERLINK(CONCATENATE("#metadata!",ADDRESS(INDEX($X$2:$X$1001,MATCH(ROWS($V$2:V365),$V$2:$V$1001,0),0),2)),INDEX($AA$2:$AA$1001,MATCH(ROWS($V$2:V365),$V$2:$V$1001,0),0)))</f>
        <v>0</v>
      </c>
      <c r="B365" s="5">
        <f>IF(OR(INDEX($W$2:$W$1001,MATCH(ROWS($V$2:V365),$V$2:$V$1001,0),1)&gt;=100000,INDEX($AC$1005:$AS$1005,1,MATCH(COLUMNS($AC$1006:AC1006),$AC$1006:$AS$1006,0))&gt;=100000), " ",IF(INDEX($AC$2:$AS$1001,MATCH(ROWS($V$2:V365),$V$2:$V$1001,0),MATCH(COLUMNS($AC$1006:AC1006),$AC$1006:$AS$1006,0)), HYPERLINK("#",""), HYPERLINK(CONCATENATE("#Metadata!", ADDRESS(INDEX($X$2:$X$1001,MATCH(ROWS($V$2:V365),$V$2:$V$1001,0),0), INDEX($AC$1004:$AS$1004,1,MATCH(COLUMNS($AC$1006:AC1006),$AC$1006:$AS$1006,0)))),"Fix")))</f>
        <v>0</v>
      </c>
      <c r="C365" s="5">
        <f>IF(OR(INDEX($W$2:$W$1001,MATCH(ROWS($V$2:V365),$V$2:$V$1001,0),1)&gt;=100000,INDEX($AC$1005:$AS$1005,1,MATCH(COLUMNS($AC$1006:AD1006),$AC$1006:$AS$1006,0))&gt;=100000), " ",IF(INDEX($AC$2:$AS$1001,MATCH(ROWS($V$2:V365),$V$2:$V$1001,0),MATCH(COLUMNS($AC$1006:AD1006),$AC$1006:$AS$1006,0)), HYPERLINK("#",""), HYPERLINK(CONCATENATE("#Metadata!", ADDRESS(INDEX($X$2:$X$1001,MATCH(ROWS($V$2:V365),$V$2:$V$1001,0),0), INDEX($AC$1004:$AS$1004,1,MATCH(COLUMNS($AC$1006:AD1006),$AC$1006:$AS$1006,0)))),"Fix")))</f>
        <v>0</v>
      </c>
      <c r="D365" s="5">
        <f>IF(OR(INDEX($W$2:$W$1001,MATCH(ROWS($V$2:V365),$V$2:$V$1001,0),1)&gt;=100000,INDEX($AC$1005:$AS$1005,1,MATCH(COLUMNS($AC$1006:AE1006),$AC$1006:$AS$1006,0))&gt;=100000), " ",IF(INDEX($AC$2:$AS$1001,MATCH(ROWS($V$2:V365),$V$2:$V$1001,0),MATCH(COLUMNS($AC$1006:AE1006),$AC$1006:$AS$1006,0)), HYPERLINK("#",""), HYPERLINK(CONCATENATE("#Metadata!", ADDRESS(INDEX($X$2:$X$1001,MATCH(ROWS($V$2:V365),$V$2:$V$1001,0),0), INDEX($AC$1004:$AS$1004,1,MATCH(COLUMNS($AC$1006:AE1006),$AC$1006:$AS$1006,0)))),"Fix")))</f>
        <v>0</v>
      </c>
      <c r="E365" s="5">
        <f>IF(OR(INDEX($W$2:$W$1001,MATCH(ROWS($V$2:V365),$V$2:$V$1001,0),1)&gt;=100000,INDEX($AC$1005:$AS$1005,1,MATCH(COLUMNS($AC$1006:AF1006),$AC$1006:$AS$1006,0))&gt;=100000), " ",IF(INDEX($AC$2:$AS$1001,MATCH(ROWS($V$2:V365),$V$2:$V$1001,0),MATCH(COLUMNS($AC$1006:AF1006),$AC$1006:$AS$1006,0)), HYPERLINK("#",""), HYPERLINK(CONCATENATE("#Metadata!", ADDRESS(INDEX($X$2:$X$1001,MATCH(ROWS($V$2:V365),$V$2:$V$1001,0),0), INDEX($AC$1004:$AS$1004,1,MATCH(COLUMNS($AC$1006:AF1006),$AC$1006:$AS$1006,0)))),"Fix")))</f>
        <v>0</v>
      </c>
      <c r="F365" s="5">
        <f>IF(OR(INDEX($W$2:$W$1001,MATCH(ROWS($V$2:V365),$V$2:$V$1001,0),1)&gt;=100000,INDEX($AC$1005:$AS$1005,1,MATCH(COLUMNS($AC$1006:AG1006),$AC$1006:$AS$1006,0))&gt;=100000), " ",IF(INDEX($AC$2:$AS$1001,MATCH(ROWS($V$2:V365),$V$2:$V$1001,0),MATCH(COLUMNS($AC$1006:AG1006),$AC$1006:$AS$1006,0)), HYPERLINK("#",""), HYPERLINK(CONCATENATE("#Metadata!", ADDRESS(INDEX($X$2:$X$1001,MATCH(ROWS($V$2:V365),$V$2:$V$1001,0),0), INDEX($AC$1004:$AS$1004,1,MATCH(COLUMNS($AC$1006:AG1006),$AC$1006:$AS$1006,0)))),"Fix")))</f>
        <v>0</v>
      </c>
      <c r="G365" s="5">
        <f>IF(OR(INDEX($W$2:$W$1001,MATCH(ROWS($V$2:V365),$V$2:$V$1001,0),1)&gt;=100000,INDEX($AC$1005:$AS$1005,1,MATCH(COLUMNS($AC$1006:AH1006),$AC$1006:$AS$1006,0))&gt;=100000), " ",IF(INDEX($AC$2:$AS$1001,MATCH(ROWS($V$2:V365),$V$2:$V$1001,0),MATCH(COLUMNS($AC$1006:AH1006),$AC$1006:$AS$1006,0)), HYPERLINK("#",""), HYPERLINK(CONCATENATE("#Metadata!", ADDRESS(INDEX($X$2:$X$1001,MATCH(ROWS($V$2:V365),$V$2:$V$1001,0),0), INDEX($AC$1004:$AS$1004,1,MATCH(COLUMNS($AC$1006:AH1006),$AC$1006:$AS$1006,0)))),"Fix")))</f>
        <v>0</v>
      </c>
      <c r="H365" s="5">
        <f>IF(OR(INDEX($W$2:$W$1001,MATCH(ROWS($V$2:V365),$V$2:$V$1001,0),1)&gt;=100000,INDEX($AC$1005:$AS$1005,1,MATCH(COLUMNS($AC$1006:AI1006),$AC$1006:$AS$1006,0))&gt;=100000), " ",IF(INDEX($AC$2:$AS$1001,MATCH(ROWS($V$2:V365),$V$2:$V$1001,0),MATCH(COLUMNS($AC$1006:AI1006),$AC$1006:$AS$1006,0)), HYPERLINK("#",""), HYPERLINK(CONCATENATE("#Metadata!", ADDRESS(INDEX($X$2:$X$1001,MATCH(ROWS($V$2:V365),$V$2:$V$1001,0),0), INDEX($AC$1004:$AS$1004,1,MATCH(COLUMNS($AC$1006:AI1006),$AC$1006:$AS$1006,0)))),"Fix")))</f>
        <v>0</v>
      </c>
      <c r="I365" s="5">
        <f>IF(OR(INDEX($W$2:$W$1001,MATCH(ROWS($V$2:V365),$V$2:$V$1001,0),1)&gt;=100000,INDEX($AC$1005:$AS$1005,1,MATCH(COLUMNS($AC$1006:AJ1006),$AC$1006:$AS$1006,0))&gt;=100000), " ",IF(INDEX($AC$2:$AS$1001,MATCH(ROWS($V$2:V365),$V$2:$V$1001,0),MATCH(COLUMNS($AC$1006:AJ1006),$AC$1006:$AS$1006,0)), HYPERLINK("#",""), HYPERLINK(CONCATENATE("#Metadata!", ADDRESS(INDEX($X$2:$X$1001,MATCH(ROWS($V$2:V365),$V$2:$V$1001,0),0), INDEX($AC$1004:$AS$1004,1,MATCH(COLUMNS($AC$1006:AJ1006),$AC$1006:$AS$1006,0)))),"Fix")))</f>
        <v>0</v>
      </c>
      <c r="J365" s="5">
        <f>IF(OR(INDEX($W$2:$W$1001,MATCH(ROWS($V$2:V365),$V$2:$V$1001,0),1)&gt;=100000,INDEX($AC$1005:$AS$1005,1,MATCH(COLUMNS($AC$1006:AK1006),$AC$1006:$AS$1006,0))&gt;=100000), " ",IF(INDEX($AC$2:$AS$1001,MATCH(ROWS($V$2:V365),$V$2:$V$1001,0),MATCH(COLUMNS($AC$1006:AK1006),$AC$1006:$AS$1006,0)), HYPERLINK("#",""), HYPERLINK(CONCATENATE("#Metadata!", ADDRESS(INDEX($X$2:$X$1001,MATCH(ROWS($V$2:V365),$V$2:$V$1001,0),0), INDEX($AC$1004:$AS$1004,1,MATCH(COLUMNS($AC$1006:AK1006),$AC$1006:$AS$1006,0)))),"Fix")))</f>
        <v>0</v>
      </c>
      <c r="K365" s="5">
        <f>IF(OR(INDEX($W$2:$W$1001,MATCH(ROWS($V$2:V365),$V$2:$V$1001,0),1)&gt;=100000,INDEX($AC$1005:$AS$1005,1,MATCH(COLUMNS($AC$1006:AL1006),$AC$1006:$AS$1006,0))&gt;=100000), " ",IF(INDEX($AC$2:$AS$1001,MATCH(ROWS($V$2:V365),$V$2:$V$1001,0),MATCH(COLUMNS($AC$1006:AL1006),$AC$1006:$AS$1006,0)), HYPERLINK("#",""), HYPERLINK(CONCATENATE("#Metadata!", ADDRESS(INDEX($X$2:$X$1001,MATCH(ROWS($V$2:V365),$V$2:$V$1001,0),0), INDEX($AC$1004:$AS$1004,1,MATCH(COLUMNS($AC$1006:AL1006),$AC$1006:$AS$1006,0)))),"Fix")))</f>
        <v>0</v>
      </c>
      <c r="L365" s="5">
        <f>IF(OR(INDEX($W$2:$W$1001,MATCH(ROWS($V$2:V365),$V$2:$V$1001,0),1)&gt;=100000,INDEX($AC$1005:$AS$1005,1,MATCH(COLUMNS($AC$1006:AM1006),$AC$1006:$AS$1006,0))&gt;=100000), " ",IF(INDEX($AC$2:$AS$1001,MATCH(ROWS($V$2:V365),$V$2:$V$1001,0),MATCH(COLUMNS($AC$1006:AM1006),$AC$1006:$AS$1006,0)), HYPERLINK("#",""), HYPERLINK(CONCATENATE("#Metadata!", ADDRESS(INDEX($X$2:$X$1001,MATCH(ROWS($V$2:V365),$V$2:$V$1001,0),0), INDEX($AC$1004:$AS$1004,1,MATCH(COLUMNS($AC$1006:AM1006),$AC$1006:$AS$1006,0)))),"Fix")))</f>
        <v>0</v>
      </c>
      <c r="M365" s="5">
        <f>IF(OR(INDEX($W$2:$W$1001,MATCH(ROWS($V$2:V365),$V$2:$V$1001,0),1)&gt;=100000,INDEX($AC$1005:$AS$1005,1,MATCH(COLUMNS($AC$1006:AN1006),$AC$1006:$AS$1006,0))&gt;=100000), " ",IF(INDEX($AC$2:$AS$1001,MATCH(ROWS($V$2:V365),$V$2:$V$1001,0),MATCH(COLUMNS($AC$1006:AN1006),$AC$1006:$AS$1006,0)), HYPERLINK("#",""), HYPERLINK(CONCATENATE("#Metadata!", ADDRESS(INDEX($X$2:$X$1001,MATCH(ROWS($V$2:V365),$V$2:$V$1001,0),0), INDEX($AC$1004:$AS$1004,1,MATCH(COLUMNS($AC$1006:AN1006),$AC$1006:$AS$1006,0)))),"Fix")))</f>
        <v>0</v>
      </c>
      <c r="N365" s="5">
        <f>IF(OR(INDEX($W$2:$W$1001,MATCH(ROWS($V$2:V365),$V$2:$V$1001,0),1)&gt;=100000,INDEX($AC$1005:$AS$1005,1,MATCH(COLUMNS($AC$1006:AO1006),$AC$1006:$AS$1006,0))&gt;=100000), " ",IF(INDEX($AC$2:$AS$1001,MATCH(ROWS($V$2:V365),$V$2:$V$1001,0),MATCH(COLUMNS($AC$1006:AO1006),$AC$1006:$AS$1006,0)), HYPERLINK("#",""), HYPERLINK(CONCATENATE("#Metadata!", ADDRESS(INDEX($X$2:$X$1001,MATCH(ROWS($V$2:V365),$V$2:$V$1001,0),0), INDEX($AC$1004:$AS$1004,1,MATCH(COLUMNS($AC$1006:AO1006),$AC$1006:$AS$1006,0)))),"Fix")))</f>
        <v>0</v>
      </c>
      <c r="O365" s="5">
        <f>IF(OR(INDEX($W$2:$W$1001,MATCH(ROWS($V$2:V365),$V$2:$V$1001,0),1)&gt;=100000,INDEX($AC$1005:$AS$1005,1,MATCH(COLUMNS($AC$1006:AP1006),$AC$1006:$AS$1006,0))&gt;=100000), " ",IF(INDEX($AC$2:$AS$1001,MATCH(ROWS($V$2:V365),$V$2:$V$1001,0),MATCH(COLUMNS($AC$1006:AP1006),$AC$1006:$AS$1006,0)), HYPERLINK("#",""), HYPERLINK(CONCATENATE("#Metadata!", ADDRESS(INDEX($X$2:$X$1001,MATCH(ROWS($V$2:V365),$V$2:$V$1001,0),0), INDEX($AC$1004:$AS$1004,1,MATCH(COLUMNS($AC$1006:AP1006),$AC$1006:$AS$1006,0)))),"Fix")))</f>
        <v>0</v>
      </c>
      <c r="P365" s="5">
        <f>IF(OR(INDEX($W$2:$W$1001,MATCH(ROWS($V$2:V365),$V$2:$V$1001,0),1)&gt;=100000,INDEX($AC$1005:$AS$1005,1,MATCH(COLUMNS($AC$1006:AQ1006),$AC$1006:$AS$1006,0))&gt;=100000), " ",IF(INDEX($AC$2:$AS$1001,MATCH(ROWS($V$2:V365),$V$2:$V$1001,0),MATCH(COLUMNS($AC$1006:AQ1006),$AC$1006:$AS$1006,0)), HYPERLINK("#",""), HYPERLINK(CONCATENATE("#Metadata!", ADDRESS(INDEX($X$2:$X$1001,MATCH(ROWS($V$2:V365),$V$2:$V$1001,0),0), INDEX($AC$1004:$AS$1004,1,MATCH(COLUMNS($AC$1006:AQ1006),$AC$1006:$AS$1006,0)))),"Fix")))</f>
        <v>0</v>
      </c>
      <c r="Q365" s="5">
        <f>IF(OR(INDEX($W$2:$W$1001,MATCH(ROWS($V$2:V365),$V$2:$V$1001,0),1)&gt;=100000,INDEX($AC$1005:$AS$1005,1,MATCH(COLUMNS($AC$1006:AR1006),$AC$1006:$AS$1006,0))&gt;=100000), " ",IF(INDEX($AC$2:$AS$1001,MATCH(ROWS($V$2:V365),$V$2:$V$1001,0),MATCH(COLUMNS($AC$1006:AR1006),$AC$1006:$AS$1006,0)), HYPERLINK("#",""), HYPERLINK(CONCATENATE("#Metadata!", ADDRESS(INDEX($X$2:$X$1001,MATCH(ROWS($V$2:V365),$V$2:$V$1001,0),0), INDEX($AC$1004:$AS$1004,1,MATCH(COLUMNS($AC$1006:AR1006),$AC$1006:$AS$1006,0)))),"Fix")))</f>
        <v>0</v>
      </c>
      <c r="R365" s="5">
        <f>IF(OR(INDEX($W$2:$W$1001,MATCH(ROWS($V$2:V365),$V$2:$V$1001,0),1)&gt;=100000,INDEX($AC$1005:$AS$1005,1,MATCH(COLUMNS($AC$1006:AS1006),$AC$1006:$AS$1006,0))&gt;=100000), " ",IF(INDEX($AC$2:$AS$1001,MATCH(ROWS($V$2:V365),$V$2:$V$1001,0),MATCH(COLUMNS($AC$1006:AS1006),$AC$1006:$AS$1006,0)), HYPERLINK("#",""), HYPERLINK(CONCATENATE("#Metadata!", ADDRESS(INDEX($X$2:$X$1001,MATCH(ROWS($V$2:V365),$V$2:$V$1001,0),0), INDEX($AC$1004:$AS$1004,1,MATCH(COLUMNS($AC$1006:AS1006),$AC$1006:$AS$1006,0)))),"Fix")))</f>
        <v>0</v>
      </c>
      <c r="V365">
        <v>0</v>
      </c>
      <c r="W365">
        <v>0</v>
      </c>
      <c r="X365">
        <v>0</v>
      </c>
      <c r="Y365">
        <f>IF(Z365,TRUE,AND(AC365:AS365))</f>
        <v>0</v>
      </c>
      <c r="Z365">
        <f>COUNTBLANK(Metadata!B365:R365)=COLUMNS(Metadata!B365:R365)</f>
        <v>0</v>
      </c>
      <c r="AA365">
        <v>0</v>
      </c>
      <c r="AC365">
        <f>AND(IF(Metadata!B365="",FALSE,TRUE),COUNTIF(Metadata!B:B, Metadata!B365) = 1,NOT(ISERROR(SUMPRODUCT(SEARCH(MID(Metadata!B365,ROW(INDIRECT("1:"&amp;LEN(Metadata!B365))), 1),"0123456789abcdefghijklmnopqrstuvwxyzABCDEFGHIJKLMNOPQRSTUVWXYZ.")))))</f>
        <v>0</v>
      </c>
      <c r="AD365">
        <f>AND(IF(Metadata!C365="",FALSE,TRUE),exact(Metadata!C365,"Host-associated"))</f>
        <v>0</v>
      </c>
      <c r="AE365">
        <f>AND(IF(Metadata!D365="",FALSE,TRUE),OR(exact(Metadata!D365,"Animal"),exact(Metadata!D365,"Fungus"),exact(Metadata!D365,"Plant")))</f>
        <v>0</v>
      </c>
      <c r="AF365">
        <f>AND(IF(Metadata!E365="",FALSE,TRUE),OR(exact(Metadata!E365,"Plant secretion"),exact(Metadata!E365,"Plant rhizosphere"),exact(Metadata!E365,"Plant surface"),exact(Metadata!E365,"Plant corpus"),exact(Metadata!E365,"Fungus surface"),exact(Metadata!E365,"Fungus corpus"),exact(Metadata!E365,"Animal surface"),exact(Metadata!E365,"Animal proximal gut"),exact(Metadata!E365,"Animal corpus"),exact(Metadata!E365,"Animal distal gut"),exact(Metadata!E365,"Animal secretion")))</f>
        <v>0</v>
      </c>
      <c r="AG365">
        <f>OR(AND(IF(Metadata!F365="",FALSE,TRUE),OR(exact(Metadata!F365,"not collected"),exact(Metadata!F365,"not provided"),exact(Metadata!F365,"restricted access"))),AND(IF(Metadata!F365="",FALSE,TRUE),OR(exact(Metadata!F365,"organism-associated habitat"),exact(Metadata!F365,"plant-associated habitat"),exact(Metadata!F365,"animal-associated habitat"),exact(Metadata!F365,"insecta-associated habitat"),exact(Metadata!F365,"mammalia-associated habitat"),exact(Metadata!F365,"human-associated habitat"),exact(Metadata!F365,"livestock-associated habitat"))))</f>
        <v>0</v>
      </c>
      <c r="AH365">
        <f>AND(IF(Metadata!G365="",FALSE,TRUE),exact(Metadata!G365,"host-associated"))</f>
        <v>0</v>
      </c>
      <c r="AI365">
        <f>OR(AND(IF(Metadata!H365="",FALSE,TRUE),OR(exact(Metadata!H365,"not collected"),exact(Metadata!H365,"not provided"))),AND(IF(Metadata!H365="",FALSE,ISNUMBER(VALUE(Metadata!H365))),Metadata!H365&gt;0))</f>
        <v>0</v>
      </c>
      <c r="AJ365">
        <f>AND(IF(Metadata!I365="",FALSE,TRUE),exact(Metadata!I365,"years"))</f>
        <v>0</v>
      </c>
      <c r="AK365">
        <f>IF(Metadata!J365="",FALSE,TRUE)</f>
        <v>0</v>
      </c>
      <c r="AL365">
        <f>OR(AND(IF(Metadata!K365="",FALSE,TRUE),OR(exact(Metadata!K365,"not collected"),exact(Metadata!K365,"not provided"))),AND(IF(Metadata!K365="",FALSE,ISNUMBER(VALUE(Metadata!K365))),Metadata!K365&gt;0))</f>
        <v>0</v>
      </c>
      <c r="AM365">
        <f>AND(IF(Metadata!L365="",FALSE,TRUE),exact(Metadata!L365,"cm"))</f>
        <v>0</v>
      </c>
      <c r="AN365">
        <f>IF(Metadata!M365="",FALSE,TRUE)</f>
        <v>0</v>
      </c>
      <c r="AO365">
        <f>OR(AND(IF(Metadata!N365="",FALSE,TRUE),OR(exact(Metadata!N365,"not applicable"),exact(Metadata!N365,"not collected"),exact(Metadata!N365,"not provided"))),AND(IF(Metadata!N365="",FALSE,IF(ISERROR(INT(Metadata!N365)),FALSE,INT(Metadata!N365)=Metadata!N365)),Metadata!N365&gt;0))</f>
        <v>0</v>
      </c>
      <c r="AP365">
        <f>OR(AND(IF(Metadata!O365="",FALSE,TRUE),OR(exact(Metadata!O365,"not collected"),exact(Metadata!O365,"not provided"))),AND(IF(Metadata!O365="",FALSE,ISNUMBER(VALUE(Metadata!O365))),Metadata!O365&gt;0))</f>
        <v>0</v>
      </c>
      <c r="AQ365">
        <f>AND(IF(Metadata!P365="",FALSE,TRUE),exact(Metadata!P365,"kg"))</f>
        <v>0</v>
      </c>
      <c r="AR365">
        <f>OR(AND(IF(Metadata!Q365="",FALSE,TRUE),OR(exact(Metadata!Q365,"not applicable"),exact(Metadata!Q365,"not collected"),exact(Metadata!Q365,"not provided"),exact(Metadata!Q365,"restricted access"))),IF(Metadata!Q365="",FALSE,IF(ISERROR(INT(Metadata!Q365)),FALSE,INT(Metadata!Q365)=Metadata!Q365)))</f>
        <v>0</v>
      </c>
      <c r="AS365">
        <f>AND(IF(Metadata!R365="",FALSE,TRUE),exact(Metadata!R365,"Not applicable"))</f>
        <v>0</v>
      </c>
    </row>
    <row r="366" spans="1:45">
      <c r="A366" s="4">
        <f>IF(B366=" "," ",HYPERLINK(CONCATENATE("#metadata!",ADDRESS(INDEX($X$2:$X$1001,MATCH(ROWS($V$2:V366),$V$2:$V$1001,0),0),2)),INDEX($AA$2:$AA$1001,MATCH(ROWS($V$2:V366),$V$2:$V$1001,0),0)))</f>
        <v>0</v>
      </c>
      <c r="B366" s="5">
        <f>IF(OR(INDEX($W$2:$W$1001,MATCH(ROWS($V$2:V366),$V$2:$V$1001,0),1)&gt;=100000,INDEX($AC$1005:$AS$1005,1,MATCH(COLUMNS($AC$1006:AC1006),$AC$1006:$AS$1006,0))&gt;=100000), " ",IF(INDEX($AC$2:$AS$1001,MATCH(ROWS($V$2:V366),$V$2:$V$1001,0),MATCH(COLUMNS($AC$1006:AC1006),$AC$1006:$AS$1006,0)), HYPERLINK("#",""), HYPERLINK(CONCATENATE("#Metadata!", ADDRESS(INDEX($X$2:$X$1001,MATCH(ROWS($V$2:V366),$V$2:$V$1001,0),0), INDEX($AC$1004:$AS$1004,1,MATCH(COLUMNS($AC$1006:AC1006),$AC$1006:$AS$1006,0)))),"Fix")))</f>
        <v>0</v>
      </c>
      <c r="C366" s="5">
        <f>IF(OR(INDEX($W$2:$W$1001,MATCH(ROWS($V$2:V366),$V$2:$V$1001,0),1)&gt;=100000,INDEX($AC$1005:$AS$1005,1,MATCH(COLUMNS($AC$1006:AD1006),$AC$1006:$AS$1006,0))&gt;=100000), " ",IF(INDEX($AC$2:$AS$1001,MATCH(ROWS($V$2:V366),$V$2:$V$1001,0),MATCH(COLUMNS($AC$1006:AD1006),$AC$1006:$AS$1006,0)), HYPERLINK("#",""), HYPERLINK(CONCATENATE("#Metadata!", ADDRESS(INDEX($X$2:$X$1001,MATCH(ROWS($V$2:V366),$V$2:$V$1001,0),0), INDEX($AC$1004:$AS$1004,1,MATCH(COLUMNS($AC$1006:AD1006),$AC$1006:$AS$1006,0)))),"Fix")))</f>
        <v>0</v>
      </c>
      <c r="D366" s="5">
        <f>IF(OR(INDEX($W$2:$W$1001,MATCH(ROWS($V$2:V366),$V$2:$V$1001,0),1)&gt;=100000,INDEX($AC$1005:$AS$1005,1,MATCH(COLUMNS($AC$1006:AE1006),$AC$1006:$AS$1006,0))&gt;=100000), " ",IF(INDEX($AC$2:$AS$1001,MATCH(ROWS($V$2:V366),$V$2:$V$1001,0),MATCH(COLUMNS($AC$1006:AE1006),$AC$1006:$AS$1006,0)), HYPERLINK("#",""), HYPERLINK(CONCATENATE("#Metadata!", ADDRESS(INDEX($X$2:$X$1001,MATCH(ROWS($V$2:V366),$V$2:$V$1001,0),0), INDEX($AC$1004:$AS$1004,1,MATCH(COLUMNS($AC$1006:AE1006),$AC$1006:$AS$1006,0)))),"Fix")))</f>
        <v>0</v>
      </c>
      <c r="E366" s="5">
        <f>IF(OR(INDEX($W$2:$W$1001,MATCH(ROWS($V$2:V366),$V$2:$V$1001,0),1)&gt;=100000,INDEX($AC$1005:$AS$1005,1,MATCH(COLUMNS($AC$1006:AF1006),$AC$1006:$AS$1006,0))&gt;=100000), " ",IF(INDEX($AC$2:$AS$1001,MATCH(ROWS($V$2:V366),$V$2:$V$1001,0),MATCH(COLUMNS($AC$1006:AF1006),$AC$1006:$AS$1006,0)), HYPERLINK("#",""), HYPERLINK(CONCATENATE("#Metadata!", ADDRESS(INDEX($X$2:$X$1001,MATCH(ROWS($V$2:V366),$V$2:$V$1001,0),0), INDEX($AC$1004:$AS$1004,1,MATCH(COLUMNS($AC$1006:AF1006),$AC$1006:$AS$1006,0)))),"Fix")))</f>
        <v>0</v>
      </c>
      <c r="F366" s="5">
        <f>IF(OR(INDEX($W$2:$W$1001,MATCH(ROWS($V$2:V366),$V$2:$V$1001,0),1)&gt;=100000,INDEX($AC$1005:$AS$1005,1,MATCH(COLUMNS($AC$1006:AG1006),$AC$1006:$AS$1006,0))&gt;=100000), " ",IF(INDEX($AC$2:$AS$1001,MATCH(ROWS($V$2:V366),$V$2:$V$1001,0),MATCH(COLUMNS($AC$1006:AG1006),$AC$1006:$AS$1006,0)), HYPERLINK("#",""), HYPERLINK(CONCATENATE("#Metadata!", ADDRESS(INDEX($X$2:$X$1001,MATCH(ROWS($V$2:V366),$V$2:$V$1001,0),0), INDEX($AC$1004:$AS$1004,1,MATCH(COLUMNS($AC$1006:AG1006),$AC$1006:$AS$1006,0)))),"Fix")))</f>
        <v>0</v>
      </c>
      <c r="G366" s="5">
        <f>IF(OR(INDEX($W$2:$W$1001,MATCH(ROWS($V$2:V366),$V$2:$V$1001,0),1)&gt;=100000,INDEX($AC$1005:$AS$1005,1,MATCH(COLUMNS($AC$1006:AH1006),$AC$1006:$AS$1006,0))&gt;=100000), " ",IF(INDEX($AC$2:$AS$1001,MATCH(ROWS($V$2:V366),$V$2:$V$1001,0),MATCH(COLUMNS($AC$1006:AH1006),$AC$1006:$AS$1006,0)), HYPERLINK("#",""), HYPERLINK(CONCATENATE("#Metadata!", ADDRESS(INDEX($X$2:$X$1001,MATCH(ROWS($V$2:V366),$V$2:$V$1001,0),0), INDEX($AC$1004:$AS$1004,1,MATCH(COLUMNS($AC$1006:AH1006),$AC$1006:$AS$1006,0)))),"Fix")))</f>
        <v>0</v>
      </c>
      <c r="H366" s="5">
        <f>IF(OR(INDEX($W$2:$W$1001,MATCH(ROWS($V$2:V366),$V$2:$V$1001,0),1)&gt;=100000,INDEX($AC$1005:$AS$1005,1,MATCH(COLUMNS($AC$1006:AI1006),$AC$1006:$AS$1006,0))&gt;=100000), " ",IF(INDEX($AC$2:$AS$1001,MATCH(ROWS($V$2:V366),$V$2:$V$1001,0),MATCH(COLUMNS($AC$1006:AI1006),$AC$1006:$AS$1006,0)), HYPERLINK("#",""), HYPERLINK(CONCATENATE("#Metadata!", ADDRESS(INDEX($X$2:$X$1001,MATCH(ROWS($V$2:V366),$V$2:$V$1001,0),0), INDEX($AC$1004:$AS$1004,1,MATCH(COLUMNS($AC$1006:AI1006),$AC$1006:$AS$1006,0)))),"Fix")))</f>
        <v>0</v>
      </c>
      <c r="I366" s="5">
        <f>IF(OR(INDEX($W$2:$W$1001,MATCH(ROWS($V$2:V366),$V$2:$V$1001,0),1)&gt;=100000,INDEX($AC$1005:$AS$1005,1,MATCH(COLUMNS($AC$1006:AJ1006),$AC$1006:$AS$1006,0))&gt;=100000), " ",IF(INDEX($AC$2:$AS$1001,MATCH(ROWS($V$2:V366),$V$2:$V$1001,0),MATCH(COLUMNS($AC$1006:AJ1006),$AC$1006:$AS$1006,0)), HYPERLINK("#",""), HYPERLINK(CONCATENATE("#Metadata!", ADDRESS(INDEX($X$2:$X$1001,MATCH(ROWS($V$2:V366),$V$2:$V$1001,0),0), INDEX($AC$1004:$AS$1004,1,MATCH(COLUMNS($AC$1006:AJ1006),$AC$1006:$AS$1006,0)))),"Fix")))</f>
        <v>0</v>
      </c>
      <c r="J366" s="5">
        <f>IF(OR(INDEX($W$2:$W$1001,MATCH(ROWS($V$2:V366),$V$2:$V$1001,0),1)&gt;=100000,INDEX($AC$1005:$AS$1005,1,MATCH(COLUMNS($AC$1006:AK1006),$AC$1006:$AS$1006,0))&gt;=100000), " ",IF(INDEX($AC$2:$AS$1001,MATCH(ROWS($V$2:V366),$V$2:$V$1001,0),MATCH(COLUMNS($AC$1006:AK1006),$AC$1006:$AS$1006,0)), HYPERLINK("#",""), HYPERLINK(CONCATENATE("#Metadata!", ADDRESS(INDEX($X$2:$X$1001,MATCH(ROWS($V$2:V366),$V$2:$V$1001,0),0), INDEX($AC$1004:$AS$1004,1,MATCH(COLUMNS($AC$1006:AK1006),$AC$1006:$AS$1006,0)))),"Fix")))</f>
        <v>0</v>
      </c>
      <c r="K366" s="5">
        <f>IF(OR(INDEX($W$2:$W$1001,MATCH(ROWS($V$2:V366),$V$2:$V$1001,0),1)&gt;=100000,INDEX($AC$1005:$AS$1005,1,MATCH(COLUMNS($AC$1006:AL1006),$AC$1006:$AS$1006,0))&gt;=100000), " ",IF(INDEX($AC$2:$AS$1001,MATCH(ROWS($V$2:V366),$V$2:$V$1001,0),MATCH(COLUMNS($AC$1006:AL1006),$AC$1006:$AS$1006,0)), HYPERLINK("#",""), HYPERLINK(CONCATENATE("#Metadata!", ADDRESS(INDEX($X$2:$X$1001,MATCH(ROWS($V$2:V366),$V$2:$V$1001,0),0), INDEX($AC$1004:$AS$1004,1,MATCH(COLUMNS($AC$1006:AL1006),$AC$1006:$AS$1006,0)))),"Fix")))</f>
        <v>0</v>
      </c>
      <c r="L366" s="5">
        <f>IF(OR(INDEX($W$2:$W$1001,MATCH(ROWS($V$2:V366),$V$2:$V$1001,0),1)&gt;=100000,INDEX($AC$1005:$AS$1005,1,MATCH(COLUMNS($AC$1006:AM1006),$AC$1006:$AS$1006,0))&gt;=100000), " ",IF(INDEX($AC$2:$AS$1001,MATCH(ROWS($V$2:V366),$V$2:$V$1001,0),MATCH(COLUMNS($AC$1006:AM1006),$AC$1006:$AS$1006,0)), HYPERLINK("#",""), HYPERLINK(CONCATENATE("#Metadata!", ADDRESS(INDEX($X$2:$X$1001,MATCH(ROWS($V$2:V366),$V$2:$V$1001,0),0), INDEX($AC$1004:$AS$1004,1,MATCH(COLUMNS($AC$1006:AM1006),$AC$1006:$AS$1006,0)))),"Fix")))</f>
        <v>0</v>
      </c>
      <c r="M366" s="5">
        <f>IF(OR(INDEX($W$2:$W$1001,MATCH(ROWS($V$2:V366),$V$2:$V$1001,0),1)&gt;=100000,INDEX($AC$1005:$AS$1005,1,MATCH(COLUMNS($AC$1006:AN1006),$AC$1006:$AS$1006,0))&gt;=100000), " ",IF(INDEX($AC$2:$AS$1001,MATCH(ROWS($V$2:V366),$V$2:$V$1001,0),MATCH(COLUMNS($AC$1006:AN1006),$AC$1006:$AS$1006,0)), HYPERLINK("#",""), HYPERLINK(CONCATENATE("#Metadata!", ADDRESS(INDEX($X$2:$X$1001,MATCH(ROWS($V$2:V366),$V$2:$V$1001,0),0), INDEX($AC$1004:$AS$1004,1,MATCH(COLUMNS($AC$1006:AN1006),$AC$1006:$AS$1006,0)))),"Fix")))</f>
        <v>0</v>
      </c>
      <c r="N366" s="5">
        <f>IF(OR(INDEX($W$2:$W$1001,MATCH(ROWS($V$2:V366),$V$2:$V$1001,0),1)&gt;=100000,INDEX($AC$1005:$AS$1005,1,MATCH(COLUMNS($AC$1006:AO1006),$AC$1006:$AS$1006,0))&gt;=100000), " ",IF(INDEX($AC$2:$AS$1001,MATCH(ROWS($V$2:V366),$V$2:$V$1001,0),MATCH(COLUMNS($AC$1006:AO1006),$AC$1006:$AS$1006,0)), HYPERLINK("#",""), HYPERLINK(CONCATENATE("#Metadata!", ADDRESS(INDEX($X$2:$X$1001,MATCH(ROWS($V$2:V366),$V$2:$V$1001,0),0), INDEX($AC$1004:$AS$1004,1,MATCH(COLUMNS($AC$1006:AO1006),$AC$1006:$AS$1006,0)))),"Fix")))</f>
        <v>0</v>
      </c>
      <c r="O366" s="5">
        <f>IF(OR(INDEX($W$2:$W$1001,MATCH(ROWS($V$2:V366),$V$2:$V$1001,0),1)&gt;=100000,INDEX($AC$1005:$AS$1005,1,MATCH(COLUMNS($AC$1006:AP1006),$AC$1006:$AS$1006,0))&gt;=100000), " ",IF(INDEX($AC$2:$AS$1001,MATCH(ROWS($V$2:V366),$V$2:$V$1001,0),MATCH(COLUMNS($AC$1006:AP1006),$AC$1006:$AS$1006,0)), HYPERLINK("#",""), HYPERLINK(CONCATENATE("#Metadata!", ADDRESS(INDEX($X$2:$X$1001,MATCH(ROWS($V$2:V366),$V$2:$V$1001,0),0), INDEX($AC$1004:$AS$1004,1,MATCH(COLUMNS($AC$1006:AP1006),$AC$1006:$AS$1006,0)))),"Fix")))</f>
        <v>0</v>
      </c>
      <c r="P366" s="5">
        <f>IF(OR(INDEX($W$2:$W$1001,MATCH(ROWS($V$2:V366),$V$2:$V$1001,0),1)&gt;=100000,INDEX($AC$1005:$AS$1005,1,MATCH(COLUMNS($AC$1006:AQ1006),$AC$1006:$AS$1006,0))&gt;=100000), " ",IF(INDEX($AC$2:$AS$1001,MATCH(ROWS($V$2:V366),$V$2:$V$1001,0),MATCH(COLUMNS($AC$1006:AQ1006),$AC$1006:$AS$1006,0)), HYPERLINK("#",""), HYPERLINK(CONCATENATE("#Metadata!", ADDRESS(INDEX($X$2:$X$1001,MATCH(ROWS($V$2:V366),$V$2:$V$1001,0),0), INDEX($AC$1004:$AS$1004,1,MATCH(COLUMNS($AC$1006:AQ1006),$AC$1006:$AS$1006,0)))),"Fix")))</f>
        <v>0</v>
      </c>
      <c r="Q366" s="5">
        <f>IF(OR(INDEX($W$2:$W$1001,MATCH(ROWS($V$2:V366),$V$2:$V$1001,0),1)&gt;=100000,INDEX($AC$1005:$AS$1005,1,MATCH(COLUMNS($AC$1006:AR1006),$AC$1006:$AS$1006,0))&gt;=100000), " ",IF(INDEX($AC$2:$AS$1001,MATCH(ROWS($V$2:V366),$V$2:$V$1001,0),MATCH(COLUMNS($AC$1006:AR1006),$AC$1006:$AS$1006,0)), HYPERLINK("#",""), HYPERLINK(CONCATENATE("#Metadata!", ADDRESS(INDEX($X$2:$X$1001,MATCH(ROWS($V$2:V366),$V$2:$V$1001,0),0), INDEX($AC$1004:$AS$1004,1,MATCH(COLUMNS($AC$1006:AR1006),$AC$1006:$AS$1006,0)))),"Fix")))</f>
        <v>0</v>
      </c>
      <c r="R366" s="5">
        <f>IF(OR(INDEX($W$2:$W$1001,MATCH(ROWS($V$2:V366),$V$2:$V$1001,0),1)&gt;=100000,INDEX($AC$1005:$AS$1005,1,MATCH(COLUMNS($AC$1006:AS1006),$AC$1006:$AS$1006,0))&gt;=100000), " ",IF(INDEX($AC$2:$AS$1001,MATCH(ROWS($V$2:V366),$V$2:$V$1001,0),MATCH(COLUMNS($AC$1006:AS1006),$AC$1006:$AS$1006,0)), HYPERLINK("#",""), HYPERLINK(CONCATENATE("#Metadata!", ADDRESS(INDEX($X$2:$X$1001,MATCH(ROWS($V$2:V366),$V$2:$V$1001,0),0), INDEX($AC$1004:$AS$1004,1,MATCH(COLUMNS($AC$1006:AS1006),$AC$1006:$AS$1006,0)))),"Fix")))</f>
        <v>0</v>
      </c>
      <c r="V366">
        <v>0</v>
      </c>
      <c r="W366">
        <v>0</v>
      </c>
      <c r="X366">
        <v>0</v>
      </c>
      <c r="Y366">
        <f>IF(Z366,TRUE,AND(AC366:AS366))</f>
        <v>0</v>
      </c>
      <c r="Z366">
        <f>COUNTBLANK(Metadata!B366:R366)=COLUMNS(Metadata!B366:R366)</f>
        <v>0</v>
      </c>
      <c r="AA366">
        <v>0</v>
      </c>
      <c r="AC366">
        <f>AND(IF(Metadata!B366="",FALSE,TRUE),COUNTIF(Metadata!B:B, Metadata!B366) = 1,NOT(ISERROR(SUMPRODUCT(SEARCH(MID(Metadata!B366,ROW(INDIRECT("1:"&amp;LEN(Metadata!B366))), 1),"0123456789abcdefghijklmnopqrstuvwxyzABCDEFGHIJKLMNOPQRSTUVWXYZ.")))))</f>
        <v>0</v>
      </c>
      <c r="AD366">
        <f>AND(IF(Metadata!C366="",FALSE,TRUE),exact(Metadata!C366,"Host-associated"))</f>
        <v>0</v>
      </c>
      <c r="AE366">
        <f>AND(IF(Metadata!D366="",FALSE,TRUE),OR(exact(Metadata!D366,"Animal"),exact(Metadata!D366,"Fungus"),exact(Metadata!D366,"Plant")))</f>
        <v>0</v>
      </c>
      <c r="AF366">
        <f>AND(IF(Metadata!E366="",FALSE,TRUE),OR(exact(Metadata!E366,"Plant secretion"),exact(Metadata!E366,"Plant rhizosphere"),exact(Metadata!E366,"Plant surface"),exact(Metadata!E366,"Plant corpus"),exact(Metadata!E366,"Fungus surface"),exact(Metadata!E366,"Fungus corpus"),exact(Metadata!E366,"Animal surface"),exact(Metadata!E366,"Animal proximal gut"),exact(Metadata!E366,"Animal corpus"),exact(Metadata!E366,"Animal distal gut"),exact(Metadata!E366,"Animal secretion")))</f>
        <v>0</v>
      </c>
      <c r="AG366">
        <f>OR(AND(IF(Metadata!F366="",FALSE,TRUE),OR(exact(Metadata!F366,"not collected"),exact(Metadata!F366,"not provided"),exact(Metadata!F366,"restricted access"))),AND(IF(Metadata!F366="",FALSE,TRUE),OR(exact(Metadata!F366,"organism-associated habitat"),exact(Metadata!F366,"plant-associated habitat"),exact(Metadata!F366,"animal-associated habitat"),exact(Metadata!F366,"insecta-associated habitat"),exact(Metadata!F366,"mammalia-associated habitat"),exact(Metadata!F366,"human-associated habitat"),exact(Metadata!F366,"livestock-associated habitat"))))</f>
        <v>0</v>
      </c>
      <c r="AH366">
        <f>AND(IF(Metadata!G366="",FALSE,TRUE),exact(Metadata!G366,"host-associated"))</f>
        <v>0</v>
      </c>
      <c r="AI366">
        <f>OR(AND(IF(Metadata!H366="",FALSE,TRUE),OR(exact(Metadata!H366,"not collected"),exact(Metadata!H366,"not provided"))),AND(IF(Metadata!H366="",FALSE,ISNUMBER(VALUE(Metadata!H366))),Metadata!H366&gt;0))</f>
        <v>0</v>
      </c>
      <c r="AJ366">
        <f>AND(IF(Metadata!I366="",FALSE,TRUE),exact(Metadata!I366,"years"))</f>
        <v>0</v>
      </c>
      <c r="AK366">
        <f>IF(Metadata!J366="",FALSE,TRUE)</f>
        <v>0</v>
      </c>
      <c r="AL366">
        <f>OR(AND(IF(Metadata!K366="",FALSE,TRUE),OR(exact(Metadata!K366,"not collected"),exact(Metadata!K366,"not provided"))),AND(IF(Metadata!K366="",FALSE,ISNUMBER(VALUE(Metadata!K366))),Metadata!K366&gt;0))</f>
        <v>0</v>
      </c>
      <c r="AM366">
        <f>AND(IF(Metadata!L366="",FALSE,TRUE),exact(Metadata!L366,"cm"))</f>
        <v>0</v>
      </c>
      <c r="AN366">
        <f>IF(Metadata!M366="",FALSE,TRUE)</f>
        <v>0</v>
      </c>
      <c r="AO366">
        <f>OR(AND(IF(Metadata!N366="",FALSE,TRUE),OR(exact(Metadata!N366,"not applicable"),exact(Metadata!N366,"not collected"),exact(Metadata!N366,"not provided"))),AND(IF(Metadata!N366="",FALSE,IF(ISERROR(INT(Metadata!N366)),FALSE,INT(Metadata!N366)=Metadata!N366)),Metadata!N366&gt;0))</f>
        <v>0</v>
      </c>
      <c r="AP366">
        <f>OR(AND(IF(Metadata!O366="",FALSE,TRUE),OR(exact(Metadata!O366,"not collected"),exact(Metadata!O366,"not provided"))),AND(IF(Metadata!O366="",FALSE,ISNUMBER(VALUE(Metadata!O366))),Metadata!O366&gt;0))</f>
        <v>0</v>
      </c>
      <c r="AQ366">
        <f>AND(IF(Metadata!P366="",FALSE,TRUE),exact(Metadata!P366,"kg"))</f>
        <v>0</v>
      </c>
      <c r="AR366">
        <f>OR(AND(IF(Metadata!Q366="",FALSE,TRUE),OR(exact(Metadata!Q366,"not applicable"),exact(Metadata!Q366,"not collected"),exact(Metadata!Q366,"not provided"),exact(Metadata!Q366,"restricted access"))),IF(Metadata!Q366="",FALSE,IF(ISERROR(INT(Metadata!Q366)),FALSE,INT(Metadata!Q366)=Metadata!Q366)))</f>
        <v>0</v>
      </c>
      <c r="AS366">
        <f>AND(IF(Metadata!R366="",FALSE,TRUE),exact(Metadata!R366,"Not applicable"))</f>
        <v>0</v>
      </c>
    </row>
    <row r="367" spans="1:45">
      <c r="A367" s="4">
        <f>IF(B367=" "," ",HYPERLINK(CONCATENATE("#metadata!",ADDRESS(INDEX($X$2:$X$1001,MATCH(ROWS($V$2:V367),$V$2:$V$1001,0),0),2)),INDEX($AA$2:$AA$1001,MATCH(ROWS($V$2:V367),$V$2:$V$1001,0),0)))</f>
        <v>0</v>
      </c>
      <c r="B367" s="5">
        <f>IF(OR(INDEX($W$2:$W$1001,MATCH(ROWS($V$2:V367),$V$2:$V$1001,0),1)&gt;=100000,INDEX($AC$1005:$AS$1005,1,MATCH(COLUMNS($AC$1006:AC1006),$AC$1006:$AS$1006,0))&gt;=100000), " ",IF(INDEX($AC$2:$AS$1001,MATCH(ROWS($V$2:V367),$V$2:$V$1001,0),MATCH(COLUMNS($AC$1006:AC1006),$AC$1006:$AS$1006,0)), HYPERLINK("#",""), HYPERLINK(CONCATENATE("#Metadata!", ADDRESS(INDEX($X$2:$X$1001,MATCH(ROWS($V$2:V367),$V$2:$V$1001,0),0), INDEX($AC$1004:$AS$1004,1,MATCH(COLUMNS($AC$1006:AC1006),$AC$1006:$AS$1006,0)))),"Fix")))</f>
        <v>0</v>
      </c>
      <c r="C367" s="5">
        <f>IF(OR(INDEX($W$2:$W$1001,MATCH(ROWS($V$2:V367),$V$2:$V$1001,0),1)&gt;=100000,INDEX($AC$1005:$AS$1005,1,MATCH(COLUMNS($AC$1006:AD1006),$AC$1006:$AS$1006,0))&gt;=100000), " ",IF(INDEX($AC$2:$AS$1001,MATCH(ROWS($V$2:V367),$V$2:$V$1001,0),MATCH(COLUMNS($AC$1006:AD1006),$AC$1006:$AS$1006,0)), HYPERLINK("#",""), HYPERLINK(CONCATENATE("#Metadata!", ADDRESS(INDEX($X$2:$X$1001,MATCH(ROWS($V$2:V367),$V$2:$V$1001,0),0), INDEX($AC$1004:$AS$1004,1,MATCH(COLUMNS($AC$1006:AD1006),$AC$1006:$AS$1006,0)))),"Fix")))</f>
        <v>0</v>
      </c>
      <c r="D367" s="5">
        <f>IF(OR(INDEX($W$2:$W$1001,MATCH(ROWS($V$2:V367),$V$2:$V$1001,0),1)&gt;=100000,INDEX($AC$1005:$AS$1005,1,MATCH(COLUMNS($AC$1006:AE1006),$AC$1006:$AS$1006,0))&gt;=100000), " ",IF(INDEX($AC$2:$AS$1001,MATCH(ROWS($V$2:V367),$V$2:$V$1001,0),MATCH(COLUMNS($AC$1006:AE1006),$AC$1006:$AS$1006,0)), HYPERLINK("#",""), HYPERLINK(CONCATENATE("#Metadata!", ADDRESS(INDEX($X$2:$X$1001,MATCH(ROWS($V$2:V367),$V$2:$V$1001,0),0), INDEX($AC$1004:$AS$1004,1,MATCH(COLUMNS($AC$1006:AE1006),$AC$1006:$AS$1006,0)))),"Fix")))</f>
        <v>0</v>
      </c>
      <c r="E367" s="5">
        <f>IF(OR(INDEX($W$2:$W$1001,MATCH(ROWS($V$2:V367),$V$2:$V$1001,0),1)&gt;=100000,INDEX($AC$1005:$AS$1005,1,MATCH(COLUMNS($AC$1006:AF1006),$AC$1006:$AS$1006,0))&gt;=100000), " ",IF(INDEX($AC$2:$AS$1001,MATCH(ROWS($V$2:V367),$V$2:$V$1001,0),MATCH(COLUMNS($AC$1006:AF1006),$AC$1006:$AS$1006,0)), HYPERLINK("#",""), HYPERLINK(CONCATENATE("#Metadata!", ADDRESS(INDEX($X$2:$X$1001,MATCH(ROWS($V$2:V367),$V$2:$V$1001,0),0), INDEX($AC$1004:$AS$1004,1,MATCH(COLUMNS($AC$1006:AF1006),$AC$1006:$AS$1006,0)))),"Fix")))</f>
        <v>0</v>
      </c>
      <c r="F367" s="5">
        <f>IF(OR(INDEX($W$2:$W$1001,MATCH(ROWS($V$2:V367),$V$2:$V$1001,0),1)&gt;=100000,INDEX($AC$1005:$AS$1005,1,MATCH(COLUMNS($AC$1006:AG1006),$AC$1006:$AS$1006,0))&gt;=100000), " ",IF(INDEX($AC$2:$AS$1001,MATCH(ROWS($V$2:V367),$V$2:$V$1001,0),MATCH(COLUMNS($AC$1006:AG1006),$AC$1006:$AS$1006,0)), HYPERLINK("#",""), HYPERLINK(CONCATENATE("#Metadata!", ADDRESS(INDEX($X$2:$X$1001,MATCH(ROWS($V$2:V367),$V$2:$V$1001,0),0), INDEX($AC$1004:$AS$1004,1,MATCH(COLUMNS($AC$1006:AG1006),$AC$1006:$AS$1006,0)))),"Fix")))</f>
        <v>0</v>
      </c>
      <c r="G367" s="5">
        <f>IF(OR(INDEX($W$2:$W$1001,MATCH(ROWS($V$2:V367),$V$2:$V$1001,0),1)&gt;=100000,INDEX($AC$1005:$AS$1005,1,MATCH(COLUMNS($AC$1006:AH1006),$AC$1006:$AS$1006,0))&gt;=100000), " ",IF(INDEX($AC$2:$AS$1001,MATCH(ROWS($V$2:V367),$V$2:$V$1001,0),MATCH(COLUMNS($AC$1006:AH1006),$AC$1006:$AS$1006,0)), HYPERLINK("#",""), HYPERLINK(CONCATENATE("#Metadata!", ADDRESS(INDEX($X$2:$X$1001,MATCH(ROWS($V$2:V367),$V$2:$V$1001,0),0), INDEX($AC$1004:$AS$1004,1,MATCH(COLUMNS($AC$1006:AH1006),$AC$1006:$AS$1006,0)))),"Fix")))</f>
        <v>0</v>
      </c>
      <c r="H367" s="5">
        <f>IF(OR(INDEX($W$2:$W$1001,MATCH(ROWS($V$2:V367),$V$2:$V$1001,0),1)&gt;=100000,INDEX($AC$1005:$AS$1005,1,MATCH(COLUMNS($AC$1006:AI1006),$AC$1006:$AS$1006,0))&gt;=100000), " ",IF(INDEX($AC$2:$AS$1001,MATCH(ROWS($V$2:V367),$V$2:$V$1001,0),MATCH(COLUMNS($AC$1006:AI1006),$AC$1006:$AS$1006,0)), HYPERLINK("#",""), HYPERLINK(CONCATENATE("#Metadata!", ADDRESS(INDEX($X$2:$X$1001,MATCH(ROWS($V$2:V367),$V$2:$V$1001,0),0), INDEX($AC$1004:$AS$1004,1,MATCH(COLUMNS($AC$1006:AI1006),$AC$1006:$AS$1006,0)))),"Fix")))</f>
        <v>0</v>
      </c>
      <c r="I367" s="5">
        <f>IF(OR(INDEX($W$2:$W$1001,MATCH(ROWS($V$2:V367),$V$2:$V$1001,0),1)&gt;=100000,INDEX($AC$1005:$AS$1005,1,MATCH(COLUMNS($AC$1006:AJ1006),$AC$1006:$AS$1006,0))&gt;=100000), " ",IF(INDEX($AC$2:$AS$1001,MATCH(ROWS($V$2:V367),$V$2:$V$1001,0),MATCH(COLUMNS($AC$1006:AJ1006),$AC$1006:$AS$1006,0)), HYPERLINK("#",""), HYPERLINK(CONCATENATE("#Metadata!", ADDRESS(INDEX($X$2:$X$1001,MATCH(ROWS($V$2:V367),$V$2:$V$1001,0),0), INDEX($AC$1004:$AS$1004,1,MATCH(COLUMNS($AC$1006:AJ1006),$AC$1006:$AS$1006,0)))),"Fix")))</f>
        <v>0</v>
      </c>
      <c r="J367" s="5">
        <f>IF(OR(INDEX($W$2:$W$1001,MATCH(ROWS($V$2:V367),$V$2:$V$1001,0),1)&gt;=100000,INDEX($AC$1005:$AS$1005,1,MATCH(COLUMNS($AC$1006:AK1006),$AC$1006:$AS$1006,0))&gt;=100000), " ",IF(INDEX($AC$2:$AS$1001,MATCH(ROWS($V$2:V367),$V$2:$V$1001,0),MATCH(COLUMNS($AC$1006:AK1006),$AC$1006:$AS$1006,0)), HYPERLINK("#",""), HYPERLINK(CONCATENATE("#Metadata!", ADDRESS(INDEX($X$2:$X$1001,MATCH(ROWS($V$2:V367),$V$2:$V$1001,0),0), INDEX($AC$1004:$AS$1004,1,MATCH(COLUMNS($AC$1006:AK1006),$AC$1006:$AS$1006,0)))),"Fix")))</f>
        <v>0</v>
      </c>
      <c r="K367" s="5">
        <f>IF(OR(INDEX($W$2:$W$1001,MATCH(ROWS($V$2:V367),$V$2:$V$1001,0),1)&gt;=100000,INDEX($AC$1005:$AS$1005,1,MATCH(COLUMNS($AC$1006:AL1006),$AC$1006:$AS$1006,0))&gt;=100000), " ",IF(INDEX($AC$2:$AS$1001,MATCH(ROWS($V$2:V367),$V$2:$V$1001,0),MATCH(COLUMNS($AC$1006:AL1006),$AC$1006:$AS$1006,0)), HYPERLINK("#",""), HYPERLINK(CONCATENATE("#Metadata!", ADDRESS(INDEX($X$2:$X$1001,MATCH(ROWS($V$2:V367),$V$2:$V$1001,0),0), INDEX($AC$1004:$AS$1004,1,MATCH(COLUMNS($AC$1006:AL1006),$AC$1006:$AS$1006,0)))),"Fix")))</f>
        <v>0</v>
      </c>
      <c r="L367" s="5">
        <f>IF(OR(INDEX($W$2:$W$1001,MATCH(ROWS($V$2:V367),$V$2:$V$1001,0),1)&gt;=100000,INDEX($AC$1005:$AS$1005,1,MATCH(COLUMNS($AC$1006:AM1006),$AC$1006:$AS$1006,0))&gt;=100000), " ",IF(INDEX($AC$2:$AS$1001,MATCH(ROWS($V$2:V367),$V$2:$V$1001,0),MATCH(COLUMNS($AC$1006:AM1006),$AC$1006:$AS$1006,0)), HYPERLINK("#",""), HYPERLINK(CONCATENATE("#Metadata!", ADDRESS(INDEX($X$2:$X$1001,MATCH(ROWS($V$2:V367),$V$2:$V$1001,0),0), INDEX($AC$1004:$AS$1004,1,MATCH(COLUMNS($AC$1006:AM1006),$AC$1006:$AS$1006,0)))),"Fix")))</f>
        <v>0</v>
      </c>
      <c r="M367" s="5">
        <f>IF(OR(INDEX($W$2:$W$1001,MATCH(ROWS($V$2:V367),$V$2:$V$1001,0),1)&gt;=100000,INDEX($AC$1005:$AS$1005,1,MATCH(COLUMNS($AC$1006:AN1006),$AC$1006:$AS$1006,0))&gt;=100000), " ",IF(INDEX($AC$2:$AS$1001,MATCH(ROWS($V$2:V367),$V$2:$V$1001,0),MATCH(COLUMNS($AC$1006:AN1006),$AC$1006:$AS$1006,0)), HYPERLINK("#",""), HYPERLINK(CONCATENATE("#Metadata!", ADDRESS(INDEX($X$2:$X$1001,MATCH(ROWS($V$2:V367),$V$2:$V$1001,0),0), INDEX($AC$1004:$AS$1004,1,MATCH(COLUMNS($AC$1006:AN1006),$AC$1006:$AS$1006,0)))),"Fix")))</f>
        <v>0</v>
      </c>
      <c r="N367" s="5">
        <f>IF(OR(INDEX($W$2:$W$1001,MATCH(ROWS($V$2:V367),$V$2:$V$1001,0),1)&gt;=100000,INDEX($AC$1005:$AS$1005,1,MATCH(COLUMNS($AC$1006:AO1006),$AC$1006:$AS$1006,0))&gt;=100000), " ",IF(INDEX($AC$2:$AS$1001,MATCH(ROWS($V$2:V367),$V$2:$V$1001,0),MATCH(COLUMNS($AC$1006:AO1006),$AC$1006:$AS$1006,0)), HYPERLINK("#",""), HYPERLINK(CONCATENATE("#Metadata!", ADDRESS(INDEX($X$2:$X$1001,MATCH(ROWS($V$2:V367),$V$2:$V$1001,0),0), INDEX($AC$1004:$AS$1004,1,MATCH(COLUMNS($AC$1006:AO1006),$AC$1006:$AS$1006,0)))),"Fix")))</f>
        <v>0</v>
      </c>
      <c r="O367" s="5">
        <f>IF(OR(INDEX($W$2:$W$1001,MATCH(ROWS($V$2:V367),$V$2:$V$1001,0),1)&gt;=100000,INDEX($AC$1005:$AS$1005,1,MATCH(COLUMNS($AC$1006:AP1006),$AC$1006:$AS$1006,0))&gt;=100000), " ",IF(INDEX($AC$2:$AS$1001,MATCH(ROWS($V$2:V367),$V$2:$V$1001,0),MATCH(COLUMNS($AC$1006:AP1006),$AC$1006:$AS$1006,0)), HYPERLINK("#",""), HYPERLINK(CONCATENATE("#Metadata!", ADDRESS(INDEX($X$2:$X$1001,MATCH(ROWS($V$2:V367),$V$2:$V$1001,0),0), INDEX($AC$1004:$AS$1004,1,MATCH(COLUMNS($AC$1006:AP1006),$AC$1006:$AS$1006,0)))),"Fix")))</f>
        <v>0</v>
      </c>
      <c r="P367" s="5">
        <f>IF(OR(INDEX($W$2:$W$1001,MATCH(ROWS($V$2:V367),$V$2:$V$1001,0),1)&gt;=100000,INDEX($AC$1005:$AS$1005,1,MATCH(COLUMNS($AC$1006:AQ1006),$AC$1006:$AS$1006,0))&gt;=100000), " ",IF(INDEX($AC$2:$AS$1001,MATCH(ROWS($V$2:V367),$V$2:$V$1001,0),MATCH(COLUMNS($AC$1006:AQ1006),$AC$1006:$AS$1006,0)), HYPERLINK("#",""), HYPERLINK(CONCATENATE("#Metadata!", ADDRESS(INDEX($X$2:$X$1001,MATCH(ROWS($V$2:V367),$V$2:$V$1001,0),0), INDEX($AC$1004:$AS$1004,1,MATCH(COLUMNS($AC$1006:AQ1006),$AC$1006:$AS$1006,0)))),"Fix")))</f>
        <v>0</v>
      </c>
      <c r="Q367" s="5">
        <f>IF(OR(INDEX($W$2:$W$1001,MATCH(ROWS($V$2:V367),$V$2:$V$1001,0),1)&gt;=100000,INDEX($AC$1005:$AS$1005,1,MATCH(COLUMNS($AC$1006:AR1006),$AC$1006:$AS$1006,0))&gt;=100000), " ",IF(INDEX($AC$2:$AS$1001,MATCH(ROWS($V$2:V367),$V$2:$V$1001,0),MATCH(COLUMNS($AC$1006:AR1006),$AC$1006:$AS$1006,0)), HYPERLINK("#",""), HYPERLINK(CONCATENATE("#Metadata!", ADDRESS(INDEX($X$2:$X$1001,MATCH(ROWS($V$2:V367),$V$2:$V$1001,0),0), INDEX($AC$1004:$AS$1004,1,MATCH(COLUMNS($AC$1006:AR1006),$AC$1006:$AS$1006,0)))),"Fix")))</f>
        <v>0</v>
      </c>
      <c r="R367" s="5">
        <f>IF(OR(INDEX($W$2:$W$1001,MATCH(ROWS($V$2:V367),$V$2:$V$1001,0),1)&gt;=100000,INDEX($AC$1005:$AS$1005,1,MATCH(COLUMNS($AC$1006:AS1006),$AC$1006:$AS$1006,0))&gt;=100000), " ",IF(INDEX($AC$2:$AS$1001,MATCH(ROWS($V$2:V367),$V$2:$V$1001,0),MATCH(COLUMNS($AC$1006:AS1006),$AC$1006:$AS$1006,0)), HYPERLINK("#",""), HYPERLINK(CONCATENATE("#Metadata!", ADDRESS(INDEX($X$2:$X$1001,MATCH(ROWS($V$2:V367),$V$2:$V$1001,0),0), INDEX($AC$1004:$AS$1004,1,MATCH(COLUMNS($AC$1006:AS1006),$AC$1006:$AS$1006,0)))),"Fix")))</f>
        <v>0</v>
      </c>
      <c r="V367">
        <v>0</v>
      </c>
      <c r="W367">
        <v>0</v>
      </c>
      <c r="X367">
        <v>0</v>
      </c>
      <c r="Y367">
        <f>IF(Z367,TRUE,AND(AC367:AS367))</f>
        <v>0</v>
      </c>
      <c r="Z367">
        <f>COUNTBLANK(Metadata!B367:R367)=COLUMNS(Metadata!B367:R367)</f>
        <v>0</v>
      </c>
      <c r="AA367">
        <v>0</v>
      </c>
      <c r="AC367">
        <f>AND(IF(Metadata!B367="",FALSE,TRUE),COUNTIF(Metadata!B:B, Metadata!B367) = 1,NOT(ISERROR(SUMPRODUCT(SEARCH(MID(Metadata!B367,ROW(INDIRECT("1:"&amp;LEN(Metadata!B367))), 1),"0123456789abcdefghijklmnopqrstuvwxyzABCDEFGHIJKLMNOPQRSTUVWXYZ.")))))</f>
        <v>0</v>
      </c>
      <c r="AD367">
        <f>AND(IF(Metadata!C367="",FALSE,TRUE),exact(Metadata!C367,"Host-associated"))</f>
        <v>0</v>
      </c>
      <c r="AE367">
        <f>AND(IF(Metadata!D367="",FALSE,TRUE),OR(exact(Metadata!D367,"Animal"),exact(Metadata!D367,"Fungus"),exact(Metadata!D367,"Plant")))</f>
        <v>0</v>
      </c>
      <c r="AF367">
        <f>AND(IF(Metadata!E367="",FALSE,TRUE),OR(exact(Metadata!E367,"Plant secretion"),exact(Metadata!E367,"Plant rhizosphere"),exact(Metadata!E367,"Plant surface"),exact(Metadata!E367,"Plant corpus"),exact(Metadata!E367,"Fungus surface"),exact(Metadata!E367,"Fungus corpus"),exact(Metadata!E367,"Animal surface"),exact(Metadata!E367,"Animal proximal gut"),exact(Metadata!E367,"Animal corpus"),exact(Metadata!E367,"Animal distal gut"),exact(Metadata!E367,"Animal secretion")))</f>
        <v>0</v>
      </c>
      <c r="AG367">
        <f>OR(AND(IF(Metadata!F367="",FALSE,TRUE),OR(exact(Metadata!F367,"not collected"),exact(Metadata!F367,"not provided"),exact(Metadata!F367,"restricted access"))),AND(IF(Metadata!F367="",FALSE,TRUE),OR(exact(Metadata!F367,"organism-associated habitat"),exact(Metadata!F367,"plant-associated habitat"),exact(Metadata!F367,"animal-associated habitat"),exact(Metadata!F367,"insecta-associated habitat"),exact(Metadata!F367,"mammalia-associated habitat"),exact(Metadata!F367,"human-associated habitat"),exact(Metadata!F367,"livestock-associated habitat"))))</f>
        <v>0</v>
      </c>
      <c r="AH367">
        <f>AND(IF(Metadata!G367="",FALSE,TRUE),exact(Metadata!G367,"host-associated"))</f>
        <v>0</v>
      </c>
      <c r="AI367">
        <f>OR(AND(IF(Metadata!H367="",FALSE,TRUE),OR(exact(Metadata!H367,"not collected"),exact(Metadata!H367,"not provided"))),AND(IF(Metadata!H367="",FALSE,ISNUMBER(VALUE(Metadata!H367))),Metadata!H367&gt;0))</f>
        <v>0</v>
      </c>
      <c r="AJ367">
        <f>AND(IF(Metadata!I367="",FALSE,TRUE),exact(Metadata!I367,"years"))</f>
        <v>0</v>
      </c>
      <c r="AK367">
        <f>IF(Metadata!J367="",FALSE,TRUE)</f>
        <v>0</v>
      </c>
      <c r="AL367">
        <f>OR(AND(IF(Metadata!K367="",FALSE,TRUE),OR(exact(Metadata!K367,"not collected"),exact(Metadata!K367,"not provided"))),AND(IF(Metadata!K367="",FALSE,ISNUMBER(VALUE(Metadata!K367))),Metadata!K367&gt;0))</f>
        <v>0</v>
      </c>
      <c r="AM367">
        <f>AND(IF(Metadata!L367="",FALSE,TRUE),exact(Metadata!L367,"cm"))</f>
        <v>0</v>
      </c>
      <c r="AN367">
        <f>IF(Metadata!M367="",FALSE,TRUE)</f>
        <v>0</v>
      </c>
      <c r="AO367">
        <f>OR(AND(IF(Metadata!N367="",FALSE,TRUE),OR(exact(Metadata!N367,"not applicable"),exact(Metadata!N367,"not collected"),exact(Metadata!N367,"not provided"))),AND(IF(Metadata!N367="",FALSE,IF(ISERROR(INT(Metadata!N367)),FALSE,INT(Metadata!N367)=Metadata!N367)),Metadata!N367&gt;0))</f>
        <v>0</v>
      </c>
      <c r="AP367">
        <f>OR(AND(IF(Metadata!O367="",FALSE,TRUE),OR(exact(Metadata!O367,"not collected"),exact(Metadata!O367,"not provided"))),AND(IF(Metadata!O367="",FALSE,ISNUMBER(VALUE(Metadata!O367))),Metadata!O367&gt;0))</f>
        <v>0</v>
      </c>
      <c r="AQ367">
        <f>AND(IF(Metadata!P367="",FALSE,TRUE),exact(Metadata!P367,"kg"))</f>
        <v>0</v>
      </c>
      <c r="AR367">
        <f>OR(AND(IF(Metadata!Q367="",FALSE,TRUE),OR(exact(Metadata!Q367,"not applicable"),exact(Metadata!Q367,"not collected"),exact(Metadata!Q367,"not provided"),exact(Metadata!Q367,"restricted access"))),IF(Metadata!Q367="",FALSE,IF(ISERROR(INT(Metadata!Q367)),FALSE,INT(Metadata!Q367)=Metadata!Q367)))</f>
        <v>0</v>
      </c>
      <c r="AS367">
        <f>AND(IF(Metadata!R367="",FALSE,TRUE),exact(Metadata!R367,"Not applicable"))</f>
        <v>0</v>
      </c>
    </row>
    <row r="368" spans="1:45">
      <c r="A368" s="4">
        <f>IF(B368=" "," ",HYPERLINK(CONCATENATE("#metadata!",ADDRESS(INDEX($X$2:$X$1001,MATCH(ROWS($V$2:V368),$V$2:$V$1001,0),0),2)),INDEX($AA$2:$AA$1001,MATCH(ROWS($V$2:V368),$V$2:$V$1001,0),0)))</f>
        <v>0</v>
      </c>
      <c r="B368" s="5">
        <f>IF(OR(INDEX($W$2:$W$1001,MATCH(ROWS($V$2:V368),$V$2:$V$1001,0),1)&gt;=100000,INDEX($AC$1005:$AS$1005,1,MATCH(COLUMNS($AC$1006:AC1006),$AC$1006:$AS$1006,0))&gt;=100000), " ",IF(INDEX($AC$2:$AS$1001,MATCH(ROWS($V$2:V368),$V$2:$V$1001,0),MATCH(COLUMNS($AC$1006:AC1006),$AC$1006:$AS$1006,0)), HYPERLINK("#",""), HYPERLINK(CONCATENATE("#Metadata!", ADDRESS(INDEX($X$2:$X$1001,MATCH(ROWS($V$2:V368),$V$2:$V$1001,0),0), INDEX($AC$1004:$AS$1004,1,MATCH(COLUMNS($AC$1006:AC1006),$AC$1006:$AS$1006,0)))),"Fix")))</f>
        <v>0</v>
      </c>
      <c r="C368" s="5">
        <f>IF(OR(INDEX($W$2:$W$1001,MATCH(ROWS($V$2:V368),$V$2:$V$1001,0),1)&gt;=100000,INDEX($AC$1005:$AS$1005,1,MATCH(COLUMNS($AC$1006:AD1006),$AC$1006:$AS$1006,0))&gt;=100000), " ",IF(INDEX($AC$2:$AS$1001,MATCH(ROWS($V$2:V368),$V$2:$V$1001,0),MATCH(COLUMNS($AC$1006:AD1006),$AC$1006:$AS$1006,0)), HYPERLINK("#",""), HYPERLINK(CONCATENATE("#Metadata!", ADDRESS(INDEX($X$2:$X$1001,MATCH(ROWS($V$2:V368),$V$2:$V$1001,0),0), INDEX($AC$1004:$AS$1004,1,MATCH(COLUMNS($AC$1006:AD1006),$AC$1006:$AS$1006,0)))),"Fix")))</f>
        <v>0</v>
      </c>
      <c r="D368" s="5">
        <f>IF(OR(INDEX($W$2:$W$1001,MATCH(ROWS($V$2:V368),$V$2:$V$1001,0),1)&gt;=100000,INDEX($AC$1005:$AS$1005,1,MATCH(COLUMNS($AC$1006:AE1006),$AC$1006:$AS$1006,0))&gt;=100000), " ",IF(INDEX($AC$2:$AS$1001,MATCH(ROWS($V$2:V368),$V$2:$V$1001,0),MATCH(COLUMNS($AC$1006:AE1006),$AC$1006:$AS$1006,0)), HYPERLINK("#",""), HYPERLINK(CONCATENATE("#Metadata!", ADDRESS(INDEX($X$2:$X$1001,MATCH(ROWS($V$2:V368),$V$2:$V$1001,0),0), INDEX($AC$1004:$AS$1004,1,MATCH(COLUMNS($AC$1006:AE1006),$AC$1006:$AS$1006,0)))),"Fix")))</f>
        <v>0</v>
      </c>
      <c r="E368" s="5">
        <f>IF(OR(INDEX($W$2:$W$1001,MATCH(ROWS($V$2:V368),$V$2:$V$1001,0),1)&gt;=100000,INDEX($AC$1005:$AS$1005,1,MATCH(COLUMNS($AC$1006:AF1006),$AC$1006:$AS$1006,0))&gt;=100000), " ",IF(INDEX($AC$2:$AS$1001,MATCH(ROWS($V$2:V368),$V$2:$V$1001,0),MATCH(COLUMNS($AC$1006:AF1006),$AC$1006:$AS$1006,0)), HYPERLINK("#",""), HYPERLINK(CONCATENATE("#Metadata!", ADDRESS(INDEX($X$2:$X$1001,MATCH(ROWS($V$2:V368),$V$2:$V$1001,0),0), INDEX($AC$1004:$AS$1004,1,MATCH(COLUMNS($AC$1006:AF1006),$AC$1006:$AS$1006,0)))),"Fix")))</f>
        <v>0</v>
      </c>
      <c r="F368" s="5">
        <f>IF(OR(INDEX($W$2:$W$1001,MATCH(ROWS($V$2:V368),$V$2:$V$1001,0),1)&gt;=100000,INDEX($AC$1005:$AS$1005,1,MATCH(COLUMNS($AC$1006:AG1006),$AC$1006:$AS$1006,0))&gt;=100000), " ",IF(INDEX($AC$2:$AS$1001,MATCH(ROWS($V$2:V368),$V$2:$V$1001,0),MATCH(COLUMNS($AC$1006:AG1006),$AC$1006:$AS$1006,0)), HYPERLINK("#",""), HYPERLINK(CONCATENATE("#Metadata!", ADDRESS(INDEX($X$2:$X$1001,MATCH(ROWS($V$2:V368),$V$2:$V$1001,0),0), INDEX($AC$1004:$AS$1004,1,MATCH(COLUMNS($AC$1006:AG1006),$AC$1006:$AS$1006,0)))),"Fix")))</f>
        <v>0</v>
      </c>
      <c r="G368" s="5">
        <f>IF(OR(INDEX($W$2:$W$1001,MATCH(ROWS($V$2:V368),$V$2:$V$1001,0),1)&gt;=100000,INDEX($AC$1005:$AS$1005,1,MATCH(COLUMNS($AC$1006:AH1006),$AC$1006:$AS$1006,0))&gt;=100000), " ",IF(INDEX($AC$2:$AS$1001,MATCH(ROWS($V$2:V368),$V$2:$V$1001,0),MATCH(COLUMNS($AC$1006:AH1006),$AC$1006:$AS$1006,0)), HYPERLINK("#",""), HYPERLINK(CONCATENATE("#Metadata!", ADDRESS(INDEX($X$2:$X$1001,MATCH(ROWS($V$2:V368),$V$2:$V$1001,0),0), INDEX($AC$1004:$AS$1004,1,MATCH(COLUMNS($AC$1006:AH1006),$AC$1006:$AS$1006,0)))),"Fix")))</f>
        <v>0</v>
      </c>
      <c r="H368" s="5">
        <f>IF(OR(INDEX($W$2:$W$1001,MATCH(ROWS($V$2:V368),$V$2:$V$1001,0),1)&gt;=100000,INDEX($AC$1005:$AS$1005,1,MATCH(COLUMNS($AC$1006:AI1006),$AC$1006:$AS$1006,0))&gt;=100000), " ",IF(INDEX($AC$2:$AS$1001,MATCH(ROWS($V$2:V368),$V$2:$V$1001,0),MATCH(COLUMNS($AC$1006:AI1006),$AC$1006:$AS$1006,0)), HYPERLINK("#",""), HYPERLINK(CONCATENATE("#Metadata!", ADDRESS(INDEX($X$2:$X$1001,MATCH(ROWS($V$2:V368),$V$2:$V$1001,0),0), INDEX($AC$1004:$AS$1004,1,MATCH(COLUMNS($AC$1006:AI1006),$AC$1006:$AS$1006,0)))),"Fix")))</f>
        <v>0</v>
      </c>
      <c r="I368" s="5">
        <f>IF(OR(INDEX($W$2:$W$1001,MATCH(ROWS($V$2:V368),$V$2:$V$1001,0),1)&gt;=100000,INDEX($AC$1005:$AS$1005,1,MATCH(COLUMNS($AC$1006:AJ1006),$AC$1006:$AS$1006,0))&gt;=100000), " ",IF(INDEX($AC$2:$AS$1001,MATCH(ROWS($V$2:V368),$V$2:$V$1001,0),MATCH(COLUMNS($AC$1006:AJ1006),$AC$1006:$AS$1006,0)), HYPERLINK("#",""), HYPERLINK(CONCATENATE("#Metadata!", ADDRESS(INDEX($X$2:$X$1001,MATCH(ROWS($V$2:V368),$V$2:$V$1001,0),0), INDEX($AC$1004:$AS$1004,1,MATCH(COLUMNS($AC$1006:AJ1006),$AC$1006:$AS$1006,0)))),"Fix")))</f>
        <v>0</v>
      </c>
      <c r="J368" s="5">
        <f>IF(OR(INDEX($W$2:$W$1001,MATCH(ROWS($V$2:V368),$V$2:$V$1001,0),1)&gt;=100000,INDEX($AC$1005:$AS$1005,1,MATCH(COLUMNS($AC$1006:AK1006),$AC$1006:$AS$1006,0))&gt;=100000), " ",IF(INDEX($AC$2:$AS$1001,MATCH(ROWS($V$2:V368),$V$2:$V$1001,0),MATCH(COLUMNS($AC$1006:AK1006),$AC$1006:$AS$1006,0)), HYPERLINK("#",""), HYPERLINK(CONCATENATE("#Metadata!", ADDRESS(INDEX($X$2:$X$1001,MATCH(ROWS($V$2:V368),$V$2:$V$1001,0),0), INDEX($AC$1004:$AS$1004,1,MATCH(COLUMNS($AC$1006:AK1006),$AC$1006:$AS$1006,0)))),"Fix")))</f>
        <v>0</v>
      </c>
      <c r="K368" s="5">
        <f>IF(OR(INDEX($W$2:$W$1001,MATCH(ROWS($V$2:V368),$V$2:$V$1001,0),1)&gt;=100000,INDEX($AC$1005:$AS$1005,1,MATCH(COLUMNS($AC$1006:AL1006),$AC$1006:$AS$1006,0))&gt;=100000), " ",IF(INDEX($AC$2:$AS$1001,MATCH(ROWS($V$2:V368),$V$2:$V$1001,0),MATCH(COLUMNS($AC$1006:AL1006),$AC$1006:$AS$1006,0)), HYPERLINK("#",""), HYPERLINK(CONCATENATE("#Metadata!", ADDRESS(INDEX($X$2:$X$1001,MATCH(ROWS($V$2:V368),$V$2:$V$1001,0),0), INDEX($AC$1004:$AS$1004,1,MATCH(COLUMNS($AC$1006:AL1006),$AC$1006:$AS$1006,0)))),"Fix")))</f>
        <v>0</v>
      </c>
      <c r="L368" s="5">
        <f>IF(OR(INDEX($W$2:$W$1001,MATCH(ROWS($V$2:V368),$V$2:$V$1001,0),1)&gt;=100000,INDEX($AC$1005:$AS$1005,1,MATCH(COLUMNS($AC$1006:AM1006),$AC$1006:$AS$1006,0))&gt;=100000), " ",IF(INDEX($AC$2:$AS$1001,MATCH(ROWS($V$2:V368),$V$2:$V$1001,0),MATCH(COLUMNS($AC$1006:AM1006),$AC$1006:$AS$1006,0)), HYPERLINK("#",""), HYPERLINK(CONCATENATE("#Metadata!", ADDRESS(INDEX($X$2:$X$1001,MATCH(ROWS($V$2:V368),$V$2:$V$1001,0),0), INDEX($AC$1004:$AS$1004,1,MATCH(COLUMNS($AC$1006:AM1006),$AC$1006:$AS$1006,0)))),"Fix")))</f>
        <v>0</v>
      </c>
      <c r="M368" s="5">
        <f>IF(OR(INDEX($W$2:$W$1001,MATCH(ROWS($V$2:V368),$V$2:$V$1001,0),1)&gt;=100000,INDEX($AC$1005:$AS$1005,1,MATCH(COLUMNS($AC$1006:AN1006),$AC$1006:$AS$1006,0))&gt;=100000), " ",IF(INDEX($AC$2:$AS$1001,MATCH(ROWS($V$2:V368),$V$2:$V$1001,0),MATCH(COLUMNS($AC$1006:AN1006),$AC$1006:$AS$1006,0)), HYPERLINK("#",""), HYPERLINK(CONCATENATE("#Metadata!", ADDRESS(INDEX($X$2:$X$1001,MATCH(ROWS($V$2:V368),$V$2:$V$1001,0),0), INDEX($AC$1004:$AS$1004,1,MATCH(COLUMNS($AC$1006:AN1006),$AC$1006:$AS$1006,0)))),"Fix")))</f>
        <v>0</v>
      </c>
      <c r="N368" s="5">
        <f>IF(OR(INDEX($W$2:$W$1001,MATCH(ROWS($V$2:V368),$V$2:$V$1001,0),1)&gt;=100000,INDEX($AC$1005:$AS$1005,1,MATCH(COLUMNS($AC$1006:AO1006),$AC$1006:$AS$1006,0))&gt;=100000), " ",IF(INDEX($AC$2:$AS$1001,MATCH(ROWS($V$2:V368),$V$2:$V$1001,0),MATCH(COLUMNS($AC$1006:AO1006),$AC$1006:$AS$1006,0)), HYPERLINK("#",""), HYPERLINK(CONCATENATE("#Metadata!", ADDRESS(INDEX($X$2:$X$1001,MATCH(ROWS($V$2:V368),$V$2:$V$1001,0),0), INDEX($AC$1004:$AS$1004,1,MATCH(COLUMNS($AC$1006:AO1006),$AC$1006:$AS$1006,0)))),"Fix")))</f>
        <v>0</v>
      </c>
      <c r="O368" s="5">
        <f>IF(OR(INDEX($W$2:$W$1001,MATCH(ROWS($V$2:V368),$V$2:$V$1001,0),1)&gt;=100000,INDEX($AC$1005:$AS$1005,1,MATCH(COLUMNS($AC$1006:AP1006),$AC$1006:$AS$1006,0))&gt;=100000), " ",IF(INDEX($AC$2:$AS$1001,MATCH(ROWS($V$2:V368),$V$2:$V$1001,0),MATCH(COLUMNS($AC$1006:AP1006),$AC$1006:$AS$1006,0)), HYPERLINK("#",""), HYPERLINK(CONCATENATE("#Metadata!", ADDRESS(INDEX($X$2:$X$1001,MATCH(ROWS($V$2:V368),$V$2:$V$1001,0),0), INDEX($AC$1004:$AS$1004,1,MATCH(COLUMNS($AC$1006:AP1006),$AC$1006:$AS$1006,0)))),"Fix")))</f>
        <v>0</v>
      </c>
      <c r="P368" s="5">
        <f>IF(OR(INDEX($W$2:$W$1001,MATCH(ROWS($V$2:V368),$V$2:$V$1001,0),1)&gt;=100000,INDEX($AC$1005:$AS$1005,1,MATCH(COLUMNS($AC$1006:AQ1006),$AC$1006:$AS$1006,0))&gt;=100000), " ",IF(INDEX($AC$2:$AS$1001,MATCH(ROWS($V$2:V368),$V$2:$V$1001,0),MATCH(COLUMNS($AC$1006:AQ1006),$AC$1006:$AS$1006,0)), HYPERLINK("#",""), HYPERLINK(CONCATENATE("#Metadata!", ADDRESS(INDEX($X$2:$X$1001,MATCH(ROWS($V$2:V368),$V$2:$V$1001,0),0), INDEX($AC$1004:$AS$1004,1,MATCH(COLUMNS($AC$1006:AQ1006),$AC$1006:$AS$1006,0)))),"Fix")))</f>
        <v>0</v>
      </c>
      <c r="Q368" s="5">
        <f>IF(OR(INDEX($W$2:$W$1001,MATCH(ROWS($V$2:V368),$V$2:$V$1001,0),1)&gt;=100000,INDEX($AC$1005:$AS$1005,1,MATCH(COLUMNS($AC$1006:AR1006),$AC$1006:$AS$1006,0))&gt;=100000), " ",IF(INDEX($AC$2:$AS$1001,MATCH(ROWS($V$2:V368),$V$2:$V$1001,0),MATCH(COLUMNS($AC$1006:AR1006),$AC$1006:$AS$1006,0)), HYPERLINK("#",""), HYPERLINK(CONCATENATE("#Metadata!", ADDRESS(INDEX($X$2:$X$1001,MATCH(ROWS($V$2:V368),$V$2:$V$1001,0),0), INDEX($AC$1004:$AS$1004,1,MATCH(COLUMNS($AC$1006:AR1006),$AC$1006:$AS$1006,0)))),"Fix")))</f>
        <v>0</v>
      </c>
      <c r="R368" s="5">
        <f>IF(OR(INDEX($W$2:$W$1001,MATCH(ROWS($V$2:V368),$V$2:$V$1001,0),1)&gt;=100000,INDEX($AC$1005:$AS$1005,1,MATCH(COLUMNS($AC$1006:AS1006),$AC$1006:$AS$1006,0))&gt;=100000), " ",IF(INDEX($AC$2:$AS$1001,MATCH(ROWS($V$2:V368),$V$2:$V$1001,0),MATCH(COLUMNS($AC$1006:AS1006),$AC$1006:$AS$1006,0)), HYPERLINK("#",""), HYPERLINK(CONCATENATE("#Metadata!", ADDRESS(INDEX($X$2:$X$1001,MATCH(ROWS($V$2:V368),$V$2:$V$1001,0),0), INDEX($AC$1004:$AS$1004,1,MATCH(COLUMNS($AC$1006:AS1006),$AC$1006:$AS$1006,0)))),"Fix")))</f>
        <v>0</v>
      </c>
      <c r="V368">
        <v>0</v>
      </c>
      <c r="W368">
        <v>0</v>
      </c>
      <c r="X368">
        <v>0</v>
      </c>
      <c r="Y368">
        <f>IF(Z368,TRUE,AND(AC368:AS368))</f>
        <v>0</v>
      </c>
      <c r="Z368">
        <f>COUNTBLANK(Metadata!B368:R368)=COLUMNS(Metadata!B368:R368)</f>
        <v>0</v>
      </c>
      <c r="AA368">
        <v>0</v>
      </c>
      <c r="AC368">
        <f>AND(IF(Metadata!B368="",FALSE,TRUE),COUNTIF(Metadata!B:B, Metadata!B368) = 1,NOT(ISERROR(SUMPRODUCT(SEARCH(MID(Metadata!B368,ROW(INDIRECT("1:"&amp;LEN(Metadata!B368))), 1),"0123456789abcdefghijklmnopqrstuvwxyzABCDEFGHIJKLMNOPQRSTUVWXYZ.")))))</f>
        <v>0</v>
      </c>
      <c r="AD368">
        <f>AND(IF(Metadata!C368="",FALSE,TRUE),exact(Metadata!C368,"Host-associated"))</f>
        <v>0</v>
      </c>
      <c r="AE368">
        <f>AND(IF(Metadata!D368="",FALSE,TRUE),OR(exact(Metadata!D368,"Animal"),exact(Metadata!D368,"Fungus"),exact(Metadata!D368,"Plant")))</f>
        <v>0</v>
      </c>
      <c r="AF368">
        <f>AND(IF(Metadata!E368="",FALSE,TRUE),OR(exact(Metadata!E368,"Plant secretion"),exact(Metadata!E368,"Plant rhizosphere"),exact(Metadata!E368,"Plant surface"),exact(Metadata!E368,"Plant corpus"),exact(Metadata!E368,"Fungus surface"),exact(Metadata!E368,"Fungus corpus"),exact(Metadata!E368,"Animal surface"),exact(Metadata!E368,"Animal proximal gut"),exact(Metadata!E368,"Animal corpus"),exact(Metadata!E368,"Animal distal gut"),exact(Metadata!E368,"Animal secretion")))</f>
        <v>0</v>
      </c>
      <c r="AG368">
        <f>OR(AND(IF(Metadata!F368="",FALSE,TRUE),OR(exact(Metadata!F368,"not collected"),exact(Metadata!F368,"not provided"),exact(Metadata!F368,"restricted access"))),AND(IF(Metadata!F368="",FALSE,TRUE),OR(exact(Metadata!F368,"organism-associated habitat"),exact(Metadata!F368,"plant-associated habitat"),exact(Metadata!F368,"animal-associated habitat"),exact(Metadata!F368,"insecta-associated habitat"),exact(Metadata!F368,"mammalia-associated habitat"),exact(Metadata!F368,"human-associated habitat"),exact(Metadata!F368,"livestock-associated habitat"))))</f>
        <v>0</v>
      </c>
      <c r="AH368">
        <f>AND(IF(Metadata!G368="",FALSE,TRUE),exact(Metadata!G368,"host-associated"))</f>
        <v>0</v>
      </c>
      <c r="AI368">
        <f>OR(AND(IF(Metadata!H368="",FALSE,TRUE),OR(exact(Metadata!H368,"not collected"),exact(Metadata!H368,"not provided"))),AND(IF(Metadata!H368="",FALSE,ISNUMBER(VALUE(Metadata!H368))),Metadata!H368&gt;0))</f>
        <v>0</v>
      </c>
      <c r="AJ368">
        <f>AND(IF(Metadata!I368="",FALSE,TRUE),exact(Metadata!I368,"years"))</f>
        <v>0</v>
      </c>
      <c r="AK368">
        <f>IF(Metadata!J368="",FALSE,TRUE)</f>
        <v>0</v>
      </c>
      <c r="AL368">
        <f>OR(AND(IF(Metadata!K368="",FALSE,TRUE),OR(exact(Metadata!K368,"not collected"),exact(Metadata!K368,"not provided"))),AND(IF(Metadata!K368="",FALSE,ISNUMBER(VALUE(Metadata!K368))),Metadata!K368&gt;0))</f>
        <v>0</v>
      </c>
      <c r="AM368">
        <f>AND(IF(Metadata!L368="",FALSE,TRUE),exact(Metadata!L368,"cm"))</f>
        <v>0</v>
      </c>
      <c r="AN368">
        <f>IF(Metadata!M368="",FALSE,TRUE)</f>
        <v>0</v>
      </c>
      <c r="AO368">
        <f>OR(AND(IF(Metadata!N368="",FALSE,TRUE),OR(exact(Metadata!N368,"not applicable"),exact(Metadata!N368,"not collected"),exact(Metadata!N368,"not provided"))),AND(IF(Metadata!N368="",FALSE,IF(ISERROR(INT(Metadata!N368)),FALSE,INT(Metadata!N368)=Metadata!N368)),Metadata!N368&gt;0))</f>
        <v>0</v>
      </c>
      <c r="AP368">
        <f>OR(AND(IF(Metadata!O368="",FALSE,TRUE),OR(exact(Metadata!O368,"not collected"),exact(Metadata!O368,"not provided"))),AND(IF(Metadata!O368="",FALSE,ISNUMBER(VALUE(Metadata!O368))),Metadata!O368&gt;0))</f>
        <v>0</v>
      </c>
      <c r="AQ368">
        <f>AND(IF(Metadata!P368="",FALSE,TRUE),exact(Metadata!P368,"kg"))</f>
        <v>0</v>
      </c>
      <c r="AR368">
        <f>OR(AND(IF(Metadata!Q368="",FALSE,TRUE),OR(exact(Metadata!Q368,"not applicable"),exact(Metadata!Q368,"not collected"),exact(Metadata!Q368,"not provided"),exact(Metadata!Q368,"restricted access"))),IF(Metadata!Q368="",FALSE,IF(ISERROR(INT(Metadata!Q368)),FALSE,INT(Metadata!Q368)=Metadata!Q368)))</f>
        <v>0</v>
      </c>
      <c r="AS368">
        <f>AND(IF(Metadata!R368="",FALSE,TRUE),exact(Metadata!R368,"Not applicable"))</f>
        <v>0</v>
      </c>
    </row>
    <row r="369" spans="1:45">
      <c r="A369" s="4">
        <f>IF(B369=" "," ",HYPERLINK(CONCATENATE("#metadata!",ADDRESS(INDEX($X$2:$X$1001,MATCH(ROWS($V$2:V369),$V$2:$V$1001,0),0),2)),INDEX($AA$2:$AA$1001,MATCH(ROWS($V$2:V369),$V$2:$V$1001,0),0)))</f>
        <v>0</v>
      </c>
      <c r="B369" s="5">
        <f>IF(OR(INDEX($W$2:$W$1001,MATCH(ROWS($V$2:V369),$V$2:$V$1001,0),1)&gt;=100000,INDEX($AC$1005:$AS$1005,1,MATCH(COLUMNS($AC$1006:AC1006),$AC$1006:$AS$1006,0))&gt;=100000), " ",IF(INDEX($AC$2:$AS$1001,MATCH(ROWS($V$2:V369),$V$2:$V$1001,0),MATCH(COLUMNS($AC$1006:AC1006),$AC$1006:$AS$1006,0)), HYPERLINK("#",""), HYPERLINK(CONCATENATE("#Metadata!", ADDRESS(INDEX($X$2:$X$1001,MATCH(ROWS($V$2:V369),$V$2:$V$1001,0),0), INDEX($AC$1004:$AS$1004,1,MATCH(COLUMNS($AC$1006:AC1006),$AC$1006:$AS$1006,0)))),"Fix")))</f>
        <v>0</v>
      </c>
      <c r="C369" s="5">
        <f>IF(OR(INDEX($W$2:$W$1001,MATCH(ROWS($V$2:V369),$V$2:$V$1001,0),1)&gt;=100000,INDEX($AC$1005:$AS$1005,1,MATCH(COLUMNS($AC$1006:AD1006),$AC$1006:$AS$1006,0))&gt;=100000), " ",IF(INDEX($AC$2:$AS$1001,MATCH(ROWS($V$2:V369),$V$2:$V$1001,0),MATCH(COLUMNS($AC$1006:AD1006),$AC$1006:$AS$1006,0)), HYPERLINK("#",""), HYPERLINK(CONCATENATE("#Metadata!", ADDRESS(INDEX($X$2:$X$1001,MATCH(ROWS($V$2:V369),$V$2:$V$1001,0),0), INDEX($AC$1004:$AS$1004,1,MATCH(COLUMNS($AC$1006:AD1006),$AC$1006:$AS$1006,0)))),"Fix")))</f>
        <v>0</v>
      </c>
      <c r="D369" s="5">
        <f>IF(OR(INDEX($W$2:$W$1001,MATCH(ROWS($V$2:V369),$V$2:$V$1001,0),1)&gt;=100000,INDEX($AC$1005:$AS$1005,1,MATCH(COLUMNS($AC$1006:AE1006),$AC$1006:$AS$1006,0))&gt;=100000), " ",IF(INDEX($AC$2:$AS$1001,MATCH(ROWS($V$2:V369),$V$2:$V$1001,0),MATCH(COLUMNS($AC$1006:AE1006),$AC$1006:$AS$1006,0)), HYPERLINK("#",""), HYPERLINK(CONCATENATE("#Metadata!", ADDRESS(INDEX($X$2:$X$1001,MATCH(ROWS($V$2:V369),$V$2:$V$1001,0),0), INDEX($AC$1004:$AS$1004,1,MATCH(COLUMNS($AC$1006:AE1006),$AC$1006:$AS$1006,0)))),"Fix")))</f>
        <v>0</v>
      </c>
      <c r="E369" s="5">
        <f>IF(OR(INDEX($W$2:$W$1001,MATCH(ROWS($V$2:V369),$V$2:$V$1001,0),1)&gt;=100000,INDEX($AC$1005:$AS$1005,1,MATCH(COLUMNS($AC$1006:AF1006),$AC$1006:$AS$1006,0))&gt;=100000), " ",IF(INDEX($AC$2:$AS$1001,MATCH(ROWS($V$2:V369),$V$2:$V$1001,0),MATCH(COLUMNS($AC$1006:AF1006),$AC$1006:$AS$1006,0)), HYPERLINK("#",""), HYPERLINK(CONCATENATE("#Metadata!", ADDRESS(INDEX($X$2:$X$1001,MATCH(ROWS($V$2:V369),$V$2:$V$1001,0),0), INDEX($AC$1004:$AS$1004,1,MATCH(COLUMNS($AC$1006:AF1006),$AC$1006:$AS$1006,0)))),"Fix")))</f>
        <v>0</v>
      </c>
      <c r="F369" s="5">
        <f>IF(OR(INDEX($W$2:$W$1001,MATCH(ROWS($V$2:V369),$V$2:$V$1001,0),1)&gt;=100000,INDEX($AC$1005:$AS$1005,1,MATCH(COLUMNS($AC$1006:AG1006),$AC$1006:$AS$1006,0))&gt;=100000), " ",IF(INDEX($AC$2:$AS$1001,MATCH(ROWS($V$2:V369),$V$2:$V$1001,0),MATCH(COLUMNS($AC$1006:AG1006),$AC$1006:$AS$1006,0)), HYPERLINK("#",""), HYPERLINK(CONCATENATE("#Metadata!", ADDRESS(INDEX($X$2:$X$1001,MATCH(ROWS($V$2:V369),$V$2:$V$1001,0),0), INDEX($AC$1004:$AS$1004,1,MATCH(COLUMNS($AC$1006:AG1006),$AC$1006:$AS$1006,0)))),"Fix")))</f>
        <v>0</v>
      </c>
      <c r="G369" s="5">
        <f>IF(OR(INDEX($W$2:$W$1001,MATCH(ROWS($V$2:V369),$V$2:$V$1001,0),1)&gt;=100000,INDEX($AC$1005:$AS$1005,1,MATCH(COLUMNS($AC$1006:AH1006),$AC$1006:$AS$1006,0))&gt;=100000), " ",IF(INDEX($AC$2:$AS$1001,MATCH(ROWS($V$2:V369),$V$2:$V$1001,0),MATCH(COLUMNS($AC$1006:AH1006),$AC$1006:$AS$1006,0)), HYPERLINK("#",""), HYPERLINK(CONCATENATE("#Metadata!", ADDRESS(INDEX($X$2:$X$1001,MATCH(ROWS($V$2:V369),$V$2:$V$1001,0),0), INDEX($AC$1004:$AS$1004,1,MATCH(COLUMNS($AC$1006:AH1006),$AC$1006:$AS$1006,0)))),"Fix")))</f>
        <v>0</v>
      </c>
      <c r="H369" s="5">
        <f>IF(OR(INDEX($W$2:$W$1001,MATCH(ROWS($V$2:V369),$V$2:$V$1001,0),1)&gt;=100000,INDEX($AC$1005:$AS$1005,1,MATCH(COLUMNS($AC$1006:AI1006),$AC$1006:$AS$1006,0))&gt;=100000), " ",IF(INDEX($AC$2:$AS$1001,MATCH(ROWS($V$2:V369),$V$2:$V$1001,0),MATCH(COLUMNS($AC$1006:AI1006),$AC$1006:$AS$1006,0)), HYPERLINK("#",""), HYPERLINK(CONCATENATE("#Metadata!", ADDRESS(INDEX($X$2:$X$1001,MATCH(ROWS($V$2:V369),$V$2:$V$1001,0),0), INDEX($AC$1004:$AS$1004,1,MATCH(COLUMNS($AC$1006:AI1006),$AC$1006:$AS$1006,0)))),"Fix")))</f>
        <v>0</v>
      </c>
      <c r="I369" s="5">
        <f>IF(OR(INDEX($W$2:$W$1001,MATCH(ROWS($V$2:V369),$V$2:$V$1001,0),1)&gt;=100000,INDEX($AC$1005:$AS$1005,1,MATCH(COLUMNS($AC$1006:AJ1006),$AC$1006:$AS$1006,0))&gt;=100000), " ",IF(INDEX($AC$2:$AS$1001,MATCH(ROWS($V$2:V369),$V$2:$V$1001,0),MATCH(COLUMNS($AC$1006:AJ1006),$AC$1006:$AS$1006,0)), HYPERLINK("#",""), HYPERLINK(CONCATENATE("#Metadata!", ADDRESS(INDEX($X$2:$X$1001,MATCH(ROWS($V$2:V369),$V$2:$V$1001,0),0), INDEX($AC$1004:$AS$1004,1,MATCH(COLUMNS($AC$1006:AJ1006),$AC$1006:$AS$1006,0)))),"Fix")))</f>
        <v>0</v>
      </c>
      <c r="J369" s="5">
        <f>IF(OR(INDEX($W$2:$W$1001,MATCH(ROWS($V$2:V369),$V$2:$V$1001,0),1)&gt;=100000,INDEX($AC$1005:$AS$1005,1,MATCH(COLUMNS($AC$1006:AK1006),$AC$1006:$AS$1006,0))&gt;=100000), " ",IF(INDEX($AC$2:$AS$1001,MATCH(ROWS($V$2:V369),$V$2:$V$1001,0),MATCH(COLUMNS($AC$1006:AK1006),$AC$1006:$AS$1006,0)), HYPERLINK("#",""), HYPERLINK(CONCATENATE("#Metadata!", ADDRESS(INDEX($X$2:$X$1001,MATCH(ROWS($V$2:V369),$V$2:$V$1001,0),0), INDEX($AC$1004:$AS$1004,1,MATCH(COLUMNS($AC$1006:AK1006),$AC$1006:$AS$1006,0)))),"Fix")))</f>
        <v>0</v>
      </c>
      <c r="K369" s="5">
        <f>IF(OR(INDEX($W$2:$W$1001,MATCH(ROWS($V$2:V369),$V$2:$V$1001,0),1)&gt;=100000,INDEX($AC$1005:$AS$1005,1,MATCH(COLUMNS($AC$1006:AL1006),$AC$1006:$AS$1006,0))&gt;=100000), " ",IF(INDEX($AC$2:$AS$1001,MATCH(ROWS($V$2:V369),$V$2:$V$1001,0),MATCH(COLUMNS($AC$1006:AL1006),$AC$1006:$AS$1006,0)), HYPERLINK("#",""), HYPERLINK(CONCATENATE("#Metadata!", ADDRESS(INDEX($X$2:$X$1001,MATCH(ROWS($V$2:V369),$V$2:$V$1001,0),0), INDEX($AC$1004:$AS$1004,1,MATCH(COLUMNS($AC$1006:AL1006),$AC$1006:$AS$1006,0)))),"Fix")))</f>
        <v>0</v>
      </c>
      <c r="L369" s="5">
        <f>IF(OR(INDEX($W$2:$W$1001,MATCH(ROWS($V$2:V369),$V$2:$V$1001,0),1)&gt;=100000,INDEX($AC$1005:$AS$1005,1,MATCH(COLUMNS($AC$1006:AM1006),$AC$1006:$AS$1006,0))&gt;=100000), " ",IF(INDEX($AC$2:$AS$1001,MATCH(ROWS($V$2:V369),$V$2:$V$1001,0),MATCH(COLUMNS($AC$1006:AM1006),$AC$1006:$AS$1006,0)), HYPERLINK("#",""), HYPERLINK(CONCATENATE("#Metadata!", ADDRESS(INDEX($X$2:$X$1001,MATCH(ROWS($V$2:V369),$V$2:$V$1001,0),0), INDEX($AC$1004:$AS$1004,1,MATCH(COLUMNS($AC$1006:AM1006),$AC$1006:$AS$1006,0)))),"Fix")))</f>
        <v>0</v>
      </c>
      <c r="M369" s="5">
        <f>IF(OR(INDEX($W$2:$W$1001,MATCH(ROWS($V$2:V369),$V$2:$V$1001,0),1)&gt;=100000,INDEX($AC$1005:$AS$1005,1,MATCH(COLUMNS($AC$1006:AN1006),$AC$1006:$AS$1006,0))&gt;=100000), " ",IF(INDEX($AC$2:$AS$1001,MATCH(ROWS($V$2:V369),$V$2:$V$1001,0),MATCH(COLUMNS($AC$1006:AN1006),$AC$1006:$AS$1006,0)), HYPERLINK("#",""), HYPERLINK(CONCATENATE("#Metadata!", ADDRESS(INDEX($X$2:$X$1001,MATCH(ROWS($V$2:V369),$V$2:$V$1001,0),0), INDEX($AC$1004:$AS$1004,1,MATCH(COLUMNS($AC$1006:AN1006),$AC$1006:$AS$1006,0)))),"Fix")))</f>
        <v>0</v>
      </c>
      <c r="N369" s="5">
        <f>IF(OR(INDEX($W$2:$W$1001,MATCH(ROWS($V$2:V369),$V$2:$V$1001,0),1)&gt;=100000,INDEX($AC$1005:$AS$1005,1,MATCH(COLUMNS($AC$1006:AO1006),$AC$1006:$AS$1006,0))&gt;=100000), " ",IF(INDEX($AC$2:$AS$1001,MATCH(ROWS($V$2:V369),$V$2:$V$1001,0),MATCH(COLUMNS($AC$1006:AO1006),$AC$1006:$AS$1006,0)), HYPERLINK("#",""), HYPERLINK(CONCATENATE("#Metadata!", ADDRESS(INDEX($X$2:$X$1001,MATCH(ROWS($V$2:V369),$V$2:$V$1001,0),0), INDEX($AC$1004:$AS$1004,1,MATCH(COLUMNS($AC$1006:AO1006),$AC$1006:$AS$1006,0)))),"Fix")))</f>
        <v>0</v>
      </c>
      <c r="O369" s="5">
        <f>IF(OR(INDEX($W$2:$W$1001,MATCH(ROWS($V$2:V369),$V$2:$V$1001,0),1)&gt;=100000,INDEX($AC$1005:$AS$1005,1,MATCH(COLUMNS($AC$1006:AP1006),$AC$1006:$AS$1006,0))&gt;=100000), " ",IF(INDEX($AC$2:$AS$1001,MATCH(ROWS($V$2:V369),$V$2:$V$1001,0),MATCH(COLUMNS($AC$1006:AP1006),$AC$1006:$AS$1006,0)), HYPERLINK("#",""), HYPERLINK(CONCATENATE("#Metadata!", ADDRESS(INDEX($X$2:$X$1001,MATCH(ROWS($V$2:V369),$V$2:$V$1001,0),0), INDEX($AC$1004:$AS$1004,1,MATCH(COLUMNS($AC$1006:AP1006),$AC$1006:$AS$1006,0)))),"Fix")))</f>
        <v>0</v>
      </c>
      <c r="P369" s="5">
        <f>IF(OR(INDEX($W$2:$W$1001,MATCH(ROWS($V$2:V369),$V$2:$V$1001,0),1)&gt;=100000,INDEX($AC$1005:$AS$1005,1,MATCH(COLUMNS($AC$1006:AQ1006),$AC$1006:$AS$1006,0))&gt;=100000), " ",IF(INDEX($AC$2:$AS$1001,MATCH(ROWS($V$2:V369),$V$2:$V$1001,0),MATCH(COLUMNS($AC$1006:AQ1006),$AC$1006:$AS$1006,0)), HYPERLINK("#",""), HYPERLINK(CONCATENATE("#Metadata!", ADDRESS(INDEX($X$2:$X$1001,MATCH(ROWS($V$2:V369),$V$2:$V$1001,0),0), INDEX($AC$1004:$AS$1004,1,MATCH(COLUMNS($AC$1006:AQ1006),$AC$1006:$AS$1006,0)))),"Fix")))</f>
        <v>0</v>
      </c>
      <c r="Q369" s="5">
        <f>IF(OR(INDEX($W$2:$W$1001,MATCH(ROWS($V$2:V369),$V$2:$V$1001,0),1)&gt;=100000,INDEX($AC$1005:$AS$1005,1,MATCH(COLUMNS($AC$1006:AR1006),$AC$1006:$AS$1006,0))&gt;=100000), " ",IF(INDEX($AC$2:$AS$1001,MATCH(ROWS($V$2:V369),$V$2:$V$1001,0),MATCH(COLUMNS($AC$1006:AR1006),$AC$1006:$AS$1006,0)), HYPERLINK("#",""), HYPERLINK(CONCATENATE("#Metadata!", ADDRESS(INDEX($X$2:$X$1001,MATCH(ROWS($V$2:V369),$V$2:$V$1001,0),0), INDEX($AC$1004:$AS$1004,1,MATCH(COLUMNS($AC$1006:AR1006),$AC$1006:$AS$1006,0)))),"Fix")))</f>
        <v>0</v>
      </c>
      <c r="R369" s="5">
        <f>IF(OR(INDEX($W$2:$W$1001,MATCH(ROWS($V$2:V369),$V$2:$V$1001,0),1)&gt;=100000,INDEX($AC$1005:$AS$1005,1,MATCH(COLUMNS($AC$1006:AS1006),$AC$1006:$AS$1006,0))&gt;=100000), " ",IF(INDEX($AC$2:$AS$1001,MATCH(ROWS($V$2:V369),$V$2:$V$1001,0),MATCH(COLUMNS($AC$1006:AS1006),$AC$1006:$AS$1006,0)), HYPERLINK("#",""), HYPERLINK(CONCATENATE("#Metadata!", ADDRESS(INDEX($X$2:$X$1001,MATCH(ROWS($V$2:V369),$V$2:$V$1001,0),0), INDEX($AC$1004:$AS$1004,1,MATCH(COLUMNS($AC$1006:AS1006),$AC$1006:$AS$1006,0)))),"Fix")))</f>
        <v>0</v>
      </c>
      <c r="V369">
        <v>0</v>
      </c>
      <c r="W369">
        <v>0</v>
      </c>
      <c r="X369">
        <v>0</v>
      </c>
      <c r="Y369">
        <f>IF(Z369,TRUE,AND(AC369:AS369))</f>
        <v>0</v>
      </c>
      <c r="Z369">
        <f>COUNTBLANK(Metadata!B369:R369)=COLUMNS(Metadata!B369:R369)</f>
        <v>0</v>
      </c>
      <c r="AA369">
        <v>0</v>
      </c>
      <c r="AC369">
        <f>AND(IF(Metadata!B369="",FALSE,TRUE),COUNTIF(Metadata!B:B, Metadata!B369) = 1,NOT(ISERROR(SUMPRODUCT(SEARCH(MID(Metadata!B369,ROW(INDIRECT("1:"&amp;LEN(Metadata!B369))), 1),"0123456789abcdefghijklmnopqrstuvwxyzABCDEFGHIJKLMNOPQRSTUVWXYZ.")))))</f>
        <v>0</v>
      </c>
      <c r="AD369">
        <f>AND(IF(Metadata!C369="",FALSE,TRUE),exact(Metadata!C369,"Host-associated"))</f>
        <v>0</v>
      </c>
      <c r="AE369">
        <f>AND(IF(Metadata!D369="",FALSE,TRUE),OR(exact(Metadata!D369,"Animal"),exact(Metadata!D369,"Fungus"),exact(Metadata!D369,"Plant")))</f>
        <v>0</v>
      </c>
      <c r="AF369">
        <f>AND(IF(Metadata!E369="",FALSE,TRUE),OR(exact(Metadata!E369,"Plant secretion"),exact(Metadata!E369,"Plant rhizosphere"),exact(Metadata!E369,"Plant surface"),exact(Metadata!E369,"Plant corpus"),exact(Metadata!E369,"Fungus surface"),exact(Metadata!E369,"Fungus corpus"),exact(Metadata!E369,"Animal surface"),exact(Metadata!E369,"Animal proximal gut"),exact(Metadata!E369,"Animal corpus"),exact(Metadata!E369,"Animal distal gut"),exact(Metadata!E369,"Animal secretion")))</f>
        <v>0</v>
      </c>
      <c r="AG369">
        <f>OR(AND(IF(Metadata!F369="",FALSE,TRUE),OR(exact(Metadata!F369,"not collected"),exact(Metadata!F369,"not provided"),exact(Metadata!F369,"restricted access"))),AND(IF(Metadata!F369="",FALSE,TRUE),OR(exact(Metadata!F369,"organism-associated habitat"),exact(Metadata!F369,"plant-associated habitat"),exact(Metadata!F369,"animal-associated habitat"),exact(Metadata!F369,"insecta-associated habitat"),exact(Metadata!F369,"mammalia-associated habitat"),exact(Metadata!F369,"human-associated habitat"),exact(Metadata!F369,"livestock-associated habitat"))))</f>
        <v>0</v>
      </c>
      <c r="AH369">
        <f>AND(IF(Metadata!G369="",FALSE,TRUE),exact(Metadata!G369,"host-associated"))</f>
        <v>0</v>
      </c>
      <c r="AI369">
        <f>OR(AND(IF(Metadata!H369="",FALSE,TRUE),OR(exact(Metadata!H369,"not collected"),exact(Metadata!H369,"not provided"))),AND(IF(Metadata!H369="",FALSE,ISNUMBER(VALUE(Metadata!H369))),Metadata!H369&gt;0))</f>
        <v>0</v>
      </c>
      <c r="AJ369">
        <f>AND(IF(Metadata!I369="",FALSE,TRUE),exact(Metadata!I369,"years"))</f>
        <v>0</v>
      </c>
      <c r="AK369">
        <f>IF(Metadata!J369="",FALSE,TRUE)</f>
        <v>0</v>
      </c>
      <c r="AL369">
        <f>OR(AND(IF(Metadata!K369="",FALSE,TRUE),OR(exact(Metadata!K369,"not collected"),exact(Metadata!K369,"not provided"))),AND(IF(Metadata!K369="",FALSE,ISNUMBER(VALUE(Metadata!K369))),Metadata!K369&gt;0))</f>
        <v>0</v>
      </c>
      <c r="AM369">
        <f>AND(IF(Metadata!L369="",FALSE,TRUE),exact(Metadata!L369,"cm"))</f>
        <v>0</v>
      </c>
      <c r="AN369">
        <f>IF(Metadata!M369="",FALSE,TRUE)</f>
        <v>0</v>
      </c>
      <c r="AO369">
        <f>OR(AND(IF(Metadata!N369="",FALSE,TRUE),OR(exact(Metadata!N369,"not applicable"),exact(Metadata!N369,"not collected"),exact(Metadata!N369,"not provided"))),AND(IF(Metadata!N369="",FALSE,IF(ISERROR(INT(Metadata!N369)),FALSE,INT(Metadata!N369)=Metadata!N369)),Metadata!N369&gt;0))</f>
        <v>0</v>
      </c>
      <c r="AP369">
        <f>OR(AND(IF(Metadata!O369="",FALSE,TRUE),OR(exact(Metadata!O369,"not collected"),exact(Metadata!O369,"not provided"))),AND(IF(Metadata!O369="",FALSE,ISNUMBER(VALUE(Metadata!O369))),Metadata!O369&gt;0))</f>
        <v>0</v>
      </c>
      <c r="AQ369">
        <f>AND(IF(Metadata!P369="",FALSE,TRUE),exact(Metadata!P369,"kg"))</f>
        <v>0</v>
      </c>
      <c r="AR369">
        <f>OR(AND(IF(Metadata!Q369="",FALSE,TRUE),OR(exact(Metadata!Q369,"not applicable"),exact(Metadata!Q369,"not collected"),exact(Metadata!Q369,"not provided"),exact(Metadata!Q369,"restricted access"))),IF(Metadata!Q369="",FALSE,IF(ISERROR(INT(Metadata!Q369)),FALSE,INT(Metadata!Q369)=Metadata!Q369)))</f>
        <v>0</v>
      </c>
      <c r="AS369">
        <f>AND(IF(Metadata!R369="",FALSE,TRUE),exact(Metadata!R369,"Not applicable"))</f>
        <v>0</v>
      </c>
    </row>
    <row r="370" spans="1:45">
      <c r="A370" s="4">
        <f>IF(B370=" "," ",HYPERLINK(CONCATENATE("#metadata!",ADDRESS(INDEX($X$2:$X$1001,MATCH(ROWS($V$2:V370),$V$2:$V$1001,0),0),2)),INDEX($AA$2:$AA$1001,MATCH(ROWS($V$2:V370),$V$2:$V$1001,0),0)))</f>
        <v>0</v>
      </c>
      <c r="B370" s="5">
        <f>IF(OR(INDEX($W$2:$W$1001,MATCH(ROWS($V$2:V370),$V$2:$V$1001,0),1)&gt;=100000,INDEX($AC$1005:$AS$1005,1,MATCH(COLUMNS($AC$1006:AC1006),$AC$1006:$AS$1006,0))&gt;=100000), " ",IF(INDEX($AC$2:$AS$1001,MATCH(ROWS($V$2:V370),$V$2:$V$1001,0),MATCH(COLUMNS($AC$1006:AC1006),$AC$1006:$AS$1006,0)), HYPERLINK("#",""), HYPERLINK(CONCATENATE("#Metadata!", ADDRESS(INDEX($X$2:$X$1001,MATCH(ROWS($V$2:V370),$V$2:$V$1001,0),0), INDEX($AC$1004:$AS$1004,1,MATCH(COLUMNS($AC$1006:AC1006),$AC$1006:$AS$1006,0)))),"Fix")))</f>
        <v>0</v>
      </c>
      <c r="C370" s="5">
        <f>IF(OR(INDEX($W$2:$W$1001,MATCH(ROWS($V$2:V370),$V$2:$V$1001,0),1)&gt;=100000,INDEX($AC$1005:$AS$1005,1,MATCH(COLUMNS($AC$1006:AD1006),$AC$1006:$AS$1006,0))&gt;=100000), " ",IF(INDEX($AC$2:$AS$1001,MATCH(ROWS($V$2:V370),$V$2:$V$1001,0),MATCH(COLUMNS($AC$1006:AD1006),$AC$1006:$AS$1006,0)), HYPERLINK("#",""), HYPERLINK(CONCATENATE("#Metadata!", ADDRESS(INDEX($X$2:$X$1001,MATCH(ROWS($V$2:V370),$V$2:$V$1001,0),0), INDEX($AC$1004:$AS$1004,1,MATCH(COLUMNS($AC$1006:AD1006),$AC$1006:$AS$1006,0)))),"Fix")))</f>
        <v>0</v>
      </c>
      <c r="D370" s="5">
        <f>IF(OR(INDEX($W$2:$W$1001,MATCH(ROWS($V$2:V370),$V$2:$V$1001,0),1)&gt;=100000,INDEX($AC$1005:$AS$1005,1,MATCH(COLUMNS($AC$1006:AE1006),$AC$1006:$AS$1006,0))&gt;=100000), " ",IF(INDEX($AC$2:$AS$1001,MATCH(ROWS($V$2:V370),$V$2:$V$1001,0),MATCH(COLUMNS($AC$1006:AE1006),$AC$1006:$AS$1006,0)), HYPERLINK("#",""), HYPERLINK(CONCATENATE("#Metadata!", ADDRESS(INDEX($X$2:$X$1001,MATCH(ROWS($V$2:V370),$V$2:$V$1001,0),0), INDEX($AC$1004:$AS$1004,1,MATCH(COLUMNS($AC$1006:AE1006),$AC$1006:$AS$1006,0)))),"Fix")))</f>
        <v>0</v>
      </c>
      <c r="E370" s="5">
        <f>IF(OR(INDEX($W$2:$W$1001,MATCH(ROWS($V$2:V370),$V$2:$V$1001,0),1)&gt;=100000,INDEX($AC$1005:$AS$1005,1,MATCH(COLUMNS($AC$1006:AF1006),$AC$1006:$AS$1006,0))&gt;=100000), " ",IF(INDEX($AC$2:$AS$1001,MATCH(ROWS($V$2:V370),$V$2:$V$1001,0),MATCH(COLUMNS($AC$1006:AF1006),$AC$1006:$AS$1006,0)), HYPERLINK("#",""), HYPERLINK(CONCATENATE("#Metadata!", ADDRESS(INDEX($X$2:$X$1001,MATCH(ROWS($V$2:V370),$V$2:$V$1001,0),0), INDEX($AC$1004:$AS$1004,1,MATCH(COLUMNS($AC$1006:AF1006),$AC$1006:$AS$1006,0)))),"Fix")))</f>
        <v>0</v>
      </c>
      <c r="F370" s="5">
        <f>IF(OR(INDEX($W$2:$W$1001,MATCH(ROWS($V$2:V370),$V$2:$V$1001,0),1)&gt;=100000,INDEX($AC$1005:$AS$1005,1,MATCH(COLUMNS($AC$1006:AG1006),$AC$1006:$AS$1006,0))&gt;=100000), " ",IF(INDEX($AC$2:$AS$1001,MATCH(ROWS($V$2:V370),$V$2:$V$1001,0),MATCH(COLUMNS($AC$1006:AG1006),$AC$1006:$AS$1006,0)), HYPERLINK("#",""), HYPERLINK(CONCATENATE("#Metadata!", ADDRESS(INDEX($X$2:$X$1001,MATCH(ROWS($V$2:V370),$V$2:$V$1001,0),0), INDEX($AC$1004:$AS$1004,1,MATCH(COLUMNS($AC$1006:AG1006),$AC$1006:$AS$1006,0)))),"Fix")))</f>
        <v>0</v>
      </c>
      <c r="G370" s="5">
        <f>IF(OR(INDEX($W$2:$W$1001,MATCH(ROWS($V$2:V370),$V$2:$V$1001,0),1)&gt;=100000,INDEX($AC$1005:$AS$1005,1,MATCH(COLUMNS($AC$1006:AH1006),$AC$1006:$AS$1006,0))&gt;=100000), " ",IF(INDEX($AC$2:$AS$1001,MATCH(ROWS($V$2:V370),$V$2:$V$1001,0),MATCH(COLUMNS($AC$1006:AH1006),$AC$1006:$AS$1006,0)), HYPERLINK("#",""), HYPERLINK(CONCATENATE("#Metadata!", ADDRESS(INDEX($X$2:$X$1001,MATCH(ROWS($V$2:V370),$V$2:$V$1001,0),0), INDEX($AC$1004:$AS$1004,1,MATCH(COLUMNS($AC$1006:AH1006),$AC$1006:$AS$1006,0)))),"Fix")))</f>
        <v>0</v>
      </c>
      <c r="H370" s="5">
        <f>IF(OR(INDEX($W$2:$W$1001,MATCH(ROWS($V$2:V370),$V$2:$V$1001,0),1)&gt;=100000,INDEX($AC$1005:$AS$1005,1,MATCH(COLUMNS($AC$1006:AI1006),$AC$1006:$AS$1006,0))&gt;=100000), " ",IF(INDEX($AC$2:$AS$1001,MATCH(ROWS($V$2:V370),$V$2:$V$1001,0),MATCH(COLUMNS($AC$1006:AI1006),$AC$1006:$AS$1006,0)), HYPERLINK("#",""), HYPERLINK(CONCATENATE("#Metadata!", ADDRESS(INDEX($X$2:$X$1001,MATCH(ROWS($V$2:V370),$V$2:$V$1001,0),0), INDEX($AC$1004:$AS$1004,1,MATCH(COLUMNS($AC$1006:AI1006),$AC$1006:$AS$1006,0)))),"Fix")))</f>
        <v>0</v>
      </c>
      <c r="I370" s="5">
        <f>IF(OR(INDEX($W$2:$W$1001,MATCH(ROWS($V$2:V370),$V$2:$V$1001,0),1)&gt;=100000,INDEX($AC$1005:$AS$1005,1,MATCH(COLUMNS($AC$1006:AJ1006),$AC$1006:$AS$1006,0))&gt;=100000), " ",IF(INDEX($AC$2:$AS$1001,MATCH(ROWS($V$2:V370),$V$2:$V$1001,0),MATCH(COLUMNS($AC$1006:AJ1006),$AC$1006:$AS$1006,0)), HYPERLINK("#",""), HYPERLINK(CONCATENATE("#Metadata!", ADDRESS(INDEX($X$2:$X$1001,MATCH(ROWS($V$2:V370),$V$2:$V$1001,0),0), INDEX($AC$1004:$AS$1004,1,MATCH(COLUMNS($AC$1006:AJ1006),$AC$1006:$AS$1006,0)))),"Fix")))</f>
        <v>0</v>
      </c>
      <c r="J370" s="5">
        <f>IF(OR(INDEX($W$2:$W$1001,MATCH(ROWS($V$2:V370),$V$2:$V$1001,0),1)&gt;=100000,INDEX($AC$1005:$AS$1005,1,MATCH(COLUMNS($AC$1006:AK1006),$AC$1006:$AS$1006,0))&gt;=100000), " ",IF(INDEX($AC$2:$AS$1001,MATCH(ROWS($V$2:V370),$V$2:$V$1001,0),MATCH(COLUMNS($AC$1006:AK1006),$AC$1006:$AS$1006,0)), HYPERLINK("#",""), HYPERLINK(CONCATENATE("#Metadata!", ADDRESS(INDEX($X$2:$X$1001,MATCH(ROWS($V$2:V370),$V$2:$V$1001,0),0), INDEX($AC$1004:$AS$1004,1,MATCH(COLUMNS($AC$1006:AK1006),$AC$1006:$AS$1006,0)))),"Fix")))</f>
        <v>0</v>
      </c>
      <c r="K370" s="5">
        <f>IF(OR(INDEX($W$2:$W$1001,MATCH(ROWS($V$2:V370),$V$2:$V$1001,0),1)&gt;=100000,INDEX($AC$1005:$AS$1005,1,MATCH(COLUMNS($AC$1006:AL1006),$AC$1006:$AS$1006,0))&gt;=100000), " ",IF(INDEX($AC$2:$AS$1001,MATCH(ROWS($V$2:V370),$V$2:$V$1001,0),MATCH(COLUMNS($AC$1006:AL1006),$AC$1006:$AS$1006,0)), HYPERLINK("#",""), HYPERLINK(CONCATENATE("#Metadata!", ADDRESS(INDEX($X$2:$X$1001,MATCH(ROWS($V$2:V370),$V$2:$V$1001,0),0), INDEX($AC$1004:$AS$1004,1,MATCH(COLUMNS($AC$1006:AL1006),$AC$1006:$AS$1006,0)))),"Fix")))</f>
        <v>0</v>
      </c>
      <c r="L370" s="5">
        <f>IF(OR(INDEX($W$2:$W$1001,MATCH(ROWS($V$2:V370),$V$2:$V$1001,0),1)&gt;=100000,INDEX($AC$1005:$AS$1005,1,MATCH(COLUMNS($AC$1006:AM1006),$AC$1006:$AS$1006,0))&gt;=100000), " ",IF(INDEX($AC$2:$AS$1001,MATCH(ROWS($V$2:V370),$V$2:$V$1001,0),MATCH(COLUMNS($AC$1006:AM1006),$AC$1006:$AS$1006,0)), HYPERLINK("#",""), HYPERLINK(CONCATENATE("#Metadata!", ADDRESS(INDEX($X$2:$X$1001,MATCH(ROWS($V$2:V370),$V$2:$V$1001,0),0), INDEX($AC$1004:$AS$1004,1,MATCH(COLUMNS($AC$1006:AM1006),$AC$1006:$AS$1006,0)))),"Fix")))</f>
        <v>0</v>
      </c>
      <c r="M370" s="5">
        <f>IF(OR(INDEX($W$2:$W$1001,MATCH(ROWS($V$2:V370),$V$2:$V$1001,0),1)&gt;=100000,INDEX($AC$1005:$AS$1005,1,MATCH(COLUMNS($AC$1006:AN1006),$AC$1006:$AS$1006,0))&gt;=100000), " ",IF(INDEX($AC$2:$AS$1001,MATCH(ROWS($V$2:V370),$V$2:$V$1001,0),MATCH(COLUMNS($AC$1006:AN1006),$AC$1006:$AS$1006,0)), HYPERLINK("#",""), HYPERLINK(CONCATENATE("#Metadata!", ADDRESS(INDEX($X$2:$X$1001,MATCH(ROWS($V$2:V370),$V$2:$V$1001,0),0), INDEX($AC$1004:$AS$1004,1,MATCH(COLUMNS($AC$1006:AN1006),$AC$1006:$AS$1006,0)))),"Fix")))</f>
        <v>0</v>
      </c>
      <c r="N370" s="5">
        <f>IF(OR(INDEX($W$2:$W$1001,MATCH(ROWS($V$2:V370),$V$2:$V$1001,0),1)&gt;=100000,INDEX($AC$1005:$AS$1005,1,MATCH(COLUMNS($AC$1006:AO1006),$AC$1006:$AS$1006,0))&gt;=100000), " ",IF(INDEX($AC$2:$AS$1001,MATCH(ROWS($V$2:V370),$V$2:$V$1001,0),MATCH(COLUMNS($AC$1006:AO1006),$AC$1006:$AS$1006,0)), HYPERLINK("#",""), HYPERLINK(CONCATENATE("#Metadata!", ADDRESS(INDEX($X$2:$X$1001,MATCH(ROWS($V$2:V370),$V$2:$V$1001,0),0), INDEX($AC$1004:$AS$1004,1,MATCH(COLUMNS($AC$1006:AO1006),$AC$1006:$AS$1006,0)))),"Fix")))</f>
        <v>0</v>
      </c>
      <c r="O370" s="5">
        <f>IF(OR(INDEX($W$2:$W$1001,MATCH(ROWS($V$2:V370),$V$2:$V$1001,0),1)&gt;=100000,INDEX($AC$1005:$AS$1005,1,MATCH(COLUMNS($AC$1006:AP1006),$AC$1006:$AS$1006,0))&gt;=100000), " ",IF(INDEX($AC$2:$AS$1001,MATCH(ROWS($V$2:V370),$V$2:$V$1001,0),MATCH(COLUMNS($AC$1006:AP1006),$AC$1006:$AS$1006,0)), HYPERLINK("#",""), HYPERLINK(CONCATENATE("#Metadata!", ADDRESS(INDEX($X$2:$X$1001,MATCH(ROWS($V$2:V370),$V$2:$V$1001,0),0), INDEX($AC$1004:$AS$1004,1,MATCH(COLUMNS($AC$1006:AP1006),$AC$1006:$AS$1006,0)))),"Fix")))</f>
        <v>0</v>
      </c>
      <c r="P370" s="5">
        <f>IF(OR(INDEX($W$2:$W$1001,MATCH(ROWS($V$2:V370),$V$2:$V$1001,0),1)&gt;=100000,INDEX($AC$1005:$AS$1005,1,MATCH(COLUMNS($AC$1006:AQ1006),$AC$1006:$AS$1006,0))&gt;=100000), " ",IF(INDEX($AC$2:$AS$1001,MATCH(ROWS($V$2:V370),$V$2:$V$1001,0),MATCH(COLUMNS($AC$1006:AQ1006),$AC$1006:$AS$1006,0)), HYPERLINK("#",""), HYPERLINK(CONCATENATE("#Metadata!", ADDRESS(INDEX($X$2:$X$1001,MATCH(ROWS($V$2:V370),$V$2:$V$1001,0),0), INDEX($AC$1004:$AS$1004,1,MATCH(COLUMNS($AC$1006:AQ1006),$AC$1006:$AS$1006,0)))),"Fix")))</f>
        <v>0</v>
      </c>
      <c r="Q370" s="5">
        <f>IF(OR(INDEX($W$2:$W$1001,MATCH(ROWS($V$2:V370),$V$2:$V$1001,0),1)&gt;=100000,INDEX($AC$1005:$AS$1005,1,MATCH(COLUMNS($AC$1006:AR1006),$AC$1006:$AS$1006,0))&gt;=100000), " ",IF(INDEX($AC$2:$AS$1001,MATCH(ROWS($V$2:V370),$V$2:$V$1001,0),MATCH(COLUMNS($AC$1006:AR1006),$AC$1006:$AS$1006,0)), HYPERLINK("#",""), HYPERLINK(CONCATENATE("#Metadata!", ADDRESS(INDEX($X$2:$X$1001,MATCH(ROWS($V$2:V370),$V$2:$V$1001,0),0), INDEX($AC$1004:$AS$1004,1,MATCH(COLUMNS($AC$1006:AR1006),$AC$1006:$AS$1006,0)))),"Fix")))</f>
        <v>0</v>
      </c>
      <c r="R370" s="5">
        <f>IF(OR(INDEX($W$2:$W$1001,MATCH(ROWS($V$2:V370),$V$2:$V$1001,0),1)&gt;=100000,INDEX($AC$1005:$AS$1005,1,MATCH(COLUMNS($AC$1006:AS1006),$AC$1006:$AS$1006,0))&gt;=100000), " ",IF(INDEX($AC$2:$AS$1001,MATCH(ROWS($V$2:V370),$V$2:$V$1001,0),MATCH(COLUMNS($AC$1006:AS1006),$AC$1006:$AS$1006,0)), HYPERLINK("#",""), HYPERLINK(CONCATENATE("#Metadata!", ADDRESS(INDEX($X$2:$X$1001,MATCH(ROWS($V$2:V370),$V$2:$V$1001,0),0), INDEX($AC$1004:$AS$1004,1,MATCH(COLUMNS($AC$1006:AS1006),$AC$1006:$AS$1006,0)))),"Fix")))</f>
        <v>0</v>
      </c>
      <c r="V370">
        <v>0</v>
      </c>
      <c r="W370">
        <v>0</v>
      </c>
      <c r="X370">
        <v>0</v>
      </c>
      <c r="Y370">
        <f>IF(Z370,TRUE,AND(AC370:AS370))</f>
        <v>0</v>
      </c>
      <c r="Z370">
        <f>COUNTBLANK(Metadata!B370:R370)=COLUMNS(Metadata!B370:R370)</f>
        <v>0</v>
      </c>
      <c r="AA370">
        <v>0</v>
      </c>
      <c r="AC370">
        <f>AND(IF(Metadata!B370="",FALSE,TRUE),COUNTIF(Metadata!B:B, Metadata!B370) = 1,NOT(ISERROR(SUMPRODUCT(SEARCH(MID(Metadata!B370,ROW(INDIRECT("1:"&amp;LEN(Metadata!B370))), 1),"0123456789abcdefghijklmnopqrstuvwxyzABCDEFGHIJKLMNOPQRSTUVWXYZ.")))))</f>
        <v>0</v>
      </c>
      <c r="AD370">
        <f>AND(IF(Metadata!C370="",FALSE,TRUE),exact(Metadata!C370,"Host-associated"))</f>
        <v>0</v>
      </c>
      <c r="AE370">
        <f>AND(IF(Metadata!D370="",FALSE,TRUE),OR(exact(Metadata!D370,"Animal"),exact(Metadata!D370,"Fungus"),exact(Metadata!D370,"Plant")))</f>
        <v>0</v>
      </c>
      <c r="AF370">
        <f>AND(IF(Metadata!E370="",FALSE,TRUE),OR(exact(Metadata!E370,"Plant secretion"),exact(Metadata!E370,"Plant rhizosphere"),exact(Metadata!E370,"Plant surface"),exact(Metadata!E370,"Plant corpus"),exact(Metadata!E370,"Fungus surface"),exact(Metadata!E370,"Fungus corpus"),exact(Metadata!E370,"Animal surface"),exact(Metadata!E370,"Animal proximal gut"),exact(Metadata!E370,"Animal corpus"),exact(Metadata!E370,"Animal distal gut"),exact(Metadata!E370,"Animal secretion")))</f>
        <v>0</v>
      </c>
      <c r="AG370">
        <f>OR(AND(IF(Metadata!F370="",FALSE,TRUE),OR(exact(Metadata!F370,"not collected"),exact(Metadata!F370,"not provided"),exact(Metadata!F370,"restricted access"))),AND(IF(Metadata!F370="",FALSE,TRUE),OR(exact(Metadata!F370,"organism-associated habitat"),exact(Metadata!F370,"plant-associated habitat"),exact(Metadata!F370,"animal-associated habitat"),exact(Metadata!F370,"insecta-associated habitat"),exact(Metadata!F370,"mammalia-associated habitat"),exact(Metadata!F370,"human-associated habitat"),exact(Metadata!F370,"livestock-associated habitat"))))</f>
        <v>0</v>
      </c>
      <c r="AH370">
        <f>AND(IF(Metadata!G370="",FALSE,TRUE),exact(Metadata!G370,"host-associated"))</f>
        <v>0</v>
      </c>
      <c r="AI370">
        <f>OR(AND(IF(Metadata!H370="",FALSE,TRUE),OR(exact(Metadata!H370,"not collected"),exact(Metadata!H370,"not provided"))),AND(IF(Metadata!H370="",FALSE,ISNUMBER(VALUE(Metadata!H370))),Metadata!H370&gt;0))</f>
        <v>0</v>
      </c>
      <c r="AJ370">
        <f>AND(IF(Metadata!I370="",FALSE,TRUE),exact(Metadata!I370,"years"))</f>
        <v>0</v>
      </c>
      <c r="AK370">
        <f>IF(Metadata!J370="",FALSE,TRUE)</f>
        <v>0</v>
      </c>
      <c r="AL370">
        <f>OR(AND(IF(Metadata!K370="",FALSE,TRUE),OR(exact(Metadata!K370,"not collected"),exact(Metadata!K370,"not provided"))),AND(IF(Metadata!K370="",FALSE,ISNUMBER(VALUE(Metadata!K370))),Metadata!K370&gt;0))</f>
        <v>0</v>
      </c>
      <c r="AM370">
        <f>AND(IF(Metadata!L370="",FALSE,TRUE),exact(Metadata!L370,"cm"))</f>
        <v>0</v>
      </c>
      <c r="AN370">
        <f>IF(Metadata!M370="",FALSE,TRUE)</f>
        <v>0</v>
      </c>
      <c r="AO370">
        <f>OR(AND(IF(Metadata!N370="",FALSE,TRUE),OR(exact(Metadata!N370,"not applicable"),exact(Metadata!N370,"not collected"),exact(Metadata!N370,"not provided"))),AND(IF(Metadata!N370="",FALSE,IF(ISERROR(INT(Metadata!N370)),FALSE,INT(Metadata!N370)=Metadata!N370)),Metadata!N370&gt;0))</f>
        <v>0</v>
      </c>
      <c r="AP370">
        <f>OR(AND(IF(Metadata!O370="",FALSE,TRUE),OR(exact(Metadata!O370,"not collected"),exact(Metadata!O370,"not provided"))),AND(IF(Metadata!O370="",FALSE,ISNUMBER(VALUE(Metadata!O370))),Metadata!O370&gt;0))</f>
        <v>0</v>
      </c>
      <c r="AQ370">
        <f>AND(IF(Metadata!P370="",FALSE,TRUE),exact(Metadata!P370,"kg"))</f>
        <v>0</v>
      </c>
      <c r="AR370">
        <f>OR(AND(IF(Metadata!Q370="",FALSE,TRUE),OR(exact(Metadata!Q370,"not applicable"),exact(Metadata!Q370,"not collected"),exact(Metadata!Q370,"not provided"),exact(Metadata!Q370,"restricted access"))),IF(Metadata!Q370="",FALSE,IF(ISERROR(INT(Metadata!Q370)),FALSE,INT(Metadata!Q370)=Metadata!Q370)))</f>
        <v>0</v>
      </c>
      <c r="AS370">
        <f>AND(IF(Metadata!R370="",FALSE,TRUE),exact(Metadata!R370,"Not applicable"))</f>
        <v>0</v>
      </c>
    </row>
    <row r="371" spans="1:45">
      <c r="A371" s="4">
        <f>IF(B371=" "," ",HYPERLINK(CONCATENATE("#metadata!",ADDRESS(INDEX($X$2:$X$1001,MATCH(ROWS($V$2:V371),$V$2:$V$1001,0),0),2)),INDEX($AA$2:$AA$1001,MATCH(ROWS($V$2:V371),$V$2:$V$1001,0),0)))</f>
        <v>0</v>
      </c>
      <c r="B371" s="5">
        <f>IF(OR(INDEX($W$2:$W$1001,MATCH(ROWS($V$2:V371),$V$2:$V$1001,0),1)&gt;=100000,INDEX($AC$1005:$AS$1005,1,MATCH(COLUMNS($AC$1006:AC1006),$AC$1006:$AS$1006,0))&gt;=100000), " ",IF(INDEX($AC$2:$AS$1001,MATCH(ROWS($V$2:V371),$V$2:$V$1001,0),MATCH(COLUMNS($AC$1006:AC1006),$AC$1006:$AS$1006,0)), HYPERLINK("#",""), HYPERLINK(CONCATENATE("#Metadata!", ADDRESS(INDEX($X$2:$X$1001,MATCH(ROWS($V$2:V371),$V$2:$V$1001,0),0), INDEX($AC$1004:$AS$1004,1,MATCH(COLUMNS($AC$1006:AC1006),$AC$1006:$AS$1006,0)))),"Fix")))</f>
        <v>0</v>
      </c>
      <c r="C371" s="5">
        <f>IF(OR(INDEX($W$2:$W$1001,MATCH(ROWS($V$2:V371),$V$2:$V$1001,0),1)&gt;=100000,INDEX($AC$1005:$AS$1005,1,MATCH(COLUMNS($AC$1006:AD1006),$AC$1006:$AS$1006,0))&gt;=100000), " ",IF(INDEX($AC$2:$AS$1001,MATCH(ROWS($V$2:V371),$V$2:$V$1001,0),MATCH(COLUMNS($AC$1006:AD1006),$AC$1006:$AS$1006,0)), HYPERLINK("#",""), HYPERLINK(CONCATENATE("#Metadata!", ADDRESS(INDEX($X$2:$X$1001,MATCH(ROWS($V$2:V371),$V$2:$V$1001,0),0), INDEX($AC$1004:$AS$1004,1,MATCH(COLUMNS($AC$1006:AD1006),$AC$1006:$AS$1006,0)))),"Fix")))</f>
        <v>0</v>
      </c>
      <c r="D371" s="5">
        <f>IF(OR(INDEX($W$2:$W$1001,MATCH(ROWS($V$2:V371),$V$2:$V$1001,0),1)&gt;=100000,INDEX($AC$1005:$AS$1005,1,MATCH(COLUMNS($AC$1006:AE1006),$AC$1006:$AS$1006,0))&gt;=100000), " ",IF(INDEX($AC$2:$AS$1001,MATCH(ROWS($V$2:V371),$V$2:$V$1001,0),MATCH(COLUMNS($AC$1006:AE1006),$AC$1006:$AS$1006,0)), HYPERLINK("#",""), HYPERLINK(CONCATENATE("#Metadata!", ADDRESS(INDEX($X$2:$X$1001,MATCH(ROWS($V$2:V371),$V$2:$V$1001,0),0), INDEX($AC$1004:$AS$1004,1,MATCH(COLUMNS($AC$1006:AE1006),$AC$1006:$AS$1006,0)))),"Fix")))</f>
        <v>0</v>
      </c>
      <c r="E371" s="5">
        <f>IF(OR(INDEX($W$2:$W$1001,MATCH(ROWS($V$2:V371),$V$2:$V$1001,0),1)&gt;=100000,INDEX($AC$1005:$AS$1005,1,MATCH(COLUMNS($AC$1006:AF1006),$AC$1006:$AS$1006,0))&gt;=100000), " ",IF(INDEX($AC$2:$AS$1001,MATCH(ROWS($V$2:V371),$V$2:$V$1001,0),MATCH(COLUMNS($AC$1006:AF1006),$AC$1006:$AS$1006,0)), HYPERLINK("#",""), HYPERLINK(CONCATENATE("#Metadata!", ADDRESS(INDEX($X$2:$X$1001,MATCH(ROWS($V$2:V371),$V$2:$V$1001,0),0), INDEX($AC$1004:$AS$1004,1,MATCH(COLUMNS($AC$1006:AF1006),$AC$1006:$AS$1006,0)))),"Fix")))</f>
        <v>0</v>
      </c>
      <c r="F371" s="5">
        <f>IF(OR(INDEX($W$2:$W$1001,MATCH(ROWS($V$2:V371),$V$2:$V$1001,0),1)&gt;=100000,INDEX($AC$1005:$AS$1005,1,MATCH(COLUMNS($AC$1006:AG1006),$AC$1006:$AS$1006,0))&gt;=100000), " ",IF(INDEX($AC$2:$AS$1001,MATCH(ROWS($V$2:V371),$V$2:$V$1001,0),MATCH(COLUMNS($AC$1006:AG1006),$AC$1006:$AS$1006,0)), HYPERLINK("#",""), HYPERLINK(CONCATENATE("#Metadata!", ADDRESS(INDEX($X$2:$X$1001,MATCH(ROWS($V$2:V371),$V$2:$V$1001,0),0), INDEX($AC$1004:$AS$1004,1,MATCH(COLUMNS($AC$1006:AG1006),$AC$1006:$AS$1006,0)))),"Fix")))</f>
        <v>0</v>
      </c>
      <c r="G371" s="5">
        <f>IF(OR(INDEX($W$2:$W$1001,MATCH(ROWS($V$2:V371),$V$2:$V$1001,0),1)&gt;=100000,INDEX($AC$1005:$AS$1005,1,MATCH(COLUMNS($AC$1006:AH1006),$AC$1006:$AS$1006,0))&gt;=100000), " ",IF(INDEX($AC$2:$AS$1001,MATCH(ROWS($V$2:V371),$V$2:$V$1001,0),MATCH(COLUMNS($AC$1006:AH1006),$AC$1006:$AS$1006,0)), HYPERLINK("#",""), HYPERLINK(CONCATENATE("#Metadata!", ADDRESS(INDEX($X$2:$X$1001,MATCH(ROWS($V$2:V371),$V$2:$V$1001,0),0), INDEX($AC$1004:$AS$1004,1,MATCH(COLUMNS($AC$1006:AH1006),$AC$1006:$AS$1006,0)))),"Fix")))</f>
        <v>0</v>
      </c>
      <c r="H371" s="5">
        <f>IF(OR(INDEX($W$2:$W$1001,MATCH(ROWS($V$2:V371),$V$2:$V$1001,0),1)&gt;=100000,INDEX($AC$1005:$AS$1005,1,MATCH(COLUMNS($AC$1006:AI1006),$AC$1006:$AS$1006,0))&gt;=100000), " ",IF(INDEX($AC$2:$AS$1001,MATCH(ROWS($V$2:V371),$V$2:$V$1001,0),MATCH(COLUMNS($AC$1006:AI1006),$AC$1006:$AS$1006,0)), HYPERLINK("#",""), HYPERLINK(CONCATENATE("#Metadata!", ADDRESS(INDEX($X$2:$X$1001,MATCH(ROWS($V$2:V371),$V$2:$V$1001,0),0), INDEX($AC$1004:$AS$1004,1,MATCH(COLUMNS($AC$1006:AI1006),$AC$1006:$AS$1006,0)))),"Fix")))</f>
        <v>0</v>
      </c>
      <c r="I371" s="5">
        <f>IF(OR(INDEX($W$2:$W$1001,MATCH(ROWS($V$2:V371),$V$2:$V$1001,0),1)&gt;=100000,INDEX($AC$1005:$AS$1005,1,MATCH(COLUMNS($AC$1006:AJ1006),$AC$1006:$AS$1006,0))&gt;=100000), " ",IF(INDEX($AC$2:$AS$1001,MATCH(ROWS($V$2:V371),$V$2:$V$1001,0),MATCH(COLUMNS($AC$1006:AJ1006),$AC$1006:$AS$1006,0)), HYPERLINK("#",""), HYPERLINK(CONCATENATE("#Metadata!", ADDRESS(INDEX($X$2:$X$1001,MATCH(ROWS($V$2:V371),$V$2:$V$1001,0),0), INDEX($AC$1004:$AS$1004,1,MATCH(COLUMNS($AC$1006:AJ1006),$AC$1006:$AS$1006,0)))),"Fix")))</f>
        <v>0</v>
      </c>
      <c r="J371" s="5">
        <f>IF(OR(INDEX($W$2:$W$1001,MATCH(ROWS($V$2:V371),$V$2:$V$1001,0),1)&gt;=100000,INDEX($AC$1005:$AS$1005,1,MATCH(COLUMNS($AC$1006:AK1006),$AC$1006:$AS$1006,0))&gt;=100000), " ",IF(INDEX($AC$2:$AS$1001,MATCH(ROWS($V$2:V371),$V$2:$V$1001,0),MATCH(COLUMNS($AC$1006:AK1006),$AC$1006:$AS$1006,0)), HYPERLINK("#",""), HYPERLINK(CONCATENATE("#Metadata!", ADDRESS(INDEX($X$2:$X$1001,MATCH(ROWS($V$2:V371),$V$2:$V$1001,0),0), INDEX($AC$1004:$AS$1004,1,MATCH(COLUMNS($AC$1006:AK1006),$AC$1006:$AS$1006,0)))),"Fix")))</f>
        <v>0</v>
      </c>
      <c r="K371" s="5">
        <f>IF(OR(INDEX($W$2:$W$1001,MATCH(ROWS($V$2:V371),$V$2:$V$1001,0),1)&gt;=100000,INDEX($AC$1005:$AS$1005,1,MATCH(COLUMNS($AC$1006:AL1006),$AC$1006:$AS$1006,0))&gt;=100000), " ",IF(INDEX($AC$2:$AS$1001,MATCH(ROWS($V$2:V371),$V$2:$V$1001,0),MATCH(COLUMNS($AC$1006:AL1006),$AC$1006:$AS$1006,0)), HYPERLINK("#",""), HYPERLINK(CONCATENATE("#Metadata!", ADDRESS(INDEX($X$2:$X$1001,MATCH(ROWS($V$2:V371),$V$2:$V$1001,0),0), INDEX($AC$1004:$AS$1004,1,MATCH(COLUMNS($AC$1006:AL1006),$AC$1006:$AS$1006,0)))),"Fix")))</f>
        <v>0</v>
      </c>
      <c r="L371" s="5">
        <f>IF(OR(INDEX($W$2:$W$1001,MATCH(ROWS($V$2:V371),$V$2:$V$1001,0),1)&gt;=100000,INDEX($AC$1005:$AS$1005,1,MATCH(COLUMNS($AC$1006:AM1006),$AC$1006:$AS$1006,0))&gt;=100000), " ",IF(INDEX($AC$2:$AS$1001,MATCH(ROWS($V$2:V371),$V$2:$V$1001,0),MATCH(COLUMNS($AC$1006:AM1006),$AC$1006:$AS$1006,0)), HYPERLINK("#",""), HYPERLINK(CONCATENATE("#Metadata!", ADDRESS(INDEX($X$2:$X$1001,MATCH(ROWS($V$2:V371),$V$2:$V$1001,0),0), INDEX($AC$1004:$AS$1004,1,MATCH(COLUMNS($AC$1006:AM1006),$AC$1006:$AS$1006,0)))),"Fix")))</f>
        <v>0</v>
      </c>
      <c r="M371" s="5">
        <f>IF(OR(INDEX($W$2:$W$1001,MATCH(ROWS($V$2:V371),$V$2:$V$1001,0),1)&gt;=100000,INDEX($AC$1005:$AS$1005,1,MATCH(COLUMNS($AC$1006:AN1006),$AC$1006:$AS$1006,0))&gt;=100000), " ",IF(INDEX($AC$2:$AS$1001,MATCH(ROWS($V$2:V371),$V$2:$V$1001,0),MATCH(COLUMNS($AC$1006:AN1006),$AC$1006:$AS$1006,0)), HYPERLINK("#",""), HYPERLINK(CONCATENATE("#Metadata!", ADDRESS(INDEX($X$2:$X$1001,MATCH(ROWS($V$2:V371),$V$2:$V$1001,0),0), INDEX($AC$1004:$AS$1004,1,MATCH(COLUMNS($AC$1006:AN1006),$AC$1006:$AS$1006,0)))),"Fix")))</f>
        <v>0</v>
      </c>
      <c r="N371" s="5">
        <f>IF(OR(INDEX($W$2:$W$1001,MATCH(ROWS($V$2:V371),$V$2:$V$1001,0),1)&gt;=100000,INDEX($AC$1005:$AS$1005,1,MATCH(COLUMNS($AC$1006:AO1006),$AC$1006:$AS$1006,0))&gt;=100000), " ",IF(INDEX($AC$2:$AS$1001,MATCH(ROWS($V$2:V371),$V$2:$V$1001,0),MATCH(COLUMNS($AC$1006:AO1006),$AC$1006:$AS$1006,0)), HYPERLINK("#",""), HYPERLINK(CONCATENATE("#Metadata!", ADDRESS(INDEX($X$2:$X$1001,MATCH(ROWS($V$2:V371),$V$2:$V$1001,0),0), INDEX($AC$1004:$AS$1004,1,MATCH(COLUMNS($AC$1006:AO1006),$AC$1006:$AS$1006,0)))),"Fix")))</f>
        <v>0</v>
      </c>
      <c r="O371" s="5">
        <f>IF(OR(INDEX($W$2:$W$1001,MATCH(ROWS($V$2:V371),$V$2:$V$1001,0),1)&gt;=100000,INDEX($AC$1005:$AS$1005,1,MATCH(COLUMNS($AC$1006:AP1006),$AC$1006:$AS$1006,0))&gt;=100000), " ",IF(INDEX($AC$2:$AS$1001,MATCH(ROWS($V$2:V371),$V$2:$V$1001,0),MATCH(COLUMNS($AC$1006:AP1006),$AC$1006:$AS$1006,0)), HYPERLINK("#",""), HYPERLINK(CONCATENATE("#Metadata!", ADDRESS(INDEX($X$2:$X$1001,MATCH(ROWS($V$2:V371),$V$2:$V$1001,0),0), INDEX($AC$1004:$AS$1004,1,MATCH(COLUMNS($AC$1006:AP1006),$AC$1006:$AS$1006,0)))),"Fix")))</f>
        <v>0</v>
      </c>
      <c r="P371" s="5">
        <f>IF(OR(INDEX($W$2:$W$1001,MATCH(ROWS($V$2:V371),$V$2:$V$1001,0),1)&gt;=100000,INDEX($AC$1005:$AS$1005,1,MATCH(COLUMNS($AC$1006:AQ1006),$AC$1006:$AS$1006,0))&gt;=100000), " ",IF(INDEX($AC$2:$AS$1001,MATCH(ROWS($V$2:V371),$V$2:$V$1001,0),MATCH(COLUMNS($AC$1006:AQ1006),$AC$1006:$AS$1006,0)), HYPERLINK("#",""), HYPERLINK(CONCATENATE("#Metadata!", ADDRESS(INDEX($X$2:$X$1001,MATCH(ROWS($V$2:V371),$V$2:$V$1001,0),0), INDEX($AC$1004:$AS$1004,1,MATCH(COLUMNS($AC$1006:AQ1006),$AC$1006:$AS$1006,0)))),"Fix")))</f>
        <v>0</v>
      </c>
      <c r="Q371" s="5">
        <f>IF(OR(INDEX($W$2:$W$1001,MATCH(ROWS($V$2:V371),$V$2:$V$1001,0),1)&gt;=100000,INDEX($AC$1005:$AS$1005,1,MATCH(COLUMNS($AC$1006:AR1006),$AC$1006:$AS$1006,0))&gt;=100000), " ",IF(INDEX($AC$2:$AS$1001,MATCH(ROWS($V$2:V371),$V$2:$V$1001,0),MATCH(COLUMNS($AC$1006:AR1006),$AC$1006:$AS$1006,0)), HYPERLINK("#",""), HYPERLINK(CONCATENATE("#Metadata!", ADDRESS(INDEX($X$2:$X$1001,MATCH(ROWS($V$2:V371),$V$2:$V$1001,0),0), INDEX($AC$1004:$AS$1004,1,MATCH(COLUMNS($AC$1006:AR1006),$AC$1006:$AS$1006,0)))),"Fix")))</f>
        <v>0</v>
      </c>
      <c r="R371" s="5">
        <f>IF(OR(INDEX($W$2:$W$1001,MATCH(ROWS($V$2:V371),$V$2:$V$1001,0),1)&gt;=100000,INDEX($AC$1005:$AS$1005,1,MATCH(COLUMNS($AC$1006:AS1006),$AC$1006:$AS$1006,0))&gt;=100000), " ",IF(INDEX($AC$2:$AS$1001,MATCH(ROWS($V$2:V371),$V$2:$V$1001,0),MATCH(COLUMNS($AC$1006:AS1006),$AC$1006:$AS$1006,0)), HYPERLINK("#",""), HYPERLINK(CONCATENATE("#Metadata!", ADDRESS(INDEX($X$2:$X$1001,MATCH(ROWS($V$2:V371),$V$2:$V$1001,0),0), INDEX($AC$1004:$AS$1004,1,MATCH(COLUMNS($AC$1006:AS1006),$AC$1006:$AS$1006,0)))),"Fix")))</f>
        <v>0</v>
      </c>
      <c r="V371">
        <v>0</v>
      </c>
      <c r="W371">
        <v>0</v>
      </c>
      <c r="X371">
        <v>0</v>
      </c>
      <c r="Y371">
        <f>IF(Z371,TRUE,AND(AC371:AS371))</f>
        <v>0</v>
      </c>
      <c r="Z371">
        <f>COUNTBLANK(Metadata!B371:R371)=COLUMNS(Metadata!B371:R371)</f>
        <v>0</v>
      </c>
      <c r="AA371">
        <v>0</v>
      </c>
      <c r="AC371">
        <f>AND(IF(Metadata!B371="",FALSE,TRUE),COUNTIF(Metadata!B:B, Metadata!B371) = 1,NOT(ISERROR(SUMPRODUCT(SEARCH(MID(Metadata!B371,ROW(INDIRECT("1:"&amp;LEN(Metadata!B371))), 1),"0123456789abcdefghijklmnopqrstuvwxyzABCDEFGHIJKLMNOPQRSTUVWXYZ.")))))</f>
        <v>0</v>
      </c>
      <c r="AD371">
        <f>AND(IF(Metadata!C371="",FALSE,TRUE),exact(Metadata!C371,"Host-associated"))</f>
        <v>0</v>
      </c>
      <c r="AE371">
        <f>AND(IF(Metadata!D371="",FALSE,TRUE),OR(exact(Metadata!D371,"Animal"),exact(Metadata!D371,"Fungus"),exact(Metadata!D371,"Plant")))</f>
        <v>0</v>
      </c>
      <c r="AF371">
        <f>AND(IF(Metadata!E371="",FALSE,TRUE),OR(exact(Metadata!E371,"Plant secretion"),exact(Metadata!E371,"Plant rhizosphere"),exact(Metadata!E371,"Plant surface"),exact(Metadata!E371,"Plant corpus"),exact(Metadata!E371,"Fungus surface"),exact(Metadata!E371,"Fungus corpus"),exact(Metadata!E371,"Animal surface"),exact(Metadata!E371,"Animal proximal gut"),exact(Metadata!E371,"Animal corpus"),exact(Metadata!E371,"Animal distal gut"),exact(Metadata!E371,"Animal secretion")))</f>
        <v>0</v>
      </c>
      <c r="AG371">
        <f>OR(AND(IF(Metadata!F371="",FALSE,TRUE),OR(exact(Metadata!F371,"not collected"),exact(Metadata!F371,"not provided"),exact(Metadata!F371,"restricted access"))),AND(IF(Metadata!F371="",FALSE,TRUE),OR(exact(Metadata!F371,"organism-associated habitat"),exact(Metadata!F371,"plant-associated habitat"),exact(Metadata!F371,"animal-associated habitat"),exact(Metadata!F371,"insecta-associated habitat"),exact(Metadata!F371,"mammalia-associated habitat"),exact(Metadata!F371,"human-associated habitat"),exact(Metadata!F371,"livestock-associated habitat"))))</f>
        <v>0</v>
      </c>
      <c r="AH371">
        <f>AND(IF(Metadata!G371="",FALSE,TRUE),exact(Metadata!G371,"host-associated"))</f>
        <v>0</v>
      </c>
      <c r="AI371">
        <f>OR(AND(IF(Metadata!H371="",FALSE,TRUE),OR(exact(Metadata!H371,"not collected"),exact(Metadata!H371,"not provided"))),AND(IF(Metadata!H371="",FALSE,ISNUMBER(VALUE(Metadata!H371))),Metadata!H371&gt;0))</f>
        <v>0</v>
      </c>
      <c r="AJ371">
        <f>AND(IF(Metadata!I371="",FALSE,TRUE),exact(Metadata!I371,"years"))</f>
        <v>0</v>
      </c>
      <c r="AK371">
        <f>IF(Metadata!J371="",FALSE,TRUE)</f>
        <v>0</v>
      </c>
      <c r="AL371">
        <f>OR(AND(IF(Metadata!K371="",FALSE,TRUE),OR(exact(Metadata!K371,"not collected"),exact(Metadata!K371,"not provided"))),AND(IF(Metadata!K371="",FALSE,ISNUMBER(VALUE(Metadata!K371))),Metadata!K371&gt;0))</f>
        <v>0</v>
      </c>
      <c r="AM371">
        <f>AND(IF(Metadata!L371="",FALSE,TRUE),exact(Metadata!L371,"cm"))</f>
        <v>0</v>
      </c>
      <c r="AN371">
        <f>IF(Metadata!M371="",FALSE,TRUE)</f>
        <v>0</v>
      </c>
      <c r="AO371">
        <f>OR(AND(IF(Metadata!N371="",FALSE,TRUE),OR(exact(Metadata!N371,"not applicable"),exact(Metadata!N371,"not collected"),exact(Metadata!N371,"not provided"))),AND(IF(Metadata!N371="",FALSE,IF(ISERROR(INT(Metadata!N371)),FALSE,INT(Metadata!N371)=Metadata!N371)),Metadata!N371&gt;0))</f>
        <v>0</v>
      </c>
      <c r="AP371">
        <f>OR(AND(IF(Metadata!O371="",FALSE,TRUE),OR(exact(Metadata!O371,"not collected"),exact(Metadata!O371,"not provided"))),AND(IF(Metadata!O371="",FALSE,ISNUMBER(VALUE(Metadata!O371))),Metadata!O371&gt;0))</f>
        <v>0</v>
      </c>
      <c r="AQ371">
        <f>AND(IF(Metadata!P371="",FALSE,TRUE),exact(Metadata!P371,"kg"))</f>
        <v>0</v>
      </c>
      <c r="AR371">
        <f>OR(AND(IF(Metadata!Q371="",FALSE,TRUE),OR(exact(Metadata!Q371,"not applicable"),exact(Metadata!Q371,"not collected"),exact(Metadata!Q371,"not provided"),exact(Metadata!Q371,"restricted access"))),IF(Metadata!Q371="",FALSE,IF(ISERROR(INT(Metadata!Q371)),FALSE,INT(Metadata!Q371)=Metadata!Q371)))</f>
        <v>0</v>
      </c>
      <c r="AS371">
        <f>AND(IF(Metadata!R371="",FALSE,TRUE),exact(Metadata!R371,"Not applicable"))</f>
        <v>0</v>
      </c>
    </row>
    <row r="372" spans="1:45">
      <c r="A372" s="4">
        <f>IF(B372=" "," ",HYPERLINK(CONCATENATE("#metadata!",ADDRESS(INDEX($X$2:$X$1001,MATCH(ROWS($V$2:V372),$V$2:$V$1001,0),0),2)),INDEX($AA$2:$AA$1001,MATCH(ROWS($V$2:V372),$V$2:$V$1001,0),0)))</f>
        <v>0</v>
      </c>
      <c r="B372" s="5">
        <f>IF(OR(INDEX($W$2:$W$1001,MATCH(ROWS($V$2:V372),$V$2:$V$1001,0),1)&gt;=100000,INDEX($AC$1005:$AS$1005,1,MATCH(COLUMNS($AC$1006:AC1006),$AC$1006:$AS$1006,0))&gt;=100000), " ",IF(INDEX($AC$2:$AS$1001,MATCH(ROWS($V$2:V372),$V$2:$V$1001,0),MATCH(COLUMNS($AC$1006:AC1006),$AC$1006:$AS$1006,0)), HYPERLINK("#",""), HYPERLINK(CONCATENATE("#Metadata!", ADDRESS(INDEX($X$2:$X$1001,MATCH(ROWS($V$2:V372),$V$2:$V$1001,0),0), INDEX($AC$1004:$AS$1004,1,MATCH(COLUMNS($AC$1006:AC1006),$AC$1006:$AS$1006,0)))),"Fix")))</f>
        <v>0</v>
      </c>
      <c r="C372" s="5">
        <f>IF(OR(INDEX($W$2:$W$1001,MATCH(ROWS($V$2:V372),$V$2:$V$1001,0),1)&gt;=100000,INDEX($AC$1005:$AS$1005,1,MATCH(COLUMNS($AC$1006:AD1006),$AC$1006:$AS$1006,0))&gt;=100000), " ",IF(INDEX($AC$2:$AS$1001,MATCH(ROWS($V$2:V372),$V$2:$V$1001,0),MATCH(COLUMNS($AC$1006:AD1006),$AC$1006:$AS$1006,0)), HYPERLINK("#",""), HYPERLINK(CONCATENATE("#Metadata!", ADDRESS(INDEX($X$2:$X$1001,MATCH(ROWS($V$2:V372),$V$2:$V$1001,0),0), INDEX($AC$1004:$AS$1004,1,MATCH(COLUMNS($AC$1006:AD1006),$AC$1006:$AS$1006,0)))),"Fix")))</f>
        <v>0</v>
      </c>
      <c r="D372" s="5">
        <f>IF(OR(INDEX($W$2:$W$1001,MATCH(ROWS($V$2:V372),$V$2:$V$1001,0),1)&gt;=100000,INDEX($AC$1005:$AS$1005,1,MATCH(COLUMNS($AC$1006:AE1006),$AC$1006:$AS$1006,0))&gt;=100000), " ",IF(INDEX($AC$2:$AS$1001,MATCH(ROWS($V$2:V372),$V$2:$V$1001,0),MATCH(COLUMNS($AC$1006:AE1006),$AC$1006:$AS$1006,0)), HYPERLINK("#",""), HYPERLINK(CONCATENATE("#Metadata!", ADDRESS(INDEX($X$2:$X$1001,MATCH(ROWS($V$2:V372),$V$2:$V$1001,0),0), INDEX($AC$1004:$AS$1004,1,MATCH(COLUMNS($AC$1006:AE1006),$AC$1006:$AS$1006,0)))),"Fix")))</f>
        <v>0</v>
      </c>
      <c r="E372" s="5">
        <f>IF(OR(INDEX($W$2:$W$1001,MATCH(ROWS($V$2:V372),$V$2:$V$1001,0),1)&gt;=100000,INDEX($AC$1005:$AS$1005,1,MATCH(COLUMNS($AC$1006:AF1006),$AC$1006:$AS$1006,0))&gt;=100000), " ",IF(INDEX($AC$2:$AS$1001,MATCH(ROWS($V$2:V372),$V$2:$V$1001,0),MATCH(COLUMNS($AC$1006:AF1006),$AC$1006:$AS$1006,0)), HYPERLINK("#",""), HYPERLINK(CONCATENATE("#Metadata!", ADDRESS(INDEX($X$2:$X$1001,MATCH(ROWS($V$2:V372),$V$2:$V$1001,0),0), INDEX($AC$1004:$AS$1004,1,MATCH(COLUMNS($AC$1006:AF1006),$AC$1006:$AS$1006,0)))),"Fix")))</f>
        <v>0</v>
      </c>
      <c r="F372" s="5">
        <f>IF(OR(INDEX($W$2:$W$1001,MATCH(ROWS($V$2:V372),$V$2:$V$1001,0),1)&gt;=100000,INDEX($AC$1005:$AS$1005,1,MATCH(COLUMNS($AC$1006:AG1006),$AC$1006:$AS$1006,0))&gt;=100000), " ",IF(INDEX($AC$2:$AS$1001,MATCH(ROWS($V$2:V372),$V$2:$V$1001,0),MATCH(COLUMNS($AC$1006:AG1006),$AC$1006:$AS$1006,0)), HYPERLINK("#",""), HYPERLINK(CONCATENATE("#Metadata!", ADDRESS(INDEX($X$2:$X$1001,MATCH(ROWS($V$2:V372),$V$2:$V$1001,0),0), INDEX($AC$1004:$AS$1004,1,MATCH(COLUMNS($AC$1006:AG1006),$AC$1006:$AS$1006,0)))),"Fix")))</f>
        <v>0</v>
      </c>
      <c r="G372" s="5">
        <f>IF(OR(INDEX($W$2:$W$1001,MATCH(ROWS($V$2:V372),$V$2:$V$1001,0),1)&gt;=100000,INDEX($AC$1005:$AS$1005,1,MATCH(COLUMNS($AC$1006:AH1006),$AC$1006:$AS$1006,0))&gt;=100000), " ",IF(INDEX($AC$2:$AS$1001,MATCH(ROWS($V$2:V372),$V$2:$V$1001,0),MATCH(COLUMNS($AC$1006:AH1006),$AC$1006:$AS$1006,0)), HYPERLINK("#",""), HYPERLINK(CONCATENATE("#Metadata!", ADDRESS(INDEX($X$2:$X$1001,MATCH(ROWS($V$2:V372),$V$2:$V$1001,0),0), INDEX($AC$1004:$AS$1004,1,MATCH(COLUMNS($AC$1006:AH1006),$AC$1006:$AS$1006,0)))),"Fix")))</f>
        <v>0</v>
      </c>
      <c r="H372" s="5">
        <f>IF(OR(INDEX($W$2:$W$1001,MATCH(ROWS($V$2:V372),$V$2:$V$1001,0),1)&gt;=100000,INDEX($AC$1005:$AS$1005,1,MATCH(COLUMNS($AC$1006:AI1006),$AC$1006:$AS$1006,0))&gt;=100000), " ",IF(INDEX($AC$2:$AS$1001,MATCH(ROWS($V$2:V372),$V$2:$V$1001,0),MATCH(COLUMNS($AC$1006:AI1006),$AC$1006:$AS$1006,0)), HYPERLINK("#",""), HYPERLINK(CONCATENATE("#Metadata!", ADDRESS(INDEX($X$2:$X$1001,MATCH(ROWS($V$2:V372),$V$2:$V$1001,0),0), INDEX($AC$1004:$AS$1004,1,MATCH(COLUMNS($AC$1006:AI1006),$AC$1006:$AS$1006,0)))),"Fix")))</f>
        <v>0</v>
      </c>
      <c r="I372" s="5">
        <f>IF(OR(INDEX($W$2:$W$1001,MATCH(ROWS($V$2:V372),$V$2:$V$1001,0),1)&gt;=100000,INDEX($AC$1005:$AS$1005,1,MATCH(COLUMNS($AC$1006:AJ1006),$AC$1006:$AS$1006,0))&gt;=100000), " ",IF(INDEX($AC$2:$AS$1001,MATCH(ROWS($V$2:V372),$V$2:$V$1001,0),MATCH(COLUMNS($AC$1006:AJ1006),$AC$1006:$AS$1006,0)), HYPERLINK("#",""), HYPERLINK(CONCATENATE("#Metadata!", ADDRESS(INDEX($X$2:$X$1001,MATCH(ROWS($V$2:V372),$V$2:$V$1001,0),0), INDEX($AC$1004:$AS$1004,1,MATCH(COLUMNS($AC$1006:AJ1006),$AC$1006:$AS$1006,0)))),"Fix")))</f>
        <v>0</v>
      </c>
      <c r="J372" s="5">
        <f>IF(OR(INDEX($W$2:$W$1001,MATCH(ROWS($V$2:V372),$V$2:$V$1001,0),1)&gt;=100000,INDEX($AC$1005:$AS$1005,1,MATCH(COLUMNS($AC$1006:AK1006),$AC$1006:$AS$1006,0))&gt;=100000), " ",IF(INDEX($AC$2:$AS$1001,MATCH(ROWS($V$2:V372),$V$2:$V$1001,0),MATCH(COLUMNS($AC$1006:AK1006),$AC$1006:$AS$1006,0)), HYPERLINK("#",""), HYPERLINK(CONCATENATE("#Metadata!", ADDRESS(INDEX($X$2:$X$1001,MATCH(ROWS($V$2:V372),$V$2:$V$1001,0),0), INDEX($AC$1004:$AS$1004,1,MATCH(COLUMNS($AC$1006:AK1006),$AC$1006:$AS$1006,0)))),"Fix")))</f>
        <v>0</v>
      </c>
      <c r="K372" s="5">
        <f>IF(OR(INDEX($W$2:$W$1001,MATCH(ROWS($V$2:V372),$V$2:$V$1001,0),1)&gt;=100000,INDEX($AC$1005:$AS$1005,1,MATCH(COLUMNS($AC$1006:AL1006),$AC$1006:$AS$1006,0))&gt;=100000), " ",IF(INDEX($AC$2:$AS$1001,MATCH(ROWS($V$2:V372),$V$2:$V$1001,0),MATCH(COLUMNS($AC$1006:AL1006),$AC$1006:$AS$1006,0)), HYPERLINK("#",""), HYPERLINK(CONCATENATE("#Metadata!", ADDRESS(INDEX($X$2:$X$1001,MATCH(ROWS($V$2:V372),$V$2:$V$1001,0),0), INDEX($AC$1004:$AS$1004,1,MATCH(COLUMNS($AC$1006:AL1006),$AC$1006:$AS$1006,0)))),"Fix")))</f>
        <v>0</v>
      </c>
      <c r="L372" s="5">
        <f>IF(OR(INDEX($W$2:$W$1001,MATCH(ROWS($V$2:V372),$V$2:$V$1001,0),1)&gt;=100000,INDEX($AC$1005:$AS$1005,1,MATCH(COLUMNS($AC$1006:AM1006),$AC$1006:$AS$1006,0))&gt;=100000), " ",IF(INDEX($AC$2:$AS$1001,MATCH(ROWS($V$2:V372),$V$2:$V$1001,0),MATCH(COLUMNS($AC$1006:AM1006),$AC$1006:$AS$1006,0)), HYPERLINK("#",""), HYPERLINK(CONCATENATE("#Metadata!", ADDRESS(INDEX($X$2:$X$1001,MATCH(ROWS($V$2:V372),$V$2:$V$1001,0),0), INDEX($AC$1004:$AS$1004,1,MATCH(COLUMNS($AC$1006:AM1006),$AC$1006:$AS$1006,0)))),"Fix")))</f>
        <v>0</v>
      </c>
      <c r="M372" s="5">
        <f>IF(OR(INDEX($W$2:$W$1001,MATCH(ROWS($V$2:V372),$V$2:$V$1001,0),1)&gt;=100000,INDEX($AC$1005:$AS$1005,1,MATCH(COLUMNS($AC$1006:AN1006),$AC$1006:$AS$1006,0))&gt;=100000), " ",IF(INDEX($AC$2:$AS$1001,MATCH(ROWS($V$2:V372),$V$2:$V$1001,0),MATCH(COLUMNS($AC$1006:AN1006),$AC$1006:$AS$1006,0)), HYPERLINK("#",""), HYPERLINK(CONCATENATE("#Metadata!", ADDRESS(INDEX($X$2:$X$1001,MATCH(ROWS($V$2:V372),$V$2:$V$1001,0),0), INDEX($AC$1004:$AS$1004,1,MATCH(COLUMNS($AC$1006:AN1006),$AC$1006:$AS$1006,0)))),"Fix")))</f>
        <v>0</v>
      </c>
      <c r="N372" s="5">
        <f>IF(OR(INDEX($W$2:$W$1001,MATCH(ROWS($V$2:V372),$V$2:$V$1001,0),1)&gt;=100000,INDEX($AC$1005:$AS$1005,1,MATCH(COLUMNS($AC$1006:AO1006),$AC$1006:$AS$1006,0))&gt;=100000), " ",IF(INDEX($AC$2:$AS$1001,MATCH(ROWS($V$2:V372),$V$2:$V$1001,0),MATCH(COLUMNS($AC$1006:AO1006),$AC$1006:$AS$1006,0)), HYPERLINK("#",""), HYPERLINK(CONCATENATE("#Metadata!", ADDRESS(INDEX($X$2:$X$1001,MATCH(ROWS($V$2:V372),$V$2:$V$1001,0),0), INDEX($AC$1004:$AS$1004,1,MATCH(COLUMNS($AC$1006:AO1006),$AC$1006:$AS$1006,0)))),"Fix")))</f>
        <v>0</v>
      </c>
      <c r="O372" s="5">
        <f>IF(OR(INDEX($W$2:$W$1001,MATCH(ROWS($V$2:V372),$V$2:$V$1001,0),1)&gt;=100000,INDEX($AC$1005:$AS$1005,1,MATCH(COLUMNS($AC$1006:AP1006),$AC$1006:$AS$1006,0))&gt;=100000), " ",IF(INDEX($AC$2:$AS$1001,MATCH(ROWS($V$2:V372),$V$2:$V$1001,0),MATCH(COLUMNS($AC$1006:AP1006),$AC$1006:$AS$1006,0)), HYPERLINK("#",""), HYPERLINK(CONCATENATE("#Metadata!", ADDRESS(INDEX($X$2:$X$1001,MATCH(ROWS($V$2:V372),$V$2:$V$1001,0),0), INDEX($AC$1004:$AS$1004,1,MATCH(COLUMNS($AC$1006:AP1006),$AC$1006:$AS$1006,0)))),"Fix")))</f>
        <v>0</v>
      </c>
      <c r="P372" s="5">
        <f>IF(OR(INDEX($W$2:$W$1001,MATCH(ROWS($V$2:V372),$V$2:$V$1001,0),1)&gt;=100000,INDEX($AC$1005:$AS$1005,1,MATCH(COLUMNS($AC$1006:AQ1006),$AC$1006:$AS$1006,0))&gt;=100000), " ",IF(INDEX($AC$2:$AS$1001,MATCH(ROWS($V$2:V372),$V$2:$V$1001,0),MATCH(COLUMNS($AC$1006:AQ1006),$AC$1006:$AS$1006,0)), HYPERLINK("#",""), HYPERLINK(CONCATENATE("#Metadata!", ADDRESS(INDEX($X$2:$X$1001,MATCH(ROWS($V$2:V372),$V$2:$V$1001,0),0), INDEX($AC$1004:$AS$1004,1,MATCH(COLUMNS($AC$1006:AQ1006),$AC$1006:$AS$1006,0)))),"Fix")))</f>
        <v>0</v>
      </c>
      <c r="Q372" s="5">
        <f>IF(OR(INDEX($W$2:$W$1001,MATCH(ROWS($V$2:V372),$V$2:$V$1001,0),1)&gt;=100000,INDEX($AC$1005:$AS$1005,1,MATCH(COLUMNS($AC$1006:AR1006),$AC$1006:$AS$1006,0))&gt;=100000), " ",IF(INDEX($AC$2:$AS$1001,MATCH(ROWS($V$2:V372),$V$2:$V$1001,0),MATCH(COLUMNS($AC$1006:AR1006),$AC$1006:$AS$1006,0)), HYPERLINK("#",""), HYPERLINK(CONCATENATE("#Metadata!", ADDRESS(INDEX($X$2:$X$1001,MATCH(ROWS($V$2:V372),$V$2:$V$1001,0),0), INDEX($AC$1004:$AS$1004,1,MATCH(COLUMNS($AC$1006:AR1006),$AC$1006:$AS$1006,0)))),"Fix")))</f>
        <v>0</v>
      </c>
      <c r="R372" s="5">
        <f>IF(OR(INDEX($W$2:$W$1001,MATCH(ROWS($V$2:V372),$V$2:$V$1001,0),1)&gt;=100000,INDEX($AC$1005:$AS$1005,1,MATCH(COLUMNS($AC$1006:AS1006),$AC$1006:$AS$1006,0))&gt;=100000), " ",IF(INDEX($AC$2:$AS$1001,MATCH(ROWS($V$2:V372),$V$2:$V$1001,0),MATCH(COLUMNS($AC$1006:AS1006),$AC$1006:$AS$1006,0)), HYPERLINK("#",""), HYPERLINK(CONCATENATE("#Metadata!", ADDRESS(INDEX($X$2:$X$1001,MATCH(ROWS($V$2:V372),$V$2:$V$1001,0),0), INDEX($AC$1004:$AS$1004,1,MATCH(COLUMNS($AC$1006:AS1006),$AC$1006:$AS$1006,0)))),"Fix")))</f>
        <v>0</v>
      </c>
      <c r="V372">
        <v>0</v>
      </c>
      <c r="W372">
        <v>0</v>
      </c>
      <c r="X372">
        <v>0</v>
      </c>
      <c r="Y372">
        <f>IF(Z372,TRUE,AND(AC372:AS372))</f>
        <v>0</v>
      </c>
      <c r="Z372">
        <f>COUNTBLANK(Metadata!B372:R372)=COLUMNS(Metadata!B372:R372)</f>
        <v>0</v>
      </c>
      <c r="AA372">
        <v>0</v>
      </c>
      <c r="AC372">
        <f>AND(IF(Metadata!B372="",FALSE,TRUE),COUNTIF(Metadata!B:B, Metadata!B372) = 1,NOT(ISERROR(SUMPRODUCT(SEARCH(MID(Metadata!B372,ROW(INDIRECT("1:"&amp;LEN(Metadata!B372))), 1),"0123456789abcdefghijklmnopqrstuvwxyzABCDEFGHIJKLMNOPQRSTUVWXYZ.")))))</f>
        <v>0</v>
      </c>
      <c r="AD372">
        <f>AND(IF(Metadata!C372="",FALSE,TRUE),exact(Metadata!C372,"Host-associated"))</f>
        <v>0</v>
      </c>
      <c r="AE372">
        <f>AND(IF(Metadata!D372="",FALSE,TRUE),OR(exact(Metadata!D372,"Animal"),exact(Metadata!D372,"Fungus"),exact(Metadata!D372,"Plant")))</f>
        <v>0</v>
      </c>
      <c r="AF372">
        <f>AND(IF(Metadata!E372="",FALSE,TRUE),OR(exact(Metadata!E372,"Plant secretion"),exact(Metadata!E372,"Plant rhizosphere"),exact(Metadata!E372,"Plant surface"),exact(Metadata!E372,"Plant corpus"),exact(Metadata!E372,"Fungus surface"),exact(Metadata!E372,"Fungus corpus"),exact(Metadata!E372,"Animal surface"),exact(Metadata!E372,"Animal proximal gut"),exact(Metadata!E372,"Animal corpus"),exact(Metadata!E372,"Animal distal gut"),exact(Metadata!E372,"Animal secretion")))</f>
        <v>0</v>
      </c>
      <c r="AG372">
        <f>OR(AND(IF(Metadata!F372="",FALSE,TRUE),OR(exact(Metadata!F372,"not collected"),exact(Metadata!F372,"not provided"),exact(Metadata!F372,"restricted access"))),AND(IF(Metadata!F372="",FALSE,TRUE),OR(exact(Metadata!F372,"organism-associated habitat"),exact(Metadata!F372,"plant-associated habitat"),exact(Metadata!F372,"animal-associated habitat"),exact(Metadata!F372,"insecta-associated habitat"),exact(Metadata!F372,"mammalia-associated habitat"),exact(Metadata!F372,"human-associated habitat"),exact(Metadata!F372,"livestock-associated habitat"))))</f>
        <v>0</v>
      </c>
      <c r="AH372">
        <f>AND(IF(Metadata!G372="",FALSE,TRUE),exact(Metadata!G372,"host-associated"))</f>
        <v>0</v>
      </c>
      <c r="AI372">
        <f>OR(AND(IF(Metadata!H372="",FALSE,TRUE),OR(exact(Metadata!H372,"not collected"),exact(Metadata!H372,"not provided"))),AND(IF(Metadata!H372="",FALSE,ISNUMBER(VALUE(Metadata!H372))),Metadata!H372&gt;0))</f>
        <v>0</v>
      </c>
      <c r="AJ372">
        <f>AND(IF(Metadata!I372="",FALSE,TRUE),exact(Metadata!I372,"years"))</f>
        <v>0</v>
      </c>
      <c r="AK372">
        <f>IF(Metadata!J372="",FALSE,TRUE)</f>
        <v>0</v>
      </c>
      <c r="AL372">
        <f>OR(AND(IF(Metadata!K372="",FALSE,TRUE),OR(exact(Metadata!K372,"not collected"),exact(Metadata!K372,"not provided"))),AND(IF(Metadata!K372="",FALSE,ISNUMBER(VALUE(Metadata!K372))),Metadata!K372&gt;0))</f>
        <v>0</v>
      </c>
      <c r="AM372">
        <f>AND(IF(Metadata!L372="",FALSE,TRUE),exact(Metadata!L372,"cm"))</f>
        <v>0</v>
      </c>
      <c r="AN372">
        <f>IF(Metadata!M372="",FALSE,TRUE)</f>
        <v>0</v>
      </c>
      <c r="AO372">
        <f>OR(AND(IF(Metadata!N372="",FALSE,TRUE),OR(exact(Metadata!N372,"not applicable"),exact(Metadata!N372,"not collected"),exact(Metadata!N372,"not provided"))),AND(IF(Metadata!N372="",FALSE,IF(ISERROR(INT(Metadata!N372)),FALSE,INT(Metadata!N372)=Metadata!N372)),Metadata!N372&gt;0))</f>
        <v>0</v>
      </c>
      <c r="AP372">
        <f>OR(AND(IF(Metadata!O372="",FALSE,TRUE),OR(exact(Metadata!O372,"not collected"),exact(Metadata!O372,"not provided"))),AND(IF(Metadata!O372="",FALSE,ISNUMBER(VALUE(Metadata!O372))),Metadata!O372&gt;0))</f>
        <v>0</v>
      </c>
      <c r="AQ372">
        <f>AND(IF(Metadata!P372="",FALSE,TRUE),exact(Metadata!P372,"kg"))</f>
        <v>0</v>
      </c>
      <c r="AR372">
        <f>OR(AND(IF(Metadata!Q372="",FALSE,TRUE),OR(exact(Metadata!Q372,"not applicable"),exact(Metadata!Q372,"not collected"),exact(Metadata!Q372,"not provided"),exact(Metadata!Q372,"restricted access"))),IF(Metadata!Q372="",FALSE,IF(ISERROR(INT(Metadata!Q372)),FALSE,INT(Metadata!Q372)=Metadata!Q372)))</f>
        <v>0</v>
      </c>
      <c r="AS372">
        <f>AND(IF(Metadata!R372="",FALSE,TRUE),exact(Metadata!R372,"Not applicable"))</f>
        <v>0</v>
      </c>
    </row>
    <row r="373" spans="1:45">
      <c r="A373" s="4">
        <f>IF(B373=" "," ",HYPERLINK(CONCATENATE("#metadata!",ADDRESS(INDEX($X$2:$X$1001,MATCH(ROWS($V$2:V373),$V$2:$V$1001,0),0),2)),INDEX($AA$2:$AA$1001,MATCH(ROWS($V$2:V373),$V$2:$V$1001,0),0)))</f>
        <v>0</v>
      </c>
      <c r="B373" s="5">
        <f>IF(OR(INDEX($W$2:$W$1001,MATCH(ROWS($V$2:V373),$V$2:$V$1001,0),1)&gt;=100000,INDEX($AC$1005:$AS$1005,1,MATCH(COLUMNS($AC$1006:AC1006),$AC$1006:$AS$1006,0))&gt;=100000), " ",IF(INDEX($AC$2:$AS$1001,MATCH(ROWS($V$2:V373),$V$2:$V$1001,0),MATCH(COLUMNS($AC$1006:AC1006),$AC$1006:$AS$1006,0)), HYPERLINK("#",""), HYPERLINK(CONCATENATE("#Metadata!", ADDRESS(INDEX($X$2:$X$1001,MATCH(ROWS($V$2:V373),$V$2:$V$1001,0),0), INDEX($AC$1004:$AS$1004,1,MATCH(COLUMNS($AC$1006:AC1006),$AC$1006:$AS$1006,0)))),"Fix")))</f>
        <v>0</v>
      </c>
      <c r="C373" s="5">
        <f>IF(OR(INDEX($W$2:$W$1001,MATCH(ROWS($V$2:V373),$V$2:$V$1001,0),1)&gt;=100000,INDEX($AC$1005:$AS$1005,1,MATCH(COLUMNS($AC$1006:AD1006),$AC$1006:$AS$1006,0))&gt;=100000), " ",IF(INDEX($AC$2:$AS$1001,MATCH(ROWS($V$2:V373),$V$2:$V$1001,0),MATCH(COLUMNS($AC$1006:AD1006),$AC$1006:$AS$1006,0)), HYPERLINK("#",""), HYPERLINK(CONCATENATE("#Metadata!", ADDRESS(INDEX($X$2:$X$1001,MATCH(ROWS($V$2:V373),$V$2:$V$1001,0),0), INDEX($AC$1004:$AS$1004,1,MATCH(COLUMNS($AC$1006:AD1006),$AC$1006:$AS$1006,0)))),"Fix")))</f>
        <v>0</v>
      </c>
      <c r="D373" s="5">
        <f>IF(OR(INDEX($W$2:$W$1001,MATCH(ROWS($V$2:V373),$V$2:$V$1001,0),1)&gt;=100000,INDEX($AC$1005:$AS$1005,1,MATCH(COLUMNS($AC$1006:AE1006),$AC$1006:$AS$1006,0))&gt;=100000), " ",IF(INDEX($AC$2:$AS$1001,MATCH(ROWS($V$2:V373),$V$2:$V$1001,0),MATCH(COLUMNS($AC$1006:AE1006),$AC$1006:$AS$1006,0)), HYPERLINK("#",""), HYPERLINK(CONCATENATE("#Metadata!", ADDRESS(INDEX($X$2:$X$1001,MATCH(ROWS($V$2:V373),$V$2:$V$1001,0),0), INDEX($AC$1004:$AS$1004,1,MATCH(COLUMNS($AC$1006:AE1006),$AC$1006:$AS$1006,0)))),"Fix")))</f>
        <v>0</v>
      </c>
      <c r="E373" s="5">
        <f>IF(OR(INDEX($W$2:$W$1001,MATCH(ROWS($V$2:V373),$V$2:$V$1001,0),1)&gt;=100000,INDEX($AC$1005:$AS$1005,1,MATCH(COLUMNS($AC$1006:AF1006),$AC$1006:$AS$1006,0))&gt;=100000), " ",IF(INDEX($AC$2:$AS$1001,MATCH(ROWS($V$2:V373),$V$2:$V$1001,0),MATCH(COLUMNS($AC$1006:AF1006),$AC$1006:$AS$1006,0)), HYPERLINK("#",""), HYPERLINK(CONCATENATE("#Metadata!", ADDRESS(INDEX($X$2:$X$1001,MATCH(ROWS($V$2:V373),$V$2:$V$1001,0),0), INDEX($AC$1004:$AS$1004,1,MATCH(COLUMNS($AC$1006:AF1006),$AC$1006:$AS$1006,0)))),"Fix")))</f>
        <v>0</v>
      </c>
      <c r="F373" s="5">
        <f>IF(OR(INDEX($W$2:$W$1001,MATCH(ROWS($V$2:V373),$V$2:$V$1001,0),1)&gt;=100000,INDEX($AC$1005:$AS$1005,1,MATCH(COLUMNS($AC$1006:AG1006),$AC$1006:$AS$1006,0))&gt;=100000), " ",IF(INDEX($AC$2:$AS$1001,MATCH(ROWS($V$2:V373),$V$2:$V$1001,0),MATCH(COLUMNS($AC$1006:AG1006),$AC$1006:$AS$1006,0)), HYPERLINK("#",""), HYPERLINK(CONCATENATE("#Metadata!", ADDRESS(INDEX($X$2:$X$1001,MATCH(ROWS($V$2:V373),$V$2:$V$1001,0),0), INDEX($AC$1004:$AS$1004,1,MATCH(COLUMNS($AC$1006:AG1006),$AC$1006:$AS$1006,0)))),"Fix")))</f>
        <v>0</v>
      </c>
      <c r="G373" s="5">
        <f>IF(OR(INDEX($W$2:$W$1001,MATCH(ROWS($V$2:V373),$V$2:$V$1001,0),1)&gt;=100000,INDEX($AC$1005:$AS$1005,1,MATCH(COLUMNS($AC$1006:AH1006),$AC$1006:$AS$1006,0))&gt;=100000), " ",IF(INDEX($AC$2:$AS$1001,MATCH(ROWS($V$2:V373),$V$2:$V$1001,0),MATCH(COLUMNS($AC$1006:AH1006),$AC$1006:$AS$1006,0)), HYPERLINK("#",""), HYPERLINK(CONCATENATE("#Metadata!", ADDRESS(INDEX($X$2:$X$1001,MATCH(ROWS($V$2:V373),$V$2:$V$1001,0),0), INDEX($AC$1004:$AS$1004,1,MATCH(COLUMNS($AC$1006:AH1006),$AC$1006:$AS$1006,0)))),"Fix")))</f>
        <v>0</v>
      </c>
      <c r="H373" s="5">
        <f>IF(OR(INDEX($W$2:$W$1001,MATCH(ROWS($V$2:V373),$V$2:$V$1001,0),1)&gt;=100000,INDEX($AC$1005:$AS$1005,1,MATCH(COLUMNS($AC$1006:AI1006),$AC$1006:$AS$1006,0))&gt;=100000), " ",IF(INDEX($AC$2:$AS$1001,MATCH(ROWS($V$2:V373),$V$2:$V$1001,0),MATCH(COLUMNS($AC$1006:AI1006),$AC$1006:$AS$1006,0)), HYPERLINK("#",""), HYPERLINK(CONCATENATE("#Metadata!", ADDRESS(INDEX($X$2:$X$1001,MATCH(ROWS($V$2:V373),$V$2:$V$1001,0),0), INDEX($AC$1004:$AS$1004,1,MATCH(COLUMNS($AC$1006:AI1006),$AC$1006:$AS$1006,0)))),"Fix")))</f>
        <v>0</v>
      </c>
      <c r="I373" s="5">
        <f>IF(OR(INDEX($W$2:$W$1001,MATCH(ROWS($V$2:V373),$V$2:$V$1001,0),1)&gt;=100000,INDEX($AC$1005:$AS$1005,1,MATCH(COLUMNS($AC$1006:AJ1006),$AC$1006:$AS$1006,0))&gt;=100000), " ",IF(INDEX($AC$2:$AS$1001,MATCH(ROWS($V$2:V373),$V$2:$V$1001,0),MATCH(COLUMNS($AC$1006:AJ1006),$AC$1006:$AS$1006,0)), HYPERLINK("#",""), HYPERLINK(CONCATENATE("#Metadata!", ADDRESS(INDEX($X$2:$X$1001,MATCH(ROWS($V$2:V373),$V$2:$V$1001,0),0), INDEX($AC$1004:$AS$1004,1,MATCH(COLUMNS($AC$1006:AJ1006),$AC$1006:$AS$1006,0)))),"Fix")))</f>
        <v>0</v>
      </c>
      <c r="J373" s="5">
        <f>IF(OR(INDEX($W$2:$W$1001,MATCH(ROWS($V$2:V373),$V$2:$V$1001,0),1)&gt;=100000,INDEX($AC$1005:$AS$1005,1,MATCH(COLUMNS($AC$1006:AK1006),$AC$1006:$AS$1006,0))&gt;=100000), " ",IF(INDEX($AC$2:$AS$1001,MATCH(ROWS($V$2:V373),$V$2:$V$1001,0),MATCH(COLUMNS($AC$1006:AK1006),$AC$1006:$AS$1006,0)), HYPERLINK("#",""), HYPERLINK(CONCATENATE("#Metadata!", ADDRESS(INDEX($X$2:$X$1001,MATCH(ROWS($V$2:V373),$V$2:$V$1001,0),0), INDEX($AC$1004:$AS$1004,1,MATCH(COLUMNS($AC$1006:AK1006),$AC$1006:$AS$1006,0)))),"Fix")))</f>
        <v>0</v>
      </c>
      <c r="K373" s="5">
        <f>IF(OR(INDEX($W$2:$W$1001,MATCH(ROWS($V$2:V373),$V$2:$V$1001,0),1)&gt;=100000,INDEX($AC$1005:$AS$1005,1,MATCH(COLUMNS($AC$1006:AL1006),$AC$1006:$AS$1006,0))&gt;=100000), " ",IF(INDEX($AC$2:$AS$1001,MATCH(ROWS($V$2:V373),$V$2:$V$1001,0),MATCH(COLUMNS($AC$1006:AL1006),$AC$1006:$AS$1006,0)), HYPERLINK("#",""), HYPERLINK(CONCATENATE("#Metadata!", ADDRESS(INDEX($X$2:$X$1001,MATCH(ROWS($V$2:V373),$V$2:$V$1001,0),0), INDEX($AC$1004:$AS$1004,1,MATCH(COLUMNS($AC$1006:AL1006),$AC$1006:$AS$1006,0)))),"Fix")))</f>
        <v>0</v>
      </c>
      <c r="L373" s="5">
        <f>IF(OR(INDEX($W$2:$W$1001,MATCH(ROWS($V$2:V373),$V$2:$V$1001,0),1)&gt;=100000,INDEX($AC$1005:$AS$1005,1,MATCH(COLUMNS($AC$1006:AM1006),$AC$1006:$AS$1006,0))&gt;=100000), " ",IF(INDEX($AC$2:$AS$1001,MATCH(ROWS($V$2:V373),$V$2:$V$1001,0),MATCH(COLUMNS($AC$1006:AM1006),$AC$1006:$AS$1006,0)), HYPERLINK("#",""), HYPERLINK(CONCATENATE("#Metadata!", ADDRESS(INDEX($X$2:$X$1001,MATCH(ROWS($V$2:V373),$V$2:$V$1001,0),0), INDEX($AC$1004:$AS$1004,1,MATCH(COLUMNS($AC$1006:AM1006),$AC$1006:$AS$1006,0)))),"Fix")))</f>
        <v>0</v>
      </c>
      <c r="M373" s="5">
        <f>IF(OR(INDEX($W$2:$W$1001,MATCH(ROWS($V$2:V373),$V$2:$V$1001,0),1)&gt;=100000,INDEX($AC$1005:$AS$1005,1,MATCH(COLUMNS($AC$1006:AN1006),$AC$1006:$AS$1006,0))&gt;=100000), " ",IF(INDEX($AC$2:$AS$1001,MATCH(ROWS($V$2:V373),$V$2:$V$1001,0),MATCH(COLUMNS($AC$1006:AN1006),$AC$1006:$AS$1006,0)), HYPERLINK("#",""), HYPERLINK(CONCATENATE("#Metadata!", ADDRESS(INDEX($X$2:$X$1001,MATCH(ROWS($V$2:V373),$V$2:$V$1001,0),0), INDEX($AC$1004:$AS$1004,1,MATCH(COLUMNS($AC$1006:AN1006),$AC$1006:$AS$1006,0)))),"Fix")))</f>
        <v>0</v>
      </c>
      <c r="N373" s="5">
        <f>IF(OR(INDEX($W$2:$W$1001,MATCH(ROWS($V$2:V373),$V$2:$V$1001,0),1)&gt;=100000,INDEX($AC$1005:$AS$1005,1,MATCH(COLUMNS($AC$1006:AO1006),$AC$1006:$AS$1006,0))&gt;=100000), " ",IF(INDEX($AC$2:$AS$1001,MATCH(ROWS($V$2:V373),$V$2:$V$1001,0),MATCH(COLUMNS($AC$1006:AO1006),$AC$1006:$AS$1006,0)), HYPERLINK("#",""), HYPERLINK(CONCATENATE("#Metadata!", ADDRESS(INDEX($X$2:$X$1001,MATCH(ROWS($V$2:V373),$V$2:$V$1001,0),0), INDEX($AC$1004:$AS$1004,1,MATCH(COLUMNS($AC$1006:AO1006),$AC$1006:$AS$1006,0)))),"Fix")))</f>
        <v>0</v>
      </c>
      <c r="O373" s="5">
        <f>IF(OR(INDEX($W$2:$W$1001,MATCH(ROWS($V$2:V373),$V$2:$V$1001,0),1)&gt;=100000,INDEX($AC$1005:$AS$1005,1,MATCH(COLUMNS($AC$1006:AP1006),$AC$1006:$AS$1006,0))&gt;=100000), " ",IF(INDEX($AC$2:$AS$1001,MATCH(ROWS($V$2:V373),$V$2:$V$1001,0),MATCH(COLUMNS($AC$1006:AP1006),$AC$1006:$AS$1006,0)), HYPERLINK("#",""), HYPERLINK(CONCATENATE("#Metadata!", ADDRESS(INDEX($X$2:$X$1001,MATCH(ROWS($V$2:V373),$V$2:$V$1001,0),0), INDEX($AC$1004:$AS$1004,1,MATCH(COLUMNS($AC$1006:AP1006),$AC$1006:$AS$1006,0)))),"Fix")))</f>
        <v>0</v>
      </c>
      <c r="P373" s="5">
        <f>IF(OR(INDEX($W$2:$W$1001,MATCH(ROWS($V$2:V373),$V$2:$V$1001,0),1)&gt;=100000,INDEX($AC$1005:$AS$1005,1,MATCH(COLUMNS($AC$1006:AQ1006),$AC$1006:$AS$1006,0))&gt;=100000), " ",IF(INDEX($AC$2:$AS$1001,MATCH(ROWS($V$2:V373),$V$2:$V$1001,0),MATCH(COLUMNS($AC$1006:AQ1006),$AC$1006:$AS$1006,0)), HYPERLINK("#",""), HYPERLINK(CONCATENATE("#Metadata!", ADDRESS(INDEX($X$2:$X$1001,MATCH(ROWS($V$2:V373),$V$2:$V$1001,0),0), INDEX($AC$1004:$AS$1004,1,MATCH(COLUMNS($AC$1006:AQ1006),$AC$1006:$AS$1006,0)))),"Fix")))</f>
        <v>0</v>
      </c>
      <c r="Q373" s="5">
        <f>IF(OR(INDEX($W$2:$W$1001,MATCH(ROWS($V$2:V373),$V$2:$V$1001,0),1)&gt;=100000,INDEX($AC$1005:$AS$1005,1,MATCH(COLUMNS($AC$1006:AR1006),$AC$1006:$AS$1006,0))&gt;=100000), " ",IF(INDEX($AC$2:$AS$1001,MATCH(ROWS($V$2:V373),$V$2:$V$1001,0),MATCH(COLUMNS($AC$1006:AR1006),$AC$1006:$AS$1006,0)), HYPERLINK("#",""), HYPERLINK(CONCATENATE("#Metadata!", ADDRESS(INDEX($X$2:$X$1001,MATCH(ROWS($V$2:V373),$V$2:$V$1001,0),0), INDEX($AC$1004:$AS$1004,1,MATCH(COLUMNS($AC$1006:AR1006),$AC$1006:$AS$1006,0)))),"Fix")))</f>
        <v>0</v>
      </c>
      <c r="R373" s="5">
        <f>IF(OR(INDEX($W$2:$W$1001,MATCH(ROWS($V$2:V373),$V$2:$V$1001,0),1)&gt;=100000,INDEX($AC$1005:$AS$1005,1,MATCH(COLUMNS($AC$1006:AS1006),$AC$1006:$AS$1006,0))&gt;=100000), " ",IF(INDEX($AC$2:$AS$1001,MATCH(ROWS($V$2:V373),$V$2:$V$1001,0),MATCH(COLUMNS($AC$1006:AS1006),$AC$1006:$AS$1006,0)), HYPERLINK("#",""), HYPERLINK(CONCATENATE("#Metadata!", ADDRESS(INDEX($X$2:$X$1001,MATCH(ROWS($V$2:V373),$V$2:$V$1001,0),0), INDEX($AC$1004:$AS$1004,1,MATCH(COLUMNS($AC$1006:AS1006),$AC$1006:$AS$1006,0)))),"Fix")))</f>
        <v>0</v>
      </c>
      <c r="V373">
        <v>0</v>
      </c>
      <c r="W373">
        <v>0</v>
      </c>
      <c r="X373">
        <v>0</v>
      </c>
      <c r="Y373">
        <f>IF(Z373,TRUE,AND(AC373:AS373))</f>
        <v>0</v>
      </c>
      <c r="Z373">
        <f>COUNTBLANK(Metadata!B373:R373)=COLUMNS(Metadata!B373:R373)</f>
        <v>0</v>
      </c>
      <c r="AA373">
        <v>0</v>
      </c>
      <c r="AC373">
        <f>AND(IF(Metadata!B373="",FALSE,TRUE),COUNTIF(Metadata!B:B, Metadata!B373) = 1,NOT(ISERROR(SUMPRODUCT(SEARCH(MID(Metadata!B373,ROW(INDIRECT("1:"&amp;LEN(Metadata!B373))), 1),"0123456789abcdefghijklmnopqrstuvwxyzABCDEFGHIJKLMNOPQRSTUVWXYZ.")))))</f>
        <v>0</v>
      </c>
      <c r="AD373">
        <f>AND(IF(Metadata!C373="",FALSE,TRUE),exact(Metadata!C373,"Host-associated"))</f>
        <v>0</v>
      </c>
      <c r="AE373">
        <f>AND(IF(Metadata!D373="",FALSE,TRUE),OR(exact(Metadata!D373,"Animal"),exact(Metadata!D373,"Fungus"),exact(Metadata!D373,"Plant")))</f>
        <v>0</v>
      </c>
      <c r="AF373">
        <f>AND(IF(Metadata!E373="",FALSE,TRUE),OR(exact(Metadata!E373,"Plant secretion"),exact(Metadata!E373,"Plant rhizosphere"),exact(Metadata!E373,"Plant surface"),exact(Metadata!E373,"Plant corpus"),exact(Metadata!E373,"Fungus surface"),exact(Metadata!E373,"Fungus corpus"),exact(Metadata!E373,"Animal surface"),exact(Metadata!E373,"Animal proximal gut"),exact(Metadata!E373,"Animal corpus"),exact(Metadata!E373,"Animal distal gut"),exact(Metadata!E373,"Animal secretion")))</f>
        <v>0</v>
      </c>
      <c r="AG373">
        <f>OR(AND(IF(Metadata!F373="",FALSE,TRUE),OR(exact(Metadata!F373,"not collected"),exact(Metadata!F373,"not provided"),exact(Metadata!F373,"restricted access"))),AND(IF(Metadata!F373="",FALSE,TRUE),OR(exact(Metadata!F373,"organism-associated habitat"),exact(Metadata!F373,"plant-associated habitat"),exact(Metadata!F373,"animal-associated habitat"),exact(Metadata!F373,"insecta-associated habitat"),exact(Metadata!F373,"mammalia-associated habitat"),exact(Metadata!F373,"human-associated habitat"),exact(Metadata!F373,"livestock-associated habitat"))))</f>
        <v>0</v>
      </c>
      <c r="AH373">
        <f>AND(IF(Metadata!G373="",FALSE,TRUE),exact(Metadata!G373,"host-associated"))</f>
        <v>0</v>
      </c>
      <c r="AI373">
        <f>OR(AND(IF(Metadata!H373="",FALSE,TRUE),OR(exact(Metadata!H373,"not collected"),exact(Metadata!H373,"not provided"))),AND(IF(Metadata!H373="",FALSE,ISNUMBER(VALUE(Metadata!H373))),Metadata!H373&gt;0))</f>
        <v>0</v>
      </c>
      <c r="AJ373">
        <f>AND(IF(Metadata!I373="",FALSE,TRUE),exact(Metadata!I373,"years"))</f>
        <v>0</v>
      </c>
      <c r="AK373">
        <f>IF(Metadata!J373="",FALSE,TRUE)</f>
        <v>0</v>
      </c>
      <c r="AL373">
        <f>OR(AND(IF(Metadata!K373="",FALSE,TRUE),OR(exact(Metadata!K373,"not collected"),exact(Metadata!K373,"not provided"))),AND(IF(Metadata!K373="",FALSE,ISNUMBER(VALUE(Metadata!K373))),Metadata!K373&gt;0))</f>
        <v>0</v>
      </c>
      <c r="AM373">
        <f>AND(IF(Metadata!L373="",FALSE,TRUE),exact(Metadata!L373,"cm"))</f>
        <v>0</v>
      </c>
      <c r="AN373">
        <f>IF(Metadata!M373="",FALSE,TRUE)</f>
        <v>0</v>
      </c>
      <c r="AO373">
        <f>OR(AND(IF(Metadata!N373="",FALSE,TRUE),OR(exact(Metadata!N373,"not applicable"),exact(Metadata!N373,"not collected"),exact(Metadata!N373,"not provided"))),AND(IF(Metadata!N373="",FALSE,IF(ISERROR(INT(Metadata!N373)),FALSE,INT(Metadata!N373)=Metadata!N373)),Metadata!N373&gt;0))</f>
        <v>0</v>
      </c>
      <c r="AP373">
        <f>OR(AND(IF(Metadata!O373="",FALSE,TRUE),OR(exact(Metadata!O373,"not collected"),exact(Metadata!O373,"not provided"))),AND(IF(Metadata!O373="",FALSE,ISNUMBER(VALUE(Metadata!O373))),Metadata!O373&gt;0))</f>
        <v>0</v>
      </c>
      <c r="AQ373">
        <f>AND(IF(Metadata!P373="",FALSE,TRUE),exact(Metadata!P373,"kg"))</f>
        <v>0</v>
      </c>
      <c r="AR373">
        <f>OR(AND(IF(Metadata!Q373="",FALSE,TRUE),OR(exact(Metadata!Q373,"not applicable"),exact(Metadata!Q373,"not collected"),exact(Metadata!Q373,"not provided"),exact(Metadata!Q373,"restricted access"))),IF(Metadata!Q373="",FALSE,IF(ISERROR(INT(Metadata!Q373)),FALSE,INT(Metadata!Q373)=Metadata!Q373)))</f>
        <v>0</v>
      </c>
      <c r="AS373">
        <f>AND(IF(Metadata!R373="",FALSE,TRUE),exact(Metadata!R373,"Not applicable"))</f>
        <v>0</v>
      </c>
    </row>
    <row r="374" spans="1:45">
      <c r="A374" s="4">
        <f>IF(B374=" "," ",HYPERLINK(CONCATENATE("#metadata!",ADDRESS(INDEX($X$2:$X$1001,MATCH(ROWS($V$2:V374),$V$2:$V$1001,0),0),2)),INDEX($AA$2:$AA$1001,MATCH(ROWS($V$2:V374),$V$2:$V$1001,0),0)))</f>
        <v>0</v>
      </c>
      <c r="B374" s="5">
        <f>IF(OR(INDEX($W$2:$W$1001,MATCH(ROWS($V$2:V374),$V$2:$V$1001,0),1)&gt;=100000,INDEX($AC$1005:$AS$1005,1,MATCH(COLUMNS($AC$1006:AC1006),$AC$1006:$AS$1006,0))&gt;=100000), " ",IF(INDEX($AC$2:$AS$1001,MATCH(ROWS($V$2:V374),$V$2:$V$1001,0),MATCH(COLUMNS($AC$1006:AC1006),$AC$1006:$AS$1006,0)), HYPERLINK("#",""), HYPERLINK(CONCATENATE("#Metadata!", ADDRESS(INDEX($X$2:$X$1001,MATCH(ROWS($V$2:V374),$V$2:$V$1001,0),0), INDEX($AC$1004:$AS$1004,1,MATCH(COLUMNS($AC$1006:AC1006),$AC$1006:$AS$1006,0)))),"Fix")))</f>
        <v>0</v>
      </c>
      <c r="C374" s="5">
        <f>IF(OR(INDEX($W$2:$W$1001,MATCH(ROWS($V$2:V374),$V$2:$V$1001,0),1)&gt;=100000,INDEX($AC$1005:$AS$1005,1,MATCH(COLUMNS($AC$1006:AD1006),$AC$1006:$AS$1006,0))&gt;=100000), " ",IF(INDEX($AC$2:$AS$1001,MATCH(ROWS($V$2:V374),$V$2:$V$1001,0),MATCH(COLUMNS($AC$1006:AD1006),$AC$1006:$AS$1006,0)), HYPERLINK("#",""), HYPERLINK(CONCATENATE("#Metadata!", ADDRESS(INDEX($X$2:$X$1001,MATCH(ROWS($V$2:V374),$V$2:$V$1001,0),0), INDEX($AC$1004:$AS$1004,1,MATCH(COLUMNS($AC$1006:AD1006),$AC$1006:$AS$1006,0)))),"Fix")))</f>
        <v>0</v>
      </c>
      <c r="D374" s="5">
        <f>IF(OR(INDEX($W$2:$W$1001,MATCH(ROWS($V$2:V374),$V$2:$V$1001,0),1)&gt;=100000,INDEX($AC$1005:$AS$1005,1,MATCH(COLUMNS($AC$1006:AE1006),$AC$1006:$AS$1006,0))&gt;=100000), " ",IF(INDEX($AC$2:$AS$1001,MATCH(ROWS($V$2:V374),$V$2:$V$1001,0),MATCH(COLUMNS($AC$1006:AE1006),$AC$1006:$AS$1006,0)), HYPERLINK("#",""), HYPERLINK(CONCATENATE("#Metadata!", ADDRESS(INDEX($X$2:$X$1001,MATCH(ROWS($V$2:V374),$V$2:$V$1001,0),0), INDEX($AC$1004:$AS$1004,1,MATCH(COLUMNS($AC$1006:AE1006),$AC$1006:$AS$1006,0)))),"Fix")))</f>
        <v>0</v>
      </c>
      <c r="E374" s="5">
        <f>IF(OR(INDEX($W$2:$W$1001,MATCH(ROWS($V$2:V374),$V$2:$V$1001,0),1)&gt;=100000,INDEX($AC$1005:$AS$1005,1,MATCH(COLUMNS($AC$1006:AF1006),$AC$1006:$AS$1006,0))&gt;=100000), " ",IF(INDEX($AC$2:$AS$1001,MATCH(ROWS($V$2:V374),$V$2:$V$1001,0),MATCH(COLUMNS($AC$1006:AF1006),$AC$1006:$AS$1006,0)), HYPERLINK("#",""), HYPERLINK(CONCATENATE("#Metadata!", ADDRESS(INDEX($X$2:$X$1001,MATCH(ROWS($V$2:V374),$V$2:$V$1001,0),0), INDEX($AC$1004:$AS$1004,1,MATCH(COLUMNS($AC$1006:AF1006),$AC$1006:$AS$1006,0)))),"Fix")))</f>
        <v>0</v>
      </c>
      <c r="F374" s="5">
        <f>IF(OR(INDEX($W$2:$W$1001,MATCH(ROWS($V$2:V374),$V$2:$V$1001,0),1)&gt;=100000,INDEX($AC$1005:$AS$1005,1,MATCH(COLUMNS($AC$1006:AG1006),$AC$1006:$AS$1006,0))&gt;=100000), " ",IF(INDEX($AC$2:$AS$1001,MATCH(ROWS($V$2:V374),$V$2:$V$1001,0),MATCH(COLUMNS($AC$1006:AG1006),$AC$1006:$AS$1006,0)), HYPERLINK("#",""), HYPERLINK(CONCATENATE("#Metadata!", ADDRESS(INDEX($X$2:$X$1001,MATCH(ROWS($V$2:V374),$V$2:$V$1001,0),0), INDEX($AC$1004:$AS$1004,1,MATCH(COLUMNS($AC$1006:AG1006),$AC$1006:$AS$1006,0)))),"Fix")))</f>
        <v>0</v>
      </c>
      <c r="G374" s="5">
        <f>IF(OR(INDEX($W$2:$W$1001,MATCH(ROWS($V$2:V374),$V$2:$V$1001,0),1)&gt;=100000,INDEX($AC$1005:$AS$1005,1,MATCH(COLUMNS($AC$1006:AH1006),$AC$1006:$AS$1006,0))&gt;=100000), " ",IF(INDEX($AC$2:$AS$1001,MATCH(ROWS($V$2:V374),$V$2:$V$1001,0),MATCH(COLUMNS($AC$1006:AH1006),$AC$1006:$AS$1006,0)), HYPERLINK("#",""), HYPERLINK(CONCATENATE("#Metadata!", ADDRESS(INDEX($X$2:$X$1001,MATCH(ROWS($V$2:V374),$V$2:$V$1001,0),0), INDEX($AC$1004:$AS$1004,1,MATCH(COLUMNS($AC$1006:AH1006),$AC$1006:$AS$1006,0)))),"Fix")))</f>
        <v>0</v>
      </c>
      <c r="H374" s="5">
        <f>IF(OR(INDEX($W$2:$W$1001,MATCH(ROWS($V$2:V374),$V$2:$V$1001,0),1)&gt;=100000,INDEX($AC$1005:$AS$1005,1,MATCH(COLUMNS($AC$1006:AI1006),$AC$1006:$AS$1006,0))&gt;=100000), " ",IF(INDEX($AC$2:$AS$1001,MATCH(ROWS($V$2:V374),$V$2:$V$1001,0),MATCH(COLUMNS($AC$1006:AI1006),$AC$1006:$AS$1006,0)), HYPERLINK("#",""), HYPERLINK(CONCATENATE("#Metadata!", ADDRESS(INDEX($X$2:$X$1001,MATCH(ROWS($V$2:V374),$V$2:$V$1001,0),0), INDEX($AC$1004:$AS$1004,1,MATCH(COLUMNS($AC$1006:AI1006),$AC$1006:$AS$1006,0)))),"Fix")))</f>
        <v>0</v>
      </c>
      <c r="I374" s="5">
        <f>IF(OR(INDEX($W$2:$W$1001,MATCH(ROWS($V$2:V374),$V$2:$V$1001,0),1)&gt;=100000,INDEX($AC$1005:$AS$1005,1,MATCH(COLUMNS($AC$1006:AJ1006),$AC$1006:$AS$1006,0))&gt;=100000), " ",IF(INDEX($AC$2:$AS$1001,MATCH(ROWS($V$2:V374),$V$2:$V$1001,0),MATCH(COLUMNS($AC$1006:AJ1006),$AC$1006:$AS$1006,0)), HYPERLINK("#",""), HYPERLINK(CONCATENATE("#Metadata!", ADDRESS(INDEX($X$2:$X$1001,MATCH(ROWS($V$2:V374),$V$2:$V$1001,0),0), INDEX($AC$1004:$AS$1004,1,MATCH(COLUMNS($AC$1006:AJ1006),$AC$1006:$AS$1006,0)))),"Fix")))</f>
        <v>0</v>
      </c>
      <c r="J374" s="5">
        <f>IF(OR(INDEX($W$2:$W$1001,MATCH(ROWS($V$2:V374),$V$2:$V$1001,0),1)&gt;=100000,INDEX($AC$1005:$AS$1005,1,MATCH(COLUMNS($AC$1006:AK1006),$AC$1006:$AS$1006,0))&gt;=100000), " ",IF(INDEX($AC$2:$AS$1001,MATCH(ROWS($V$2:V374),$V$2:$V$1001,0),MATCH(COLUMNS($AC$1006:AK1006),$AC$1006:$AS$1006,0)), HYPERLINK("#",""), HYPERLINK(CONCATENATE("#Metadata!", ADDRESS(INDEX($X$2:$X$1001,MATCH(ROWS($V$2:V374),$V$2:$V$1001,0),0), INDEX($AC$1004:$AS$1004,1,MATCH(COLUMNS($AC$1006:AK1006),$AC$1006:$AS$1006,0)))),"Fix")))</f>
        <v>0</v>
      </c>
      <c r="K374" s="5">
        <f>IF(OR(INDEX($W$2:$W$1001,MATCH(ROWS($V$2:V374),$V$2:$V$1001,0),1)&gt;=100000,INDEX($AC$1005:$AS$1005,1,MATCH(COLUMNS($AC$1006:AL1006),$AC$1006:$AS$1006,0))&gt;=100000), " ",IF(INDEX($AC$2:$AS$1001,MATCH(ROWS($V$2:V374),$V$2:$V$1001,0),MATCH(COLUMNS($AC$1006:AL1006),$AC$1006:$AS$1006,0)), HYPERLINK("#",""), HYPERLINK(CONCATENATE("#Metadata!", ADDRESS(INDEX($X$2:$X$1001,MATCH(ROWS($V$2:V374),$V$2:$V$1001,0),0), INDEX($AC$1004:$AS$1004,1,MATCH(COLUMNS($AC$1006:AL1006),$AC$1006:$AS$1006,0)))),"Fix")))</f>
        <v>0</v>
      </c>
      <c r="L374" s="5">
        <f>IF(OR(INDEX($W$2:$W$1001,MATCH(ROWS($V$2:V374),$V$2:$V$1001,0),1)&gt;=100000,INDEX($AC$1005:$AS$1005,1,MATCH(COLUMNS($AC$1006:AM1006),$AC$1006:$AS$1006,0))&gt;=100000), " ",IF(INDEX($AC$2:$AS$1001,MATCH(ROWS($V$2:V374),$V$2:$V$1001,0),MATCH(COLUMNS($AC$1006:AM1006),$AC$1006:$AS$1006,0)), HYPERLINK("#",""), HYPERLINK(CONCATENATE("#Metadata!", ADDRESS(INDEX($X$2:$X$1001,MATCH(ROWS($V$2:V374),$V$2:$V$1001,0),0), INDEX($AC$1004:$AS$1004,1,MATCH(COLUMNS($AC$1006:AM1006),$AC$1006:$AS$1006,0)))),"Fix")))</f>
        <v>0</v>
      </c>
      <c r="M374" s="5">
        <f>IF(OR(INDEX($W$2:$W$1001,MATCH(ROWS($V$2:V374),$V$2:$V$1001,0),1)&gt;=100000,INDEX($AC$1005:$AS$1005,1,MATCH(COLUMNS($AC$1006:AN1006),$AC$1006:$AS$1006,0))&gt;=100000), " ",IF(INDEX($AC$2:$AS$1001,MATCH(ROWS($V$2:V374),$V$2:$V$1001,0),MATCH(COLUMNS($AC$1006:AN1006),$AC$1006:$AS$1006,0)), HYPERLINK("#",""), HYPERLINK(CONCATENATE("#Metadata!", ADDRESS(INDEX($X$2:$X$1001,MATCH(ROWS($V$2:V374),$V$2:$V$1001,0),0), INDEX($AC$1004:$AS$1004,1,MATCH(COLUMNS($AC$1006:AN1006),$AC$1006:$AS$1006,0)))),"Fix")))</f>
        <v>0</v>
      </c>
      <c r="N374" s="5">
        <f>IF(OR(INDEX($W$2:$W$1001,MATCH(ROWS($V$2:V374),$V$2:$V$1001,0),1)&gt;=100000,INDEX($AC$1005:$AS$1005,1,MATCH(COLUMNS($AC$1006:AO1006),$AC$1006:$AS$1006,0))&gt;=100000), " ",IF(INDEX($AC$2:$AS$1001,MATCH(ROWS($V$2:V374),$V$2:$V$1001,0),MATCH(COLUMNS($AC$1006:AO1006),$AC$1006:$AS$1006,0)), HYPERLINK("#",""), HYPERLINK(CONCATENATE("#Metadata!", ADDRESS(INDEX($X$2:$X$1001,MATCH(ROWS($V$2:V374),$V$2:$V$1001,0),0), INDEX($AC$1004:$AS$1004,1,MATCH(COLUMNS($AC$1006:AO1006),$AC$1006:$AS$1006,0)))),"Fix")))</f>
        <v>0</v>
      </c>
      <c r="O374" s="5">
        <f>IF(OR(INDEX($W$2:$W$1001,MATCH(ROWS($V$2:V374),$V$2:$V$1001,0),1)&gt;=100000,INDEX($AC$1005:$AS$1005,1,MATCH(COLUMNS($AC$1006:AP1006),$AC$1006:$AS$1006,0))&gt;=100000), " ",IF(INDEX($AC$2:$AS$1001,MATCH(ROWS($V$2:V374),$V$2:$V$1001,0),MATCH(COLUMNS($AC$1006:AP1006),$AC$1006:$AS$1006,0)), HYPERLINK("#",""), HYPERLINK(CONCATENATE("#Metadata!", ADDRESS(INDEX($X$2:$X$1001,MATCH(ROWS($V$2:V374),$V$2:$V$1001,0),0), INDEX($AC$1004:$AS$1004,1,MATCH(COLUMNS($AC$1006:AP1006),$AC$1006:$AS$1006,0)))),"Fix")))</f>
        <v>0</v>
      </c>
      <c r="P374" s="5">
        <f>IF(OR(INDEX($W$2:$W$1001,MATCH(ROWS($V$2:V374),$V$2:$V$1001,0),1)&gt;=100000,INDEX($AC$1005:$AS$1005,1,MATCH(COLUMNS($AC$1006:AQ1006),$AC$1006:$AS$1006,0))&gt;=100000), " ",IF(INDEX($AC$2:$AS$1001,MATCH(ROWS($V$2:V374),$V$2:$V$1001,0),MATCH(COLUMNS($AC$1006:AQ1006),$AC$1006:$AS$1006,0)), HYPERLINK("#",""), HYPERLINK(CONCATENATE("#Metadata!", ADDRESS(INDEX($X$2:$X$1001,MATCH(ROWS($V$2:V374),$V$2:$V$1001,0),0), INDEX($AC$1004:$AS$1004,1,MATCH(COLUMNS($AC$1006:AQ1006),$AC$1006:$AS$1006,0)))),"Fix")))</f>
        <v>0</v>
      </c>
      <c r="Q374" s="5">
        <f>IF(OR(INDEX($W$2:$W$1001,MATCH(ROWS($V$2:V374),$V$2:$V$1001,0),1)&gt;=100000,INDEX($AC$1005:$AS$1005,1,MATCH(COLUMNS($AC$1006:AR1006),$AC$1006:$AS$1006,0))&gt;=100000), " ",IF(INDEX($AC$2:$AS$1001,MATCH(ROWS($V$2:V374),$V$2:$V$1001,0),MATCH(COLUMNS($AC$1006:AR1006),$AC$1006:$AS$1006,0)), HYPERLINK("#",""), HYPERLINK(CONCATENATE("#Metadata!", ADDRESS(INDEX($X$2:$X$1001,MATCH(ROWS($V$2:V374),$V$2:$V$1001,0),0), INDEX($AC$1004:$AS$1004,1,MATCH(COLUMNS($AC$1006:AR1006),$AC$1006:$AS$1006,0)))),"Fix")))</f>
        <v>0</v>
      </c>
      <c r="R374" s="5">
        <f>IF(OR(INDEX($W$2:$W$1001,MATCH(ROWS($V$2:V374),$V$2:$V$1001,0),1)&gt;=100000,INDEX($AC$1005:$AS$1005,1,MATCH(COLUMNS($AC$1006:AS1006),$AC$1006:$AS$1006,0))&gt;=100000), " ",IF(INDEX($AC$2:$AS$1001,MATCH(ROWS($V$2:V374),$V$2:$V$1001,0),MATCH(COLUMNS($AC$1006:AS1006),$AC$1006:$AS$1006,0)), HYPERLINK("#",""), HYPERLINK(CONCATENATE("#Metadata!", ADDRESS(INDEX($X$2:$X$1001,MATCH(ROWS($V$2:V374),$V$2:$V$1001,0),0), INDEX($AC$1004:$AS$1004,1,MATCH(COLUMNS($AC$1006:AS1006),$AC$1006:$AS$1006,0)))),"Fix")))</f>
        <v>0</v>
      </c>
      <c r="V374">
        <v>0</v>
      </c>
      <c r="W374">
        <v>0</v>
      </c>
      <c r="X374">
        <v>0</v>
      </c>
      <c r="Y374">
        <f>IF(Z374,TRUE,AND(AC374:AS374))</f>
        <v>0</v>
      </c>
      <c r="Z374">
        <f>COUNTBLANK(Metadata!B374:R374)=COLUMNS(Metadata!B374:R374)</f>
        <v>0</v>
      </c>
      <c r="AA374">
        <v>0</v>
      </c>
      <c r="AC374">
        <f>AND(IF(Metadata!B374="",FALSE,TRUE),COUNTIF(Metadata!B:B, Metadata!B374) = 1,NOT(ISERROR(SUMPRODUCT(SEARCH(MID(Metadata!B374,ROW(INDIRECT("1:"&amp;LEN(Metadata!B374))), 1),"0123456789abcdefghijklmnopqrstuvwxyzABCDEFGHIJKLMNOPQRSTUVWXYZ.")))))</f>
        <v>0</v>
      </c>
      <c r="AD374">
        <f>AND(IF(Metadata!C374="",FALSE,TRUE),exact(Metadata!C374,"Host-associated"))</f>
        <v>0</v>
      </c>
      <c r="AE374">
        <f>AND(IF(Metadata!D374="",FALSE,TRUE),OR(exact(Metadata!D374,"Animal"),exact(Metadata!D374,"Fungus"),exact(Metadata!D374,"Plant")))</f>
        <v>0</v>
      </c>
      <c r="AF374">
        <f>AND(IF(Metadata!E374="",FALSE,TRUE),OR(exact(Metadata!E374,"Plant secretion"),exact(Metadata!E374,"Plant rhizosphere"),exact(Metadata!E374,"Plant surface"),exact(Metadata!E374,"Plant corpus"),exact(Metadata!E374,"Fungus surface"),exact(Metadata!E374,"Fungus corpus"),exact(Metadata!E374,"Animal surface"),exact(Metadata!E374,"Animal proximal gut"),exact(Metadata!E374,"Animal corpus"),exact(Metadata!E374,"Animal distal gut"),exact(Metadata!E374,"Animal secretion")))</f>
        <v>0</v>
      </c>
      <c r="AG374">
        <f>OR(AND(IF(Metadata!F374="",FALSE,TRUE),OR(exact(Metadata!F374,"not collected"),exact(Metadata!F374,"not provided"),exact(Metadata!F374,"restricted access"))),AND(IF(Metadata!F374="",FALSE,TRUE),OR(exact(Metadata!F374,"organism-associated habitat"),exact(Metadata!F374,"plant-associated habitat"),exact(Metadata!F374,"animal-associated habitat"),exact(Metadata!F374,"insecta-associated habitat"),exact(Metadata!F374,"mammalia-associated habitat"),exact(Metadata!F374,"human-associated habitat"),exact(Metadata!F374,"livestock-associated habitat"))))</f>
        <v>0</v>
      </c>
      <c r="AH374">
        <f>AND(IF(Metadata!G374="",FALSE,TRUE),exact(Metadata!G374,"host-associated"))</f>
        <v>0</v>
      </c>
      <c r="AI374">
        <f>OR(AND(IF(Metadata!H374="",FALSE,TRUE),OR(exact(Metadata!H374,"not collected"),exact(Metadata!H374,"not provided"))),AND(IF(Metadata!H374="",FALSE,ISNUMBER(VALUE(Metadata!H374))),Metadata!H374&gt;0))</f>
        <v>0</v>
      </c>
      <c r="AJ374">
        <f>AND(IF(Metadata!I374="",FALSE,TRUE),exact(Metadata!I374,"years"))</f>
        <v>0</v>
      </c>
      <c r="AK374">
        <f>IF(Metadata!J374="",FALSE,TRUE)</f>
        <v>0</v>
      </c>
      <c r="AL374">
        <f>OR(AND(IF(Metadata!K374="",FALSE,TRUE),OR(exact(Metadata!K374,"not collected"),exact(Metadata!K374,"not provided"))),AND(IF(Metadata!K374="",FALSE,ISNUMBER(VALUE(Metadata!K374))),Metadata!K374&gt;0))</f>
        <v>0</v>
      </c>
      <c r="AM374">
        <f>AND(IF(Metadata!L374="",FALSE,TRUE),exact(Metadata!L374,"cm"))</f>
        <v>0</v>
      </c>
      <c r="AN374">
        <f>IF(Metadata!M374="",FALSE,TRUE)</f>
        <v>0</v>
      </c>
      <c r="AO374">
        <f>OR(AND(IF(Metadata!N374="",FALSE,TRUE),OR(exact(Metadata!N374,"not applicable"),exact(Metadata!N374,"not collected"),exact(Metadata!N374,"not provided"))),AND(IF(Metadata!N374="",FALSE,IF(ISERROR(INT(Metadata!N374)),FALSE,INT(Metadata!N374)=Metadata!N374)),Metadata!N374&gt;0))</f>
        <v>0</v>
      </c>
      <c r="AP374">
        <f>OR(AND(IF(Metadata!O374="",FALSE,TRUE),OR(exact(Metadata!O374,"not collected"),exact(Metadata!O374,"not provided"))),AND(IF(Metadata!O374="",FALSE,ISNUMBER(VALUE(Metadata!O374))),Metadata!O374&gt;0))</f>
        <v>0</v>
      </c>
      <c r="AQ374">
        <f>AND(IF(Metadata!P374="",FALSE,TRUE),exact(Metadata!P374,"kg"))</f>
        <v>0</v>
      </c>
      <c r="AR374">
        <f>OR(AND(IF(Metadata!Q374="",FALSE,TRUE),OR(exact(Metadata!Q374,"not applicable"),exact(Metadata!Q374,"not collected"),exact(Metadata!Q374,"not provided"),exact(Metadata!Q374,"restricted access"))),IF(Metadata!Q374="",FALSE,IF(ISERROR(INT(Metadata!Q374)),FALSE,INT(Metadata!Q374)=Metadata!Q374)))</f>
        <v>0</v>
      </c>
      <c r="AS374">
        <f>AND(IF(Metadata!R374="",FALSE,TRUE),exact(Metadata!R374,"Not applicable"))</f>
        <v>0</v>
      </c>
    </row>
    <row r="375" spans="1:45">
      <c r="A375" s="4">
        <f>IF(B375=" "," ",HYPERLINK(CONCATENATE("#metadata!",ADDRESS(INDEX($X$2:$X$1001,MATCH(ROWS($V$2:V375),$V$2:$V$1001,0),0),2)),INDEX($AA$2:$AA$1001,MATCH(ROWS($V$2:V375),$V$2:$V$1001,0),0)))</f>
        <v>0</v>
      </c>
      <c r="B375" s="5">
        <f>IF(OR(INDEX($W$2:$W$1001,MATCH(ROWS($V$2:V375),$V$2:$V$1001,0),1)&gt;=100000,INDEX($AC$1005:$AS$1005,1,MATCH(COLUMNS($AC$1006:AC1006),$AC$1006:$AS$1006,0))&gt;=100000), " ",IF(INDEX($AC$2:$AS$1001,MATCH(ROWS($V$2:V375),$V$2:$V$1001,0),MATCH(COLUMNS($AC$1006:AC1006),$AC$1006:$AS$1006,0)), HYPERLINK("#",""), HYPERLINK(CONCATENATE("#Metadata!", ADDRESS(INDEX($X$2:$X$1001,MATCH(ROWS($V$2:V375),$V$2:$V$1001,0),0), INDEX($AC$1004:$AS$1004,1,MATCH(COLUMNS($AC$1006:AC1006),$AC$1006:$AS$1006,0)))),"Fix")))</f>
        <v>0</v>
      </c>
      <c r="C375" s="5">
        <f>IF(OR(INDEX($W$2:$W$1001,MATCH(ROWS($V$2:V375),$V$2:$V$1001,0),1)&gt;=100000,INDEX($AC$1005:$AS$1005,1,MATCH(COLUMNS($AC$1006:AD1006),$AC$1006:$AS$1006,0))&gt;=100000), " ",IF(INDEX($AC$2:$AS$1001,MATCH(ROWS($V$2:V375),$V$2:$V$1001,0),MATCH(COLUMNS($AC$1006:AD1006),$AC$1006:$AS$1006,0)), HYPERLINK("#",""), HYPERLINK(CONCATENATE("#Metadata!", ADDRESS(INDEX($X$2:$X$1001,MATCH(ROWS($V$2:V375),$V$2:$V$1001,0),0), INDEX($AC$1004:$AS$1004,1,MATCH(COLUMNS($AC$1006:AD1006),$AC$1006:$AS$1006,0)))),"Fix")))</f>
        <v>0</v>
      </c>
      <c r="D375" s="5">
        <f>IF(OR(INDEX($W$2:$W$1001,MATCH(ROWS($V$2:V375),$V$2:$V$1001,0),1)&gt;=100000,INDEX($AC$1005:$AS$1005,1,MATCH(COLUMNS($AC$1006:AE1006),$AC$1006:$AS$1006,0))&gt;=100000), " ",IF(INDEX($AC$2:$AS$1001,MATCH(ROWS($V$2:V375),$V$2:$V$1001,0),MATCH(COLUMNS($AC$1006:AE1006),$AC$1006:$AS$1006,0)), HYPERLINK("#",""), HYPERLINK(CONCATENATE("#Metadata!", ADDRESS(INDEX($X$2:$X$1001,MATCH(ROWS($V$2:V375),$V$2:$V$1001,0),0), INDEX($AC$1004:$AS$1004,1,MATCH(COLUMNS($AC$1006:AE1006),$AC$1006:$AS$1006,0)))),"Fix")))</f>
        <v>0</v>
      </c>
      <c r="E375" s="5">
        <f>IF(OR(INDEX($W$2:$W$1001,MATCH(ROWS($V$2:V375),$V$2:$V$1001,0),1)&gt;=100000,INDEX($AC$1005:$AS$1005,1,MATCH(COLUMNS($AC$1006:AF1006),$AC$1006:$AS$1006,0))&gt;=100000), " ",IF(INDEX($AC$2:$AS$1001,MATCH(ROWS($V$2:V375),$V$2:$V$1001,0),MATCH(COLUMNS($AC$1006:AF1006),$AC$1006:$AS$1006,0)), HYPERLINK("#",""), HYPERLINK(CONCATENATE("#Metadata!", ADDRESS(INDEX($X$2:$X$1001,MATCH(ROWS($V$2:V375),$V$2:$V$1001,0),0), INDEX($AC$1004:$AS$1004,1,MATCH(COLUMNS($AC$1006:AF1006),$AC$1006:$AS$1006,0)))),"Fix")))</f>
        <v>0</v>
      </c>
      <c r="F375" s="5">
        <f>IF(OR(INDEX($W$2:$W$1001,MATCH(ROWS($V$2:V375),$V$2:$V$1001,0),1)&gt;=100000,INDEX($AC$1005:$AS$1005,1,MATCH(COLUMNS($AC$1006:AG1006),$AC$1006:$AS$1006,0))&gt;=100000), " ",IF(INDEX($AC$2:$AS$1001,MATCH(ROWS($V$2:V375),$V$2:$V$1001,0),MATCH(COLUMNS($AC$1006:AG1006),$AC$1006:$AS$1006,0)), HYPERLINK("#",""), HYPERLINK(CONCATENATE("#Metadata!", ADDRESS(INDEX($X$2:$X$1001,MATCH(ROWS($V$2:V375),$V$2:$V$1001,0),0), INDEX($AC$1004:$AS$1004,1,MATCH(COLUMNS($AC$1006:AG1006),$AC$1006:$AS$1006,0)))),"Fix")))</f>
        <v>0</v>
      </c>
      <c r="G375" s="5">
        <f>IF(OR(INDEX($W$2:$W$1001,MATCH(ROWS($V$2:V375),$V$2:$V$1001,0),1)&gt;=100000,INDEX($AC$1005:$AS$1005,1,MATCH(COLUMNS($AC$1006:AH1006),$AC$1006:$AS$1006,0))&gt;=100000), " ",IF(INDEX($AC$2:$AS$1001,MATCH(ROWS($V$2:V375),$V$2:$V$1001,0),MATCH(COLUMNS($AC$1006:AH1006),$AC$1006:$AS$1006,0)), HYPERLINK("#",""), HYPERLINK(CONCATENATE("#Metadata!", ADDRESS(INDEX($X$2:$X$1001,MATCH(ROWS($V$2:V375),$V$2:$V$1001,0),0), INDEX($AC$1004:$AS$1004,1,MATCH(COLUMNS($AC$1006:AH1006),$AC$1006:$AS$1006,0)))),"Fix")))</f>
        <v>0</v>
      </c>
      <c r="H375" s="5">
        <f>IF(OR(INDEX($W$2:$W$1001,MATCH(ROWS($V$2:V375),$V$2:$V$1001,0),1)&gt;=100000,INDEX($AC$1005:$AS$1005,1,MATCH(COLUMNS($AC$1006:AI1006),$AC$1006:$AS$1006,0))&gt;=100000), " ",IF(INDEX($AC$2:$AS$1001,MATCH(ROWS($V$2:V375),$V$2:$V$1001,0),MATCH(COLUMNS($AC$1006:AI1006),$AC$1006:$AS$1006,0)), HYPERLINK("#",""), HYPERLINK(CONCATENATE("#Metadata!", ADDRESS(INDEX($X$2:$X$1001,MATCH(ROWS($V$2:V375),$V$2:$V$1001,0),0), INDEX($AC$1004:$AS$1004,1,MATCH(COLUMNS($AC$1006:AI1006),$AC$1006:$AS$1006,0)))),"Fix")))</f>
        <v>0</v>
      </c>
      <c r="I375" s="5">
        <f>IF(OR(INDEX($W$2:$W$1001,MATCH(ROWS($V$2:V375),$V$2:$V$1001,0),1)&gt;=100000,INDEX($AC$1005:$AS$1005,1,MATCH(COLUMNS($AC$1006:AJ1006),$AC$1006:$AS$1006,0))&gt;=100000), " ",IF(INDEX($AC$2:$AS$1001,MATCH(ROWS($V$2:V375),$V$2:$V$1001,0),MATCH(COLUMNS($AC$1006:AJ1006),$AC$1006:$AS$1006,0)), HYPERLINK("#",""), HYPERLINK(CONCATENATE("#Metadata!", ADDRESS(INDEX($X$2:$X$1001,MATCH(ROWS($V$2:V375),$V$2:$V$1001,0),0), INDEX($AC$1004:$AS$1004,1,MATCH(COLUMNS($AC$1006:AJ1006),$AC$1006:$AS$1006,0)))),"Fix")))</f>
        <v>0</v>
      </c>
      <c r="J375" s="5">
        <f>IF(OR(INDEX($W$2:$W$1001,MATCH(ROWS($V$2:V375),$V$2:$V$1001,0),1)&gt;=100000,INDEX($AC$1005:$AS$1005,1,MATCH(COLUMNS($AC$1006:AK1006),$AC$1006:$AS$1006,0))&gt;=100000), " ",IF(INDEX($AC$2:$AS$1001,MATCH(ROWS($V$2:V375),$V$2:$V$1001,0),MATCH(COLUMNS($AC$1006:AK1006),$AC$1006:$AS$1006,0)), HYPERLINK("#",""), HYPERLINK(CONCATENATE("#Metadata!", ADDRESS(INDEX($X$2:$X$1001,MATCH(ROWS($V$2:V375),$V$2:$V$1001,0),0), INDEX($AC$1004:$AS$1004,1,MATCH(COLUMNS($AC$1006:AK1006),$AC$1006:$AS$1006,0)))),"Fix")))</f>
        <v>0</v>
      </c>
      <c r="K375" s="5">
        <f>IF(OR(INDEX($W$2:$W$1001,MATCH(ROWS($V$2:V375),$V$2:$V$1001,0),1)&gt;=100000,INDEX($AC$1005:$AS$1005,1,MATCH(COLUMNS($AC$1006:AL1006),$AC$1006:$AS$1006,0))&gt;=100000), " ",IF(INDEX($AC$2:$AS$1001,MATCH(ROWS($V$2:V375),$V$2:$V$1001,0),MATCH(COLUMNS($AC$1006:AL1006),$AC$1006:$AS$1006,0)), HYPERLINK("#",""), HYPERLINK(CONCATENATE("#Metadata!", ADDRESS(INDEX($X$2:$X$1001,MATCH(ROWS($V$2:V375),$V$2:$V$1001,0),0), INDEX($AC$1004:$AS$1004,1,MATCH(COLUMNS($AC$1006:AL1006),$AC$1006:$AS$1006,0)))),"Fix")))</f>
        <v>0</v>
      </c>
      <c r="L375" s="5">
        <f>IF(OR(INDEX($W$2:$W$1001,MATCH(ROWS($V$2:V375),$V$2:$V$1001,0),1)&gt;=100000,INDEX($AC$1005:$AS$1005,1,MATCH(COLUMNS($AC$1006:AM1006),$AC$1006:$AS$1006,0))&gt;=100000), " ",IF(INDEX($AC$2:$AS$1001,MATCH(ROWS($V$2:V375),$V$2:$V$1001,0),MATCH(COLUMNS($AC$1006:AM1006),$AC$1006:$AS$1006,0)), HYPERLINK("#",""), HYPERLINK(CONCATENATE("#Metadata!", ADDRESS(INDEX($X$2:$X$1001,MATCH(ROWS($V$2:V375),$V$2:$V$1001,0),0), INDEX($AC$1004:$AS$1004,1,MATCH(COLUMNS($AC$1006:AM1006),$AC$1006:$AS$1006,0)))),"Fix")))</f>
        <v>0</v>
      </c>
      <c r="M375" s="5">
        <f>IF(OR(INDEX($W$2:$W$1001,MATCH(ROWS($V$2:V375),$V$2:$V$1001,0),1)&gt;=100000,INDEX($AC$1005:$AS$1005,1,MATCH(COLUMNS($AC$1006:AN1006),$AC$1006:$AS$1006,0))&gt;=100000), " ",IF(INDEX($AC$2:$AS$1001,MATCH(ROWS($V$2:V375),$V$2:$V$1001,0),MATCH(COLUMNS($AC$1006:AN1006),$AC$1006:$AS$1006,0)), HYPERLINK("#",""), HYPERLINK(CONCATENATE("#Metadata!", ADDRESS(INDEX($X$2:$X$1001,MATCH(ROWS($V$2:V375),$V$2:$V$1001,0),0), INDEX($AC$1004:$AS$1004,1,MATCH(COLUMNS($AC$1006:AN1006),$AC$1006:$AS$1006,0)))),"Fix")))</f>
        <v>0</v>
      </c>
      <c r="N375" s="5">
        <f>IF(OR(INDEX($W$2:$W$1001,MATCH(ROWS($V$2:V375),$V$2:$V$1001,0),1)&gt;=100000,INDEX($AC$1005:$AS$1005,1,MATCH(COLUMNS($AC$1006:AO1006),$AC$1006:$AS$1006,0))&gt;=100000), " ",IF(INDEX($AC$2:$AS$1001,MATCH(ROWS($V$2:V375),$V$2:$V$1001,0),MATCH(COLUMNS($AC$1006:AO1006),$AC$1006:$AS$1006,0)), HYPERLINK("#",""), HYPERLINK(CONCATENATE("#Metadata!", ADDRESS(INDEX($X$2:$X$1001,MATCH(ROWS($V$2:V375),$V$2:$V$1001,0),0), INDEX($AC$1004:$AS$1004,1,MATCH(COLUMNS($AC$1006:AO1006),$AC$1006:$AS$1006,0)))),"Fix")))</f>
        <v>0</v>
      </c>
      <c r="O375" s="5">
        <f>IF(OR(INDEX($W$2:$W$1001,MATCH(ROWS($V$2:V375),$V$2:$V$1001,0),1)&gt;=100000,INDEX($AC$1005:$AS$1005,1,MATCH(COLUMNS($AC$1006:AP1006),$AC$1006:$AS$1006,0))&gt;=100000), " ",IF(INDEX($AC$2:$AS$1001,MATCH(ROWS($V$2:V375),$V$2:$V$1001,0),MATCH(COLUMNS($AC$1006:AP1006),$AC$1006:$AS$1006,0)), HYPERLINK("#",""), HYPERLINK(CONCATENATE("#Metadata!", ADDRESS(INDEX($X$2:$X$1001,MATCH(ROWS($V$2:V375),$V$2:$V$1001,0),0), INDEX($AC$1004:$AS$1004,1,MATCH(COLUMNS($AC$1006:AP1006),$AC$1006:$AS$1006,0)))),"Fix")))</f>
        <v>0</v>
      </c>
      <c r="P375" s="5">
        <f>IF(OR(INDEX($W$2:$W$1001,MATCH(ROWS($V$2:V375),$V$2:$V$1001,0),1)&gt;=100000,INDEX($AC$1005:$AS$1005,1,MATCH(COLUMNS($AC$1006:AQ1006),$AC$1006:$AS$1006,0))&gt;=100000), " ",IF(INDEX($AC$2:$AS$1001,MATCH(ROWS($V$2:V375),$V$2:$V$1001,0),MATCH(COLUMNS($AC$1006:AQ1006),$AC$1006:$AS$1006,0)), HYPERLINK("#",""), HYPERLINK(CONCATENATE("#Metadata!", ADDRESS(INDEX($X$2:$X$1001,MATCH(ROWS($V$2:V375),$V$2:$V$1001,0),0), INDEX($AC$1004:$AS$1004,1,MATCH(COLUMNS($AC$1006:AQ1006),$AC$1006:$AS$1006,0)))),"Fix")))</f>
        <v>0</v>
      </c>
      <c r="Q375" s="5">
        <f>IF(OR(INDEX($W$2:$W$1001,MATCH(ROWS($V$2:V375),$V$2:$V$1001,0),1)&gt;=100000,INDEX($AC$1005:$AS$1005,1,MATCH(COLUMNS($AC$1006:AR1006),$AC$1006:$AS$1006,0))&gt;=100000), " ",IF(INDEX($AC$2:$AS$1001,MATCH(ROWS($V$2:V375),$V$2:$V$1001,0),MATCH(COLUMNS($AC$1006:AR1006),$AC$1006:$AS$1006,0)), HYPERLINK("#",""), HYPERLINK(CONCATENATE("#Metadata!", ADDRESS(INDEX($X$2:$X$1001,MATCH(ROWS($V$2:V375),$V$2:$V$1001,0),0), INDEX($AC$1004:$AS$1004,1,MATCH(COLUMNS($AC$1006:AR1006),$AC$1006:$AS$1006,0)))),"Fix")))</f>
        <v>0</v>
      </c>
      <c r="R375" s="5">
        <f>IF(OR(INDEX($W$2:$W$1001,MATCH(ROWS($V$2:V375),$V$2:$V$1001,0),1)&gt;=100000,INDEX($AC$1005:$AS$1005,1,MATCH(COLUMNS($AC$1006:AS1006),$AC$1006:$AS$1006,0))&gt;=100000), " ",IF(INDEX($AC$2:$AS$1001,MATCH(ROWS($V$2:V375),$V$2:$V$1001,0),MATCH(COLUMNS($AC$1006:AS1006),$AC$1006:$AS$1006,0)), HYPERLINK("#",""), HYPERLINK(CONCATENATE("#Metadata!", ADDRESS(INDEX($X$2:$X$1001,MATCH(ROWS($V$2:V375),$V$2:$V$1001,0),0), INDEX($AC$1004:$AS$1004,1,MATCH(COLUMNS($AC$1006:AS1006),$AC$1006:$AS$1006,0)))),"Fix")))</f>
        <v>0</v>
      </c>
      <c r="V375">
        <v>0</v>
      </c>
      <c r="W375">
        <v>0</v>
      </c>
      <c r="X375">
        <v>0</v>
      </c>
      <c r="Y375">
        <f>IF(Z375,TRUE,AND(AC375:AS375))</f>
        <v>0</v>
      </c>
      <c r="Z375">
        <f>COUNTBLANK(Metadata!B375:R375)=COLUMNS(Metadata!B375:R375)</f>
        <v>0</v>
      </c>
      <c r="AA375">
        <v>0</v>
      </c>
      <c r="AC375">
        <f>AND(IF(Metadata!B375="",FALSE,TRUE),COUNTIF(Metadata!B:B, Metadata!B375) = 1,NOT(ISERROR(SUMPRODUCT(SEARCH(MID(Metadata!B375,ROW(INDIRECT("1:"&amp;LEN(Metadata!B375))), 1),"0123456789abcdefghijklmnopqrstuvwxyzABCDEFGHIJKLMNOPQRSTUVWXYZ.")))))</f>
        <v>0</v>
      </c>
      <c r="AD375">
        <f>AND(IF(Metadata!C375="",FALSE,TRUE),exact(Metadata!C375,"Host-associated"))</f>
        <v>0</v>
      </c>
      <c r="AE375">
        <f>AND(IF(Metadata!D375="",FALSE,TRUE),OR(exact(Metadata!D375,"Animal"),exact(Metadata!D375,"Fungus"),exact(Metadata!D375,"Plant")))</f>
        <v>0</v>
      </c>
      <c r="AF375">
        <f>AND(IF(Metadata!E375="",FALSE,TRUE),OR(exact(Metadata!E375,"Plant secretion"),exact(Metadata!E375,"Plant rhizosphere"),exact(Metadata!E375,"Plant surface"),exact(Metadata!E375,"Plant corpus"),exact(Metadata!E375,"Fungus surface"),exact(Metadata!E375,"Fungus corpus"),exact(Metadata!E375,"Animal surface"),exact(Metadata!E375,"Animal proximal gut"),exact(Metadata!E375,"Animal corpus"),exact(Metadata!E375,"Animal distal gut"),exact(Metadata!E375,"Animal secretion")))</f>
        <v>0</v>
      </c>
      <c r="AG375">
        <f>OR(AND(IF(Metadata!F375="",FALSE,TRUE),OR(exact(Metadata!F375,"not collected"),exact(Metadata!F375,"not provided"),exact(Metadata!F375,"restricted access"))),AND(IF(Metadata!F375="",FALSE,TRUE),OR(exact(Metadata!F375,"organism-associated habitat"),exact(Metadata!F375,"plant-associated habitat"),exact(Metadata!F375,"animal-associated habitat"),exact(Metadata!F375,"insecta-associated habitat"),exact(Metadata!F375,"mammalia-associated habitat"),exact(Metadata!F375,"human-associated habitat"),exact(Metadata!F375,"livestock-associated habitat"))))</f>
        <v>0</v>
      </c>
      <c r="AH375">
        <f>AND(IF(Metadata!G375="",FALSE,TRUE),exact(Metadata!G375,"host-associated"))</f>
        <v>0</v>
      </c>
      <c r="AI375">
        <f>OR(AND(IF(Metadata!H375="",FALSE,TRUE),OR(exact(Metadata!H375,"not collected"),exact(Metadata!H375,"not provided"))),AND(IF(Metadata!H375="",FALSE,ISNUMBER(VALUE(Metadata!H375))),Metadata!H375&gt;0))</f>
        <v>0</v>
      </c>
      <c r="AJ375">
        <f>AND(IF(Metadata!I375="",FALSE,TRUE),exact(Metadata!I375,"years"))</f>
        <v>0</v>
      </c>
      <c r="AK375">
        <f>IF(Metadata!J375="",FALSE,TRUE)</f>
        <v>0</v>
      </c>
      <c r="AL375">
        <f>OR(AND(IF(Metadata!K375="",FALSE,TRUE),OR(exact(Metadata!K375,"not collected"),exact(Metadata!K375,"not provided"))),AND(IF(Metadata!K375="",FALSE,ISNUMBER(VALUE(Metadata!K375))),Metadata!K375&gt;0))</f>
        <v>0</v>
      </c>
      <c r="AM375">
        <f>AND(IF(Metadata!L375="",FALSE,TRUE),exact(Metadata!L375,"cm"))</f>
        <v>0</v>
      </c>
      <c r="AN375">
        <f>IF(Metadata!M375="",FALSE,TRUE)</f>
        <v>0</v>
      </c>
      <c r="AO375">
        <f>OR(AND(IF(Metadata!N375="",FALSE,TRUE),OR(exact(Metadata!N375,"not applicable"),exact(Metadata!N375,"not collected"),exact(Metadata!N375,"not provided"))),AND(IF(Metadata!N375="",FALSE,IF(ISERROR(INT(Metadata!N375)),FALSE,INT(Metadata!N375)=Metadata!N375)),Metadata!N375&gt;0))</f>
        <v>0</v>
      </c>
      <c r="AP375">
        <f>OR(AND(IF(Metadata!O375="",FALSE,TRUE),OR(exact(Metadata!O375,"not collected"),exact(Metadata!O375,"not provided"))),AND(IF(Metadata!O375="",FALSE,ISNUMBER(VALUE(Metadata!O375))),Metadata!O375&gt;0))</f>
        <v>0</v>
      </c>
      <c r="AQ375">
        <f>AND(IF(Metadata!P375="",FALSE,TRUE),exact(Metadata!P375,"kg"))</f>
        <v>0</v>
      </c>
      <c r="AR375">
        <f>OR(AND(IF(Metadata!Q375="",FALSE,TRUE),OR(exact(Metadata!Q375,"not applicable"),exact(Metadata!Q375,"not collected"),exact(Metadata!Q375,"not provided"),exact(Metadata!Q375,"restricted access"))),IF(Metadata!Q375="",FALSE,IF(ISERROR(INT(Metadata!Q375)),FALSE,INT(Metadata!Q375)=Metadata!Q375)))</f>
        <v>0</v>
      </c>
      <c r="AS375">
        <f>AND(IF(Metadata!R375="",FALSE,TRUE),exact(Metadata!R375,"Not applicable"))</f>
        <v>0</v>
      </c>
    </row>
    <row r="376" spans="1:45">
      <c r="A376" s="4">
        <f>IF(B376=" "," ",HYPERLINK(CONCATENATE("#metadata!",ADDRESS(INDEX($X$2:$X$1001,MATCH(ROWS($V$2:V376),$V$2:$V$1001,0),0),2)),INDEX($AA$2:$AA$1001,MATCH(ROWS($V$2:V376),$V$2:$V$1001,0),0)))</f>
        <v>0</v>
      </c>
      <c r="B376" s="5">
        <f>IF(OR(INDEX($W$2:$W$1001,MATCH(ROWS($V$2:V376),$V$2:$V$1001,0),1)&gt;=100000,INDEX($AC$1005:$AS$1005,1,MATCH(COLUMNS($AC$1006:AC1006),$AC$1006:$AS$1006,0))&gt;=100000), " ",IF(INDEX($AC$2:$AS$1001,MATCH(ROWS($V$2:V376),$V$2:$V$1001,0),MATCH(COLUMNS($AC$1006:AC1006),$AC$1006:$AS$1006,0)), HYPERLINK("#",""), HYPERLINK(CONCATENATE("#Metadata!", ADDRESS(INDEX($X$2:$X$1001,MATCH(ROWS($V$2:V376),$V$2:$V$1001,0),0), INDEX($AC$1004:$AS$1004,1,MATCH(COLUMNS($AC$1006:AC1006),$AC$1006:$AS$1006,0)))),"Fix")))</f>
        <v>0</v>
      </c>
      <c r="C376" s="5">
        <f>IF(OR(INDEX($W$2:$W$1001,MATCH(ROWS($V$2:V376),$V$2:$V$1001,0),1)&gt;=100000,INDEX($AC$1005:$AS$1005,1,MATCH(COLUMNS($AC$1006:AD1006),$AC$1006:$AS$1006,0))&gt;=100000), " ",IF(INDEX($AC$2:$AS$1001,MATCH(ROWS($V$2:V376),$V$2:$V$1001,0),MATCH(COLUMNS($AC$1006:AD1006),$AC$1006:$AS$1006,0)), HYPERLINK("#",""), HYPERLINK(CONCATENATE("#Metadata!", ADDRESS(INDEX($X$2:$X$1001,MATCH(ROWS($V$2:V376),$V$2:$V$1001,0),0), INDEX($AC$1004:$AS$1004,1,MATCH(COLUMNS($AC$1006:AD1006),$AC$1006:$AS$1006,0)))),"Fix")))</f>
        <v>0</v>
      </c>
      <c r="D376" s="5">
        <f>IF(OR(INDEX($W$2:$W$1001,MATCH(ROWS($V$2:V376),$V$2:$V$1001,0),1)&gt;=100000,INDEX($AC$1005:$AS$1005,1,MATCH(COLUMNS($AC$1006:AE1006),$AC$1006:$AS$1006,0))&gt;=100000), " ",IF(INDEX($AC$2:$AS$1001,MATCH(ROWS($V$2:V376),$V$2:$V$1001,0),MATCH(COLUMNS($AC$1006:AE1006),$AC$1006:$AS$1006,0)), HYPERLINK("#",""), HYPERLINK(CONCATENATE("#Metadata!", ADDRESS(INDEX($X$2:$X$1001,MATCH(ROWS($V$2:V376),$V$2:$V$1001,0),0), INDEX($AC$1004:$AS$1004,1,MATCH(COLUMNS($AC$1006:AE1006),$AC$1006:$AS$1006,0)))),"Fix")))</f>
        <v>0</v>
      </c>
      <c r="E376" s="5">
        <f>IF(OR(INDEX($W$2:$W$1001,MATCH(ROWS($V$2:V376),$V$2:$V$1001,0),1)&gt;=100000,INDEX($AC$1005:$AS$1005,1,MATCH(COLUMNS($AC$1006:AF1006),$AC$1006:$AS$1006,0))&gt;=100000), " ",IF(INDEX($AC$2:$AS$1001,MATCH(ROWS($V$2:V376),$V$2:$V$1001,0),MATCH(COLUMNS($AC$1006:AF1006),$AC$1006:$AS$1006,0)), HYPERLINK("#",""), HYPERLINK(CONCATENATE("#Metadata!", ADDRESS(INDEX($X$2:$X$1001,MATCH(ROWS($V$2:V376),$V$2:$V$1001,0),0), INDEX($AC$1004:$AS$1004,1,MATCH(COLUMNS($AC$1006:AF1006),$AC$1006:$AS$1006,0)))),"Fix")))</f>
        <v>0</v>
      </c>
      <c r="F376" s="5">
        <f>IF(OR(INDEX($W$2:$W$1001,MATCH(ROWS($V$2:V376),$V$2:$V$1001,0),1)&gt;=100000,INDEX($AC$1005:$AS$1005,1,MATCH(COLUMNS($AC$1006:AG1006),$AC$1006:$AS$1006,0))&gt;=100000), " ",IF(INDEX($AC$2:$AS$1001,MATCH(ROWS($V$2:V376),$V$2:$V$1001,0),MATCH(COLUMNS($AC$1006:AG1006),$AC$1006:$AS$1006,0)), HYPERLINK("#",""), HYPERLINK(CONCATENATE("#Metadata!", ADDRESS(INDEX($X$2:$X$1001,MATCH(ROWS($V$2:V376),$V$2:$V$1001,0),0), INDEX($AC$1004:$AS$1004,1,MATCH(COLUMNS($AC$1006:AG1006),$AC$1006:$AS$1006,0)))),"Fix")))</f>
        <v>0</v>
      </c>
      <c r="G376" s="5">
        <f>IF(OR(INDEX($W$2:$W$1001,MATCH(ROWS($V$2:V376),$V$2:$V$1001,0),1)&gt;=100000,INDEX($AC$1005:$AS$1005,1,MATCH(COLUMNS($AC$1006:AH1006),$AC$1006:$AS$1006,0))&gt;=100000), " ",IF(INDEX($AC$2:$AS$1001,MATCH(ROWS($V$2:V376),$V$2:$V$1001,0),MATCH(COLUMNS($AC$1006:AH1006),$AC$1006:$AS$1006,0)), HYPERLINK("#",""), HYPERLINK(CONCATENATE("#Metadata!", ADDRESS(INDEX($X$2:$X$1001,MATCH(ROWS($V$2:V376),$V$2:$V$1001,0),0), INDEX($AC$1004:$AS$1004,1,MATCH(COLUMNS($AC$1006:AH1006),$AC$1006:$AS$1006,0)))),"Fix")))</f>
        <v>0</v>
      </c>
      <c r="H376" s="5">
        <f>IF(OR(INDEX($W$2:$W$1001,MATCH(ROWS($V$2:V376),$V$2:$V$1001,0),1)&gt;=100000,INDEX($AC$1005:$AS$1005,1,MATCH(COLUMNS($AC$1006:AI1006),$AC$1006:$AS$1006,0))&gt;=100000), " ",IF(INDEX($AC$2:$AS$1001,MATCH(ROWS($V$2:V376),$V$2:$V$1001,0),MATCH(COLUMNS($AC$1006:AI1006),$AC$1006:$AS$1006,0)), HYPERLINK("#",""), HYPERLINK(CONCATENATE("#Metadata!", ADDRESS(INDEX($X$2:$X$1001,MATCH(ROWS($V$2:V376),$V$2:$V$1001,0),0), INDEX($AC$1004:$AS$1004,1,MATCH(COLUMNS($AC$1006:AI1006),$AC$1006:$AS$1006,0)))),"Fix")))</f>
        <v>0</v>
      </c>
      <c r="I376" s="5">
        <f>IF(OR(INDEX($W$2:$W$1001,MATCH(ROWS($V$2:V376),$V$2:$V$1001,0),1)&gt;=100000,INDEX($AC$1005:$AS$1005,1,MATCH(COLUMNS($AC$1006:AJ1006),$AC$1006:$AS$1006,0))&gt;=100000), " ",IF(INDEX($AC$2:$AS$1001,MATCH(ROWS($V$2:V376),$V$2:$V$1001,0),MATCH(COLUMNS($AC$1006:AJ1006),$AC$1006:$AS$1006,0)), HYPERLINK("#",""), HYPERLINK(CONCATENATE("#Metadata!", ADDRESS(INDEX($X$2:$X$1001,MATCH(ROWS($V$2:V376),$V$2:$V$1001,0),0), INDEX($AC$1004:$AS$1004,1,MATCH(COLUMNS($AC$1006:AJ1006),$AC$1006:$AS$1006,0)))),"Fix")))</f>
        <v>0</v>
      </c>
      <c r="J376" s="5">
        <f>IF(OR(INDEX($W$2:$W$1001,MATCH(ROWS($V$2:V376),$V$2:$V$1001,0),1)&gt;=100000,INDEX($AC$1005:$AS$1005,1,MATCH(COLUMNS($AC$1006:AK1006),$AC$1006:$AS$1006,0))&gt;=100000), " ",IF(INDEX($AC$2:$AS$1001,MATCH(ROWS($V$2:V376),$V$2:$V$1001,0),MATCH(COLUMNS($AC$1006:AK1006),$AC$1006:$AS$1006,0)), HYPERLINK("#",""), HYPERLINK(CONCATENATE("#Metadata!", ADDRESS(INDEX($X$2:$X$1001,MATCH(ROWS($V$2:V376),$V$2:$V$1001,0),0), INDEX($AC$1004:$AS$1004,1,MATCH(COLUMNS($AC$1006:AK1006),$AC$1006:$AS$1006,0)))),"Fix")))</f>
        <v>0</v>
      </c>
      <c r="K376" s="5">
        <f>IF(OR(INDEX($W$2:$W$1001,MATCH(ROWS($V$2:V376),$V$2:$V$1001,0),1)&gt;=100000,INDEX($AC$1005:$AS$1005,1,MATCH(COLUMNS($AC$1006:AL1006),$AC$1006:$AS$1006,0))&gt;=100000), " ",IF(INDEX($AC$2:$AS$1001,MATCH(ROWS($V$2:V376),$V$2:$V$1001,0),MATCH(COLUMNS($AC$1006:AL1006),$AC$1006:$AS$1006,0)), HYPERLINK("#",""), HYPERLINK(CONCATENATE("#Metadata!", ADDRESS(INDEX($X$2:$X$1001,MATCH(ROWS($V$2:V376),$V$2:$V$1001,0),0), INDEX($AC$1004:$AS$1004,1,MATCH(COLUMNS($AC$1006:AL1006),$AC$1006:$AS$1006,0)))),"Fix")))</f>
        <v>0</v>
      </c>
      <c r="L376" s="5">
        <f>IF(OR(INDEX($W$2:$W$1001,MATCH(ROWS($V$2:V376),$V$2:$V$1001,0),1)&gt;=100000,INDEX($AC$1005:$AS$1005,1,MATCH(COLUMNS($AC$1006:AM1006),$AC$1006:$AS$1006,0))&gt;=100000), " ",IF(INDEX($AC$2:$AS$1001,MATCH(ROWS($V$2:V376),$V$2:$V$1001,0),MATCH(COLUMNS($AC$1006:AM1006),$AC$1006:$AS$1006,0)), HYPERLINK("#",""), HYPERLINK(CONCATENATE("#Metadata!", ADDRESS(INDEX($X$2:$X$1001,MATCH(ROWS($V$2:V376),$V$2:$V$1001,0),0), INDEX($AC$1004:$AS$1004,1,MATCH(COLUMNS($AC$1006:AM1006),$AC$1006:$AS$1006,0)))),"Fix")))</f>
        <v>0</v>
      </c>
      <c r="M376" s="5">
        <f>IF(OR(INDEX($W$2:$W$1001,MATCH(ROWS($V$2:V376),$V$2:$V$1001,0),1)&gt;=100000,INDEX($AC$1005:$AS$1005,1,MATCH(COLUMNS($AC$1006:AN1006),$AC$1006:$AS$1006,0))&gt;=100000), " ",IF(INDEX($AC$2:$AS$1001,MATCH(ROWS($V$2:V376),$V$2:$V$1001,0),MATCH(COLUMNS($AC$1006:AN1006),$AC$1006:$AS$1006,0)), HYPERLINK("#",""), HYPERLINK(CONCATENATE("#Metadata!", ADDRESS(INDEX($X$2:$X$1001,MATCH(ROWS($V$2:V376),$V$2:$V$1001,0),0), INDEX($AC$1004:$AS$1004,1,MATCH(COLUMNS($AC$1006:AN1006),$AC$1006:$AS$1006,0)))),"Fix")))</f>
        <v>0</v>
      </c>
      <c r="N376" s="5">
        <f>IF(OR(INDEX($W$2:$W$1001,MATCH(ROWS($V$2:V376),$V$2:$V$1001,0),1)&gt;=100000,INDEX($AC$1005:$AS$1005,1,MATCH(COLUMNS($AC$1006:AO1006),$AC$1006:$AS$1006,0))&gt;=100000), " ",IF(INDEX($AC$2:$AS$1001,MATCH(ROWS($V$2:V376),$V$2:$V$1001,0),MATCH(COLUMNS($AC$1006:AO1006),$AC$1006:$AS$1006,0)), HYPERLINK("#",""), HYPERLINK(CONCATENATE("#Metadata!", ADDRESS(INDEX($X$2:$X$1001,MATCH(ROWS($V$2:V376),$V$2:$V$1001,0),0), INDEX($AC$1004:$AS$1004,1,MATCH(COLUMNS($AC$1006:AO1006),$AC$1006:$AS$1006,0)))),"Fix")))</f>
        <v>0</v>
      </c>
      <c r="O376" s="5">
        <f>IF(OR(INDEX($W$2:$W$1001,MATCH(ROWS($V$2:V376),$V$2:$V$1001,0),1)&gt;=100000,INDEX($AC$1005:$AS$1005,1,MATCH(COLUMNS($AC$1006:AP1006),$AC$1006:$AS$1006,0))&gt;=100000), " ",IF(INDEX($AC$2:$AS$1001,MATCH(ROWS($V$2:V376),$V$2:$V$1001,0),MATCH(COLUMNS($AC$1006:AP1006),$AC$1006:$AS$1006,0)), HYPERLINK("#",""), HYPERLINK(CONCATENATE("#Metadata!", ADDRESS(INDEX($X$2:$X$1001,MATCH(ROWS($V$2:V376),$V$2:$V$1001,0),0), INDEX($AC$1004:$AS$1004,1,MATCH(COLUMNS($AC$1006:AP1006),$AC$1006:$AS$1006,0)))),"Fix")))</f>
        <v>0</v>
      </c>
      <c r="P376" s="5">
        <f>IF(OR(INDEX($W$2:$W$1001,MATCH(ROWS($V$2:V376),$V$2:$V$1001,0),1)&gt;=100000,INDEX($AC$1005:$AS$1005,1,MATCH(COLUMNS($AC$1006:AQ1006),$AC$1006:$AS$1006,0))&gt;=100000), " ",IF(INDEX($AC$2:$AS$1001,MATCH(ROWS($V$2:V376),$V$2:$V$1001,0),MATCH(COLUMNS($AC$1006:AQ1006),$AC$1006:$AS$1006,0)), HYPERLINK("#",""), HYPERLINK(CONCATENATE("#Metadata!", ADDRESS(INDEX($X$2:$X$1001,MATCH(ROWS($V$2:V376),$V$2:$V$1001,0),0), INDEX($AC$1004:$AS$1004,1,MATCH(COLUMNS($AC$1006:AQ1006),$AC$1006:$AS$1006,0)))),"Fix")))</f>
        <v>0</v>
      </c>
      <c r="Q376" s="5">
        <f>IF(OR(INDEX($W$2:$W$1001,MATCH(ROWS($V$2:V376),$V$2:$V$1001,0),1)&gt;=100000,INDEX($AC$1005:$AS$1005,1,MATCH(COLUMNS($AC$1006:AR1006),$AC$1006:$AS$1006,0))&gt;=100000), " ",IF(INDEX($AC$2:$AS$1001,MATCH(ROWS($V$2:V376),$V$2:$V$1001,0),MATCH(COLUMNS($AC$1006:AR1006),$AC$1006:$AS$1006,0)), HYPERLINK("#",""), HYPERLINK(CONCATENATE("#Metadata!", ADDRESS(INDEX($X$2:$X$1001,MATCH(ROWS($V$2:V376),$V$2:$V$1001,0),0), INDEX($AC$1004:$AS$1004,1,MATCH(COLUMNS($AC$1006:AR1006),$AC$1006:$AS$1006,0)))),"Fix")))</f>
        <v>0</v>
      </c>
      <c r="R376" s="5">
        <f>IF(OR(INDEX($W$2:$W$1001,MATCH(ROWS($V$2:V376),$V$2:$V$1001,0),1)&gt;=100000,INDEX($AC$1005:$AS$1005,1,MATCH(COLUMNS($AC$1006:AS1006),$AC$1006:$AS$1006,0))&gt;=100000), " ",IF(INDEX($AC$2:$AS$1001,MATCH(ROWS($V$2:V376),$V$2:$V$1001,0),MATCH(COLUMNS($AC$1006:AS1006),$AC$1006:$AS$1006,0)), HYPERLINK("#",""), HYPERLINK(CONCATENATE("#Metadata!", ADDRESS(INDEX($X$2:$X$1001,MATCH(ROWS($V$2:V376),$V$2:$V$1001,0),0), INDEX($AC$1004:$AS$1004,1,MATCH(COLUMNS($AC$1006:AS1006),$AC$1006:$AS$1006,0)))),"Fix")))</f>
        <v>0</v>
      </c>
      <c r="V376">
        <v>0</v>
      </c>
      <c r="W376">
        <v>0</v>
      </c>
      <c r="X376">
        <v>0</v>
      </c>
      <c r="Y376">
        <f>IF(Z376,TRUE,AND(AC376:AS376))</f>
        <v>0</v>
      </c>
      <c r="Z376">
        <f>COUNTBLANK(Metadata!B376:R376)=COLUMNS(Metadata!B376:R376)</f>
        <v>0</v>
      </c>
      <c r="AA376">
        <v>0</v>
      </c>
      <c r="AC376">
        <f>AND(IF(Metadata!B376="",FALSE,TRUE),COUNTIF(Metadata!B:B, Metadata!B376) = 1,NOT(ISERROR(SUMPRODUCT(SEARCH(MID(Metadata!B376,ROW(INDIRECT("1:"&amp;LEN(Metadata!B376))), 1),"0123456789abcdefghijklmnopqrstuvwxyzABCDEFGHIJKLMNOPQRSTUVWXYZ.")))))</f>
        <v>0</v>
      </c>
      <c r="AD376">
        <f>AND(IF(Metadata!C376="",FALSE,TRUE),exact(Metadata!C376,"Host-associated"))</f>
        <v>0</v>
      </c>
      <c r="AE376">
        <f>AND(IF(Metadata!D376="",FALSE,TRUE),OR(exact(Metadata!D376,"Animal"),exact(Metadata!D376,"Fungus"),exact(Metadata!D376,"Plant")))</f>
        <v>0</v>
      </c>
      <c r="AF376">
        <f>AND(IF(Metadata!E376="",FALSE,TRUE),OR(exact(Metadata!E376,"Plant secretion"),exact(Metadata!E376,"Plant rhizosphere"),exact(Metadata!E376,"Plant surface"),exact(Metadata!E376,"Plant corpus"),exact(Metadata!E376,"Fungus surface"),exact(Metadata!E376,"Fungus corpus"),exact(Metadata!E376,"Animal surface"),exact(Metadata!E376,"Animal proximal gut"),exact(Metadata!E376,"Animal corpus"),exact(Metadata!E376,"Animal distal gut"),exact(Metadata!E376,"Animal secretion")))</f>
        <v>0</v>
      </c>
      <c r="AG376">
        <f>OR(AND(IF(Metadata!F376="",FALSE,TRUE),OR(exact(Metadata!F376,"not collected"),exact(Metadata!F376,"not provided"),exact(Metadata!F376,"restricted access"))),AND(IF(Metadata!F376="",FALSE,TRUE),OR(exact(Metadata!F376,"organism-associated habitat"),exact(Metadata!F376,"plant-associated habitat"),exact(Metadata!F376,"animal-associated habitat"),exact(Metadata!F376,"insecta-associated habitat"),exact(Metadata!F376,"mammalia-associated habitat"),exact(Metadata!F376,"human-associated habitat"),exact(Metadata!F376,"livestock-associated habitat"))))</f>
        <v>0</v>
      </c>
      <c r="AH376">
        <f>AND(IF(Metadata!G376="",FALSE,TRUE),exact(Metadata!G376,"host-associated"))</f>
        <v>0</v>
      </c>
      <c r="AI376">
        <f>OR(AND(IF(Metadata!H376="",FALSE,TRUE),OR(exact(Metadata!H376,"not collected"),exact(Metadata!H376,"not provided"))),AND(IF(Metadata!H376="",FALSE,ISNUMBER(VALUE(Metadata!H376))),Metadata!H376&gt;0))</f>
        <v>0</v>
      </c>
      <c r="AJ376">
        <f>AND(IF(Metadata!I376="",FALSE,TRUE),exact(Metadata!I376,"years"))</f>
        <v>0</v>
      </c>
      <c r="AK376">
        <f>IF(Metadata!J376="",FALSE,TRUE)</f>
        <v>0</v>
      </c>
      <c r="AL376">
        <f>OR(AND(IF(Metadata!K376="",FALSE,TRUE),OR(exact(Metadata!K376,"not collected"),exact(Metadata!K376,"not provided"))),AND(IF(Metadata!K376="",FALSE,ISNUMBER(VALUE(Metadata!K376))),Metadata!K376&gt;0))</f>
        <v>0</v>
      </c>
      <c r="AM376">
        <f>AND(IF(Metadata!L376="",FALSE,TRUE),exact(Metadata!L376,"cm"))</f>
        <v>0</v>
      </c>
      <c r="AN376">
        <f>IF(Metadata!M376="",FALSE,TRUE)</f>
        <v>0</v>
      </c>
      <c r="AO376">
        <f>OR(AND(IF(Metadata!N376="",FALSE,TRUE),OR(exact(Metadata!N376,"not applicable"),exact(Metadata!N376,"not collected"),exact(Metadata!N376,"not provided"))),AND(IF(Metadata!N376="",FALSE,IF(ISERROR(INT(Metadata!N376)),FALSE,INT(Metadata!N376)=Metadata!N376)),Metadata!N376&gt;0))</f>
        <v>0</v>
      </c>
      <c r="AP376">
        <f>OR(AND(IF(Metadata!O376="",FALSE,TRUE),OR(exact(Metadata!O376,"not collected"),exact(Metadata!O376,"not provided"))),AND(IF(Metadata!O376="",FALSE,ISNUMBER(VALUE(Metadata!O376))),Metadata!O376&gt;0))</f>
        <v>0</v>
      </c>
      <c r="AQ376">
        <f>AND(IF(Metadata!P376="",FALSE,TRUE),exact(Metadata!P376,"kg"))</f>
        <v>0</v>
      </c>
      <c r="AR376">
        <f>OR(AND(IF(Metadata!Q376="",FALSE,TRUE),OR(exact(Metadata!Q376,"not applicable"),exact(Metadata!Q376,"not collected"),exact(Metadata!Q376,"not provided"),exact(Metadata!Q376,"restricted access"))),IF(Metadata!Q376="",FALSE,IF(ISERROR(INT(Metadata!Q376)),FALSE,INT(Metadata!Q376)=Metadata!Q376)))</f>
        <v>0</v>
      </c>
      <c r="AS376">
        <f>AND(IF(Metadata!R376="",FALSE,TRUE),exact(Metadata!R376,"Not applicable"))</f>
        <v>0</v>
      </c>
    </row>
    <row r="377" spans="1:45">
      <c r="A377" s="4">
        <f>IF(B377=" "," ",HYPERLINK(CONCATENATE("#metadata!",ADDRESS(INDEX($X$2:$X$1001,MATCH(ROWS($V$2:V377),$V$2:$V$1001,0),0),2)),INDEX($AA$2:$AA$1001,MATCH(ROWS($V$2:V377),$V$2:$V$1001,0),0)))</f>
        <v>0</v>
      </c>
      <c r="B377" s="5">
        <f>IF(OR(INDEX($W$2:$W$1001,MATCH(ROWS($V$2:V377),$V$2:$V$1001,0),1)&gt;=100000,INDEX($AC$1005:$AS$1005,1,MATCH(COLUMNS($AC$1006:AC1006),$AC$1006:$AS$1006,0))&gt;=100000), " ",IF(INDEX($AC$2:$AS$1001,MATCH(ROWS($V$2:V377),$V$2:$V$1001,0),MATCH(COLUMNS($AC$1006:AC1006),$AC$1006:$AS$1006,0)), HYPERLINK("#",""), HYPERLINK(CONCATENATE("#Metadata!", ADDRESS(INDEX($X$2:$X$1001,MATCH(ROWS($V$2:V377),$V$2:$V$1001,0),0), INDEX($AC$1004:$AS$1004,1,MATCH(COLUMNS($AC$1006:AC1006),$AC$1006:$AS$1006,0)))),"Fix")))</f>
        <v>0</v>
      </c>
      <c r="C377" s="5">
        <f>IF(OR(INDEX($W$2:$W$1001,MATCH(ROWS($V$2:V377),$V$2:$V$1001,0),1)&gt;=100000,INDEX($AC$1005:$AS$1005,1,MATCH(COLUMNS($AC$1006:AD1006),$AC$1006:$AS$1006,0))&gt;=100000), " ",IF(INDEX($AC$2:$AS$1001,MATCH(ROWS($V$2:V377),$V$2:$V$1001,0),MATCH(COLUMNS($AC$1006:AD1006),$AC$1006:$AS$1006,0)), HYPERLINK("#",""), HYPERLINK(CONCATENATE("#Metadata!", ADDRESS(INDEX($X$2:$X$1001,MATCH(ROWS($V$2:V377),$V$2:$V$1001,0),0), INDEX($AC$1004:$AS$1004,1,MATCH(COLUMNS($AC$1006:AD1006),$AC$1006:$AS$1006,0)))),"Fix")))</f>
        <v>0</v>
      </c>
      <c r="D377" s="5">
        <f>IF(OR(INDEX($W$2:$W$1001,MATCH(ROWS($V$2:V377),$V$2:$V$1001,0),1)&gt;=100000,INDEX($AC$1005:$AS$1005,1,MATCH(COLUMNS($AC$1006:AE1006),$AC$1006:$AS$1006,0))&gt;=100000), " ",IF(INDEX($AC$2:$AS$1001,MATCH(ROWS($V$2:V377),$V$2:$V$1001,0),MATCH(COLUMNS($AC$1006:AE1006),$AC$1006:$AS$1006,0)), HYPERLINK("#",""), HYPERLINK(CONCATENATE("#Metadata!", ADDRESS(INDEX($X$2:$X$1001,MATCH(ROWS($V$2:V377),$V$2:$V$1001,0),0), INDEX($AC$1004:$AS$1004,1,MATCH(COLUMNS($AC$1006:AE1006),$AC$1006:$AS$1006,0)))),"Fix")))</f>
        <v>0</v>
      </c>
      <c r="E377" s="5">
        <f>IF(OR(INDEX($W$2:$W$1001,MATCH(ROWS($V$2:V377),$V$2:$V$1001,0),1)&gt;=100000,INDEX($AC$1005:$AS$1005,1,MATCH(COLUMNS($AC$1006:AF1006),$AC$1006:$AS$1006,0))&gt;=100000), " ",IF(INDEX($AC$2:$AS$1001,MATCH(ROWS($V$2:V377),$V$2:$V$1001,0),MATCH(COLUMNS($AC$1006:AF1006),$AC$1006:$AS$1006,0)), HYPERLINK("#",""), HYPERLINK(CONCATENATE("#Metadata!", ADDRESS(INDEX($X$2:$X$1001,MATCH(ROWS($V$2:V377),$V$2:$V$1001,0),0), INDEX($AC$1004:$AS$1004,1,MATCH(COLUMNS($AC$1006:AF1006),$AC$1006:$AS$1006,0)))),"Fix")))</f>
        <v>0</v>
      </c>
      <c r="F377" s="5">
        <f>IF(OR(INDEX($W$2:$W$1001,MATCH(ROWS($V$2:V377),$V$2:$V$1001,0),1)&gt;=100000,INDEX($AC$1005:$AS$1005,1,MATCH(COLUMNS($AC$1006:AG1006),$AC$1006:$AS$1006,0))&gt;=100000), " ",IF(INDEX($AC$2:$AS$1001,MATCH(ROWS($V$2:V377),$V$2:$V$1001,0),MATCH(COLUMNS($AC$1006:AG1006),$AC$1006:$AS$1006,0)), HYPERLINK("#",""), HYPERLINK(CONCATENATE("#Metadata!", ADDRESS(INDEX($X$2:$X$1001,MATCH(ROWS($V$2:V377),$V$2:$V$1001,0),0), INDEX($AC$1004:$AS$1004,1,MATCH(COLUMNS($AC$1006:AG1006),$AC$1006:$AS$1006,0)))),"Fix")))</f>
        <v>0</v>
      </c>
      <c r="G377" s="5">
        <f>IF(OR(INDEX($W$2:$W$1001,MATCH(ROWS($V$2:V377),$V$2:$V$1001,0),1)&gt;=100000,INDEX($AC$1005:$AS$1005,1,MATCH(COLUMNS($AC$1006:AH1006),$AC$1006:$AS$1006,0))&gt;=100000), " ",IF(INDEX($AC$2:$AS$1001,MATCH(ROWS($V$2:V377),$V$2:$V$1001,0),MATCH(COLUMNS($AC$1006:AH1006),$AC$1006:$AS$1006,0)), HYPERLINK("#",""), HYPERLINK(CONCATENATE("#Metadata!", ADDRESS(INDEX($X$2:$X$1001,MATCH(ROWS($V$2:V377),$V$2:$V$1001,0),0), INDEX($AC$1004:$AS$1004,1,MATCH(COLUMNS($AC$1006:AH1006),$AC$1006:$AS$1006,0)))),"Fix")))</f>
        <v>0</v>
      </c>
      <c r="H377" s="5">
        <f>IF(OR(INDEX($W$2:$W$1001,MATCH(ROWS($V$2:V377),$V$2:$V$1001,0),1)&gt;=100000,INDEX($AC$1005:$AS$1005,1,MATCH(COLUMNS($AC$1006:AI1006),$AC$1006:$AS$1006,0))&gt;=100000), " ",IF(INDEX($AC$2:$AS$1001,MATCH(ROWS($V$2:V377),$V$2:$V$1001,0),MATCH(COLUMNS($AC$1006:AI1006),$AC$1006:$AS$1006,0)), HYPERLINK("#",""), HYPERLINK(CONCATENATE("#Metadata!", ADDRESS(INDEX($X$2:$X$1001,MATCH(ROWS($V$2:V377),$V$2:$V$1001,0),0), INDEX($AC$1004:$AS$1004,1,MATCH(COLUMNS($AC$1006:AI1006),$AC$1006:$AS$1006,0)))),"Fix")))</f>
        <v>0</v>
      </c>
      <c r="I377" s="5">
        <f>IF(OR(INDEX($W$2:$W$1001,MATCH(ROWS($V$2:V377),$V$2:$V$1001,0),1)&gt;=100000,INDEX($AC$1005:$AS$1005,1,MATCH(COLUMNS($AC$1006:AJ1006),$AC$1006:$AS$1006,0))&gt;=100000), " ",IF(INDEX($AC$2:$AS$1001,MATCH(ROWS($V$2:V377),$V$2:$V$1001,0),MATCH(COLUMNS($AC$1006:AJ1006),$AC$1006:$AS$1006,0)), HYPERLINK("#",""), HYPERLINK(CONCATENATE("#Metadata!", ADDRESS(INDEX($X$2:$X$1001,MATCH(ROWS($V$2:V377),$V$2:$V$1001,0),0), INDEX($AC$1004:$AS$1004,1,MATCH(COLUMNS($AC$1006:AJ1006),$AC$1006:$AS$1006,0)))),"Fix")))</f>
        <v>0</v>
      </c>
      <c r="J377" s="5">
        <f>IF(OR(INDEX($W$2:$W$1001,MATCH(ROWS($V$2:V377),$V$2:$V$1001,0),1)&gt;=100000,INDEX($AC$1005:$AS$1005,1,MATCH(COLUMNS($AC$1006:AK1006),$AC$1006:$AS$1006,0))&gt;=100000), " ",IF(INDEX($AC$2:$AS$1001,MATCH(ROWS($V$2:V377),$V$2:$V$1001,0),MATCH(COLUMNS($AC$1006:AK1006),$AC$1006:$AS$1006,0)), HYPERLINK("#",""), HYPERLINK(CONCATENATE("#Metadata!", ADDRESS(INDEX($X$2:$X$1001,MATCH(ROWS($V$2:V377),$V$2:$V$1001,0),0), INDEX($AC$1004:$AS$1004,1,MATCH(COLUMNS($AC$1006:AK1006),$AC$1006:$AS$1006,0)))),"Fix")))</f>
        <v>0</v>
      </c>
      <c r="K377" s="5">
        <f>IF(OR(INDEX($W$2:$W$1001,MATCH(ROWS($V$2:V377),$V$2:$V$1001,0),1)&gt;=100000,INDEX($AC$1005:$AS$1005,1,MATCH(COLUMNS($AC$1006:AL1006),$AC$1006:$AS$1006,0))&gt;=100000), " ",IF(INDEX($AC$2:$AS$1001,MATCH(ROWS($V$2:V377),$V$2:$V$1001,0),MATCH(COLUMNS($AC$1006:AL1006),$AC$1006:$AS$1006,0)), HYPERLINK("#",""), HYPERLINK(CONCATENATE("#Metadata!", ADDRESS(INDEX($X$2:$X$1001,MATCH(ROWS($V$2:V377),$V$2:$V$1001,0),0), INDEX($AC$1004:$AS$1004,1,MATCH(COLUMNS($AC$1006:AL1006),$AC$1006:$AS$1006,0)))),"Fix")))</f>
        <v>0</v>
      </c>
      <c r="L377" s="5">
        <f>IF(OR(INDEX($W$2:$W$1001,MATCH(ROWS($V$2:V377),$V$2:$V$1001,0),1)&gt;=100000,INDEX($AC$1005:$AS$1005,1,MATCH(COLUMNS($AC$1006:AM1006),$AC$1006:$AS$1006,0))&gt;=100000), " ",IF(INDEX($AC$2:$AS$1001,MATCH(ROWS($V$2:V377),$V$2:$V$1001,0),MATCH(COLUMNS($AC$1006:AM1006),$AC$1006:$AS$1006,0)), HYPERLINK("#",""), HYPERLINK(CONCATENATE("#Metadata!", ADDRESS(INDEX($X$2:$X$1001,MATCH(ROWS($V$2:V377),$V$2:$V$1001,0),0), INDEX($AC$1004:$AS$1004,1,MATCH(COLUMNS($AC$1006:AM1006),$AC$1006:$AS$1006,0)))),"Fix")))</f>
        <v>0</v>
      </c>
      <c r="M377" s="5">
        <f>IF(OR(INDEX($W$2:$W$1001,MATCH(ROWS($V$2:V377),$V$2:$V$1001,0),1)&gt;=100000,INDEX($AC$1005:$AS$1005,1,MATCH(COLUMNS($AC$1006:AN1006),$AC$1006:$AS$1006,0))&gt;=100000), " ",IF(INDEX($AC$2:$AS$1001,MATCH(ROWS($V$2:V377),$V$2:$V$1001,0),MATCH(COLUMNS($AC$1006:AN1006),$AC$1006:$AS$1006,0)), HYPERLINK("#",""), HYPERLINK(CONCATENATE("#Metadata!", ADDRESS(INDEX($X$2:$X$1001,MATCH(ROWS($V$2:V377),$V$2:$V$1001,0),0), INDEX($AC$1004:$AS$1004,1,MATCH(COLUMNS($AC$1006:AN1006),$AC$1006:$AS$1006,0)))),"Fix")))</f>
        <v>0</v>
      </c>
      <c r="N377" s="5">
        <f>IF(OR(INDEX($W$2:$W$1001,MATCH(ROWS($V$2:V377),$V$2:$V$1001,0),1)&gt;=100000,INDEX($AC$1005:$AS$1005,1,MATCH(COLUMNS($AC$1006:AO1006),$AC$1006:$AS$1006,0))&gt;=100000), " ",IF(INDEX($AC$2:$AS$1001,MATCH(ROWS($V$2:V377),$V$2:$V$1001,0),MATCH(COLUMNS($AC$1006:AO1006),$AC$1006:$AS$1006,0)), HYPERLINK("#",""), HYPERLINK(CONCATENATE("#Metadata!", ADDRESS(INDEX($X$2:$X$1001,MATCH(ROWS($V$2:V377),$V$2:$V$1001,0),0), INDEX($AC$1004:$AS$1004,1,MATCH(COLUMNS($AC$1006:AO1006),$AC$1006:$AS$1006,0)))),"Fix")))</f>
        <v>0</v>
      </c>
      <c r="O377" s="5">
        <f>IF(OR(INDEX($W$2:$W$1001,MATCH(ROWS($V$2:V377),$V$2:$V$1001,0),1)&gt;=100000,INDEX($AC$1005:$AS$1005,1,MATCH(COLUMNS($AC$1006:AP1006),$AC$1006:$AS$1006,0))&gt;=100000), " ",IF(INDEX($AC$2:$AS$1001,MATCH(ROWS($V$2:V377),$V$2:$V$1001,0),MATCH(COLUMNS($AC$1006:AP1006),$AC$1006:$AS$1006,0)), HYPERLINK("#",""), HYPERLINK(CONCATENATE("#Metadata!", ADDRESS(INDEX($X$2:$X$1001,MATCH(ROWS($V$2:V377),$V$2:$V$1001,0),0), INDEX($AC$1004:$AS$1004,1,MATCH(COLUMNS($AC$1006:AP1006),$AC$1006:$AS$1006,0)))),"Fix")))</f>
        <v>0</v>
      </c>
      <c r="P377" s="5">
        <f>IF(OR(INDEX($W$2:$W$1001,MATCH(ROWS($V$2:V377),$V$2:$V$1001,0),1)&gt;=100000,INDEX($AC$1005:$AS$1005,1,MATCH(COLUMNS($AC$1006:AQ1006),$AC$1006:$AS$1006,0))&gt;=100000), " ",IF(INDEX($AC$2:$AS$1001,MATCH(ROWS($V$2:V377),$V$2:$V$1001,0),MATCH(COLUMNS($AC$1006:AQ1006),$AC$1006:$AS$1006,0)), HYPERLINK("#",""), HYPERLINK(CONCATENATE("#Metadata!", ADDRESS(INDEX($X$2:$X$1001,MATCH(ROWS($V$2:V377),$V$2:$V$1001,0),0), INDEX($AC$1004:$AS$1004,1,MATCH(COLUMNS($AC$1006:AQ1006),$AC$1006:$AS$1006,0)))),"Fix")))</f>
        <v>0</v>
      </c>
      <c r="Q377" s="5">
        <f>IF(OR(INDEX($W$2:$W$1001,MATCH(ROWS($V$2:V377),$V$2:$V$1001,0),1)&gt;=100000,INDEX($AC$1005:$AS$1005,1,MATCH(COLUMNS($AC$1006:AR1006),$AC$1006:$AS$1006,0))&gt;=100000), " ",IF(INDEX($AC$2:$AS$1001,MATCH(ROWS($V$2:V377),$V$2:$V$1001,0),MATCH(COLUMNS($AC$1006:AR1006),$AC$1006:$AS$1006,0)), HYPERLINK("#",""), HYPERLINK(CONCATENATE("#Metadata!", ADDRESS(INDEX($X$2:$X$1001,MATCH(ROWS($V$2:V377),$V$2:$V$1001,0),0), INDEX($AC$1004:$AS$1004,1,MATCH(COLUMNS($AC$1006:AR1006),$AC$1006:$AS$1006,0)))),"Fix")))</f>
        <v>0</v>
      </c>
      <c r="R377" s="5">
        <f>IF(OR(INDEX($W$2:$W$1001,MATCH(ROWS($V$2:V377),$V$2:$V$1001,0),1)&gt;=100000,INDEX($AC$1005:$AS$1005,1,MATCH(COLUMNS($AC$1006:AS1006),$AC$1006:$AS$1006,0))&gt;=100000), " ",IF(INDEX($AC$2:$AS$1001,MATCH(ROWS($V$2:V377),$V$2:$V$1001,0),MATCH(COLUMNS($AC$1006:AS1006),$AC$1006:$AS$1006,0)), HYPERLINK("#",""), HYPERLINK(CONCATENATE("#Metadata!", ADDRESS(INDEX($X$2:$X$1001,MATCH(ROWS($V$2:V377),$V$2:$V$1001,0),0), INDEX($AC$1004:$AS$1004,1,MATCH(COLUMNS($AC$1006:AS1006),$AC$1006:$AS$1006,0)))),"Fix")))</f>
        <v>0</v>
      </c>
      <c r="V377">
        <v>0</v>
      </c>
      <c r="W377">
        <v>0</v>
      </c>
      <c r="X377">
        <v>0</v>
      </c>
      <c r="Y377">
        <f>IF(Z377,TRUE,AND(AC377:AS377))</f>
        <v>0</v>
      </c>
      <c r="Z377">
        <f>COUNTBLANK(Metadata!B377:R377)=COLUMNS(Metadata!B377:R377)</f>
        <v>0</v>
      </c>
      <c r="AA377">
        <v>0</v>
      </c>
      <c r="AC377">
        <f>AND(IF(Metadata!B377="",FALSE,TRUE),COUNTIF(Metadata!B:B, Metadata!B377) = 1,NOT(ISERROR(SUMPRODUCT(SEARCH(MID(Metadata!B377,ROW(INDIRECT("1:"&amp;LEN(Metadata!B377))), 1),"0123456789abcdefghijklmnopqrstuvwxyzABCDEFGHIJKLMNOPQRSTUVWXYZ.")))))</f>
        <v>0</v>
      </c>
      <c r="AD377">
        <f>AND(IF(Metadata!C377="",FALSE,TRUE),exact(Metadata!C377,"Host-associated"))</f>
        <v>0</v>
      </c>
      <c r="AE377">
        <f>AND(IF(Metadata!D377="",FALSE,TRUE),OR(exact(Metadata!D377,"Animal"),exact(Metadata!D377,"Fungus"),exact(Metadata!D377,"Plant")))</f>
        <v>0</v>
      </c>
      <c r="AF377">
        <f>AND(IF(Metadata!E377="",FALSE,TRUE),OR(exact(Metadata!E377,"Plant secretion"),exact(Metadata!E377,"Plant rhizosphere"),exact(Metadata!E377,"Plant surface"),exact(Metadata!E377,"Plant corpus"),exact(Metadata!E377,"Fungus surface"),exact(Metadata!E377,"Fungus corpus"),exact(Metadata!E377,"Animal surface"),exact(Metadata!E377,"Animal proximal gut"),exact(Metadata!E377,"Animal corpus"),exact(Metadata!E377,"Animal distal gut"),exact(Metadata!E377,"Animal secretion")))</f>
        <v>0</v>
      </c>
      <c r="AG377">
        <f>OR(AND(IF(Metadata!F377="",FALSE,TRUE),OR(exact(Metadata!F377,"not collected"),exact(Metadata!F377,"not provided"),exact(Metadata!F377,"restricted access"))),AND(IF(Metadata!F377="",FALSE,TRUE),OR(exact(Metadata!F377,"organism-associated habitat"),exact(Metadata!F377,"plant-associated habitat"),exact(Metadata!F377,"animal-associated habitat"),exact(Metadata!F377,"insecta-associated habitat"),exact(Metadata!F377,"mammalia-associated habitat"),exact(Metadata!F377,"human-associated habitat"),exact(Metadata!F377,"livestock-associated habitat"))))</f>
        <v>0</v>
      </c>
      <c r="AH377">
        <f>AND(IF(Metadata!G377="",FALSE,TRUE),exact(Metadata!G377,"host-associated"))</f>
        <v>0</v>
      </c>
      <c r="AI377">
        <f>OR(AND(IF(Metadata!H377="",FALSE,TRUE),OR(exact(Metadata!H377,"not collected"),exact(Metadata!H377,"not provided"))),AND(IF(Metadata!H377="",FALSE,ISNUMBER(VALUE(Metadata!H377))),Metadata!H377&gt;0))</f>
        <v>0</v>
      </c>
      <c r="AJ377">
        <f>AND(IF(Metadata!I377="",FALSE,TRUE),exact(Metadata!I377,"years"))</f>
        <v>0</v>
      </c>
      <c r="AK377">
        <f>IF(Metadata!J377="",FALSE,TRUE)</f>
        <v>0</v>
      </c>
      <c r="AL377">
        <f>OR(AND(IF(Metadata!K377="",FALSE,TRUE),OR(exact(Metadata!K377,"not collected"),exact(Metadata!K377,"not provided"))),AND(IF(Metadata!K377="",FALSE,ISNUMBER(VALUE(Metadata!K377))),Metadata!K377&gt;0))</f>
        <v>0</v>
      </c>
      <c r="AM377">
        <f>AND(IF(Metadata!L377="",FALSE,TRUE),exact(Metadata!L377,"cm"))</f>
        <v>0</v>
      </c>
      <c r="AN377">
        <f>IF(Metadata!M377="",FALSE,TRUE)</f>
        <v>0</v>
      </c>
      <c r="AO377">
        <f>OR(AND(IF(Metadata!N377="",FALSE,TRUE),OR(exact(Metadata!N377,"not applicable"),exact(Metadata!N377,"not collected"),exact(Metadata!N377,"not provided"))),AND(IF(Metadata!N377="",FALSE,IF(ISERROR(INT(Metadata!N377)),FALSE,INT(Metadata!N377)=Metadata!N377)),Metadata!N377&gt;0))</f>
        <v>0</v>
      </c>
      <c r="AP377">
        <f>OR(AND(IF(Metadata!O377="",FALSE,TRUE),OR(exact(Metadata!O377,"not collected"),exact(Metadata!O377,"not provided"))),AND(IF(Metadata!O377="",FALSE,ISNUMBER(VALUE(Metadata!O377))),Metadata!O377&gt;0))</f>
        <v>0</v>
      </c>
      <c r="AQ377">
        <f>AND(IF(Metadata!P377="",FALSE,TRUE),exact(Metadata!P377,"kg"))</f>
        <v>0</v>
      </c>
      <c r="AR377">
        <f>OR(AND(IF(Metadata!Q377="",FALSE,TRUE),OR(exact(Metadata!Q377,"not applicable"),exact(Metadata!Q377,"not collected"),exact(Metadata!Q377,"not provided"),exact(Metadata!Q377,"restricted access"))),IF(Metadata!Q377="",FALSE,IF(ISERROR(INT(Metadata!Q377)),FALSE,INT(Metadata!Q377)=Metadata!Q377)))</f>
        <v>0</v>
      </c>
      <c r="AS377">
        <f>AND(IF(Metadata!R377="",FALSE,TRUE),exact(Metadata!R377,"Not applicable"))</f>
        <v>0</v>
      </c>
    </row>
    <row r="378" spans="1:45">
      <c r="A378" s="4">
        <f>IF(B378=" "," ",HYPERLINK(CONCATENATE("#metadata!",ADDRESS(INDEX($X$2:$X$1001,MATCH(ROWS($V$2:V378),$V$2:$V$1001,0),0),2)),INDEX($AA$2:$AA$1001,MATCH(ROWS($V$2:V378),$V$2:$V$1001,0),0)))</f>
        <v>0</v>
      </c>
      <c r="B378" s="5">
        <f>IF(OR(INDEX($W$2:$W$1001,MATCH(ROWS($V$2:V378),$V$2:$V$1001,0),1)&gt;=100000,INDEX($AC$1005:$AS$1005,1,MATCH(COLUMNS($AC$1006:AC1006),$AC$1006:$AS$1006,0))&gt;=100000), " ",IF(INDEX($AC$2:$AS$1001,MATCH(ROWS($V$2:V378),$V$2:$V$1001,0),MATCH(COLUMNS($AC$1006:AC1006),$AC$1006:$AS$1006,0)), HYPERLINK("#",""), HYPERLINK(CONCATENATE("#Metadata!", ADDRESS(INDEX($X$2:$X$1001,MATCH(ROWS($V$2:V378),$V$2:$V$1001,0),0), INDEX($AC$1004:$AS$1004,1,MATCH(COLUMNS($AC$1006:AC1006),$AC$1006:$AS$1006,0)))),"Fix")))</f>
        <v>0</v>
      </c>
      <c r="C378" s="5">
        <f>IF(OR(INDEX($W$2:$W$1001,MATCH(ROWS($V$2:V378),$V$2:$V$1001,0),1)&gt;=100000,INDEX($AC$1005:$AS$1005,1,MATCH(COLUMNS($AC$1006:AD1006),$AC$1006:$AS$1006,0))&gt;=100000), " ",IF(INDEX($AC$2:$AS$1001,MATCH(ROWS($V$2:V378),$V$2:$V$1001,0),MATCH(COLUMNS($AC$1006:AD1006),$AC$1006:$AS$1006,0)), HYPERLINK("#",""), HYPERLINK(CONCATENATE("#Metadata!", ADDRESS(INDEX($X$2:$X$1001,MATCH(ROWS($V$2:V378),$V$2:$V$1001,0),0), INDEX($AC$1004:$AS$1004,1,MATCH(COLUMNS($AC$1006:AD1006),$AC$1006:$AS$1006,0)))),"Fix")))</f>
        <v>0</v>
      </c>
      <c r="D378" s="5">
        <f>IF(OR(INDEX($W$2:$W$1001,MATCH(ROWS($V$2:V378),$V$2:$V$1001,0),1)&gt;=100000,INDEX($AC$1005:$AS$1005,1,MATCH(COLUMNS($AC$1006:AE1006),$AC$1006:$AS$1006,0))&gt;=100000), " ",IF(INDEX($AC$2:$AS$1001,MATCH(ROWS($V$2:V378),$V$2:$V$1001,0),MATCH(COLUMNS($AC$1006:AE1006),$AC$1006:$AS$1006,0)), HYPERLINK("#",""), HYPERLINK(CONCATENATE("#Metadata!", ADDRESS(INDEX($X$2:$X$1001,MATCH(ROWS($V$2:V378),$V$2:$V$1001,0),0), INDEX($AC$1004:$AS$1004,1,MATCH(COLUMNS($AC$1006:AE1006),$AC$1006:$AS$1006,0)))),"Fix")))</f>
        <v>0</v>
      </c>
      <c r="E378" s="5">
        <f>IF(OR(INDEX($W$2:$W$1001,MATCH(ROWS($V$2:V378),$V$2:$V$1001,0),1)&gt;=100000,INDEX($AC$1005:$AS$1005,1,MATCH(COLUMNS($AC$1006:AF1006),$AC$1006:$AS$1006,0))&gt;=100000), " ",IF(INDEX($AC$2:$AS$1001,MATCH(ROWS($V$2:V378),$V$2:$V$1001,0),MATCH(COLUMNS($AC$1006:AF1006),$AC$1006:$AS$1006,0)), HYPERLINK("#",""), HYPERLINK(CONCATENATE("#Metadata!", ADDRESS(INDEX($X$2:$X$1001,MATCH(ROWS($V$2:V378),$V$2:$V$1001,0),0), INDEX($AC$1004:$AS$1004,1,MATCH(COLUMNS($AC$1006:AF1006),$AC$1006:$AS$1006,0)))),"Fix")))</f>
        <v>0</v>
      </c>
      <c r="F378" s="5">
        <f>IF(OR(INDEX($W$2:$W$1001,MATCH(ROWS($V$2:V378),$V$2:$V$1001,0),1)&gt;=100000,INDEX($AC$1005:$AS$1005,1,MATCH(COLUMNS($AC$1006:AG1006),$AC$1006:$AS$1006,0))&gt;=100000), " ",IF(INDEX($AC$2:$AS$1001,MATCH(ROWS($V$2:V378),$V$2:$V$1001,0),MATCH(COLUMNS($AC$1006:AG1006),$AC$1006:$AS$1006,0)), HYPERLINK("#",""), HYPERLINK(CONCATENATE("#Metadata!", ADDRESS(INDEX($X$2:$X$1001,MATCH(ROWS($V$2:V378),$V$2:$V$1001,0),0), INDEX($AC$1004:$AS$1004,1,MATCH(COLUMNS($AC$1006:AG1006),$AC$1006:$AS$1006,0)))),"Fix")))</f>
        <v>0</v>
      </c>
      <c r="G378" s="5">
        <f>IF(OR(INDEX($W$2:$W$1001,MATCH(ROWS($V$2:V378),$V$2:$V$1001,0),1)&gt;=100000,INDEX($AC$1005:$AS$1005,1,MATCH(COLUMNS($AC$1006:AH1006),$AC$1006:$AS$1006,0))&gt;=100000), " ",IF(INDEX($AC$2:$AS$1001,MATCH(ROWS($V$2:V378),$V$2:$V$1001,0),MATCH(COLUMNS($AC$1006:AH1006),$AC$1006:$AS$1006,0)), HYPERLINK("#",""), HYPERLINK(CONCATENATE("#Metadata!", ADDRESS(INDEX($X$2:$X$1001,MATCH(ROWS($V$2:V378),$V$2:$V$1001,0),0), INDEX($AC$1004:$AS$1004,1,MATCH(COLUMNS($AC$1006:AH1006),$AC$1006:$AS$1006,0)))),"Fix")))</f>
        <v>0</v>
      </c>
      <c r="H378" s="5">
        <f>IF(OR(INDEX($W$2:$W$1001,MATCH(ROWS($V$2:V378),$V$2:$V$1001,0),1)&gt;=100000,INDEX($AC$1005:$AS$1005,1,MATCH(COLUMNS($AC$1006:AI1006),$AC$1006:$AS$1006,0))&gt;=100000), " ",IF(INDEX($AC$2:$AS$1001,MATCH(ROWS($V$2:V378),$V$2:$V$1001,0),MATCH(COLUMNS($AC$1006:AI1006),$AC$1006:$AS$1006,0)), HYPERLINK("#",""), HYPERLINK(CONCATENATE("#Metadata!", ADDRESS(INDEX($X$2:$X$1001,MATCH(ROWS($V$2:V378),$V$2:$V$1001,0),0), INDEX($AC$1004:$AS$1004,1,MATCH(COLUMNS($AC$1006:AI1006),$AC$1006:$AS$1006,0)))),"Fix")))</f>
        <v>0</v>
      </c>
      <c r="I378" s="5">
        <f>IF(OR(INDEX($W$2:$W$1001,MATCH(ROWS($V$2:V378),$V$2:$V$1001,0),1)&gt;=100000,INDEX($AC$1005:$AS$1005,1,MATCH(COLUMNS($AC$1006:AJ1006),$AC$1006:$AS$1006,0))&gt;=100000), " ",IF(INDEX($AC$2:$AS$1001,MATCH(ROWS($V$2:V378),$V$2:$V$1001,0),MATCH(COLUMNS($AC$1006:AJ1006),$AC$1006:$AS$1006,0)), HYPERLINK("#",""), HYPERLINK(CONCATENATE("#Metadata!", ADDRESS(INDEX($X$2:$X$1001,MATCH(ROWS($V$2:V378),$V$2:$V$1001,0),0), INDEX($AC$1004:$AS$1004,1,MATCH(COLUMNS($AC$1006:AJ1006),$AC$1006:$AS$1006,0)))),"Fix")))</f>
        <v>0</v>
      </c>
      <c r="J378" s="5">
        <f>IF(OR(INDEX($W$2:$W$1001,MATCH(ROWS($V$2:V378),$V$2:$V$1001,0),1)&gt;=100000,INDEX($AC$1005:$AS$1005,1,MATCH(COLUMNS($AC$1006:AK1006),$AC$1006:$AS$1006,0))&gt;=100000), " ",IF(INDEX($AC$2:$AS$1001,MATCH(ROWS($V$2:V378),$V$2:$V$1001,0),MATCH(COLUMNS($AC$1006:AK1006),$AC$1006:$AS$1006,0)), HYPERLINK("#",""), HYPERLINK(CONCATENATE("#Metadata!", ADDRESS(INDEX($X$2:$X$1001,MATCH(ROWS($V$2:V378),$V$2:$V$1001,0),0), INDEX($AC$1004:$AS$1004,1,MATCH(COLUMNS($AC$1006:AK1006),$AC$1006:$AS$1006,0)))),"Fix")))</f>
        <v>0</v>
      </c>
      <c r="K378" s="5">
        <f>IF(OR(INDEX($W$2:$W$1001,MATCH(ROWS($V$2:V378),$V$2:$V$1001,0),1)&gt;=100000,INDEX($AC$1005:$AS$1005,1,MATCH(COLUMNS($AC$1006:AL1006),$AC$1006:$AS$1006,0))&gt;=100000), " ",IF(INDEX($AC$2:$AS$1001,MATCH(ROWS($V$2:V378),$V$2:$V$1001,0),MATCH(COLUMNS($AC$1006:AL1006),$AC$1006:$AS$1006,0)), HYPERLINK("#",""), HYPERLINK(CONCATENATE("#Metadata!", ADDRESS(INDEX($X$2:$X$1001,MATCH(ROWS($V$2:V378),$V$2:$V$1001,0),0), INDEX($AC$1004:$AS$1004,1,MATCH(COLUMNS($AC$1006:AL1006),$AC$1006:$AS$1006,0)))),"Fix")))</f>
        <v>0</v>
      </c>
      <c r="L378" s="5">
        <f>IF(OR(INDEX($W$2:$W$1001,MATCH(ROWS($V$2:V378),$V$2:$V$1001,0),1)&gt;=100000,INDEX($AC$1005:$AS$1005,1,MATCH(COLUMNS($AC$1006:AM1006),$AC$1006:$AS$1006,0))&gt;=100000), " ",IF(INDEX($AC$2:$AS$1001,MATCH(ROWS($V$2:V378),$V$2:$V$1001,0),MATCH(COLUMNS($AC$1006:AM1006),$AC$1006:$AS$1006,0)), HYPERLINK("#",""), HYPERLINK(CONCATENATE("#Metadata!", ADDRESS(INDEX($X$2:$X$1001,MATCH(ROWS($V$2:V378),$V$2:$V$1001,0),0), INDEX($AC$1004:$AS$1004,1,MATCH(COLUMNS($AC$1006:AM1006),$AC$1006:$AS$1006,0)))),"Fix")))</f>
        <v>0</v>
      </c>
      <c r="M378" s="5">
        <f>IF(OR(INDEX($W$2:$W$1001,MATCH(ROWS($V$2:V378),$V$2:$V$1001,0),1)&gt;=100000,INDEX($AC$1005:$AS$1005,1,MATCH(COLUMNS($AC$1006:AN1006),$AC$1006:$AS$1006,0))&gt;=100000), " ",IF(INDEX($AC$2:$AS$1001,MATCH(ROWS($V$2:V378),$V$2:$V$1001,0),MATCH(COLUMNS($AC$1006:AN1006),$AC$1006:$AS$1006,0)), HYPERLINK("#",""), HYPERLINK(CONCATENATE("#Metadata!", ADDRESS(INDEX($X$2:$X$1001,MATCH(ROWS($V$2:V378),$V$2:$V$1001,0),0), INDEX($AC$1004:$AS$1004,1,MATCH(COLUMNS($AC$1006:AN1006),$AC$1006:$AS$1006,0)))),"Fix")))</f>
        <v>0</v>
      </c>
      <c r="N378" s="5">
        <f>IF(OR(INDEX($W$2:$W$1001,MATCH(ROWS($V$2:V378),$V$2:$V$1001,0),1)&gt;=100000,INDEX($AC$1005:$AS$1005,1,MATCH(COLUMNS($AC$1006:AO1006),$AC$1006:$AS$1006,0))&gt;=100000), " ",IF(INDEX($AC$2:$AS$1001,MATCH(ROWS($V$2:V378),$V$2:$V$1001,0),MATCH(COLUMNS($AC$1006:AO1006),$AC$1006:$AS$1006,0)), HYPERLINK("#",""), HYPERLINK(CONCATENATE("#Metadata!", ADDRESS(INDEX($X$2:$X$1001,MATCH(ROWS($V$2:V378),$V$2:$V$1001,0),0), INDEX($AC$1004:$AS$1004,1,MATCH(COLUMNS($AC$1006:AO1006),$AC$1006:$AS$1006,0)))),"Fix")))</f>
        <v>0</v>
      </c>
      <c r="O378" s="5">
        <f>IF(OR(INDEX($W$2:$W$1001,MATCH(ROWS($V$2:V378),$V$2:$V$1001,0),1)&gt;=100000,INDEX($AC$1005:$AS$1005,1,MATCH(COLUMNS($AC$1006:AP1006),$AC$1006:$AS$1006,0))&gt;=100000), " ",IF(INDEX($AC$2:$AS$1001,MATCH(ROWS($V$2:V378),$V$2:$V$1001,0),MATCH(COLUMNS($AC$1006:AP1006),$AC$1006:$AS$1006,0)), HYPERLINK("#",""), HYPERLINK(CONCATENATE("#Metadata!", ADDRESS(INDEX($X$2:$X$1001,MATCH(ROWS($V$2:V378),$V$2:$V$1001,0),0), INDEX($AC$1004:$AS$1004,1,MATCH(COLUMNS($AC$1006:AP1006),$AC$1006:$AS$1006,0)))),"Fix")))</f>
        <v>0</v>
      </c>
      <c r="P378" s="5">
        <f>IF(OR(INDEX($W$2:$W$1001,MATCH(ROWS($V$2:V378),$V$2:$V$1001,0),1)&gt;=100000,INDEX($AC$1005:$AS$1005,1,MATCH(COLUMNS($AC$1006:AQ1006),$AC$1006:$AS$1006,0))&gt;=100000), " ",IF(INDEX($AC$2:$AS$1001,MATCH(ROWS($V$2:V378),$V$2:$V$1001,0),MATCH(COLUMNS($AC$1006:AQ1006),$AC$1006:$AS$1006,0)), HYPERLINK("#",""), HYPERLINK(CONCATENATE("#Metadata!", ADDRESS(INDEX($X$2:$X$1001,MATCH(ROWS($V$2:V378),$V$2:$V$1001,0),0), INDEX($AC$1004:$AS$1004,1,MATCH(COLUMNS($AC$1006:AQ1006),$AC$1006:$AS$1006,0)))),"Fix")))</f>
        <v>0</v>
      </c>
      <c r="Q378" s="5">
        <f>IF(OR(INDEX($W$2:$W$1001,MATCH(ROWS($V$2:V378),$V$2:$V$1001,0),1)&gt;=100000,INDEX($AC$1005:$AS$1005,1,MATCH(COLUMNS($AC$1006:AR1006),$AC$1006:$AS$1006,0))&gt;=100000), " ",IF(INDEX($AC$2:$AS$1001,MATCH(ROWS($V$2:V378),$V$2:$V$1001,0),MATCH(COLUMNS($AC$1006:AR1006),$AC$1006:$AS$1006,0)), HYPERLINK("#",""), HYPERLINK(CONCATENATE("#Metadata!", ADDRESS(INDEX($X$2:$X$1001,MATCH(ROWS($V$2:V378),$V$2:$V$1001,0),0), INDEX($AC$1004:$AS$1004,1,MATCH(COLUMNS($AC$1006:AR1006),$AC$1006:$AS$1006,0)))),"Fix")))</f>
        <v>0</v>
      </c>
      <c r="R378" s="5">
        <f>IF(OR(INDEX($W$2:$W$1001,MATCH(ROWS($V$2:V378),$V$2:$V$1001,0),1)&gt;=100000,INDEX($AC$1005:$AS$1005,1,MATCH(COLUMNS($AC$1006:AS1006),$AC$1006:$AS$1006,0))&gt;=100000), " ",IF(INDEX($AC$2:$AS$1001,MATCH(ROWS($V$2:V378),$V$2:$V$1001,0),MATCH(COLUMNS($AC$1006:AS1006),$AC$1006:$AS$1006,0)), HYPERLINK("#",""), HYPERLINK(CONCATENATE("#Metadata!", ADDRESS(INDEX($X$2:$X$1001,MATCH(ROWS($V$2:V378),$V$2:$V$1001,0),0), INDEX($AC$1004:$AS$1004,1,MATCH(COLUMNS($AC$1006:AS1006),$AC$1006:$AS$1006,0)))),"Fix")))</f>
        <v>0</v>
      </c>
      <c r="V378">
        <v>0</v>
      </c>
      <c r="W378">
        <v>0</v>
      </c>
      <c r="X378">
        <v>0</v>
      </c>
      <c r="Y378">
        <f>IF(Z378,TRUE,AND(AC378:AS378))</f>
        <v>0</v>
      </c>
      <c r="Z378">
        <f>COUNTBLANK(Metadata!B378:R378)=COLUMNS(Metadata!B378:R378)</f>
        <v>0</v>
      </c>
      <c r="AA378">
        <v>0</v>
      </c>
      <c r="AC378">
        <f>AND(IF(Metadata!B378="",FALSE,TRUE),COUNTIF(Metadata!B:B, Metadata!B378) = 1,NOT(ISERROR(SUMPRODUCT(SEARCH(MID(Metadata!B378,ROW(INDIRECT("1:"&amp;LEN(Metadata!B378))), 1),"0123456789abcdefghijklmnopqrstuvwxyzABCDEFGHIJKLMNOPQRSTUVWXYZ.")))))</f>
        <v>0</v>
      </c>
      <c r="AD378">
        <f>AND(IF(Metadata!C378="",FALSE,TRUE),exact(Metadata!C378,"Host-associated"))</f>
        <v>0</v>
      </c>
      <c r="AE378">
        <f>AND(IF(Metadata!D378="",FALSE,TRUE),OR(exact(Metadata!D378,"Animal"),exact(Metadata!D378,"Fungus"),exact(Metadata!D378,"Plant")))</f>
        <v>0</v>
      </c>
      <c r="AF378">
        <f>AND(IF(Metadata!E378="",FALSE,TRUE),OR(exact(Metadata!E378,"Plant secretion"),exact(Metadata!E378,"Plant rhizosphere"),exact(Metadata!E378,"Plant surface"),exact(Metadata!E378,"Plant corpus"),exact(Metadata!E378,"Fungus surface"),exact(Metadata!E378,"Fungus corpus"),exact(Metadata!E378,"Animal surface"),exact(Metadata!E378,"Animal proximal gut"),exact(Metadata!E378,"Animal corpus"),exact(Metadata!E378,"Animal distal gut"),exact(Metadata!E378,"Animal secretion")))</f>
        <v>0</v>
      </c>
      <c r="AG378">
        <f>OR(AND(IF(Metadata!F378="",FALSE,TRUE),OR(exact(Metadata!F378,"not collected"),exact(Metadata!F378,"not provided"),exact(Metadata!F378,"restricted access"))),AND(IF(Metadata!F378="",FALSE,TRUE),OR(exact(Metadata!F378,"organism-associated habitat"),exact(Metadata!F378,"plant-associated habitat"),exact(Metadata!F378,"animal-associated habitat"),exact(Metadata!F378,"insecta-associated habitat"),exact(Metadata!F378,"mammalia-associated habitat"),exact(Metadata!F378,"human-associated habitat"),exact(Metadata!F378,"livestock-associated habitat"))))</f>
        <v>0</v>
      </c>
      <c r="AH378">
        <f>AND(IF(Metadata!G378="",FALSE,TRUE),exact(Metadata!G378,"host-associated"))</f>
        <v>0</v>
      </c>
      <c r="AI378">
        <f>OR(AND(IF(Metadata!H378="",FALSE,TRUE),OR(exact(Metadata!H378,"not collected"),exact(Metadata!H378,"not provided"))),AND(IF(Metadata!H378="",FALSE,ISNUMBER(VALUE(Metadata!H378))),Metadata!H378&gt;0))</f>
        <v>0</v>
      </c>
      <c r="AJ378">
        <f>AND(IF(Metadata!I378="",FALSE,TRUE),exact(Metadata!I378,"years"))</f>
        <v>0</v>
      </c>
      <c r="AK378">
        <f>IF(Metadata!J378="",FALSE,TRUE)</f>
        <v>0</v>
      </c>
      <c r="AL378">
        <f>OR(AND(IF(Metadata!K378="",FALSE,TRUE),OR(exact(Metadata!K378,"not collected"),exact(Metadata!K378,"not provided"))),AND(IF(Metadata!K378="",FALSE,ISNUMBER(VALUE(Metadata!K378))),Metadata!K378&gt;0))</f>
        <v>0</v>
      </c>
      <c r="AM378">
        <f>AND(IF(Metadata!L378="",FALSE,TRUE),exact(Metadata!L378,"cm"))</f>
        <v>0</v>
      </c>
      <c r="AN378">
        <f>IF(Metadata!M378="",FALSE,TRUE)</f>
        <v>0</v>
      </c>
      <c r="AO378">
        <f>OR(AND(IF(Metadata!N378="",FALSE,TRUE),OR(exact(Metadata!N378,"not applicable"),exact(Metadata!N378,"not collected"),exact(Metadata!N378,"not provided"))),AND(IF(Metadata!N378="",FALSE,IF(ISERROR(INT(Metadata!N378)),FALSE,INT(Metadata!N378)=Metadata!N378)),Metadata!N378&gt;0))</f>
        <v>0</v>
      </c>
      <c r="AP378">
        <f>OR(AND(IF(Metadata!O378="",FALSE,TRUE),OR(exact(Metadata!O378,"not collected"),exact(Metadata!O378,"not provided"))),AND(IF(Metadata!O378="",FALSE,ISNUMBER(VALUE(Metadata!O378))),Metadata!O378&gt;0))</f>
        <v>0</v>
      </c>
      <c r="AQ378">
        <f>AND(IF(Metadata!P378="",FALSE,TRUE),exact(Metadata!P378,"kg"))</f>
        <v>0</v>
      </c>
      <c r="AR378">
        <f>OR(AND(IF(Metadata!Q378="",FALSE,TRUE),OR(exact(Metadata!Q378,"not applicable"),exact(Metadata!Q378,"not collected"),exact(Metadata!Q378,"not provided"),exact(Metadata!Q378,"restricted access"))),IF(Metadata!Q378="",FALSE,IF(ISERROR(INT(Metadata!Q378)),FALSE,INT(Metadata!Q378)=Metadata!Q378)))</f>
        <v>0</v>
      </c>
      <c r="AS378">
        <f>AND(IF(Metadata!R378="",FALSE,TRUE),exact(Metadata!R378,"Not applicable"))</f>
        <v>0</v>
      </c>
    </row>
    <row r="379" spans="1:45">
      <c r="A379" s="4">
        <f>IF(B379=" "," ",HYPERLINK(CONCATENATE("#metadata!",ADDRESS(INDEX($X$2:$X$1001,MATCH(ROWS($V$2:V379),$V$2:$V$1001,0),0),2)),INDEX($AA$2:$AA$1001,MATCH(ROWS($V$2:V379),$V$2:$V$1001,0),0)))</f>
        <v>0</v>
      </c>
      <c r="B379" s="5">
        <f>IF(OR(INDEX($W$2:$W$1001,MATCH(ROWS($V$2:V379),$V$2:$V$1001,0),1)&gt;=100000,INDEX($AC$1005:$AS$1005,1,MATCH(COLUMNS($AC$1006:AC1006),$AC$1006:$AS$1006,0))&gt;=100000), " ",IF(INDEX($AC$2:$AS$1001,MATCH(ROWS($V$2:V379),$V$2:$V$1001,0),MATCH(COLUMNS($AC$1006:AC1006),$AC$1006:$AS$1006,0)), HYPERLINK("#",""), HYPERLINK(CONCATENATE("#Metadata!", ADDRESS(INDEX($X$2:$X$1001,MATCH(ROWS($V$2:V379),$V$2:$V$1001,0),0), INDEX($AC$1004:$AS$1004,1,MATCH(COLUMNS($AC$1006:AC1006),$AC$1006:$AS$1006,0)))),"Fix")))</f>
        <v>0</v>
      </c>
      <c r="C379" s="5">
        <f>IF(OR(INDEX($W$2:$W$1001,MATCH(ROWS($V$2:V379),$V$2:$V$1001,0),1)&gt;=100000,INDEX($AC$1005:$AS$1005,1,MATCH(COLUMNS($AC$1006:AD1006),$AC$1006:$AS$1006,0))&gt;=100000), " ",IF(INDEX($AC$2:$AS$1001,MATCH(ROWS($V$2:V379),$V$2:$V$1001,0),MATCH(COLUMNS($AC$1006:AD1006),$AC$1006:$AS$1006,0)), HYPERLINK("#",""), HYPERLINK(CONCATENATE("#Metadata!", ADDRESS(INDEX($X$2:$X$1001,MATCH(ROWS($V$2:V379),$V$2:$V$1001,0),0), INDEX($AC$1004:$AS$1004,1,MATCH(COLUMNS($AC$1006:AD1006),$AC$1006:$AS$1006,0)))),"Fix")))</f>
        <v>0</v>
      </c>
      <c r="D379" s="5">
        <f>IF(OR(INDEX($W$2:$W$1001,MATCH(ROWS($V$2:V379),$V$2:$V$1001,0),1)&gt;=100000,INDEX($AC$1005:$AS$1005,1,MATCH(COLUMNS($AC$1006:AE1006),$AC$1006:$AS$1006,0))&gt;=100000), " ",IF(INDEX($AC$2:$AS$1001,MATCH(ROWS($V$2:V379),$V$2:$V$1001,0),MATCH(COLUMNS($AC$1006:AE1006),$AC$1006:$AS$1006,0)), HYPERLINK("#",""), HYPERLINK(CONCATENATE("#Metadata!", ADDRESS(INDEX($X$2:$X$1001,MATCH(ROWS($V$2:V379),$V$2:$V$1001,0),0), INDEX($AC$1004:$AS$1004,1,MATCH(COLUMNS($AC$1006:AE1006),$AC$1006:$AS$1006,0)))),"Fix")))</f>
        <v>0</v>
      </c>
      <c r="E379" s="5">
        <f>IF(OR(INDEX($W$2:$W$1001,MATCH(ROWS($V$2:V379),$V$2:$V$1001,0),1)&gt;=100000,INDEX($AC$1005:$AS$1005,1,MATCH(COLUMNS($AC$1006:AF1006),$AC$1006:$AS$1006,0))&gt;=100000), " ",IF(INDEX($AC$2:$AS$1001,MATCH(ROWS($V$2:V379),$V$2:$V$1001,0),MATCH(COLUMNS($AC$1006:AF1006),$AC$1006:$AS$1006,0)), HYPERLINK("#",""), HYPERLINK(CONCATENATE("#Metadata!", ADDRESS(INDEX($X$2:$X$1001,MATCH(ROWS($V$2:V379),$V$2:$V$1001,0),0), INDEX($AC$1004:$AS$1004,1,MATCH(COLUMNS($AC$1006:AF1006),$AC$1006:$AS$1006,0)))),"Fix")))</f>
        <v>0</v>
      </c>
      <c r="F379" s="5">
        <f>IF(OR(INDEX($W$2:$W$1001,MATCH(ROWS($V$2:V379),$V$2:$V$1001,0),1)&gt;=100000,INDEX($AC$1005:$AS$1005,1,MATCH(COLUMNS($AC$1006:AG1006),$AC$1006:$AS$1006,0))&gt;=100000), " ",IF(INDEX($AC$2:$AS$1001,MATCH(ROWS($V$2:V379),$V$2:$V$1001,0),MATCH(COLUMNS($AC$1006:AG1006),$AC$1006:$AS$1006,0)), HYPERLINK("#",""), HYPERLINK(CONCATENATE("#Metadata!", ADDRESS(INDEX($X$2:$X$1001,MATCH(ROWS($V$2:V379),$V$2:$V$1001,0),0), INDEX($AC$1004:$AS$1004,1,MATCH(COLUMNS($AC$1006:AG1006),$AC$1006:$AS$1006,0)))),"Fix")))</f>
        <v>0</v>
      </c>
      <c r="G379" s="5">
        <f>IF(OR(INDEX($W$2:$W$1001,MATCH(ROWS($V$2:V379),$V$2:$V$1001,0),1)&gt;=100000,INDEX($AC$1005:$AS$1005,1,MATCH(COLUMNS($AC$1006:AH1006),$AC$1006:$AS$1006,0))&gt;=100000), " ",IF(INDEX($AC$2:$AS$1001,MATCH(ROWS($V$2:V379),$V$2:$V$1001,0),MATCH(COLUMNS($AC$1006:AH1006),$AC$1006:$AS$1006,0)), HYPERLINK("#",""), HYPERLINK(CONCATENATE("#Metadata!", ADDRESS(INDEX($X$2:$X$1001,MATCH(ROWS($V$2:V379),$V$2:$V$1001,0),0), INDEX($AC$1004:$AS$1004,1,MATCH(COLUMNS($AC$1006:AH1006),$AC$1006:$AS$1006,0)))),"Fix")))</f>
        <v>0</v>
      </c>
      <c r="H379" s="5">
        <f>IF(OR(INDEX($W$2:$W$1001,MATCH(ROWS($V$2:V379),$V$2:$V$1001,0),1)&gt;=100000,INDEX($AC$1005:$AS$1005,1,MATCH(COLUMNS($AC$1006:AI1006),$AC$1006:$AS$1006,0))&gt;=100000), " ",IF(INDEX($AC$2:$AS$1001,MATCH(ROWS($V$2:V379),$V$2:$V$1001,0),MATCH(COLUMNS($AC$1006:AI1006),$AC$1006:$AS$1006,0)), HYPERLINK("#",""), HYPERLINK(CONCATENATE("#Metadata!", ADDRESS(INDEX($X$2:$X$1001,MATCH(ROWS($V$2:V379),$V$2:$V$1001,0),0), INDEX($AC$1004:$AS$1004,1,MATCH(COLUMNS($AC$1006:AI1006),$AC$1006:$AS$1006,0)))),"Fix")))</f>
        <v>0</v>
      </c>
      <c r="I379" s="5">
        <f>IF(OR(INDEX($W$2:$W$1001,MATCH(ROWS($V$2:V379),$V$2:$V$1001,0),1)&gt;=100000,INDEX($AC$1005:$AS$1005,1,MATCH(COLUMNS($AC$1006:AJ1006),$AC$1006:$AS$1006,0))&gt;=100000), " ",IF(INDEX($AC$2:$AS$1001,MATCH(ROWS($V$2:V379),$V$2:$V$1001,0),MATCH(COLUMNS($AC$1006:AJ1006),$AC$1006:$AS$1006,0)), HYPERLINK("#",""), HYPERLINK(CONCATENATE("#Metadata!", ADDRESS(INDEX($X$2:$X$1001,MATCH(ROWS($V$2:V379),$V$2:$V$1001,0),0), INDEX($AC$1004:$AS$1004,1,MATCH(COLUMNS($AC$1006:AJ1006),$AC$1006:$AS$1006,0)))),"Fix")))</f>
        <v>0</v>
      </c>
      <c r="J379" s="5">
        <f>IF(OR(INDEX($W$2:$W$1001,MATCH(ROWS($V$2:V379),$V$2:$V$1001,0),1)&gt;=100000,INDEX($AC$1005:$AS$1005,1,MATCH(COLUMNS($AC$1006:AK1006),$AC$1006:$AS$1006,0))&gt;=100000), " ",IF(INDEX($AC$2:$AS$1001,MATCH(ROWS($V$2:V379),$V$2:$V$1001,0),MATCH(COLUMNS($AC$1006:AK1006),$AC$1006:$AS$1006,0)), HYPERLINK("#",""), HYPERLINK(CONCATENATE("#Metadata!", ADDRESS(INDEX($X$2:$X$1001,MATCH(ROWS($V$2:V379),$V$2:$V$1001,0),0), INDEX($AC$1004:$AS$1004,1,MATCH(COLUMNS($AC$1006:AK1006),$AC$1006:$AS$1006,0)))),"Fix")))</f>
        <v>0</v>
      </c>
      <c r="K379" s="5">
        <f>IF(OR(INDEX($W$2:$W$1001,MATCH(ROWS($V$2:V379),$V$2:$V$1001,0),1)&gt;=100000,INDEX($AC$1005:$AS$1005,1,MATCH(COLUMNS($AC$1006:AL1006),$AC$1006:$AS$1006,0))&gt;=100000), " ",IF(INDEX($AC$2:$AS$1001,MATCH(ROWS($V$2:V379),$V$2:$V$1001,0),MATCH(COLUMNS($AC$1006:AL1006),$AC$1006:$AS$1006,0)), HYPERLINK("#",""), HYPERLINK(CONCATENATE("#Metadata!", ADDRESS(INDEX($X$2:$X$1001,MATCH(ROWS($V$2:V379),$V$2:$V$1001,0),0), INDEX($AC$1004:$AS$1004,1,MATCH(COLUMNS($AC$1006:AL1006),$AC$1006:$AS$1006,0)))),"Fix")))</f>
        <v>0</v>
      </c>
      <c r="L379" s="5">
        <f>IF(OR(INDEX($W$2:$W$1001,MATCH(ROWS($V$2:V379),$V$2:$V$1001,0),1)&gt;=100000,INDEX($AC$1005:$AS$1005,1,MATCH(COLUMNS($AC$1006:AM1006),$AC$1006:$AS$1006,0))&gt;=100000), " ",IF(INDEX($AC$2:$AS$1001,MATCH(ROWS($V$2:V379),$V$2:$V$1001,0),MATCH(COLUMNS($AC$1006:AM1006),$AC$1006:$AS$1006,0)), HYPERLINK("#",""), HYPERLINK(CONCATENATE("#Metadata!", ADDRESS(INDEX($X$2:$X$1001,MATCH(ROWS($V$2:V379),$V$2:$V$1001,0),0), INDEX($AC$1004:$AS$1004,1,MATCH(COLUMNS($AC$1006:AM1006),$AC$1006:$AS$1006,0)))),"Fix")))</f>
        <v>0</v>
      </c>
      <c r="M379" s="5">
        <f>IF(OR(INDEX($W$2:$W$1001,MATCH(ROWS($V$2:V379),$V$2:$V$1001,0),1)&gt;=100000,INDEX($AC$1005:$AS$1005,1,MATCH(COLUMNS($AC$1006:AN1006),$AC$1006:$AS$1006,0))&gt;=100000), " ",IF(INDEX($AC$2:$AS$1001,MATCH(ROWS($V$2:V379),$V$2:$V$1001,0),MATCH(COLUMNS($AC$1006:AN1006),$AC$1006:$AS$1006,0)), HYPERLINK("#",""), HYPERLINK(CONCATENATE("#Metadata!", ADDRESS(INDEX($X$2:$X$1001,MATCH(ROWS($V$2:V379),$V$2:$V$1001,0),0), INDEX($AC$1004:$AS$1004,1,MATCH(COLUMNS($AC$1006:AN1006),$AC$1006:$AS$1006,0)))),"Fix")))</f>
        <v>0</v>
      </c>
      <c r="N379" s="5">
        <f>IF(OR(INDEX($W$2:$W$1001,MATCH(ROWS($V$2:V379),$V$2:$V$1001,0),1)&gt;=100000,INDEX($AC$1005:$AS$1005,1,MATCH(COLUMNS($AC$1006:AO1006),$AC$1006:$AS$1006,0))&gt;=100000), " ",IF(INDEX($AC$2:$AS$1001,MATCH(ROWS($V$2:V379),$V$2:$V$1001,0),MATCH(COLUMNS($AC$1006:AO1006),$AC$1006:$AS$1006,0)), HYPERLINK("#",""), HYPERLINK(CONCATENATE("#Metadata!", ADDRESS(INDEX($X$2:$X$1001,MATCH(ROWS($V$2:V379),$V$2:$V$1001,0),0), INDEX($AC$1004:$AS$1004,1,MATCH(COLUMNS($AC$1006:AO1006),$AC$1006:$AS$1006,0)))),"Fix")))</f>
        <v>0</v>
      </c>
      <c r="O379" s="5">
        <f>IF(OR(INDEX($W$2:$W$1001,MATCH(ROWS($V$2:V379),$V$2:$V$1001,0),1)&gt;=100000,INDEX($AC$1005:$AS$1005,1,MATCH(COLUMNS($AC$1006:AP1006),$AC$1006:$AS$1006,0))&gt;=100000), " ",IF(INDEX($AC$2:$AS$1001,MATCH(ROWS($V$2:V379),$V$2:$V$1001,0),MATCH(COLUMNS($AC$1006:AP1006),$AC$1006:$AS$1006,0)), HYPERLINK("#",""), HYPERLINK(CONCATENATE("#Metadata!", ADDRESS(INDEX($X$2:$X$1001,MATCH(ROWS($V$2:V379),$V$2:$V$1001,0),0), INDEX($AC$1004:$AS$1004,1,MATCH(COLUMNS($AC$1006:AP1006),$AC$1006:$AS$1006,0)))),"Fix")))</f>
        <v>0</v>
      </c>
      <c r="P379" s="5">
        <f>IF(OR(INDEX($W$2:$W$1001,MATCH(ROWS($V$2:V379),$V$2:$V$1001,0),1)&gt;=100000,INDEX($AC$1005:$AS$1005,1,MATCH(COLUMNS($AC$1006:AQ1006),$AC$1006:$AS$1006,0))&gt;=100000), " ",IF(INDEX($AC$2:$AS$1001,MATCH(ROWS($V$2:V379),$V$2:$V$1001,0),MATCH(COLUMNS($AC$1006:AQ1006),$AC$1006:$AS$1006,0)), HYPERLINK("#",""), HYPERLINK(CONCATENATE("#Metadata!", ADDRESS(INDEX($X$2:$X$1001,MATCH(ROWS($V$2:V379),$V$2:$V$1001,0),0), INDEX($AC$1004:$AS$1004,1,MATCH(COLUMNS($AC$1006:AQ1006),$AC$1006:$AS$1006,0)))),"Fix")))</f>
        <v>0</v>
      </c>
      <c r="Q379" s="5">
        <f>IF(OR(INDEX($W$2:$W$1001,MATCH(ROWS($V$2:V379),$V$2:$V$1001,0),1)&gt;=100000,INDEX($AC$1005:$AS$1005,1,MATCH(COLUMNS($AC$1006:AR1006),$AC$1006:$AS$1006,0))&gt;=100000), " ",IF(INDEX($AC$2:$AS$1001,MATCH(ROWS($V$2:V379),$V$2:$V$1001,0),MATCH(COLUMNS($AC$1006:AR1006),$AC$1006:$AS$1006,0)), HYPERLINK("#",""), HYPERLINK(CONCATENATE("#Metadata!", ADDRESS(INDEX($X$2:$X$1001,MATCH(ROWS($V$2:V379),$V$2:$V$1001,0),0), INDEX($AC$1004:$AS$1004,1,MATCH(COLUMNS($AC$1006:AR1006),$AC$1006:$AS$1006,0)))),"Fix")))</f>
        <v>0</v>
      </c>
      <c r="R379" s="5">
        <f>IF(OR(INDEX($W$2:$W$1001,MATCH(ROWS($V$2:V379),$V$2:$V$1001,0),1)&gt;=100000,INDEX($AC$1005:$AS$1005,1,MATCH(COLUMNS($AC$1006:AS1006),$AC$1006:$AS$1006,0))&gt;=100000), " ",IF(INDEX($AC$2:$AS$1001,MATCH(ROWS($V$2:V379),$V$2:$V$1001,0),MATCH(COLUMNS($AC$1006:AS1006),$AC$1006:$AS$1006,0)), HYPERLINK("#",""), HYPERLINK(CONCATENATE("#Metadata!", ADDRESS(INDEX($X$2:$X$1001,MATCH(ROWS($V$2:V379),$V$2:$V$1001,0),0), INDEX($AC$1004:$AS$1004,1,MATCH(COLUMNS($AC$1006:AS1006),$AC$1006:$AS$1006,0)))),"Fix")))</f>
        <v>0</v>
      </c>
      <c r="V379">
        <v>0</v>
      </c>
      <c r="W379">
        <v>0</v>
      </c>
      <c r="X379">
        <v>0</v>
      </c>
      <c r="Y379">
        <f>IF(Z379,TRUE,AND(AC379:AS379))</f>
        <v>0</v>
      </c>
      <c r="Z379">
        <f>COUNTBLANK(Metadata!B379:R379)=COLUMNS(Metadata!B379:R379)</f>
        <v>0</v>
      </c>
      <c r="AA379">
        <v>0</v>
      </c>
      <c r="AC379">
        <f>AND(IF(Metadata!B379="",FALSE,TRUE),COUNTIF(Metadata!B:B, Metadata!B379) = 1,NOT(ISERROR(SUMPRODUCT(SEARCH(MID(Metadata!B379,ROW(INDIRECT("1:"&amp;LEN(Metadata!B379))), 1),"0123456789abcdefghijklmnopqrstuvwxyzABCDEFGHIJKLMNOPQRSTUVWXYZ.")))))</f>
        <v>0</v>
      </c>
      <c r="AD379">
        <f>AND(IF(Metadata!C379="",FALSE,TRUE),exact(Metadata!C379,"Host-associated"))</f>
        <v>0</v>
      </c>
      <c r="AE379">
        <f>AND(IF(Metadata!D379="",FALSE,TRUE),OR(exact(Metadata!D379,"Animal"),exact(Metadata!D379,"Fungus"),exact(Metadata!D379,"Plant")))</f>
        <v>0</v>
      </c>
      <c r="AF379">
        <f>AND(IF(Metadata!E379="",FALSE,TRUE),OR(exact(Metadata!E379,"Plant secretion"),exact(Metadata!E379,"Plant rhizosphere"),exact(Metadata!E379,"Plant surface"),exact(Metadata!E379,"Plant corpus"),exact(Metadata!E379,"Fungus surface"),exact(Metadata!E379,"Fungus corpus"),exact(Metadata!E379,"Animal surface"),exact(Metadata!E379,"Animal proximal gut"),exact(Metadata!E379,"Animal corpus"),exact(Metadata!E379,"Animal distal gut"),exact(Metadata!E379,"Animal secretion")))</f>
        <v>0</v>
      </c>
      <c r="AG379">
        <f>OR(AND(IF(Metadata!F379="",FALSE,TRUE),OR(exact(Metadata!F379,"not collected"),exact(Metadata!F379,"not provided"),exact(Metadata!F379,"restricted access"))),AND(IF(Metadata!F379="",FALSE,TRUE),OR(exact(Metadata!F379,"organism-associated habitat"),exact(Metadata!F379,"plant-associated habitat"),exact(Metadata!F379,"animal-associated habitat"),exact(Metadata!F379,"insecta-associated habitat"),exact(Metadata!F379,"mammalia-associated habitat"),exact(Metadata!F379,"human-associated habitat"),exact(Metadata!F379,"livestock-associated habitat"))))</f>
        <v>0</v>
      </c>
      <c r="AH379">
        <f>AND(IF(Metadata!G379="",FALSE,TRUE),exact(Metadata!G379,"host-associated"))</f>
        <v>0</v>
      </c>
      <c r="AI379">
        <f>OR(AND(IF(Metadata!H379="",FALSE,TRUE),OR(exact(Metadata!H379,"not collected"),exact(Metadata!H379,"not provided"))),AND(IF(Metadata!H379="",FALSE,ISNUMBER(VALUE(Metadata!H379))),Metadata!H379&gt;0))</f>
        <v>0</v>
      </c>
      <c r="AJ379">
        <f>AND(IF(Metadata!I379="",FALSE,TRUE),exact(Metadata!I379,"years"))</f>
        <v>0</v>
      </c>
      <c r="AK379">
        <f>IF(Metadata!J379="",FALSE,TRUE)</f>
        <v>0</v>
      </c>
      <c r="AL379">
        <f>OR(AND(IF(Metadata!K379="",FALSE,TRUE),OR(exact(Metadata!K379,"not collected"),exact(Metadata!K379,"not provided"))),AND(IF(Metadata!K379="",FALSE,ISNUMBER(VALUE(Metadata!K379))),Metadata!K379&gt;0))</f>
        <v>0</v>
      </c>
      <c r="AM379">
        <f>AND(IF(Metadata!L379="",FALSE,TRUE),exact(Metadata!L379,"cm"))</f>
        <v>0</v>
      </c>
      <c r="AN379">
        <f>IF(Metadata!M379="",FALSE,TRUE)</f>
        <v>0</v>
      </c>
      <c r="AO379">
        <f>OR(AND(IF(Metadata!N379="",FALSE,TRUE),OR(exact(Metadata!N379,"not applicable"),exact(Metadata!N379,"not collected"),exact(Metadata!N379,"not provided"))),AND(IF(Metadata!N379="",FALSE,IF(ISERROR(INT(Metadata!N379)),FALSE,INT(Metadata!N379)=Metadata!N379)),Metadata!N379&gt;0))</f>
        <v>0</v>
      </c>
      <c r="AP379">
        <f>OR(AND(IF(Metadata!O379="",FALSE,TRUE),OR(exact(Metadata!O379,"not collected"),exact(Metadata!O379,"not provided"))),AND(IF(Metadata!O379="",FALSE,ISNUMBER(VALUE(Metadata!O379))),Metadata!O379&gt;0))</f>
        <v>0</v>
      </c>
      <c r="AQ379">
        <f>AND(IF(Metadata!P379="",FALSE,TRUE),exact(Metadata!P379,"kg"))</f>
        <v>0</v>
      </c>
      <c r="AR379">
        <f>OR(AND(IF(Metadata!Q379="",FALSE,TRUE),OR(exact(Metadata!Q379,"not applicable"),exact(Metadata!Q379,"not collected"),exact(Metadata!Q379,"not provided"),exact(Metadata!Q379,"restricted access"))),IF(Metadata!Q379="",FALSE,IF(ISERROR(INT(Metadata!Q379)),FALSE,INT(Metadata!Q379)=Metadata!Q379)))</f>
        <v>0</v>
      </c>
      <c r="AS379">
        <f>AND(IF(Metadata!R379="",FALSE,TRUE),exact(Metadata!R379,"Not applicable"))</f>
        <v>0</v>
      </c>
    </row>
    <row r="380" spans="1:45">
      <c r="A380" s="4">
        <f>IF(B380=" "," ",HYPERLINK(CONCATENATE("#metadata!",ADDRESS(INDEX($X$2:$X$1001,MATCH(ROWS($V$2:V380),$V$2:$V$1001,0),0),2)),INDEX($AA$2:$AA$1001,MATCH(ROWS($V$2:V380),$V$2:$V$1001,0),0)))</f>
        <v>0</v>
      </c>
      <c r="B380" s="5">
        <f>IF(OR(INDEX($W$2:$W$1001,MATCH(ROWS($V$2:V380),$V$2:$V$1001,0),1)&gt;=100000,INDEX($AC$1005:$AS$1005,1,MATCH(COLUMNS($AC$1006:AC1006),$AC$1006:$AS$1006,0))&gt;=100000), " ",IF(INDEX($AC$2:$AS$1001,MATCH(ROWS($V$2:V380),$V$2:$V$1001,0),MATCH(COLUMNS($AC$1006:AC1006),$AC$1006:$AS$1006,0)), HYPERLINK("#",""), HYPERLINK(CONCATENATE("#Metadata!", ADDRESS(INDEX($X$2:$X$1001,MATCH(ROWS($V$2:V380),$V$2:$V$1001,0),0), INDEX($AC$1004:$AS$1004,1,MATCH(COLUMNS($AC$1006:AC1006),$AC$1006:$AS$1006,0)))),"Fix")))</f>
        <v>0</v>
      </c>
      <c r="C380" s="5">
        <f>IF(OR(INDEX($W$2:$W$1001,MATCH(ROWS($V$2:V380),$V$2:$V$1001,0),1)&gt;=100000,INDEX($AC$1005:$AS$1005,1,MATCH(COLUMNS($AC$1006:AD1006),$AC$1006:$AS$1006,0))&gt;=100000), " ",IF(INDEX($AC$2:$AS$1001,MATCH(ROWS($V$2:V380),$V$2:$V$1001,0),MATCH(COLUMNS($AC$1006:AD1006),$AC$1006:$AS$1006,0)), HYPERLINK("#",""), HYPERLINK(CONCATENATE("#Metadata!", ADDRESS(INDEX($X$2:$X$1001,MATCH(ROWS($V$2:V380),$V$2:$V$1001,0),0), INDEX($AC$1004:$AS$1004,1,MATCH(COLUMNS($AC$1006:AD1006),$AC$1006:$AS$1006,0)))),"Fix")))</f>
        <v>0</v>
      </c>
      <c r="D380" s="5">
        <f>IF(OR(INDEX($W$2:$W$1001,MATCH(ROWS($V$2:V380),$V$2:$V$1001,0),1)&gt;=100000,INDEX($AC$1005:$AS$1005,1,MATCH(COLUMNS($AC$1006:AE1006),$AC$1006:$AS$1006,0))&gt;=100000), " ",IF(INDEX($AC$2:$AS$1001,MATCH(ROWS($V$2:V380),$V$2:$V$1001,0),MATCH(COLUMNS($AC$1006:AE1006),$AC$1006:$AS$1006,0)), HYPERLINK("#",""), HYPERLINK(CONCATENATE("#Metadata!", ADDRESS(INDEX($X$2:$X$1001,MATCH(ROWS($V$2:V380),$V$2:$V$1001,0),0), INDEX($AC$1004:$AS$1004,1,MATCH(COLUMNS($AC$1006:AE1006),$AC$1006:$AS$1006,0)))),"Fix")))</f>
        <v>0</v>
      </c>
      <c r="E380" s="5">
        <f>IF(OR(INDEX($W$2:$W$1001,MATCH(ROWS($V$2:V380),$V$2:$V$1001,0),1)&gt;=100000,INDEX($AC$1005:$AS$1005,1,MATCH(COLUMNS($AC$1006:AF1006),$AC$1006:$AS$1006,0))&gt;=100000), " ",IF(INDEX($AC$2:$AS$1001,MATCH(ROWS($V$2:V380),$V$2:$V$1001,0),MATCH(COLUMNS($AC$1006:AF1006),$AC$1006:$AS$1006,0)), HYPERLINK("#",""), HYPERLINK(CONCATENATE("#Metadata!", ADDRESS(INDEX($X$2:$X$1001,MATCH(ROWS($V$2:V380),$V$2:$V$1001,0),0), INDEX($AC$1004:$AS$1004,1,MATCH(COLUMNS($AC$1006:AF1006),$AC$1006:$AS$1006,0)))),"Fix")))</f>
        <v>0</v>
      </c>
      <c r="F380" s="5">
        <f>IF(OR(INDEX($W$2:$W$1001,MATCH(ROWS($V$2:V380),$V$2:$V$1001,0),1)&gt;=100000,INDEX($AC$1005:$AS$1005,1,MATCH(COLUMNS($AC$1006:AG1006),$AC$1006:$AS$1006,0))&gt;=100000), " ",IF(INDEX($AC$2:$AS$1001,MATCH(ROWS($V$2:V380),$V$2:$V$1001,0),MATCH(COLUMNS($AC$1006:AG1006),$AC$1006:$AS$1006,0)), HYPERLINK("#",""), HYPERLINK(CONCATENATE("#Metadata!", ADDRESS(INDEX($X$2:$X$1001,MATCH(ROWS($V$2:V380),$V$2:$V$1001,0),0), INDEX($AC$1004:$AS$1004,1,MATCH(COLUMNS($AC$1006:AG1006),$AC$1006:$AS$1006,0)))),"Fix")))</f>
        <v>0</v>
      </c>
      <c r="G380" s="5">
        <f>IF(OR(INDEX($W$2:$W$1001,MATCH(ROWS($V$2:V380),$V$2:$V$1001,0),1)&gt;=100000,INDEX($AC$1005:$AS$1005,1,MATCH(COLUMNS($AC$1006:AH1006),$AC$1006:$AS$1006,0))&gt;=100000), " ",IF(INDEX($AC$2:$AS$1001,MATCH(ROWS($V$2:V380),$V$2:$V$1001,0),MATCH(COLUMNS($AC$1006:AH1006),$AC$1006:$AS$1006,0)), HYPERLINK("#",""), HYPERLINK(CONCATENATE("#Metadata!", ADDRESS(INDEX($X$2:$X$1001,MATCH(ROWS($V$2:V380),$V$2:$V$1001,0),0), INDEX($AC$1004:$AS$1004,1,MATCH(COLUMNS($AC$1006:AH1006),$AC$1006:$AS$1006,0)))),"Fix")))</f>
        <v>0</v>
      </c>
      <c r="H380" s="5">
        <f>IF(OR(INDEX($W$2:$W$1001,MATCH(ROWS($V$2:V380),$V$2:$V$1001,0),1)&gt;=100000,INDEX($AC$1005:$AS$1005,1,MATCH(COLUMNS($AC$1006:AI1006),$AC$1006:$AS$1006,0))&gt;=100000), " ",IF(INDEX($AC$2:$AS$1001,MATCH(ROWS($V$2:V380),$V$2:$V$1001,0),MATCH(COLUMNS($AC$1006:AI1006),$AC$1006:$AS$1006,0)), HYPERLINK("#",""), HYPERLINK(CONCATENATE("#Metadata!", ADDRESS(INDEX($X$2:$X$1001,MATCH(ROWS($V$2:V380),$V$2:$V$1001,0),0), INDEX($AC$1004:$AS$1004,1,MATCH(COLUMNS($AC$1006:AI1006),$AC$1006:$AS$1006,0)))),"Fix")))</f>
        <v>0</v>
      </c>
      <c r="I380" s="5">
        <f>IF(OR(INDEX($W$2:$W$1001,MATCH(ROWS($V$2:V380),$V$2:$V$1001,0),1)&gt;=100000,INDEX($AC$1005:$AS$1005,1,MATCH(COLUMNS($AC$1006:AJ1006),$AC$1006:$AS$1006,0))&gt;=100000), " ",IF(INDEX($AC$2:$AS$1001,MATCH(ROWS($V$2:V380),$V$2:$V$1001,0),MATCH(COLUMNS($AC$1006:AJ1006),$AC$1006:$AS$1006,0)), HYPERLINK("#",""), HYPERLINK(CONCATENATE("#Metadata!", ADDRESS(INDEX($X$2:$X$1001,MATCH(ROWS($V$2:V380),$V$2:$V$1001,0),0), INDEX($AC$1004:$AS$1004,1,MATCH(COLUMNS($AC$1006:AJ1006),$AC$1006:$AS$1006,0)))),"Fix")))</f>
        <v>0</v>
      </c>
      <c r="J380" s="5">
        <f>IF(OR(INDEX($W$2:$W$1001,MATCH(ROWS($V$2:V380),$V$2:$V$1001,0),1)&gt;=100000,INDEX($AC$1005:$AS$1005,1,MATCH(COLUMNS($AC$1006:AK1006),$AC$1006:$AS$1006,0))&gt;=100000), " ",IF(INDEX($AC$2:$AS$1001,MATCH(ROWS($V$2:V380),$V$2:$V$1001,0),MATCH(COLUMNS($AC$1006:AK1006),$AC$1006:$AS$1006,0)), HYPERLINK("#",""), HYPERLINK(CONCATENATE("#Metadata!", ADDRESS(INDEX($X$2:$X$1001,MATCH(ROWS($V$2:V380),$V$2:$V$1001,0),0), INDEX($AC$1004:$AS$1004,1,MATCH(COLUMNS($AC$1006:AK1006),$AC$1006:$AS$1006,0)))),"Fix")))</f>
        <v>0</v>
      </c>
      <c r="K380" s="5">
        <f>IF(OR(INDEX($W$2:$W$1001,MATCH(ROWS($V$2:V380),$V$2:$V$1001,0),1)&gt;=100000,INDEX($AC$1005:$AS$1005,1,MATCH(COLUMNS($AC$1006:AL1006),$AC$1006:$AS$1006,0))&gt;=100000), " ",IF(INDEX($AC$2:$AS$1001,MATCH(ROWS($V$2:V380),$V$2:$V$1001,0),MATCH(COLUMNS($AC$1006:AL1006),$AC$1006:$AS$1006,0)), HYPERLINK("#",""), HYPERLINK(CONCATENATE("#Metadata!", ADDRESS(INDEX($X$2:$X$1001,MATCH(ROWS($V$2:V380),$V$2:$V$1001,0),0), INDEX($AC$1004:$AS$1004,1,MATCH(COLUMNS($AC$1006:AL1006),$AC$1006:$AS$1006,0)))),"Fix")))</f>
        <v>0</v>
      </c>
      <c r="L380" s="5">
        <f>IF(OR(INDEX($W$2:$W$1001,MATCH(ROWS($V$2:V380),$V$2:$V$1001,0),1)&gt;=100000,INDEX($AC$1005:$AS$1005,1,MATCH(COLUMNS($AC$1006:AM1006),$AC$1006:$AS$1006,0))&gt;=100000), " ",IF(INDEX($AC$2:$AS$1001,MATCH(ROWS($V$2:V380),$V$2:$V$1001,0),MATCH(COLUMNS($AC$1006:AM1006),$AC$1006:$AS$1006,0)), HYPERLINK("#",""), HYPERLINK(CONCATENATE("#Metadata!", ADDRESS(INDEX($X$2:$X$1001,MATCH(ROWS($V$2:V380),$V$2:$V$1001,0),0), INDEX($AC$1004:$AS$1004,1,MATCH(COLUMNS($AC$1006:AM1006),$AC$1006:$AS$1006,0)))),"Fix")))</f>
        <v>0</v>
      </c>
      <c r="M380" s="5">
        <f>IF(OR(INDEX($W$2:$W$1001,MATCH(ROWS($V$2:V380),$V$2:$V$1001,0),1)&gt;=100000,INDEX($AC$1005:$AS$1005,1,MATCH(COLUMNS($AC$1006:AN1006),$AC$1006:$AS$1006,0))&gt;=100000), " ",IF(INDEX($AC$2:$AS$1001,MATCH(ROWS($V$2:V380),$V$2:$V$1001,0),MATCH(COLUMNS($AC$1006:AN1006),$AC$1006:$AS$1006,0)), HYPERLINK("#",""), HYPERLINK(CONCATENATE("#Metadata!", ADDRESS(INDEX($X$2:$X$1001,MATCH(ROWS($V$2:V380),$V$2:$V$1001,0),0), INDEX($AC$1004:$AS$1004,1,MATCH(COLUMNS($AC$1006:AN1006),$AC$1006:$AS$1006,0)))),"Fix")))</f>
        <v>0</v>
      </c>
      <c r="N380" s="5">
        <f>IF(OR(INDEX($W$2:$W$1001,MATCH(ROWS($V$2:V380),$V$2:$V$1001,0),1)&gt;=100000,INDEX($AC$1005:$AS$1005,1,MATCH(COLUMNS($AC$1006:AO1006),$AC$1006:$AS$1006,0))&gt;=100000), " ",IF(INDEX($AC$2:$AS$1001,MATCH(ROWS($V$2:V380),$V$2:$V$1001,0),MATCH(COLUMNS($AC$1006:AO1006),$AC$1006:$AS$1006,0)), HYPERLINK("#",""), HYPERLINK(CONCATENATE("#Metadata!", ADDRESS(INDEX($X$2:$X$1001,MATCH(ROWS($V$2:V380),$V$2:$V$1001,0),0), INDEX($AC$1004:$AS$1004,1,MATCH(COLUMNS($AC$1006:AO1006),$AC$1006:$AS$1006,0)))),"Fix")))</f>
        <v>0</v>
      </c>
      <c r="O380" s="5">
        <f>IF(OR(INDEX($W$2:$W$1001,MATCH(ROWS($V$2:V380),$V$2:$V$1001,0),1)&gt;=100000,INDEX($AC$1005:$AS$1005,1,MATCH(COLUMNS($AC$1006:AP1006),$AC$1006:$AS$1006,0))&gt;=100000), " ",IF(INDEX($AC$2:$AS$1001,MATCH(ROWS($V$2:V380),$V$2:$V$1001,0),MATCH(COLUMNS($AC$1006:AP1006),$AC$1006:$AS$1006,0)), HYPERLINK("#",""), HYPERLINK(CONCATENATE("#Metadata!", ADDRESS(INDEX($X$2:$X$1001,MATCH(ROWS($V$2:V380),$V$2:$V$1001,0),0), INDEX($AC$1004:$AS$1004,1,MATCH(COLUMNS($AC$1006:AP1006),$AC$1006:$AS$1006,0)))),"Fix")))</f>
        <v>0</v>
      </c>
      <c r="P380" s="5">
        <f>IF(OR(INDEX($W$2:$W$1001,MATCH(ROWS($V$2:V380),$V$2:$V$1001,0),1)&gt;=100000,INDEX($AC$1005:$AS$1005,1,MATCH(COLUMNS($AC$1006:AQ1006),$AC$1006:$AS$1006,0))&gt;=100000), " ",IF(INDEX($AC$2:$AS$1001,MATCH(ROWS($V$2:V380),$V$2:$V$1001,0),MATCH(COLUMNS($AC$1006:AQ1006),$AC$1006:$AS$1006,0)), HYPERLINK("#",""), HYPERLINK(CONCATENATE("#Metadata!", ADDRESS(INDEX($X$2:$X$1001,MATCH(ROWS($V$2:V380),$V$2:$V$1001,0),0), INDEX($AC$1004:$AS$1004,1,MATCH(COLUMNS($AC$1006:AQ1006),$AC$1006:$AS$1006,0)))),"Fix")))</f>
        <v>0</v>
      </c>
      <c r="Q380" s="5">
        <f>IF(OR(INDEX($W$2:$W$1001,MATCH(ROWS($V$2:V380),$V$2:$V$1001,0),1)&gt;=100000,INDEX($AC$1005:$AS$1005,1,MATCH(COLUMNS($AC$1006:AR1006),$AC$1006:$AS$1006,0))&gt;=100000), " ",IF(INDEX($AC$2:$AS$1001,MATCH(ROWS($V$2:V380),$V$2:$V$1001,0),MATCH(COLUMNS($AC$1006:AR1006),$AC$1006:$AS$1006,0)), HYPERLINK("#",""), HYPERLINK(CONCATENATE("#Metadata!", ADDRESS(INDEX($X$2:$X$1001,MATCH(ROWS($V$2:V380),$V$2:$V$1001,0),0), INDEX($AC$1004:$AS$1004,1,MATCH(COLUMNS($AC$1006:AR1006),$AC$1006:$AS$1006,0)))),"Fix")))</f>
        <v>0</v>
      </c>
      <c r="R380" s="5">
        <f>IF(OR(INDEX($W$2:$W$1001,MATCH(ROWS($V$2:V380),$V$2:$V$1001,0),1)&gt;=100000,INDEX($AC$1005:$AS$1005,1,MATCH(COLUMNS($AC$1006:AS1006),$AC$1006:$AS$1006,0))&gt;=100000), " ",IF(INDEX($AC$2:$AS$1001,MATCH(ROWS($V$2:V380),$V$2:$V$1001,0),MATCH(COLUMNS($AC$1006:AS1006),$AC$1006:$AS$1006,0)), HYPERLINK("#",""), HYPERLINK(CONCATENATE("#Metadata!", ADDRESS(INDEX($X$2:$X$1001,MATCH(ROWS($V$2:V380),$V$2:$V$1001,0),0), INDEX($AC$1004:$AS$1004,1,MATCH(COLUMNS($AC$1006:AS1006),$AC$1006:$AS$1006,0)))),"Fix")))</f>
        <v>0</v>
      </c>
      <c r="V380">
        <v>0</v>
      </c>
      <c r="W380">
        <v>0</v>
      </c>
      <c r="X380">
        <v>0</v>
      </c>
      <c r="Y380">
        <f>IF(Z380,TRUE,AND(AC380:AS380))</f>
        <v>0</v>
      </c>
      <c r="Z380">
        <f>COUNTBLANK(Metadata!B380:R380)=COLUMNS(Metadata!B380:R380)</f>
        <v>0</v>
      </c>
      <c r="AA380">
        <v>0</v>
      </c>
      <c r="AC380">
        <f>AND(IF(Metadata!B380="",FALSE,TRUE),COUNTIF(Metadata!B:B, Metadata!B380) = 1,NOT(ISERROR(SUMPRODUCT(SEARCH(MID(Metadata!B380,ROW(INDIRECT("1:"&amp;LEN(Metadata!B380))), 1),"0123456789abcdefghijklmnopqrstuvwxyzABCDEFGHIJKLMNOPQRSTUVWXYZ.")))))</f>
        <v>0</v>
      </c>
      <c r="AD380">
        <f>AND(IF(Metadata!C380="",FALSE,TRUE),exact(Metadata!C380,"Host-associated"))</f>
        <v>0</v>
      </c>
      <c r="AE380">
        <f>AND(IF(Metadata!D380="",FALSE,TRUE),OR(exact(Metadata!D380,"Animal"),exact(Metadata!D380,"Fungus"),exact(Metadata!D380,"Plant")))</f>
        <v>0</v>
      </c>
      <c r="AF380">
        <f>AND(IF(Metadata!E380="",FALSE,TRUE),OR(exact(Metadata!E380,"Plant secretion"),exact(Metadata!E380,"Plant rhizosphere"),exact(Metadata!E380,"Plant surface"),exact(Metadata!E380,"Plant corpus"),exact(Metadata!E380,"Fungus surface"),exact(Metadata!E380,"Fungus corpus"),exact(Metadata!E380,"Animal surface"),exact(Metadata!E380,"Animal proximal gut"),exact(Metadata!E380,"Animal corpus"),exact(Metadata!E380,"Animal distal gut"),exact(Metadata!E380,"Animal secretion")))</f>
        <v>0</v>
      </c>
      <c r="AG380">
        <f>OR(AND(IF(Metadata!F380="",FALSE,TRUE),OR(exact(Metadata!F380,"not collected"),exact(Metadata!F380,"not provided"),exact(Metadata!F380,"restricted access"))),AND(IF(Metadata!F380="",FALSE,TRUE),OR(exact(Metadata!F380,"organism-associated habitat"),exact(Metadata!F380,"plant-associated habitat"),exact(Metadata!F380,"animal-associated habitat"),exact(Metadata!F380,"insecta-associated habitat"),exact(Metadata!F380,"mammalia-associated habitat"),exact(Metadata!F380,"human-associated habitat"),exact(Metadata!F380,"livestock-associated habitat"))))</f>
        <v>0</v>
      </c>
      <c r="AH380">
        <f>AND(IF(Metadata!G380="",FALSE,TRUE),exact(Metadata!G380,"host-associated"))</f>
        <v>0</v>
      </c>
      <c r="AI380">
        <f>OR(AND(IF(Metadata!H380="",FALSE,TRUE),OR(exact(Metadata!H380,"not collected"),exact(Metadata!H380,"not provided"))),AND(IF(Metadata!H380="",FALSE,ISNUMBER(VALUE(Metadata!H380))),Metadata!H380&gt;0))</f>
        <v>0</v>
      </c>
      <c r="AJ380">
        <f>AND(IF(Metadata!I380="",FALSE,TRUE),exact(Metadata!I380,"years"))</f>
        <v>0</v>
      </c>
      <c r="AK380">
        <f>IF(Metadata!J380="",FALSE,TRUE)</f>
        <v>0</v>
      </c>
      <c r="AL380">
        <f>OR(AND(IF(Metadata!K380="",FALSE,TRUE),OR(exact(Metadata!K380,"not collected"),exact(Metadata!K380,"not provided"))),AND(IF(Metadata!K380="",FALSE,ISNUMBER(VALUE(Metadata!K380))),Metadata!K380&gt;0))</f>
        <v>0</v>
      </c>
      <c r="AM380">
        <f>AND(IF(Metadata!L380="",FALSE,TRUE),exact(Metadata!L380,"cm"))</f>
        <v>0</v>
      </c>
      <c r="AN380">
        <f>IF(Metadata!M380="",FALSE,TRUE)</f>
        <v>0</v>
      </c>
      <c r="AO380">
        <f>OR(AND(IF(Metadata!N380="",FALSE,TRUE),OR(exact(Metadata!N380,"not applicable"),exact(Metadata!N380,"not collected"),exact(Metadata!N380,"not provided"))),AND(IF(Metadata!N380="",FALSE,IF(ISERROR(INT(Metadata!N380)),FALSE,INT(Metadata!N380)=Metadata!N380)),Metadata!N380&gt;0))</f>
        <v>0</v>
      </c>
      <c r="AP380">
        <f>OR(AND(IF(Metadata!O380="",FALSE,TRUE),OR(exact(Metadata!O380,"not collected"),exact(Metadata!O380,"not provided"))),AND(IF(Metadata!O380="",FALSE,ISNUMBER(VALUE(Metadata!O380))),Metadata!O380&gt;0))</f>
        <v>0</v>
      </c>
      <c r="AQ380">
        <f>AND(IF(Metadata!P380="",FALSE,TRUE),exact(Metadata!P380,"kg"))</f>
        <v>0</v>
      </c>
      <c r="AR380">
        <f>OR(AND(IF(Metadata!Q380="",FALSE,TRUE),OR(exact(Metadata!Q380,"not applicable"),exact(Metadata!Q380,"not collected"),exact(Metadata!Q380,"not provided"),exact(Metadata!Q380,"restricted access"))),IF(Metadata!Q380="",FALSE,IF(ISERROR(INT(Metadata!Q380)),FALSE,INT(Metadata!Q380)=Metadata!Q380)))</f>
        <v>0</v>
      </c>
      <c r="AS380">
        <f>AND(IF(Metadata!R380="",FALSE,TRUE),exact(Metadata!R380,"Not applicable"))</f>
        <v>0</v>
      </c>
    </row>
    <row r="381" spans="1:45">
      <c r="A381" s="4">
        <f>IF(B381=" "," ",HYPERLINK(CONCATENATE("#metadata!",ADDRESS(INDEX($X$2:$X$1001,MATCH(ROWS($V$2:V381),$V$2:$V$1001,0),0),2)),INDEX($AA$2:$AA$1001,MATCH(ROWS($V$2:V381),$V$2:$V$1001,0),0)))</f>
        <v>0</v>
      </c>
      <c r="B381" s="5">
        <f>IF(OR(INDEX($W$2:$W$1001,MATCH(ROWS($V$2:V381),$V$2:$V$1001,0),1)&gt;=100000,INDEX($AC$1005:$AS$1005,1,MATCH(COLUMNS($AC$1006:AC1006),$AC$1006:$AS$1006,0))&gt;=100000), " ",IF(INDEX($AC$2:$AS$1001,MATCH(ROWS($V$2:V381),$V$2:$V$1001,0),MATCH(COLUMNS($AC$1006:AC1006),$AC$1006:$AS$1006,0)), HYPERLINK("#",""), HYPERLINK(CONCATENATE("#Metadata!", ADDRESS(INDEX($X$2:$X$1001,MATCH(ROWS($V$2:V381),$V$2:$V$1001,0),0), INDEX($AC$1004:$AS$1004,1,MATCH(COLUMNS($AC$1006:AC1006),$AC$1006:$AS$1006,0)))),"Fix")))</f>
        <v>0</v>
      </c>
      <c r="C381" s="5">
        <f>IF(OR(INDEX($W$2:$W$1001,MATCH(ROWS($V$2:V381),$V$2:$V$1001,0),1)&gt;=100000,INDEX($AC$1005:$AS$1005,1,MATCH(COLUMNS($AC$1006:AD1006),$AC$1006:$AS$1006,0))&gt;=100000), " ",IF(INDEX($AC$2:$AS$1001,MATCH(ROWS($V$2:V381),$V$2:$V$1001,0),MATCH(COLUMNS($AC$1006:AD1006),$AC$1006:$AS$1006,0)), HYPERLINK("#",""), HYPERLINK(CONCATENATE("#Metadata!", ADDRESS(INDEX($X$2:$X$1001,MATCH(ROWS($V$2:V381),$V$2:$V$1001,0),0), INDEX($AC$1004:$AS$1004,1,MATCH(COLUMNS($AC$1006:AD1006),$AC$1006:$AS$1006,0)))),"Fix")))</f>
        <v>0</v>
      </c>
      <c r="D381" s="5">
        <f>IF(OR(INDEX($W$2:$W$1001,MATCH(ROWS($V$2:V381),$V$2:$V$1001,0),1)&gt;=100000,INDEX($AC$1005:$AS$1005,1,MATCH(COLUMNS($AC$1006:AE1006),$AC$1006:$AS$1006,0))&gt;=100000), " ",IF(INDEX($AC$2:$AS$1001,MATCH(ROWS($V$2:V381),$V$2:$V$1001,0),MATCH(COLUMNS($AC$1006:AE1006),$AC$1006:$AS$1006,0)), HYPERLINK("#",""), HYPERLINK(CONCATENATE("#Metadata!", ADDRESS(INDEX($X$2:$X$1001,MATCH(ROWS($V$2:V381),$V$2:$V$1001,0),0), INDEX($AC$1004:$AS$1004,1,MATCH(COLUMNS($AC$1006:AE1006),$AC$1006:$AS$1006,0)))),"Fix")))</f>
        <v>0</v>
      </c>
      <c r="E381" s="5">
        <f>IF(OR(INDEX($W$2:$W$1001,MATCH(ROWS($V$2:V381),$V$2:$V$1001,0),1)&gt;=100000,INDEX($AC$1005:$AS$1005,1,MATCH(COLUMNS($AC$1006:AF1006),$AC$1006:$AS$1006,0))&gt;=100000), " ",IF(INDEX($AC$2:$AS$1001,MATCH(ROWS($V$2:V381),$V$2:$V$1001,0),MATCH(COLUMNS($AC$1006:AF1006),$AC$1006:$AS$1006,0)), HYPERLINK("#",""), HYPERLINK(CONCATENATE("#Metadata!", ADDRESS(INDEX($X$2:$X$1001,MATCH(ROWS($V$2:V381),$V$2:$V$1001,0),0), INDEX($AC$1004:$AS$1004,1,MATCH(COLUMNS($AC$1006:AF1006),$AC$1006:$AS$1006,0)))),"Fix")))</f>
        <v>0</v>
      </c>
      <c r="F381" s="5">
        <f>IF(OR(INDEX($W$2:$W$1001,MATCH(ROWS($V$2:V381),$V$2:$V$1001,0),1)&gt;=100000,INDEX($AC$1005:$AS$1005,1,MATCH(COLUMNS($AC$1006:AG1006),$AC$1006:$AS$1006,0))&gt;=100000), " ",IF(INDEX($AC$2:$AS$1001,MATCH(ROWS($V$2:V381),$V$2:$V$1001,0),MATCH(COLUMNS($AC$1006:AG1006),$AC$1006:$AS$1006,0)), HYPERLINK("#",""), HYPERLINK(CONCATENATE("#Metadata!", ADDRESS(INDEX($X$2:$X$1001,MATCH(ROWS($V$2:V381),$V$2:$V$1001,0),0), INDEX($AC$1004:$AS$1004,1,MATCH(COLUMNS($AC$1006:AG1006),$AC$1006:$AS$1006,0)))),"Fix")))</f>
        <v>0</v>
      </c>
      <c r="G381" s="5">
        <f>IF(OR(INDEX($W$2:$W$1001,MATCH(ROWS($V$2:V381),$V$2:$V$1001,0),1)&gt;=100000,INDEX($AC$1005:$AS$1005,1,MATCH(COLUMNS($AC$1006:AH1006),$AC$1006:$AS$1006,0))&gt;=100000), " ",IF(INDEX($AC$2:$AS$1001,MATCH(ROWS($V$2:V381),$V$2:$V$1001,0),MATCH(COLUMNS($AC$1006:AH1006),$AC$1006:$AS$1006,0)), HYPERLINK("#",""), HYPERLINK(CONCATENATE("#Metadata!", ADDRESS(INDEX($X$2:$X$1001,MATCH(ROWS($V$2:V381),$V$2:$V$1001,0),0), INDEX($AC$1004:$AS$1004,1,MATCH(COLUMNS($AC$1006:AH1006),$AC$1006:$AS$1006,0)))),"Fix")))</f>
        <v>0</v>
      </c>
      <c r="H381" s="5">
        <f>IF(OR(INDEX($W$2:$W$1001,MATCH(ROWS($V$2:V381),$V$2:$V$1001,0),1)&gt;=100000,INDEX($AC$1005:$AS$1005,1,MATCH(COLUMNS($AC$1006:AI1006),$AC$1006:$AS$1006,0))&gt;=100000), " ",IF(INDEX($AC$2:$AS$1001,MATCH(ROWS($V$2:V381),$V$2:$V$1001,0),MATCH(COLUMNS($AC$1006:AI1006),$AC$1006:$AS$1006,0)), HYPERLINK("#",""), HYPERLINK(CONCATENATE("#Metadata!", ADDRESS(INDEX($X$2:$X$1001,MATCH(ROWS($V$2:V381),$V$2:$V$1001,0),0), INDEX($AC$1004:$AS$1004,1,MATCH(COLUMNS($AC$1006:AI1006),$AC$1006:$AS$1006,0)))),"Fix")))</f>
        <v>0</v>
      </c>
      <c r="I381" s="5">
        <f>IF(OR(INDEX($W$2:$W$1001,MATCH(ROWS($V$2:V381),$V$2:$V$1001,0),1)&gt;=100000,INDEX($AC$1005:$AS$1005,1,MATCH(COLUMNS($AC$1006:AJ1006),$AC$1006:$AS$1006,0))&gt;=100000), " ",IF(INDEX($AC$2:$AS$1001,MATCH(ROWS($V$2:V381),$V$2:$V$1001,0),MATCH(COLUMNS($AC$1006:AJ1006),$AC$1006:$AS$1006,0)), HYPERLINK("#",""), HYPERLINK(CONCATENATE("#Metadata!", ADDRESS(INDEX($X$2:$X$1001,MATCH(ROWS($V$2:V381),$V$2:$V$1001,0),0), INDEX($AC$1004:$AS$1004,1,MATCH(COLUMNS($AC$1006:AJ1006),$AC$1006:$AS$1006,0)))),"Fix")))</f>
        <v>0</v>
      </c>
      <c r="J381" s="5">
        <f>IF(OR(INDEX($W$2:$W$1001,MATCH(ROWS($V$2:V381),$V$2:$V$1001,0),1)&gt;=100000,INDEX($AC$1005:$AS$1005,1,MATCH(COLUMNS($AC$1006:AK1006),$AC$1006:$AS$1006,0))&gt;=100000), " ",IF(INDEX($AC$2:$AS$1001,MATCH(ROWS($V$2:V381),$V$2:$V$1001,0),MATCH(COLUMNS($AC$1006:AK1006),$AC$1006:$AS$1006,0)), HYPERLINK("#",""), HYPERLINK(CONCATENATE("#Metadata!", ADDRESS(INDEX($X$2:$X$1001,MATCH(ROWS($V$2:V381),$V$2:$V$1001,0),0), INDEX($AC$1004:$AS$1004,1,MATCH(COLUMNS($AC$1006:AK1006),$AC$1006:$AS$1006,0)))),"Fix")))</f>
        <v>0</v>
      </c>
      <c r="K381" s="5">
        <f>IF(OR(INDEX($W$2:$W$1001,MATCH(ROWS($V$2:V381),$V$2:$V$1001,0),1)&gt;=100000,INDEX($AC$1005:$AS$1005,1,MATCH(COLUMNS($AC$1006:AL1006),$AC$1006:$AS$1006,0))&gt;=100000), " ",IF(INDEX($AC$2:$AS$1001,MATCH(ROWS($V$2:V381),$V$2:$V$1001,0),MATCH(COLUMNS($AC$1006:AL1006),$AC$1006:$AS$1006,0)), HYPERLINK("#",""), HYPERLINK(CONCATENATE("#Metadata!", ADDRESS(INDEX($X$2:$X$1001,MATCH(ROWS($V$2:V381),$V$2:$V$1001,0),0), INDEX($AC$1004:$AS$1004,1,MATCH(COLUMNS($AC$1006:AL1006),$AC$1006:$AS$1006,0)))),"Fix")))</f>
        <v>0</v>
      </c>
      <c r="L381" s="5">
        <f>IF(OR(INDEX($W$2:$W$1001,MATCH(ROWS($V$2:V381),$V$2:$V$1001,0),1)&gt;=100000,INDEX($AC$1005:$AS$1005,1,MATCH(COLUMNS($AC$1006:AM1006),$AC$1006:$AS$1006,0))&gt;=100000), " ",IF(INDEX($AC$2:$AS$1001,MATCH(ROWS($V$2:V381),$V$2:$V$1001,0),MATCH(COLUMNS($AC$1006:AM1006),$AC$1006:$AS$1006,0)), HYPERLINK("#",""), HYPERLINK(CONCATENATE("#Metadata!", ADDRESS(INDEX($X$2:$X$1001,MATCH(ROWS($V$2:V381),$V$2:$V$1001,0),0), INDEX($AC$1004:$AS$1004,1,MATCH(COLUMNS($AC$1006:AM1006),$AC$1006:$AS$1006,0)))),"Fix")))</f>
        <v>0</v>
      </c>
      <c r="M381" s="5">
        <f>IF(OR(INDEX($W$2:$W$1001,MATCH(ROWS($V$2:V381),$V$2:$V$1001,0),1)&gt;=100000,INDEX($AC$1005:$AS$1005,1,MATCH(COLUMNS($AC$1006:AN1006),$AC$1006:$AS$1006,0))&gt;=100000), " ",IF(INDEX($AC$2:$AS$1001,MATCH(ROWS($V$2:V381),$V$2:$V$1001,0),MATCH(COLUMNS($AC$1006:AN1006),$AC$1006:$AS$1006,0)), HYPERLINK("#",""), HYPERLINK(CONCATENATE("#Metadata!", ADDRESS(INDEX($X$2:$X$1001,MATCH(ROWS($V$2:V381),$V$2:$V$1001,0),0), INDEX($AC$1004:$AS$1004,1,MATCH(COLUMNS($AC$1006:AN1006),$AC$1006:$AS$1006,0)))),"Fix")))</f>
        <v>0</v>
      </c>
      <c r="N381" s="5">
        <f>IF(OR(INDEX($W$2:$W$1001,MATCH(ROWS($V$2:V381),$V$2:$V$1001,0),1)&gt;=100000,INDEX($AC$1005:$AS$1005,1,MATCH(COLUMNS($AC$1006:AO1006),$AC$1006:$AS$1006,0))&gt;=100000), " ",IF(INDEX($AC$2:$AS$1001,MATCH(ROWS($V$2:V381),$V$2:$V$1001,0),MATCH(COLUMNS($AC$1006:AO1006),$AC$1006:$AS$1006,0)), HYPERLINK("#",""), HYPERLINK(CONCATENATE("#Metadata!", ADDRESS(INDEX($X$2:$X$1001,MATCH(ROWS($V$2:V381),$V$2:$V$1001,0),0), INDEX($AC$1004:$AS$1004,1,MATCH(COLUMNS($AC$1006:AO1006),$AC$1006:$AS$1006,0)))),"Fix")))</f>
        <v>0</v>
      </c>
      <c r="O381" s="5">
        <f>IF(OR(INDEX($W$2:$W$1001,MATCH(ROWS($V$2:V381),$V$2:$V$1001,0),1)&gt;=100000,INDEX($AC$1005:$AS$1005,1,MATCH(COLUMNS($AC$1006:AP1006),$AC$1006:$AS$1006,0))&gt;=100000), " ",IF(INDEX($AC$2:$AS$1001,MATCH(ROWS($V$2:V381),$V$2:$V$1001,0),MATCH(COLUMNS($AC$1006:AP1006),$AC$1006:$AS$1006,0)), HYPERLINK("#",""), HYPERLINK(CONCATENATE("#Metadata!", ADDRESS(INDEX($X$2:$X$1001,MATCH(ROWS($V$2:V381),$V$2:$V$1001,0),0), INDEX($AC$1004:$AS$1004,1,MATCH(COLUMNS($AC$1006:AP1006),$AC$1006:$AS$1006,0)))),"Fix")))</f>
        <v>0</v>
      </c>
      <c r="P381" s="5">
        <f>IF(OR(INDEX($W$2:$W$1001,MATCH(ROWS($V$2:V381),$V$2:$V$1001,0),1)&gt;=100000,INDEX($AC$1005:$AS$1005,1,MATCH(COLUMNS($AC$1006:AQ1006),$AC$1006:$AS$1006,0))&gt;=100000), " ",IF(INDEX($AC$2:$AS$1001,MATCH(ROWS($V$2:V381),$V$2:$V$1001,0),MATCH(COLUMNS($AC$1006:AQ1006),$AC$1006:$AS$1006,0)), HYPERLINK("#",""), HYPERLINK(CONCATENATE("#Metadata!", ADDRESS(INDEX($X$2:$X$1001,MATCH(ROWS($V$2:V381),$V$2:$V$1001,0),0), INDEX($AC$1004:$AS$1004,1,MATCH(COLUMNS($AC$1006:AQ1006),$AC$1006:$AS$1006,0)))),"Fix")))</f>
        <v>0</v>
      </c>
      <c r="Q381" s="5">
        <f>IF(OR(INDEX($W$2:$W$1001,MATCH(ROWS($V$2:V381),$V$2:$V$1001,0),1)&gt;=100000,INDEX($AC$1005:$AS$1005,1,MATCH(COLUMNS($AC$1006:AR1006),$AC$1006:$AS$1006,0))&gt;=100000), " ",IF(INDEX($AC$2:$AS$1001,MATCH(ROWS($V$2:V381),$V$2:$V$1001,0),MATCH(COLUMNS($AC$1006:AR1006),$AC$1006:$AS$1006,0)), HYPERLINK("#",""), HYPERLINK(CONCATENATE("#Metadata!", ADDRESS(INDEX($X$2:$X$1001,MATCH(ROWS($V$2:V381),$V$2:$V$1001,0),0), INDEX($AC$1004:$AS$1004,1,MATCH(COLUMNS($AC$1006:AR1006),$AC$1006:$AS$1006,0)))),"Fix")))</f>
        <v>0</v>
      </c>
      <c r="R381" s="5">
        <f>IF(OR(INDEX($W$2:$W$1001,MATCH(ROWS($V$2:V381),$V$2:$V$1001,0),1)&gt;=100000,INDEX($AC$1005:$AS$1005,1,MATCH(COLUMNS($AC$1006:AS1006),$AC$1006:$AS$1006,0))&gt;=100000), " ",IF(INDEX($AC$2:$AS$1001,MATCH(ROWS($V$2:V381),$V$2:$V$1001,0),MATCH(COLUMNS($AC$1006:AS1006),$AC$1006:$AS$1006,0)), HYPERLINK("#",""), HYPERLINK(CONCATENATE("#Metadata!", ADDRESS(INDEX($X$2:$X$1001,MATCH(ROWS($V$2:V381),$V$2:$V$1001,0),0), INDEX($AC$1004:$AS$1004,1,MATCH(COLUMNS($AC$1006:AS1006),$AC$1006:$AS$1006,0)))),"Fix")))</f>
        <v>0</v>
      </c>
      <c r="V381">
        <v>0</v>
      </c>
      <c r="W381">
        <v>0</v>
      </c>
      <c r="X381">
        <v>0</v>
      </c>
      <c r="Y381">
        <f>IF(Z381,TRUE,AND(AC381:AS381))</f>
        <v>0</v>
      </c>
      <c r="Z381">
        <f>COUNTBLANK(Metadata!B381:R381)=COLUMNS(Metadata!B381:R381)</f>
        <v>0</v>
      </c>
      <c r="AA381">
        <v>0</v>
      </c>
      <c r="AC381">
        <f>AND(IF(Metadata!B381="",FALSE,TRUE),COUNTIF(Metadata!B:B, Metadata!B381) = 1,NOT(ISERROR(SUMPRODUCT(SEARCH(MID(Metadata!B381,ROW(INDIRECT("1:"&amp;LEN(Metadata!B381))), 1),"0123456789abcdefghijklmnopqrstuvwxyzABCDEFGHIJKLMNOPQRSTUVWXYZ.")))))</f>
        <v>0</v>
      </c>
      <c r="AD381">
        <f>AND(IF(Metadata!C381="",FALSE,TRUE),exact(Metadata!C381,"Host-associated"))</f>
        <v>0</v>
      </c>
      <c r="AE381">
        <f>AND(IF(Metadata!D381="",FALSE,TRUE),OR(exact(Metadata!D381,"Animal"),exact(Metadata!D381,"Fungus"),exact(Metadata!D381,"Plant")))</f>
        <v>0</v>
      </c>
      <c r="AF381">
        <f>AND(IF(Metadata!E381="",FALSE,TRUE),OR(exact(Metadata!E381,"Plant secretion"),exact(Metadata!E381,"Plant rhizosphere"),exact(Metadata!E381,"Plant surface"),exact(Metadata!E381,"Plant corpus"),exact(Metadata!E381,"Fungus surface"),exact(Metadata!E381,"Fungus corpus"),exact(Metadata!E381,"Animal surface"),exact(Metadata!E381,"Animal proximal gut"),exact(Metadata!E381,"Animal corpus"),exact(Metadata!E381,"Animal distal gut"),exact(Metadata!E381,"Animal secretion")))</f>
        <v>0</v>
      </c>
      <c r="AG381">
        <f>OR(AND(IF(Metadata!F381="",FALSE,TRUE),OR(exact(Metadata!F381,"not collected"),exact(Metadata!F381,"not provided"),exact(Metadata!F381,"restricted access"))),AND(IF(Metadata!F381="",FALSE,TRUE),OR(exact(Metadata!F381,"organism-associated habitat"),exact(Metadata!F381,"plant-associated habitat"),exact(Metadata!F381,"animal-associated habitat"),exact(Metadata!F381,"insecta-associated habitat"),exact(Metadata!F381,"mammalia-associated habitat"),exact(Metadata!F381,"human-associated habitat"),exact(Metadata!F381,"livestock-associated habitat"))))</f>
        <v>0</v>
      </c>
      <c r="AH381">
        <f>AND(IF(Metadata!G381="",FALSE,TRUE),exact(Metadata!G381,"host-associated"))</f>
        <v>0</v>
      </c>
      <c r="AI381">
        <f>OR(AND(IF(Metadata!H381="",FALSE,TRUE),OR(exact(Metadata!H381,"not collected"),exact(Metadata!H381,"not provided"))),AND(IF(Metadata!H381="",FALSE,ISNUMBER(VALUE(Metadata!H381))),Metadata!H381&gt;0))</f>
        <v>0</v>
      </c>
      <c r="AJ381">
        <f>AND(IF(Metadata!I381="",FALSE,TRUE),exact(Metadata!I381,"years"))</f>
        <v>0</v>
      </c>
      <c r="AK381">
        <f>IF(Metadata!J381="",FALSE,TRUE)</f>
        <v>0</v>
      </c>
      <c r="AL381">
        <f>OR(AND(IF(Metadata!K381="",FALSE,TRUE),OR(exact(Metadata!K381,"not collected"),exact(Metadata!K381,"not provided"))),AND(IF(Metadata!K381="",FALSE,ISNUMBER(VALUE(Metadata!K381))),Metadata!K381&gt;0))</f>
        <v>0</v>
      </c>
      <c r="AM381">
        <f>AND(IF(Metadata!L381="",FALSE,TRUE),exact(Metadata!L381,"cm"))</f>
        <v>0</v>
      </c>
      <c r="AN381">
        <f>IF(Metadata!M381="",FALSE,TRUE)</f>
        <v>0</v>
      </c>
      <c r="AO381">
        <f>OR(AND(IF(Metadata!N381="",FALSE,TRUE),OR(exact(Metadata!N381,"not applicable"),exact(Metadata!N381,"not collected"),exact(Metadata!N381,"not provided"))),AND(IF(Metadata!N381="",FALSE,IF(ISERROR(INT(Metadata!N381)),FALSE,INT(Metadata!N381)=Metadata!N381)),Metadata!N381&gt;0))</f>
        <v>0</v>
      </c>
      <c r="AP381">
        <f>OR(AND(IF(Metadata!O381="",FALSE,TRUE),OR(exact(Metadata!O381,"not collected"),exact(Metadata!O381,"not provided"))),AND(IF(Metadata!O381="",FALSE,ISNUMBER(VALUE(Metadata!O381))),Metadata!O381&gt;0))</f>
        <v>0</v>
      </c>
      <c r="AQ381">
        <f>AND(IF(Metadata!P381="",FALSE,TRUE),exact(Metadata!P381,"kg"))</f>
        <v>0</v>
      </c>
      <c r="AR381">
        <f>OR(AND(IF(Metadata!Q381="",FALSE,TRUE),OR(exact(Metadata!Q381,"not applicable"),exact(Metadata!Q381,"not collected"),exact(Metadata!Q381,"not provided"),exact(Metadata!Q381,"restricted access"))),IF(Metadata!Q381="",FALSE,IF(ISERROR(INT(Metadata!Q381)),FALSE,INT(Metadata!Q381)=Metadata!Q381)))</f>
        <v>0</v>
      </c>
      <c r="AS381">
        <f>AND(IF(Metadata!R381="",FALSE,TRUE),exact(Metadata!R381,"Not applicable"))</f>
        <v>0</v>
      </c>
    </row>
    <row r="382" spans="1:45">
      <c r="A382" s="4">
        <f>IF(B382=" "," ",HYPERLINK(CONCATENATE("#metadata!",ADDRESS(INDEX($X$2:$X$1001,MATCH(ROWS($V$2:V382),$V$2:$V$1001,0),0),2)),INDEX($AA$2:$AA$1001,MATCH(ROWS($V$2:V382),$V$2:$V$1001,0),0)))</f>
        <v>0</v>
      </c>
      <c r="B382" s="5">
        <f>IF(OR(INDEX($W$2:$W$1001,MATCH(ROWS($V$2:V382),$V$2:$V$1001,0),1)&gt;=100000,INDEX($AC$1005:$AS$1005,1,MATCH(COLUMNS($AC$1006:AC1006),$AC$1006:$AS$1006,0))&gt;=100000), " ",IF(INDEX($AC$2:$AS$1001,MATCH(ROWS($V$2:V382),$V$2:$V$1001,0),MATCH(COLUMNS($AC$1006:AC1006),$AC$1006:$AS$1006,0)), HYPERLINK("#",""), HYPERLINK(CONCATENATE("#Metadata!", ADDRESS(INDEX($X$2:$X$1001,MATCH(ROWS($V$2:V382),$V$2:$V$1001,0),0), INDEX($AC$1004:$AS$1004,1,MATCH(COLUMNS($AC$1006:AC1006),$AC$1006:$AS$1006,0)))),"Fix")))</f>
        <v>0</v>
      </c>
      <c r="C382" s="5">
        <f>IF(OR(INDEX($W$2:$W$1001,MATCH(ROWS($V$2:V382),$V$2:$V$1001,0),1)&gt;=100000,INDEX($AC$1005:$AS$1005,1,MATCH(COLUMNS($AC$1006:AD1006),$AC$1006:$AS$1006,0))&gt;=100000), " ",IF(INDEX($AC$2:$AS$1001,MATCH(ROWS($V$2:V382),$V$2:$V$1001,0),MATCH(COLUMNS($AC$1006:AD1006),$AC$1006:$AS$1006,0)), HYPERLINK("#",""), HYPERLINK(CONCATENATE("#Metadata!", ADDRESS(INDEX($X$2:$X$1001,MATCH(ROWS($V$2:V382),$V$2:$V$1001,0),0), INDEX($AC$1004:$AS$1004,1,MATCH(COLUMNS($AC$1006:AD1006),$AC$1006:$AS$1006,0)))),"Fix")))</f>
        <v>0</v>
      </c>
      <c r="D382" s="5">
        <f>IF(OR(INDEX($W$2:$W$1001,MATCH(ROWS($V$2:V382),$V$2:$V$1001,0),1)&gt;=100000,INDEX($AC$1005:$AS$1005,1,MATCH(COLUMNS($AC$1006:AE1006),$AC$1006:$AS$1006,0))&gt;=100000), " ",IF(INDEX($AC$2:$AS$1001,MATCH(ROWS($V$2:V382),$V$2:$V$1001,0),MATCH(COLUMNS($AC$1006:AE1006),$AC$1006:$AS$1006,0)), HYPERLINK("#",""), HYPERLINK(CONCATENATE("#Metadata!", ADDRESS(INDEX($X$2:$X$1001,MATCH(ROWS($V$2:V382),$V$2:$V$1001,0),0), INDEX($AC$1004:$AS$1004,1,MATCH(COLUMNS($AC$1006:AE1006),$AC$1006:$AS$1006,0)))),"Fix")))</f>
        <v>0</v>
      </c>
      <c r="E382" s="5">
        <f>IF(OR(INDEX($W$2:$W$1001,MATCH(ROWS($V$2:V382),$V$2:$V$1001,0),1)&gt;=100000,INDEX($AC$1005:$AS$1005,1,MATCH(COLUMNS($AC$1006:AF1006),$AC$1006:$AS$1006,0))&gt;=100000), " ",IF(INDEX($AC$2:$AS$1001,MATCH(ROWS($V$2:V382),$V$2:$V$1001,0),MATCH(COLUMNS($AC$1006:AF1006),$AC$1006:$AS$1006,0)), HYPERLINK("#",""), HYPERLINK(CONCATENATE("#Metadata!", ADDRESS(INDEX($X$2:$X$1001,MATCH(ROWS($V$2:V382),$V$2:$V$1001,0),0), INDEX($AC$1004:$AS$1004,1,MATCH(COLUMNS($AC$1006:AF1006),$AC$1006:$AS$1006,0)))),"Fix")))</f>
        <v>0</v>
      </c>
      <c r="F382" s="5">
        <f>IF(OR(INDEX($W$2:$W$1001,MATCH(ROWS($V$2:V382),$V$2:$V$1001,0),1)&gt;=100000,INDEX($AC$1005:$AS$1005,1,MATCH(COLUMNS($AC$1006:AG1006),$AC$1006:$AS$1006,0))&gt;=100000), " ",IF(INDEX($AC$2:$AS$1001,MATCH(ROWS($V$2:V382),$V$2:$V$1001,0),MATCH(COLUMNS($AC$1006:AG1006),$AC$1006:$AS$1006,0)), HYPERLINK("#",""), HYPERLINK(CONCATENATE("#Metadata!", ADDRESS(INDEX($X$2:$X$1001,MATCH(ROWS($V$2:V382),$V$2:$V$1001,0),0), INDEX($AC$1004:$AS$1004,1,MATCH(COLUMNS($AC$1006:AG1006),$AC$1006:$AS$1006,0)))),"Fix")))</f>
        <v>0</v>
      </c>
      <c r="G382" s="5">
        <f>IF(OR(INDEX($W$2:$W$1001,MATCH(ROWS($V$2:V382),$V$2:$V$1001,0),1)&gt;=100000,INDEX($AC$1005:$AS$1005,1,MATCH(COLUMNS($AC$1006:AH1006),$AC$1006:$AS$1006,0))&gt;=100000), " ",IF(INDEX($AC$2:$AS$1001,MATCH(ROWS($V$2:V382),$V$2:$V$1001,0),MATCH(COLUMNS($AC$1006:AH1006),$AC$1006:$AS$1006,0)), HYPERLINK("#",""), HYPERLINK(CONCATENATE("#Metadata!", ADDRESS(INDEX($X$2:$X$1001,MATCH(ROWS($V$2:V382),$V$2:$V$1001,0),0), INDEX($AC$1004:$AS$1004,1,MATCH(COLUMNS($AC$1006:AH1006),$AC$1006:$AS$1006,0)))),"Fix")))</f>
        <v>0</v>
      </c>
      <c r="H382" s="5">
        <f>IF(OR(INDEX($W$2:$W$1001,MATCH(ROWS($V$2:V382),$V$2:$V$1001,0),1)&gt;=100000,INDEX($AC$1005:$AS$1005,1,MATCH(COLUMNS($AC$1006:AI1006),$AC$1006:$AS$1006,0))&gt;=100000), " ",IF(INDEX($AC$2:$AS$1001,MATCH(ROWS($V$2:V382),$V$2:$V$1001,0),MATCH(COLUMNS($AC$1006:AI1006),$AC$1006:$AS$1006,0)), HYPERLINK("#",""), HYPERLINK(CONCATENATE("#Metadata!", ADDRESS(INDEX($X$2:$X$1001,MATCH(ROWS($V$2:V382),$V$2:$V$1001,0),0), INDEX($AC$1004:$AS$1004,1,MATCH(COLUMNS($AC$1006:AI1006),$AC$1006:$AS$1006,0)))),"Fix")))</f>
        <v>0</v>
      </c>
      <c r="I382" s="5">
        <f>IF(OR(INDEX($W$2:$W$1001,MATCH(ROWS($V$2:V382),$V$2:$V$1001,0),1)&gt;=100000,INDEX($AC$1005:$AS$1005,1,MATCH(COLUMNS($AC$1006:AJ1006),$AC$1006:$AS$1006,0))&gt;=100000), " ",IF(INDEX($AC$2:$AS$1001,MATCH(ROWS($V$2:V382),$V$2:$V$1001,0),MATCH(COLUMNS($AC$1006:AJ1006),$AC$1006:$AS$1006,0)), HYPERLINK("#",""), HYPERLINK(CONCATENATE("#Metadata!", ADDRESS(INDEX($X$2:$X$1001,MATCH(ROWS($V$2:V382),$V$2:$V$1001,0),0), INDEX($AC$1004:$AS$1004,1,MATCH(COLUMNS($AC$1006:AJ1006),$AC$1006:$AS$1006,0)))),"Fix")))</f>
        <v>0</v>
      </c>
      <c r="J382" s="5">
        <f>IF(OR(INDEX($W$2:$W$1001,MATCH(ROWS($V$2:V382),$V$2:$V$1001,0),1)&gt;=100000,INDEX($AC$1005:$AS$1005,1,MATCH(COLUMNS($AC$1006:AK1006),$AC$1006:$AS$1006,0))&gt;=100000), " ",IF(INDEX($AC$2:$AS$1001,MATCH(ROWS($V$2:V382),$V$2:$V$1001,0),MATCH(COLUMNS($AC$1006:AK1006),$AC$1006:$AS$1006,0)), HYPERLINK("#",""), HYPERLINK(CONCATENATE("#Metadata!", ADDRESS(INDEX($X$2:$X$1001,MATCH(ROWS($V$2:V382),$V$2:$V$1001,0),0), INDEX($AC$1004:$AS$1004,1,MATCH(COLUMNS($AC$1006:AK1006),$AC$1006:$AS$1006,0)))),"Fix")))</f>
        <v>0</v>
      </c>
      <c r="K382" s="5">
        <f>IF(OR(INDEX($W$2:$W$1001,MATCH(ROWS($V$2:V382),$V$2:$V$1001,0),1)&gt;=100000,INDEX($AC$1005:$AS$1005,1,MATCH(COLUMNS($AC$1006:AL1006),$AC$1006:$AS$1006,0))&gt;=100000), " ",IF(INDEX($AC$2:$AS$1001,MATCH(ROWS($V$2:V382),$V$2:$V$1001,0),MATCH(COLUMNS($AC$1006:AL1006),$AC$1006:$AS$1006,0)), HYPERLINK("#",""), HYPERLINK(CONCATENATE("#Metadata!", ADDRESS(INDEX($X$2:$X$1001,MATCH(ROWS($V$2:V382),$V$2:$V$1001,0),0), INDEX($AC$1004:$AS$1004,1,MATCH(COLUMNS($AC$1006:AL1006),$AC$1006:$AS$1006,0)))),"Fix")))</f>
        <v>0</v>
      </c>
      <c r="L382" s="5">
        <f>IF(OR(INDEX($W$2:$W$1001,MATCH(ROWS($V$2:V382),$V$2:$V$1001,0),1)&gt;=100000,INDEX($AC$1005:$AS$1005,1,MATCH(COLUMNS($AC$1006:AM1006),$AC$1006:$AS$1006,0))&gt;=100000), " ",IF(INDEX($AC$2:$AS$1001,MATCH(ROWS($V$2:V382),$V$2:$V$1001,0),MATCH(COLUMNS($AC$1006:AM1006),$AC$1006:$AS$1006,0)), HYPERLINK("#",""), HYPERLINK(CONCATENATE("#Metadata!", ADDRESS(INDEX($X$2:$X$1001,MATCH(ROWS($V$2:V382),$V$2:$V$1001,0),0), INDEX($AC$1004:$AS$1004,1,MATCH(COLUMNS($AC$1006:AM1006),$AC$1006:$AS$1006,0)))),"Fix")))</f>
        <v>0</v>
      </c>
      <c r="M382" s="5">
        <f>IF(OR(INDEX($W$2:$W$1001,MATCH(ROWS($V$2:V382),$V$2:$V$1001,0),1)&gt;=100000,INDEX($AC$1005:$AS$1005,1,MATCH(COLUMNS($AC$1006:AN1006),$AC$1006:$AS$1006,0))&gt;=100000), " ",IF(INDEX($AC$2:$AS$1001,MATCH(ROWS($V$2:V382),$V$2:$V$1001,0),MATCH(COLUMNS($AC$1006:AN1006),$AC$1006:$AS$1006,0)), HYPERLINK("#",""), HYPERLINK(CONCATENATE("#Metadata!", ADDRESS(INDEX($X$2:$X$1001,MATCH(ROWS($V$2:V382),$V$2:$V$1001,0),0), INDEX($AC$1004:$AS$1004,1,MATCH(COLUMNS($AC$1006:AN1006),$AC$1006:$AS$1006,0)))),"Fix")))</f>
        <v>0</v>
      </c>
      <c r="N382" s="5">
        <f>IF(OR(INDEX($W$2:$W$1001,MATCH(ROWS($V$2:V382),$V$2:$V$1001,0),1)&gt;=100000,INDEX($AC$1005:$AS$1005,1,MATCH(COLUMNS($AC$1006:AO1006),$AC$1006:$AS$1006,0))&gt;=100000), " ",IF(INDEX($AC$2:$AS$1001,MATCH(ROWS($V$2:V382),$V$2:$V$1001,0),MATCH(COLUMNS($AC$1006:AO1006),$AC$1006:$AS$1006,0)), HYPERLINK("#",""), HYPERLINK(CONCATENATE("#Metadata!", ADDRESS(INDEX($X$2:$X$1001,MATCH(ROWS($V$2:V382),$V$2:$V$1001,0),0), INDEX($AC$1004:$AS$1004,1,MATCH(COLUMNS($AC$1006:AO1006),$AC$1006:$AS$1006,0)))),"Fix")))</f>
        <v>0</v>
      </c>
      <c r="O382" s="5">
        <f>IF(OR(INDEX($W$2:$W$1001,MATCH(ROWS($V$2:V382),$V$2:$V$1001,0),1)&gt;=100000,INDEX($AC$1005:$AS$1005,1,MATCH(COLUMNS($AC$1006:AP1006),$AC$1006:$AS$1006,0))&gt;=100000), " ",IF(INDEX($AC$2:$AS$1001,MATCH(ROWS($V$2:V382),$V$2:$V$1001,0),MATCH(COLUMNS($AC$1006:AP1006),$AC$1006:$AS$1006,0)), HYPERLINK("#",""), HYPERLINK(CONCATENATE("#Metadata!", ADDRESS(INDEX($X$2:$X$1001,MATCH(ROWS($V$2:V382),$V$2:$V$1001,0),0), INDEX($AC$1004:$AS$1004,1,MATCH(COLUMNS($AC$1006:AP1006),$AC$1006:$AS$1006,0)))),"Fix")))</f>
        <v>0</v>
      </c>
      <c r="P382" s="5">
        <f>IF(OR(INDEX($W$2:$W$1001,MATCH(ROWS($V$2:V382),$V$2:$V$1001,0),1)&gt;=100000,INDEX($AC$1005:$AS$1005,1,MATCH(COLUMNS($AC$1006:AQ1006),$AC$1006:$AS$1006,0))&gt;=100000), " ",IF(INDEX($AC$2:$AS$1001,MATCH(ROWS($V$2:V382),$V$2:$V$1001,0),MATCH(COLUMNS($AC$1006:AQ1006),$AC$1006:$AS$1006,0)), HYPERLINK("#",""), HYPERLINK(CONCATENATE("#Metadata!", ADDRESS(INDEX($X$2:$X$1001,MATCH(ROWS($V$2:V382),$V$2:$V$1001,0),0), INDEX($AC$1004:$AS$1004,1,MATCH(COLUMNS($AC$1006:AQ1006),$AC$1006:$AS$1006,0)))),"Fix")))</f>
        <v>0</v>
      </c>
      <c r="Q382" s="5">
        <f>IF(OR(INDEX($W$2:$W$1001,MATCH(ROWS($V$2:V382),$V$2:$V$1001,0),1)&gt;=100000,INDEX($AC$1005:$AS$1005,1,MATCH(COLUMNS($AC$1006:AR1006),$AC$1006:$AS$1006,0))&gt;=100000), " ",IF(INDEX($AC$2:$AS$1001,MATCH(ROWS($V$2:V382),$V$2:$V$1001,0),MATCH(COLUMNS($AC$1006:AR1006),$AC$1006:$AS$1006,0)), HYPERLINK("#",""), HYPERLINK(CONCATENATE("#Metadata!", ADDRESS(INDEX($X$2:$X$1001,MATCH(ROWS($V$2:V382),$V$2:$V$1001,0),0), INDEX($AC$1004:$AS$1004,1,MATCH(COLUMNS($AC$1006:AR1006),$AC$1006:$AS$1006,0)))),"Fix")))</f>
        <v>0</v>
      </c>
      <c r="R382" s="5">
        <f>IF(OR(INDEX($W$2:$W$1001,MATCH(ROWS($V$2:V382),$V$2:$V$1001,0),1)&gt;=100000,INDEX($AC$1005:$AS$1005,1,MATCH(COLUMNS($AC$1006:AS1006),$AC$1006:$AS$1006,0))&gt;=100000), " ",IF(INDEX($AC$2:$AS$1001,MATCH(ROWS($V$2:V382),$V$2:$V$1001,0),MATCH(COLUMNS($AC$1006:AS1006),$AC$1006:$AS$1006,0)), HYPERLINK("#",""), HYPERLINK(CONCATENATE("#Metadata!", ADDRESS(INDEX($X$2:$X$1001,MATCH(ROWS($V$2:V382),$V$2:$V$1001,0),0), INDEX($AC$1004:$AS$1004,1,MATCH(COLUMNS($AC$1006:AS1006),$AC$1006:$AS$1006,0)))),"Fix")))</f>
        <v>0</v>
      </c>
      <c r="V382">
        <v>0</v>
      </c>
      <c r="W382">
        <v>0</v>
      </c>
      <c r="X382">
        <v>0</v>
      </c>
      <c r="Y382">
        <f>IF(Z382,TRUE,AND(AC382:AS382))</f>
        <v>0</v>
      </c>
      <c r="Z382">
        <f>COUNTBLANK(Metadata!B382:R382)=COLUMNS(Metadata!B382:R382)</f>
        <v>0</v>
      </c>
      <c r="AA382">
        <v>0</v>
      </c>
      <c r="AC382">
        <f>AND(IF(Metadata!B382="",FALSE,TRUE),COUNTIF(Metadata!B:B, Metadata!B382) = 1,NOT(ISERROR(SUMPRODUCT(SEARCH(MID(Metadata!B382,ROW(INDIRECT("1:"&amp;LEN(Metadata!B382))), 1),"0123456789abcdefghijklmnopqrstuvwxyzABCDEFGHIJKLMNOPQRSTUVWXYZ.")))))</f>
        <v>0</v>
      </c>
      <c r="AD382">
        <f>AND(IF(Metadata!C382="",FALSE,TRUE),exact(Metadata!C382,"Host-associated"))</f>
        <v>0</v>
      </c>
      <c r="AE382">
        <f>AND(IF(Metadata!D382="",FALSE,TRUE),OR(exact(Metadata!D382,"Animal"),exact(Metadata!D382,"Fungus"),exact(Metadata!D382,"Plant")))</f>
        <v>0</v>
      </c>
      <c r="AF382">
        <f>AND(IF(Metadata!E382="",FALSE,TRUE),OR(exact(Metadata!E382,"Plant secretion"),exact(Metadata!E382,"Plant rhizosphere"),exact(Metadata!E382,"Plant surface"),exact(Metadata!E382,"Plant corpus"),exact(Metadata!E382,"Fungus surface"),exact(Metadata!E382,"Fungus corpus"),exact(Metadata!E382,"Animal surface"),exact(Metadata!E382,"Animal proximal gut"),exact(Metadata!E382,"Animal corpus"),exact(Metadata!E382,"Animal distal gut"),exact(Metadata!E382,"Animal secretion")))</f>
        <v>0</v>
      </c>
      <c r="AG382">
        <f>OR(AND(IF(Metadata!F382="",FALSE,TRUE),OR(exact(Metadata!F382,"not collected"),exact(Metadata!F382,"not provided"),exact(Metadata!F382,"restricted access"))),AND(IF(Metadata!F382="",FALSE,TRUE),OR(exact(Metadata!F382,"organism-associated habitat"),exact(Metadata!F382,"plant-associated habitat"),exact(Metadata!F382,"animal-associated habitat"),exact(Metadata!F382,"insecta-associated habitat"),exact(Metadata!F382,"mammalia-associated habitat"),exact(Metadata!F382,"human-associated habitat"),exact(Metadata!F382,"livestock-associated habitat"))))</f>
        <v>0</v>
      </c>
      <c r="AH382">
        <f>AND(IF(Metadata!G382="",FALSE,TRUE),exact(Metadata!G382,"host-associated"))</f>
        <v>0</v>
      </c>
      <c r="AI382">
        <f>OR(AND(IF(Metadata!H382="",FALSE,TRUE),OR(exact(Metadata!H382,"not collected"),exact(Metadata!H382,"not provided"))),AND(IF(Metadata!H382="",FALSE,ISNUMBER(VALUE(Metadata!H382))),Metadata!H382&gt;0))</f>
        <v>0</v>
      </c>
      <c r="AJ382">
        <f>AND(IF(Metadata!I382="",FALSE,TRUE),exact(Metadata!I382,"years"))</f>
        <v>0</v>
      </c>
      <c r="AK382">
        <f>IF(Metadata!J382="",FALSE,TRUE)</f>
        <v>0</v>
      </c>
      <c r="AL382">
        <f>OR(AND(IF(Metadata!K382="",FALSE,TRUE),OR(exact(Metadata!K382,"not collected"),exact(Metadata!K382,"not provided"))),AND(IF(Metadata!K382="",FALSE,ISNUMBER(VALUE(Metadata!K382))),Metadata!K382&gt;0))</f>
        <v>0</v>
      </c>
      <c r="AM382">
        <f>AND(IF(Metadata!L382="",FALSE,TRUE),exact(Metadata!L382,"cm"))</f>
        <v>0</v>
      </c>
      <c r="AN382">
        <f>IF(Metadata!M382="",FALSE,TRUE)</f>
        <v>0</v>
      </c>
      <c r="AO382">
        <f>OR(AND(IF(Metadata!N382="",FALSE,TRUE),OR(exact(Metadata!N382,"not applicable"),exact(Metadata!N382,"not collected"),exact(Metadata!N382,"not provided"))),AND(IF(Metadata!N382="",FALSE,IF(ISERROR(INT(Metadata!N382)),FALSE,INT(Metadata!N382)=Metadata!N382)),Metadata!N382&gt;0))</f>
        <v>0</v>
      </c>
      <c r="AP382">
        <f>OR(AND(IF(Metadata!O382="",FALSE,TRUE),OR(exact(Metadata!O382,"not collected"),exact(Metadata!O382,"not provided"))),AND(IF(Metadata!O382="",FALSE,ISNUMBER(VALUE(Metadata!O382))),Metadata!O382&gt;0))</f>
        <v>0</v>
      </c>
      <c r="AQ382">
        <f>AND(IF(Metadata!P382="",FALSE,TRUE),exact(Metadata!P382,"kg"))</f>
        <v>0</v>
      </c>
      <c r="AR382">
        <f>OR(AND(IF(Metadata!Q382="",FALSE,TRUE),OR(exact(Metadata!Q382,"not applicable"),exact(Metadata!Q382,"not collected"),exact(Metadata!Q382,"not provided"),exact(Metadata!Q382,"restricted access"))),IF(Metadata!Q382="",FALSE,IF(ISERROR(INT(Metadata!Q382)),FALSE,INT(Metadata!Q382)=Metadata!Q382)))</f>
        <v>0</v>
      </c>
      <c r="AS382">
        <f>AND(IF(Metadata!R382="",FALSE,TRUE),exact(Metadata!R382,"Not applicable"))</f>
        <v>0</v>
      </c>
    </row>
    <row r="383" spans="1:45">
      <c r="A383" s="4">
        <f>IF(B383=" "," ",HYPERLINK(CONCATENATE("#metadata!",ADDRESS(INDEX($X$2:$X$1001,MATCH(ROWS($V$2:V383),$V$2:$V$1001,0),0),2)),INDEX($AA$2:$AA$1001,MATCH(ROWS($V$2:V383),$V$2:$V$1001,0),0)))</f>
        <v>0</v>
      </c>
      <c r="B383" s="5">
        <f>IF(OR(INDEX($W$2:$W$1001,MATCH(ROWS($V$2:V383),$V$2:$V$1001,0),1)&gt;=100000,INDEX($AC$1005:$AS$1005,1,MATCH(COLUMNS($AC$1006:AC1006),$AC$1006:$AS$1006,0))&gt;=100000), " ",IF(INDEX($AC$2:$AS$1001,MATCH(ROWS($V$2:V383),$V$2:$V$1001,0),MATCH(COLUMNS($AC$1006:AC1006),$AC$1006:$AS$1006,0)), HYPERLINK("#",""), HYPERLINK(CONCATENATE("#Metadata!", ADDRESS(INDEX($X$2:$X$1001,MATCH(ROWS($V$2:V383),$V$2:$V$1001,0),0), INDEX($AC$1004:$AS$1004,1,MATCH(COLUMNS($AC$1006:AC1006),$AC$1006:$AS$1006,0)))),"Fix")))</f>
        <v>0</v>
      </c>
      <c r="C383" s="5">
        <f>IF(OR(INDEX($W$2:$W$1001,MATCH(ROWS($V$2:V383),$V$2:$V$1001,0),1)&gt;=100000,INDEX($AC$1005:$AS$1005,1,MATCH(COLUMNS($AC$1006:AD1006),$AC$1006:$AS$1006,0))&gt;=100000), " ",IF(INDEX($AC$2:$AS$1001,MATCH(ROWS($V$2:V383),$V$2:$V$1001,0),MATCH(COLUMNS($AC$1006:AD1006),$AC$1006:$AS$1006,0)), HYPERLINK("#",""), HYPERLINK(CONCATENATE("#Metadata!", ADDRESS(INDEX($X$2:$X$1001,MATCH(ROWS($V$2:V383),$V$2:$V$1001,0),0), INDEX($AC$1004:$AS$1004,1,MATCH(COLUMNS($AC$1006:AD1006),$AC$1006:$AS$1006,0)))),"Fix")))</f>
        <v>0</v>
      </c>
      <c r="D383" s="5">
        <f>IF(OR(INDEX($W$2:$W$1001,MATCH(ROWS($V$2:V383),$V$2:$V$1001,0),1)&gt;=100000,INDEX($AC$1005:$AS$1005,1,MATCH(COLUMNS($AC$1006:AE1006),$AC$1006:$AS$1006,0))&gt;=100000), " ",IF(INDEX($AC$2:$AS$1001,MATCH(ROWS($V$2:V383),$V$2:$V$1001,0),MATCH(COLUMNS($AC$1006:AE1006),$AC$1006:$AS$1006,0)), HYPERLINK("#",""), HYPERLINK(CONCATENATE("#Metadata!", ADDRESS(INDEX($X$2:$X$1001,MATCH(ROWS($V$2:V383),$V$2:$V$1001,0),0), INDEX($AC$1004:$AS$1004,1,MATCH(COLUMNS($AC$1006:AE1006),$AC$1006:$AS$1006,0)))),"Fix")))</f>
        <v>0</v>
      </c>
      <c r="E383" s="5">
        <f>IF(OR(INDEX($W$2:$W$1001,MATCH(ROWS($V$2:V383),$V$2:$V$1001,0),1)&gt;=100000,INDEX($AC$1005:$AS$1005,1,MATCH(COLUMNS($AC$1006:AF1006),$AC$1006:$AS$1006,0))&gt;=100000), " ",IF(INDEX($AC$2:$AS$1001,MATCH(ROWS($V$2:V383),$V$2:$V$1001,0),MATCH(COLUMNS($AC$1006:AF1006),$AC$1006:$AS$1006,0)), HYPERLINK("#",""), HYPERLINK(CONCATENATE("#Metadata!", ADDRESS(INDEX($X$2:$X$1001,MATCH(ROWS($V$2:V383),$V$2:$V$1001,0),0), INDEX($AC$1004:$AS$1004,1,MATCH(COLUMNS($AC$1006:AF1006),$AC$1006:$AS$1006,0)))),"Fix")))</f>
        <v>0</v>
      </c>
      <c r="F383" s="5">
        <f>IF(OR(INDEX($W$2:$W$1001,MATCH(ROWS($V$2:V383),$V$2:$V$1001,0),1)&gt;=100000,INDEX($AC$1005:$AS$1005,1,MATCH(COLUMNS($AC$1006:AG1006),$AC$1006:$AS$1006,0))&gt;=100000), " ",IF(INDEX($AC$2:$AS$1001,MATCH(ROWS($V$2:V383),$V$2:$V$1001,0),MATCH(COLUMNS($AC$1006:AG1006),$AC$1006:$AS$1006,0)), HYPERLINK("#",""), HYPERLINK(CONCATENATE("#Metadata!", ADDRESS(INDEX($X$2:$X$1001,MATCH(ROWS($V$2:V383),$V$2:$V$1001,0),0), INDEX($AC$1004:$AS$1004,1,MATCH(COLUMNS($AC$1006:AG1006),$AC$1006:$AS$1006,0)))),"Fix")))</f>
        <v>0</v>
      </c>
      <c r="G383" s="5">
        <f>IF(OR(INDEX($W$2:$W$1001,MATCH(ROWS($V$2:V383),$V$2:$V$1001,0),1)&gt;=100000,INDEX($AC$1005:$AS$1005,1,MATCH(COLUMNS($AC$1006:AH1006),$AC$1006:$AS$1006,0))&gt;=100000), " ",IF(INDEX($AC$2:$AS$1001,MATCH(ROWS($V$2:V383),$V$2:$V$1001,0),MATCH(COLUMNS($AC$1006:AH1006),$AC$1006:$AS$1006,0)), HYPERLINK("#",""), HYPERLINK(CONCATENATE("#Metadata!", ADDRESS(INDEX($X$2:$X$1001,MATCH(ROWS($V$2:V383),$V$2:$V$1001,0),0), INDEX($AC$1004:$AS$1004,1,MATCH(COLUMNS($AC$1006:AH1006),$AC$1006:$AS$1006,0)))),"Fix")))</f>
        <v>0</v>
      </c>
      <c r="H383" s="5">
        <f>IF(OR(INDEX($W$2:$W$1001,MATCH(ROWS($V$2:V383),$V$2:$V$1001,0),1)&gt;=100000,INDEX($AC$1005:$AS$1005,1,MATCH(COLUMNS($AC$1006:AI1006),$AC$1006:$AS$1006,0))&gt;=100000), " ",IF(INDEX($AC$2:$AS$1001,MATCH(ROWS($V$2:V383),$V$2:$V$1001,0),MATCH(COLUMNS($AC$1006:AI1006),$AC$1006:$AS$1006,0)), HYPERLINK("#",""), HYPERLINK(CONCATENATE("#Metadata!", ADDRESS(INDEX($X$2:$X$1001,MATCH(ROWS($V$2:V383),$V$2:$V$1001,0),0), INDEX($AC$1004:$AS$1004,1,MATCH(COLUMNS($AC$1006:AI1006),$AC$1006:$AS$1006,0)))),"Fix")))</f>
        <v>0</v>
      </c>
      <c r="I383" s="5">
        <f>IF(OR(INDEX($W$2:$W$1001,MATCH(ROWS($V$2:V383),$V$2:$V$1001,0),1)&gt;=100000,INDEX($AC$1005:$AS$1005,1,MATCH(COLUMNS($AC$1006:AJ1006),$AC$1006:$AS$1006,0))&gt;=100000), " ",IF(INDEX($AC$2:$AS$1001,MATCH(ROWS($V$2:V383),$V$2:$V$1001,0),MATCH(COLUMNS($AC$1006:AJ1006),$AC$1006:$AS$1006,0)), HYPERLINK("#",""), HYPERLINK(CONCATENATE("#Metadata!", ADDRESS(INDEX($X$2:$X$1001,MATCH(ROWS($V$2:V383),$V$2:$V$1001,0),0), INDEX($AC$1004:$AS$1004,1,MATCH(COLUMNS($AC$1006:AJ1006),$AC$1006:$AS$1006,0)))),"Fix")))</f>
        <v>0</v>
      </c>
      <c r="J383" s="5">
        <f>IF(OR(INDEX($W$2:$W$1001,MATCH(ROWS($V$2:V383),$V$2:$V$1001,0),1)&gt;=100000,INDEX($AC$1005:$AS$1005,1,MATCH(COLUMNS($AC$1006:AK1006),$AC$1006:$AS$1006,0))&gt;=100000), " ",IF(INDEX($AC$2:$AS$1001,MATCH(ROWS($V$2:V383),$V$2:$V$1001,0),MATCH(COLUMNS($AC$1006:AK1006),$AC$1006:$AS$1006,0)), HYPERLINK("#",""), HYPERLINK(CONCATENATE("#Metadata!", ADDRESS(INDEX($X$2:$X$1001,MATCH(ROWS($V$2:V383),$V$2:$V$1001,0),0), INDEX($AC$1004:$AS$1004,1,MATCH(COLUMNS($AC$1006:AK1006),$AC$1006:$AS$1006,0)))),"Fix")))</f>
        <v>0</v>
      </c>
      <c r="K383" s="5">
        <f>IF(OR(INDEX($W$2:$W$1001,MATCH(ROWS($V$2:V383),$V$2:$V$1001,0),1)&gt;=100000,INDEX($AC$1005:$AS$1005,1,MATCH(COLUMNS($AC$1006:AL1006),$AC$1006:$AS$1006,0))&gt;=100000), " ",IF(INDEX($AC$2:$AS$1001,MATCH(ROWS($V$2:V383),$V$2:$V$1001,0),MATCH(COLUMNS($AC$1006:AL1006),$AC$1006:$AS$1006,0)), HYPERLINK("#",""), HYPERLINK(CONCATENATE("#Metadata!", ADDRESS(INDEX($X$2:$X$1001,MATCH(ROWS($V$2:V383),$V$2:$V$1001,0),0), INDEX($AC$1004:$AS$1004,1,MATCH(COLUMNS($AC$1006:AL1006),$AC$1006:$AS$1006,0)))),"Fix")))</f>
        <v>0</v>
      </c>
      <c r="L383" s="5">
        <f>IF(OR(INDEX($W$2:$W$1001,MATCH(ROWS($V$2:V383),$V$2:$V$1001,0),1)&gt;=100000,INDEX($AC$1005:$AS$1005,1,MATCH(COLUMNS($AC$1006:AM1006),$AC$1006:$AS$1006,0))&gt;=100000), " ",IF(INDEX($AC$2:$AS$1001,MATCH(ROWS($V$2:V383),$V$2:$V$1001,0),MATCH(COLUMNS($AC$1006:AM1006),$AC$1006:$AS$1006,0)), HYPERLINK("#",""), HYPERLINK(CONCATENATE("#Metadata!", ADDRESS(INDEX($X$2:$X$1001,MATCH(ROWS($V$2:V383),$V$2:$V$1001,0),0), INDEX($AC$1004:$AS$1004,1,MATCH(COLUMNS($AC$1006:AM1006),$AC$1006:$AS$1006,0)))),"Fix")))</f>
        <v>0</v>
      </c>
      <c r="M383" s="5">
        <f>IF(OR(INDEX($W$2:$W$1001,MATCH(ROWS($V$2:V383),$V$2:$V$1001,0),1)&gt;=100000,INDEX($AC$1005:$AS$1005,1,MATCH(COLUMNS($AC$1006:AN1006),$AC$1006:$AS$1006,0))&gt;=100000), " ",IF(INDEX($AC$2:$AS$1001,MATCH(ROWS($V$2:V383),$V$2:$V$1001,0),MATCH(COLUMNS($AC$1006:AN1006),$AC$1006:$AS$1006,0)), HYPERLINK("#",""), HYPERLINK(CONCATENATE("#Metadata!", ADDRESS(INDEX($X$2:$X$1001,MATCH(ROWS($V$2:V383),$V$2:$V$1001,0),0), INDEX($AC$1004:$AS$1004,1,MATCH(COLUMNS($AC$1006:AN1006),$AC$1006:$AS$1006,0)))),"Fix")))</f>
        <v>0</v>
      </c>
      <c r="N383" s="5">
        <f>IF(OR(INDEX($W$2:$W$1001,MATCH(ROWS($V$2:V383),$V$2:$V$1001,0),1)&gt;=100000,INDEX($AC$1005:$AS$1005,1,MATCH(COLUMNS($AC$1006:AO1006),$AC$1006:$AS$1006,0))&gt;=100000), " ",IF(INDEX($AC$2:$AS$1001,MATCH(ROWS($V$2:V383),$V$2:$V$1001,0),MATCH(COLUMNS($AC$1006:AO1006),$AC$1006:$AS$1006,0)), HYPERLINK("#",""), HYPERLINK(CONCATENATE("#Metadata!", ADDRESS(INDEX($X$2:$X$1001,MATCH(ROWS($V$2:V383),$V$2:$V$1001,0),0), INDEX($AC$1004:$AS$1004,1,MATCH(COLUMNS($AC$1006:AO1006),$AC$1006:$AS$1006,0)))),"Fix")))</f>
        <v>0</v>
      </c>
      <c r="O383" s="5">
        <f>IF(OR(INDEX($W$2:$W$1001,MATCH(ROWS($V$2:V383),$V$2:$V$1001,0),1)&gt;=100000,INDEX($AC$1005:$AS$1005,1,MATCH(COLUMNS($AC$1006:AP1006),$AC$1006:$AS$1006,0))&gt;=100000), " ",IF(INDEX($AC$2:$AS$1001,MATCH(ROWS($V$2:V383),$V$2:$V$1001,0),MATCH(COLUMNS($AC$1006:AP1006),$AC$1006:$AS$1006,0)), HYPERLINK("#",""), HYPERLINK(CONCATENATE("#Metadata!", ADDRESS(INDEX($X$2:$X$1001,MATCH(ROWS($V$2:V383),$V$2:$V$1001,0),0), INDEX($AC$1004:$AS$1004,1,MATCH(COLUMNS($AC$1006:AP1006),$AC$1006:$AS$1006,0)))),"Fix")))</f>
        <v>0</v>
      </c>
      <c r="P383" s="5">
        <f>IF(OR(INDEX($W$2:$W$1001,MATCH(ROWS($V$2:V383),$V$2:$V$1001,0),1)&gt;=100000,INDEX($AC$1005:$AS$1005,1,MATCH(COLUMNS($AC$1006:AQ1006),$AC$1006:$AS$1006,0))&gt;=100000), " ",IF(INDEX($AC$2:$AS$1001,MATCH(ROWS($V$2:V383),$V$2:$V$1001,0),MATCH(COLUMNS($AC$1006:AQ1006),$AC$1006:$AS$1006,0)), HYPERLINK("#",""), HYPERLINK(CONCATENATE("#Metadata!", ADDRESS(INDEX($X$2:$X$1001,MATCH(ROWS($V$2:V383),$V$2:$V$1001,0),0), INDEX($AC$1004:$AS$1004,1,MATCH(COLUMNS($AC$1006:AQ1006),$AC$1006:$AS$1006,0)))),"Fix")))</f>
        <v>0</v>
      </c>
      <c r="Q383" s="5">
        <f>IF(OR(INDEX($W$2:$W$1001,MATCH(ROWS($V$2:V383),$V$2:$V$1001,0),1)&gt;=100000,INDEX($AC$1005:$AS$1005,1,MATCH(COLUMNS($AC$1006:AR1006),$AC$1006:$AS$1006,0))&gt;=100000), " ",IF(INDEX($AC$2:$AS$1001,MATCH(ROWS($V$2:V383),$V$2:$V$1001,0),MATCH(COLUMNS($AC$1006:AR1006),$AC$1006:$AS$1006,0)), HYPERLINK("#",""), HYPERLINK(CONCATENATE("#Metadata!", ADDRESS(INDEX($X$2:$X$1001,MATCH(ROWS($V$2:V383),$V$2:$V$1001,0),0), INDEX($AC$1004:$AS$1004,1,MATCH(COLUMNS($AC$1006:AR1006),$AC$1006:$AS$1006,0)))),"Fix")))</f>
        <v>0</v>
      </c>
      <c r="R383" s="5">
        <f>IF(OR(INDEX($W$2:$W$1001,MATCH(ROWS($V$2:V383),$V$2:$V$1001,0),1)&gt;=100000,INDEX($AC$1005:$AS$1005,1,MATCH(COLUMNS($AC$1006:AS1006),$AC$1006:$AS$1006,0))&gt;=100000), " ",IF(INDEX($AC$2:$AS$1001,MATCH(ROWS($V$2:V383),$V$2:$V$1001,0),MATCH(COLUMNS($AC$1006:AS1006),$AC$1006:$AS$1006,0)), HYPERLINK("#",""), HYPERLINK(CONCATENATE("#Metadata!", ADDRESS(INDEX($X$2:$X$1001,MATCH(ROWS($V$2:V383),$V$2:$V$1001,0),0), INDEX($AC$1004:$AS$1004,1,MATCH(COLUMNS($AC$1006:AS1006),$AC$1006:$AS$1006,0)))),"Fix")))</f>
        <v>0</v>
      </c>
      <c r="V383">
        <v>0</v>
      </c>
      <c r="W383">
        <v>0</v>
      </c>
      <c r="X383">
        <v>0</v>
      </c>
      <c r="Y383">
        <f>IF(Z383,TRUE,AND(AC383:AS383))</f>
        <v>0</v>
      </c>
      <c r="Z383">
        <f>COUNTBLANK(Metadata!B383:R383)=COLUMNS(Metadata!B383:R383)</f>
        <v>0</v>
      </c>
      <c r="AA383">
        <v>0</v>
      </c>
      <c r="AC383">
        <f>AND(IF(Metadata!B383="",FALSE,TRUE),COUNTIF(Metadata!B:B, Metadata!B383) = 1,NOT(ISERROR(SUMPRODUCT(SEARCH(MID(Metadata!B383,ROW(INDIRECT("1:"&amp;LEN(Metadata!B383))), 1),"0123456789abcdefghijklmnopqrstuvwxyzABCDEFGHIJKLMNOPQRSTUVWXYZ.")))))</f>
        <v>0</v>
      </c>
      <c r="AD383">
        <f>AND(IF(Metadata!C383="",FALSE,TRUE),exact(Metadata!C383,"Host-associated"))</f>
        <v>0</v>
      </c>
      <c r="AE383">
        <f>AND(IF(Metadata!D383="",FALSE,TRUE),OR(exact(Metadata!D383,"Animal"),exact(Metadata!D383,"Fungus"),exact(Metadata!D383,"Plant")))</f>
        <v>0</v>
      </c>
      <c r="AF383">
        <f>AND(IF(Metadata!E383="",FALSE,TRUE),OR(exact(Metadata!E383,"Plant secretion"),exact(Metadata!E383,"Plant rhizosphere"),exact(Metadata!E383,"Plant surface"),exact(Metadata!E383,"Plant corpus"),exact(Metadata!E383,"Fungus surface"),exact(Metadata!E383,"Fungus corpus"),exact(Metadata!E383,"Animal surface"),exact(Metadata!E383,"Animal proximal gut"),exact(Metadata!E383,"Animal corpus"),exact(Metadata!E383,"Animal distal gut"),exact(Metadata!E383,"Animal secretion")))</f>
        <v>0</v>
      </c>
      <c r="AG383">
        <f>OR(AND(IF(Metadata!F383="",FALSE,TRUE),OR(exact(Metadata!F383,"not collected"),exact(Metadata!F383,"not provided"),exact(Metadata!F383,"restricted access"))),AND(IF(Metadata!F383="",FALSE,TRUE),OR(exact(Metadata!F383,"organism-associated habitat"),exact(Metadata!F383,"plant-associated habitat"),exact(Metadata!F383,"animal-associated habitat"),exact(Metadata!F383,"insecta-associated habitat"),exact(Metadata!F383,"mammalia-associated habitat"),exact(Metadata!F383,"human-associated habitat"),exact(Metadata!F383,"livestock-associated habitat"))))</f>
        <v>0</v>
      </c>
      <c r="AH383">
        <f>AND(IF(Metadata!G383="",FALSE,TRUE),exact(Metadata!G383,"host-associated"))</f>
        <v>0</v>
      </c>
      <c r="AI383">
        <f>OR(AND(IF(Metadata!H383="",FALSE,TRUE),OR(exact(Metadata!H383,"not collected"),exact(Metadata!H383,"not provided"))),AND(IF(Metadata!H383="",FALSE,ISNUMBER(VALUE(Metadata!H383))),Metadata!H383&gt;0))</f>
        <v>0</v>
      </c>
      <c r="AJ383">
        <f>AND(IF(Metadata!I383="",FALSE,TRUE),exact(Metadata!I383,"years"))</f>
        <v>0</v>
      </c>
      <c r="AK383">
        <f>IF(Metadata!J383="",FALSE,TRUE)</f>
        <v>0</v>
      </c>
      <c r="AL383">
        <f>OR(AND(IF(Metadata!K383="",FALSE,TRUE),OR(exact(Metadata!K383,"not collected"),exact(Metadata!K383,"not provided"))),AND(IF(Metadata!K383="",FALSE,ISNUMBER(VALUE(Metadata!K383))),Metadata!K383&gt;0))</f>
        <v>0</v>
      </c>
      <c r="AM383">
        <f>AND(IF(Metadata!L383="",FALSE,TRUE),exact(Metadata!L383,"cm"))</f>
        <v>0</v>
      </c>
      <c r="AN383">
        <f>IF(Metadata!M383="",FALSE,TRUE)</f>
        <v>0</v>
      </c>
      <c r="AO383">
        <f>OR(AND(IF(Metadata!N383="",FALSE,TRUE),OR(exact(Metadata!N383,"not applicable"),exact(Metadata!N383,"not collected"),exact(Metadata!N383,"not provided"))),AND(IF(Metadata!N383="",FALSE,IF(ISERROR(INT(Metadata!N383)),FALSE,INT(Metadata!N383)=Metadata!N383)),Metadata!N383&gt;0))</f>
        <v>0</v>
      </c>
      <c r="AP383">
        <f>OR(AND(IF(Metadata!O383="",FALSE,TRUE),OR(exact(Metadata!O383,"not collected"),exact(Metadata!O383,"not provided"))),AND(IF(Metadata!O383="",FALSE,ISNUMBER(VALUE(Metadata!O383))),Metadata!O383&gt;0))</f>
        <v>0</v>
      </c>
      <c r="AQ383">
        <f>AND(IF(Metadata!P383="",FALSE,TRUE),exact(Metadata!P383,"kg"))</f>
        <v>0</v>
      </c>
      <c r="AR383">
        <f>OR(AND(IF(Metadata!Q383="",FALSE,TRUE),OR(exact(Metadata!Q383,"not applicable"),exact(Metadata!Q383,"not collected"),exact(Metadata!Q383,"not provided"),exact(Metadata!Q383,"restricted access"))),IF(Metadata!Q383="",FALSE,IF(ISERROR(INT(Metadata!Q383)),FALSE,INT(Metadata!Q383)=Metadata!Q383)))</f>
        <v>0</v>
      </c>
      <c r="AS383">
        <f>AND(IF(Metadata!R383="",FALSE,TRUE),exact(Metadata!R383,"Not applicable"))</f>
        <v>0</v>
      </c>
    </row>
    <row r="384" spans="1:45">
      <c r="A384" s="4">
        <f>IF(B384=" "," ",HYPERLINK(CONCATENATE("#metadata!",ADDRESS(INDEX($X$2:$X$1001,MATCH(ROWS($V$2:V384),$V$2:$V$1001,0),0),2)),INDEX($AA$2:$AA$1001,MATCH(ROWS($V$2:V384),$V$2:$V$1001,0),0)))</f>
        <v>0</v>
      </c>
      <c r="B384" s="5">
        <f>IF(OR(INDEX($W$2:$W$1001,MATCH(ROWS($V$2:V384),$V$2:$V$1001,0),1)&gt;=100000,INDEX($AC$1005:$AS$1005,1,MATCH(COLUMNS($AC$1006:AC1006),$AC$1006:$AS$1006,0))&gt;=100000), " ",IF(INDEX($AC$2:$AS$1001,MATCH(ROWS($V$2:V384),$V$2:$V$1001,0),MATCH(COLUMNS($AC$1006:AC1006),$AC$1006:$AS$1006,0)), HYPERLINK("#",""), HYPERLINK(CONCATENATE("#Metadata!", ADDRESS(INDEX($X$2:$X$1001,MATCH(ROWS($V$2:V384),$V$2:$V$1001,0),0), INDEX($AC$1004:$AS$1004,1,MATCH(COLUMNS($AC$1006:AC1006),$AC$1006:$AS$1006,0)))),"Fix")))</f>
        <v>0</v>
      </c>
      <c r="C384" s="5">
        <f>IF(OR(INDEX($W$2:$W$1001,MATCH(ROWS($V$2:V384),$V$2:$V$1001,0),1)&gt;=100000,INDEX($AC$1005:$AS$1005,1,MATCH(COLUMNS($AC$1006:AD1006),$AC$1006:$AS$1006,0))&gt;=100000), " ",IF(INDEX($AC$2:$AS$1001,MATCH(ROWS($V$2:V384),$V$2:$V$1001,0),MATCH(COLUMNS($AC$1006:AD1006),$AC$1006:$AS$1006,0)), HYPERLINK("#",""), HYPERLINK(CONCATENATE("#Metadata!", ADDRESS(INDEX($X$2:$X$1001,MATCH(ROWS($V$2:V384),$V$2:$V$1001,0),0), INDEX($AC$1004:$AS$1004,1,MATCH(COLUMNS($AC$1006:AD1006),$AC$1006:$AS$1006,0)))),"Fix")))</f>
        <v>0</v>
      </c>
      <c r="D384" s="5">
        <f>IF(OR(INDEX($W$2:$W$1001,MATCH(ROWS($V$2:V384),$V$2:$V$1001,0),1)&gt;=100000,INDEX($AC$1005:$AS$1005,1,MATCH(COLUMNS($AC$1006:AE1006),$AC$1006:$AS$1006,0))&gt;=100000), " ",IF(INDEX($AC$2:$AS$1001,MATCH(ROWS($V$2:V384),$V$2:$V$1001,0),MATCH(COLUMNS($AC$1006:AE1006),$AC$1006:$AS$1006,0)), HYPERLINK("#",""), HYPERLINK(CONCATENATE("#Metadata!", ADDRESS(INDEX($X$2:$X$1001,MATCH(ROWS($V$2:V384),$V$2:$V$1001,0),0), INDEX($AC$1004:$AS$1004,1,MATCH(COLUMNS($AC$1006:AE1006),$AC$1006:$AS$1006,0)))),"Fix")))</f>
        <v>0</v>
      </c>
      <c r="E384" s="5">
        <f>IF(OR(INDEX($W$2:$W$1001,MATCH(ROWS($V$2:V384),$V$2:$V$1001,0),1)&gt;=100000,INDEX($AC$1005:$AS$1005,1,MATCH(COLUMNS($AC$1006:AF1006),$AC$1006:$AS$1006,0))&gt;=100000), " ",IF(INDEX($AC$2:$AS$1001,MATCH(ROWS($V$2:V384),$V$2:$V$1001,0),MATCH(COLUMNS($AC$1006:AF1006),$AC$1006:$AS$1006,0)), HYPERLINK("#",""), HYPERLINK(CONCATENATE("#Metadata!", ADDRESS(INDEX($X$2:$X$1001,MATCH(ROWS($V$2:V384),$V$2:$V$1001,0),0), INDEX($AC$1004:$AS$1004,1,MATCH(COLUMNS($AC$1006:AF1006),$AC$1006:$AS$1006,0)))),"Fix")))</f>
        <v>0</v>
      </c>
      <c r="F384" s="5">
        <f>IF(OR(INDEX($W$2:$W$1001,MATCH(ROWS($V$2:V384),$V$2:$V$1001,0),1)&gt;=100000,INDEX($AC$1005:$AS$1005,1,MATCH(COLUMNS($AC$1006:AG1006),$AC$1006:$AS$1006,0))&gt;=100000), " ",IF(INDEX($AC$2:$AS$1001,MATCH(ROWS($V$2:V384),$V$2:$V$1001,0),MATCH(COLUMNS($AC$1006:AG1006),$AC$1006:$AS$1006,0)), HYPERLINK("#",""), HYPERLINK(CONCATENATE("#Metadata!", ADDRESS(INDEX($X$2:$X$1001,MATCH(ROWS($V$2:V384),$V$2:$V$1001,0),0), INDEX($AC$1004:$AS$1004,1,MATCH(COLUMNS($AC$1006:AG1006),$AC$1006:$AS$1006,0)))),"Fix")))</f>
        <v>0</v>
      </c>
      <c r="G384" s="5">
        <f>IF(OR(INDEX($W$2:$W$1001,MATCH(ROWS($V$2:V384),$V$2:$V$1001,0),1)&gt;=100000,INDEX($AC$1005:$AS$1005,1,MATCH(COLUMNS($AC$1006:AH1006),$AC$1006:$AS$1006,0))&gt;=100000), " ",IF(INDEX($AC$2:$AS$1001,MATCH(ROWS($V$2:V384),$V$2:$V$1001,0),MATCH(COLUMNS($AC$1006:AH1006),$AC$1006:$AS$1006,0)), HYPERLINK("#",""), HYPERLINK(CONCATENATE("#Metadata!", ADDRESS(INDEX($X$2:$X$1001,MATCH(ROWS($V$2:V384),$V$2:$V$1001,0),0), INDEX($AC$1004:$AS$1004,1,MATCH(COLUMNS($AC$1006:AH1006),$AC$1006:$AS$1006,0)))),"Fix")))</f>
        <v>0</v>
      </c>
      <c r="H384" s="5">
        <f>IF(OR(INDEX($W$2:$W$1001,MATCH(ROWS($V$2:V384),$V$2:$V$1001,0),1)&gt;=100000,INDEX($AC$1005:$AS$1005,1,MATCH(COLUMNS($AC$1006:AI1006),$AC$1006:$AS$1006,0))&gt;=100000), " ",IF(INDEX($AC$2:$AS$1001,MATCH(ROWS($V$2:V384),$V$2:$V$1001,0),MATCH(COLUMNS($AC$1006:AI1006),$AC$1006:$AS$1006,0)), HYPERLINK("#",""), HYPERLINK(CONCATENATE("#Metadata!", ADDRESS(INDEX($X$2:$X$1001,MATCH(ROWS($V$2:V384),$V$2:$V$1001,0),0), INDEX($AC$1004:$AS$1004,1,MATCH(COLUMNS($AC$1006:AI1006),$AC$1006:$AS$1006,0)))),"Fix")))</f>
        <v>0</v>
      </c>
      <c r="I384" s="5">
        <f>IF(OR(INDEX($W$2:$W$1001,MATCH(ROWS($V$2:V384),$V$2:$V$1001,0),1)&gt;=100000,INDEX($AC$1005:$AS$1005,1,MATCH(COLUMNS($AC$1006:AJ1006),$AC$1006:$AS$1006,0))&gt;=100000), " ",IF(INDEX($AC$2:$AS$1001,MATCH(ROWS($V$2:V384),$V$2:$V$1001,0),MATCH(COLUMNS($AC$1006:AJ1006),$AC$1006:$AS$1006,0)), HYPERLINK("#",""), HYPERLINK(CONCATENATE("#Metadata!", ADDRESS(INDEX($X$2:$X$1001,MATCH(ROWS($V$2:V384),$V$2:$V$1001,0),0), INDEX($AC$1004:$AS$1004,1,MATCH(COLUMNS($AC$1006:AJ1006),$AC$1006:$AS$1006,0)))),"Fix")))</f>
        <v>0</v>
      </c>
      <c r="J384" s="5">
        <f>IF(OR(INDEX($W$2:$W$1001,MATCH(ROWS($V$2:V384),$V$2:$V$1001,0),1)&gt;=100000,INDEX($AC$1005:$AS$1005,1,MATCH(COLUMNS($AC$1006:AK1006),$AC$1006:$AS$1006,0))&gt;=100000), " ",IF(INDEX($AC$2:$AS$1001,MATCH(ROWS($V$2:V384),$V$2:$V$1001,0),MATCH(COLUMNS($AC$1006:AK1006),$AC$1006:$AS$1006,0)), HYPERLINK("#",""), HYPERLINK(CONCATENATE("#Metadata!", ADDRESS(INDEX($X$2:$X$1001,MATCH(ROWS($V$2:V384),$V$2:$V$1001,0),0), INDEX($AC$1004:$AS$1004,1,MATCH(COLUMNS($AC$1006:AK1006),$AC$1006:$AS$1006,0)))),"Fix")))</f>
        <v>0</v>
      </c>
      <c r="K384" s="5">
        <f>IF(OR(INDEX($W$2:$W$1001,MATCH(ROWS($V$2:V384),$V$2:$V$1001,0),1)&gt;=100000,INDEX($AC$1005:$AS$1005,1,MATCH(COLUMNS($AC$1006:AL1006),$AC$1006:$AS$1006,0))&gt;=100000), " ",IF(INDEX($AC$2:$AS$1001,MATCH(ROWS($V$2:V384),$V$2:$V$1001,0),MATCH(COLUMNS($AC$1006:AL1006),$AC$1006:$AS$1006,0)), HYPERLINK("#",""), HYPERLINK(CONCATENATE("#Metadata!", ADDRESS(INDEX($X$2:$X$1001,MATCH(ROWS($V$2:V384),$V$2:$V$1001,0),0), INDEX($AC$1004:$AS$1004,1,MATCH(COLUMNS($AC$1006:AL1006),$AC$1006:$AS$1006,0)))),"Fix")))</f>
        <v>0</v>
      </c>
      <c r="L384" s="5">
        <f>IF(OR(INDEX($W$2:$W$1001,MATCH(ROWS($V$2:V384),$V$2:$V$1001,0),1)&gt;=100000,INDEX($AC$1005:$AS$1005,1,MATCH(COLUMNS($AC$1006:AM1006),$AC$1006:$AS$1006,0))&gt;=100000), " ",IF(INDEX($AC$2:$AS$1001,MATCH(ROWS($V$2:V384),$V$2:$V$1001,0),MATCH(COLUMNS($AC$1006:AM1006),$AC$1006:$AS$1006,0)), HYPERLINK("#",""), HYPERLINK(CONCATENATE("#Metadata!", ADDRESS(INDEX($X$2:$X$1001,MATCH(ROWS($V$2:V384),$V$2:$V$1001,0),0), INDEX($AC$1004:$AS$1004,1,MATCH(COLUMNS($AC$1006:AM1006),$AC$1006:$AS$1006,0)))),"Fix")))</f>
        <v>0</v>
      </c>
      <c r="M384" s="5">
        <f>IF(OR(INDEX($W$2:$W$1001,MATCH(ROWS($V$2:V384),$V$2:$V$1001,0),1)&gt;=100000,INDEX($AC$1005:$AS$1005,1,MATCH(COLUMNS($AC$1006:AN1006),$AC$1006:$AS$1006,0))&gt;=100000), " ",IF(INDEX($AC$2:$AS$1001,MATCH(ROWS($V$2:V384),$V$2:$V$1001,0),MATCH(COLUMNS($AC$1006:AN1006),$AC$1006:$AS$1006,0)), HYPERLINK("#",""), HYPERLINK(CONCATENATE("#Metadata!", ADDRESS(INDEX($X$2:$X$1001,MATCH(ROWS($V$2:V384),$V$2:$V$1001,0),0), INDEX($AC$1004:$AS$1004,1,MATCH(COLUMNS($AC$1006:AN1006),$AC$1006:$AS$1006,0)))),"Fix")))</f>
        <v>0</v>
      </c>
      <c r="N384" s="5">
        <f>IF(OR(INDEX($W$2:$W$1001,MATCH(ROWS($V$2:V384),$V$2:$V$1001,0),1)&gt;=100000,INDEX($AC$1005:$AS$1005,1,MATCH(COLUMNS($AC$1006:AO1006),$AC$1006:$AS$1006,0))&gt;=100000), " ",IF(INDEX($AC$2:$AS$1001,MATCH(ROWS($V$2:V384),$V$2:$V$1001,0),MATCH(COLUMNS($AC$1006:AO1006),$AC$1006:$AS$1006,0)), HYPERLINK("#",""), HYPERLINK(CONCATENATE("#Metadata!", ADDRESS(INDEX($X$2:$X$1001,MATCH(ROWS($V$2:V384),$V$2:$V$1001,0),0), INDEX($AC$1004:$AS$1004,1,MATCH(COLUMNS($AC$1006:AO1006),$AC$1006:$AS$1006,0)))),"Fix")))</f>
        <v>0</v>
      </c>
      <c r="O384" s="5">
        <f>IF(OR(INDEX($W$2:$W$1001,MATCH(ROWS($V$2:V384),$V$2:$V$1001,0),1)&gt;=100000,INDEX($AC$1005:$AS$1005,1,MATCH(COLUMNS($AC$1006:AP1006),$AC$1006:$AS$1006,0))&gt;=100000), " ",IF(INDEX($AC$2:$AS$1001,MATCH(ROWS($V$2:V384),$V$2:$V$1001,0),MATCH(COLUMNS($AC$1006:AP1006),$AC$1006:$AS$1006,0)), HYPERLINK("#",""), HYPERLINK(CONCATENATE("#Metadata!", ADDRESS(INDEX($X$2:$X$1001,MATCH(ROWS($V$2:V384),$V$2:$V$1001,0),0), INDEX($AC$1004:$AS$1004,1,MATCH(COLUMNS($AC$1006:AP1006),$AC$1006:$AS$1006,0)))),"Fix")))</f>
        <v>0</v>
      </c>
      <c r="P384" s="5">
        <f>IF(OR(INDEX($W$2:$W$1001,MATCH(ROWS($V$2:V384),$V$2:$V$1001,0),1)&gt;=100000,INDEX($AC$1005:$AS$1005,1,MATCH(COLUMNS($AC$1006:AQ1006),$AC$1006:$AS$1006,0))&gt;=100000), " ",IF(INDEX($AC$2:$AS$1001,MATCH(ROWS($V$2:V384),$V$2:$V$1001,0),MATCH(COLUMNS($AC$1006:AQ1006),$AC$1006:$AS$1006,0)), HYPERLINK("#",""), HYPERLINK(CONCATENATE("#Metadata!", ADDRESS(INDEX($X$2:$X$1001,MATCH(ROWS($V$2:V384),$V$2:$V$1001,0),0), INDEX($AC$1004:$AS$1004,1,MATCH(COLUMNS($AC$1006:AQ1006),$AC$1006:$AS$1006,0)))),"Fix")))</f>
        <v>0</v>
      </c>
      <c r="Q384" s="5">
        <f>IF(OR(INDEX($W$2:$W$1001,MATCH(ROWS($V$2:V384),$V$2:$V$1001,0),1)&gt;=100000,INDEX($AC$1005:$AS$1005,1,MATCH(COLUMNS($AC$1006:AR1006),$AC$1006:$AS$1006,0))&gt;=100000), " ",IF(INDEX($AC$2:$AS$1001,MATCH(ROWS($V$2:V384),$V$2:$V$1001,0),MATCH(COLUMNS($AC$1006:AR1006),$AC$1006:$AS$1006,0)), HYPERLINK("#",""), HYPERLINK(CONCATENATE("#Metadata!", ADDRESS(INDEX($X$2:$X$1001,MATCH(ROWS($V$2:V384),$V$2:$V$1001,0),0), INDEX($AC$1004:$AS$1004,1,MATCH(COLUMNS($AC$1006:AR1006),$AC$1006:$AS$1006,0)))),"Fix")))</f>
        <v>0</v>
      </c>
      <c r="R384" s="5">
        <f>IF(OR(INDEX($W$2:$W$1001,MATCH(ROWS($V$2:V384),$V$2:$V$1001,0),1)&gt;=100000,INDEX($AC$1005:$AS$1005,1,MATCH(COLUMNS($AC$1006:AS1006),$AC$1006:$AS$1006,0))&gt;=100000), " ",IF(INDEX($AC$2:$AS$1001,MATCH(ROWS($V$2:V384),$V$2:$V$1001,0),MATCH(COLUMNS($AC$1006:AS1006),$AC$1006:$AS$1006,0)), HYPERLINK("#",""), HYPERLINK(CONCATENATE("#Metadata!", ADDRESS(INDEX($X$2:$X$1001,MATCH(ROWS($V$2:V384),$V$2:$V$1001,0),0), INDEX($AC$1004:$AS$1004,1,MATCH(COLUMNS($AC$1006:AS1006),$AC$1006:$AS$1006,0)))),"Fix")))</f>
        <v>0</v>
      </c>
      <c r="V384">
        <v>0</v>
      </c>
      <c r="W384">
        <v>0</v>
      </c>
      <c r="X384">
        <v>0</v>
      </c>
      <c r="Y384">
        <f>IF(Z384,TRUE,AND(AC384:AS384))</f>
        <v>0</v>
      </c>
      <c r="Z384">
        <f>COUNTBLANK(Metadata!B384:R384)=COLUMNS(Metadata!B384:R384)</f>
        <v>0</v>
      </c>
      <c r="AA384">
        <v>0</v>
      </c>
      <c r="AC384">
        <f>AND(IF(Metadata!B384="",FALSE,TRUE),COUNTIF(Metadata!B:B, Metadata!B384) = 1,NOT(ISERROR(SUMPRODUCT(SEARCH(MID(Metadata!B384,ROW(INDIRECT("1:"&amp;LEN(Metadata!B384))), 1),"0123456789abcdefghijklmnopqrstuvwxyzABCDEFGHIJKLMNOPQRSTUVWXYZ.")))))</f>
        <v>0</v>
      </c>
      <c r="AD384">
        <f>AND(IF(Metadata!C384="",FALSE,TRUE),exact(Metadata!C384,"Host-associated"))</f>
        <v>0</v>
      </c>
      <c r="AE384">
        <f>AND(IF(Metadata!D384="",FALSE,TRUE),OR(exact(Metadata!D384,"Animal"),exact(Metadata!D384,"Fungus"),exact(Metadata!D384,"Plant")))</f>
        <v>0</v>
      </c>
      <c r="AF384">
        <f>AND(IF(Metadata!E384="",FALSE,TRUE),OR(exact(Metadata!E384,"Plant secretion"),exact(Metadata!E384,"Plant rhizosphere"),exact(Metadata!E384,"Plant surface"),exact(Metadata!E384,"Plant corpus"),exact(Metadata!E384,"Fungus surface"),exact(Metadata!E384,"Fungus corpus"),exact(Metadata!E384,"Animal surface"),exact(Metadata!E384,"Animal proximal gut"),exact(Metadata!E384,"Animal corpus"),exact(Metadata!E384,"Animal distal gut"),exact(Metadata!E384,"Animal secretion")))</f>
        <v>0</v>
      </c>
      <c r="AG384">
        <f>OR(AND(IF(Metadata!F384="",FALSE,TRUE),OR(exact(Metadata!F384,"not collected"),exact(Metadata!F384,"not provided"),exact(Metadata!F384,"restricted access"))),AND(IF(Metadata!F384="",FALSE,TRUE),OR(exact(Metadata!F384,"organism-associated habitat"),exact(Metadata!F384,"plant-associated habitat"),exact(Metadata!F384,"animal-associated habitat"),exact(Metadata!F384,"insecta-associated habitat"),exact(Metadata!F384,"mammalia-associated habitat"),exact(Metadata!F384,"human-associated habitat"),exact(Metadata!F384,"livestock-associated habitat"))))</f>
        <v>0</v>
      </c>
      <c r="AH384">
        <f>AND(IF(Metadata!G384="",FALSE,TRUE),exact(Metadata!G384,"host-associated"))</f>
        <v>0</v>
      </c>
      <c r="AI384">
        <f>OR(AND(IF(Metadata!H384="",FALSE,TRUE),OR(exact(Metadata!H384,"not collected"),exact(Metadata!H384,"not provided"))),AND(IF(Metadata!H384="",FALSE,ISNUMBER(VALUE(Metadata!H384))),Metadata!H384&gt;0))</f>
        <v>0</v>
      </c>
      <c r="AJ384">
        <f>AND(IF(Metadata!I384="",FALSE,TRUE),exact(Metadata!I384,"years"))</f>
        <v>0</v>
      </c>
      <c r="AK384">
        <f>IF(Metadata!J384="",FALSE,TRUE)</f>
        <v>0</v>
      </c>
      <c r="AL384">
        <f>OR(AND(IF(Metadata!K384="",FALSE,TRUE),OR(exact(Metadata!K384,"not collected"),exact(Metadata!K384,"not provided"))),AND(IF(Metadata!K384="",FALSE,ISNUMBER(VALUE(Metadata!K384))),Metadata!K384&gt;0))</f>
        <v>0</v>
      </c>
      <c r="AM384">
        <f>AND(IF(Metadata!L384="",FALSE,TRUE),exact(Metadata!L384,"cm"))</f>
        <v>0</v>
      </c>
      <c r="AN384">
        <f>IF(Metadata!M384="",FALSE,TRUE)</f>
        <v>0</v>
      </c>
      <c r="AO384">
        <f>OR(AND(IF(Metadata!N384="",FALSE,TRUE),OR(exact(Metadata!N384,"not applicable"),exact(Metadata!N384,"not collected"),exact(Metadata!N384,"not provided"))),AND(IF(Metadata!N384="",FALSE,IF(ISERROR(INT(Metadata!N384)),FALSE,INT(Metadata!N384)=Metadata!N384)),Metadata!N384&gt;0))</f>
        <v>0</v>
      </c>
      <c r="AP384">
        <f>OR(AND(IF(Metadata!O384="",FALSE,TRUE),OR(exact(Metadata!O384,"not collected"),exact(Metadata!O384,"not provided"))),AND(IF(Metadata!O384="",FALSE,ISNUMBER(VALUE(Metadata!O384))),Metadata!O384&gt;0))</f>
        <v>0</v>
      </c>
      <c r="AQ384">
        <f>AND(IF(Metadata!P384="",FALSE,TRUE),exact(Metadata!P384,"kg"))</f>
        <v>0</v>
      </c>
      <c r="AR384">
        <f>OR(AND(IF(Metadata!Q384="",FALSE,TRUE),OR(exact(Metadata!Q384,"not applicable"),exact(Metadata!Q384,"not collected"),exact(Metadata!Q384,"not provided"),exact(Metadata!Q384,"restricted access"))),IF(Metadata!Q384="",FALSE,IF(ISERROR(INT(Metadata!Q384)),FALSE,INT(Metadata!Q384)=Metadata!Q384)))</f>
        <v>0</v>
      </c>
      <c r="AS384">
        <f>AND(IF(Metadata!R384="",FALSE,TRUE),exact(Metadata!R384,"Not applicable"))</f>
        <v>0</v>
      </c>
    </row>
    <row r="385" spans="1:45">
      <c r="A385" s="4">
        <f>IF(B385=" "," ",HYPERLINK(CONCATENATE("#metadata!",ADDRESS(INDEX($X$2:$X$1001,MATCH(ROWS($V$2:V385),$V$2:$V$1001,0),0),2)),INDEX($AA$2:$AA$1001,MATCH(ROWS($V$2:V385),$V$2:$V$1001,0),0)))</f>
        <v>0</v>
      </c>
      <c r="B385" s="5">
        <f>IF(OR(INDEX($W$2:$W$1001,MATCH(ROWS($V$2:V385),$V$2:$V$1001,0),1)&gt;=100000,INDEX($AC$1005:$AS$1005,1,MATCH(COLUMNS($AC$1006:AC1006),$AC$1006:$AS$1006,0))&gt;=100000), " ",IF(INDEX($AC$2:$AS$1001,MATCH(ROWS($V$2:V385),$V$2:$V$1001,0),MATCH(COLUMNS($AC$1006:AC1006),$AC$1006:$AS$1006,0)), HYPERLINK("#",""), HYPERLINK(CONCATENATE("#Metadata!", ADDRESS(INDEX($X$2:$X$1001,MATCH(ROWS($V$2:V385),$V$2:$V$1001,0),0), INDEX($AC$1004:$AS$1004,1,MATCH(COLUMNS($AC$1006:AC1006),$AC$1006:$AS$1006,0)))),"Fix")))</f>
        <v>0</v>
      </c>
      <c r="C385" s="5">
        <f>IF(OR(INDEX($W$2:$W$1001,MATCH(ROWS($V$2:V385),$V$2:$V$1001,0),1)&gt;=100000,INDEX($AC$1005:$AS$1005,1,MATCH(COLUMNS($AC$1006:AD1006),$AC$1006:$AS$1006,0))&gt;=100000), " ",IF(INDEX($AC$2:$AS$1001,MATCH(ROWS($V$2:V385),$V$2:$V$1001,0),MATCH(COLUMNS($AC$1006:AD1006),$AC$1006:$AS$1006,0)), HYPERLINK("#",""), HYPERLINK(CONCATENATE("#Metadata!", ADDRESS(INDEX($X$2:$X$1001,MATCH(ROWS($V$2:V385),$V$2:$V$1001,0),0), INDEX($AC$1004:$AS$1004,1,MATCH(COLUMNS($AC$1006:AD1006),$AC$1006:$AS$1006,0)))),"Fix")))</f>
        <v>0</v>
      </c>
      <c r="D385" s="5">
        <f>IF(OR(INDEX($W$2:$W$1001,MATCH(ROWS($V$2:V385),$V$2:$V$1001,0),1)&gt;=100000,INDEX($AC$1005:$AS$1005,1,MATCH(COLUMNS($AC$1006:AE1006),$AC$1006:$AS$1006,0))&gt;=100000), " ",IF(INDEX($AC$2:$AS$1001,MATCH(ROWS($V$2:V385),$V$2:$V$1001,0),MATCH(COLUMNS($AC$1006:AE1006),$AC$1006:$AS$1006,0)), HYPERLINK("#",""), HYPERLINK(CONCATENATE("#Metadata!", ADDRESS(INDEX($X$2:$X$1001,MATCH(ROWS($V$2:V385),$V$2:$V$1001,0),0), INDEX($AC$1004:$AS$1004,1,MATCH(COLUMNS($AC$1006:AE1006),$AC$1006:$AS$1006,0)))),"Fix")))</f>
        <v>0</v>
      </c>
      <c r="E385" s="5">
        <f>IF(OR(INDEX($W$2:$W$1001,MATCH(ROWS($V$2:V385),$V$2:$V$1001,0),1)&gt;=100000,INDEX($AC$1005:$AS$1005,1,MATCH(COLUMNS($AC$1006:AF1006),$AC$1006:$AS$1006,0))&gt;=100000), " ",IF(INDEX($AC$2:$AS$1001,MATCH(ROWS($V$2:V385),$V$2:$V$1001,0),MATCH(COLUMNS($AC$1006:AF1006),$AC$1006:$AS$1006,0)), HYPERLINK("#",""), HYPERLINK(CONCATENATE("#Metadata!", ADDRESS(INDEX($X$2:$X$1001,MATCH(ROWS($V$2:V385),$V$2:$V$1001,0),0), INDEX($AC$1004:$AS$1004,1,MATCH(COLUMNS($AC$1006:AF1006),$AC$1006:$AS$1006,0)))),"Fix")))</f>
        <v>0</v>
      </c>
      <c r="F385" s="5">
        <f>IF(OR(INDEX($W$2:$W$1001,MATCH(ROWS($V$2:V385),$V$2:$V$1001,0),1)&gt;=100000,INDEX($AC$1005:$AS$1005,1,MATCH(COLUMNS($AC$1006:AG1006),$AC$1006:$AS$1006,0))&gt;=100000), " ",IF(INDEX($AC$2:$AS$1001,MATCH(ROWS($V$2:V385),$V$2:$V$1001,0),MATCH(COLUMNS($AC$1006:AG1006),$AC$1006:$AS$1006,0)), HYPERLINK("#",""), HYPERLINK(CONCATENATE("#Metadata!", ADDRESS(INDEX($X$2:$X$1001,MATCH(ROWS($V$2:V385),$V$2:$V$1001,0),0), INDEX($AC$1004:$AS$1004,1,MATCH(COLUMNS($AC$1006:AG1006),$AC$1006:$AS$1006,0)))),"Fix")))</f>
        <v>0</v>
      </c>
      <c r="G385" s="5">
        <f>IF(OR(INDEX($W$2:$W$1001,MATCH(ROWS($V$2:V385),$V$2:$V$1001,0),1)&gt;=100000,INDEX($AC$1005:$AS$1005,1,MATCH(COLUMNS($AC$1006:AH1006),$AC$1006:$AS$1006,0))&gt;=100000), " ",IF(INDEX($AC$2:$AS$1001,MATCH(ROWS($V$2:V385),$V$2:$V$1001,0),MATCH(COLUMNS($AC$1006:AH1006),$AC$1006:$AS$1006,0)), HYPERLINK("#",""), HYPERLINK(CONCATENATE("#Metadata!", ADDRESS(INDEX($X$2:$X$1001,MATCH(ROWS($V$2:V385),$V$2:$V$1001,0),0), INDEX($AC$1004:$AS$1004,1,MATCH(COLUMNS($AC$1006:AH1006),$AC$1006:$AS$1006,0)))),"Fix")))</f>
        <v>0</v>
      </c>
      <c r="H385" s="5">
        <f>IF(OR(INDEX($W$2:$W$1001,MATCH(ROWS($V$2:V385),$V$2:$V$1001,0),1)&gt;=100000,INDEX($AC$1005:$AS$1005,1,MATCH(COLUMNS($AC$1006:AI1006),$AC$1006:$AS$1006,0))&gt;=100000), " ",IF(INDEX($AC$2:$AS$1001,MATCH(ROWS($V$2:V385),$V$2:$V$1001,0),MATCH(COLUMNS($AC$1006:AI1006),$AC$1006:$AS$1006,0)), HYPERLINK("#",""), HYPERLINK(CONCATENATE("#Metadata!", ADDRESS(INDEX($X$2:$X$1001,MATCH(ROWS($V$2:V385),$V$2:$V$1001,0),0), INDEX($AC$1004:$AS$1004,1,MATCH(COLUMNS($AC$1006:AI1006),$AC$1006:$AS$1006,0)))),"Fix")))</f>
        <v>0</v>
      </c>
      <c r="I385" s="5">
        <f>IF(OR(INDEX($W$2:$W$1001,MATCH(ROWS($V$2:V385),$V$2:$V$1001,0),1)&gt;=100000,INDEX($AC$1005:$AS$1005,1,MATCH(COLUMNS($AC$1006:AJ1006),$AC$1006:$AS$1006,0))&gt;=100000), " ",IF(INDEX($AC$2:$AS$1001,MATCH(ROWS($V$2:V385),$V$2:$V$1001,0),MATCH(COLUMNS($AC$1006:AJ1006),$AC$1006:$AS$1006,0)), HYPERLINK("#",""), HYPERLINK(CONCATENATE("#Metadata!", ADDRESS(INDEX($X$2:$X$1001,MATCH(ROWS($V$2:V385),$V$2:$V$1001,0),0), INDEX($AC$1004:$AS$1004,1,MATCH(COLUMNS($AC$1006:AJ1006),$AC$1006:$AS$1006,0)))),"Fix")))</f>
        <v>0</v>
      </c>
      <c r="J385" s="5">
        <f>IF(OR(INDEX($W$2:$W$1001,MATCH(ROWS($V$2:V385),$V$2:$V$1001,0),1)&gt;=100000,INDEX($AC$1005:$AS$1005,1,MATCH(COLUMNS($AC$1006:AK1006),$AC$1006:$AS$1006,0))&gt;=100000), " ",IF(INDEX($AC$2:$AS$1001,MATCH(ROWS($V$2:V385),$V$2:$V$1001,0),MATCH(COLUMNS($AC$1006:AK1006),$AC$1006:$AS$1006,0)), HYPERLINK("#",""), HYPERLINK(CONCATENATE("#Metadata!", ADDRESS(INDEX($X$2:$X$1001,MATCH(ROWS($V$2:V385),$V$2:$V$1001,0),0), INDEX($AC$1004:$AS$1004,1,MATCH(COLUMNS($AC$1006:AK1006),$AC$1006:$AS$1006,0)))),"Fix")))</f>
        <v>0</v>
      </c>
      <c r="K385" s="5">
        <f>IF(OR(INDEX($W$2:$W$1001,MATCH(ROWS($V$2:V385),$V$2:$V$1001,0),1)&gt;=100000,INDEX($AC$1005:$AS$1005,1,MATCH(COLUMNS($AC$1006:AL1006),$AC$1006:$AS$1006,0))&gt;=100000), " ",IF(INDEX($AC$2:$AS$1001,MATCH(ROWS($V$2:V385),$V$2:$V$1001,0),MATCH(COLUMNS($AC$1006:AL1006),$AC$1006:$AS$1006,0)), HYPERLINK("#",""), HYPERLINK(CONCATENATE("#Metadata!", ADDRESS(INDEX($X$2:$X$1001,MATCH(ROWS($V$2:V385),$V$2:$V$1001,0),0), INDEX($AC$1004:$AS$1004,1,MATCH(COLUMNS($AC$1006:AL1006),$AC$1006:$AS$1006,0)))),"Fix")))</f>
        <v>0</v>
      </c>
      <c r="L385" s="5">
        <f>IF(OR(INDEX($W$2:$W$1001,MATCH(ROWS($V$2:V385),$V$2:$V$1001,0),1)&gt;=100000,INDEX($AC$1005:$AS$1005,1,MATCH(COLUMNS($AC$1006:AM1006),$AC$1006:$AS$1006,0))&gt;=100000), " ",IF(INDEX($AC$2:$AS$1001,MATCH(ROWS($V$2:V385),$V$2:$V$1001,0),MATCH(COLUMNS($AC$1006:AM1006),$AC$1006:$AS$1006,0)), HYPERLINK("#",""), HYPERLINK(CONCATENATE("#Metadata!", ADDRESS(INDEX($X$2:$X$1001,MATCH(ROWS($V$2:V385),$V$2:$V$1001,0),0), INDEX($AC$1004:$AS$1004,1,MATCH(COLUMNS($AC$1006:AM1006),$AC$1006:$AS$1006,0)))),"Fix")))</f>
        <v>0</v>
      </c>
      <c r="M385" s="5">
        <f>IF(OR(INDEX($W$2:$W$1001,MATCH(ROWS($V$2:V385),$V$2:$V$1001,0),1)&gt;=100000,INDEX($AC$1005:$AS$1005,1,MATCH(COLUMNS($AC$1006:AN1006),$AC$1006:$AS$1006,0))&gt;=100000), " ",IF(INDEX($AC$2:$AS$1001,MATCH(ROWS($V$2:V385),$V$2:$V$1001,0),MATCH(COLUMNS($AC$1006:AN1006),$AC$1006:$AS$1006,0)), HYPERLINK("#",""), HYPERLINK(CONCATENATE("#Metadata!", ADDRESS(INDEX($X$2:$X$1001,MATCH(ROWS($V$2:V385),$V$2:$V$1001,0),0), INDEX($AC$1004:$AS$1004,1,MATCH(COLUMNS($AC$1006:AN1006),$AC$1006:$AS$1006,0)))),"Fix")))</f>
        <v>0</v>
      </c>
      <c r="N385" s="5">
        <f>IF(OR(INDEX($W$2:$W$1001,MATCH(ROWS($V$2:V385),$V$2:$V$1001,0),1)&gt;=100000,INDEX($AC$1005:$AS$1005,1,MATCH(COLUMNS($AC$1006:AO1006),$AC$1006:$AS$1006,0))&gt;=100000), " ",IF(INDEX($AC$2:$AS$1001,MATCH(ROWS($V$2:V385),$V$2:$V$1001,0),MATCH(COLUMNS($AC$1006:AO1006),$AC$1006:$AS$1006,0)), HYPERLINK("#",""), HYPERLINK(CONCATENATE("#Metadata!", ADDRESS(INDEX($X$2:$X$1001,MATCH(ROWS($V$2:V385),$V$2:$V$1001,0),0), INDEX($AC$1004:$AS$1004,1,MATCH(COLUMNS($AC$1006:AO1006),$AC$1006:$AS$1006,0)))),"Fix")))</f>
        <v>0</v>
      </c>
      <c r="O385" s="5">
        <f>IF(OR(INDEX($W$2:$W$1001,MATCH(ROWS($V$2:V385),$V$2:$V$1001,0),1)&gt;=100000,INDEX($AC$1005:$AS$1005,1,MATCH(COLUMNS($AC$1006:AP1006),$AC$1006:$AS$1006,0))&gt;=100000), " ",IF(INDEX($AC$2:$AS$1001,MATCH(ROWS($V$2:V385),$V$2:$V$1001,0),MATCH(COLUMNS($AC$1006:AP1006),$AC$1006:$AS$1006,0)), HYPERLINK("#",""), HYPERLINK(CONCATENATE("#Metadata!", ADDRESS(INDEX($X$2:$X$1001,MATCH(ROWS($V$2:V385),$V$2:$V$1001,0),0), INDEX($AC$1004:$AS$1004,1,MATCH(COLUMNS($AC$1006:AP1006),$AC$1006:$AS$1006,0)))),"Fix")))</f>
        <v>0</v>
      </c>
      <c r="P385" s="5">
        <f>IF(OR(INDEX($W$2:$W$1001,MATCH(ROWS($V$2:V385),$V$2:$V$1001,0),1)&gt;=100000,INDEX($AC$1005:$AS$1005,1,MATCH(COLUMNS($AC$1006:AQ1006),$AC$1006:$AS$1006,0))&gt;=100000), " ",IF(INDEX($AC$2:$AS$1001,MATCH(ROWS($V$2:V385),$V$2:$V$1001,0),MATCH(COLUMNS($AC$1006:AQ1006),$AC$1006:$AS$1006,0)), HYPERLINK("#",""), HYPERLINK(CONCATENATE("#Metadata!", ADDRESS(INDEX($X$2:$X$1001,MATCH(ROWS($V$2:V385),$V$2:$V$1001,0),0), INDEX($AC$1004:$AS$1004,1,MATCH(COLUMNS($AC$1006:AQ1006),$AC$1006:$AS$1006,0)))),"Fix")))</f>
        <v>0</v>
      </c>
      <c r="Q385" s="5">
        <f>IF(OR(INDEX($W$2:$W$1001,MATCH(ROWS($V$2:V385),$V$2:$V$1001,0),1)&gt;=100000,INDEX($AC$1005:$AS$1005,1,MATCH(COLUMNS($AC$1006:AR1006),$AC$1006:$AS$1006,0))&gt;=100000), " ",IF(INDEX($AC$2:$AS$1001,MATCH(ROWS($V$2:V385),$V$2:$V$1001,0),MATCH(COLUMNS($AC$1006:AR1006),$AC$1006:$AS$1006,0)), HYPERLINK("#",""), HYPERLINK(CONCATENATE("#Metadata!", ADDRESS(INDEX($X$2:$X$1001,MATCH(ROWS($V$2:V385),$V$2:$V$1001,0),0), INDEX($AC$1004:$AS$1004,1,MATCH(COLUMNS($AC$1006:AR1006),$AC$1006:$AS$1006,0)))),"Fix")))</f>
        <v>0</v>
      </c>
      <c r="R385" s="5">
        <f>IF(OR(INDEX($W$2:$W$1001,MATCH(ROWS($V$2:V385),$V$2:$V$1001,0),1)&gt;=100000,INDEX($AC$1005:$AS$1005,1,MATCH(COLUMNS($AC$1006:AS1006),$AC$1006:$AS$1006,0))&gt;=100000), " ",IF(INDEX($AC$2:$AS$1001,MATCH(ROWS($V$2:V385),$V$2:$V$1001,0),MATCH(COLUMNS($AC$1006:AS1006),$AC$1006:$AS$1006,0)), HYPERLINK("#",""), HYPERLINK(CONCATENATE("#Metadata!", ADDRESS(INDEX($X$2:$X$1001,MATCH(ROWS($V$2:V385),$V$2:$V$1001,0),0), INDEX($AC$1004:$AS$1004,1,MATCH(COLUMNS($AC$1006:AS1006),$AC$1006:$AS$1006,0)))),"Fix")))</f>
        <v>0</v>
      </c>
      <c r="V385">
        <v>0</v>
      </c>
      <c r="W385">
        <v>0</v>
      </c>
      <c r="X385">
        <v>0</v>
      </c>
      <c r="Y385">
        <f>IF(Z385,TRUE,AND(AC385:AS385))</f>
        <v>0</v>
      </c>
      <c r="Z385">
        <f>COUNTBLANK(Metadata!B385:R385)=COLUMNS(Metadata!B385:R385)</f>
        <v>0</v>
      </c>
      <c r="AA385">
        <v>0</v>
      </c>
      <c r="AC385">
        <f>AND(IF(Metadata!B385="",FALSE,TRUE),COUNTIF(Metadata!B:B, Metadata!B385) = 1,NOT(ISERROR(SUMPRODUCT(SEARCH(MID(Metadata!B385,ROW(INDIRECT("1:"&amp;LEN(Metadata!B385))), 1),"0123456789abcdefghijklmnopqrstuvwxyzABCDEFGHIJKLMNOPQRSTUVWXYZ.")))))</f>
        <v>0</v>
      </c>
      <c r="AD385">
        <f>AND(IF(Metadata!C385="",FALSE,TRUE),exact(Metadata!C385,"Host-associated"))</f>
        <v>0</v>
      </c>
      <c r="AE385">
        <f>AND(IF(Metadata!D385="",FALSE,TRUE),OR(exact(Metadata!D385,"Animal"),exact(Metadata!D385,"Fungus"),exact(Metadata!D385,"Plant")))</f>
        <v>0</v>
      </c>
      <c r="AF385">
        <f>AND(IF(Metadata!E385="",FALSE,TRUE),OR(exact(Metadata!E385,"Plant secretion"),exact(Metadata!E385,"Plant rhizosphere"),exact(Metadata!E385,"Plant surface"),exact(Metadata!E385,"Plant corpus"),exact(Metadata!E385,"Fungus surface"),exact(Metadata!E385,"Fungus corpus"),exact(Metadata!E385,"Animal surface"),exact(Metadata!E385,"Animal proximal gut"),exact(Metadata!E385,"Animal corpus"),exact(Metadata!E385,"Animal distal gut"),exact(Metadata!E385,"Animal secretion")))</f>
        <v>0</v>
      </c>
      <c r="AG385">
        <f>OR(AND(IF(Metadata!F385="",FALSE,TRUE),OR(exact(Metadata!F385,"not collected"),exact(Metadata!F385,"not provided"),exact(Metadata!F385,"restricted access"))),AND(IF(Metadata!F385="",FALSE,TRUE),OR(exact(Metadata!F385,"organism-associated habitat"),exact(Metadata!F385,"plant-associated habitat"),exact(Metadata!F385,"animal-associated habitat"),exact(Metadata!F385,"insecta-associated habitat"),exact(Metadata!F385,"mammalia-associated habitat"),exact(Metadata!F385,"human-associated habitat"),exact(Metadata!F385,"livestock-associated habitat"))))</f>
        <v>0</v>
      </c>
      <c r="AH385">
        <f>AND(IF(Metadata!G385="",FALSE,TRUE),exact(Metadata!G385,"host-associated"))</f>
        <v>0</v>
      </c>
      <c r="AI385">
        <f>OR(AND(IF(Metadata!H385="",FALSE,TRUE),OR(exact(Metadata!H385,"not collected"),exact(Metadata!H385,"not provided"))),AND(IF(Metadata!H385="",FALSE,ISNUMBER(VALUE(Metadata!H385))),Metadata!H385&gt;0))</f>
        <v>0</v>
      </c>
      <c r="AJ385">
        <f>AND(IF(Metadata!I385="",FALSE,TRUE),exact(Metadata!I385,"years"))</f>
        <v>0</v>
      </c>
      <c r="AK385">
        <f>IF(Metadata!J385="",FALSE,TRUE)</f>
        <v>0</v>
      </c>
      <c r="AL385">
        <f>OR(AND(IF(Metadata!K385="",FALSE,TRUE),OR(exact(Metadata!K385,"not collected"),exact(Metadata!K385,"not provided"))),AND(IF(Metadata!K385="",FALSE,ISNUMBER(VALUE(Metadata!K385))),Metadata!K385&gt;0))</f>
        <v>0</v>
      </c>
      <c r="AM385">
        <f>AND(IF(Metadata!L385="",FALSE,TRUE),exact(Metadata!L385,"cm"))</f>
        <v>0</v>
      </c>
      <c r="AN385">
        <f>IF(Metadata!M385="",FALSE,TRUE)</f>
        <v>0</v>
      </c>
      <c r="AO385">
        <f>OR(AND(IF(Metadata!N385="",FALSE,TRUE),OR(exact(Metadata!N385,"not applicable"),exact(Metadata!N385,"not collected"),exact(Metadata!N385,"not provided"))),AND(IF(Metadata!N385="",FALSE,IF(ISERROR(INT(Metadata!N385)),FALSE,INT(Metadata!N385)=Metadata!N385)),Metadata!N385&gt;0))</f>
        <v>0</v>
      </c>
      <c r="AP385">
        <f>OR(AND(IF(Metadata!O385="",FALSE,TRUE),OR(exact(Metadata!O385,"not collected"),exact(Metadata!O385,"not provided"))),AND(IF(Metadata!O385="",FALSE,ISNUMBER(VALUE(Metadata!O385))),Metadata!O385&gt;0))</f>
        <v>0</v>
      </c>
      <c r="AQ385">
        <f>AND(IF(Metadata!P385="",FALSE,TRUE),exact(Metadata!P385,"kg"))</f>
        <v>0</v>
      </c>
      <c r="AR385">
        <f>OR(AND(IF(Metadata!Q385="",FALSE,TRUE),OR(exact(Metadata!Q385,"not applicable"),exact(Metadata!Q385,"not collected"),exact(Metadata!Q385,"not provided"),exact(Metadata!Q385,"restricted access"))),IF(Metadata!Q385="",FALSE,IF(ISERROR(INT(Metadata!Q385)),FALSE,INT(Metadata!Q385)=Metadata!Q385)))</f>
        <v>0</v>
      </c>
      <c r="AS385">
        <f>AND(IF(Metadata!R385="",FALSE,TRUE),exact(Metadata!R385,"Not applicable"))</f>
        <v>0</v>
      </c>
    </row>
    <row r="386" spans="1:45">
      <c r="A386" s="4">
        <f>IF(B386=" "," ",HYPERLINK(CONCATENATE("#metadata!",ADDRESS(INDEX($X$2:$X$1001,MATCH(ROWS($V$2:V386),$V$2:$V$1001,0),0),2)),INDEX($AA$2:$AA$1001,MATCH(ROWS($V$2:V386),$V$2:$V$1001,0),0)))</f>
        <v>0</v>
      </c>
      <c r="B386" s="5">
        <f>IF(OR(INDEX($W$2:$W$1001,MATCH(ROWS($V$2:V386),$V$2:$V$1001,0),1)&gt;=100000,INDEX($AC$1005:$AS$1005,1,MATCH(COLUMNS($AC$1006:AC1006),$AC$1006:$AS$1006,0))&gt;=100000), " ",IF(INDEX($AC$2:$AS$1001,MATCH(ROWS($V$2:V386),$V$2:$V$1001,0),MATCH(COLUMNS($AC$1006:AC1006),$AC$1006:$AS$1006,0)), HYPERLINK("#",""), HYPERLINK(CONCATENATE("#Metadata!", ADDRESS(INDEX($X$2:$X$1001,MATCH(ROWS($V$2:V386),$V$2:$V$1001,0),0), INDEX($AC$1004:$AS$1004,1,MATCH(COLUMNS($AC$1006:AC1006),$AC$1006:$AS$1006,0)))),"Fix")))</f>
        <v>0</v>
      </c>
      <c r="C386" s="5">
        <f>IF(OR(INDEX($W$2:$W$1001,MATCH(ROWS($V$2:V386),$V$2:$V$1001,0),1)&gt;=100000,INDEX($AC$1005:$AS$1005,1,MATCH(COLUMNS($AC$1006:AD1006),$AC$1006:$AS$1006,0))&gt;=100000), " ",IF(INDEX($AC$2:$AS$1001,MATCH(ROWS($V$2:V386),$V$2:$V$1001,0),MATCH(COLUMNS($AC$1006:AD1006),$AC$1006:$AS$1006,0)), HYPERLINK("#",""), HYPERLINK(CONCATENATE("#Metadata!", ADDRESS(INDEX($X$2:$X$1001,MATCH(ROWS($V$2:V386),$V$2:$V$1001,0),0), INDEX($AC$1004:$AS$1004,1,MATCH(COLUMNS($AC$1006:AD1006),$AC$1006:$AS$1006,0)))),"Fix")))</f>
        <v>0</v>
      </c>
      <c r="D386" s="5">
        <f>IF(OR(INDEX($W$2:$W$1001,MATCH(ROWS($V$2:V386),$V$2:$V$1001,0),1)&gt;=100000,INDEX($AC$1005:$AS$1005,1,MATCH(COLUMNS($AC$1006:AE1006),$AC$1006:$AS$1006,0))&gt;=100000), " ",IF(INDEX($AC$2:$AS$1001,MATCH(ROWS($V$2:V386),$V$2:$V$1001,0),MATCH(COLUMNS($AC$1006:AE1006),$AC$1006:$AS$1006,0)), HYPERLINK("#",""), HYPERLINK(CONCATENATE("#Metadata!", ADDRESS(INDEX($X$2:$X$1001,MATCH(ROWS($V$2:V386),$V$2:$V$1001,0),0), INDEX($AC$1004:$AS$1004,1,MATCH(COLUMNS($AC$1006:AE1006),$AC$1006:$AS$1006,0)))),"Fix")))</f>
        <v>0</v>
      </c>
      <c r="E386" s="5">
        <f>IF(OR(INDEX($W$2:$W$1001,MATCH(ROWS($V$2:V386),$V$2:$V$1001,0),1)&gt;=100000,INDEX($AC$1005:$AS$1005,1,MATCH(COLUMNS($AC$1006:AF1006),$AC$1006:$AS$1006,0))&gt;=100000), " ",IF(INDEX($AC$2:$AS$1001,MATCH(ROWS($V$2:V386),$V$2:$V$1001,0),MATCH(COLUMNS($AC$1006:AF1006),$AC$1006:$AS$1006,0)), HYPERLINK("#",""), HYPERLINK(CONCATENATE("#Metadata!", ADDRESS(INDEX($X$2:$X$1001,MATCH(ROWS($V$2:V386),$V$2:$V$1001,0),0), INDEX($AC$1004:$AS$1004,1,MATCH(COLUMNS($AC$1006:AF1006),$AC$1006:$AS$1006,0)))),"Fix")))</f>
        <v>0</v>
      </c>
      <c r="F386" s="5">
        <f>IF(OR(INDEX($W$2:$W$1001,MATCH(ROWS($V$2:V386),$V$2:$V$1001,0),1)&gt;=100000,INDEX($AC$1005:$AS$1005,1,MATCH(COLUMNS($AC$1006:AG1006),$AC$1006:$AS$1006,0))&gt;=100000), " ",IF(INDEX($AC$2:$AS$1001,MATCH(ROWS($V$2:V386),$V$2:$V$1001,0),MATCH(COLUMNS($AC$1006:AG1006),$AC$1006:$AS$1006,0)), HYPERLINK("#",""), HYPERLINK(CONCATENATE("#Metadata!", ADDRESS(INDEX($X$2:$X$1001,MATCH(ROWS($V$2:V386),$V$2:$V$1001,0),0), INDEX($AC$1004:$AS$1004,1,MATCH(COLUMNS($AC$1006:AG1006),$AC$1006:$AS$1006,0)))),"Fix")))</f>
        <v>0</v>
      </c>
      <c r="G386" s="5">
        <f>IF(OR(INDEX($W$2:$W$1001,MATCH(ROWS($V$2:V386),$V$2:$V$1001,0),1)&gt;=100000,INDEX($AC$1005:$AS$1005,1,MATCH(COLUMNS($AC$1006:AH1006),$AC$1006:$AS$1006,0))&gt;=100000), " ",IF(INDEX($AC$2:$AS$1001,MATCH(ROWS($V$2:V386),$V$2:$V$1001,0),MATCH(COLUMNS($AC$1006:AH1006),$AC$1006:$AS$1006,0)), HYPERLINK("#",""), HYPERLINK(CONCATENATE("#Metadata!", ADDRESS(INDEX($X$2:$X$1001,MATCH(ROWS($V$2:V386),$V$2:$V$1001,0),0), INDEX($AC$1004:$AS$1004,1,MATCH(COLUMNS($AC$1006:AH1006),$AC$1006:$AS$1006,0)))),"Fix")))</f>
        <v>0</v>
      </c>
      <c r="H386" s="5">
        <f>IF(OR(INDEX($W$2:$W$1001,MATCH(ROWS($V$2:V386),$V$2:$V$1001,0),1)&gt;=100000,INDEX($AC$1005:$AS$1005,1,MATCH(COLUMNS($AC$1006:AI1006),$AC$1006:$AS$1006,0))&gt;=100000), " ",IF(INDEX($AC$2:$AS$1001,MATCH(ROWS($V$2:V386),$V$2:$V$1001,0),MATCH(COLUMNS($AC$1006:AI1006),$AC$1006:$AS$1006,0)), HYPERLINK("#",""), HYPERLINK(CONCATENATE("#Metadata!", ADDRESS(INDEX($X$2:$X$1001,MATCH(ROWS($V$2:V386),$V$2:$V$1001,0),0), INDEX($AC$1004:$AS$1004,1,MATCH(COLUMNS($AC$1006:AI1006),$AC$1006:$AS$1006,0)))),"Fix")))</f>
        <v>0</v>
      </c>
      <c r="I386" s="5">
        <f>IF(OR(INDEX($W$2:$W$1001,MATCH(ROWS($V$2:V386),$V$2:$V$1001,0),1)&gt;=100000,INDEX($AC$1005:$AS$1005,1,MATCH(COLUMNS($AC$1006:AJ1006),$AC$1006:$AS$1006,0))&gt;=100000), " ",IF(INDEX($AC$2:$AS$1001,MATCH(ROWS($V$2:V386),$V$2:$V$1001,0),MATCH(COLUMNS($AC$1006:AJ1006),$AC$1006:$AS$1006,0)), HYPERLINK("#",""), HYPERLINK(CONCATENATE("#Metadata!", ADDRESS(INDEX($X$2:$X$1001,MATCH(ROWS($V$2:V386),$V$2:$V$1001,0),0), INDEX($AC$1004:$AS$1004,1,MATCH(COLUMNS($AC$1006:AJ1006),$AC$1006:$AS$1006,0)))),"Fix")))</f>
        <v>0</v>
      </c>
      <c r="J386" s="5">
        <f>IF(OR(INDEX($W$2:$W$1001,MATCH(ROWS($V$2:V386),$V$2:$V$1001,0),1)&gt;=100000,INDEX($AC$1005:$AS$1005,1,MATCH(COLUMNS($AC$1006:AK1006),$AC$1006:$AS$1006,0))&gt;=100000), " ",IF(INDEX($AC$2:$AS$1001,MATCH(ROWS($V$2:V386),$V$2:$V$1001,0),MATCH(COLUMNS($AC$1006:AK1006),$AC$1006:$AS$1006,0)), HYPERLINK("#",""), HYPERLINK(CONCATENATE("#Metadata!", ADDRESS(INDEX($X$2:$X$1001,MATCH(ROWS($V$2:V386),$V$2:$V$1001,0),0), INDEX($AC$1004:$AS$1004,1,MATCH(COLUMNS($AC$1006:AK1006),$AC$1006:$AS$1006,0)))),"Fix")))</f>
        <v>0</v>
      </c>
      <c r="K386" s="5">
        <f>IF(OR(INDEX($W$2:$W$1001,MATCH(ROWS($V$2:V386),$V$2:$V$1001,0),1)&gt;=100000,INDEX($AC$1005:$AS$1005,1,MATCH(COLUMNS($AC$1006:AL1006),$AC$1006:$AS$1006,0))&gt;=100000), " ",IF(INDEX($AC$2:$AS$1001,MATCH(ROWS($V$2:V386),$V$2:$V$1001,0),MATCH(COLUMNS($AC$1006:AL1006),$AC$1006:$AS$1006,0)), HYPERLINK("#",""), HYPERLINK(CONCATENATE("#Metadata!", ADDRESS(INDEX($X$2:$X$1001,MATCH(ROWS($V$2:V386),$V$2:$V$1001,0),0), INDEX($AC$1004:$AS$1004,1,MATCH(COLUMNS($AC$1006:AL1006),$AC$1006:$AS$1006,0)))),"Fix")))</f>
        <v>0</v>
      </c>
      <c r="L386" s="5">
        <f>IF(OR(INDEX($W$2:$W$1001,MATCH(ROWS($V$2:V386),$V$2:$V$1001,0),1)&gt;=100000,INDEX($AC$1005:$AS$1005,1,MATCH(COLUMNS($AC$1006:AM1006),$AC$1006:$AS$1006,0))&gt;=100000), " ",IF(INDEX($AC$2:$AS$1001,MATCH(ROWS($V$2:V386),$V$2:$V$1001,0),MATCH(COLUMNS($AC$1006:AM1006),$AC$1006:$AS$1006,0)), HYPERLINK("#",""), HYPERLINK(CONCATENATE("#Metadata!", ADDRESS(INDEX($X$2:$X$1001,MATCH(ROWS($V$2:V386),$V$2:$V$1001,0),0), INDEX($AC$1004:$AS$1004,1,MATCH(COLUMNS($AC$1006:AM1006),$AC$1006:$AS$1006,0)))),"Fix")))</f>
        <v>0</v>
      </c>
      <c r="M386" s="5">
        <f>IF(OR(INDEX($W$2:$W$1001,MATCH(ROWS($V$2:V386),$V$2:$V$1001,0),1)&gt;=100000,INDEX($AC$1005:$AS$1005,1,MATCH(COLUMNS($AC$1006:AN1006),$AC$1006:$AS$1006,0))&gt;=100000), " ",IF(INDEX($AC$2:$AS$1001,MATCH(ROWS($V$2:V386),$V$2:$V$1001,0),MATCH(COLUMNS($AC$1006:AN1006),$AC$1006:$AS$1006,0)), HYPERLINK("#",""), HYPERLINK(CONCATENATE("#Metadata!", ADDRESS(INDEX($X$2:$X$1001,MATCH(ROWS($V$2:V386),$V$2:$V$1001,0),0), INDEX($AC$1004:$AS$1004,1,MATCH(COLUMNS($AC$1006:AN1006),$AC$1006:$AS$1006,0)))),"Fix")))</f>
        <v>0</v>
      </c>
      <c r="N386" s="5">
        <f>IF(OR(INDEX($W$2:$W$1001,MATCH(ROWS($V$2:V386),$V$2:$V$1001,0),1)&gt;=100000,INDEX($AC$1005:$AS$1005,1,MATCH(COLUMNS($AC$1006:AO1006),$AC$1006:$AS$1006,0))&gt;=100000), " ",IF(INDEX($AC$2:$AS$1001,MATCH(ROWS($V$2:V386),$V$2:$V$1001,0),MATCH(COLUMNS($AC$1006:AO1006),$AC$1006:$AS$1006,0)), HYPERLINK("#",""), HYPERLINK(CONCATENATE("#Metadata!", ADDRESS(INDEX($X$2:$X$1001,MATCH(ROWS($V$2:V386),$V$2:$V$1001,0),0), INDEX($AC$1004:$AS$1004,1,MATCH(COLUMNS($AC$1006:AO1006),$AC$1006:$AS$1006,0)))),"Fix")))</f>
        <v>0</v>
      </c>
      <c r="O386" s="5">
        <f>IF(OR(INDEX($W$2:$W$1001,MATCH(ROWS($V$2:V386),$V$2:$V$1001,0),1)&gt;=100000,INDEX($AC$1005:$AS$1005,1,MATCH(COLUMNS($AC$1006:AP1006),$AC$1006:$AS$1006,0))&gt;=100000), " ",IF(INDEX($AC$2:$AS$1001,MATCH(ROWS($V$2:V386),$V$2:$V$1001,0),MATCH(COLUMNS($AC$1006:AP1006),$AC$1006:$AS$1006,0)), HYPERLINK("#",""), HYPERLINK(CONCATENATE("#Metadata!", ADDRESS(INDEX($X$2:$X$1001,MATCH(ROWS($V$2:V386),$V$2:$V$1001,0),0), INDEX($AC$1004:$AS$1004,1,MATCH(COLUMNS($AC$1006:AP1006),$AC$1006:$AS$1006,0)))),"Fix")))</f>
        <v>0</v>
      </c>
      <c r="P386" s="5">
        <f>IF(OR(INDEX($W$2:$W$1001,MATCH(ROWS($V$2:V386),$V$2:$V$1001,0),1)&gt;=100000,INDEX($AC$1005:$AS$1005,1,MATCH(COLUMNS($AC$1006:AQ1006),$AC$1006:$AS$1006,0))&gt;=100000), " ",IF(INDEX($AC$2:$AS$1001,MATCH(ROWS($V$2:V386),$V$2:$V$1001,0),MATCH(COLUMNS($AC$1006:AQ1006),$AC$1006:$AS$1006,0)), HYPERLINK("#",""), HYPERLINK(CONCATENATE("#Metadata!", ADDRESS(INDEX($X$2:$X$1001,MATCH(ROWS($V$2:V386),$V$2:$V$1001,0),0), INDEX($AC$1004:$AS$1004,1,MATCH(COLUMNS($AC$1006:AQ1006),$AC$1006:$AS$1006,0)))),"Fix")))</f>
        <v>0</v>
      </c>
      <c r="Q386" s="5">
        <f>IF(OR(INDEX($W$2:$W$1001,MATCH(ROWS($V$2:V386),$V$2:$V$1001,0),1)&gt;=100000,INDEX($AC$1005:$AS$1005,1,MATCH(COLUMNS($AC$1006:AR1006),$AC$1006:$AS$1006,0))&gt;=100000), " ",IF(INDEX($AC$2:$AS$1001,MATCH(ROWS($V$2:V386),$V$2:$V$1001,0),MATCH(COLUMNS($AC$1006:AR1006),$AC$1006:$AS$1006,0)), HYPERLINK("#",""), HYPERLINK(CONCATENATE("#Metadata!", ADDRESS(INDEX($X$2:$X$1001,MATCH(ROWS($V$2:V386),$V$2:$V$1001,0),0), INDEX($AC$1004:$AS$1004,1,MATCH(COLUMNS($AC$1006:AR1006),$AC$1006:$AS$1006,0)))),"Fix")))</f>
        <v>0</v>
      </c>
      <c r="R386" s="5">
        <f>IF(OR(INDEX($W$2:$W$1001,MATCH(ROWS($V$2:V386),$V$2:$V$1001,0),1)&gt;=100000,INDEX($AC$1005:$AS$1005,1,MATCH(COLUMNS($AC$1006:AS1006),$AC$1006:$AS$1006,0))&gt;=100000), " ",IF(INDEX($AC$2:$AS$1001,MATCH(ROWS($V$2:V386),$V$2:$V$1001,0),MATCH(COLUMNS($AC$1006:AS1006),$AC$1006:$AS$1006,0)), HYPERLINK("#",""), HYPERLINK(CONCATENATE("#Metadata!", ADDRESS(INDEX($X$2:$X$1001,MATCH(ROWS($V$2:V386),$V$2:$V$1001,0),0), INDEX($AC$1004:$AS$1004,1,MATCH(COLUMNS($AC$1006:AS1006),$AC$1006:$AS$1006,0)))),"Fix")))</f>
        <v>0</v>
      </c>
      <c r="V386">
        <v>0</v>
      </c>
      <c r="W386">
        <v>0</v>
      </c>
      <c r="X386">
        <v>0</v>
      </c>
      <c r="Y386">
        <f>IF(Z386,TRUE,AND(AC386:AS386))</f>
        <v>0</v>
      </c>
      <c r="Z386">
        <f>COUNTBLANK(Metadata!B386:R386)=COLUMNS(Metadata!B386:R386)</f>
        <v>0</v>
      </c>
      <c r="AA386">
        <v>0</v>
      </c>
      <c r="AC386">
        <f>AND(IF(Metadata!B386="",FALSE,TRUE),COUNTIF(Metadata!B:B, Metadata!B386) = 1,NOT(ISERROR(SUMPRODUCT(SEARCH(MID(Metadata!B386,ROW(INDIRECT("1:"&amp;LEN(Metadata!B386))), 1),"0123456789abcdefghijklmnopqrstuvwxyzABCDEFGHIJKLMNOPQRSTUVWXYZ.")))))</f>
        <v>0</v>
      </c>
      <c r="AD386">
        <f>AND(IF(Metadata!C386="",FALSE,TRUE),exact(Metadata!C386,"Host-associated"))</f>
        <v>0</v>
      </c>
      <c r="AE386">
        <f>AND(IF(Metadata!D386="",FALSE,TRUE),OR(exact(Metadata!D386,"Animal"),exact(Metadata!D386,"Fungus"),exact(Metadata!D386,"Plant")))</f>
        <v>0</v>
      </c>
      <c r="AF386">
        <f>AND(IF(Metadata!E386="",FALSE,TRUE),OR(exact(Metadata!E386,"Plant secretion"),exact(Metadata!E386,"Plant rhizosphere"),exact(Metadata!E386,"Plant surface"),exact(Metadata!E386,"Plant corpus"),exact(Metadata!E386,"Fungus surface"),exact(Metadata!E386,"Fungus corpus"),exact(Metadata!E386,"Animal surface"),exact(Metadata!E386,"Animal proximal gut"),exact(Metadata!E386,"Animal corpus"),exact(Metadata!E386,"Animal distal gut"),exact(Metadata!E386,"Animal secretion")))</f>
        <v>0</v>
      </c>
      <c r="AG386">
        <f>OR(AND(IF(Metadata!F386="",FALSE,TRUE),OR(exact(Metadata!F386,"not collected"),exact(Metadata!F386,"not provided"),exact(Metadata!F386,"restricted access"))),AND(IF(Metadata!F386="",FALSE,TRUE),OR(exact(Metadata!F386,"organism-associated habitat"),exact(Metadata!F386,"plant-associated habitat"),exact(Metadata!F386,"animal-associated habitat"),exact(Metadata!F386,"insecta-associated habitat"),exact(Metadata!F386,"mammalia-associated habitat"),exact(Metadata!F386,"human-associated habitat"),exact(Metadata!F386,"livestock-associated habitat"))))</f>
        <v>0</v>
      </c>
      <c r="AH386">
        <f>AND(IF(Metadata!G386="",FALSE,TRUE),exact(Metadata!G386,"host-associated"))</f>
        <v>0</v>
      </c>
      <c r="AI386">
        <f>OR(AND(IF(Metadata!H386="",FALSE,TRUE),OR(exact(Metadata!H386,"not collected"),exact(Metadata!H386,"not provided"))),AND(IF(Metadata!H386="",FALSE,ISNUMBER(VALUE(Metadata!H386))),Metadata!H386&gt;0))</f>
        <v>0</v>
      </c>
      <c r="AJ386">
        <f>AND(IF(Metadata!I386="",FALSE,TRUE),exact(Metadata!I386,"years"))</f>
        <v>0</v>
      </c>
      <c r="AK386">
        <f>IF(Metadata!J386="",FALSE,TRUE)</f>
        <v>0</v>
      </c>
      <c r="AL386">
        <f>OR(AND(IF(Metadata!K386="",FALSE,TRUE),OR(exact(Metadata!K386,"not collected"),exact(Metadata!K386,"not provided"))),AND(IF(Metadata!K386="",FALSE,ISNUMBER(VALUE(Metadata!K386))),Metadata!K386&gt;0))</f>
        <v>0</v>
      </c>
      <c r="AM386">
        <f>AND(IF(Metadata!L386="",FALSE,TRUE),exact(Metadata!L386,"cm"))</f>
        <v>0</v>
      </c>
      <c r="AN386">
        <f>IF(Metadata!M386="",FALSE,TRUE)</f>
        <v>0</v>
      </c>
      <c r="AO386">
        <f>OR(AND(IF(Metadata!N386="",FALSE,TRUE),OR(exact(Metadata!N386,"not applicable"),exact(Metadata!N386,"not collected"),exact(Metadata!N386,"not provided"))),AND(IF(Metadata!N386="",FALSE,IF(ISERROR(INT(Metadata!N386)),FALSE,INT(Metadata!N386)=Metadata!N386)),Metadata!N386&gt;0))</f>
        <v>0</v>
      </c>
      <c r="AP386">
        <f>OR(AND(IF(Metadata!O386="",FALSE,TRUE),OR(exact(Metadata!O386,"not collected"),exact(Metadata!O386,"not provided"))),AND(IF(Metadata!O386="",FALSE,ISNUMBER(VALUE(Metadata!O386))),Metadata!O386&gt;0))</f>
        <v>0</v>
      </c>
      <c r="AQ386">
        <f>AND(IF(Metadata!P386="",FALSE,TRUE),exact(Metadata!P386,"kg"))</f>
        <v>0</v>
      </c>
      <c r="AR386">
        <f>OR(AND(IF(Metadata!Q386="",FALSE,TRUE),OR(exact(Metadata!Q386,"not applicable"),exact(Metadata!Q386,"not collected"),exact(Metadata!Q386,"not provided"),exact(Metadata!Q386,"restricted access"))),IF(Metadata!Q386="",FALSE,IF(ISERROR(INT(Metadata!Q386)),FALSE,INT(Metadata!Q386)=Metadata!Q386)))</f>
        <v>0</v>
      </c>
      <c r="AS386">
        <f>AND(IF(Metadata!R386="",FALSE,TRUE),exact(Metadata!R386,"Not applicable"))</f>
        <v>0</v>
      </c>
    </row>
    <row r="387" spans="1:45">
      <c r="A387" s="4">
        <f>IF(B387=" "," ",HYPERLINK(CONCATENATE("#metadata!",ADDRESS(INDEX($X$2:$X$1001,MATCH(ROWS($V$2:V387),$V$2:$V$1001,0),0),2)),INDEX($AA$2:$AA$1001,MATCH(ROWS($V$2:V387),$V$2:$V$1001,0),0)))</f>
        <v>0</v>
      </c>
      <c r="B387" s="5">
        <f>IF(OR(INDEX($W$2:$W$1001,MATCH(ROWS($V$2:V387),$V$2:$V$1001,0),1)&gt;=100000,INDEX($AC$1005:$AS$1005,1,MATCH(COLUMNS($AC$1006:AC1006),$AC$1006:$AS$1006,0))&gt;=100000), " ",IF(INDEX($AC$2:$AS$1001,MATCH(ROWS($V$2:V387),$V$2:$V$1001,0),MATCH(COLUMNS($AC$1006:AC1006),$AC$1006:$AS$1006,0)), HYPERLINK("#",""), HYPERLINK(CONCATENATE("#Metadata!", ADDRESS(INDEX($X$2:$X$1001,MATCH(ROWS($V$2:V387),$V$2:$V$1001,0),0), INDEX($AC$1004:$AS$1004,1,MATCH(COLUMNS($AC$1006:AC1006),$AC$1006:$AS$1006,0)))),"Fix")))</f>
        <v>0</v>
      </c>
      <c r="C387" s="5">
        <f>IF(OR(INDEX($W$2:$W$1001,MATCH(ROWS($V$2:V387),$V$2:$V$1001,0),1)&gt;=100000,INDEX($AC$1005:$AS$1005,1,MATCH(COLUMNS($AC$1006:AD1006),$AC$1006:$AS$1006,0))&gt;=100000), " ",IF(INDEX($AC$2:$AS$1001,MATCH(ROWS($V$2:V387),$V$2:$V$1001,0),MATCH(COLUMNS($AC$1006:AD1006),$AC$1006:$AS$1006,0)), HYPERLINK("#",""), HYPERLINK(CONCATENATE("#Metadata!", ADDRESS(INDEX($X$2:$X$1001,MATCH(ROWS($V$2:V387),$V$2:$V$1001,0),0), INDEX($AC$1004:$AS$1004,1,MATCH(COLUMNS($AC$1006:AD1006),$AC$1006:$AS$1006,0)))),"Fix")))</f>
        <v>0</v>
      </c>
      <c r="D387" s="5">
        <f>IF(OR(INDEX($W$2:$W$1001,MATCH(ROWS($V$2:V387),$V$2:$V$1001,0),1)&gt;=100000,INDEX($AC$1005:$AS$1005,1,MATCH(COLUMNS($AC$1006:AE1006),$AC$1006:$AS$1006,0))&gt;=100000), " ",IF(INDEX($AC$2:$AS$1001,MATCH(ROWS($V$2:V387),$V$2:$V$1001,0),MATCH(COLUMNS($AC$1006:AE1006),$AC$1006:$AS$1006,0)), HYPERLINK("#",""), HYPERLINK(CONCATENATE("#Metadata!", ADDRESS(INDEX($X$2:$X$1001,MATCH(ROWS($V$2:V387),$V$2:$V$1001,0),0), INDEX($AC$1004:$AS$1004,1,MATCH(COLUMNS($AC$1006:AE1006),$AC$1006:$AS$1006,0)))),"Fix")))</f>
        <v>0</v>
      </c>
      <c r="E387" s="5">
        <f>IF(OR(INDEX($W$2:$W$1001,MATCH(ROWS($V$2:V387),$V$2:$V$1001,0),1)&gt;=100000,INDEX($AC$1005:$AS$1005,1,MATCH(COLUMNS($AC$1006:AF1006),$AC$1006:$AS$1006,0))&gt;=100000), " ",IF(INDEX($AC$2:$AS$1001,MATCH(ROWS($V$2:V387),$V$2:$V$1001,0),MATCH(COLUMNS($AC$1006:AF1006),$AC$1006:$AS$1006,0)), HYPERLINK("#",""), HYPERLINK(CONCATENATE("#Metadata!", ADDRESS(INDEX($X$2:$X$1001,MATCH(ROWS($V$2:V387),$V$2:$V$1001,0),0), INDEX($AC$1004:$AS$1004,1,MATCH(COLUMNS($AC$1006:AF1006),$AC$1006:$AS$1006,0)))),"Fix")))</f>
        <v>0</v>
      </c>
      <c r="F387" s="5">
        <f>IF(OR(INDEX($W$2:$W$1001,MATCH(ROWS($V$2:V387),$V$2:$V$1001,0),1)&gt;=100000,INDEX($AC$1005:$AS$1005,1,MATCH(COLUMNS($AC$1006:AG1006),$AC$1006:$AS$1006,0))&gt;=100000), " ",IF(INDEX($AC$2:$AS$1001,MATCH(ROWS($V$2:V387),$V$2:$V$1001,0),MATCH(COLUMNS($AC$1006:AG1006),$AC$1006:$AS$1006,0)), HYPERLINK("#",""), HYPERLINK(CONCATENATE("#Metadata!", ADDRESS(INDEX($X$2:$X$1001,MATCH(ROWS($V$2:V387),$V$2:$V$1001,0),0), INDEX($AC$1004:$AS$1004,1,MATCH(COLUMNS($AC$1006:AG1006),$AC$1006:$AS$1006,0)))),"Fix")))</f>
        <v>0</v>
      </c>
      <c r="G387" s="5">
        <f>IF(OR(INDEX($W$2:$W$1001,MATCH(ROWS($V$2:V387),$V$2:$V$1001,0),1)&gt;=100000,INDEX($AC$1005:$AS$1005,1,MATCH(COLUMNS($AC$1006:AH1006),$AC$1006:$AS$1006,0))&gt;=100000), " ",IF(INDEX($AC$2:$AS$1001,MATCH(ROWS($V$2:V387),$V$2:$V$1001,0),MATCH(COLUMNS($AC$1006:AH1006),$AC$1006:$AS$1006,0)), HYPERLINK("#",""), HYPERLINK(CONCATENATE("#Metadata!", ADDRESS(INDEX($X$2:$X$1001,MATCH(ROWS($V$2:V387),$V$2:$V$1001,0),0), INDEX($AC$1004:$AS$1004,1,MATCH(COLUMNS($AC$1006:AH1006),$AC$1006:$AS$1006,0)))),"Fix")))</f>
        <v>0</v>
      </c>
      <c r="H387" s="5">
        <f>IF(OR(INDEX($W$2:$W$1001,MATCH(ROWS($V$2:V387),$V$2:$V$1001,0),1)&gt;=100000,INDEX($AC$1005:$AS$1005,1,MATCH(COLUMNS($AC$1006:AI1006),$AC$1006:$AS$1006,0))&gt;=100000), " ",IF(INDEX($AC$2:$AS$1001,MATCH(ROWS($V$2:V387),$V$2:$V$1001,0),MATCH(COLUMNS($AC$1006:AI1006),$AC$1006:$AS$1006,0)), HYPERLINK("#",""), HYPERLINK(CONCATENATE("#Metadata!", ADDRESS(INDEX($X$2:$X$1001,MATCH(ROWS($V$2:V387),$V$2:$V$1001,0),0), INDEX($AC$1004:$AS$1004,1,MATCH(COLUMNS($AC$1006:AI1006),$AC$1006:$AS$1006,0)))),"Fix")))</f>
        <v>0</v>
      </c>
      <c r="I387" s="5">
        <f>IF(OR(INDEX($W$2:$W$1001,MATCH(ROWS($V$2:V387),$V$2:$V$1001,0),1)&gt;=100000,INDEX($AC$1005:$AS$1005,1,MATCH(COLUMNS($AC$1006:AJ1006),$AC$1006:$AS$1006,0))&gt;=100000), " ",IF(INDEX($AC$2:$AS$1001,MATCH(ROWS($V$2:V387),$V$2:$V$1001,0),MATCH(COLUMNS($AC$1006:AJ1006),$AC$1006:$AS$1006,0)), HYPERLINK("#",""), HYPERLINK(CONCATENATE("#Metadata!", ADDRESS(INDEX($X$2:$X$1001,MATCH(ROWS($V$2:V387),$V$2:$V$1001,0),0), INDEX($AC$1004:$AS$1004,1,MATCH(COLUMNS($AC$1006:AJ1006),$AC$1006:$AS$1006,0)))),"Fix")))</f>
        <v>0</v>
      </c>
      <c r="J387" s="5">
        <f>IF(OR(INDEX($W$2:$W$1001,MATCH(ROWS($V$2:V387),$V$2:$V$1001,0),1)&gt;=100000,INDEX($AC$1005:$AS$1005,1,MATCH(COLUMNS($AC$1006:AK1006),$AC$1006:$AS$1006,0))&gt;=100000), " ",IF(INDEX($AC$2:$AS$1001,MATCH(ROWS($V$2:V387),$V$2:$V$1001,0),MATCH(COLUMNS($AC$1006:AK1006),$AC$1006:$AS$1006,0)), HYPERLINK("#",""), HYPERLINK(CONCATENATE("#Metadata!", ADDRESS(INDEX($X$2:$X$1001,MATCH(ROWS($V$2:V387),$V$2:$V$1001,0),0), INDEX($AC$1004:$AS$1004,1,MATCH(COLUMNS($AC$1006:AK1006),$AC$1006:$AS$1006,0)))),"Fix")))</f>
        <v>0</v>
      </c>
      <c r="K387" s="5">
        <f>IF(OR(INDEX($W$2:$W$1001,MATCH(ROWS($V$2:V387),$V$2:$V$1001,0),1)&gt;=100000,INDEX($AC$1005:$AS$1005,1,MATCH(COLUMNS($AC$1006:AL1006),$AC$1006:$AS$1006,0))&gt;=100000), " ",IF(INDEX($AC$2:$AS$1001,MATCH(ROWS($V$2:V387),$V$2:$V$1001,0),MATCH(COLUMNS($AC$1006:AL1006),$AC$1006:$AS$1006,0)), HYPERLINK("#",""), HYPERLINK(CONCATENATE("#Metadata!", ADDRESS(INDEX($X$2:$X$1001,MATCH(ROWS($V$2:V387),$V$2:$V$1001,0),0), INDEX($AC$1004:$AS$1004,1,MATCH(COLUMNS($AC$1006:AL1006),$AC$1006:$AS$1006,0)))),"Fix")))</f>
        <v>0</v>
      </c>
      <c r="L387" s="5">
        <f>IF(OR(INDEX($W$2:$W$1001,MATCH(ROWS($V$2:V387),$V$2:$V$1001,0),1)&gt;=100000,INDEX($AC$1005:$AS$1005,1,MATCH(COLUMNS($AC$1006:AM1006),$AC$1006:$AS$1006,0))&gt;=100000), " ",IF(INDEX($AC$2:$AS$1001,MATCH(ROWS($V$2:V387),$V$2:$V$1001,0),MATCH(COLUMNS($AC$1006:AM1006),$AC$1006:$AS$1006,0)), HYPERLINK("#",""), HYPERLINK(CONCATENATE("#Metadata!", ADDRESS(INDEX($X$2:$X$1001,MATCH(ROWS($V$2:V387),$V$2:$V$1001,0),0), INDEX($AC$1004:$AS$1004,1,MATCH(COLUMNS($AC$1006:AM1006),$AC$1006:$AS$1006,0)))),"Fix")))</f>
        <v>0</v>
      </c>
      <c r="M387" s="5">
        <f>IF(OR(INDEX($W$2:$W$1001,MATCH(ROWS($V$2:V387),$V$2:$V$1001,0),1)&gt;=100000,INDEX($AC$1005:$AS$1005,1,MATCH(COLUMNS($AC$1006:AN1006),$AC$1006:$AS$1006,0))&gt;=100000), " ",IF(INDEX($AC$2:$AS$1001,MATCH(ROWS($V$2:V387),$V$2:$V$1001,0),MATCH(COLUMNS($AC$1006:AN1006),$AC$1006:$AS$1006,0)), HYPERLINK("#",""), HYPERLINK(CONCATENATE("#Metadata!", ADDRESS(INDEX($X$2:$X$1001,MATCH(ROWS($V$2:V387),$V$2:$V$1001,0),0), INDEX($AC$1004:$AS$1004,1,MATCH(COLUMNS($AC$1006:AN1006),$AC$1006:$AS$1006,0)))),"Fix")))</f>
        <v>0</v>
      </c>
      <c r="N387" s="5">
        <f>IF(OR(INDEX($W$2:$W$1001,MATCH(ROWS($V$2:V387),$V$2:$V$1001,0),1)&gt;=100000,INDEX($AC$1005:$AS$1005,1,MATCH(COLUMNS($AC$1006:AO1006),$AC$1006:$AS$1006,0))&gt;=100000), " ",IF(INDEX($AC$2:$AS$1001,MATCH(ROWS($V$2:V387),$V$2:$V$1001,0),MATCH(COLUMNS($AC$1006:AO1006),$AC$1006:$AS$1006,0)), HYPERLINK("#",""), HYPERLINK(CONCATENATE("#Metadata!", ADDRESS(INDEX($X$2:$X$1001,MATCH(ROWS($V$2:V387),$V$2:$V$1001,0),0), INDEX($AC$1004:$AS$1004,1,MATCH(COLUMNS($AC$1006:AO1006),$AC$1006:$AS$1006,0)))),"Fix")))</f>
        <v>0</v>
      </c>
      <c r="O387" s="5">
        <f>IF(OR(INDEX($W$2:$W$1001,MATCH(ROWS($V$2:V387),$V$2:$V$1001,0),1)&gt;=100000,INDEX($AC$1005:$AS$1005,1,MATCH(COLUMNS($AC$1006:AP1006),$AC$1006:$AS$1006,0))&gt;=100000), " ",IF(INDEX($AC$2:$AS$1001,MATCH(ROWS($V$2:V387),$V$2:$V$1001,0),MATCH(COLUMNS($AC$1006:AP1006),$AC$1006:$AS$1006,0)), HYPERLINK("#",""), HYPERLINK(CONCATENATE("#Metadata!", ADDRESS(INDEX($X$2:$X$1001,MATCH(ROWS($V$2:V387),$V$2:$V$1001,0),0), INDEX($AC$1004:$AS$1004,1,MATCH(COLUMNS($AC$1006:AP1006),$AC$1006:$AS$1006,0)))),"Fix")))</f>
        <v>0</v>
      </c>
      <c r="P387" s="5">
        <f>IF(OR(INDEX($W$2:$W$1001,MATCH(ROWS($V$2:V387),$V$2:$V$1001,0),1)&gt;=100000,INDEX($AC$1005:$AS$1005,1,MATCH(COLUMNS($AC$1006:AQ1006),$AC$1006:$AS$1006,0))&gt;=100000), " ",IF(INDEX($AC$2:$AS$1001,MATCH(ROWS($V$2:V387),$V$2:$V$1001,0),MATCH(COLUMNS($AC$1006:AQ1006),$AC$1006:$AS$1006,0)), HYPERLINK("#",""), HYPERLINK(CONCATENATE("#Metadata!", ADDRESS(INDEX($X$2:$X$1001,MATCH(ROWS($V$2:V387),$V$2:$V$1001,0),0), INDEX($AC$1004:$AS$1004,1,MATCH(COLUMNS($AC$1006:AQ1006),$AC$1006:$AS$1006,0)))),"Fix")))</f>
        <v>0</v>
      </c>
      <c r="Q387" s="5">
        <f>IF(OR(INDEX($W$2:$W$1001,MATCH(ROWS($V$2:V387),$V$2:$V$1001,0),1)&gt;=100000,INDEX($AC$1005:$AS$1005,1,MATCH(COLUMNS($AC$1006:AR1006),$AC$1006:$AS$1006,0))&gt;=100000), " ",IF(INDEX($AC$2:$AS$1001,MATCH(ROWS($V$2:V387),$V$2:$V$1001,0),MATCH(COLUMNS($AC$1006:AR1006),$AC$1006:$AS$1006,0)), HYPERLINK("#",""), HYPERLINK(CONCATENATE("#Metadata!", ADDRESS(INDEX($X$2:$X$1001,MATCH(ROWS($V$2:V387),$V$2:$V$1001,0),0), INDEX($AC$1004:$AS$1004,1,MATCH(COLUMNS($AC$1006:AR1006),$AC$1006:$AS$1006,0)))),"Fix")))</f>
        <v>0</v>
      </c>
      <c r="R387" s="5">
        <f>IF(OR(INDEX($W$2:$W$1001,MATCH(ROWS($V$2:V387),$V$2:$V$1001,0),1)&gt;=100000,INDEX($AC$1005:$AS$1005,1,MATCH(COLUMNS($AC$1006:AS1006),$AC$1006:$AS$1006,0))&gt;=100000), " ",IF(INDEX($AC$2:$AS$1001,MATCH(ROWS($V$2:V387),$V$2:$V$1001,0),MATCH(COLUMNS($AC$1006:AS1006),$AC$1006:$AS$1006,0)), HYPERLINK("#",""), HYPERLINK(CONCATENATE("#Metadata!", ADDRESS(INDEX($X$2:$X$1001,MATCH(ROWS($V$2:V387),$V$2:$V$1001,0),0), INDEX($AC$1004:$AS$1004,1,MATCH(COLUMNS($AC$1006:AS1006),$AC$1006:$AS$1006,0)))),"Fix")))</f>
        <v>0</v>
      </c>
      <c r="V387">
        <v>0</v>
      </c>
      <c r="W387">
        <v>0</v>
      </c>
      <c r="X387">
        <v>0</v>
      </c>
      <c r="Y387">
        <f>IF(Z387,TRUE,AND(AC387:AS387))</f>
        <v>0</v>
      </c>
      <c r="Z387">
        <f>COUNTBLANK(Metadata!B387:R387)=COLUMNS(Metadata!B387:R387)</f>
        <v>0</v>
      </c>
      <c r="AA387">
        <v>0</v>
      </c>
      <c r="AC387">
        <f>AND(IF(Metadata!B387="",FALSE,TRUE),COUNTIF(Metadata!B:B, Metadata!B387) = 1,NOT(ISERROR(SUMPRODUCT(SEARCH(MID(Metadata!B387,ROW(INDIRECT("1:"&amp;LEN(Metadata!B387))), 1),"0123456789abcdefghijklmnopqrstuvwxyzABCDEFGHIJKLMNOPQRSTUVWXYZ.")))))</f>
        <v>0</v>
      </c>
      <c r="AD387">
        <f>AND(IF(Metadata!C387="",FALSE,TRUE),exact(Metadata!C387,"Host-associated"))</f>
        <v>0</v>
      </c>
      <c r="AE387">
        <f>AND(IF(Metadata!D387="",FALSE,TRUE),OR(exact(Metadata!D387,"Animal"),exact(Metadata!D387,"Fungus"),exact(Metadata!D387,"Plant")))</f>
        <v>0</v>
      </c>
      <c r="AF387">
        <f>AND(IF(Metadata!E387="",FALSE,TRUE),OR(exact(Metadata!E387,"Plant secretion"),exact(Metadata!E387,"Plant rhizosphere"),exact(Metadata!E387,"Plant surface"),exact(Metadata!E387,"Plant corpus"),exact(Metadata!E387,"Fungus surface"),exact(Metadata!E387,"Fungus corpus"),exact(Metadata!E387,"Animal surface"),exact(Metadata!E387,"Animal proximal gut"),exact(Metadata!E387,"Animal corpus"),exact(Metadata!E387,"Animal distal gut"),exact(Metadata!E387,"Animal secretion")))</f>
        <v>0</v>
      </c>
      <c r="AG387">
        <f>OR(AND(IF(Metadata!F387="",FALSE,TRUE),OR(exact(Metadata!F387,"not collected"),exact(Metadata!F387,"not provided"),exact(Metadata!F387,"restricted access"))),AND(IF(Metadata!F387="",FALSE,TRUE),OR(exact(Metadata!F387,"organism-associated habitat"),exact(Metadata!F387,"plant-associated habitat"),exact(Metadata!F387,"animal-associated habitat"),exact(Metadata!F387,"insecta-associated habitat"),exact(Metadata!F387,"mammalia-associated habitat"),exact(Metadata!F387,"human-associated habitat"),exact(Metadata!F387,"livestock-associated habitat"))))</f>
        <v>0</v>
      </c>
      <c r="AH387">
        <f>AND(IF(Metadata!G387="",FALSE,TRUE),exact(Metadata!G387,"host-associated"))</f>
        <v>0</v>
      </c>
      <c r="AI387">
        <f>OR(AND(IF(Metadata!H387="",FALSE,TRUE),OR(exact(Metadata!H387,"not collected"),exact(Metadata!H387,"not provided"))),AND(IF(Metadata!H387="",FALSE,ISNUMBER(VALUE(Metadata!H387))),Metadata!H387&gt;0))</f>
        <v>0</v>
      </c>
      <c r="AJ387">
        <f>AND(IF(Metadata!I387="",FALSE,TRUE),exact(Metadata!I387,"years"))</f>
        <v>0</v>
      </c>
      <c r="AK387">
        <f>IF(Metadata!J387="",FALSE,TRUE)</f>
        <v>0</v>
      </c>
      <c r="AL387">
        <f>OR(AND(IF(Metadata!K387="",FALSE,TRUE),OR(exact(Metadata!K387,"not collected"),exact(Metadata!K387,"not provided"))),AND(IF(Metadata!K387="",FALSE,ISNUMBER(VALUE(Metadata!K387))),Metadata!K387&gt;0))</f>
        <v>0</v>
      </c>
      <c r="AM387">
        <f>AND(IF(Metadata!L387="",FALSE,TRUE),exact(Metadata!L387,"cm"))</f>
        <v>0</v>
      </c>
      <c r="AN387">
        <f>IF(Metadata!M387="",FALSE,TRUE)</f>
        <v>0</v>
      </c>
      <c r="AO387">
        <f>OR(AND(IF(Metadata!N387="",FALSE,TRUE),OR(exact(Metadata!N387,"not applicable"),exact(Metadata!N387,"not collected"),exact(Metadata!N387,"not provided"))),AND(IF(Metadata!N387="",FALSE,IF(ISERROR(INT(Metadata!N387)),FALSE,INT(Metadata!N387)=Metadata!N387)),Metadata!N387&gt;0))</f>
        <v>0</v>
      </c>
      <c r="AP387">
        <f>OR(AND(IF(Metadata!O387="",FALSE,TRUE),OR(exact(Metadata!O387,"not collected"),exact(Metadata!O387,"not provided"))),AND(IF(Metadata!O387="",FALSE,ISNUMBER(VALUE(Metadata!O387))),Metadata!O387&gt;0))</f>
        <v>0</v>
      </c>
      <c r="AQ387">
        <f>AND(IF(Metadata!P387="",FALSE,TRUE),exact(Metadata!P387,"kg"))</f>
        <v>0</v>
      </c>
      <c r="AR387">
        <f>OR(AND(IF(Metadata!Q387="",FALSE,TRUE),OR(exact(Metadata!Q387,"not applicable"),exact(Metadata!Q387,"not collected"),exact(Metadata!Q387,"not provided"),exact(Metadata!Q387,"restricted access"))),IF(Metadata!Q387="",FALSE,IF(ISERROR(INT(Metadata!Q387)),FALSE,INT(Metadata!Q387)=Metadata!Q387)))</f>
        <v>0</v>
      </c>
      <c r="AS387">
        <f>AND(IF(Metadata!R387="",FALSE,TRUE),exact(Metadata!R387,"Not applicable"))</f>
        <v>0</v>
      </c>
    </row>
    <row r="388" spans="1:45">
      <c r="A388" s="4">
        <f>IF(B388=" "," ",HYPERLINK(CONCATENATE("#metadata!",ADDRESS(INDEX($X$2:$X$1001,MATCH(ROWS($V$2:V388),$V$2:$V$1001,0),0),2)),INDEX($AA$2:$AA$1001,MATCH(ROWS($V$2:V388),$V$2:$V$1001,0),0)))</f>
        <v>0</v>
      </c>
      <c r="B388" s="5">
        <f>IF(OR(INDEX($W$2:$W$1001,MATCH(ROWS($V$2:V388),$V$2:$V$1001,0),1)&gt;=100000,INDEX($AC$1005:$AS$1005,1,MATCH(COLUMNS($AC$1006:AC1006),$AC$1006:$AS$1006,0))&gt;=100000), " ",IF(INDEX($AC$2:$AS$1001,MATCH(ROWS($V$2:V388),$V$2:$V$1001,0),MATCH(COLUMNS($AC$1006:AC1006),$AC$1006:$AS$1006,0)), HYPERLINK("#",""), HYPERLINK(CONCATENATE("#Metadata!", ADDRESS(INDEX($X$2:$X$1001,MATCH(ROWS($V$2:V388),$V$2:$V$1001,0),0), INDEX($AC$1004:$AS$1004,1,MATCH(COLUMNS($AC$1006:AC1006),$AC$1006:$AS$1006,0)))),"Fix")))</f>
        <v>0</v>
      </c>
      <c r="C388" s="5">
        <f>IF(OR(INDEX($W$2:$W$1001,MATCH(ROWS($V$2:V388),$V$2:$V$1001,0),1)&gt;=100000,INDEX($AC$1005:$AS$1005,1,MATCH(COLUMNS($AC$1006:AD1006),$AC$1006:$AS$1006,0))&gt;=100000), " ",IF(INDEX($AC$2:$AS$1001,MATCH(ROWS($V$2:V388),$V$2:$V$1001,0),MATCH(COLUMNS($AC$1006:AD1006),$AC$1006:$AS$1006,0)), HYPERLINK("#",""), HYPERLINK(CONCATENATE("#Metadata!", ADDRESS(INDEX($X$2:$X$1001,MATCH(ROWS($V$2:V388),$V$2:$V$1001,0),0), INDEX($AC$1004:$AS$1004,1,MATCH(COLUMNS($AC$1006:AD1006),$AC$1006:$AS$1006,0)))),"Fix")))</f>
        <v>0</v>
      </c>
      <c r="D388" s="5">
        <f>IF(OR(INDEX($W$2:$W$1001,MATCH(ROWS($V$2:V388),$V$2:$V$1001,0),1)&gt;=100000,INDEX($AC$1005:$AS$1005,1,MATCH(COLUMNS($AC$1006:AE1006),$AC$1006:$AS$1006,0))&gt;=100000), " ",IF(INDEX($AC$2:$AS$1001,MATCH(ROWS($V$2:V388),$V$2:$V$1001,0),MATCH(COLUMNS($AC$1006:AE1006),$AC$1006:$AS$1006,0)), HYPERLINK("#",""), HYPERLINK(CONCATENATE("#Metadata!", ADDRESS(INDEX($X$2:$X$1001,MATCH(ROWS($V$2:V388),$V$2:$V$1001,0),0), INDEX($AC$1004:$AS$1004,1,MATCH(COLUMNS($AC$1006:AE1006),$AC$1006:$AS$1006,0)))),"Fix")))</f>
        <v>0</v>
      </c>
      <c r="E388" s="5">
        <f>IF(OR(INDEX($W$2:$W$1001,MATCH(ROWS($V$2:V388),$V$2:$V$1001,0),1)&gt;=100000,INDEX($AC$1005:$AS$1005,1,MATCH(COLUMNS($AC$1006:AF1006),$AC$1006:$AS$1006,0))&gt;=100000), " ",IF(INDEX($AC$2:$AS$1001,MATCH(ROWS($V$2:V388),$V$2:$V$1001,0),MATCH(COLUMNS($AC$1006:AF1006),$AC$1006:$AS$1006,0)), HYPERLINK("#",""), HYPERLINK(CONCATENATE("#Metadata!", ADDRESS(INDEX($X$2:$X$1001,MATCH(ROWS($V$2:V388),$V$2:$V$1001,0),0), INDEX($AC$1004:$AS$1004,1,MATCH(COLUMNS($AC$1006:AF1006),$AC$1006:$AS$1006,0)))),"Fix")))</f>
        <v>0</v>
      </c>
      <c r="F388" s="5">
        <f>IF(OR(INDEX($W$2:$W$1001,MATCH(ROWS($V$2:V388),$V$2:$V$1001,0),1)&gt;=100000,INDEX($AC$1005:$AS$1005,1,MATCH(COLUMNS($AC$1006:AG1006),$AC$1006:$AS$1006,0))&gt;=100000), " ",IF(INDEX($AC$2:$AS$1001,MATCH(ROWS($V$2:V388),$V$2:$V$1001,0),MATCH(COLUMNS($AC$1006:AG1006),$AC$1006:$AS$1006,0)), HYPERLINK("#",""), HYPERLINK(CONCATENATE("#Metadata!", ADDRESS(INDEX($X$2:$X$1001,MATCH(ROWS($V$2:V388),$V$2:$V$1001,0),0), INDEX($AC$1004:$AS$1004,1,MATCH(COLUMNS($AC$1006:AG1006),$AC$1006:$AS$1006,0)))),"Fix")))</f>
        <v>0</v>
      </c>
      <c r="G388" s="5">
        <f>IF(OR(INDEX($W$2:$W$1001,MATCH(ROWS($V$2:V388),$V$2:$V$1001,0),1)&gt;=100000,INDEX($AC$1005:$AS$1005,1,MATCH(COLUMNS($AC$1006:AH1006),$AC$1006:$AS$1006,0))&gt;=100000), " ",IF(INDEX($AC$2:$AS$1001,MATCH(ROWS($V$2:V388),$V$2:$V$1001,0),MATCH(COLUMNS($AC$1006:AH1006),$AC$1006:$AS$1006,0)), HYPERLINK("#",""), HYPERLINK(CONCATENATE("#Metadata!", ADDRESS(INDEX($X$2:$X$1001,MATCH(ROWS($V$2:V388),$V$2:$V$1001,0),0), INDEX($AC$1004:$AS$1004,1,MATCH(COLUMNS($AC$1006:AH1006),$AC$1006:$AS$1006,0)))),"Fix")))</f>
        <v>0</v>
      </c>
      <c r="H388" s="5">
        <f>IF(OR(INDEX($W$2:$W$1001,MATCH(ROWS($V$2:V388),$V$2:$V$1001,0),1)&gt;=100000,INDEX($AC$1005:$AS$1005,1,MATCH(COLUMNS($AC$1006:AI1006),$AC$1006:$AS$1006,0))&gt;=100000), " ",IF(INDEX($AC$2:$AS$1001,MATCH(ROWS($V$2:V388),$V$2:$V$1001,0),MATCH(COLUMNS($AC$1006:AI1006),$AC$1006:$AS$1006,0)), HYPERLINK("#",""), HYPERLINK(CONCATENATE("#Metadata!", ADDRESS(INDEX($X$2:$X$1001,MATCH(ROWS($V$2:V388),$V$2:$V$1001,0),0), INDEX($AC$1004:$AS$1004,1,MATCH(COLUMNS($AC$1006:AI1006),$AC$1006:$AS$1006,0)))),"Fix")))</f>
        <v>0</v>
      </c>
      <c r="I388" s="5">
        <f>IF(OR(INDEX($W$2:$W$1001,MATCH(ROWS($V$2:V388),$V$2:$V$1001,0),1)&gt;=100000,INDEX($AC$1005:$AS$1005,1,MATCH(COLUMNS($AC$1006:AJ1006),$AC$1006:$AS$1006,0))&gt;=100000), " ",IF(INDEX($AC$2:$AS$1001,MATCH(ROWS($V$2:V388),$V$2:$V$1001,0),MATCH(COLUMNS($AC$1006:AJ1006),$AC$1006:$AS$1006,0)), HYPERLINK("#",""), HYPERLINK(CONCATENATE("#Metadata!", ADDRESS(INDEX($X$2:$X$1001,MATCH(ROWS($V$2:V388),$V$2:$V$1001,0),0), INDEX($AC$1004:$AS$1004,1,MATCH(COLUMNS($AC$1006:AJ1006),$AC$1006:$AS$1006,0)))),"Fix")))</f>
        <v>0</v>
      </c>
      <c r="J388" s="5">
        <f>IF(OR(INDEX($W$2:$W$1001,MATCH(ROWS($V$2:V388),$V$2:$V$1001,0),1)&gt;=100000,INDEX($AC$1005:$AS$1005,1,MATCH(COLUMNS($AC$1006:AK1006),$AC$1006:$AS$1006,0))&gt;=100000), " ",IF(INDEX($AC$2:$AS$1001,MATCH(ROWS($V$2:V388),$V$2:$V$1001,0),MATCH(COLUMNS($AC$1006:AK1006),$AC$1006:$AS$1006,0)), HYPERLINK("#",""), HYPERLINK(CONCATENATE("#Metadata!", ADDRESS(INDEX($X$2:$X$1001,MATCH(ROWS($V$2:V388),$V$2:$V$1001,0),0), INDEX($AC$1004:$AS$1004,1,MATCH(COLUMNS($AC$1006:AK1006),$AC$1006:$AS$1006,0)))),"Fix")))</f>
        <v>0</v>
      </c>
      <c r="K388" s="5">
        <f>IF(OR(INDEX($W$2:$W$1001,MATCH(ROWS($V$2:V388),$V$2:$V$1001,0),1)&gt;=100000,INDEX($AC$1005:$AS$1005,1,MATCH(COLUMNS($AC$1006:AL1006),$AC$1006:$AS$1006,0))&gt;=100000), " ",IF(INDEX($AC$2:$AS$1001,MATCH(ROWS($V$2:V388),$V$2:$V$1001,0),MATCH(COLUMNS($AC$1006:AL1006),$AC$1006:$AS$1006,0)), HYPERLINK("#",""), HYPERLINK(CONCATENATE("#Metadata!", ADDRESS(INDEX($X$2:$X$1001,MATCH(ROWS($V$2:V388),$V$2:$V$1001,0),0), INDEX($AC$1004:$AS$1004,1,MATCH(COLUMNS($AC$1006:AL1006),$AC$1006:$AS$1006,0)))),"Fix")))</f>
        <v>0</v>
      </c>
      <c r="L388" s="5">
        <f>IF(OR(INDEX($W$2:$W$1001,MATCH(ROWS($V$2:V388),$V$2:$V$1001,0),1)&gt;=100000,INDEX($AC$1005:$AS$1005,1,MATCH(COLUMNS($AC$1006:AM1006),$AC$1006:$AS$1006,0))&gt;=100000), " ",IF(INDEX($AC$2:$AS$1001,MATCH(ROWS($V$2:V388),$V$2:$V$1001,0),MATCH(COLUMNS($AC$1006:AM1006),$AC$1006:$AS$1006,0)), HYPERLINK("#",""), HYPERLINK(CONCATENATE("#Metadata!", ADDRESS(INDEX($X$2:$X$1001,MATCH(ROWS($V$2:V388),$V$2:$V$1001,0),0), INDEX($AC$1004:$AS$1004,1,MATCH(COLUMNS($AC$1006:AM1006),$AC$1006:$AS$1006,0)))),"Fix")))</f>
        <v>0</v>
      </c>
      <c r="M388" s="5">
        <f>IF(OR(INDEX($W$2:$W$1001,MATCH(ROWS($V$2:V388),$V$2:$V$1001,0),1)&gt;=100000,INDEX($AC$1005:$AS$1005,1,MATCH(COLUMNS($AC$1006:AN1006),$AC$1006:$AS$1006,0))&gt;=100000), " ",IF(INDEX($AC$2:$AS$1001,MATCH(ROWS($V$2:V388),$V$2:$V$1001,0),MATCH(COLUMNS($AC$1006:AN1006),$AC$1006:$AS$1006,0)), HYPERLINK("#",""), HYPERLINK(CONCATENATE("#Metadata!", ADDRESS(INDEX($X$2:$X$1001,MATCH(ROWS($V$2:V388),$V$2:$V$1001,0),0), INDEX($AC$1004:$AS$1004,1,MATCH(COLUMNS($AC$1006:AN1006),$AC$1006:$AS$1006,0)))),"Fix")))</f>
        <v>0</v>
      </c>
      <c r="N388" s="5">
        <f>IF(OR(INDEX($W$2:$W$1001,MATCH(ROWS($V$2:V388),$V$2:$V$1001,0),1)&gt;=100000,INDEX($AC$1005:$AS$1005,1,MATCH(COLUMNS($AC$1006:AO1006),$AC$1006:$AS$1006,0))&gt;=100000), " ",IF(INDEX($AC$2:$AS$1001,MATCH(ROWS($V$2:V388),$V$2:$V$1001,0),MATCH(COLUMNS($AC$1006:AO1006),$AC$1006:$AS$1006,0)), HYPERLINK("#",""), HYPERLINK(CONCATENATE("#Metadata!", ADDRESS(INDEX($X$2:$X$1001,MATCH(ROWS($V$2:V388),$V$2:$V$1001,0),0), INDEX($AC$1004:$AS$1004,1,MATCH(COLUMNS($AC$1006:AO1006),$AC$1006:$AS$1006,0)))),"Fix")))</f>
        <v>0</v>
      </c>
      <c r="O388" s="5">
        <f>IF(OR(INDEX($W$2:$W$1001,MATCH(ROWS($V$2:V388),$V$2:$V$1001,0),1)&gt;=100000,INDEX($AC$1005:$AS$1005,1,MATCH(COLUMNS($AC$1006:AP1006),$AC$1006:$AS$1006,0))&gt;=100000), " ",IF(INDEX($AC$2:$AS$1001,MATCH(ROWS($V$2:V388),$V$2:$V$1001,0),MATCH(COLUMNS($AC$1006:AP1006),$AC$1006:$AS$1006,0)), HYPERLINK("#",""), HYPERLINK(CONCATENATE("#Metadata!", ADDRESS(INDEX($X$2:$X$1001,MATCH(ROWS($V$2:V388),$V$2:$V$1001,0),0), INDEX($AC$1004:$AS$1004,1,MATCH(COLUMNS($AC$1006:AP1006),$AC$1006:$AS$1006,0)))),"Fix")))</f>
        <v>0</v>
      </c>
      <c r="P388" s="5">
        <f>IF(OR(INDEX($W$2:$W$1001,MATCH(ROWS($V$2:V388),$V$2:$V$1001,0),1)&gt;=100000,INDEX($AC$1005:$AS$1005,1,MATCH(COLUMNS($AC$1006:AQ1006),$AC$1006:$AS$1006,0))&gt;=100000), " ",IF(INDEX($AC$2:$AS$1001,MATCH(ROWS($V$2:V388),$V$2:$V$1001,0),MATCH(COLUMNS($AC$1006:AQ1006),$AC$1006:$AS$1006,0)), HYPERLINK("#",""), HYPERLINK(CONCATENATE("#Metadata!", ADDRESS(INDEX($X$2:$X$1001,MATCH(ROWS($V$2:V388),$V$2:$V$1001,0),0), INDEX($AC$1004:$AS$1004,1,MATCH(COLUMNS($AC$1006:AQ1006),$AC$1006:$AS$1006,0)))),"Fix")))</f>
        <v>0</v>
      </c>
      <c r="Q388" s="5">
        <f>IF(OR(INDEX($W$2:$W$1001,MATCH(ROWS($V$2:V388),$V$2:$V$1001,0),1)&gt;=100000,INDEX($AC$1005:$AS$1005,1,MATCH(COLUMNS($AC$1006:AR1006),$AC$1006:$AS$1006,0))&gt;=100000), " ",IF(INDEX($AC$2:$AS$1001,MATCH(ROWS($V$2:V388),$V$2:$V$1001,0),MATCH(COLUMNS($AC$1006:AR1006),$AC$1006:$AS$1006,0)), HYPERLINK("#",""), HYPERLINK(CONCATENATE("#Metadata!", ADDRESS(INDEX($X$2:$X$1001,MATCH(ROWS($V$2:V388),$V$2:$V$1001,0),0), INDEX($AC$1004:$AS$1004,1,MATCH(COLUMNS($AC$1006:AR1006),$AC$1006:$AS$1006,0)))),"Fix")))</f>
        <v>0</v>
      </c>
      <c r="R388" s="5">
        <f>IF(OR(INDEX($W$2:$W$1001,MATCH(ROWS($V$2:V388),$V$2:$V$1001,0),1)&gt;=100000,INDEX($AC$1005:$AS$1005,1,MATCH(COLUMNS($AC$1006:AS1006),$AC$1006:$AS$1006,0))&gt;=100000), " ",IF(INDEX($AC$2:$AS$1001,MATCH(ROWS($V$2:V388),$V$2:$V$1001,0),MATCH(COLUMNS($AC$1006:AS1006),$AC$1006:$AS$1006,0)), HYPERLINK("#",""), HYPERLINK(CONCATENATE("#Metadata!", ADDRESS(INDEX($X$2:$X$1001,MATCH(ROWS($V$2:V388),$V$2:$V$1001,0),0), INDEX($AC$1004:$AS$1004,1,MATCH(COLUMNS($AC$1006:AS1006),$AC$1006:$AS$1006,0)))),"Fix")))</f>
        <v>0</v>
      </c>
      <c r="V388">
        <v>0</v>
      </c>
      <c r="W388">
        <v>0</v>
      </c>
      <c r="X388">
        <v>0</v>
      </c>
      <c r="Y388">
        <f>IF(Z388,TRUE,AND(AC388:AS388))</f>
        <v>0</v>
      </c>
      <c r="Z388">
        <f>COUNTBLANK(Metadata!B388:R388)=COLUMNS(Metadata!B388:R388)</f>
        <v>0</v>
      </c>
      <c r="AA388">
        <v>0</v>
      </c>
      <c r="AC388">
        <f>AND(IF(Metadata!B388="",FALSE,TRUE),COUNTIF(Metadata!B:B, Metadata!B388) = 1,NOT(ISERROR(SUMPRODUCT(SEARCH(MID(Metadata!B388,ROW(INDIRECT("1:"&amp;LEN(Metadata!B388))), 1),"0123456789abcdefghijklmnopqrstuvwxyzABCDEFGHIJKLMNOPQRSTUVWXYZ.")))))</f>
        <v>0</v>
      </c>
      <c r="AD388">
        <f>AND(IF(Metadata!C388="",FALSE,TRUE),exact(Metadata!C388,"Host-associated"))</f>
        <v>0</v>
      </c>
      <c r="AE388">
        <f>AND(IF(Metadata!D388="",FALSE,TRUE),OR(exact(Metadata!D388,"Animal"),exact(Metadata!D388,"Fungus"),exact(Metadata!D388,"Plant")))</f>
        <v>0</v>
      </c>
      <c r="AF388">
        <f>AND(IF(Metadata!E388="",FALSE,TRUE),OR(exact(Metadata!E388,"Plant secretion"),exact(Metadata!E388,"Plant rhizosphere"),exact(Metadata!E388,"Plant surface"),exact(Metadata!E388,"Plant corpus"),exact(Metadata!E388,"Fungus surface"),exact(Metadata!E388,"Fungus corpus"),exact(Metadata!E388,"Animal surface"),exact(Metadata!E388,"Animal proximal gut"),exact(Metadata!E388,"Animal corpus"),exact(Metadata!E388,"Animal distal gut"),exact(Metadata!E388,"Animal secretion")))</f>
        <v>0</v>
      </c>
      <c r="AG388">
        <f>OR(AND(IF(Metadata!F388="",FALSE,TRUE),OR(exact(Metadata!F388,"not collected"),exact(Metadata!F388,"not provided"),exact(Metadata!F388,"restricted access"))),AND(IF(Metadata!F388="",FALSE,TRUE),OR(exact(Metadata!F388,"organism-associated habitat"),exact(Metadata!F388,"plant-associated habitat"),exact(Metadata!F388,"animal-associated habitat"),exact(Metadata!F388,"insecta-associated habitat"),exact(Metadata!F388,"mammalia-associated habitat"),exact(Metadata!F388,"human-associated habitat"),exact(Metadata!F388,"livestock-associated habitat"))))</f>
        <v>0</v>
      </c>
      <c r="AH388">
        <f>AND(IF(Metadata!G388="",FALSE,TRUE),exact(Metadata!G388,"host-associated"))</f>
        <v>0</v>
      </c>
      <c r="AI388">
        <f>OR(AND(IF(Metadata!H388="",FALSE,TRUE),OR(exact(Metadata!H388,"not collected"),exact(Metadata!H388,"not provided"))),AND(IF(Metadata!H388="",FALSE,ISNUMBER(VALUE(Metadata!H388))),Metadata!H388&gt;0))</f>
        <v>0</v>
      </c>
      <c r="AJ388">
        <f>AND(IF(Metadata!I388="",FALSE,TRUE),exact(Metadata!I388,"years"))</f>
        <v>0</v>
      </c>
      <c r="AK388">
        <f>IF(Metadata!J388="",FALSE,TRUE)</f>
        <v>0</v>
      </c>
      <c r="AL388">
        <f>OR(AND(IF(Metadata!K388="",FALSE,TRUE),OR(exact(Metadata!K388,"not collected"),exact(Metadata!K388,"not provided"))),AND(IF(Metadata!K388="",FALSE,ISNUMBER(VALUE(Metadata!K388))),Metadata!K388&gt;0))</f>
        <v>0</v>
      </c>
      <c r="AM388">
        <f>AND(IF(Metadata!L388="",FALSE,TRUE),exact(Metadata!L388,"cm"))</f>
        <v>0</v>
      </c>
      <c r="AN388">
        <f>IF(Metadata!M388="",FALSE,TRUE)</f>
        <v>0</v>
      </c>
      <c r="AO388">
        <f>OR(AND(IF(Metadata!N388="",FALSE,TRUE),OR(exact(Metadata!N388,"not applicable"),exact(Metadata!N388,"not collected"),exact(Metadata!N388,"not provided"))),AND(IF(Metadata!N388="",FALSE,IF(ISERROR(INT(Metadata!N388)),FALSE,INT(Metadata!N388)=Metadata!N388)),Metadata!N388&gt;0))</f>
        <v>0</v>
      </c>
      <c r="AP388">
        <f>OR(AND(IF(Metadata!O388="",FALSE,TRUE),OR(exact(Metadata!O388,"not collected"),exact(Metadata!O388,"not provided"))),AND(IF(Metadata!O388="",FALSE,ISNUMBER(VALUE(Metadata!O388))),Metadata!O388&gt;0))</f>
        <v>0</v>
      </c>
      <c r="AQ388">
        <f>AND(IF(Metadata!P388="",FALSE,TRUE),exact(Metadata!P388,"kg"))</f>
        <v>0</v>
      </c>
      <c r="AR388">
        <f>OR(AND(IF(Metadata!Q388="",FALSE,TRUE),OR(exact(Metadata!Q388,"not applicable"),exact(Metadata!Q388,"not collected"),exact(Metadata!Q388,"not provided"),exact(Metadata!Q388,"restricted access"))),IF(Metadata!Q388="",FALSE,IF(ISERROR(INT(Metadata!Q388)),FALSE,INT(Metadata!Q388)=Metadata!Q388)))</f>
        <v>0</v>
      </c>
      <c r="AS388">
        <f>AND(IF(Metadata!R388="",FALSE,TRUE),exact(Metadata!R388,"Not applicable"))</f>
        <v>0</v>
      </c>
    </row>
    <row r="389" spans="1:45">
      <c r="A389" s="4">
        <f>IF(B389=" "," ",HYPERLINK(CONCATENATE("#metadata!",ADDRESS(INDEX($X$2:$X$1001,MATCH(ROWS($V$2:V389),$V$2:$V$1001,0),0),2)),INDEX($AA$2:$AA$1001,MATCH(ROWS($V$2:V389),$V$2:$V$1001,0),0)))</f>
        <v>0</v>
      </c>
      <c r="B389" s="5">
        <f>IF(OR(INDEX($W$2:$W$1001,MATCH(ROWS($V$2:V389),$V$2:$V$1001,0),1)&gt;=100000,INDEX($AC$1005:$AS$1005,1,MATCH(COLUMNS($AC$1006:AC1006),$AC$1006:$AS$1006,0))&gt;=100000), " ",IF(INDEX($AC$2:$AS$1001,MATCH(ROWS($V$2:V389),$V$2:$V$1001,0),MATCH(COLUMNS($AC$1006:AC1006),$AC$1006:$AS$1006,0)), HYPERLINK("#",""), HYPERLINK(CONCATENATE("#Metadata!", ADDRESS(INDEX($X$2:$X$1001,MATCH(ROWS($V$2:V389),$V$2:$V$1001,0),0), INDEX($AC$1004:$AS$1004,1,MATCH(COLUMNS($AC$1006:AC1006),$AC$1006:$AS$1006,0)))),"Fix")))</f>
        <v>0</v>
      </c>
      <c r="C389" s="5">
        <f>IF(OR(INDEX($W$2:$W$1001,MATCH(ROWS($V$2:V389),$V$2:$V$1001,0),1)&gt;=100000,INDEX($AC$1005:$AS$1005,1,MATCH(COLUMNS($AC$1006:AD1006),$AC$1006:$AS$1006,0))&gt;=100000), " ",IF(INDEX($AC$2:$AS$1001,MATCH(ROWS($V$2:V389),$V$2:$V$1001,0),MATCH(COLUMNS($AC$1006:AD1006),$AC$1006:$AS$1006,0)), HYPERLINK("#",""), HYPERLINK(CONCATENATE("#Metadata!", ADDRESS(INDEX($X$2:$X$1001,MATCH(ROWS($V$2:V389),$V$2:$V$1001,0),0), INDEX($AC$1004:$AS$1004,1,MATCH(COLUMNS($AC$1006:AD1006),$AC$1006:$AS$1006,0)))),"Fix")))</f>
        <v>0</v>
      </c>
      <c r="D389" s="5">
        <f>IF(OR(INDEX($W$2:$W$1001,MATCH(ROWS($V$2:V389),$V$2:$V$1001,0),1)&gt;=100000,INDEX($AC$1005:$AS$1005,1,MATCH(COLUMNS($AC$1006:AE1006),$AC$1006:$AS$1006,0))&gt;=100000), " ",IF(INDEX($AC$2:$AS$1001,MATCH(ROWS($V$2:V389),$V$2:$V$1001,0),MATCH(COLUMNS($AC$1006:AE1006),$AC$1006:$AS$1006,0)), HYPERLINK("#",""), HYPERLINK(CONCATENATE("#Metadata!", ADDRESS(INDEX($X$2:$X$1001,MATCH(ROWS($V$2:V389),$V$2:$V$1001,0),0), INDEX($AC$1004:$AS$1004,1,MATCH(COLUMNS($AC$1006:AE1006),$AC$1006:$AS$1006,0)))),"Fix")))</f>
        <v>0</v>
      </c>
      <c r="E389" s="5">
        <f>IF(OR(INDEX($W$2:$W$1001,MATCH(ROWS($V$2:V389),$V$2:$V$1001,0),1)&gt;=100000,INDEX($AC$1005:$AS$1005,1,MATCH(COLUMNS($AC$1006:AF1006),$AC$1006:$AS$1006,0))&gt;=100000), " ",IF(INDEX($AC$2:$AS$1001,MATCH(ROWS($V$2:V389),$V$2:$V$1001,0),MATCH(COLUMNS($AC$1006:AF1006),$AC$1006:$AS$1006,0)), HYPERLINK("#",""), HYPERLINK(CONCATENATE("#Metadata!", ADDRESS(INDEX($X$2:$X$1001,MATCH(ROWS($V$2:V389),$V$2:$V$1001,0),0), INDEX($AC$1004:$AS$1004,1,MATCH(COLUMNS($AC$1006:AF1006),$AC$1006:$AS$1006,0)))),"Fix")))</f>
        <v>0</v>
      </c>
      <c r="F389" s="5">
        <f>IF(OR(INDEX($W$2:$W$1001,MATCH(ROWS($V$2:V389),$V$2:$V$1001,0),1)&gt;=100000,INDEX($AC$1005:$AS$1005,1,MATCH(COLUMNS($AC$1006:AG1006),$AC$1006:$AS$1006,0))&gt;=100000), " ",IF(INDEX($AC$2:$AS$1001,MATCH(ROWS($V$2:V389),$V$2:$V$1001,0),MATCH(COLUMNS($AC$1006:AG1006),$AC$1006:$AS$1006,0)), HYPERLINK("#",""), HYPERLINK(CONCATENATE("#Metadata!", ADDRESS(INDEX($X$2:$X$1001,MATCH(ROWS($V$2:V389),$V$2:$V$1001,0),0), INDEX($AC$1004:$AS$1004,1,MATCH(COLUMNS($AC$1006:AG1006),$AC$1006:$AS$1006,0)))),"Fix")))</f>
        <v>0</v>
      </c>
      <c r="G389" s="5">
        <f>IF(OR(INDEX($W$2:$W$1001,MATCH(ROWS($V$2:V389),$V$2:$V$1001,0),1)&gt;=100000,INDEX($AC$1005:$AS$1005,1,MATCH(COLUMNS($AC$1006:AH1006),$AC$1006:$AS$1006,0))&gt;=100000), " ",IF(INDEX($AC$2:$AS$1001,MATCH(ROWS($V$2:V389),$V$2:$V$1001,0),MATCH(COLUMNS($AC$1006:AH1006),$AC$1006:$AS$1006,0)), HYPERLINK("#",""), HYPERLINK(CONCATENATE("#Metadata!", ADDRESS(INDEX($X$2:$X$1001,MATCH(ROWS($V$2:V389),$V$2:$V$1001,0),0), INDEX($AC$1004:$AS$1004,1,MATCH(COLUMNS($AC$1006:AH1006),$AC$1006:$AS$1006,0)))),"Fix")))</f>
        <v>0</v>
      </c>
      <c r="H389" s="5">
        <f>IF(OR(INDEX($W$2:$W$1001,MATCH(ROWS($V$2:V389),$V$2:$V$1001,0),1)&gt;=100000,INDEX($AC$1005:$AS$1005,1,MATCH(COLUMNS($AC$1006:AI1006),$AC$1006:$AS$1006,0))&gt;=100000), " ",IF(INDEX($AC$2:$AS$1001,MATCH(ROWS($V$2:V389),$V$2:$V$1001,0),MATCH(COLUMNS($AC$1006:AI1006),$AC$1006:$AS$1006,0)), HYPERLINK("#",""), HYPERLINK(CONCATENATE("#Metadata!", ADDRESS(INDEX($X$2:$X$1001,MATCH(ROWS($V$2:V389),$V$2:$V$1001,0),0), INDEX($AC$1004:$AS$1004,1,MATCH(COLUMNS($AC$1006:AI1006),$AC$1006:$AS$1006,0)))),"Fix")))</f>
        <v>0</v>
      </c>
      <c r="I389" s="5">
        <f>IF(OR(INDEX($W$2:$W$1001,MATCH(ROWS($V$2:V389),$V$2:$V$1001,0),1)&gt;=100000,INDEX($AC$1005:$AS$1005,1,MATCH(COLUMNS($AC$1006:AJ1006),$AC$1006:$AS$1006,0))&gt;=100000), " ",IF(INDEX($AC$2:$AS$1001,MATCH(ROWS($V$2:V389),$V$2:$V$1001,0),MATCH(COLUMNS($AC$1006:AJ1006),$AC$1006:$AS$1006,0)), HYPERLINK("#",""), HYPERLINK(CONCATENATE("#Metadata!", ADDRESS(INDEX($X$2:$X$1001,MATCH(ROWS($V$2:V389),$V$2:$V$1001,0),0), INDEX($AC$1004:$AS$1004,1,MATCH(COLUMNS($AC$1006:AJ1006),$AC$1006:$AS$1006,0)))),"Fix")))</f>
        <v>0</v>
      </c>
      <c r="J389" s="5">
        <f>IF(OR(INDEX($W$2:$W$1001,MATCH(ROWS($V$2:V389),$V$2:$V$1001,0),1)&gt;=100000,INDEX($AC$1005:$AS$1005,1,MATCH(COLUMNS($AC$1006:AK1006),$AC$1006:$AS$1006,0))&gt;=100000), " ",IF(INDEX($AC$2:$AS$1001,MATCH(ROWS($V$2:V389),$V$2:$V$1001,0),MATCH(COLUMNS($AC$1006:AK1006),$AC$1006:$AS$1006,0)), HYPERLINK("#",""), HYPERLINK(CONCATENATE("#Metadata!", ADDRESS(INDEX($X$2:$X$1001,MATCH(ROWS($V$2:V389),$V$2:$V$1001,0),0), INDEX($AC$1004:$AS$1004,1,MATCH(COLUMNS($AC$1006:AK1006),$AC$1006:$AS$1006,0)))),"Fix")))</f>
        <v>0</v>
      </c>
      <c r="K389" s="5">
        <f>IF(OR(INDEX($W$2:$W$1001,MATCH(ROWS($V$2:V389),$V$2:$V$1001,0),1)&gt;=100000,INDEX($AC$1005:$AS$1005,1,MATCH(COLUMNS($AC$1006:AL1006),$AC$1006:$AS$1006,0))&gt;=100000), " ",IF(INDEX($AC$2:$AS$1001,MATCH(ROWS($V$2:V389),$V$2:$V$1001,0),MATCH(COLUMNS($AC$1006:AL1006),$AC$1006:$AS$1006,0)), HYPERLINK("#",""), HYPERLINK(CONCATENATE("#Metadata!", ADDRESS(INDEX($X$2:$X$1001,MATCH(ROWS($V$2:V389),$V$2:$V$1001,0),0), INDEX($AC$1004:$AS$1004,1,MATCH(COLUMNS($AC$1006:AL1006),$AC$1006:$AS$1006,0)))),"Fix")))</f>
        <v>0</v>
      </c>
      <c r="L389" s="5">
        <f>IF(OR(INDEX($W$2:$W$1001,MATCH(ROWS($V$2:V389),$V$2:$V$1001,0),1)&gt;=100000,INDEX($AC$1005:$AS$1005,1,MATCH(COLUMNS($AC$1006:AM1006),$AC$1006:$AS$1006,0))&gt;=100000), " ",IF(INDEX($AC$2:$AS$1001,MATCH(ROWS($V$2:V389),$V$2:$V$1001,0),MATCH(COLUMNS($AC$1006:AM1006),$AC$1006:$AS$1006,0)), HYPERLINK("#",""), HYPERLINK(CONCATENATE("#Metadata!", ADDRESS(INDEX($X$2:$X$1001,MATCH(ROWS($V$2:V389),$V$2:$V$1001,0),0), INDEX($AC$1004:$AS$1004,1,MATCH(COLUMNS($AC$1006:AM1006),$AC$1006:$AS$1006,0)))),"Fix")))</f>
        <v>0</v>
      </c>
      <c r="M389" s="5">
        <f>IF(OR(INDEX($W$2:$W$1001,MATCH(ROWS($V$2:V389),$V$2:$V$1001,0),1)&gt;=100000,INDEX($AC$1005:$AS$1005,1,MATCH(COLUMNS($AC$1006:AN1006),$AC$1006:$AS$1006,0))&gt;=100000), " ",IF(INDEX($AC$2:$AS$1001,MATCH(ROWS($V$2:V389),$V$2:$V$1001,0),MATCH(COLUMNS($AC$1006:AN1006),$AC$1006:$AS$1006,0)), HYPERLINK("#",""), HYPERLINK(CONCATENATE("#Metadata!", ADDRESS(INDEX($X$2:$X$1001,MATCH(ROWS($V$2:V389),$V$2:$V$1001,0),0), INDEX($AC$1004:$AS$1004,1,MATCH(COLUMNS($AC$1006:AN1006),$AC$1006:$AS$1006,0)))),"Fix")))</f>
        <v>0</v>
      </c>
      <c r="N389" s="5">
        <f>IF(OR(INDEX($W$2:$W$1001,MATCH(ROWS($V$2:V389),$V$2:$V$1001,0),1)&gt;=100000,INDEX($AC$1005:$AS$1005,1,MATCH(COLUMNS($AC$1006:AO1006),$AC$1006:$AS$1006,0))&gt;=100000), " ",IF(INDEX($AC$2:$AS$1001,MATCH(ROWS($V$2:V389),$V$2:$V$1001,0),MATCH(COLUMNS($AC$1006:AO1006),$AC$1006:$AS$1006,0)), HYPERLINK("#",""), HYPERLINK(CONCATENATE("#Metadata!", ADDRESS(INDEX($X$2:$X$1001,MATCH(ROWS($V$2:V389),$V$2:$V$1001,0),0), INDEX($AC$1004:$AS$1004,1,MATCH(COLUMNS($AC$1006:AO1006),$AC$1006:$AS$1006,0)))),"Fix")))</f>
        <v>0</v>
      </c>
      <c r="O389" s="5">
        <f>IF(OR(INDEX($W$2:$W$1001,MATCH(ROWS($V$2:V389),$V$2:$V$1001,0),1)&gt;=100000,INDEX($AC$1005:$AS$1005,1,MATCH(COLUMNS($AC$1006:AP1006),$AC$1006:$AS$1006,0))&gt;=100000), " ",IF(INDEX($AC$2:$AS$1001,MATCH(ROWS($V$2:V389),$V$2:$V$1001,0),MATCH(COLUMNS($AC$1006:AP1006),$AC$1006:$AS$1006,0)), HYPERLINK("#",""), HYPERLINK(CONCATENATE("#Metadata!", ADDRESS(INDEX($X$2:$X$1001,MATCH(ROWS($V$2:V389),$V$2:$V$1001,0),0), INDEX($AC$1004:$AS$1004,1,MATCH(COLUMNS($AC$1006:AP1006),$AC$1006:$AS$1006,0)))),"Fix")))</f>
        <v>0</v>
      </c>
      <c r="P389" s="5">
        <f>IF(OR(INDEX($W$2:$W$1001,MATCH(ROWS($V$2:V389),$V$2:$V$1001,0),1)&gt;=100000,INDEX($AC$1005:$AS$1005,1,MATCH(COLUMNS($AC$1006:AQ1006),$AC$1006:$AS$1006,0))&gt;=100000), " ",IF(INDEX($AC$2:$AS$1001,MATCH(ROWS($V$2:V389),$V$2:$V$1001,0),MATCH(COLUMNS($AC$1006:AQ1006),$AC$1006:$AS$1006,0)), HYPERLINK("#",""), HYPERLINK(CONCATENATE("#Metadata!", ADDRESS(INDEX($X$2:$X$1001,MATCH(ROWS($V$2:V389),$V$2:$V$1001,0),0), INDEX($AC$1004:$AS$1004,1,MATCH(COLUMNS($AC$1006:AQ1006),$AC$1006:$AS$1006,0)))),"Fix")))</f>
        <v>0</v>
      </c>
      <c r="Q389" s="5">
        <f>IF(OR(INDEX($W$2:$W$1001,MATCH(ROWS($V$2:V389),$V$2:$V$1001,0),1)&gt;=100000,INDEX($AC$1005:$AS$1005,1,MATCH(COLUMNS($AC$1006:AR1006),$AC$1006:$AS$1006,0))&gt;=100000), " ",IF(INDEX($AC$2:$AS$1001,MATCH(ROWS($V$2:V389),$V$2:$V$1001,0),MATCH(COLUMNS($AC$1006:AR1006),$AC$1006:$AS$1006,0)), HYPERLINK("#",""), HYPERLINK(CONCATENATE("#Metadata!", ADDRESS(INDEX($X$2:$X$1001,MATCH(ROWS($V$2:V389),$V$2:$V$1001,0),0), INDEX($AC$1004:$AS$1004,1,MATCH(COLUMNS($AC$1006:AR1006),$AC$1006:$AS$1006,0)))),"Fix")))</f>
        <v>0</v>
      </c>
      <c r="R389" s="5">
        <f>IF(OR(INDEX($W$2:$W$1001,MATCH(ROWS($V$2:V389),$V$2:$V$1001,0),1)&gt;=100000,INDEX($AC$1005:$AS$1005,1,MATCH(COLUMNS($AC$1006:AS1006),$AC$1006:$AS$1006,0))&gt;=100000), " ",IF(INDEX($AC$2:$AS$1001,MATCH(ROWS($V$2:V389),$V$2:$V$1001,0),MATCH(COLUMNS($AC$1006:AS1006),$AC$1006:$AS$1006,0)), HYPERLINK("#",""), HYPERLINK(CONCATENATE("#Metadata!", ADDRESS(INDEX($X$2:$X$1001,MATCH(ROWS($V$2:V389),$V$2:$V$1001,0),0), INDEX($AC$1004:$AS$1004,1,MATCH(COLUMNS($AC$1006:AS1006),$AC$1006:$AS$1006,0)))),"Fix")))</f>
        <v>0</v>
      </c>
      <c r="V389">
        <v>0</v>
      </c>
      <c r="W389">
        <v>0</v>
      </c>
      <c r="X389">
        <v>0</v>
      </c>
      <c r="Y389">
        <f>IF(Z389,TRUE,AND(AC389:AS389))</f>
        <v>0</v>
      </c>
      <c r="Z389">
        <f>COUNTBLANK(Metadata!B389:R389)=COLUMNS(Metadata!B389:R389)</f>
        <v>0</v>
      </c>
      <c r="AA389">
        <v>0</v>
      </c>
      <c r="AC389">
        <f>AND(IF(Metadata!B389="",FALSE,TRUE),COUNTIF(Metadata!B:B, Metadata!B389) = 1,NOT(ISERROR(SUMPRODUCT(SEARCH(MID(Metadata!B389,ROW(INDIRECT("1:"&amp;LEN(Metadata!B389))), 1),"0123456789abcdefghijklmnopqrstuvwxyzABCDEFGHIJKLMNOPQRSTUVWXYZ.")))))</f>
        <v>0</v>
      </c>
      <c r="AD389">
        <f>AND(IF(Metadata!C389="",FALSE,TRUE),exact(Metadata!C389,"Host-associated"))</f>
        <v>0</v>
      </c>
      <c r="AE389">
        <f>AND(IF(Metadata!D389="",FALSE,TRUE),OR(exact(Metadata!D389,"Animal"),exact(Metadata!D389,"Fungus"),exact(Metadata!D389,"Plant")))</f>
        <v>0</v>
      </c>
      <c r="AF389">
        <f>AND(IF(Metadata!E389="",FALSE,TRUE),OR(exact(Metadata!E389,"Plant secretion"),exact(Metadata!E389,"Plant rhizosphere"),exact(Metadata!E389,"Plant surface"),exact(Metadata!E389,"Plant corpus"),exact(Metadata!E389,"Fungus surface"),exact(Metadata!E389,"Fungus corpus"),exact(Metadata!E389,"Animal surface"),exact(Metadata!E389,"Animal proximal gut"),exact(Metadata!E389,"Animal corpus"),exact(Metadata!E389,"Animal distal gut"),exact(Metadata!E389,"Animal secretion")))</f>
        <v>0</v>
      </c>
      <c r="AG389">
        <f>OR(AND(IF(Metadata!F389="",FALSE,TRUE),OR(exact(Metadata!F389,"not collected"),exact(Metadata!F389,"not provided"),exact(Metadata!F389,"restricted access"))),AND(IF(Metadata!F389="",FALSE,TRUE),OR(exact(Metadata!F389,"organism-associated habitat"),exact(Metadata!F389,"plant-associated habitat"),exact(Metadata!F389,"animal-associated habitat"),exact(Metadata!F389,"insecta-associated habitat"),exact(Metadata!F389,"mammalia-associated habitat"),exact(Metadata!F389,"human-associated habitat"),exact(Metadata!F389,"livestock-associated habitat"))))</f>
        <v>0</v>
      </c>
      <c r="AH389">
        <f>AND(IF(Metadata!G389="",FALSE,TRUE),exact(Metadata!G389,"host-associated"))</f>
        <v>0</v>
      </c>
      <c r="AI389">
        <f>OR(AND(IF(Metadata!H389="",FALSE,TRUE),OR(exact(Metadata!H389,"not collected"),exact(Metadata!H389,"not provided"))),AND(IF(Metadata!H389="",FALSE,ISNUMBER(VALUE(Metadata!H389))),Metadata!H389&gt;0))</f>
        <v>0</v>
      </c>
      <c r="AJ389">
        <f>AND(IF(Metadata!I389="",FALSE,TRUE),exact(Metadata!I389,"years"))</f>
        <v>0</v>
      </c>
      <c r="AK389">
        <f>IF(Metadata!J389="",FALSE,TRUE)</f>
        <v>0</v>
      </c>
      <c r="AL389">
        <f>OR(AND(IF(Metadata!K389="",FALSE,TRUE),OR(exact(Metadata!K389,"not collected"),exact(Metadata!K389,"not provided"))),AND(IF(Metadata!K389="",FALSE,ISNUMBER(VALUE(Metadata!K389))),Metadata!K389&gt;0))</f>
        <v>0</v>
      </c>
      <c r="AM389">
        <f>AND(IF(Metadata!L389="",FALSE,TRUE),exact(Metadata!L389,"cm"))</f>
        <v>0</v>
      </c>
      <c r="AN389">
        <f>IF(Metadata!M389="",FALSE,TRUE)</f>
        <v>0</v>
      </c>
      <c r="AO389">
        <f>OR(AND(IF(Metadata!N389="",FALSE,TRUE),OR(exact(Metadata!N389,"not applicable"),exact(Metadata!N389,"not collected"),exact(Metadata!N389,"not provided"))),AND(IF(Metadata!N389="",FALSE,IF(ISERROR(INT(Metadata!N389)),FALSE,INT(Metadata!N389)=Metadata!N389)),Metadata!N389&gt;0))</f>
        <v>0</v>
      </c>
      <c r="AP389">
        <f>OR(AND(IF(Metadata!O389="",FALSE,TRUE),OR(exact(Metadata!O389,"not collected"),exact(Metadata!O389,"not provided"))),AND(IF(Metadata!O389="",FALSE,ISNUMBER(VALUE(Metadata!O389))),Metadata!O389&gt;0))</f>
        <v>0</v>
      </c>
      <c r="AQ389">
        <f>AND(IF(Metadata!P389="",FALSE,TRUE),exact(Metadata!P389,"kg"))</f>
        <v>0</v>
      </c>
      <c r="AR389">
        <f>OR(AND(IF(Metadata!Q389="",FALSE,TRUE),OR(exact(Metadata!Q389,"not applicable"),exact(Metadata!Q389,"not collected"),exact(Metadata!Q389,"not provided"),exact(Metadata!Q389,"restricted access"))),IF(Metadata!Q389="",FALSE,IF(ISERROR(INT(Metadata!Q389)),FALSE,INT(Metadata!Q389)=Metadata!Q389)))</f>
        <v>0</v>
      </c>
      <c r="AS389">
        <f>AND(IF(Metadata!R389="",FALSE,TRUE),exact(Metadata!R389,"Not applicable"))</f>
        <v>0</v>
      </c>
    </row>
    <row r="390" spans="1:45">
      <c r="A390" s="4">
        <f>IF(B390=" "," ",HYPERLINK(CONCATENATE("#metadata!",ADDRESS(INDEX($X$2:$X$1001,MATCH(ROWS($V$2:V390),$V$2:$V$1001,0),0),2)),INDEX($AA$2:$AA$1001,MATCH(ROWS($V$2:V390),$V$2:$V$1001,0),0)))</f>
        <v>0</v>
      </c>
      <c r="B390" s="5">
        <f>IF(OR(INDEX($W$2:$W$1001,MATCH(ROWS($V$2:V390),$V$2:$V$1001,0),1)&gt;=100000,INDEX($AC$1005:$AS$1005,1,MATCH(COLUMNS($AC$1006:AC1006),$AC$1006:$AS$1006,0))&gt;=100000), " ",IF(INDEX($AC$2:$AS$1001,MATCH(ROWS($V$2:V390),$V$2:$V$1001,0),MATCH(COLUMNS($AC$1006:AC1006),$AC$1006:$AS$1006,0)), HYPERLINK("#",""), HYPERLINK(CONCATENATE("#Metadata!", ADDRESS(INDEX($X$2:$X$1001,MATCH(ROWS($V$2:V390),$V$2:$V$1001,0),0), INDEX($AC$1004:$AS$1004,1,MATCH(COLUMNS($AC$1006:AC1006),$AC$1006:$AS$1006,0)))),"Fix")))</f>
        <v>0</v>
      </c>
      <c r="C390" s="5">
        <f>IF(OR(INDEX($W$2:$W$1001,MATCH(ROWS($V$2:V390),$V$2:$V$1001,0),1)&gt;=100000,INDEX($AC$1005:$AS$1005,1,MATCH(COLUMNS($AC$1006:AD1006),$AC$1006:$AS$1006,0))&gt;=100000), " ",IF(INDEX($AC$2:$AS$1001,MATCH(ROWS($V$2:V390),$V$2:$V$1001,0),MATCH(COLUMNS($AC$1006:AD1006),$AC$1006:$AS$1006,0)), HYPERLINK("#",""), HYPERLINK(CONCATENATE("#Metadata!", ADDRESS(INDEX($X$2:$X$1001,MATCH(ROWS($V$2:V390),$V$2:$V$1001,0),0), INDEX($AC$1004:$AS$1004,1,MATCH(COLUMNS($AC$1006:AD1006),$AC$1006:$AS$1006,0)))),"Fix")))</f>
        <v>0</v>
      </c>
      <c r="D390" s="5">
        <f>IF(OR(INDEX($W$2:$W$1001,MATCH(ROWS($V$2:V390),$V$2:$V$1001,0),1)&gt;=100000,INDEX($AC$1005:$AS$1005,1,MATCH(COLUMNS($AC$1006:AE1006),$AC$1006:$AS$1006,0))&gt;=100000), " ",IF(INDEX($AC$2:$AS$1001,MATCH(ROWS($V$2:V390),$V$2:$V$1001,0),MATCH(COLUMNS($AC$1006:AE1006),$AC$1006:$AS$1006,0)), HYPERLINK("#",""), HYPERLINK(CONCATENATE("#Metadata!", ADDRESS(INDEX($X$2:$X$1001,MATCH(ROWS($V$2:V390),$V$2:$V$1001,0),0), INDEX($AC$1004:$AS$1004,1,MATCH(COLUMNS($AC$1006:AE1006),$AC$1006:$AS$1006,0)))),"Fix")))</f>
        <v>0</v>
      </c>
      <c r="E390" s="5">
        <f>IF(OR(INDEX($W$2:$W$1001,MATCH(ROWS($V$2:V390),$V$2:$V$1001,0),1)&gt;=100000,INDEX($AC$1005:$AS$1005,1,MATCH(COLUMNS($AC$1006:AF1006),$AC$1006:$AS$1006,0))&gt;=100000), " ",IF(INDEX($AC$2:$AS$1001,MATCH(ROWS($V$2:V390),$V$2:$V$1001,0),MATCH(COLUMNS($AC$1006:AF1006),$AC$1006:$AS$1006,0)), HYPERLINK("#",""), HYPERLINK(CONCATENATE("#Metadata!", ADDRESS(INDEX($X$2:$X$1001,MATCH(ROWS($V$2:V390),$V$2:$V$1001,0),0), INDEX($AC$1004:$AS$1004,1,MATCH(COLUMNS($AC$1006:AF1006),$AC$1006:$AS$1006,0)))),"Fix")))</f>
        <v>0</v>
      </c>
      <c r="F390" s="5">
        <f>IF(OR(INDEX($W$2:$W$1001,MATCH(ROWS($V$2:V390),$V$2:$V$1001,0),1)&gt;=100000,INDEX($AC$1005:$AS$1005,1,MATCH(COLUMNS($AC$1006:AG1006),$AC$1006:$AS$1006,0))&gt;=100000), " ",IF(INDEX($AC$2:$AS$1001,MATCH(ROWS($V$2:V390),$V$2:$V$1001,0),MATCH(COLUMNS($AC$1006:AG1006),$AC$1006:$AS$1006,0)), HYPERLINK("#",""), HYPERLINK(CONCATENATE("#Metadata!", ADDRESS(INDEX($X$2:$X$1001,MATCH(ROWS($V$2:V390),$V$2:$V$1001,0),0), INDEX($AC$1004:$AS$1004,1,MATCH(COLUMNS($AC$1006:AG1006),$AC$1006:$AS$1006,0)))),"Fix")))</f>
        <v>0</v>
      </c>
      <c r="G390" s="5">
        <f>IF(OR(INDEX($W$2:$W$1001,MATCH(ROWS($V$2:V390),$V$2:$V$1001,0),1)&gt;=100000,INDEX($AC$1005:$AS$1005,1,MATCH(COLUMNS($AC$1006:AH1006),$AC$1006:$AS$1006,0))&gt;=100000), " ",IF(INDEX($AC$2:$AS$1001,MATCH(ROWS($V$2:V390),$V$2:$V$1001,0),MATCH(COLUMNS($AC$1006:AH1006),$AC$1006:$AS$1006,0)), HYPERLINK("#",""), HYPERLINK(CONCATENATE("#Metadata!", ADDRESS(INDEX($X$2:$X$1001,MATCH(ROWS($V$2:V390),$V$2:$V$1001,0),0), INDEX($AC$1004:$AS$1004,1,MATCH(COLUMNS($AC$1006:AH1006),$AC$1006:$AS$1006,0)))),"Fix")))</f>
        <v>0</v>
      </c>
      <c r="H390" s="5">
        <f>IF(OR(INDEX($W$2:$W$1001,MATCH(ROWS($V$2:V390),$V$2:$V$1001,0),1)&gt;=100000,INDEX($AC$1005:$AS$1005,1,MATCH(COLUMNS($AC$1006:AI1006),$AC$1006:$AS$1006,0))&gt;=100000), " ",IF(INDEX($AC$2:$AS$1001,MATCH(ROWS($V$2:V390),$V$2:$V$1001,0),MATCH(COLUMNS($AC$1006:AI1006),$AC$1006:$AS$1006,0)), HYPERLINK("#",""), HYPERLINK(CONCATENATE("#Metadata!", ADDRESS(INDEX($X$2:$X$1001,MATCH(ROWS($V$2:V390),$V$2:$V$1001,0),0), INDEX($AC$1004:$AS$1004,1,MATCH(COLUMNS($AC$1006:AI1006),$AC$1006:$AS$1006,0)))),"Fix")))</f>
        <v>0</v>
      </c>
      <c r="I390" s="5">
        <f>IF(OR(INDEX($W$2:$W$1001,MATCH(ROWS($V$2:V390),$V$2:$V$1001,0),1)&gt;=100000,INDEX($AC$1005:$AS$1005,1,MATCH(COLUMNS($AC$1006:AJ1006),$AC$1006:$AS$1006,0))&gt;=100000), " ",IF(INDEX($AC$2:$AS$1001,MATCH(ROWS($V$2:V390),$V$2:$V$1001,0),MATCH(COLUMNS($AC$1006:AJ1006),$AC$1006:$AS$1006,0)), HYPERLINK("#",""), HYPERLINK(CONCATENATE("#Metadata!", ADDRESS(INDEX($X$2:$X$1001,MATCH(ROWS($V$2:V390),$V$2:$V$1001,0),0), INDEX($AC$1004:$AS$1004,1,MATCH(COLUMNS($AC$1006:AJ1006),$AC$1006:$AS$1006,0)))),"Fix")))</f>
        <v>0</v>
      </c>
      <c r="J390" s="5">
        <f>IF(OR(INDEX($W$2:$W$1001,MATCH(ROWS($V$2:V390),$V$2:$V$1001,0),1)&gt;=100000,INDEX($AC$1005:$AS$1005,1,MATCH(COLUMNS($AC$1006:AK1006),$AC$1006:$AS$1006,0))&gt;=100000), " ",IF(INDEX($AC$2:$AS$1001,MATCH(ROWS($V$2:V390),$V$2:$V$1001,0),MATCH(COLUMNS($AC$1006:AK1006),$AC$1006:$AS$1006,0)), HYPERLINK("#",""), HYPERLINK(CONCATENATE("#Metadata!", ADDRESS(INDEX($X$2:$X$1001,MATCH(ROWS($V$2:V390),$V$2:$V$1001,0),0), INDEX($AC$1004:$AS$1004,1,MATCH(COLUMNS($AC$1006:AK1006),$AC$1006:$AS$1006,0)))),"Fix")))</f>
        <v>0</v>
      </c>
      <c r="K390" s="5">
        <f>IF(OR(INDEX($W$2:$W$1001,MATCH(ROWS($V$2:V390),$V$2:$V$1001,0),1)&gt;=100000,INDEX($AC$1005:$AS$1005,1,MATCH(COLUMNS($AC$1006:AL1006),$AC$1006:$AS$1006,0))&gt;=100000), " ",IF(INDEX($AC$2:$AS$1001,MATCH(ROWS($V$2:V390),$V$2:$V$1001,0),MATCH(COLUMNS($AC$1006:AL1006),$AC$1006:$AS$1006,0)), HYPERLINK("#",""), HYPERLINK(CONCATENATE("#Metadata!", ADDRESS(INDEX($X$2:$X$1001,MATCH(ROWS($V$2:V390),$V$2:$V$1001,0),0), INDEX($AC$1004:$AS$1004,1,MATCH(COLUMNS($AC$1006:AL1006),$AC$1006:$AS$1006,0)))),"Fix")))</f>
        <v>0</v>
      </c>
      <c r="L390" s="5">
        <f>IF(OR(INDEX($W$2:$W$1001,MATCH(ROWS($V$2:V390),$V$2:$V$1001,0),1)&gt;=100000,INDEX($AC$1005:$AS$1005,1,MATCH(COLUMNS($AC$1006:AM1006),$AC$1006:$AS$1006,0))&gt;=100000), " ",IF(INDEX($AC$2:$AS$1001,MATCH(ROWS($V$2:V390),$V$2:$V$1001,0),MATCH(COLUMNS($AC$1006:AM1006),$AC$1006:$AS$1006,0)), HYPERLINK("#",""), HYPERLINK(CONCATENATE("#Metadata!", ADDRESS(INDEX($X$2:$X$1001,MATCH(ROWS($V$2:V390),$V$2:$V$1001,0),0), INDEX($AC$1004:$AS$1004,1,MATCH(COLUMNS($AC$1006:AM1006),$AC$1006:$AS$1006,0)))),"Fix")))</f>
        <v>0</v>
      </c>
      <c r="M390" s="5">
        <f>IF(OR(INDEX($W$2:$W$1001,MATCH(ROWS($V$2:V390),$V$2:$V$1001,0),1)&gt;=100000,INDEX($AC$1005:$AS$1005,1,MATCH(COLUMNS($AC$1006:AN1006),$AC$1006:$AS$1006,0))&gt;=100000), " ",IF(INDEX($AC$2:$AS$1001,MATCH(ROWS($V$2:V390),$V$2:$V$1001,0),MATCH(COLUMNS($AC$1006:AN1006),$AC$1006:$AS$1006,0)), HYPERLINK("#",""), HYPERLINK(CONCATENATE("#Metadata!", ADDRESS(INDEX($X$2:$X$1001,MATCH(ROWS($V$2:V390),$V$2:$V$1001,0),0), INDEX($AC$1004:$AS$1004,1,MATCH(COLUMNS($AC$1006:AN1006),$AC$1006:$AS$1006,0)))),"Fix")))</f>
        <v>0</v>
      </c>
      <c r="N390" s="5">
        <f>IF(OR(INDEX($W$2:$W$1001,MATCH(ROWS($V$2:V390),$V$2:$V$1001,0),1)&gt;=100000,INDEX($AC$1005:$AS$1005,1,MATCH(COLUMNS($AC$1006:AO1006),$AC$1006:$AS$1006,0))&gt;=100000), " ",IF(INDEX($AC$2:$AS$1001,MATCH(ROWS($V$2:V390),$V$2:$V$1001,0),MATCH(COLUMNS($AC$1006:AO1006),$AC$1006:$AS$1006,0)), HYPERLINK("#",""), HYPERLINK(CONCATENATE("#Metadata!", ADDRESS(INDEX($X$2:$X$1001,MATCH(ROWS($V$2:V390),$V$2:$V$1001,0),0), INDEX($AC$1004:$AS$1004,1,MATCH(COLUMNS($AC$1006:AO1006),$AC$1006:$AS$1006,0)))),"Fix")))</f>
        <v>0</v>
      </c>
      <c r="O390" s="5">
        <f>IF(OR(INDEX($W$2:$W$1001,MATCH(ROWS($V$2:V390),$V$2:$V$1001,0),1)&gt;=100000,INDEX($AC$1005:$AS$1005,1,MATCH(COLUMNS($AC$1006:AP1006),$AC$1006:$AS$1006,0))&gt;=100000), " ",IF(INDEX($AC$2:$AS$1001,MATCH(ROWS($V$2:V390),$V$2:$V$1001,0),MATCH(COLUMNS($AC$1006:AP1006),$AC$1006:$AS$1006,0)), HYPERLINK("#",""), HYPERLINK(CONCATENATE("#Metadata!", ADDRESS(INDEX($X$2:$X$1001,MATCH(ROWS($V$2:V390),$V$2:$V$1001,0),0), INDEX($AC$1004:$AS$1004,1,MATCH(COLUMNS($AC$1006:AP1006),$AC$1006:$AS$1006,0)))),"Fix")))</f>
        <v>0</v>
      </c>
      <c r="P390" s="5">
        <f>IF(OR(INDEX($W$2:$W$1001,MATCH(ROWS($V$2:V390),$V$2:$V$1001,0),1)&gt;=100000,INDEX($AC$1005:$AS$1005,1,MATCH(COLUMNS($AC$1006:AQ1006),$AC$1006:$AS$1006,0))&gt;=100000), " ",IF(INDEX($AC$2:$AS$1001,MATCH(ROWS($V$2:V390),$V$2:$V$1001,0),MATCH(COLUMNS($AC$1006:AQ1006),$AC$1006:$AS$1006,0)), HYPERLINK("#",""), HYPERLINK(CONCATENATE("#Metadata!", ADDRESS(INDEX($X$2:$X$1001,MATCH(ROWS($V$2:V390),$V$2:$V$1001,0),0), INDEX($AC$1004:$AS$1004,1,MATCH(COLUMNS($AC$1006:AQ1006),$AC$1006:$AS$1006,0)))),"Fix")))</f>
        <v>0</v>
      </c>
      <c r="Q390" s="5">
        <f>IF(OR(INDEX($W$2:$W$1001,MATCH(ROWS($V$2:V390),$V$2:$V$1001,0),1)&gt;=100000,INDEX($AC$1005:$AS$1005,1,MATCH(COLUMNS($AC$1006:AR1006),$AC$1006:$AS$1006,0))&gt;=100000), " ",IF(INDEX($AC$2:$AS$1001,MATCH(ROWS($V$2:V390),$V$2:$V$1001,0),MATCH(COLUMNS($AC$1006:AR1006),$AC$1006:$AS$1006,0)), HYPERLINK("#",""), HYPERLINK(CONCATENATE("#Metadata!", ADDRESS(INDEX($X$2:$X$1001,MATCH(ROWS($V$2:V390),$V$2:$V$1001,0),0), INDEX($AC$1004:$AS$1004,1,MATCH(COLUMNS($AC$1006:AR1006),$AC$1006:$AS$1006,0)))),"Fix")))</f>
        <v>0</v>
      </c>
      <c r="R390" s="5">
        <f>IF(OR(INDEX($W$2:$W$1001,MATCH(ROWS($V$2:V390),$V$2:$V$1001,0),1)&gt;=100000,INDEX($AC$1005:$AS$1005,1,MATCH(COLUMNS($AC$1006:AS1006),$AC$1006:$AS$1006,0))&gt;=100000), " ",IF(INDEX($AC$2:$AS$1001,MATCH(ROWS($V$2:V390),$V$2:$V$1001,0),MATCH(COLUMNS($AC$1006:AS1006),$AC$1006:$AS$1006,0)), HYPERLINK("#",""), HYPERLINK(CONCATENATE("#Metadata!", ADDRESS(INDEX($X$2:$X$1001,MATCH(ROWS($V$2:V390),$V$2:$V$1001,0),0), INDEX($AC$1004:$AS$1004,1,MATCH(COLUMNS($AC$1006:AS1006),$AC$1006:$AS$1006,0)))),"Fix")))</f>
        <v>0</v>
      </c>
      <c r="V390">
        <v>0</v>
      </c>
      <c r="W390">
        <v>0</v>
      </c>
      <c r="X390">
        <v>0</v>
      </c>
      <c r="Y390">
        <f>IF(Z390,TRUE,AND(AC390:AS390))</f>
        <v>0</v>
      </c>
      <c r="Z390">
        <f>COUNTBLANK(Metadata!B390:R390)=COLUMNS(Metadata!B390:R390)</f>
        <v>0</v>
      </c>
      <c r="AA390">
        <v>0</v>
      </c>
      <c r="AC390">
        <f>AND(IF(Metadata!B390="",FALSE,TRUE),COUNTIF(Metadata!B:B, Metadata!B390) = 1,NOT(ISERROR(SUMPRODUCT(SEARCH(MID(Metadata!B390,ROW(INDIRECT("1:"&amp;LEN(Metadata!B390))), 1),"0123456789abcdefghijklmnopqrstuvwxyzABCDEFGHIJKLMNOPQRSTUVWXYZ.")))))</f>
        <v>0</v>
      </c>
      <c r="AD390">
        <f>AND(IF(Metadata!C390="",FALSE,TRUE),exact(Metadata!C390,"Host-associated"))</f>
        <v>0</v>
      </c>
      <c r="AE390">
        <f>AND(IF(Metadata!D390="",FALSE,TRUE),OR(exact(Metadata!D390,"Animal"),exact(Metadata!D390,"Fungus"),exact(Metadata!D390,"Plant")))</f>
        <v>0</v>
      </c>
      <c r="AF390">
        <f>AND(IF(Metadata!E390="",FALSE,TRUE),OR(exact(Metadata!E390,"Plant secretion"),exact(Metadata!E390,"Plant rhizosphere"),exact(Metadata!E390,"Plant surface"),exact(Metadata!E390,"Plant corpus"),exact(Metadata!E390,"Fungus surface"),exact(Metadata!E390,"Fungus corpus"),exact(Metadata!E390,"Animal surface"),exact(Metadata!E390,"Animal proximal gut"),exact(Metadata!E390,"Animal corpus"),exact(Metadata!E390,"Animal distal gut"),exact(Metadata!E390,"Animal secretion")))</f>
        <v>0</v>
      </c>
      <c r="AG390">
        <f>OR(AND(IF(Metadata!F390="",FALSE,TRUE),OR(exact(Metadata!F390,"not collected"),exact(Metadata!F390,"not provided"),exact(Metadata!F390,"restricted access"))),AND(IF(Metadata!F390="",FALSE,TRUE),OR(exact(Metadata!F390,"organism-associated habitat"),exact(Metadata!F390,"plant-associated habitat"),exact(Metadata!F390,"animal-associated habitat"),exact(Metadata!F390,"insecta-associated habitat"),exact(Metadata!F390,"mammalia-associated habitat"),exact(Metadata!F390,"human-associated habitat"),exact(Metadata!F390,"livestock-associated habitat"))))</f>
        <v>0</v>
      </c>
      <c r="AH390">
        <f>AND(IF(Metadata!G390="",FALSE,TRUE),exact(Metadata!G390,"host-associated"))</f>
        <v>0</v>
      </c>
      <c r="AI390">
        <f>OR(AND(IF(Metadata!H390="",FALSE,TRUE),OR(exact(Metadata!H390,"not collected"),exact(Metadata!H390,"not provided"))),AND(IF(Metadata!H390="",FALSE,ISNUMBER(VALUE(Metadata!H390))),Metadata!H390&gt;0))</f>
        <v>0</v>
      </c>
      <c r="AJ390">
        <f>AND(IF(Metadata!I390="",FALSE,TRUE),exact(Metadata!I390,"years"))</f>
        <v>0</v>
      </c>
      <c r="AK390">
        <f>IF(Metadata!J390="",FALSE,TRUE)</f>
        <v>0</v>
      </c>
      <c r="AL390">
        <f>OR(AND(IF(Metadata!K390="",FALSE,TRUE),OR(exact(Metadata!K390,"not collected"),exact(Metadata!K390,"not provided"))),AND(IF(Metadata!K390="",FALSE,ISNUMBER(VALUE(Metadata!K390))),Metadata!K390&gt;0))</f>
        <v>0</v>
      </c>
      <c r="AM390">
        <f>AND(IF(Metadata!L390="",FALSE,TRUE),exact(Metadata!L390,"cm"))</f>
        <v>0</v>
      </c>
      <c r="AN390">
        <f>IF(Metadata!M390="",FALSE,TRUE)</f>
        <v>0</v>
      </c>
      <c r="AO390">
        <f>OR(AND(IF(Metadata!N390="",FALSE,TRUE),OR(exact(Metadata!N390,"not applicable"),exact(Metadata!N390,"not collected"),exact(Metadata!N390,"not provided"))),AND(IF(Metadata!N390="",FALSE,IF(ISERROR(INT(Metadata!N390)),FALSE,INT(Metadata!N390)=Metadata!N390)),Metadata!N390&gt;0))</f>
        <v>0</v>
      </c>
      <c r="AP390">
        <f>OR(AND(IF(Metadata!O390="",FALSE,TRUE),OR(exact(Metadata!O390,"not collected"),exact(Metadata!O390,"not provided"))),AND(IF(Metadata!O390="",FALSE,ISNUMBER(VALUE(Metadata!O390))),Metadata!O390&gt;0))</f>
        <v>0</v>
      </c>
      <c r="AQ390">
        <f>AND(IF(Metadata!P390="",FALSE,TRUE),exact(Metadata!P390,"kg"))</f>
        <v>0</v>
      </c>
      <c r="AR390">
        <f>OR(AND(IF(Metadata!Q390="",FALSE,TRUE),OR(exact(Metadata!Q390,"not applicable"),exact(Metadata!Q390,"not collected"),exact(Metadata!Q390,"not provided"),exact(Metadata!Q390,"restricted access"))),IF(Metadata!Q390="",FALSE,IF(ISERROR(INT(Metadata!Q390)),FALSE,INT(Metadata!Q390)=Metadata!Q390)))</f>
        <v>0</v>
      </c>
      <c r="AS390">
        <f>AND(IF(Metadata!R390="",FALSE,TRUE),exact(Metadata!R390,"Not applicable"))</f>
        <v>0</v>
      </c>
    </row>
    <row r="391" spans="1:45">
      <c r="A391" s="4">
        <f>IF(B391=" "," ",HYPERLINK(CONCATENATE("#metadata!",ADDRESS(INDEX($X$2:$X$1001,MATCH(ROWS($V$2:V391),$V$2:$V$1001,0),0),2)),INDEX($AA$2:$AA$1001,MATCH(ROWS($V$2:V391),$V$2:$V$1001,0),0)))</f>
        <v>0</v>
      </c>
      <c r="B391" s="5">
        <f>IF(OR(INDEX($W$2:$W$1001,MATCH(ROWS($V$2:V391),$V$2:$V$1001,0),1)&gt;=100000,INDEX($AC$1005:$AS$1005,1,MATCH(COLUMNS($AC$1006:AC1006),$AC$1006:$AS$1006,0))&gt;=100000), " ",IF(INDEX($AC$2:$AS$1001,MATCH(ROWS($V$2:V391),$V$2:$V$1001,0),MATCH(COLUMNS($AC$1006:AC1006),$AC$1006:$AS$1006,0)), HYPERLINK("#",""), HYPERLINK(CONCATENATE("#Metadata!", ADDRESS(INDEX($X$2:$X$1001,MATCH(ROWS($V$2:V391),$V$2:$V$1001,0),0), INDEX($AC$1004:$AS$1004,1,MATCH(COLUMNS($AC$1006:AC1006),$AC$1006:$AS$1006,0)))),"Fix")))</f>
        <v>0</v>
      </c>
      <c r="C391" s="5">
        <f>IF(OR(INDEX($W$2:$W$1001,MATCH(ROWS($V$2:V391),$V$2:$V$1001,0),1)&gt;=100000,INDEX($AC$1005:$AS$1005,1,MATCH(COLUMNS($AC$1006:AD1006),$AC$1006:$AS$1006,0))&gt;=100000), " ",IF(INDEX($AC$2:$AS$1001,MATCH(ROWS($V$2:V391),$V$2:$V$1001,0),MATCH(COLUMNS($AC$1006:AD1006),$AC$1006:$AS$1006,0)), HYPERLINK("#",""), HYPERLINK(CONCATENATE("#Metadata!", ADDRESS(INDEX($X$2:$X$1001,MATCH(ROWS($V$2:V391),$V$2:$V$1001,0),0), INDEX($AC$1004:$AS$1004,1,MATCH(COLUMNS($AC$1006:AD1006),$AC$1006:$AS$1006,0)))),"Fix")))</f>
        <v>0</v>
      </c>
      <c r="D391" s="5">
        <f>IF(OR(INDEX($W$2:$W$1001,MATCH(ROWS($V$2:V391),$V$2:$V$1001,0),1)&gt;=100000,INDEX($AC$1005:$AS$1005,1,MATCH(COLUMNS($AC$1006:AE1006),$AC$1006:$AS$1006,0))&gt;=100000), " ",IF(INDEX($AC$2:$AS$1001,MATCH(ROWS($V$2:V391),$V$2:$V$1001,0),MATCH(COLUMNS($AC$1006:AE1006),$AC$1006:$AS$1006,0)), HYPERLINK("#",""), HYPERLINK(CONCATENATE("#Metadata!", ADDRESS(INDEX($X$2:$X$1001,MATCH(ROWS($V$2:V391),$V$2:$V$1001,0),0), INDEX($AC$1004:$AS$1004,1,MATCH(COLUMNS($AC$1006:AE1006),$AC$1006:$AS$1006,0)))),"Fix")))</f>
        <v>0</v>
      </c>
      <c r="E391" s="5">
        <f>IF(OR(INDEX($W$2:$W$1001,MATCH(ROWS($V$2:V391),$V$2:$V$1001,0),1)&gt;=100000,INDEX($AC$1005:$AS$1005,1,MATCH(COLUMNS($AC$1006:AF1006),$AC$1006:$AS$1006,0))&gt;=100000), " ",IF(INDEX($AC$2:$AS$1001,MATCH(ROWS($V$2:V391),$V$2:$V$1001,0),MATCH(COLUMNS($AC$1006:AF1006),$AC$1006:$AS$1006,0)), HYPERLINK("#",""), HYPERLINK(CONCATENATE("#Metadata!", ADDRESS(INDEX($X$2:$X$1001,MATCH(ROWS($V$2:V391),$V$2:$V$1001,0),0), INDEX($AC$1004:$AS$1004,1,MATCH(COLUMNS($AC$1006:AF1006),$AC$1006:$AS$1006,0)))),"Fix")))</f>
        <v>0</v>
      </c>
      <c r="F391" s="5">
        <f>IF(OR(INDEX($W$2:$W$1001,MATCH(ROWS($V$2:V391),$V$2:$V$1001,0),1)&gt;=100000,INDEX($AC$1005:$AS$1005,1,MATCH(COLUMNS($AC$1006:AG1006),$AC$1006:$AS$1006,0))&gt;=100000), " ",IF(INDEX($AC$2:$AS$1001,MATCH(ROWS($V$2:V391),$V$2:$V$1001,0),MATCH(COLUMNS($AC$1006:AG1006),$AC$1006:$AS$1006,0)), HYPERLINK("#",""), HYPERLINK(CONCATENATE("#Metadata!", ADDRESS(INDEX($X$2:$X$1001,MATCH(ROWS($V$2:V391),$V$2:$V$1001,0),0), INDEX($AC$1004:$AS$1004,1,MATCH(COLUMNS($AC$1006:AG1006),$AC$1006:$AS$1006,0)))),"Fix")))</f>
        <v>0</v>
      </c>
      <c r="G391" s="5">
        <f>IF(OR(INDEX($W$2:$W$1001,MATCH(ROWS($V$2:V391),$V$2:$V$1001,0),1)&gt;=100000,INDEX($AC$1005:$AS$1005,1,MATCH(COLUMNS($AC$1006:AH1006),$AC$1006:$AS$1006,0))&gt;=100000), " ",IF(INDEX($AC$2:$AS$1001,MATCH(ROWS($V$2:V391),$V$2:$V$1001,0),MATCH(COLUMNS($AC$1006:AH1006),$AC$1006:$AS$1006,0)), HYPERLINK("#",""), HYPERLINK(CONCATENATE("#Metadata!", ADDRESS(INDEX($X$2:$X$1001,MATCH(ROWS($V$2:V391),$V$2:$V$1001,0),0), INDEX($AC$1004:$AS$1004,1,MATCH(COLUMNS($AC$1006:AH1006),$AC$1006:$AS$1006,0)))),"Fix")))</f>
        <v>0</v>
      </c>
      <c r="H391" s="5">
        <f>IF(OR(INDEX($W$2:$W$1001,MATCH(ROWS($V$2:V391),$V$2:$V$1001,0),1)&gt;=100000,INDEX($AC$1005:$AS$1005,1,MATCH(COLUMNS($AC$1006:AI1006),$AC$1006:$AS$1006,0))&gt;=100000), " ",IF(INDEX($AC$2:$AS$1001,MATCH(ROWS($V$2:V391),$V$2:$V$1001,0),MATCH(COLUMNS($AC$1006:AI1006),$AC$1006:$AS$1006,0)), HYPERLINK("#",""), HYPERLINK(CONCATENATE("#Metadata!", ADDRESS(INDEX($X$2:$X$1001,MATCH(ROWS($V$2:V391),$V$2:$V$1001,0),0), INDEX($AC$1004:$AS$1004,1,MATCH(COLUMNS($AC$1006:AI1006),$AC$1006:$AS$1006,0)))),"Fix")))</f>
        <v>0</v>
      </c>
      <c r="I391" s="5">
        <f>IF(OR(INDEX($W$2:$W$1001,MATCH(ROWS($V$2:V391),$V$2:$V$1001,0),1)&gt;=100000,INDEX($AC$1005:$AS$1005,1,MATCH(COLUMNS($AC$1006:AJ1006),$AC$1006:$AS$1006,0))&gt;=100000), " ",IF(INDEX($AC$2:$AS$1001,MATCH(ROWS($V$2:V391),$V$2:$V$1001,0),MATCH(COLUMNS($AC$1006:AJ1006),$AC$1006:$AS$1006,0)), HYPERLINK("#",""), HYPERLINK(CONCATENATE("#Metadata!", ADDRESS(INDEX($X$2:$X$1001,MATCH(ROWS($V$2:V391),$V$2:$V$1001,0),0), INDEX($AC$1004:$AS$1004,1,MATCH(COLUMNS($AC$1006:AJ1006),$AC$1006:$AS$1006,0)))),"Fix")))</f>
        <v>0</v>
      </c>
      <c r="J391" s="5">
        <f>IF(OR(INDEX($W$2:$W$1001,MATCH(ROWS($V$2:V391),$V$2:$V$1001,0),1)&gt;=100000,INDEX($AC$1005:$AS$1005,1,MATCH(COLUMNS($AC$1006:AK1006),$AC$1006:$AS$1006,0))&gt;=100000), " ",IF(INDEX($AC$2:$AS$1001,MATCH(ROWS($V$2:V391),$V$2:$V$1001,0),MATCH(COLUMNS($AC$1006:AK1006),$AC$1006:$AS$1006,0)), HYPERLINK("#",""), HYPERLINK(CONCATENATE("#Metadata!", ADDRESS(INDEX($X$2:$X$1001,MATCH(ROWS($V$2:V391),$V$2:$V$1001,0),0), INDEX($AC$1004:$AS$1004,1,MATCH(COLUMNS($AC$1006:AK1006),$AC$1006:$AS$1006,0)))),"Fix")))</f>
        <v>0</v>
      </c>
      <c r="K391" s="5">
        <f>IF(OR(INDEX($W$2:$W$1001,MATCH(ROWS($V$2:V391),$V$2:$V$1001,0),1)&gt;=100000,INDEX($AC$1005:$AS$1005,1,MATCH(COLUMNS($AC$1006:AL1006),$AC$1006:$AS$1006,0))&gt;=100000), " ",IF(INDEX($AC$2:$AS$1001,MATCH(ROWS($V$2:V391),$V$2:$V$1001,0),MATCH(COLUMNS($AC$1006:AL1006),$AC$1006:$AS$1006,0)), HYPERLINK("#",""), HYPERLINK(CONCATENATE("#Metadata!", ADDRESS(INDEX($X$2:$X$1001,MATCH(ROWS($V$2:V391),$V$2:$V$1001,0),0), INDEX($AC$1004:$AS$1004,1,MATCH(COLUMNS($AC$1006:AL1006),$AC$1006:$AS$1006,0)))),"Fix")))</f>
        <v>0</v>
      </c>
      <c r="L391" s="5">
        <f>IF(OR(INDEX($W$2:$W$1001,MATCH(ROWS($V$2:V391),$V$2:$V$1001,0),1)&gt;=100000,INDEX($AC$1005:$AS$1005,1,MATCH(COLUMNS($AC$1006:AM1006),$AC$1006:$AS$1006,0))&gt;=100000), " ",IF(INDEX($AC$2:$AS$1001,MATCH(ROWS($V$2:V391),$V$2:$V$1001,0),MATCH(COLUMNS($AC$1006:AM1006),$AC$1006:$AS$1006,0)), HYPERLINK("#",""), HYPERLINK(CONCATENATE("#Metadata!", ADDRESS(INDEX($X$2:$X$1001,MATCH(ROWS($V$2:V391),$V$2:$V$1001,0),0), INDEX($AC$1004:$AS$1004,1,MATCH(COLUMNS($AC$1006:AM1006),$AC$1006:$AS$1006,0)))),"Fix")))</f>
        <v>0</v>
      </c>
      <c r="M391" s="5">
        <f>IF(OR(INDEX($W$2:$W$1001,MATCH(ROWS($V$2:V391),$V$2:$V$1001,0),1)&gt;=100000,INDEX($AC$1005:$AS$1005,1,MATCH(COLUMNS($AC$1006:AN1006),$AC$1006:$AS$1006,0))&gt;=100000), " ",IF(INDEX($AC$2:$AS$1001,MATCH(ROWS($V$2:V391),$V$2:$V$1001,0),MATCH(COLUMNS($AC$1006:AN1006),$AC$1006:$AS$1006,0)), HYPERLINK("#",""), HYPERLINK(CONCATENATE("#Metadata!", ADDRESS(INDEX($X$2:$X$1001,MATCH(ROWS($V$2:V391),$V$2:$V$1001,0),0), INDEX($AC$1004:$AS$1004,1,MATCH(COLUMNS($AC$1006:AN1006),$AC$1006:$AS$1006,0)))),"Fix")))</f>
        <v>0</v>
      </c>
      <c r="N391" s="5">
        <f>IF(OR(INDEX($W$2:$W$1001,MATCH(ROWS($V$2:V391),$V$2:$V$1001,0),1)&gt;=100000,INDEX($AC$1005:$AS$1005,1,MATCH(COLUMNS($AC$1006:AO1006),$AC$1006:$AS$1006,0))&gt;=100000), " ",IF(INDEX($AC$2:$AS$1001,MATCH(ROWS($V$2:V391),$V$2:$V$1001,0),MATCH(COLUMNS($AC$1006:AO1006),$AC$1006:$AS$1006,0)), HYPERLINK("#",""), HYPERLINK(CONCATENATE("#Metadata!", ADDRESS(INDEX($X$2:$X$1001,MATCH(ROWS($V$2:V391),$V$2:$V$1001,0),0), INDEX($AC$1004:$AS$1004,1,MATCH(COLUMNS($AC$1006:AO1006),$AC$1006:$AS$1006,0)))),"Fix")))</f>
        <v>0</v>
      </c>
      <c r="O391" s="5">
        <f>IF(OR(INDEX($W$2:$W$1001,MATCH(ROWS($V$2:V391),$V$2:$V$1001,0),1)&gt;=100000,INDEX($AC$1005:$AS$1005,1,MATCH(COLUMNS($AC$1006:AP1006),$AC$1006:$AS$1006,0))&gt;=100000), " ",IF(INDEX($AC$2:$AS$1001,MATCH(ROWS($V$2:V391),$V$2:$V$1001,0),MATCH(COLUMNS($AC$1006:AP1006),$AC$1006:$AS$1006,0)), HYPERLINK("#",""), HYPERLINK(CONCATENATE("#Metadata!", ADDRESS(INDEX($X$2:$X$1001,MATCH(ROWS($V$2:V391),$V$2:$V$1001,0),0), INDEX($AC$1004:$AS$1004,1,MATCH(COLUMNS($AC$1006:AP1006),$AC$1006:$AS$1006,0)))),"Fix")))</f>
        <v>0</v>
      </c>
      <c r="P391" s="5">
        <f>IF(OR(INDEX($W$2:$W$1001,MATCH(ROWS($V$2:V391),$V$2:$V$1001,0),1)&gt;=100000,INDEX($AC$1005:$AS$1005,1,MATCH(COLUMNS($AC$1006:AQ1006),$AC$1006:$AS$1006,0))&gt;=100000), " ",IF(INDEX($AC$2:$AS$1001,MATCH(ROWS($V$2:V391),$V$2:$V$1001,0),MATCH(COLUMNS($AC$1006:AQ1006),$AC$1006:$AS$1006,0)), HYPERLINK("#",""), HYPERLINK(CONCATENATE("#Metadata!", ADDRESS(INDEX($X$2:$X$1001,MATCH(ROWS($V$2:V391),$V$2:$V$1001,0),0), INDEX($AC$1004:$AS$1004,1,MATCH(COLUMNS($AC$1006:AQ1006),$AC$1006:$AS$1006,0)))),"Fix")))</f>
        <v>0</v>
      </c>
      <c r="Q391" s="5">
        <f>IF(OR(INDEX($W$2:$W$1001,MATCH(ROWS($V$2:V391),$V$2:$V$1001,0),1)&gt;=100000,INDEX($AC$1005:$AS$1005,1,MATCH(COLUMNS($AC$1006:AR1006),$AC$1006:$AS$1006,0))&gt;=100000), " ",IF(INDEX($AC$2:$AS$1001,MATCH(ROWS($V$2:V391),$V$2:$V$1001,0),MATCH(COLUMNS($AC$1006:AR1006),$AC$1006:$AS$1006,0)), HYPERLINK("#",""), HYPERLINK(CONCATENATE("#Metadata!", ADDRESS(INDEX($X$2:$X$1001,MATCH(ROWS($V$2:V391),$V$2:$V$1001,0),0), INDEX($AC$1004:$AS$1004,1,MATCH(COLUMNS($AC$1006:AR1006),$AC$1006:$AS$1006,0)))),"Fix")))</f>
        <v>0</v>
      </c>
      <c r="R391" s="5">
        <f>IF(OR(INDEX($W$2:$W$1001,MATCH(ROWS($V$2:V391),$V$2:$V$1001,0),1)&gt;=100000,INDEX($AC$1005:$AS$1005,1,MATCH(COLUMNS($AC$1006:AS1006),$AC$1006:$AS$1006,0))&gt;=100000), " ",IF(INDEX($AC$2:$AS$1001,MATCH(ROWS($V$2:V391),$V$2:$V$1001,0),MATCH(COLUMNS($AC$1006:AS1006),$AC$1006:$AS$1006,0)), HYPERLINK("#",""), HYPERLINK(CONCATENATE("#Metadata!", ADDRESS(INDEX($X$2:$X$1001,MATCH(ROWS($V$2:V391),$V$2:$V$1001,0),0), INDEX($AC$1004:$AS$1004,1,MATCH(COLUMNS($AC$1006:AS1006),$AC$1006:$AS$1006,0)))),"Fix")))</f>
        <v>0</v>
      </c>
      <c r="V391">
        <v>0</v>
      </c>
      <c r="W391">
        <v>0</v>
      </c>
      <c r="X391">
        <v>0</v>
      </c>
      <c r="Y391">
        <f>IF(Z391,TRUE,AND(AC391:AS391))</f>
        <v>0</v>
      </c>
      <c r="Z391">
        <f>COUNTBLANK(Metadata!B391:R391)=COLUMNS(Metadata!B391:R391)</f>
        <v>0</v>
      </c>
      <c r="AA391">
        <v>0</v>
      </c>
      <c r="AC391">
        <f>AND(IF(Metadata!B391="",FALSE,TRUE),COUNTIF(Metadata!B:B, Metadata!B391) = 1,NOT(ISERROR(SUMPRODUCT(SEARCH(MID(Metadata!B391,ROW(INDIRECT("1:"&amp;LEN(Metadata!B391))), 1),"0123456789abcdefghijklmnopqrstuvwxyzABCDEFGHIJKLMNOPQRSTUVWXYZ.")))))</f>
        <v>0</v>
      </c>
      <c r="AD391">
        <f>AND(IF(Metadata!C391="",FALSE,TRUE),exact(Metadata!C391,"Host-associated"))</f>
        <v>0</v>
      </c>
      <c r="AE391">
        <f>AND(IF(Metadata!D391="",FALSE,TRUE),OR(exact(Metadata!D391,"Animal"),exact(Metadata!D391,"Fungus"),exact(Metadata!D391,"Plant")))</f>
        <v>0</v>
      </c>
      <c r="AF391">
        <f>AND(IF(Metadata!E391="",FALSE,TRUE),OR(exact(Metadata!E391,"Plant secretion"),exact(Metadata!E391,"Plant rhizosphere"),exact(Metadata!E391,"Plant surface"),exact(Metadata!E391,"Plant corpus"),exact(Metadata!E391,"Fungus surface"),exact(Metadata!E391,"Fungus corpus"),exact(Metadata!E391,"Animal surface"),exact(Metadata!E391,"Animal proximal gut"),exact(Metadata!E391,"Animal corpus"),exact(Metadata!E391,"Animal distal gut"),exact(Metadata!E391,"Animal secretion")))</f>
        <v>0</v>
      </c>
      <c r="AG391">
        <f>OR(AND(IF(Metadata!F391="",FALSE,TRUE),OR(exact(Metadata!F391,"not collected"),exact(Metadata!F391,"not provided"),exact(Metadata!F391,"restricted access"))),AND(IF(Metadata!F391="",FALSE,TRUE),OR(exact(Metadata!F391,"organism-associated habitat"),exact(Metadata!F391,"plant-associated habitat"),exact(Metadata!F391,"animal-associated habitat"),exact(Metadata!F391,"insecta-associated habitat"),exact(Metadata!F391,"mammalia-associated habitat"),exact(Metadata!F391,"human-associated habitat"),exact(Metadata!F391,"livestock-associated habitat"))))</f>
        <v>0</v>
      </c>
      <c r="AH391">
        <f>AND(IF(Metadata!G391="",FALSE,TRUE),exact(Metadata!G391,"host-associated"))</f>
        <v>0</v>
      </c>
      <c r="AI391">
        <f>OR(AND(IF(Metadata!H391="",FALSE,TRUE),OR(exact(Metadata!H391,"not collected"),exact(Metadata!H391,"not provided"))),AND(IF(Metadata!H391="",FALSE,ISNUMBER(VALUE(Metadata!H391))),Metadata!H391&gt;0))</f>
        <v>0</v>
      </c>
      <c r="AJ391">
        <f>AND(IF(Metadata!I391="",FALSE,TRUE),exact(Metadata!I391,"years"))</f>
        <v>0</v>
      </c>
      <c r="AK391">
        <f>IF(Metadata!J391="",FALSE,TRUE)</f>
        <v>0</v>
      </c>
      <c r="AL391">
        <f>OR(AND(IF(Metadata!K391="",FALSE,TRUE),OR(exact(Metadata!K391,"not collected"),exact(Metadata!K391,"not provided"))),AND(IF(Metadata!K391="",FALSE,ISNUMBER(VALUE(Metadata!K391))),Metadata!K391&gt;0))</f>
        <v>0</v>
      </c>
      <c r="AM391">
        <f>AND(IF(Metadata!L391="",FALSE,TRUE),exact(Metadata!L391,"cm"))</f>
        <v>0</v>
      </c>
      <c r="AN391">
        <f>IF(Metadata!M391="",FALSE,TRUE)</f>
        <v>0</v>
      </c>
      <c r="AO391">
        <f>OR(AND(IF(Metadata!N391="",FALSE,TRUE),OR(exact(Metadata!N391,"not applicable"),exact(Metadata!N391,"not collected"),exact(Metadata!N391,"not provided"))),AND(IF(Metadata!N391="",FALSE,IF(ISERROR(INT(Metadata!N391)),FALSE,INT(Metadata!N391)=Metadata!N391)),Metadata!N391&gt;0))</f>
        <v>0</v>
      </c>
      <c r="AP391">
        <f>OR(AND(IF(Metadata!O391="",FALSE,TRUE),OR(exact(Metadata!O391,"not collected"),exact(Metadata!O391,"not provided"))),AND(IF(Metadata!O391="",FALSE,ISNUMBER(VALUE(Metadata!O391))),Metadata!O391&gt;0))</f>
        <v>0</v>
      </c>
      <c r="AQ391">
        <f>AND(IF(Metadata!P391="",FALSE,TRUE),exact(Metadata!P391,"kg"))</f>
        <v>0</v>
      </c>
      <c r="AR391">
        <f>OR(AND(IF(Metadata!Q391="",FALSE,TRUE),OR(exact(Metadata!Q391,"not applicable"),exact(Metadata!Q391,"not collected"),exact(Metadata!Q391,"not provided"),exact(Metadata!Q391,"restricted access"))),IF(Metadata!Q391="",FALSE,IF(ISERROR(INT(Metadata!Q391)),FALSE,INT(Metadata!Q391)=Metadata!Q391)))</f>
        <v>0</v>
      </c>
      <c r="AS391">
        <f>AND(IF(Metadata!R391="",FALSE,TRUE),exact(Metadata!R391,"Not applicable"))</f>
        <v>0</v>
      </c>
    </row>
    <row r="392" spans="1:45">
      <c r="A392" s="4">
        <f>IF(B392=" "," ",HYPERLINK(CONCATENATE("#metadata!",ADDRESS(INDEX($X$2:$X$1001,MATCH(ROWS($V$2:V392),$V$2:$V$1001,0),0),2)),INDEX($AA$2:$AA$1001,MATCH(ROWS($V$2:V392),$V$2:$V$1001,0),0)))</f>
        <v>0</v>
      </c>
      <c r="B392" s="5">
        <f>IF(OR(INDEX($W$2:$W$1001,MATCH(ROWS($V$2:V392),$V$2:$V$1001,0),1)&gt;=100000,INDEX($AC$1005:$AS$1005,1,MATCH(COLUMNS($AC$1006:AC1006),$AC$1006:$AS$1006,0))&gt;=100000), " ",IF(INDEX($AC$2:$AS$1001,MATCH(ROWS($V$2:V392),$V$2:$V$1001,0),MATCH(COLUMNS($AC$1006:AC1006),$AC$1006:$AS$1006,0)), HYPERLINK("#",""), HYPERLINK(CONCATENATE("#Metadata!", ADDRESS(INDEX($X$2:$X$1001,MATCH(ROWS($V$2:V392),$V$2:$V$1001,0),0), INDEX($AC$1004:$AS$1004,1,MATCH(COLUMNS($AC$1006:AC1006),$AC$1006:$AS$1006,0)))),"Fix")))</f>
        <v>0</v>
      </c>
      <c r="C392" s="5">
        <f>IF(OR(INDEX($W$2:$W$1001,MATCH(ROWS($V$2:V392),$V$2:$V$1001,0),1)&gt;=100000,INDEX($AC$1005:$AS$1005,1,MATCH(COLUMNS($AC$1006:AD1006),$AC$1006:$AS$1006,0))&gt;=100000), " ",IF(INDEX($AC$2:$AS$1001,MATCH(ROWS($V$2:V392),$V$2:$V$1001,0),MATCH(COLUMNS($AC$1006:AD1006),$AC$1006:$AS$1006,0)), HYPERLINK("#",""), HYPERLINK(CONCATENATE("#Metadata!", ADDRESS(INDEX($X$2:$X$1001,MATCH(ROWS($V$2:V392),$V$2:$V$1001,0),0), INDEX($AC$1004:$AS$1004,1,MATCH(COLUMNS($AC$1006:AD1006),$AC$1006:$AS$1006,0)))),"Fix")))</f>
        <v>0</v>
      </c>
      <c r="D392" s="5">
        <f>IF(OR(INDEX($W$2:$W$1001,MATCH(ROWS($V$2:V392),$V$2:$V$1001,0),1)&gt;=100000,INDEX($AC$1005:$AS$1005,1,MATCH(COLUMNS($AC$1006:AE1006),$AC$1006:$AS$1006,0))&gt;=100000), " ",IF(INDEX($AC$2:$AS$1001,MATCH(ROWS($V$2:V392),$V$2:$V$1001,0),MATCH(COLUMNS($AC$1006:AE1006),$AC$1006:$AS$1006,0)), HYPERLINK("#",""), HYPERLINK(CONCATENATE("#Metadata!", ADDRESS(INDEX($X$2:$X$1001,MATCH(ROWS($V$2:V392),$V$2:$V$1001,0),0), INDEX($AC$1004:$AS$1004,1,MATCH(COLUMNS($AC$1006:AE1006),$AC$1006:$AS$1006,0)))),"Fix")))</f>
        <v>0</v>
      </c>
      <c r="E392" s="5">
        <f>IF(OR(INDEX($W$2:$W$1001,MATCH(ROWS($V$2:V392),$V$2:$V$1001,0),1)&gt;=100000,INDEX($AC$1005:$AS$1005,1,MATCH(COLUMNS($AC$1006:AF1006),$AC$1006:$AS$1006,0))&gt;=100000), " ",IF(INDEX($AC$2:$AS$1001,MATCH(ROWS($V$2:V392),$V$2:$V$1001,0),MATCH(COLUMNS($AC$1006:AF1006),$AC$1006:$AS$1006,0)), HYPERLINK("#",""), HYPERLINK(CONCATENATE("#Metadata!", ADDRESS(INDEX($X$2:$X$1001,MATCH(ROWS($V$2:V392),$V$2:$V$1001,0),0), INDEX($AC$1004:$AS$1004,1,MATCH(COLUMNS($AC$1006:AF1006),$AC$1006:$AS$1006,0)))),"Fix")))</f>
        <v>0</v>
      </c>
      <c r="F392" s="5">
        <f>IF(OR(INDEX($W$2:$W$1001,MATCH(ROWS($V$2:V392),$V$2:$V$1001,0),1)&gt;=100000,INDEX($AC$1005:$AS$1005,1,MATCH(COLUMNS($AC$1006:AG1006),$AC$1006:$AS$1006,0))&gt;=100000), " ",IF(INDEX($AC$2:$AS$1001,MATCH(ROWS($V$2:V392),$V$2:$V$1001,0),MATCH(COLUMNS($AC$1006:AG1006),$AC$1006:$AS$1006,0)), HYPERLINK("#",""), HYPERLINK(CONCATENATE("#Metadata!", ADDRESS(INDEX($X$2:$X$1001,MATCH(ROWS($V$2:V392),$V$2:$V$1001,0),0), INDEX($AC$1004:$AS$1004,1,MATCH(COLUMNS($AC$1006:AG1006),$AC$1006:$AS$1006,0)))),"Fix")))</f>
        <v>0</v>
      </c>
      <c r="G392" s="5">
        <f>IF(OR(INDEX($W$2:$W$1001,MATCH(ROWS($V$2:V392),$V$2:$V$1001,0),1)&gt;=100000,INDEX($AC$1005:$AS$1005,1,MATCH(COLUMNS($AC$1006:AH1006),$AC$1006:$AS$1006,0))&gt;=100000), " ",IF(INDEX($AC$2:$AS$1001,MATCH(ROWS($V$2:V392),$V$2:$V$1001,0),MATCH(COLUMNS($AC$1006:AH1006),$AC$1006:$AS$1006,0)), HYPERLINK("#",""), HYPERLINK(CONCATENATE("#Metadata!", ADDRESS(INDEX($X$2:$X$1001,MATCH(ROWS($V$2:V392),$V$2:$V$1001,0),0), INDEX($AC$1004:$AS$1004,1,MATCH(COLUMNS($AC$1006:AH1006),$AC$1006:$AS$1006,0)))),"Fix")))</f>
        <v>0</v>
      </c>
      <c r="H392" s="5">
        <f>IF(OR(INDEX($W$2:$W$1001,MATCH(ROWS($V$2:V392),$V$2:$V$1001,0),1)&gt;=100000,INDEX($AC$1005:$AS$1005,1,MATCH(COLUMNS($AC$1006:AI1006),$AC$1006:$AS$1006,0))&gt;=100000), " ",IF(INDEX($AC$2:$AS$1001,MATCH(ROWS($V$2:V392),$V$2:$V$1001,0),MATCH(COLUMNS($AC$1006:AI1006),$AC$1006:$AS$1006,0)), HYPERLINK("#",""), HYPERLINK(CONCATENATE("#Metadata!", ADDRESS(INDEX($X$2:$X$1001,MATCH(ROWS($V$2:V392),$V$2:$V$1001,0),0), INDEX($AC$1004:$AS$1004,1,MATCH(COLUMNS($AC$1006:AI1006),$AC$1006:$AS$1006,0)))),"Fix")))</f>
        <v>0</v>
      </c>
      <c r="I392" s="5">
        <f>IF(OR(INDEX($W$2:$W$1001,MATCH(ROWS($V$2:V392),$V$2:$V$1001,0),1)&gt;=100000,INDEX($AC$1005:$AS$1005,1,MATCH(COLUMNS($AC$1006:AJ1006),$AC$1006:$AS$1006,0))&gt;=100000), " ",IF(INDEX($AC$2:$AS$1001,MATCH(ROWS($V$2:V392),$V$2:$V$1001,0),MATCH(COLUMNS($AC$1006:AJ1006),$AC$1006:$AS$1006,0)), HYPERLINK("#",""), HYPERLINK(CONCATENATE("#Metadata!", ADDRESS(INDEX($X$2:$X$1001,MATCH(ROWS($V$2:V392),$V$2:$V$1001,0),0), INDEX($AC$1004:$AS$1004,1,MATCH(COLUMNS($AC$1006:AJ1006),$AC$1006:$AS$1006,0)))),"Fix")))</f>
        <v>0</v>
      </c>
      <c r="J392" s="5">
        <f>IF(OR(INDEX($W$2:$W$1001,MATCH(ROWS($V$2:V392),$V$2:$V$1001,0),1)&gt;=100000,INDEX($AC$1005:$AS$1005,1,MATCH(COLUMNS($AC$1006:AK1006),$AC$1006:$AS$1006,0))&gt;=100000), " ",IF(INDEX($AC$2:$AS$1001,MATCH(ROWS($V$2:V392),$V$2:$V$1001,0),MATCH(COLUMNS($AC$1006:AK1006),$AC$1006:$AS$1006,0)), HYPERLINK("#",""), HYPERLINK(CONCATENATE("#Metadata!", ADDRESS(INDEX($X$2:$X$1001,MATCH(ROWS($V$2:V392),$V$2:$V$1001,0),0), INDEX($AC$1004:$AS$1004,1,MATCH(COLUMNS($AC$1006:AK1006),$AC$1006:$AS$1006,0)))),"Fix")))</f>
        <v>0</v>
      </c>
      <c r="K392" s="5">
        <f>IF(OR(INDEX($W$2:$W$1001,MATCH(ROWS($V$2:V392),$V$2:$V$1001,0),1)&gt;=100000,INDEX($AC$1005:$AS$1005,1,MATCH(COLUMNS($AC$1006:AL1006),$AC$1006:$AS$1006,0))&gt;=100000), " ",IF(INDEX($AC$2:$AS$1001,MATCH(ROWS($V$2:V392),$V$2:$V$1001,0),MATCH(COLUMNS($AC$1006:AL1006),$AC$1006:$AS$1006,0)), HYPERLINK("#",""), HYPERLINK(CONCATENATE("#Metadata!", ADDRESS(INDEX($X$2:$X$1001,MATCH(ROWS($V$2:V392),$V$2:$V$1001,0),0), INDEX($AC$1004:$AS$1004,1,MATCH(COLUMNS($AC$1006:AL1006),$AC$1006:$AS$1006,0)))),"Fix")))</f>
        <v>0</v>
      </c>
      <c r="L392" s="5">
        <f>IF(OR(INDEX($W$2:$W$1001,MATCH(ROWS($V$2:V392),$V$2:$V$1001,0),1)&gt;=100000,INDEX($AC$1005:$AS$1005,1,MATCH(COLUMNS($AC$1006:AM1006),$AC$1006:$AS$1006,0))&gt;=100000), " ",IF(INDEX($AC$2:$AS$1001,MATCH(ROWS($V$2:V392),$V$2:$V$1001,0),MATCH(COLUMNS($AC$1006:AM1006),$AC$1006:$AS$1006,0)), HYPERLINK("#",""), HYPERLINK(CONCATENATE("#Metadata!", ADDRESS(INDEX($X$2:$X$1001,MATCH(ROWS($V$2:V392),$V$2:$V$1001,0),0), INDEX($AC$1004:$AS$1004,1,MATCH(COLUMNS($AC$1006:AM1006),$AC$1006:$AS$1006,0)))),"Fix")))</f>
        <v>0</v>
      </c>
      <c r="M392" s="5">
        <f>IF(OR(INDEX($W$2:$W$1001,MATCH(ROWS($V$2:V392),$V$2:$V$1001,0),1)&gt;=100000,INDEX($AC$1005:$AS$1005,1,MATCH(COLUMNS($AC$1006:AN1006),$AC$1006:$AS$1006,0))&gt;=100000), " ",IF(INDEX($AC$2:$AS$1001,MATCH(ROWS($V$2:V392),$V$2:$V$1001,0),MATCH(COLUMNS($AC$1006:AN1006),$AC$1006:$AS$1006,0)), HYPERLINK("#",""), HYPERLINK(CONCATENATE("#Metadata!", ADDRESS(INDEX($X$2:$X$1001,MATCH(ROWS($V$2:V392),$V$2:$V$1001,0),0), INDEX($AC$1004:$AS$1004,1,MATCH(COLUMNS($AC$1006:AN1006),$AC$1006:$AS$1006,0)))),"Fix")))</f>
        <v>0</v>
      </c>
      <c r="N392" s="5">
        <f>IF(OR(INDEX($W$2:$W$1001,MATCH(ROWS($V$2:V392),$V$2:$V$1001,0),1)&gt;=100000,INDEX($AC$1005:$AS$1005,1,MATCH(COLUMNS($AC$1006:AO1006),$AC$1006:$AS$1006,0))&gt;=100000), " ",IF(INDEX($AC$2:$AS$1001,MATCH(ROWS($V$2:V392),$V$2:$V$1001,0),MATCH(COLUMNS($AC$1006:AO1006),$AC$1006:$AS$1006,0)), HYPERLINK("#",""), HYPERLINK(CONCATENATE("#Metadata!", ADDRESS(INDEX($X$2:$X$1001,MATCH(ROWS($V$2:V392),$V$2:$V$1001,0),0), INDEX($AC$1004:$AS$1004,1,MATCH(COLUMNS($AC$1006:AO1006),$AC$1006:$AS$1006,0)))),"Fix")))</f>
        <v>0</v>
      </c>
      <c r="O392" s="5">
        <f>IF(OR(INDEX($W$2:$W$1001,MATCH(ROWS($V$2:V392),$V$2:$V$1001,0),1)&gt;=100000,INDEX($AC$1005:$AS$1005,1,MATCH(COLUMNS($AC$1006:AP1006),$AC$1006:$AS$1006,0))&gt;=100000), " ",IF(INDEX($AC$2:$AS$1001,MATCH(ROWS($V$2:V392),$V$2:$V$1001,0),MATCH(COLUMNS($AC$1006:AP1006),$AC$1006:$AS$1006,0)), HYPERLINK("#",""), HYPERLINK(CONCATENATE("#Metadata!", ADDRESS(INDEX($X$2:$X$1001,MATCH(ROWS($V$2:V392),$V$2:$V$1001,0),0), INDEX($AC$1004:$AS$1004,1,MATCH(COLUMNS($AC$1006:AP1006),$AC$1006:$AS$1006,0)))),"Fix")))</f>
        <v>0</v>
      </c>
      <c r="P392" s="5">
        <f>IF(OR(INDEX($W$2:$W$1001,MATCH(ROWS($V$2:V392),$V$2:$V$1001,0),1)&gt;=100000,INDEX($AC$1005:$AS$1005,1,MATCH(COLUMNS($AC$1006:AQ1006),$AC$1006:$AS$1006,0))&gt;=100000), " ",IF(INDEX($AC$2:$AS$1001,MATCH(ROWS($V$2:V392),$V$2:$V$1001,0),MATCH(COLUMNS($AC$1006:AQ1006),$AC$1006:$AS$1006,0)), HYPERLINK("#",""), HYPERLINK(CONCATENATE("#Metadata!", ADDRESS(INDEX($X$2:$X$1001,MATCH(ROWS($V$2:V392),$V$2:$V$1001,0),0), INDEX($AC$1004:$AS$1004,1,MATCH(COLUMNS($AC$1006:AQ1006),$AC$1006:$AS$1006,0)))),"Fix")))</f>
        <v>0</v>
      </c>
      <c r="Q392" s="5">
        <f>IF(OR(INDEX($W$2:$W$1001,MATCH(ROWS($V$2:V392),$V$2:$V$1001,0),1)&gt;=100000,INDEX($AC$1005:$AS$1005,1,MATCH(COLUMNS($AC$1006:AR1006),$AC$1006:$AS$1006,0))&gt;=100000), " ",IF(INDEX($AC$2:$AS$1001,MATCH(ROWS($V$2:V392),$V$2:$V$1001,0),MATCH(COLUMNS($AC$1006:AR1006),$AC$1006:$AS$1006,0)), HYPERLINK("#",""), HYPERLINK(CONCATENATE("#Metadata!", ADDRESS(INDEX($X$2:$X$1001,MATCH(ROWS($V$2:V392),$V$2:$V$1001,0),0), INDEX($AC$1004:$AS$1004,1,MATCH(COLUMNS($AC$1006:AR1006),$AC$1006:$AS$1006,0)))),"Fix")))</f>
        <v>0</v>
      </c>
      <c r="R392" s="5">
        <f>IF(OR(INDEX($W$2:$W$1001,MATCH(ROWS($V$2:V392),$V$2:$V$1001,0),1)&gt;=100000,INDEX($AC$1005:$AS$1005,1,MATCH(COLUMNS($AC$1006:AS1006),$AC$1006:$AS$1006,0))&gt;=100000), " ",IF(INDEX($AC$2:$AS$1001,MATCH(ROWS($V$2:V392),$V$2:$V$1001,0),MATCH(COLUMNS($AC$1006:AS1006),$AC$1006:$AS$1006,0)), HYPERLINK("#",""), HYPERLINK(CONCATENATE("#Metadata!", ADDRESS(INDEX($X$2:$X$1001,MATCH(ROWS($V$2:V392),$V$2:$V$1001,0),0), INDEX($AC$1004:$AS$1004,1,MATCH(COLUMNS($AC$1006:AS1006),$AC$1006:$AS$1006,0)))),"Fix")))</f>
        <v>0</v>
      </c>
      <c r="V392">
        <v>0</v>
      </c>
      <c r="W392">
        <v>0</v>
      </c>
      <c r="X392">
        <v>0</v>
      </c>
      <c r="Y392">
        <f>IF(Z392,TRUE,AND(AC392:AS392))</f>
        <v>0</v>
      </c>
      <c r="Z392">
        <f>COUNTBLANK(Metadata!B392:R392)=COLUMNS(Metadata!B392:R392)</f>
        <v>0</v>
      </c>
      <c r="AA392">
        <v>0</v>
      </c>
      <c r="AC392">
        <f>AND(IF(Metadata!B392="",FALSE,TRUE),COUNTIF(Metadata!B:B, Metadata!B392) = 1,NOT(ISERROR(SUMPRODUCT(SEARCH(MID(Metadata!B392,ROW(INDIRECT("1:"&amp;LEN(Metadata!B392))), 1),"0123456789abcdefghijklmnopqrstuvwxyzABCDEFGHIJKLMNOPQRSTUVWXYZ.")))))</f>
        <v>0</v>
      </c>
      <c r="AD392">
        <f>AND(IF(Metadata!C392="",FALSE,TRUE),exact(Metadata!C392,"Host-associated"))</f>
        <v>0</v>
      </c>
      <c r="AE392">
        <f>AND(IF(Metadata!D392="",FALSE,TRUE),OR(exact(Metadata!D392,"Animal"),exact(Metadata!D392,"Fungus"),exact(Metadata!D392,"Plant")))</f>
        <v>0</v>
      </c>
      <c r="AF392">
        <f>AND(IF(Metadata!E392="",FALSE,TRUE),OR(exact(Metadata!E392,"Plant secretion"),exact(Metadata!E392,"Plant rhizosphere"),exact(Metadata!E392,"Plant surface"),exact(Metadata!E392,"Plant corpus"),exact(Metadata!E392,"Fungus surface"),exact(Metadata!E392,"Fungus corpus"),exact(Metadata!E392,"Animal surface"),exact(Metadata!E392,"Animal proximal gut"),exact(Metadata!E392,"Animal corpus"),exact(Metadata!E392,"Animal distal gut"),exact(Metadata!E392,"Animal secretion")))</f>
        <v>0</v>
      </c>
      <c r="AG392">
        <f>OR(AND(IF(Metadata!F392="",FALSE,TRUE),OR(exact(Metadata!F392,"not collected"),exact(Metadata!F392,"not provided"),exact(Metadata!F392,"restricted access"))),AND(IF(Metadata!F392="",FALSE,TRUE),OR(exact(Metadata!F392,"organism-associated habitat"),exact(Metadata!F392,"plant-associated habitat"),exact(Metadata!F392,"animal-associated habitat"),exact(Metadata!F392,"insecta-associated habitat"),exact(Metadata!F392,"mammalia-associated habitat"),exact(Metadata!F392,"human-associated habitat"),exact(Metadata!F392,"livestock-associated habitat"))))</f>
        <v>0</v>
      </c>
      <c r="AH392">
        <f>AND(IF(Metadata!G392="",FALSE,TRUE),exact(Metadata!G392,"host-associated"))</f>
        <v>0</v>
      </c>
      <c r="AI392">
        <f>OR(AND(IF(Metadata!H392="",FALSE,TRUE),OR(exact(Metadata!H392,"not collected"),exact(Metadata!H392,"not provided"))),AND(IF(Metadata!H392="",FALSE,ISNUMBER(VALUE(Metadata!H392))),Metadata!H392&gt;0))</f>
        <v>0</v>
      </c>
      <c r="AJ392">
        <f>AND(IF(Metadata!I392="",FALSE,TRUE),exact(Metadata!I392,"years"))</f>
        <v>0</v>
      </c>
      <c r="AK392">
        <f>IF(Metadata!J392="",FALSE,TRUE)</f>
        <v>0</v>
      </c>
      <c r="AL392">
        <f>OR(AND(IF(Metadata!K392="",FALSE,TRUE),OR(exact(Metadata!K392,"not collected"),exact(Metadata!K392,"not provided"))),AND(IF(Metadata!K392="",FALSE,ISNUMBER(VALUE(Metadata!K392))),Metadata!K392&gt;0))</f>
        <v>0</v>
      </c>
      <c r="AM392">
        <f>AND(IF(Metadata!L392="",FALSE,TRUE),exact(Metadata!L392,"cm"))</f>
        <v>0</v>
      </c>
      <c r="AN392">
        <f>IF(Metadata!M392="",FALSE,TRUE)</f>
        <v>0</v>
      </c>
      <c r="AO392">
        <f>OR(AND(IF(Metadata!N392="",FALSE,TRUE),OR(exact(Metadata!N392,"not applicable"),exact(Metadata!N392,"not collected"),exact(Metadata!N392,"not provided"))),AND(IF(Metadata!N392="",FALSE,IF(ISERROR(INT(Metadata!N392)),FALSE,INT(Metadata!N392)=Metadata!N392)),Metadata!N392&gt;0))</f>
        <v>0</v>
      </c>
      <c r="AP392">
        <f>OR(AND(IF(Metadata!O392="",FALSE,TRUE),OR(exact(Metadata!O392,"not collected"),exact(Metadata!O392,"not provided"))),AND(IF(Metadata!O392="",FALSE,ISNUMBER(VALUE(Metadata!O392))),Metadata!O392&gt;0))</f>
        <v>0</v>
      </c>
      <c r="AQ392">
        <f>AND(IF(Metadata!P392="",FALSE,TRUE),exact(Metadata!P392,"kg"))</f>
        <v>0</v>
      </c>
      <c r="AR392">
        <f>OR(AND(IF(Metadata!Q392="",FALSE,TRUE),OR(exact(Metadata!Q392,"not applicable"),exact(Metadata!Q392,"not collected"),exact(Metadata!Q392,"not provided"),exact(Metadata!Q392,"restricted access"))),IF(Metadata!Q392="",FALSE,IF(ISERROR(INT(Metadata!Q392)),FALSE,INT(Metadata!Q392)=Metadata!Q392)))</f>
        <v>0</v>
      </c>
      <c r="AS392">
        <f>AND(IF(Metadata!R392="",FALSE,TRUE),exact(Metadata!R392,"Not applicable"))</f>
        <v>0</v>
      </c>
    </row>
    <row r="393" spans="1:45">
      <c r="A393" s="4">
        <f>IF(B393=" "," ",HYPERLINK(CONCATENATE("#metadata!",ADDRESS(INDEX($X$2:$X$1001,MATCH(ROWS($V$2:V393),$V$2:$V$1001,0),0),2)),INDEX($AA$2:$AA$1001,MATCH(ROWS($V$2:V393),$V$2:$V$1001,0),0)))</f>
        <v>0</v>
      </c>
      <c r="B393" s="5">
        <f>IF(OR(INDEX($W$2:$W$1001,MATCH(ROWS($V$2:V393),$V$2:$V$1001,0),1)&gt;=100000,INDEX($AC$1005:$AS$1005,1,MATCH(COLUMNS($AC$1006:AC1006),$AC$1006:$AS$1006,0))&gt;=100000), " ",IF(INDEX($AC$2:$AS$1001,MATCH(ROWS($V$2:V393),$V$2:$V$1001,0),MATCH(COLUMNS($AC$1006:AC1006),$AC$1006:$AS$1006,0)), HYPERLINK("#",""), HYPERLINK(CONCATENATE("#Metadata!", ADDRESS(INDEX($X$2:$X$1001,MATCH(ROWS($V$2:V393),$V$2:$V$1001,0),0), INDEX($AC$1004:$AS$1004,1,MATCH(COLUMNS($AC$1006:AC1006),$AC$1006:$AS$1006,0)))),"Fix")))</f>
        <v>0</v>
      </c>
      <c r="C393" s="5">
        <f>IF(OR(INDEX($W$2:$W$1001,MATCH(ROWS($V$2:V393),$V$2:$V$1001,0),1)&gt;=100000,INDEX($AC$1005:$AS$1005,1,MATCH(COLUMNS($AC$1006:AD1006),$AC$1006:$AS$1006,0))&gt;=100000), " ",IF(INDEX($AC$2:$AS$1001,MATCH(ROWS($V$2:V393),$V$2:$V$1001,0),MATCH(COLUMNS($AC$1006:AD1006),$AC$1006:$AS$1006,0)), HYPERLINK("#",""), HYPERLINK(CONCATENATE("#Metadata!", ADDRESS(INDEX($X$2:$X$1001,MATCH(ROWS($V$2:V393),$V$2:$V$1001,0),0), INDEX($AC$1004:$AS$1004,1,MATCH(COLUMNS($AC$1006:AD1006),$AC$1006:$AS$1006,0)))),"Fix")))</f>
        <v>0</v>
      </c>
      <c r="D393" s="5">
        <f>IF(OR(INDEX($W$2:$W$1001,MATCH(ROWS($V$2:V393),$V$2:$V$1001,0),1)&gt;=100000,INDEX($AC$1005:$AS$1005,1,MATCH(COLUMNS($AC$1006:AE1006),$AC$1006:$AS$1006,0))&gt;=100000), " ",IF(INDEX($AC$2:$AS$1001,MATCH(ROWS($V$2:V393),$V$2:$V$1001,0),MATCH(COLUMNS($AC$1006:AE1006),$AC$1006:$AS$1006,0)), HYPERLINK("#",""), HYPERLINK(CONCATENATE("#Metadata!", ADDRESS(INDEX($X$2:$X$1001,MATCH(ROWS($V$2:V393),$V$2:$V$1001,0),0), INDEX($AC$1004:$AS$1004,1,MATCH(COLUMNS($AC$1006:AE1006),$AC$1006:$AS$1006,0)))),"Fix")))</f>
        <v>0</v>
      </c>
      <c r="E393" s="5">
        <f>IF(OR(INDEX($W$2:$W$1001,MATCH(ROWS($V$2:V393),$V$2:$V$1001,0),1)&gt;=100000,INDEX($AC$1005:$AS$1005,1,MATCH(COLUMNS($AC$1006:AF1006),$AC$1006:$AS$1006,0))&gt;=100000), " ",IF(INDEX($AC$2:$AS$1001,MATCH(ROWS($V$2:V393),$V$2:$V$1001,0),MATCH(COLUMNS($AC$1006:AF1006),$AC$1006:$AS$1006,0)), HYPERLINK("#",""), HYPERLINK(CONCATENATE("#Metadata!", ADDRESS(INDEX($X$2:$X$1001,MATCH(ROWS($V$2:V393),$V$2:$V$1001,0),0), INDEX($AC$1004:$AS$1004,1,MATCH(COLUMNS($AC$1006:AF1006),$AC$1006:$AS$1006,0)))),"Fix")))</f>
        <v>0</v>
      </c>
      <c r="F393" s="5">
        <f>IF(OR(INDEX($W$2:$W$1001,MATCH(ROWS($V$2:V393),$V$2:$V$1001,0),1)&gt;=100000,INDEX($AC$1005:$AS$1005,1,MATCH(COLUMNS($AC$1006:AG1006),$AC$1006:$AS$1006,0))&gt;=100000), " ",IF(INDEX($AC$2:$AS$1001,MATCH(ROWS($V$2:V393),$V$2:$V$1001,0),MATCH(COLUMNS($AC$1006:AG1006),$AC$1006:$AS$1006,0)), HYPERLINK("#",""), HYPERLINK(CONCATENATE("#Metadata!", ADDRESS(INDEX($X$2:$X$1001,MATCH(ROWS($V$2:V393),$V$2:$V$1001,0),0), INDEX($AC$1004:$AS$1004,1,MATCH(COLUMNS($AC$1006:AG1006),$AC$1006:$AS$1006,0)))),"Fix")))</f>
        <v>0</v>
      </c>
      <c r="G393" s="5">
        <f>IF(OR(INDEX($W$2:$W$1001,MATCH(ROWS($V$2:V393),$V$2:$V$1001,0),1)&gt;=100000,INDEX($AC$1005:$AS$1005,1,MATCH(COLUMNS($AC$1006:AH1006),$AC$1006:$AS$1006,0))&gt;=100000), " ",IF(INDEX($AC$2:$AS$1001,MATCH(ROWS($V$2:V393),$V$2:$V$1001,0),MATCH(COLUMNS($AC$1006:AH1006),$AC$1006:$AS$1006,0)), HYPERLINK("#",""), HYPERLINK(CONCATENATE("#Metadata!", ADDRESS(INDEX($X$2:$X$1001,MATCH(ROWS($V$2:V393),$V$2:$V$1001,0),0), INDEX($AC$1004:$AS$1004,1,MATCH(COLUMNS($AC$1006:AH1006),$AC$1006:$AS$1006,0)))),"Fix")))</f>
        <v>0</v>
      </c>
      <c r="H393" s="5">
        <f>IF(OR(INDEX($W$2:$W$1001,MATCH(ROWS($V$2:V393),$V$2:$V$1001,0),1)&gt;=100000,INDEX($AC$1005:$AS$1005,1,MATCH(COLUMNS($AC$1006:AI1006),$AC$1006:$AS$1006,0))&gt;=100000), " ",IF(INDEX($AC$2:$AS$1001,MATCH(ROWS($V$2:V393),$V$2:$V$1001,0),MATCH(COLUMNS($AC$1006:AI1006),$AC$1006:$AS$1006,0)), HYPERLINK("#",""), HYPERLINK(CONCATENATE("#Metadata!", ADDRESS(INDEX($X$2:$X$1001,MATCH(ROWS($V$2:V393),$V$2:$V$1001,0),0), INDEX($AC$1004:$AS$1004,1,MATCH(COLUMNS($AC$1006:AI1006),$AC$1006:$AS$1006,0)))),"Fix")))</f>
        <v>0</v>
      </c>
      <c r="I393" s="5">
        <f>IF(OR(INDEX($W$2:$W$1001,MATCH(ROWS($V$2:V393),$V$2:$V$1001,0),1)&gt;=100000,INDEX($AC$1005:$AS$1005,1,MATCH(COLUMNS($AC$1006:AJ1006),$AC$1006:$AS$1006,0))&gt;=100000), " ",IF(INDEX($AC$2:$AS$1001,MATCH(ROWS($V$2:V393),$V$2:$V$1001,0),MATCH(COLUMNS($AC$1006:AJ1006),$AC$1006:$AS$1006,0)), HYPERLINK("#",""), HYPERLINK(CONCATENATE("#Metadata!", ADDRESS(INDEX($X$2:$X$1001,MATCH(ROWS($V$2:V393),$V$2:$V$1001,0),0), INDEX($AC$1004:$AS$1004,1,MATCH(COLUMNS($AC$1006:AJ1006),$AC$1006:$AS$1006,0)))),"Fix")))</f>
        <v>0</v>
      </c>
      <c r="J393" s="5">
        <f>IF(OR(INDEX($W$2:$W$1001,MATCH(ROWS($V$2:V393),$V$2:$V$1001,0),1)&gt;=100000,INDEX($AC$1005:$AS$1005,1,MATCH(COLUMNS($AC$1006:AK1006),$AC$1006:$AS$1006,0))&gt;=100000), " ",IF(INDEX($AC$2:$AS$1001,MATCH(ROWS($V$2:V393),$V$2:$V$1001,0),MATCH(COLUMNS($AC$1006:AK1006),$AC$1006:$AS$1006,0)), HYPERLINK("#",""), HYPERLINK(CONCATENATE("#Metadata!", ADDRESS(INDEX($X$2:$X$1001,MATCH(ROWS($V$2:V393),$V$2:$V$1001,0),0), INDEX($AC$1004:$AS$1004,1,MATCH(COLUMNS($AC$1006:AK1006),$AC$1006:$AS$1006,0)))),"Fix")))</f>
        <v>0</v>
      </c>
      <c r="K393" s="5">
        <f>IF(OR(INDEX($W$2:$W$1001,MATCH(ROWS($V$2:V393),$V$2:$V$1001,0),1)&gt;=100000,INDEX($AC$1005:$AS$1005,1,MATCH(COLUMNS($AC$1006:AL1006),$AC$1006:$AS$1006,0))&gt;=100000), " ",IF(INDEX($AC$2:$AS$1001,MATCH(ROWS($V$2:V393),$V$2:$V$1001,0),MATCH(COLUMNS($AC$1006:AL1006),$AC$1006:$AS$1006,0)), HYPERLINK("#",""), HYPERLINK(CONCATENATE("#Metadata!", ADDRESS(INDEX($X$2:$X$1001,MATCH(ROWS($V$2:V393),$V$2:$V$1001,0),0), INDEX($AC$1004:$AS$1004,1,MATCH(COLUMNS($AC$1006:AL1006),$AC$1006:$AS$1006,0)))),"Fix")))</f>
        <v>0</v>
      </c>
      <c r="L393" s="5">
        <f>IF(OR(INDEX($W$2:$W$1001,MATCH(ROWS($V$2:V393),$V$2:$V$1001,0),1)&gt;=100000,INDEX($AC$1005:$AS$1005,1,MATCH(COLUMNS($AC$1006:AM1006),$AC$1006:$AS$1006,0))&gt;=100000), " ",IF(INDEX($AC$2:$AS$1001,MATCH(ROWS($V$2:V393),$V$2:$V$1001,0),MATCH(COLUMNS($AC$1006:AM1006),$AC$1006:$AS$1006,0)), HYPERLINK("#",""), HYPERLINK(CONCATENATE("#Metadata!", ADDRESS(INDEX($X$2:$X$1001,MATCH(ROWS($V$2:V393),$V$2:$V$1001,0),0), INDEX($AC$1004:$AS$1004,1,MATCH(COLUMNS($AC$1006:AM1006),$AC$1006:$AS$1006,0)))),"Fix")))</f>
        <v>0</v>
      </c>
      <c r="M393" s="5">
        <f>IF(OR(INDEX($W$2:$W$1001,MATCH(ROWS($V$2:V393),$V$2:$V$1001,0),1)&gt;=100000,INDEX($AC$1005:$AS$1005,1,MATCH(COLUMNS($AC$1006:AN1006),$AC$1006:$AS$1006,0))&gt;=100000), " ",IF(INDEX($AC$2:$AS$1001,MATCH(ROWS($V$2:V393),$V$2:$V$1001,0),MATCH(COLUMNS($AC$1006:AN1006),$AC$1006:$AS$1006,0)), HYPERLINK("#",""), HYPERLINK(CONCATENATE("#Metadata!", ADDRESS(INDEX($X$2:$X$1001,MATCH(ROWS($V$2:V393),$V$2:$V$1001,0),0), INDEX($AC$1004:$AS$1004,1,MATCH(COLUMNS($AC$1006:AN1006),$AC$1006:$AS$1006,0)))),"Fix")))</f>
        <v>0</v>
      </c>
      <c r="N393" s="5">
        <f>IF(OR(INDEX($W$2:$W$1001,MATCH(ROWS($V$2:V393),$V$2:$V$1001,0),1)&gt;=100000,INDEX($AC$1005:$AS$1005,1,MATCH(COLUMNS($AC$1006:AO1006),$AC$1006:$AS$1006,0))&gt;=100000), " ",IF(INDEX($AC$2:$AS$1001,MATCH(ROWS($V$2:V393),$V$2:$V$1001,0),MATCH(COLUMNS($AC$1006:AO1006),$AC$1006:$AS$1006,0)), HYPERLINK("#",""), HYPERLINK(CONCATENATE("#Metadata!", ADDRESS(INDEX($X$2:$X$1001,MATCH(ROWS($V$2:V393),$V$2:$V$1001,0),0), INDEX($AC$1004:$AS$1004,1,MATCH(COLUMNS($AC$1006:AO1006),$AC$1006:$AS$1006,0)))),"Fix")))</f>
        <v>0</v>
      </c>
      <c r="O393" s="5">
        <f>IF(OR(INDEX($W$2:$W$1001,MATCH(ROWS($V$2:V393),$V$2:$V$1001,0),1)&gt;=100000,INDEX($AC$1005:$AS$1005,1,MATCH(COLUMNS($AC$1006:AP1006),$AC$1006:$AS$1006,0))&gt;=100000), " ",IF(INDEX($AC$2:$AS$1001,MATCH(ROWS($V$2:V393),$V$2:$V$1001,0),MATCH(COLUMNS($AC$1006:AP1006),$AC$1006:$AS$1006,0)), HYPERLINK("#",""), HYPERLINK(CONCATENATE("#Metadata!", ADDRESS(INDEX($X$2:$X$1001,MATCH(ROWS($V$2:V393),$V$2:$V$1001,0),0), INDEX($AC$1004:$AS$1004,1,MATCH(COLUMNS($AC$1006:AP1006),$AC$1006:$AS$1006,0)))),"Fix")))</f>
        <v>0</v>
      </c>
      <c r="P393" s="5">
        <f>IF(OR(INDEX($W$2:$W$1001,MATCH(ROWS($V$2:V393),$V$2:$V$1001,0),1)&gt;=100000,INDEX($AC$1005:$AS$1005,1,MATCH(COLUMNS($AC$1006:AQ1006),$AC$1006:$AS$1006,0))&gt;=100000), " ",IF(INDEX($AC$2:$AS$1001,MATCH(ROWS($V$2:V393),$V$2:$V$1001,0),MATCH(COLUMNS($AC$1006:AQ1006),$AC$1006:$AS$1006,0)), HYPERLINK("#",""), HYPERLINK(CONCATENATE("#Metadata!", ADDRESS(INDEX($X$2:$X$1001,MATCH(ROWS($V$2:V393),$V$2:$V$1001,0),0), INDEX($AC$1004:$AS$1004,1,MATCH(COLUMNS($AC$1006:AQ1006),$AC$1006:$AS$1006,0)))),"Fix")))</f>
        <v>0</v>
      </c>
      <c r="Q393" s="5">
        <f>IF(OR(INDEX($W$2:$W$1001,MATCH(ROWS($V$2:V393),$V$2:$V$1001,0),1)&gt;=100000,INDEX($AC$1005:$AS$1005,1,MATCH(COLUMNS($AC$1006:AR1006),$AC$1006:$AS$1006,0))&gt;=100000), " ",IF(INDEX($AC$2:$AS$1001,MATCH(ROWS($V$2:V393),$V$2:$V$1001,0),MATCH(COLUMNS($AC$1006:AR1006),$AC$1006:$AS$1006,0)), HYPERLINK("#",""), HYPERLINK(CONCATENATE("#Metadata!", ADDRESS(INDEX($X$2:$X$1001,MATCH(ROWS($V$2:V393),$V$2:$V$1001,0),0), INDEX($AC$1004:$AS$1004,1,MATCH(COLUMNS($AC$1006:AR1006),$AC$1006:$AS$1006,0)))),"Fix")))</f>
        <v>0</v>
      </c>
      <c r="R393" s="5">
        <f>IF(OR(INDEX($W$2:$W$1001,MATCH(ROWS($V$2:V393),$V$2:$V$1001,0),1)&gt;=100000,INDEX($AC$1005:$AS$1005,1,MATCH(COLUMNS($AC$1006:AS1006),$AC$1006:$AS$1006,0))&gt;=100000), " ",IF(INDEX($AC$2:$AS$1001,MATCH(ROWS($V$2:V393),$V$2:$V$1001,0),MATCH(COLUMNS($AC$1006:AS1006),$AC$1006:$AS$1006,0)), HYPERLINK("#",""), HYPERLINK(CONCATENATE("#Metadata!", ADDRESS(INDEX($X$2:$X$1001,MATCH(ROWS($V$2:V393),$V$2:$V$1001,0),0), INDEX($AC$1004:$AS$1004,1,MATCH(COLUMNS($AC$1006:AS1006),$AC$1006:$AS$1006,0)))),"Fix")))</f>
        <v>0</v>
      </c>
      <c r="V393">
        <v>0</v>
      </c>
      <c r="W393">
        <v>0</v>
      </c>
      <c r="X393">
        <v>0</v>
      </c>
      <c r="Y393">
        <f>IF(Z393,TRUE,AND(AC393:AS393))</f>
        <v>0</v>
      </c>
      <c r="Z393">
        <f>COUNTBLANK(Metadata!B393:R393)=COLUMNS(Metadata!B393:R393)</f>
        <v>0</v>
      </c>
      <c r="AA393">
        <v>0</v>
      </c>
      <c r="AC393">
        <f>AND(IF(Metadata!B393="",FALSE,TRUE),COUNTIF(Metadata!B:B, Metadata!B393) = 1,NOT(ISERROR(SUMPRODUCT(SEARCH(MID(Metadata!B393,ROW(INDIRECT("1:"&amp;LEN(Metadata!B393))), 1),"0123456789abcdefghijklmnopqrstuvwxyzABCDEFGHIJKLMNOPQRSTUVWXYZ.")))))</f>
        <v>0</v>
      </c>
      <c r="AD393">
        <f>AND(IF(Metadata!C393="",FALSE,TRUE),exact(Metadata!C393,"Host-associated"))</f>
        <v>0</v>
      </c>
      <c r="AE393">
        <f>AND(IF(Metadata!D393="",FALSE,TRUE),OR(exact(Metadata!D393,"Animal"),exact(Metadata!D393,"Fungus"),exact(Metadata!D393,"Plant")))</f>
        <v>0</v>
      </c>
      <c r="AF393">
        <f>AND(IF(Metadata!E393="",FALSE,TRUE),OR(exact(Metadata!E393,"Plant secretion"),exact(Metadata!E393,"Plant rhizosphere"),exact(Metadata!E393,"Plant surface"),exact(Metadata!E393,"Plant corpus"),exact(Metadata!E393,"Fungus surface"),exact(Metadata!E393,"Fungus corpus"),exact(Metadata!E393,"Animal surface"),exact(Metadata!E393,"Animal proximal gut"),exact(Metadata!E393,"Animal corpus"),exact(Metadata!E393,"Animal distal gut"),exact(Metadata!E393,"Animal secretion")))</f>
        <v>0</v>
      </c>
      <c r="AG393">
        <f>OR(AND(IF(Metadata!F393="",FALSE,TRUE),OR(exact(Metadata!F393,"not collected"),exact(Metadata!F393,"not provided"),exact(Metadata!F393,"restricted access"))),AND(IF(Metadata!F393="",FALSE,TRUE),OR(exact(Metadata!F393,"organism-associated habitat"),exact(Metadata!F393,"plant-associated habitat"),exact(Metadata!F393,"animal-associated habitat"),exact(Metadata!F393,"insecta-associated habitat"),exact(Metadata!F393,"mammalia-associated habitat"),exact(Metadata!F393,"human-associated habitat"),exact(Metadata!F393,"livestock-associated habitat"))))</f>
        <v>0</v>
      </c>
      <c r="AH393">
        <f>AND(IF(Metadata!G393="",FALSE,TRUE),exact(Metadata!G393,"host-associated"))</f>
        <v>0</v>
      </c>
      <c r="AI393">
        <f>OR(AND(IF(Metadata!H393="",FALSE,TRUE),OR(exact(Metadata!H393,"not collected"),exact(Metadata!H393,"not provided"))),AND(IF(Metadata!H393="",FALSE,ISNUMBER(VALUE(Metadata!H393))),Metadata!H393&gt;0))</f>
        <v>0</v>
      </c>
      <c r="AJ393">
        <f>AND(IF(Metadata!I393="",FALSE,TRUE),exact(Metadata!I393,"years"))</f>
        <v>0</v>
      </c>
      <c r="AK393">
        <f>IF(Metadata!J393="",FALSE,TRUE)</f>
        <v>0</v>
      </c>
      <c r="AL393">
        <f>OR(AND(IF(Metadata!K393="",FALSE,TRUE),OR(exact(Metadata!K393,"not collected"),exact(Metadata!K393,"not provided"))),AND(IF(Metadata!K393="",FALSE,ISNUMBER(VALUE(Metadata!K393))),Metadata!K393&gt;0))</f>
        <v>0</v>
      </c>
      <c r="AM393">
        <f>AND(IF(Metadata!L393="",FALSE,TRUE),exact(Metadata!L393,"cm"))</f>
        <v>0</v>
      </c>
      <c r="AN393">
        <f>IF(Metadata!M393="",FALSE,TRUE)</f>
        <v>0</v>
      </c>
      <c r="AO393">
        <f>OR(AND(IF(Metadata!N393="",FALSE,TRUE),OR(exact(Metadata!N393,"not applicable"),exact(Metadata!N393,"not collected"),exact(Metadata!N393,"not provided"))),AND(IF(Metadata!N393="",FALSE,IF(ISERROR(INT(Metadata!N393)),FALSE,INT(Metadata!N393)=Metadata!N393)),Metadata!N393&gt;0))</f>
        <v>0</v>
      </c>
      <c r="AP393">
        <f>OR(AND(IF(Metadata!O393="",FALSE,TRUE),OR(exact(Metadata!O393,"not collected"),exact(Metadata!O393,"not provided"))),AND(IF(Metadata!O393="",FALSE,ISNUMBER(VALUE(Metadata!O393))),Metadata!O393&gt;0))</f>
        <v>0</v>
      </c>
      <c r="AQ393">
        <f>AND(IF(Metadata!P393="",FALSE,TRUE),exact(Metadata!P393,"kg"))</f>
        <v>0</v>
      </c>
      <c r="AR393">
        <f>OR(AND(IF(Metadata!Q393="",FALSE,TRUE),OR(exact(Metadata!Q393,"not applicable"),exact(Metadata!Q393,"not collected"),exact(Metadata!Q393,"not provided"),exact(Metadata!Q393,"restricted access"))),IF(Metadata!Q393="",FALSE,IF(ISERROR(INT(Metadata!Q393)),FALSE,INT(Metadata!Q393)=Metadata!Q393)))</f>
        <v>0</v>
      </c>
      <c r="AS393">
        <f>AND(IF(Metadata!R393="",FALSE,TRUE),exact(Metadata!R393,"Not applicable"))</f>
        <v>0</v>
      </c>
    </row>
    <row r="394" spans="1:45">
      <c r="A394" s="4">
        <f>IF(B394=" "," ",HYPERLINK(CONCATENATE("#metadata!",ADDRESS(INDEX($X$2:$X$1001,MATCH(ROWS($V$2:V394),$V$2:$V$1001,0),0),2)),INDEX($AA$2:$AA$1001,MATCH(ROWS($V$2:V394),$V$2:$V$1001,0),0)))</f>
        <v>0</v>
      </c>
      <c r="B394" s="5">
        <f>IF(OR(INDEX($W$2:$W$1001,MATCH(ROWS($V$2:V394),$V$2:$V$1001,0),1)&gt;=100000,INDEX($AC$1005:$AS$1005,1,MATCH(COLUMNS($AC$1006:AC1006),$AC$1006:$AS$1006,0))&gt;=100000), " ",IF(INDEX($AC$2:$AS$1001,MATCH(ROWS($V$2:V394),$V$2:$V$1001,0),MATCH(COLUMNS($AC$1006:AC1006),$AC$1006:$AS$1006,0)), HYPERLINK("#",""), HYPERLINK(CONCATENATE("#Metadata!", ADDRESS(INDEX($X$2:$X$1001,MATCH(ROWS($V$2:V394),$V$2:$V$1001,0),0), INDEX($AC$1004:$AS$1004,1,MATCH(COLUMNS($AC$1006:AC1006),$AC$1006:$AS$1006,0)))),"Fix")))</f>
        <v>0</v>
      </c>
      <c r="C394" s="5">
        <f>IF(OR(INDEX($W$2:$W$1001,MATCH(ROWS($V$2:V394),$V$2:$V$1001,0),1)&gt;=100000,INDEX($AC$1005:$AS$1005,1,MATCH(COLUMNS($AC$1006:AD1006),$AC$1006:$AS$1006,0))&gt;=100000), " ",IF(INDEX($AC$2:$AS$1001,MATCH(ROWS($V$2:V394),$V$2:$V$1001,0),MATCH(COLUMNS($AC$1006:AD1006),$AC$1006:$AS$1006,0)), HYPERLINK("#",""), HYPERLINK(CONCATENATE("#Metadata!", ADDRESS(INDEX($X$2:$X$1001,MATCH(ROWS($V$2:V394),$V$2:$V$1001,0),0), INDEX($AC$1004:$AS$1004,1,MATCH(COLUMNS($AC$1006:AD1006),$AC$1006:$AS$1006,0)))),"Fix")))</f>
        <v>0</v>
      </c>
      <c r="D394" s="5">
        <f>IF(OR(INDEX($W$2:$W$1001,MATCH(ROWS($V$2:V394),$V$2:$V$1001,0),1)&gt;=100000,INDEX($AC$1005:$AS$1005,1,MATCH(COLUMNS($AC$1006:AE1006),$AC$1006:$AS$1006,0))&gt;=100000), " ",IF(INDEX($AC$2:$AS$1001,MATCH(ROWS($V$2:V394),$V$2:$V$1001,0),MATCH(COLUMNS($AC$1006:AE1006),$AC$1006:$AS$1006,0)), HYPERLINK("#",""), HYPERLINK(CONCATENATE("#Metadata!", ADDRESS(INDEX($X$2:$X$1001,MATCH(ROWS($V$2:V394),$V$2:$V$1001,0),0), INDEX($AC$1004:$AS$1004,1,MATCH(COLUMNS($AC$1006:AE1006),$AC$1006:$AS$1006,0)))),"Fix")))</f>
        <v>0</v>
      </c>
      <c r="E394" s="5">
        <f>IF(OR(INDEX($W$2:$W$1001,MATCH(ROWS($V$2:V394),$V$2:$V$1001,0),1)&gt;=100000,INDEX($AC$1005:$AS$1005,1,MATCH(COLUMNS($AC$1006:AF1006),$AC$1006:$AS$1006,0))&gt;=100000), " ",IF(INDEX($AC$2:$AS$1001,MATCH(ROWS($V$2:V394),$V$2:$V$1001,0),MATCH(COLUMNS($AC$1006:AF1006),$AC$1006:$AS$1006,0)), HYPERLINK("#",""), HYPERLINK(CONCATENATE("#Metadata!", ADDRESS(INDEX($X$2:$X$1001,MATCH(ROWS($V$2:V394),$V$2:$V$1001,0),0), INDEX($AC$1004:$AS$1004,1,MATCH(COLUMNS($AC$1006:AF1006),$AC$1006:$AS$1006,0)))),"Fix")))</f>
        <v>0</v>
      </c>
      <c r="F394" s="5">
        <f>IF(OR(INDEX($W$2:$W$1001,MATCH(ROWS($V$2:V394),$V$2:$V$1001,0),1)&gt;=100000,INDEX($AC$1005:$AS$1005,1,MATCH(COLUMNS($AC$1006:AG1006),$AC$1006:$AS$1006,0))&gt;=100000), " ",IF(INDEX($AC$2:$AS$1001,MATCH(ROWS($V$2:V394),$V$2:$V$1001,0),MATCH(COLUMNS($AC$1006:AG1006),$AC$1006:$AS$1006,0)), HYPERLINK("#",""), HYPERLINK(CONCATENATE("#Metadata!", ADDRESS(INDEX($X$2:$X$1001,MATCH(ROWS($V$2:V394),$V$2:$V$1001,0),0), INDEX($AC$1004:$AS$1004,1,MATCH(COLUMNS($AC$1006:AG1006),$AC$1006:$AS$1006,0)))),"Fix")))</f>
        <v>0</v>
      </c>
      <c r="G394" s="5">
        <f>IF(OR(INDEX($W$2:$W$1001,MATCH(ROWS($V$2:V394),$V$2:$V$1001,0),1)&gt;=100000,INDEX($AC$1005:$AS$1005,1,MATCH(COLUMNS($AC$1006:AH1006),$AC$1006:$AS$1006,0))&gt;=100000), " ",IF(INDEX($AC$2:$AS$1001,MATCH(ROWS($V$2:V394),$V$2:$V$1001,0),MATCH(COLUMNS($AC$1006:AH1006),$AC$1006:$AS$1006,0)), HYPERLINK("#",""), HYPERLINK(CONCATENATE("#Metadata!", ADDRESS(INDEX($X$2:$X$1001,MATCH(ROWS($V$2:V394),$V$2:$V$1001,0),0), INDEX($AC$1004:$AS$1004,1,MATCH(COLUMNS($AC$1006:AH1006),$AC$1006:$AS$1006,0)))),"Fix")))</f>
        <v>0</v>
      </c>
      <c r="H394" s="5">
        <f>IF(OR(INDEX($W$2:$W$1001,MATCH(ROWS($V$2:V394),$V$2:$V$1001,0),1)&gt;=100000,INDEX($AC$1005:$AS$1005,1,MATCH(COLUMNS($AC$1006:AI1006),$AC$1006:$AS$1006,0))&gt;=100000), " ",IF(INDEX($AC$2:$AS$1001,MATCH(ROWS($V$2:V394),$V$2:$V$1001,0),MATCH(COLUMNS($AC$1006:AI1006),$AC$1006:$AS$1006,0)), HYPERLINK("#",""), HYPERLINK(CONCATENATE("#Metadata!", ADDRESS(INDEX($X$2:$X$1001,MATCH(ROWS($V$2:V394),$V$2:$V$1001,0),0), INDEX($AC$1004:$AS$1004,1,MATCH(COLUMNS($AC$1006:AI1006),$AC$1006:$AS$1006,0)))),"Fix")))</f>
        <v>0</v>
      </c>
      <c r="I394" s="5">
        <f>IF(OR(INDEX($W$2:$W$1001,MATCH(ROWS($V$2:V394),$V$2:$V$1001,0),1)&gt;=100000,INDEX($AC$1005:$AS$1005,1,MATCH(COLUMNS($AC$1006:AJ1006),$AC$1006:$AS$1006,0))&gt;=100000), " ",IF(INDEX($AC$2:$AS$1001,MATCH(ROWS($V$2:V394),$V$2:$V$1001,0),MATCH(COLUMNS($AC$1006:AJ1006),$AC$1006:$AS$1006,0)), HYPERLINK("#",""), HYPERLINK(CONCATENATE("#Metadata!", ADDRESS(INDEX($X$2:$X$1001,MATCH(ROWS($V$2:V394),$V$2:$V$1001,0),0), INDEX($AC$1004:$AS$1004,1,MATCH(COLUMNS($AC$1006:AJ1006),$AC$1006:$AS$1006,0)))),"Fix")))</f>
        <v>0</v>
      </c>
      <c r="J394" s="5">
        <f>IF(OR(INDEX($W$2:$W$1001,MATCH(ROWS($V$2:V394),$V$2:$V$1001,0),1)&gt;=100000,INDEX($AC$1005:$AS$1005,1,MATCH(COLUMNS($AC$1006:AK1006),$AC$1006:$AS$1006,0))&gt;=100000), " ",IF(INDEX($AC$2:$AS$1001,MATCH(ROWS($V$2:V394),$V$2:$V$1001,0),MATCH(COLUMNS($AC$1006:AK1006),$AC$1006:$AS$1006,0)), HYPERLINK("#",""), HYPERLINK(CONCATENATE("#Metadata!", ADDRESS(INDEX($X$2:$X$1001,MATCH(ROWS($V$2:V394),$V$2:$V$1001,0),0), INDEX($AC$1004:$AS$1004,1,MATCH(COLUMNS($AC$1006:AK1006),$AC$1006:$AS$1006,0)))),"Fix")))</f>
        <v>0</v>
      </c>
      <c r="K394" s="5">
        <f>IF(OR(INDEX($W$2:$W$1001,MATCH(ROWS($V$2:V394),$V$2:$V$1001,0),1)&gt;=100000,INDEX($AC$1005:$AS$1005,1,MATCH(COLUMNS($AC$1006:AL1006),$AC$1006:$AS$1006,0))&gt;=100000), " ",IF(INDEX($AC$2:$AS$1001,MATCH(ROWS($V$2:V394),$V$2:$V$1001,0),MATCH(COLUMNS($AC$1006:AL1006),$AC$1006:$AS$1006,0)), HYPERLINK("#",""), HYPERLINK(CONCATENATE("#Metadata!", ADDRESS(INDEX($X$2:$X$1001,MATCH(ROWS($V$2:V394),$V$2:$V$1001,0),0), INDEX($AC$1004:$AS$1004,1,MATCH(COLUMNS($AC$1006:AL1006),$AC$1006:$AS$1006,0)))),"Fix")))</f>
        <v>0</v>
      </c>
      <c r="L394" s="5">
        <f>IF(OR(INDEX($W$2:$W$1001,MATCH(ROWS($V$2:V394),$V$2:$V$1001,0),1)&gt;=100000,INDEX($AC$1005:$AS$1005,1,MATCH(COLUMNS($AC$1006:AM1006),$AC$1006:$AS$1006,0))&gt;=100000), " ",IF(INDEX($AC$2:$AS$1001,MATCH(ROWS($V$2:V394),$V$2:$V$1001,0),MATCH(COLUMNS($AC$1006:AM1006),$AC$1006:$AS$1006,0)), HYPERLINK("#",""), HYPERLINK(CONCATENATE("#Metadata!", ADDRESS(INDEX($X$2:$X$1001,MATCH(ROWS($V$2:V394),$V$2:$V$1001,0),0), INDEX($AC$1004:$AS$1004,1,MATCH(COLUMNS($AC$1006:AM1006),$AC$1006:$AS$1006,0)))),"Fix")))</f>
        <v>0</v>
      </c>
      <c r="M394" s="5">
        <f>IF(OR(INDEX($W$2:$W$1001,MATCH(ROWS($V$2:V394),$V$2:$V$1001,0),1)&gt;=100000,INDEX($AC$1005:$AS$1005,1,MATCH(COLUMNS($AC$1006:AN1006),$AC$1006:$AS$1006,0))&gt;=100000), " ",IF(INDEX($AC$2:$AS$1001,MATCH(ROWS($V$2:V394),$V$2:$V$1001,0),MATCH(COLUMNS($AC$1006:AN1006),$AC$1006:$AS$1006,0)), HYPERLINK("#",""), HYPERLINK(CONCATENATE("#Metadata!", ADDRESS(INDEX($X$2:$X$1001,MATCH(ROWS($V$2:V394),$V$2:$V$1001,0),0), INDEX($AC$1004:$AS$1004,1,MATCH(COLUMNS($AC$1006:AN1006),$AC$1006:$AS$1006,0)))),"Fix")))</f>
        <v>0</v>
      </c>
      <c r="N394" s="5">
        <f>IF(OR(INDEX($W$2:$W$1001,MATCH(ROWS($V$2:V394),$V$2:$V$1001,0),1)&gt;=100000,INDEX($AC$1005:$AS$1005,1,MATCH(COLUMNS($AC$1006:AO1006),$AC$1006:$AS$1006,0))&gt;=100000), " ",IF(INDEX($AC$2:$AS$1001,MATCH(ROWS($V$2:V394),$V$2:$V$1001,0),MATCH(COLUMNS($AC$1006:AO1006),$AC$1006:$AS$1006,0)), HYPERLINK("#",""), HYPERLINK(CONCATENATE("#Metadata!", ADDRESS(INDEX($X$2:$X$1001,MATCH(ROWS($V$2:V394),$V$2:$V$1001,0),0), INDEX($AC$1004:$AS$1004,1,MATCH(COLUMNS($AC$1006:AO1006),$AC$1006:$AS$1006,0)))),"Fix")))</f>
        <v>0</v>
      </c>
      <c r="O394" s="5">
        <f>IF(OR(INDEX($W$2:$W$1001,MATCH(ROWS($V$2:V394),$V$2:$V$1001,0),1)&gt;=100000,INDEX($AC$1005:$AS$1005,1,MATCH(COLUMNS($AC$1006:AP1006),$AC$1006:$AS$1006,0))&gt;=100000), " ",IF(INDEX($AC$2:$AS$1001,MATCH(ROWS($V$2:V394),$V$2:$V$1001,0),MATCH(COLUMNS($AC$1006:AP1006),$AC$1006:$AS$1006,0)), HYPERLINK("#",""), HYPERLINK(CONCATENATE("#Metadata!", ADDRESS(INDEX($X$2:$X$1001,MATCH(ROWS($V$2:V394),$V$2:$V$1001,0),0), INDEX($AC$1004:$AS$1004,1,MATCH(COLUMNS($AC$1006:AP1006),$AC$1006:$AS$1006,0)))),"Fix")))</f>
        <v>0</v>
      </c>
      <c r="P394" s="5">
        <f>IF(OR(INDEX($W$2:$W$1001,MATCH(ROWS($V$2:V394),$V$2:$V$1001,0),1)&gt;=100000,INDEX($AC$1005:$AS$1005,1,MATCH(COLUMNS($AC$1006:AQ1006),$AC$1006:$AS$1006,0))&gt;=100000), " ",IF(INDEX($AC$2:$AS$1001,MATCH(ROWS($V$2:V394),$V$2:$V$1001,0),MATCH(COLUMNS($AC$1006:AQ1006),$AC$1006:$AS$1006,0)), HYPERLINK("#",""), HYPERLINK(CONCATENATE("#Metadata!", ADDRESS(INDEX($X$2:$X$1001,MATCH(ROWS($V$2:V394),$V$2:$V$1001,0),0), INDEX($AC$1004:$AS$1004,1,MATCH(COLUMNS($AC$1006:AQ1006),$AC$1006:$AS$1006,0)))),"Fix")))</f>
        <v>0</v>
      </c>
      <c r="Q394" s="5">
        <f>IF(OR(INDEX($W$2:$W$1001,MATCH(ROWS($V$2:V394),$V$2:$V$1001,0),1)&gt;=100000,INDEX($AC$1005:$AS$1005,1,MATCH(COLUMNS($AC$1006:AR1006),$AC$1006:$AS$1006,0))&gt;=100000), " ",IF(INDEX($AC$2:$AS$1001,MATCH(ROWS($V$2:V394),$V$2:$V$1001,0),MATCH(COLUMNS($AC$1006:AR1006),$AC$1006:$AS$1006,0)), HYPERLINK("#",""), HYPERLINK(CONCATENATE("#Metadata!", ADDRESS(INDEX($X$2:$X$1001,MATCH(ROWS($V$2:V394),$V$2:$V$1001,0),0), INDEX($AC$1004:$AS$1004,1,MATCH(COLUMNS($AC$1006:AR1006),$AC$1006:$AS$1006,0)))),"Fix")))</f>
        <v>0</v>
      </c>
      <c r="R394" s="5">
        <f>IF(OR(INDEX($W$2:$W$1001,MATCH(ROWS($V$2:V394),$V$2:$V$1001,0),1)&gt;=100000,INDEX($AC$1005:$AS$1005,1,MATCH(COLUMNS($AC$1006:AS1006),$AC$1006:$AS$1006,0))&gt;=100000), " ",IF(INDEX($AC$2:$AS$1001,MATCH(ROWS($V$2:V394),$V$2:$V$1001,0),MATCH(COLUMNS($AC$1006:AS1006),$AC$1006:$AS$1006,0)), HYPERLINK("#",""), HYPERLINK(CONCATENATE("#Metadata!", ADDRESS(INDEX($X$2:$X$1001,MATCH(ROWS($V$2:V394),$V$2:$V$1001,0),0), INDEX($AC$1004:$AS$1004,1,MATCH(COLUMNS($AC$1006:AS1006),$AC$1006:$AS$1006,0)))),"Fix")))</f>
        <v>0</v>
      </c>
      <c r="V394">
        <v>0</v>
      </c>
      <c r="W394">
        <v>0</v>
      </c>
      <c r="X394">
        <v>0</v>
      </c>
      <c r="Y394">
        <f>IF(Z394,TRUE,AND(AC394:AS394))</f>
        <v>0</v>
      </c>
      <c r="Z394">
        <f>COUNTBLANK(Metadata!B394:R394)=COLUMNS(Metadata!B394:R394)</f>
        <v>0</v>
      </c>
      <c r="AA394">
        <v>0</v>
      </c>
      <c r="AC394">
        <f>AND(IF(Metadata!B394="",FALSE,TRUE),COUNTIF(Metadata!B:B, Metadata!B394) = 1,NOT(ISERROR(SUMPRODUCT(SEARCH(MID(Metadata!B394,ROW(INDIRECT("1:"&amp;LEN(Metadata!B394))), 1),"0123456789abcdefghijklmnopqrstuvwxyzABCDEFGHIJKLMNOPQRSTUVWXYZ.")))))</f>
        <v>0</v>
      </c>
      <c r="AD394">
        <f>AND(IF(Metadata!C394="",FALSE,TRUE),exact(Metadata!C394,"Host-associated"))</f>
        <v>0</v>
      </c>
      <c r="AE394">
        <f>AND(IF(Metadata!D394="",FALSE,TRUE),OR(exact(Metadata!D394,"Animal"),exact(Metadata!D394,"Fungus"),exact(Metadata!D394,"Plant")))</f>
        <v>0</v>
      </c>
      <c r="AF394">
        <f>AND(IF(Metadata!E394="",FALSE,TRUE),OR(exact(Metadata!E394,"Plant secretion"),exact(Metadata!E394,"Plant rhizosphere"),exact(Metadata!E394,"Plant surface"),exact(Metadata!E394,"Plant corpus"),exact(Metadata!E394,"Fungus surface"),exact(Metadata!E394,"Fungus corpus"),exact(Metadata!E394,"Animal surface"),exact(Metadata!E394,"Animal proximal gut"),exact(Metadata!E394,"Animal corpus"),exact(Metadata!E394,"Animal distal gut"),exact(Metadata!E394,"Animal secretion")))</f>
        <v>0</v>
      </c>
      <c r="AG394">
        <f>OR(AND(IF(Metadata!F394="",FALSE,TRUE),OR(exact(Metadata!F394,"not collected"),exact(Metadata!F394,"not provided"),exact(Metadata!F394,"restricted access"))),AND(IF(Metadata!F394="",FALSE,TRUE),OR(exact(Metadata!F394,"organism-associated habitat"),exact(Metadata!F394,"plant-associated habitat"),exact(Metadata!F394,"animal-associated habitat"),exact(Metadata!F394,"insecta-associated habitat"),exact(Metadata!F394,"mammalia-associated habitat"),exact(Metadata!F394,"human-associated habitat"),exact(Metadata!F394,"livestock-associated habitat"))))</f>
        <v>0</v>
      </c>
      <c r="AH394">
        <f>AND(IF(Metadata!G394="",FALSE,TRUE),exact(Metadata!G394,"host-associated"))</f>
        <v>0</v>
      </c>
      <c r="AI394">
        <f>OR(AND(IF(Metadata!H394="",FALSE,TRUE),OR(exact(Metadata!H394,"not collected"),exact(Metadata!H394,"not provided"))),AND(IF(Metadata!H394="",FALSE,ISNUMBER(VALUE(Metadata!H394))),Metadata!H394&gt;0))</f>
        <v>0</v>
      </c>
      <c r="AJ394">
        <f>AND(IF(Metadata!I394="",FALSE,TRUE),exact(Metadata!I394,"years"))</f>
        <v>0</v>
      </c>
      <c r="AK394">
        <f>IF(Metadata!J394="",FALSE,TRUE)</f>
        <v>0</v>
      </c>
      <c r="AL394">
        <f>OR(AND(IF(Metadata!K394="",FALSE,TRUE),OR(exact(Metadata!K394,"not collected"),exact(Metadata!K394,"not provided"))),AND(IF(Metadata!K394="",FALSE,ISNUMBER(VALUE(Metadata!K394))),Metadata!K394&gt;0))</f>
        <v>0</v>
      </c>
      <c r="AM394">
        <f>AND(IF(Metadata!L394="",FALSE,TRUE),exact(Metadata!L394,"cm"))</f>
        <v>0</v>
      </c>
      <c r="AN394">
        <f>IF(Metadata!M394="",FALSE,TRUE)</f>
        <v>0</v>
      </c>
      <c r="AO394">
        <f>OR(AND(IF(Metadata!N394="",FALSE,TRUE),OR(exact(Metadata!N394,"not applicable"),exact(Metadata!N394,"not collected"),exact(Metadata!N394,"not provided"))),AND(IF(Metadata!N394="",FALSE,IF(ISERROR(INT(Metadata!N394)),FALSE,INT(Metadata!N394)=Metadata!N394)),Metadata!N394&gt;0))</f>
        <v>0</v>
      </c>
      <c r="AP394">
        <f>OR(AND(IF(Metadata!O394="",FALSE,TRUE),OR(exact(Metadata!O394,"not collected"),exact(Metadata!O394,"not provided"))),AND(IF(Metadata!O394="",FALSE,ISNUMBER(VALUE(Metadata!O394))),Metadata!O394&gt;0))</f>
        <v>0</v>
      </c>
      <c r="AQ394">
        <f>AND(IF(Metadata!P394="",FALSE,TRUE),exact(Metadata!P394,"kg"))</f>
        <v>0</v>
      </c>
      <c r="AR394">
        <f>OR(AND(IF(Metadata!Q394="",FALSE,TRUE),OR(exact(Metadata!Q394,"not applicable"),exact(Metadata!Q394,"not collected"),exact(Metadata!Q394,"not provided"),exact(Metadata!Q394,"restricted access"))),IF(Metadata!Q394="",FALSE,IF(ISERROR(INT(Metadata!Q394)),FALSE,INT(Metadata!Q394)=Metadata!Q394)))</f>
        <v>0</v>
      </c>
      <c r="AS394">
        <f>AND(IF(Metadata!R394="",FALSE,TRUE),exact(Metadata!R394,"Not applicable"))</f>
        <v>0</v>
      </c>
    </row>
    <row r="395" spans="1:45">
      <c r="A395" s="4">
        <f>IF(B395=" "," ",HYPERLINK(CONCATENATE("#metadata!",ADDRESS(INDEX($X$2:$X$1001,MATCH(ROWS($V$2:V395),$V$2:$V$1001,0),0),2)),INDEX($AA$2:$AA$1001,MATCH(ROWS($V$2:V395),$V$2:$V$1001,0),0)))</f>
        <v>0</v>
      </c>
      <c r="B395" s="5">
        <f>IF(OR(INDEX($W$2:$W$1001,MATCH(ROWS($V$2:V395),$V$2:$V$1001,0),1)&gt;=100000,INDEX($AC$1005:$AS$1005,1,MATCH(COLUMNS($AC$1006:AC1006),$AC$1006:$AS$1006,0))&gt;=100000), " ",IF(INDEX($AC$2:$AS$1001,MATCH(ROWS($V$2:V395),$V$2:$V$1001,0),MATCH(COLUMNS($AC$1006:AC1006),$AC$1006:$AS$1006,0)), HYPERLINK("#",""), HYPERLINK(CONCATENATE("#Metadata!", ADDRESS(INDEX($X$2:$X$1001,MATCH(ROWS($V$2:V395),$V$2:$V$1001,0),0), INDEX($AC$1004:$AS$1004,1,MATCH(COLUMNS($AC$1006:AC1006),$AC$1006:$AS$1006,0)))),"Fix")))</f>
        <v>0</v>
      </c>
      <c r="C395" s="5">
        <f>IF(OR(INDEX($W$2:$W$1001,MATCH(ROWS($V$2:V395),$V$2:$V$1001,0),1)&gt;=100000,INDEX($AC$1005:$AS$1005,1,MATCH(COLUMNS($AC$1006:AD1006),$AC$1006:$AS$1006,0))&gt;=100000), " ",IF(INDEX($AC$2:$AS$1001,MATCH(ROWS($V$2:V395),$V$2:$V$1001,0),MATCH(COLUMNS($AC$1006:AD1006),$AC$1006:$AS$1006,0)), HYPERLINK("#",""), HYPERLINK(CONCATENATE("#Metadata!", ADDRESS(INDEX($X$2:$X$1001,MATCH(ROWS($V$2:V395),$V$2:$V$1001,0),0), INDEX($AC$1004:$AS$1004,1,MATCH(COLUMNS($AC$1006:AD1006),$AC$1006:$AS$1006,0)))),"Fix")))</f>
        <v>0</v>
      </c>
      <c r="D395" s="5">
        <f>IF(OR(INDEX($W$2:$W$1001,MATCH(ROWS($V$2:V395),$V$2:$V$1001,0),1)&gt;=100000,INDEX($AC$1005:$AS$1005,1,MATCH(COLUMNS($AC$1006:AE1006),$AC$1006:$AS$1006,0))&gt;=100000), " ",IF(INDEX($AC$2:$AS$1001,MATCH(ROWS($V$2:V395),$V$2:$V$1001,0),MATCH(COLUMNS($AC$1006:AE1006),$AC$1006:$AS$1006,0)), HYPERLINK("#",""), HYPERLINK(CONCATENATE("#Metadata!", ADDRESS(INDEX($X$2:$X$1001,MATCH(ROWS($V$2:V395),$V$2:$V$1001,0),0), INDEX($AC$1004:$AS$1004,1,MATCH(COLUMNS($AC$1006:AE1006),$AC$1006:$AS$1006,0)))),"Fix")))</f>
        <v>0</v>
      </c>
      <c r="E395" s="5">
        <f>IF(OR(INDEX($W$2:$W$1001,MATCH(ROWS($V$2:V395),$V$2:$V$1001,0),1)&gt;=100000,INDEX($AC$1005:$AS$1005,1,MATCH(COLUMNS($AC$1006:AF1006),$AC$1006:$AS$1006,0))&gt;=100000), " ",IF(INDEX($AC$2:$AS$1001,MATCH(ROWS($V$2:V395),$V$2:$V$1001,0),MATCH(COLUMNS($AC$1006:AF1006),$AC$1006:$AS$1006,0)), HYPERLINK("#",""), HYPERLINK(CONCATENATE("#Metadata!", ADDRESS(INDEX($X$2:$X$1001,MATCH(ROWS($V$2:V395),$V$2:$V$1001,0),0), INDEX($AC$1004:$AS$1004,1,MATCH(COLUMNS($AC$1006:AF1006),$AC$1006:$AS$1006,0)))),"Fix")))</f>
        <v>0</v>
      </c>
      <c r="F395" s="5">
        <f>IF(OR(INDEX($W$2:$W$1001,MATCH(ROWS($V$2:V395),$V$2:$V$1001,0),1)&gt;=100000,INDEX($AC$1005:$AS$1005,1,MATCH(COLUMNS($AC$1006:AG1006),$AC$1006:$AS$1006,0))&gt;=100000), " ",IF(INDEX($AC$2:$AS$1001,MATCH(ROWS($V$2:V395),$V$2:$V$1001,0),MATCH(COLUMNS($AC$1006:AG1006),$AC$1006:$AS$1006,0)), HYPERLINK("#",""), HYPERLINK(CONCATENATE("#Metadata!", ADDRESS(INDEX($X$2:$X$1001,MATCH(ROWS($V$2:V395),$V$2:$V$1001,0),0), INDEX($AC$1004:$AS$1004,1,MATCH(COLUMNS($AC$1006:AG1006),$AC$1006:$AS$1006,0)))),"Fix")))</f>
        <v>0</v>
      </c>
      <c r="G395" s="5">
        <f>IF(OR(INDEX($W$2:$W$1001,MATCH(ROWS($V$2:V395),$V$2:$V$1001,0),1)&gt;=100000,INDEX($AC$1005:$AS$1005,1,MATCH(COLUMNS($AC$1006:AH1006),$AC$1006:$AS$1006,0))&gt;=100000), " ",IF(INDEX($AC$2:$AS$1001,MATCH(ROWS($V$2:V395),$V$2:$V$1001,0),MATCH(COLUMNS($AC$1006:AH1006),$AC$1006:$AS$1006,0)), HYPERLINK("#",""), HYPERLINK(CONCATENATE("#Metadata!", ADDRESS(INDEX($X$2:$X$1001,MATCH(ROWS($V$2:V395),$V$2:$V$1001,0),0), INDEX($AC$1004:$AS$1004,1,MATCH(COLUMNS($AC$1006:AH1006),$AC$1006:$AS$1006,0)))),"Fix")))</f>
        <v>0</v>
      </c>
      <c r="H395" s="5">
        <f>IF(OR(INDEX($W$2:$W$1001,MATCH(ROWS($V$2:V395),$V$2:$V$1001,0),1)&gt;=100000,INDEX($AC$1005:$AS$1005,1,MATCH(COLUMNS($AC$1006:AI1006),$AC$1006:$AS$1006,0))&gt;=100000), " ",IF(INDEX($AC$2:$AS$1001,MATCH(ROWS($V$2:V395),$V$2:$V$1001,0),MATCH(COLUMNS($AC$1006:AI1006),$AC$1006:$AS$1006,0)), HYPERLINK("#",""), HYPERLINK(CONCATENATE("#Metadata!", ADDRESS(INDEX($X$2:$X$1001,MATCH(ROWS($V$2:V395),$V$2:$V$1001,0),0), INDEX($AC$1004:$AS$1004,1,MATCH(COLUMNS($AC$1006:AI1006),$AC$1006:$AS$1006,0)))),"Fix")))</f>
        <v>0</v>
      </c>
      <c r="I395" s="5">
        <f>IF(OR(INDEX($W$2:$W$1001,MATCH(ROWS($V$2:V395),$V$2:$V$1001,0),1)&gt;=100000,INDEX($AC$1005:$AS$1005,1,MATCH(COLUMNS($AC$1006:AJ1006),$AC$1006:$AS$1006,0))&gt;=100000), " ",IF(INDEX($AC$2:$AS$1001,MATCH(ROWS($V$2:V395),$V$2:$V$1001,0),MATCH(COLUMNS($AC$1006:AJ1006),$AC$1006:$AS$1006,0)), HYPERLINK("#",""), HYPERLINK(CONCATENATE("#Metadata!", ADDRESS(INDEX($X$2:$X$1001,MATCH(ROWS($V$2:V395),$V$2:$V$1001,0),0), INDEX($AC$1004:$AS$1004,1,MATCH(COLUMNS($AC$1006:AJ1006),$AC$1006:$AS$1006,0)))),"Fix")))</f>
        <v>0</v>
      </c>
      <c r="J395" s="5">
        <f>IF(OR(INDEX($W$2:$W$1001,MATCH(ROWS($V$2:V395),$V$2:$V$1001,0),1)&gt;=100000,INDEX($AC$1005:$AS$1005,1,MATCH(COLUMNS($AC$1006:AK1006),$AC$1006:$AS$1006,0))&gt;=100000), " ",IF(INDEX($AC$2:$AS$1001,MATCH(ROWS($V$2:V395),$V$2:$V$1001,0),MATCH(COLUMNS($AC$1006:AK1006),$AC$1006:$AS$1006,0)), HYPERLINK("#",""), HYPERLINK(CONCATENATE("#Metadata!", ADDRESS(INDEX($X$2:$X$1001,MATCH(ROWS($V$2:V395),$V$2:$V$1001,0),0), INDEX($AC$1004:$AS$1004,1,MATCH(COLUMNS($AC$1006:AK1006),$AC$1006:$AS$1006,0)))),"Fix")))</f>
        <v>0</v>
      </c>
      <c r="K395" s="5">
        <f>IF(OR(INDEX($W$2:$W$1001,MATCH(ROWS($V$2:V395),$V$2:$V$1001,0),1)&gt;=100000,INDEX($AC$1005:$AS$1005,1,MATCH(COLUMNS($AC$1006:AL1006),$AC$1006:$AS$1006,0))&gt;=100000), " ",IF(INDEX($AC$2:$AS$1001,MATCH(ROWS($V$2:V395),$V$2:$V$1001,0),MATCH(COLUMNS($AC$1006:AL1006),$AC$1006:$AS$1006,0)), HYPERLINK("#",""), HYPERLINK(CONCATENATE("#Metadata!", ADDRESS(INDEX($X$2:$X$1001,MATCH(ROWS($V$2:V395),$V$2:$V$1001,0),0), INDEX($AC$1004:$AS$1004,1,MATCH(COLUMNS($AC$1006:AL1006),$AC$1006:$AS$1006,0)))),"Fix")))</f>
        <v>0</v>
      </c>
      <c r="L395" s="5">
        <f>IF(OR(INDEX($W$2:$W$1001,MATCH(ROWS($V$2:V395),$V$2:$V$1001,0),1)&gt;=100000,INDEX($AC$1005:$AS$1005,1,MATCH(COLUMNS($AC$1006:AM1006),$AC$1006:$AS$1006,0))&gt;=100000), " ",IF(INDEX($AC$2:$AS$1001,MATCH(ROWS($V$2:V395),$V$2:$V$1001,0),MATCH(COLUMNS($AC$1006:AM1006),$AC$1006:$AS$1006,0)), HYPERLINK("#",""), HYPERLINK(CONCATENATE("#Metadata!", ADDRESS(INDEX($X$2:$X$1001,MATCH(ROWS($V$2:V395),$V$2:$V$1001,0),0), INDEX($AC$1004:$AS$1004,1,MATCH(COLUMNS($AC$1006:AM1006),$AC$1006:$AS$1006,0)))),"Fix")))</f>
        <v>0</v>
      </c>
      <c r="M395" s="5">
        <f>IF(OR(INDEX($W$2:$W$1001,MATCH(ROWS($V$2:V395),$V$2:$V$1001,0),1)&gt;=100000,INDEX($AC$1005:$AS$1005,1,MATCH(COLUMNS($AC$1006:AN1006),$AC$1006:$AS$1006,0))&gt;=100000), " ",IF(INDEX($AC$2:$AS$1001,MATCH(ROWS($V$2:V395),$V$2:$V$1001,0),MATCH(COLUMNS($AC$1006:AN1006),$AC$1006:$AS$1006,0)), HYPERLINK("#",""), HYPERLINK(CONCATENATE("#Metadata!", ADDRESS(INDEX($X$2:$X$1001,MATCH(ROWS($V$2:V395),$V$2:$V$1001,0),0), INDEX($AC$1004:$AS$1004,1,MATCH(COLUMNS($AC$1006:AN1006),$AC$1006:$AS$1006,0)))),"Fix")))</f>
        <v>0</v>
      </c>
      <c r="N395" s="5">
        <f>IF(OR(INDEX($W$2:$W$1001,MATCH(ROWS($V$2:V395),$V$2:$V$1001,0),1)&gt;=100000,INDEX($AC$1005:$AS$1005,1,MATCH(COLUMNS($AC$1006:AO1006),$AC$1006:$AS$1006,0))&gt;=100000), " ",IF(INDEX($AC$2:$AS$1001,MATCH(ROWS($V$2:V395),$V$2:$V$1001,0),MATCH(COLUMNS($AC$1006:AO1006),$AC$1006:$AS$1006,0)), HYPERLINK("#",""), HYPERLINK(CONCATENATE("#Metadata!", ADDRESS(INDEX($X$2:$X$1001,MATCH(ROWS($V$2:V395),$V$2:$V$1001,0),0), INDEX($AC$1004:$AS$1004,1,MATCH(COLUMNS($AC$1006:AO1006),$AC$1006:$AS$1006,0)))),"Fix")))</f>
        <v>0</v>
      </c>
      <c r="O395" s="5">
        <f>IF(OR(INDEX($W$2:$W$1001,MATCH(ROWS($V$2:V395),$V$2:$V$1001,0),1)&gt;=100000,INDEX($AC$1005:$AS$1005,1,MATCH(COLUMNS($AC$1006:AP1006),$AC$1006:$AS$1006,0))&gt;=100000), " ",IF(INDEX($AC$2:$AS$1001,MATCH(ROWS($V$2:V395),$V$2:$V$1001,0),MATCH(COLUMNS($AC$1006:AP1006),$AC$1006:$AS$1006,0)), HYPERLINK("#",""), HYPERLINK(CONCATENATE("#Metadata!", ADDRESS(INDEX($X$2:$X$1001,MATCH(ROWS($V$2:V395),$V$2:$V$1001,0),0), INDEX($AC$1004:$AS$1004,1,MATCH(COLUMNS($AC$1006:AP1006),$AC$1006:$AS$1006,0)))),"Fix")))</f>
        <v>0</v>
      </c>
      <c r="P395" s="5">
        <f>IF(OR(INDEX($W$2:$W$1001,MATCH(ROWS($V$2:V395),$V$2:$V$1001,0),1)&gt;=100000,INDEX($AC$1005:$AS$1005,1,MATCH(COLUMNS($AC$1006:AQ1006),$AC$1006:$AS$1006,0))&gt;=100000), " ",IF(INDEX($AC$2:$AS$1001,MATCH(ROWS($V$2:V395),$V$2:$V$1001,0),MATCH(COLUMNS($AC$1006:AQ1006),$AC$1006:$AS$1006,0)), HYPERLINK("#",""), HYPERLINK(CONCATENATE("#Metadata!", ADDRESS(INDEX($X$2:$X$1001,MATCH(ROWS($V$2:V395),$V$2:$V$1001,0),0), INDEX($AC$1004:$AS$1004,1,MATCH(COLUMNS($AC$1006:AQ1006),$AC$1006:$AS$1006,0)))),"Fix")))</f>
        <v>0</v>
      </c>
      <c r="Q395" s="5">
        <f>IF(OR(INDEX($W$2:$W$1001,MATCH(ROWS($V$2:V395),$V$2:$V$1001,0),1)&gt;=100000,INDEX($AC$1005:$AS$1005,1,MATCH(COLUMNS($AC$1006:AR1006),$AC$1006:$AS$1006,0))&gt;=100000), " ",IF(INDEX($AC$2:$AS$1001,MATCH(ROWS($V$2:V395),$V$2:$V$1001,0),MATCH(COLUMNS($AC$1006:AR1006),$AC$1006:$AS$1006,0)), HYPERLINK("#",""), HYPERLINK(CONCATENATE("#Metadata!", ADDRESS(INDEX($X$2:$X$1001,MATCH(ROWS($V$2:V395),$V$2:$V$1001,0),0), INDEX($AC$1004:$AS$1004,1,MATCH(COLUMNS($AC$1006:AR1006),$AC$1006:$AS$1006,0)))),"Fix")))</f>
        <v>0</v>
      </c>
      <c r="R395" s="5">
        <f>IF(OR(INDEX($W$2:$W$1001,MATCH(ROWS($V$2:V395),$V$2:$V$1001,0),1)&gt;=100000,INDEX($AC$1005:$AS$1005,1,MATCH(COLUMNS($AC$1006:AS1006),$AC$1006:$AS$1006,0))&gt;=100000), " ",IF(INDEX($AC$2:$AS$1001,MATCH(ROWS($V$2:V395),$V$2:$V$1001,0),MATCH(COLUMNS($AC$1006:AS1006),$AC$1006:$AS$1006,0)), HYPERLINK("#",""), HYPERLINK(CONCATENATE("#Metadata!", ADDRESS(INDEX($X$2:$X$1001,MATCH(ROWS($V$2:V395),$V$2:$V$1001,0),0), INDEX($AC$1004:$AS$1004,1,MATCH(COLUMNS($AC$1006:AS1006),$AC$1006:$AS$1006,0)))),"Fix")))</f>
        <v>0</v>
      </c>
      <c r="V395">
        <v>0</v>
      </c>
      <c r="W395">
        <v>0</v>
      </c>
      <c r="X395">
        <v>0</v>
      </c>
      <c r="Y395">
        <f>IF(Z395,TRUE,AND(AC395:AS395))</f>
        <v>0</v>
      </c>
      <c r="Z395">
        <f>COUNTBLANK(Metadata!B395:R395)=COLUMNS(Metadata!B395:R395)</f>
        <v>0</v>
      </c>
      <c r="AA395">
        <v>0</v>
      </c>
      <c r="AC395">
        <f>AND(IF(Metadata!B395="",FALSE,TRUE),COUNTIF(Metadata!B:B, Metadata!B395) = 1,NOT(ISERROR(SUMPRODUCT(SEARCH(MID(Metadata!B395,ROW(INDIRECT("1:"&amp;LEN(Metadata!B395))), 1),"0123456789abcdefghijklmnopqrstuvwxyzABCDEFGHIJKLMNOPQRSTUVWXYZ.")))))</f>
        <v>0</v>
      </c>
      <c r="AD395">
        <f>AND(IF(Metadata!C395="",FALSE,TRUE),exact(Metadata!C395,"Host-associated"))</f>
        <v>0</v>
      </c>
      <c r="AE395">
        <f>AND(IF(Metadata!D395="",FALSE,TRUE),OR(exact(Metadata!D395,"Animal"),exact(Metadata!D395,"Fungus"),exact(Metadata!D395,"Plant")))</f>
        <v>0</v>
      </c>
      <c r="AF395">
        <f>AND(IF(Metadata!E395="",FALSE,TRUE),OR(exact(Metadata!E395,"Plant secretion"),exact(Metadata!E395,"Plant rhizosphere"),exact(Metadata!E395,"Plant surface"),exact(Metadata!E395,"Plant corpus"),exact(Metadata!E395,"Fungus surface"),exact(Metadata!E395,"Fungus corpus"),exact(Metadata!E395,"Animal surface"),exact(Metadata!E395,"Animal proximal gut"),exact(Metadata!E395,"Animal corpus"),exact(Metadata!E395,"Animal distal gut"),exact(Metadata!E395,"Animal secretion")))</f>
        <v>0</v>
      </c>
      <c r="AG395">
        <f>OR(AND(IF(Metadata!F395="",FALSE,TRUE),OR(exact(Metadata!F395,"not collected"),exact(Metadata!F395,"not provided"),exact(Metadata!F395,"restricted access"))),AND(IF(Metadata!F395="",FALSE,TRUE),OR(exact(Metadata!F395,"organism-associated habitat"),exact(Metadata!F395,"plant-associated habitat"),exact(Metadata!F395,"animal-associated habitat"),exact(Metadata!F395,"insecta-associated habitat"),exact(Metadata!F395,"mammalia-associated habitat"),exact(Metadata!F395,"human-associated habitat"),exact(Metadata!F395,"livestock-associated habitat"))))</f>
        <v>0</v>
      </c>
      <c r="AH395">
        <f>AND(IF(Metadata!G395="",FALSE,TRUE),exact(Metadata!G395,"host-associated"))</f>
        <v>0</v>
      </c>
      <c r="AI395">
        <f>OR(AND(IF(Metadata!H395="",FALSE,TRUE),OR(exact(Metadata!H395,"not collected"),exact(Metadata!H395,"not provided"))),AND(IF(Metadata!H395="",FALSE,ISNUMBER(VALUE(Metadata!H395))),Metadata!H395&gt;0))</f>
        <v>0</v>
      </c>
      <c r="AJ395">
        <f>AND(IF(Metadata!I395="",FALSE,TRUE),exact(Metadata!I395,"years"))</f>
        <v>0</v>
      </c>
      <c r="AK395">
        <f>IF(Metadata!J395="",FALSE,TRUE)</f>
        <v>0</v>
      </c>
      <c r="AL395">
        <f>OR(AND(IF(Metadata!K395="",FALSE,TRUE),OR(exact(Metadata!K395,"not collected"),exact(Metadata!K395,"not provided"))),AND(IF(Metadata!K395="",FALSE,ISNUMBER(VALUE(Metadata!K395))),Metadata!K395&gt;0))</f>
        <v>0</v>
      </c>
      <c r="AM395">
        <f>AND(IF(Metadata!L395="",FALSE,TRUE),exact(Metadata!L395,"cm"))</f>
        <v>0</v>
      </c>
      <c r="AN395">
        <f>IF(Metadata!M395="",FALSE,TRUE)</f>
        <v>0</v>
      </c>
      <c r="AO395">
        <f>OR(AND(IF(Metadata!N395="",FALSE,TRUE),OR(exact(Metadata!N395,"not applicable"),exact(Metadata!N395,"not collected"),exact(Metadata!N395,"not provided"))),AND(IF(Metadata!N395="",FALSE,IF(ISERROR(INT(Metadata!N395)),FALSE,INT(Metadata!N395)=Metadata!N395)),Metadata!N395&gt;0))</f>
        <v>0</v>
      </c>
      <c r="AP395">
        <f>OR(AND(IF(Metadata!O395="",FALSE,TRUE),OR(exact(Metadata!O395,"not collected"),exact(Metadata!O395,"not provided"))),AND(IF(Metadata!O395="",FALSE,ISNUMBER(VALUE(Metadata!O395))),Metadata!O395&gt;0))</f>
        <v>0</v>
      </c>
      <c r="AQ395">
        <f>AND(IF(Metadata!P395="",FALSE,TRUE),exact(Metadata!P395,"kg"))</f>
        <v>0</v>
      </c>
      <c r="AR395">
        <f>OR(AND(IF(Metadata!Q395="",FALSE,TRUE),OR(exact(Metadata!Q395,"not applicable"),exact(Metadata!Q395,"not collected"),exact(Metadata!Q395,"not provided"),exact(Metadata!Q395,"restricted access"))),IF(Metadata!Q395="",FALSE,IF(ISERROR(INT(Metadata!Q395)),FALSE,INT(Metadata!Q395)=Metadata!Q395)))</f>
        <v>0</v>
      </c>
      <c r="AS395">
        <f>AND(IF(Metadata!R395="",FALSE,TRUE),exact(Metadata!R395,"Not applicable"))</f>
        <v>0</v>
      </c>
    </row>
    <row r="396" spans="1:45">
      <c r="A396" s="4">
        <f>IF(B396=" "," ",HYPERLINK(CONCATENATE("#metadata!",ADDRESS(INDEX($X$2:$X$1001,MATCH(ROWS($V$2:V396),$V$2:$V$1001,0),0),2)),INDEX($AA$2:$AA$1001,MATCH(ROWS($V$2:V396),$V$2:$V$1001,0),0)))</f>
        <v>0</v>
      </c>
      <c r="B396" s="5">
        <f>IF(OR(INDEX($W$2:$W$1001,MATCH(ROWS($V$2:V396),$V$2:$V$1001,0),1)&gt;=100000,INDEX($AC$1005:$AS$1005,1,MATCH(COLUMNS($AC$1006:AC1006),$AC$1006:$AS$1006,0))&gt;=100000), " ",IF(INDEX($AC$2:$AS$1001,MATCH(ROWS($V$2:V396),$V$2:$V$1001,0),MATCH(COLUMNS($AC$1006:AC1006),$AC$1006:$AS$1006,0)), HYPERLINK("#",""), HYPERLINK(CONCATENATE("#Metadata!", ADDRESS(INDEX($X$2:$X$1001,MATCH(ROWS($V$2:V396),$V$2:$V$1001,0),0), INDEX($AC$1004:$AS$1004,1,MATCH(COLUMNS($AC$1006:AC1006),$AC$1006:$AS$1006,0)))),"Fix")))</f>
        <v>0</v>
      </c>
      <c r="C396" s="5">
        <f>IF(OR(INDEX($W$2:$W$1001,MATCH(ROWS($V$2:V396),$V$2:$V$1001,0),1)&gt;=100000,INDEX($AC$1005:$AS$1005,1,MATCH(COLUMNS($AC$1006:AD1006),$AC$1006:$AS$1006,0))&gt;=100000), " ",IF(INDEX($AC$2:$AS$1001,MATCH(ROWS($V$2:V396),$V$2:$V$1001,0),MATCH(COLUMNS($AC$1006:AD1006),$AC$1006:$AS$1006,0)), HYPERLINK("#",""), HYPERLINK(CONCATENATE("#Metadata!", ADDRESS(INDEX($X$2:$X$1001,MATCH(ROWS($V$2:V396),$V$2:$V$1001,0),0), INDEX($AC$1004:$AS$1004,1,MATCH(COLUMNS($AC$1006:AD1006),$AC$1006:$AS$1006,0)))),"Fix")))</f>
        <v>0</v>
      </c>
      <c r="D396" s="5">
        <f>IF(OR(INDEX($W$2:$W$1001,MATCH(ROWS($V$2:V396),$V$2:$V$1001,0),1)&gt;=100000,INDEX($AC$1005:$AS$1005,1,MATCH(COLUMNS($AC$1006:AE1006),$AC$1006:$AS$1006,0))&gt;=100000), " ",IF(INDEX($AC$2:$AS$1001,MATCH(ROWS($V$2:V396),$V$2:$V$1001,0),MATCH(COLUMNS($AC$1006:AE1006),$AC$1006:$AS$1006,0)), HYPERLINK("#",""), HYPERLINK(CONCATENATE("#Metadata!", ADDRESS(INDEX($X$2:$X$1001,MATCH(ROWS($V$2:V396),$V$2:$V$1001,0),0), INDEX($AC$1004:$AS$1004,1,MATCH(COLUMNS($AC$1006:AE1006),$AC$1006:$AS$1006,0)))),"Fix")))</f>
        <v>0</v>
      </c>
      <c r="E396" s="5">
        <f>IF(OR(INDEX($W$2:$W$1001,MATCH(ROWS($V$2:V396),$V$2:$V$1001,0),1)&gt;=100000,INDEX($AC$1005:$AS$1005,1,MATCH(COLUMNS($AC$1006:AF1006),$AC$1006:$AS$1006,0))&gt;=100000), " ",IF(INDEX($AC$2:$AS$1001,MATCH(ROWS($V$2:V396),$V$2:$V$1001,0),MATCH(COLUMNS($AC$1006:AF1006),$AC$1006:$AS$1006,0)), HYPERLINK("#",""), HYPERLINK(CONCATENATE("#Metadata!", ADDRESS(INDEX($X$2:$X$1001,MATCH(ROWS($V$2:V396),$V$2:$V$1001,0),0), INDEX($AC$1004:$AS$1004,1,MATCH(COLUMNS($AC$1006:AF1006),$AC$1006:$AS$1006,0)))),"Fix")))</f>
        <v>0</v>
      </c>
      <c r="F396" s="5">
        <f>IF(OR(INDEX($W$2:$W$1001,MATCH(ROWS($V$2:V396),$V$2:$V$1001,0),1)&gt;=100000,INDEX($AC$1005:$AS$1005,1,MATCH(COLUMNS($AC$1006:AG1006),$AC$1006:$AS$1006,0))&gt;=100000), " ",IF(INDEX($AC$2:$AS$1001,MATCH(ROWS($V$2:V396),$V$2:$V$1001,0),MATCH(COLUMNS($AC$1006:AG1006),$AC$1006:$AS$1006,0)), HYPERLINK("#",""), HYPERLINK(CONCATENATE("#Metadata!", ADDRESS(INDEX($X$2:$X$1001,MATCH(ROWS($V$2:V396),$V$2:$V$1001,0),0), INDEX($AC$1004:$AS$1004,1,MATCH(COLUMNS($AC$1006:AG1006),$AC$1006:$AS$1006,0)))),"Fix")))</f>
        <v>0</v>
      </c>
      <c r="G396" s="5">
        <f>IF(OR(INDEX($W$2:$W$1001,MATCH(ROWS($V$2:V396),$V$2:$V$1001,0),1)&gt;=100000,INDEX($AC$1005:$AS$1005,1,MATCH(COLUMNS($AC$1006:AH1006),$AC$1006:$AS$1006,0))&gt;=100000), " ",IF(INDEX($AC$2:$AS$1001,MATCH(ROWS($V$2:V396),$V$2:$V$1001,0),MATCH(COLUMNS($AC$1006:AH1006),$AC$1006:$AS$1006,0)), HYPERLINK("#",""), HYPERLINK(CONCATENATE("#Metadata!", ADDRESS(INDEX($X$2:$X$1001,MATCH(ROWS($V$2:V396),$V$2:$V$1001,0),0), INDEX($AC$1004:$AS$1004,1,MATCH(COLUMNS($AC$1006:AH1006),$AC$1006:$AS$1006,0)))),"Fix")))</f>
        <v>0</v>
      </c>
      <c r="H396" s="5">
        <f>IF(OR(INDEX($W$2:$W$1001,MATCH(ROWS($V$2:V396),$V$2:$V$1001,0),1)&gt;=100000,INDEX($AC$1005:$AS$1005,1,MATCH(COLUMNS($AC$1006:AI1006),$AC$1006:$AS$1006,0))&gt;=100000), " ",IF(INDEX($AC$2:$AS$1001,MATCH(ROWS($V$2:V396),$V$2:$V$1001,0),MATCH(COLUMNS($AC$1006:AI1006),$AC$1006:$AS$1006,0)), HYPERLINK("#",""), HYPERLINK(CONCATENATE("#Metadata!", ADDRESS(INDEX($X$2:$X$1001,MATCH(ROWS($V$2:V396),$V$2:$V$1001,0),0), INDEX($AC$1004:$AS$1004,1,MATCH(COLUMNS($AC$1006:AI1006),$AC$1006:$AS$1006,0)))),"Fix")))</f>
        <v>0</v>
      </c>
      <c r="I396" s="5">
        <f>IF(OR(INDEX($W$2:$W$1001,MATCH(ROWS($V$2:V396),$V$2:$V$1001,0),1)&gt;=100000,INDEX($AC$1005:$AS$1005,1,MATCH(COLUMNS($AC$1006:AJ1006),$AC$1006:$AS$1006,0))&gt;=100000), " ",IF(INDEX($AC$2:$AS$1001,MATCH(ROWS($V$2:V396),$V$2:$V$1001,0),MATCH(COLUMNS($AC$1006:AJ1006),$AC$1006:$AS$1006,0)), HYPERLINK("#",""), HYPERLINK(CONCATENATE("#Metadata!", ADDRESS(INDEX($X$2:$X$1001,MATCH(ROWS($V$2:V396),$V$2:$V$1001,0),0), INDEX($AC$1004:$AS$1004,1,MATCH(COLUMNS($AC$1006:AJ1006),$AC$1006:$AS$1006,0)))),"Fix")))</f>
        <v>0</v>
      </c>
      <c r="J396" s="5">
        <f>IF(OR(INDEX($W$2:$W$1001,MATCH(ROWS($V$2:V396),$V$2:$V$1001,0),1)&gt;=100000,INDEX($AC$1005:$AS$1005,1,MATCH(COLUMNS($AC$1006:AK1006),$AC$1006:$AS$1006,0))&gt;=100000), " ",IF(INDEX($AC$2:$AS$1001,MATCH(ROWS($V$2:V396),$V$2:$V$1001,0),MATCH(COLUMNS($AC$1006:AK1006),$AC$1006:$AS$1006,0)), HYPERLINK("#",""), HYPERLINK(CONCATENATE("#Metadata!", ADDRESS(INDEX($X$2:$X$1001,MATCH(ROWS($V$2:V396),$V$2:$V$1001,0),0), INDEX($AC$1004:$AS$1004,1,MATCH(COLUMNS($AC$1006:AK1006),$AC$1006:$AS$1006,0)))),"Fix")))</f>
        <v>0</v>
      </c>
      <c r="K396" s="5">
        <f>IF(OR(INDEX($W$2:$W$1001,MATCH(ROWS($V$2:V396),$V$2:$V$1001,0),1)&gt;=100000,INDEX($AC$1005:$AS$1005,1,MATCH(COLUMNS($AC$1006:AL1006),$AC$1006:$AS$1006,0))&gt;=100000), " ",IF(INDEX($AC$2:$AS$1001,MATCH(ROWS($V$2:V396),$V$2:$V$1001,0),MATCH(COLUMNS($AC$1006:AL1006),$AC$1006:$AS$1006,0)), HYPERLINK("#",""), HYPERLINK(CONCATENATE("#Metadata!", ADDRESS(INDEX($X$2:$X$1001,MATCH(ROWS($V$2:V396),$V$2:$V$1001,0),0), INDEX($AC$1004:$AS$1004,1,MATCH(COLUMNS($AC$1006:AL1006),$AC$1006:$AS$1006,0)))),"Fix")))</f>
        <v>0</v>
      </c>
      <c r="L396" s="5">
        <f>IF(OR(INDEX($W$2:$W$1001,MATCH(ROWS($V$2:V396),$V$2:$V$1001,0),1)&gt;=100000,INDEX($AC$1005:$AS$1005,1,MATCH(COLUMNS($AC$1006:AM1006),$AC$1006:$AS$1006,0))&gt;=100000), " ",IF(INDEX($AC$2:$AS$1001,MATCH(ROWS($V$2:V396),$V$2:$V$1001,0),MATCH(COLUMNS($AC$1006:AM1006),$AC$1006:$AS$1006,0)), HYPERLINK("#",""), HYPERLINK(CONCATENATE("#Metadata!", ADDRESS(INDEX($X$2:$X$1001,MATCH(ROWS($V$2:V396),$V$2:$V$1001,0),0), INDEX($AC$1004:$AS$1004,1,MATCH(COLUMNS($AC$1006:AM1006),$AC$1006:$AS$1006,0)))),"Fix")))</f>
        <v>0</v>
      </c>
      <c r="M396" s="5">
        <f>IF(OR(INDEX($W$2:$W$1001,MATCH(ROWS($V$2:V396),$V$2:$V$1001,0),1)&gt;=100000,INDEX($AC$1005:$AS$1005,1,MATCH(COLUMNS($AC$1006:AN1006),$AC$1006:$AS$1006,0))&gt;=100000), " ",IF(INDEX($AC$2:$AS$1001,MATCH(ROWS($V$2:V396),$V$2:$V$1001,0),MATCH(COLUMNS($AC$1006:AN1006),$AC$1006:$AS$1006,0)), HYPERLINK("#",""), HYPERLINK(CONCATENATE("#Metadata!", ADDRESS(INDEX($X$2:$X$1001,MATCH(ROWS($V$2:V396),$V$2:$V$1001,0),0), INDEX($AC$1004:$AS$1004,1,MATCH(COLUMNS($AC$1006:AN1006),$AC$1006:$AS$1006,0)))),"Fix")))</f>
        <v>0</v>
      </c>
      <c r="N396" s="5">
        <f>IF(OR(INDEX($W$2:$W$1001,MATCH(ROWS($V$2:V396),$V$2:$V$1001,0),1)&gt;=100000,INDEX($AC$1005:$AS$1005,1,MATCH(COLUMNS($AC$1006:AO1006),$AC$1006:$AS$1006,0))&gt;=100000), " ",IF(INDEX($AC$2:$AS$1001,MATCH(ROWS($V$2:V396),$V$2:$V$1001,0),MATCH(COLUMNS($AC$1006:AO1006),$AC$1006:$AS$1006,0)), HYPERLINK("#",""), HYPERLINK(CONCATENATE("#Metadata!", ADDRESS(INDEX($X$2:$X$1001,MATCH(ROWS($V$2:V396),$V$2:$V$1001,0),0), INDEX($AC$1004:$AS$1004,1,MATCH(COLUMNS($AC$1006:AO1006),$AC$1006:$AS$1006,0)))),"Fix")))</f>
        <v>0</v>
      </c>
      <c r="O396" s="5">
        <f>IF(OR(INDEX($W$2:$W$1001,MATCH(ROWS($V$2:V396),$V$2:$V$1001,0),1)&gt;=100000,INDEX($AC$1005:$AS$1005,1,MATCH(COLUMNS($AC$1006:AP1006),$AC$1006:$AS$1006,0))&gt;=100000), " ",IF(INDEX($AC$2:$AS$1001,MATCH(ROWS($V$2:V396),$V$2:$V$1001,0),MATCH(COLUMNS($AC$1006:AP1006),$AC$1006:$AS$1006,0)), HYPERLINK("#",""), HYPERLINK(CONCATENATE("#Metadata!", ADDRESS(INDEX($X$2:$X$1001,MATCH(ROWS($V$2:V396),$V$2:$V$1001,0),0), INDEX($AC$1004:$AS$1004,1,MATCH(COLUMNS($AC$1006:AP1006),$AC$1006:$AS$1006,0)))),"Fix")))</f>
        <v>0</v>
      </c>
      <c r="P396" s="5">
        <f>IF(OR(INDEX($W$2:$W$1001,MATCH(ROWS($V$2:V396),$V$2:$V$1001,0),1)&gt;=100000,INDEX($AC$1005:$AS$1005,1,MATCH(COLUMNS($AC$1006:AQ1006),$AC$1006:$AS$1006,0))&gt;=100000), " ",IF(INDEX($AC$2:$AS$1001,MATCH(ROWS($V$2:V396),$V$2:$V$1001,0),MATCH(COLUMNS($AC$1006:AQ1006),$AC$1006:$AS$1006,0)), HYPERLINK("#",""), HYPERLINK(CONCATENATE("#Metadata!", ADDRESS(INDEX($X$2:$X$1001,MATCH(ROWS($V$2:V396),$V$2:$V$1001,0),0), INDEX($AC$1004:$AS$1004,1,MATCH(COLUMNS($AC$1006:AQ1006),$AC$1006:$AS$1006,0)))),"Fix")))</f>
        <v>0</v>
      </c>
      <c r="Q396" s="5">
        <f>IF(OR(INDEX($W$2:$W$1001,MATCH(ROWS($V$2:V396),$V$2:$V$1001,0),1)&gt;=100000,INDEX($AC$1005:$AS$1005,1,MATCH(COLUMNS($AC$1006:AR1006),$AC$1006:$AS$1006,0))&gt;=100000), " ",IF(INDEX($AC$2:$AS$1001,MATCH(ROWS($V$2:V396),$V$2:$V$1001,0),MATCH(COLUMNS($AC$1006:AR1006),$AC$1006:$AS$1006,0)), HYPERLINK("#",""), HYPERLINK(CONCATENATE("#Metadata!", ADDRESS(INDEX($X$2:$X$1001,MATCH(ROWS($V$2:V396),$V$2:$V$1001,0),0), INDEX($AC$1004:$AS$1004,1,MATCH(COLUMNS($AC$1006:AR1006),$AC$1006:$AS$1006,0)))),"Fix")))</f>
        <v>0</v>
      </c>
      <c r="R396" s="5">
        <f>IF(OR(INDEX($W$2:$W$1001,MATCH(ROWS($V$2:V396),$V$2:$V$1001,0),1)&gt;=100000,INDEX($AC$1005:$AS$1005,1,MATCH(COLUMNS($AC$1006:AS1006),$AC$1006:$AS$1006,0))&gt;=100000), " ",IF(INDEX($AC$2:$AS$1001,MATCH(ROWS($V$2:V396),$V$2:$V$1001,0),MATCH(COLUMNS($AC$1006:AS1006),$AC$1006:$AS$1006,0)), HYPERLINK("#",""), HYPERLINK(CONCATENATE("#Metadata!", ADDRESS(INDEX($X$2:$X$1001,MATCH(ROWS($V$2:V396),$V$2:$V$1001,0),0), INDEX($AC$1004:$AS$1004,1,MATCH(COLUMNS($AC$1006:AS1006),$AC$1006:$AS$1006,0)))),"Fix")))</f>
        <v>0</v>
      </c>
      <c r="V396">
        <v>0</v>
      </c>
      <c r="W396">
        <v>0</v>
      </c>
      <c r="X396">
        <v>0</v>
      </c>
      <c r="Y396">
        <f>IF(Z396,TRUE,AND(AC396:AS396))</f>
        <v>0</v>
      </c>
      <c r="Z396">
        <f>COUNTBLANK(Metadata!B396:R396)=COLUMNS(Metadata!B396:R396)</f>
        <v>0</v>
      </c>
      <c r="AA396">
        <v>0</v>
      </c>
      <c r="AC396">
        <f>AND(IF(Metadata!B396="",FALSE,TRUE),COUNTIF(Metadata!B:B, Metadata!B396) = 1,NOT(ISERROR(SUMPRODUCT(SEARCH(MID(Metadata!B396,ROW(INDIRECT("1:"&amp;LEN(Metadata!B396))), 1),"0123456789abcdefghijklmnopqrstuvwxyzABCDEFGHIJKLMNOPQRSTUVWXYZ.")))))</f>
        <v>0</v>
      </c>
      <c r="AD396">
        <f>AND(IF(Metadata!C396="",FALSE,TRUE),exact(Metadata!C396,"Host-associated"))</f>
        <v>0</v>
      </c>
      <c r="AE396">
        <f>AND(IF(Metadata!D396="",FALSE,TRUE),OR(exact(Metadata!D396,"Animal"),exact(Metadata!D396,"Fungus"),exact(Metadata!D396,"Plant")))</f>
        <v>0</v>
      </c>
      <c r="AF396">
        <f>AND(IF(Metadata!E396="",FALSE,TRUE),OR(exact(Metadata!E396,"Plant secretion"),exact(Metadata!E396,"Plant rhizosphere"),exact(Metadata!E396,"Plant surface"),exact(Metadata!E396,"Plant corpus"),exact(Metadata!E396,"Fungus surface"),exact(Metadata!E396,"Fungus corpus"),exact(Metadata!E396,"Animal surface"),exact(Metadata!E396,"Animal proximal gut"),exact(Metadata!E396,"Animal corpus"),exact(Metadata!E396,"Animal distal gut"),exact(Metadata!E396,"Animal secretion")))</f>
        <v>0</v>
      </c>
      <c r="AG396">
        <f>OR(AND(IF(Metadata!F396="",FALSE,TRUE),OR(exact(Metadata!F396,"not collected"),exact(Metadata!F396,"not provided"),exact(Metadata!F396,"restricted access"))),AND(IF(Metadata!F396="",FALSE,TRUE),OR(exact(Metadata!F396,"organism-associated habitat"),exact(Metadata!F396,"plant-associated habitat"),exact(Metadata!F396,"animal-associated habitat"),exact(Metadata!F396,"insecta-associated habitat"),exact(Metadata!F396,"mammalia-associated habitat"),exact(Metadata!F396,"human-associated habitat"),exact(Metadata!F396,"livestock-associated habitat"))))</f>
        <v>0</v>
      </c>
      <c r="AH396">
        <f>AND(IF(Metadata!G396="",FALSE,TRUE),exact(Metadata!G396,"host-associated"))</f>
        <v>0</v>
      </c>
      <c r="AI396">
        <f>OR(AND(IF(Metadata!H396="",FALSE,TRUE),OR(exact(Metadata!H396,"not collected"),exact(Metadata!H396,"not provided"))),AND(IF(Metadata!H396="",FALSE,ISNUMBER(VALUE(Metadata!H396))),Metadata!H396&gt;0))</f>
        <v>0</v>
      </c>
      <c r="AJ396">
        <f>AND(IF(Metadata!I396="",FALSE,TRUE),exact(Metadata!I396,"years"))</f>
        <v>0</v>
      </c>
      <c r="AK396">
        <f>IF(Metadata!J396="",FALSE,TRUE)</f>
        <v>0</v>
      </c>
      <c r="AL396">
        <f>OR(AND(IF(Metadata!K396="",FALSE,TRUE),OR(exact(Metadata!K396,"not collected"),exact(Metadata!K396,"not provided"))),AND(IF(Metadata!K396="",FALSE,ISNUMBER(VALUE(Metadata!K396))),Metadata!K396&gt;0))</f>
        <v>0</v>
      </c>
      <c r="AM396">
        <f>AND(IF(Metadata!L396="",FALSE,TRUE),exact(Metadata!L396,"cm"))</f>
        <v>0</v>
      </c>
      <c r="AN396">
        <f>IF(Metadata!M396="",FALSE,TRUE)</f>
        <v>0</v>
      </c>
      <c r="AO396">
        <f>OR(AND(IF(Metadata!N396="",FALSE,TRUE),OR(exact(Metadata!N396,"not applicable"),exact(Metadata!N396,"not collected"),exact(Metadata!N396,"not provided"))),AND(IF(Metadata!N396="",FALSE,IF(ISERROR(INT(Metadata!N396)),FALSE,INT(Metadata!N396)=Metadata!N396)),Metadata!N396&gt;0))</f>
        <v>0</v>
      </c>
      <c r="AP396">
        <f>OR(AND(IF(Metadata!O396="",FALSE,TRUE),OR(exact(Metadata!O396,"not collected"),exact(Metadata!O396,"not provided"))),AND(IF(Metadata!O396="",FALSE,ISNUMBER(VALUE(Metadata!O396))),Metadata!O396&gt;0))</f>
        <v>0</v>
      </c>
      <c r="AQ396">
        <f>AND(IF(Metadata!P396="",FALSE,TRUE),exact(Metadata!P396,"kg"))</f>
        <v>0</v>
      </c>
      <c r="AR396">
        <f>OR(AND(IF(Metadata!Q396="",FALSE,TRUE),OR(exact(Metadata!Q396,"not applicable"),exact(Metadata!Q396,"not collected"),exact(Metadata!Q396,"not provided"),exact(Metadata!Q396,"restricted access"))),IF(Metadata!Q396="",FALSE,IF(ISERROR(INT(Metadata!Q396)),FALSE,INT(Metadata!Q396)=Metadata!Q396)))</f>
        <v>0</v>
      </c>
      <c r="AS396">
        <f>AND(IF(Metadata!R396="",FALSE,TRUE),exact(Metadata!R396,"Not applicable"))</f>
        <v>0</v>
      </c>
    </row>
    <row r="397" spans="1:45">
      <c r="A397" s="4">
        <f>IF(B397=" "," ",HYPERLINK(CONCATENATE("#metadata!",ADDRESS(INDEX($X$2:$X$1001,MATCH(ROWS($V$2:V397),$V$2:$V$1001,0),0),2)),INDEX($AA$2:$AA$1001,MATCH(ROWS($V$2:V397),$V$2:$V$1001,0),0)))</f>
        <v>0</v>
      </c>
      <c r="B397" s="5">
        <f>IF(OR(INDEX($W$2:$W$1001,MATCH(ROWS($V$2:V397),$V$2:$V$1001,0),1)&gt;=100000,INDEX($AC$1005:$AS$1005,1,MATCH(COLUMNS($AC$1006:AC1006),$AC$1006:$AS$1006,0))&gt;=100000), " ",IF(INDEX($AC$2:$AS$1001,MATCH(ROWS($V$2:V397),$V$2:$V$1001,0),MATCH(COLUMNS($AC$1006:AC1006),$AC$1006:$AS$1006,0)), HYPERLINK("#",""), HYPERLINK(CONCATENATE("#Metadata!", ADDRESS(INDEX($X$2:$X$1001,MATCH(ROWS($V$2:V397),$V$2:$V$1001,0),0), INDEX($AC$1004:$AS$1004,1,MATCH(COLUMNS($AC$1006:AC1006),$AC$1006:$AS$1006,0)))),"Fix")))</f>
        <v>0</v>
      </c>
      <c r="C397" s="5">
        <f>IF(OR(INDEX($W$2:$W$1001,MATCH(ROWS($V$2:V397),$V$2:$V$1001,0),1)&gt;=100000,INDEX($AC$1005:$AS$1005,1,MATCH(COLUMNS($AC$1006:AD1006),$AC$1006:$AS$1006,0))&gt;=100000), " ",IF(INDEX($AC$2:$AS$1001,MATCH(ROWS($V$2:V397),$V$2:$V$1001,0),MATCH(COLUMNS($AC$1006:AD1006),$AC$1006:$AS$1006,0)), HYPERLINK("#",""), HYPERLINK(CONCATENATE("#Metadata!", ADDRESS(INDEX($X$2:$X$1001,MATCH(ROWS($V$2:V397),$V$2:$V$1001,0),0), INDEX($AC$1004:$AS$1004,1,MATCH(COLUMNS($AC$1006:AD1006),$AC$1006:$AS$1006,0)))),"Fix")))</f>
        <v>0</v>
      </c>
      <c r="D397" s="5">
        <f>IF(OR(INDEX($W$2:$W$1001,MATCH(ROWS($V$2:V397),$V$2:$V$1001,0),1)&gt;=100000,INDEX($AC$1005:$AS$1005,1,MATCH(COLUMNS($AC$1006:AE1006),$AC$1006:$AS$1006,0))&gt;=100000), " ",IF(INDEX($AC$2:$AS$1001,MATCH(ROWS($V$2:V397),$V$2:$V$1001,0),MATCH(COLUMNS($AC$1006:AE1006),$AC$1006:$AS$1006,0)), HYPERLINK("#",""), HYPERLINK(CONCATENATE("#Metadata!", ADDRESS(INDEX($X$2:$X$1001,MATCH(ROWS($V$2:V397),$V$2:$V$1001,0),0), INDEX($AC$1004:$AS$1004,1,MATCH(COLUMNS($AC$1006:AE1006),$AC$1006:$AS$1006,0)))),"Fix")))</f>
        <v>0</v>
      </c>
      <c r="E397" s="5">
        <f>IF(OR(INDEX($W$2:$W$1001,MATCH(ROWS($V$2:V397),$V$2:$V$1001,0),1)&gt;=100000,INDEX($AC$1005:$AS$1005,1,MATCH(COLUMNS($AC$1006:AF1006),$AC$1006:$AS$1006,0))&gt;=100000), " ",IF(INDEX($AC$2:$AS$1001,MATCH(ROWS($V$2:V397),$V$2:$V$1001,0),MATCH(COLUMNS($AC$1006:AF1006),$AC$1006:$AS$1006,0)), HYPERLINK("#",""), HYPERLINK(CONCATENATE("#Metadata!", ADDRESS(INDEX($X$2:$X$1001,MATCH(ROWS($V$2:V397),$V$2:$V$1001,0),0), INDEX($AC$1004:$AS$1004,1,MATCH(COLUMNS($AC$1006:AF1006),$AC$1006:$AS$1006,0)))),"Fix")))</f>
        <v>0</v>
      </c>
      <c r="F397" s="5">
        <f>IF(OR(INDEX($W$2:$W$1001,MATCH(ROWS($V$2:V397),$V$2:$V$1001,0),1)&gt;=100000,INDEX($AC$1005:$AS$1005,1,MATCH(COLUMNS($AC$1006:AG1006),$AC$1006:$AS$1006,0))&gt;=100000), " ",IF(INDEX($AC$2:$AS$1001,MATCH(ROWS($V$2:V397),$V$2:$V$1001,0),MATCH(COLUMNS($AC$1006:AG1006),$AC$1006:$AS$1006,0)), HYPERLINK("#",""), HYPERLINK(CONCATENATE("#Metadata!", ADDRESS(INDEX($X$2:$X$1001,MATCH(ROWS($V$2:V397),$V$2:$V$1001,0),0), INDEX($AC$1004:$AS$1004,1,MATCH(COLUMNS($AC$1006:AG1006),$AC$1006:$AS$1006,0)))),"Fix")))</f>
        <v>0</v>
      </c>
      <c r="G397" s="5">
        <f>IF(OR(INDEX($W$2:$W$1001,MATCH(ROWS($V$2:V397),$V$2:$V$1001,0),1)&gt;=100000,INDEX($AC$1005:$AS$1005,1,MATCH(COLUMNS($AC$1006:AH1006),$AC$1006:$AS$1006,0))&gt;=100000), " ",IF(INDEX($AC$2:$AS$1001,MATCH(ROWS($V$2:V397),$V$2:$V$1001,0),MATCH(COLUMNS($AC$1006:AH1006),$AC$1006:$AS$1006,0)), HYPERLINK("#",""), HYPERLINK(CONCATENATE("#Metadata!", ADDRESS(INDEX($X$2:$X$1001,MATCH(ROWS($V$2:V397),$V$2:$V$1001,0),0), INDEX($AC$1004:$AS$1004,1,MATCH(COLUMNS($AC$1006:AH1006),$AC$1006:$AS$1006,0)))),"Fix")))</f>
        <v>0</v>
      </c>
      <c r="H397" s="5">
        <f>IF(OR(INDEX($W$2:$W$1001,MATCH(ROWS($V$2:V397),$V$2:$V$1001,0),1)&gt;=100000,INDEX($AC$1005:$AS$1005,1,MATCH(COLUMNS($AC$1006:AI1006),$AC$1006:$AS$1006,0))&gt;=100000), " ",IF(INDEX($AC$2:$AS$1001,MATCH(ROWS($V$2:V397),$V$2:$V$1001,0),MATCH(COLUMNS($AC$1006:AI1006),$AC$1006:$AS$1006,0)), HYPERLINK("#",""), HYPERLINK(CONCATENATE("#Metadata!", ADDRESS(INDEX($X$2:$X$1001,MATCH(ROWS($V$2:V397),$V$2:$V$1001,0),0), INDEX($AC$1004:$AS$1004,1,MATCH(COLUMNS($AC$1006:AI1006),$AC$1006:$AS$1006,0)))),"Fix")))</f>
        <v>0</v>
      </c>
      <c r="I397" s="5">
        <f>IF(OR(INDEX($W$2:$W$1001,MATCH(ROWS($V$2:V397),$V$2:$V$1001,0),1)&gt;=100000,INDEX($AC$1005:$AS$1005,1,MATCH(COLUMNS($AC$1006:AJ1006),$AC$1006:$AS$1006,0))&gt;=100000), " ",IF(INDEX($AC$2:$AS$1001,MATCH(ROWS($V$2:V397),$V$2:$V$1001,0),MATCH(COLUMNS($AC$1006:AJ1006),$AC$1006:$AS$1006,0)), HYPERLINK("#",""), HYPERLINK(CONCATENATE("#Metadata!", ADDRESS(INDEX($X$2:$X$1001,MATCH(ROWS($V$2:V397),$V$2:$V$1001,0),0), INDEX($AC$1004:$AS$1004,1,MATCH(COLUMNS($AC$1006:AJ1006),$AC$1006:$AS$1006,0)))),"Fix")))</f>
        <v>0</v>
      </c>
      <c r="J397" s="5">
        <f>IF(OR(INDEX($W$2:$W$1001,MATCH(ROWS($V$2:V397),$V$2:$V$1001,0),1)&gt;=100000,INDEX($AC$1005:$AS$1005,1,MATCH(COLUMNS($AC$1006:AK1006),$AC$1006:$AS$1006,0))&gt;=100000), " ",IF(INDEX($AC$2:$AS$1001,MATCH(ROWS($V$2:V397),$V$2:$V$1001,0),MATCH(COLUMNS($AC$1006:AK1006),$AC$1006:$AS$1006,0)), HYPERLINK("#",""), HYPERLINK(CONCATENATE("#Metadata!", ADDRESS(INDEX($X$2:$X$1001,MATCH(ROWS($V$2:V397),$V$2:$V$1001,0),0), INDEX($AC$1004:$AS$1004,1,MATCH(COLUMNS($AC$1006:AK1006),$AC$1006:$AS$1006,0)))),"Fix")))</f>
        <v>0</v>
      </c>
      <c r="K397" s="5">
        <f>IF(OR(INDEX($W$2:$W$1001,MATCH(ROWS($V$2:V397),$V$2:$V$1001,0),1)&gt;=100000,INDEX($AC$1005:$AS$1005,1,MATCH(COLUMNS($AC$1006:AL1006),$AC$1006:$AS$1006,0))&gt;=100000), " ",IF(INDEX($AC$2:$AS$1001,MATCH(ROWS($V$2:V397),$V$2:$V$1001,0),MATCH(COLUMNS($AC$1006:AL1006),$AC$1006:$AS$1006,0)), HYPERLINK("#",""), HYPERLINK(CONCATENATE("#Metadata!", ADDRESS(INDEX($X$2:$X$1001,MATCH(ROWS($V$2:V397),$V$2:$V$1001,0),0), INDEX($AC$1004:$AS$1004,1,MATCH(COLUMNS($AC$1006:AL1006),$AC$1006:$AS$1006,0)))),"Fix")))</f>
        <v>0</v>
      </c>
      <c r="L397" s="5">
        <f>IF(OR(INDEX($W$2:$W$1001,MATCH(ROWS($V$2:V397),$V$2:$V$1001,0),1)&gt;=100000,INDEX($AC$1005:$AS$1005,1,MATCH(COLUMNS($AC$1006:AM1006),$AC$1006:$AS$1006,0))&gt;=100000), " ",IF(INDEX($AC$2:$AS$1001,MATCH(ROWS($V$2:V397),$V$2:$V$1001,0),MATCH(COLUMNS($AC$1006:AM1006),$AC$1006:$AS$1006,0)), HYPERLINK("#",""), HYPERLINK(CONCATENATE("#Metadata!", ADDRESS(INDEX($X$2:$X$1001,MATCH(ROWS($V$2:V397),$V$2:$V$1001,0),0), INDEX($AC$1004:$AS$1004,1,MATCH(COLUMNS($AC$1006:AM1006),$AC$1006:$AS$1006,0)))),"Fix")))</f>
        <v>0</v>
      </c>
      <c r="M397" s="5">
        <f>IF(OR(INDEX($W$2:$W$1001,MATCH(ROWS($V$2:V397),$V$2:$V$1001,0),1)&gt;=100000,INDEX($AC$1005:$AS$1005,1,MATCH(COLUMNS($AC$1006:AN1006),$AC$1006:$AS$1006,0))&gt;=100000), " ",IF(INDEX($AC$2:$AS$1001,MATCH(ROWS($V$2:V397),$V$2:$V$1001,0),MATCH(COLUMNS($AC$1006:AN1006),$AC$1006:$AS$1006,0)), HYPERLINK("#",""), HYPERLINK(CONCATENATE("#Metadata!", ADDRESS(INDEX($X$2:$X$1001,MATCH(ROWS($V$2:V397),$V$2:$V$1001,0),0), INDEX($AC$1004:$AS$1004,1,MATCH(COLUMNS($AC$1006:AN1006),$AC$1006:$AS$1006,0)))),"Fix")))</f>
        <v>0</v>
      </c>
      <c r="N397" s="5">
        <f>IF(OR(INDEX($W$2:$W$1001,MATCH(ROWS($V$2:V397),$V$2:$V$1001,0),1)&gt;=100000,INDEX($AC$1005:$AS$1005,1,MATCH(COLUMNS($AC$1006:AO1006),$AC$1006:$AS$1006,0))&gt;=100000), " ",IF(INDEX($AC$2:$AS$1001,MATCH(ROWS($V$2:V397),$V$2:$V$1001,0),MATCH(COLUMNS($AC$1006:AO1006),$AC$1006:$AS$1006,0)), HYPERLINK("#",""), HYPERLINK(CONCATENATE("#Metadata!", ADDRESS(INDEX($X$2:$X$1001,MATCH(ROWS($V$2:V397),$V$2:$V$1001,0),0), INDEX($AC$1004:$AS$1004,1,MATCH(COLUMNS($AC$1006:AO1006),$AC$1006:$AS$1006,0)))),"Fix")))</f>
        <v>0</v>
      </c>
      <c r="O397" s="5">
        <f>IF(OR(INDEX($W$2:$W$1001,MATCH(ROWS($V$2:V397),$V$2:$V$1001,0),1)&gt;=100000,INDEX($AC$1005:$AS$1005,1,MATCH(COLUMNS($AC$1006:AP1006),$AC$1006:$AS$1006,0))&gt;=100000), " ",IF(INDEX($AC$2:$AS$1001,MATCH(ROWS($V$2:V397),$V$2:$V$1001,0),MATCH(COLUMNS($AC$1006:AP1006),$AC$1006:$AS$1006,0)), HYPERLINK("#",""), HYPERLINK(CONCATENATE("#Metadata!", ADDRESS(INDEX($X$2:$X$1001,MATCH(ROWS($V$2:V397),$V$2:$V$1001,0),0), INDEX($AC$1004:$AS$1004,1,MATCH(COLUMNS($AC$1006:AP1006),$AC$1006:$AS$1006,0)))),"Fix")))</f>
        <v>0</v>
      </c>
      <c r="P397" s="5">
        <f>IF(OR(INDEX($W$2:$W$1001,MATCH(ROWS($V$2:V397),$V$2:$V$1001,0),1)&gt;=100000,INDEX($AC$1005:$AS$1005,1,MATCH(COLUMNS($AC$1006:AQ1006),$AC$1006:$AS$1006,0))&gt;=100000), " ",IF(INDEX($AC$2:$AS$1001,MATCH(ROWS($V$2:V397),$V$2:$V$1001,0),MATCH(COLUMNS($AC$1006:AQ1006),$AC$1006:$AS$1006,0)), HYPERLINK("#",""), HYPERLINK(CONCATENATE("#Metadata!", ADDRESS(INDEX($X$2:$X$1001,MATCH(ROWS($V$2:V397),$V$2:$V$1001,0),0), INDEX($AC$1004:$AS$1004,1,MATCH(COLUMNS($AC$1006:AQ1006),$AC$1006:$AS$1006,0)))),"Fix")))</f>
        <v>0</v>
      </c>
      <c r="Q397" s="5">
        <f>IF(OR(INDEX($W$2:$W$1001,MATCH(ROWS($V$2:V397),$V$2:$V$1001,0),1)&gt;=100000,INDEX($AC$1005:$AS$1005,1,MATCH(COLUMNS($AC$1006:AR1006),$AC$1006:$AS$1006,0))&gt;=100000), " ",IF(INDEX($AC$2:$AS$1001,MATCH(ROWS($V$2:V397),$V$2:$V$1001,0),MATCH(COLUMNS($AC$1006:AR1006),$AC$1006:$AS$1006,0)), HYPERLINK("#",""), HYPERLINK(CONCATENATE("#Metadata!", ADDRESS(INDEX($X$2:$X$1001,MATCH(ROWS($V$2:V397),$V$2:$V$1001,0),0), INDEX($AC$1004:$AS$1004,1,MATCH(COLUMNS($AC$1006:AR1006),$AC$1006:$AS$1006,0)))),"Fix")))</f>
        <v>0</v>
      </c>
      <c r="R397" s="5">
        <f>IF(OR(INDEX($W$2:$W$1001,MATCH(ROWS($V$2:V397),$V$2:$V$1001,0),1)&gt;=100000,INDEX($AC$1005:$AS$1005,1,MATCH(COLUMNS($AC$1006:AS1006),$AC$1006:$AS$1006,0))&gt;=100000), " ",IF(INDEX($AC$2:$AS$1001,MATCH(ROWS($V$2:V397),$V$2:$V$1001,0),MATCH(COLUMNS($AC$1006:AS1006),$AC$1006:$AS$1006,0)), HYPERLINK("#",""), HYPERLINK(CONCATENATE("#Metadata!", ADDRESS(INDEX($X$2:$X$1001,MATCH(ROWS($V$2:V397),$V$2:$V$1001,0),0), INDEX($AC$1004:$AS$1004,1,MATCH(COLUMNS($AC$1006:AS1006),$AC$1006:$AS$1006,0)))),"Fix")))</f>
        <v>0</v>
      </c>
      <c r="V397">
        <v>0</v>
      </c>
      <c r="W397">
        <v>0</v>
      </c>
      <c r="X397">
        <v>0</v>
      </c>
      <c r="Y397">
        <f>IF(Z397,TRUE,AND(AC397:AS397))</f>
        <v>0</v>
      </c>
      <c r="Z397">
        <f>COUNTBLANK(Metadata!B397:R397)=COLUMNS(Metadata!B397:R397)</f>
        <v>0</v>
      </c>
      <c r="AA397">
        <v>0</v>
      </c>
      <c r="AC397">
        <f>AND(IF(Metadata!B397="",FALSE,TRUE),COUNTIF(Metadata!B:B, Metadata!B397) = 1,NOT(ISERROR(SUMPRODUCT(SEARCH(MID(Metadata!B397,ROW(INDIRECT("1:"&amp;LEN(Metadata!B397))), 1),"0123456789abcdefghijklmnopqrstuvwxyzABCDEFGHIJKLMNOPQRSTUVWXYZ.")))))</f>
        <v>0</v>
      </c>
      <c r="AD397">
        <f>AND(IF(Metadata!C397="",FALSE,TRUE),exact(Metadata!C397,"Host-associated"))</f>
        <v>0</v>
      </c>
      <c r="AE397">
        <f>AND(IF(Metadata!D397="",FALSE,TRUE),OR(exact(Metadata!D397,"Animal"),exact(Metadata!D397,"Fungus"),exact(Metadata!D397,"Plant")))</f>
        <v>0</v>
      </c>
      <c r="AF397">
        <f>AND(IF(Metadata!E397="",FALSE,TRUE),OR(exact(Metadata!E397,"Plant secretion"),exact(Metadata!E397,"Plant rhizosphere"),exact(Metadata!E397,"Plant surface"),exact(Metadata!E397,"Plant corpus"),exact(Metadata!E397,"Fungus surface"),exact(Metadata!E397,"Fungus corpus"),exact(Metadata!E397,"Animal surface"),exact(Metadata!E397,"Animal proximal gut"),exact(Metadata!E397,"Animal corpus"),exact(Metadata!E397,"Animal distal gut"),exact(Metadata!E397,"Animal secretion")))</f>
        <v>0</v>
      </c>
      <c r="AG397">
        <f>OR(AND(IF(Metadata!F397="",FALSE,TRUE),OR(exact(Metadata!F397,"not collected"),exact(Metadata!F397,"not provided"),exact(Metadata!F397,"restricted access"))),AND(IF(Metadata!F397="",FALSE,TRUE),OR(exact(Metadata!F397,"organism-associated habitat"),exact(Metadata!F397,"plant-associated habitat"),exact(Metadata!F397,"animal-associated habitat"),exact(Metadata!F397,"insecta-associated habitat"),exact(Metadata!F397,"mammalia-associated habitat"),exact(Metadata!F397,"human-associated habitat"),exact(Metadata!F397,"livestock-associated habitat"))))</f>
        <v>0</v>
      </c>
      <c r="AH397">
        <f>AND(IF(Metadata!G397="",FALSE,TRUE),exact(Metadata!G397,"host-associated"))</f>
        <v>0</v>
      </c>
      <c r="AI397">
        <f>OR(AND(IF(Metadata!H397="",FALSE,TRUE),OR(exact(Metadata!H397,"not collected"),exact(Metadata!H397,"not provided"))),AND(IF(Metadata!H397="",FALSE,ISNUMBER(VALUE(Metadata!H397))),Metadata!H397&gt;0))</f>
        <v>0</v>
      </c>
      <c r="AJ397">
        <f>AND(IF(Metadata!I397="",FALSE,TRUE),exact(Metadata!I397,"years"))</f>
        <v>0</v>
      </c>
      <c r="AK397">
        <f>IF(Metadata!J397="",FALSE,TRUE)</f>
        <v>0</v>
      </c>
      <c r="AL397">
        <f>OR(AND(IF(Metadata!K397="",FALSE,TRUE),OR(exact(Metadata!K397,"not collected"),exact(Metadata!K397,"not provided"))),AND(IF(Metadata!K397="",FALSE,ISNUMBER(VALUE(Metadata!K397))),Metadata!K397&gt;0))</f>
        <v>0</v>
      </c>
      <c r="AM397">
        <f>AND(IF(Metadata!L397="",FALSE,TRUE),exact(Metadata!L397,"cm"))</f>
        <v>0</v>
      </c>
      <c r="AN397">
        <f>IF(Metadata!M397="",FALSE,TRUE)</f>
        <v>0</v>
      </c>
      <c r="AO397">
        <f>OR(AND(IF(Metadata!N397="",FALSE,TRUE),OR(exact(Metadata!N397,"not applicable"),exact(Metadata!N397,"not collected"),exact(Metadata!N397,"not provided"))),AND(IF(Metadata!N397="",FALSE,IF(ISERROR(INT(Metadata!N397)),FALSE,INT(Metadata!N397)=Metadata!N397)),Metadata!N397&gt;0))</f>
        <v>0</v>
      </c>
      <c r="AP397">
        <f>OR(AND(IF(Metadata!O397="",FALSE,TRUE),OR(exact(Metadata!O397,"not collected"),exact(Metadata!O397,"not provided"))),AND(IF(Metadata!O397="",FALSE,ISNUMBER(VALUE(Metadata!O397))),Metadata!O397&gt;0))</f>
        <v>0</v>
      </c>
      <c r="AQ397">
        <f>AND(IF(Metadata!P397="",FALSE,TRUE),exact(Metadata!P397,"kg"))</f>
        <v>0</v>
      </c>
      <c r="AR397">
        <f>OR(AND(IF(Metadata!Q397="",FALSE,TRUE),OR(exact(Metadata!Q397,"not applicable"),exact(Metadata!Q397,"not collected"),exact(Metadata!Q397,"not provided"),exact(Metadata!Q397,"restricted access"))),IF(Metadata!Q397="",FALSE,IF(ISERROR(INT(Metadata!Q397)),FALSE,INT(Metadata!Q397)=Metadata!Q397)))</f>
        <v>0</v>
      </c>
      <c r="AS397">
        <f>AND(IF(Metadata!R397="",FALSE,TRUE),exact(Metadata!R397,"Not applicable"))</f>
        <v>0</v>
      </c>
    </row>
    <row r="398" spans="1:45">
      <c r="A398" s="4">
        <f>IF(B398=" "," ",HYPERLINK(CONCATENATE("#metadata!",ADDRESS(INDEX($X$2:$X$1001,MATCH(ROWS($V$2:V398),$V$2:$V$1001,0),0),2)),INDEX($AA$2:$AA$1001,MATCH(ROWS($V$2:V398),$V$2:$V$1001,0),0)))</f>
        <v>0</v>
      </c>
      <c r="B398" s="5">
        <f>IF(OR(INDEX($W$2:$W$1001,MATCH(ROWS($V$2:V398),$V$2:$V$1001,0),1)&gt;=100000,INDEX($AC$1005:$AS$1005,1,MATCH(COLUMNS($AC$1006:AC1006),$AC$1006:$AS$1006,0))&gt;=100000), " ",IF(INDEX($AC$2:$AS$1001,MATCH(ROWS($V$2:V398),$V$2:$V$1001,0),MATCH(COLUMNS($AC$1006:AC1006),$AC$1006:$AS$1006,0)), HYPERLINK("#",""), HYPERLINK(CONCATENATE("#Metadata!", ADDRESS(INDEX($X$2:$X$1001,MATCH(ROWS($V$2:V398),$V$2:$V$1001,0),0), INDEX($AC$1004:$AS$1004,1,MATCH(COLUMNS($AC$1006:AC1006),$AC$1006:$AS$1006,0)))),"Fix")))</f>
        <v>0</v>
      </c>
      <c r="C398" s="5">
        <f>IF(OR(INDEX($W$2:$W$1001,MATCH(ROWS($V$2:V398),$V$2:$V$1001,0),1)&gt;=100000,INDEX($AC$1005:$AS$1005,1,MATCH(COLUMNS($AC$1006:AD1006),$AC$1006:$AS$1006,0))&gt;=100000), " ",IF(INDEX($AC$2:$AS$1001,MATCH(ROWS($V$2:V398),$V$2:$V$1001,0),MATCH(COLUMNS($AC$1006:AD1006),$AC$1006:$AS$1006,0)), HYPERLINK("#",""), HYPERLINK(CONCATENATE("#Metadata!", ADDRESS(INDEX($X$2:$X$1001,MATCH(ROWS($V$2:V398),$V$2:$V$1001,0),0), INDEX($AC$1004:$AS$1004,1,MATCH(COLUMNS($AC$1006:AD1006),$AC$1006:$AS$1006,0)))),"Fix")))</f>
        <v>0</v>
      </c>
      <c r="D398" s="5">
        <f>IF(OR(INDEX($W$2:$W$1001,MATCH(ROWS($V$2:V398),$V$2:$V$1001,0),1)&gt;=100000,INDEX($AC$1005:$AS$1005,1,MATCH(COLUMNS($AC$1006:AE1006),$AC$1006:$AS$1006,0))&gt;=100000), " ",IF(INDEX($AC$2:$AS$1001,MATCH(ROWS($V$2:V398),$V$2:$V$1001,0),MATCH(COLUMNS($AC$1006:AE1006),$AC$1006:$AS$1006,0)), HYPERLINK("#",""), HYPERLINK(CONCATENATE("#Metadata!", ADDRESS(INDEX($X$2:$X$1001,MATCH(ROWS($V$2:V398),$V$2:$V$1001,0),0), INDEX($AC$1004:$AS$1004,1,MATCH(COLUMNS($AC$1006:AE1006),$AC$1006:$AS$1006,0)))),"Fix")))</f>
        <v>0</v>
      </c>
      <c r="E398" s="5">
        <f>IF(OR(INDEX($W$2:$W$1001,MATCH(ROWS($V$2:V398),$V$2:$V$1001,0),1)&gt;=100000,INDEX($AC$1005:$AS$1005,1,MATCH(COLUMNS($AC$1006:AF1006),$AC$1006:$AS$1006,0))&gt;=100000), " ",IF(INDEX($AC$2:$AS$1001,MATCH(ROWS($V$2:V398),$V$2:$V$1001,0),MATCH(COLUMNS($AC$1006:AF1006),$AC$1006:$AS$1006,0)), HYPERLINK("#",""), HYPERLINK(CONCATENATE("#Metadata!", ADDRESS(INDEX($X$2:$X$1001,MATCH(ROWS($V$2:V398),$V$2:$V$1001,0),0), INDEX($AC$1004:$AS$1004,1,MATCH(COLUMNS($AC$1006:AF1006),$AC$1006:$AS$1006,0)))),"Fix")))</f>
        <v>0</v>
      </c>
      <c r="F398" s="5">
        <f>IF(OR(INDEX($W$2:$W$1001,MATCH(ROWS($V$2:V398),$V$2:$V$1001,0),1)&gt;=100000,INDEX($AC$1005:$AS$1005,1,MATCH(COLUMNS($AC$1006:AG1006),$AC$1006:$AS$1006,0))&gt;=100000), " ",IF(INDEX($AC$2:$AS$1001,MATCH(ROWS($V$2:V398),$V$2:$V$1001,0),MATCH(COLUMNS($AC$1006:AG1006),$AC$1006:$AS$1006,0)), HYPERLINK("#",""), HYPERLINK(CONCATENATE("#Metadata!", ADDRESS(INDEX($X$2:$X$1001,MATCH(ROWS($V$2:V398),$V$2:$V$1001,0),0), INDEX($AC$1004:$AS$1004,1,MATCH(COLUMNS($AC$1006:AG1006),$AC$1006:$AS$1006,0)))),"Fix")))</f>
        <v>0</v>
      </c>
      <c r="G398" s="5">
        <f>IF(OR(INDEX($W$2:$W$1001,MATCH(ROWS($V$2:V398),$V$2:$V$1001,0),1)&gt;=100000,INDEX($AC$1005:$AS$1005,1,MATCH(COLUMNS($AC$1006:AH1006),$AC$1006:$AS$1006,0))&gt;=100000), " ",IF(INDEX($AC$2:$AS$1001,MATCH(ROWS($V$2:V398),$V$2:$V$1001,0),MATCH(COLUMNS($AC$1006:AH1006),$AC$1006:$AS$1006,0)), HYPERLINK("#",""), HYPERLINK(CONCATENATE("#Metadata!", ADDRESS(INDEX($X$2:$X$1001,MATCH(ROWS($V$2:V398),$V$2:$V$1001,0),0), INDEX($AC$1004:$AS$1004,1,MATCH(COLUMNS($AC$1006:AH1006),$AC$1006:$AS$1006,0)))),"Fix")))</f>
        <v>0</v>
      </c>
      <c r="H398" s="5">
        <f>IF(OR(INDEX($W$2:$W$1001,MATCH(ROWS($V$2:V398),$V$2:$V$1001,0),1)&gt;=100000,INDEX($AC$1005:$AS$1005,1,MATCH(COLUMNS($AC$1006:AI1006),$AC$1006:$AS$1006,0))&gt;=100000), " ",IF(INDEX($AC$2:$AS$1001,MATCH(ROWS($V$2:V398),$V$2:$V$1001,0),MATCH(COLUMNS($AC$1006:AI1006),$AC$1006:$AS$1006,0)), HYPERLINK("#",""), HYPERLINK(CONCATENATE("#Metadata!", ADDRESS(INDEX($X$2:$X$1001,MATCH(ROWS($V$2:V398),$V$2:$V$1001,0),0), INDEX($AC$1004:$AS$1004,1,MATCH(COLUMNS($AC$1006:AI1006),$AC$1006:$AS$1006,0)))),"Fix")))</f>
        <v>0</v>
      </c>
      <c r="I398" s="5">
        <f>IF(OR(INDEX($W$2:$W$1001,MATCH(ROWS($V$2:V398),$V$2:$V$1001,0),1)&gt;=100000,INDEX($AC$1005:$AS$1005,1,MATCH(COLUMNS($AC$1006:AJ1006),$AC$1006:$AS$1006,0))&gt;=100000), " ",IF(INDEX($AC$2:$AS$1001,MATCH(ROWS($V$2:V398),$V$2:$V$1001,0),MATCH(COLUMNS($AC$1006:AJ1006),$AC$1006:$AS$1006,0)), HYPERLINK("#",""), HYPERLINK(CONCATENATE("#Metadata!", ADDRESS(INDEX($X$2:$X$1001,MATCH(ROWS($V$2:V398),$V$2:$V$1001,0),0), INDEX($AC$1004:$AS$1004,1,MATCH(COLUMNS($AC$1006:AJ1006),$AC$1006:$AS$1006,0)))),"Fix")))</f>
        <v>0</v>
      </c>
      <c r="J398" s="5">
        <f>IF(OR(INDEX($W$2:$W$1001,MATCH(ROWS($V$2:V398),$V$2:$V$1001,0),1)&gt;=100000,INDEX($AC$1005:$AS$1005,1,MATCH(COLUMNS($AC$1006:AK1006),$AC$1006:$AS$1006,0))&gt;=100000), " ",IF(INDEX($AC$2:$AS$1001,MATCH(ROWS($V$2:V398),$V$2:$V$1001,0),MATCH(COLUMNS($AC$1006:AK1006),$AC$1006:$AS$1006,0)), HYPERLINK("#",""), HYPERLINK(CONCATENATE("#Metadata!", ADDRESS(INDEX($X$2:$X$1001,MATCH(ROWS($V$2:V398),$V$2:$V$1001,0),0), INDEX($AC$1004:$AS$1004,1,MATCH(COLUMNS($AC$1006:AK1006),$AC$1006:$AS$1006,0)))),"Fix")))</f>
        <v>0</v>
      </c>
      <c r="K398" s="5">
        <f>IF(OR(INDEX($W$2:$W$1001,MATCH(ROWS($V$2:V398),$V$2:$V$1001,0),1)&gt;=100000,INDEX($AC$1005:$AS$1005,1,MATCH(COLUMNS($AC$1006:AL1006),$AC$1006:$AS$1006,0))&gt;=100000), " ",IF(INDEX($AC$2:$AS$1001,MATCH(ROWS($V$2:V398),$V$2:$V$1001,0),MATCH(COLUMNS($AC$1006:AL1006),$AC$1006:$AS$1006,0)), HYPERLINK("#",""), HYPERLINK(CONCATENATE("#Metadata!", ADDRESS(INDEX($X$2:$X$1001,MATCH(ROWS($V$2:V398),$V$2:$V$1001,0),0), INDEX($AC$1004:$AS$1004,1,MATCH(COLUMNS($AC$1006:AL1006),$AC$1006:$AS$1006,0)))),"Fix")))</f>
        <v>0</v>
      </c>
      <c r="L398" s="5">
        <f>IF(OR(INDEX($W$2:$W$1001,MATCH(ROWS($V$2:V398),$V$2:$V$1001,0),1)&gt;=100000,INDEX($AC$1005:$AS$1005,1,MATCH(COLUMNS($AC$1006:AM1006),$AC$1006:$AS$1006,0))&gt;=100000), " ",IF(INDEX($AC$2:$AS$1001,MATCH(ROWS($V$2:V398),$V$2:$V$1001,0),MATCH(COLUMNS($AC$1006:AM1006),$AC$1006:$AS$1006,0)), HYPERLINK("#",""), HYPERLINK(CONCATENATE("#Metadata!", ADDRESS(INDEX($X$2:$X$1001,MATCH(ROWS($V$2:V398),$V$2:$V$1001,0),0), INDEX($AC$1004:$AS$1004,1,MATCH(COLUMNS($AC$1006:AM1006),$AC$1006:$AS$1006,0)))),"Fix")))</f>
        <v>0</v>
      </c>
      <c r="M398" s="5">
        <f>IF(OR(INDEX($W$2:$W$1001,MATCH(ROWS($V$2:V398),$V$2:$V$1001,0),1)&gt;=100000,INDEX($AC$1005:$AS$1005,1,MATCH(COLUMNS($AC$1006:AN1006),$AC$1006:$AS$1006,0))&gt;=100000), " ",IF(INDEX($AC$2:$AS$1001,MATCH(ROWS($V$2:V398),$V$2:$V$1001,0),MATCH(COLUMNS($AC$1006:AN1006),$AC$1006:$AS$1006,0)), HYPERLINK("#",""), HYPERLINK(CONCATENATE("#Metadata!", ADDRESS(INDEX($X$2:$X$1001,MATCH(ROWS($V$2:V398),$V$2:$V$1001,0),0), INDEX($AC$1004:$AS$1004,1,MATCH(COLUMNS($AC$1006:AN1006),$AC$1006:$AS$1006,0)))),"Fix")))</f>
        <v>0</v>
      </c>
      <c r="N398" s="5">
        <f>IF(OR(INDEX($W$2:$W$1001,MATCH(ROWS($V$2:V398),$V$2:$V$1001,0),1)&gt;=100000,INDEX($AC$1005:$AS$1005,1,MATCH(COLUMNS($AC$1006:AO1006),$AC$1006:$AS$1006,0))&gt;=100000), " ",IF(INDEX($AC$2:$AS$1001,MATCH(ROWS($V$2:V398),$V$2:$V$1001,0),MATCH(COLUMNS($AC$1006:AO1006),$AC$1006:$AS$1006,0)), HYPERLINK("#",""), HYPERLINK(CONCATENATE("#Metadata!", ADDRESS(INDEX($X$2:$X$1001,MATCH(ROWS($V$2:V398),$V$2:$V$1001,0),0), INDEX($AC$1004:$AS$1004,1,MATCH(COLUMNS($AC$1006:AO1006),$AC$1006:$AS$1006,0)))),"Fix")))</f>
        <v>0</v>
      </c>
      <c r="O398" s="5">
        <f>IF(OR(INDEX($W$2:$W$1001,MATCH(ROWS($V$2:V398),$V$2:$V$1001,0),1)&gt;=100000,INDEX($AC$1005:$AS$1005,1,MATCH(COLUMNS($AC$1006:AP1006),$AC$1006:$AS$1006,0))&gt;=100000), " ",IF(INDEX($AC$2:$AS$1001,MATCH(ROWS($V$2:V398),$V$2:$V$1001,0),MATCH(COLUMNS($AC$1006:AP1006),$AC$1006:$AS$1006,0)), HYPERLINK("#",""), HYPERLINK(CONCATENATE("#Metadata!", ADDRESS(INDEX($X$2:$X$1001,MATCH(ROWS($V$2:V398),$V$2:$V$1001,0),0), INDEX($AC$1004:$AS$1004,1,MATCH(COLUMNS($AC$1006:AP1006),$AC$1006:$AS$1006,0)))),"Fix")))</f>
        <v>0</v>
      </c>
      <c r="P398" s="5">
        <f>IF(OR(INDEX($W$2:$W$1001,MATCH(ROWS($V$2:V398),$V$2:$V$1001,0),1)&gt;=100000,INDEX($AC$1005:$AS$1005,1,MATCH(COLUMNS($AC$1006:AQ1006),$AC$1006:$AS$1006,0))&gt;=100000), " ",IF(INDEX($AC$2:$AS$1001,MATCH(ROWS($V$2:V398),$V$2:$V$1001,0),MATCH(COLUMNS($AC$1006:AQ1006),$AC$1006:$AS$1006,0)), HYPERLINK("#",""), HYPERLINK(CONCATENATE("#Metadata!", ADDRESS(INDEX($X$2:$X$1001,MATCH(ROWS($V$2:V398),$V$2:$V$1001,0),0), INDEX($AC$1004:$AS$1004,1,MATCH(COLUMNS($AC$1006:AQ1006),$AC$1006:$AS$1006,0)))),"Fix")))</f>
        <v>0</v>
      </c>
      <c r="Q398" s="5">
        <f>IF(OR(INDEX($W$2:$W$1001,MATCH(ROWS($V$2:V398),$V$2:$V$1001,0),1)&gt;=100000,INDEX($AC$1005:$AS$1005,1,MATCH(COLUMNS($AC$1006:AR1006),$AC$1006:$AS$1006,0))&gt;=100000), " ",IF(INDEX($AC$2:$AS$1001,MATCH(ROWS($V$2:V398),$V$2:$V$1001,0),MATCH(COLUMNS($AC$1006:AR1006),$AC$1006:$AS$1006,0)), HYPERLINK("#",""), HYPERLINK(CONCATENATE("#Metadata!", ADDRESS(INDEX($X$2:$X$1001,MATCH(ROWS($V$2:V398),$V$2:$V$1001,0),0), INDEX($AC$1004:$AS$1004,1,MATCH(COLUMNS($AC$1006:AR1006),$AC$1006:$AS$1006,0)))),"Fix")))</f>
        <v>0</v>
      </c>
      <c r="R398" s="5">
        <f>IF(OR(INDEX($W$2:$W$1001,MATCH(ROWS($V$2:V398),$V$2:$V$1001,0),1)&gt;=100000,INDEX($AC$1005:$AS$1005,1,MATCH(COLUMNS($AC$1006:AS1006),$AC$1006:$AS$1006,0))&gt;=100000), " ",IF(INDEX($AC$2:$AS$1001,MATCH(ROWS($V$2:V398),$V$2:$V$1001,0),MATCH(COLUMNS($AC$1006:AS1006),$AC$1006:$AS$1006,0)), HYPERLINK("#",""), HYPERLINK(CONCATENATE("#Metadata!", ADDRESS(INDEX($X$2:$X$1001,MATCH(ROWS($V$2:V398),$V$2:$V$1001,0),0), INDEX($AC$1004:$AS$1004,1,MATCH(COLUMNS($AC$1006:AS1006),$AC$1006:$AS$1006,0)))),"Fix")))</f>
        <v>0</v>
      </c>
      <c r="V398">
        <v>0</v>
      </c>
      <c r="W398">
        <v>0</v>
      </c>
      <c r="X398">
        <v>0</v>
      </c>
      <c r="Y398">
        <f>IF(Z398,TRUE,AND(AC398:AS398))</f>
        <v>0</v>
      </c>
      <c r="Z398">
        <f>COUNTBLANK(Metadata!B398:R398)=COLUMNS(Metadata!B398:R398)</f>
        <v>0</v>
      </c>
      <c r="AA398">
        <v>0</v>
      </c>
      <c r="AC398">
        <f>AND(IF(Metadata!B398="",FALSE,TRUE),COUNTIF(Metadata!B:B, Metadata!B398) = 1,NOT(ISERROR(SUMPRODUCT(SEARCH(MID(Metadata!B398,ROW(INDIRECT("1:"&amp;LEN(Metadata!B398))), 1),"0123456789abcdefghijklmnopqrstuvwxyzABCDEFGHIJKLMNOPQRSTUVWXYZ.")))))</f>
        <v>0</v>
      </c>
      <c r="AD398">
        <f>AND(IF(Metadata!C398="",FALSE,TRUE),exact(Metadata!C398,"Host-associated"))</f>
        <v>0</v>
      </c>
      <c r="AE398">
        <f>AND(IF(Metadata!D398="",FALSE,TRUE),OR(exact(Metadata!D398,"Animal"),exact(Metadata!D398,"Fungus"),exact(Metadata!D398,"Plant")))</f>
        <v>0</v>
      </c>
      <c r="AF398">
        <f>AND(IF(Metadata!E398="",FALSE,TRUE),OR(exact(Metadata!E398,"Plant secretion"),exact(Metadata!E398,"Plant rhizosphere"),exact(Metadata!E398,"Plant surface"),exact(Metadata!E398,"Plant corpus"),exact(Metadata!E398,"Fungus surface"),exact(Metadata!E398,"Fungus corpus"),exact(Metadata!E398,"Animal surface"),exact(Metadata!E398,"Animal proximal gut"),exact(Metadata!E398,"Animal corpus"),exact(Metadata!E398,"Animal distal gut"),exact(Metadata!E398,"Animal secretion")))</f>
        <v>0</v>
      </c>
      <c r="AG398">
        <f>OR(AND(IF(Metadata!F398="",FALSE,TRUE),OR(exact(Metadata!F398,"not collected"),exact(Metadata!F398,"not provided"),exact(Metadata!F398,"restricted access"))),AND(IF(Metadata!F398="",FALSE,TRUE),OR(exact(Metadata!F398,"organism-associated habitat"),exact(Metadata!F398,"plant-associated habitat"),exact(Metadata!F398,"animal-associated habitat"),exact(Metadata!F398,"insecta-associated habitat"),exact(Metadata!F398,"mammalia-associated habitat"),exact(Metadata!F398,"human-associated habitat"),exact(Metadata!F398,"livestock-associated habitat"))))</f>
        <v>0</v>
      </c>
      <c r="AH398">
        <f>AND(IF(Metadata!G398="",FALSE,TRUE),exact(Metadata!G398,"host-associated"))</f>
        <v>0</v>
      </c>
      <c r="AI398">
        <f>OR(AND(IF(Metadata!H398="",FALSE,TRUE),OR(exact(Metadata!H398,"not collected"),exact(Metadata!H398,"not provided"))),AND(IF(Metadata!H398="",FALSE,ISNUMBER(VALUE(Metadata!H398))),Metadata!H398&gt;0))</f>
        <v>0</v>
      </c>
      <c r="AJ398">
        <f>AND(IF(Metadata!I398="",FALSE,TRUE),exact(Metadata!I398,"years"))</f>
        <v>0</v>
      </c>
      <c r="AK398">
        <f>IF(Metadata!J398="",FALSE,TRUE)</f>
        <v>0</v>
      </c>
      <c r="AL398">
        <f>OR(AND(IF(Metadata!K398="",FALSE,TRUE),OR(exact(Metadata!K398,"not collected"),exact(Metadata!K398,"not provided"))),AND(IF(Metadata!K398="",FALSE,ISNUMBER(VALUE(Metadata!K398))),Metadata!K398&gt;0))</f>
        <v>0</v>
      </c>
      <c r="AM398">
        <f>AND(IF(Metadata!L398="",FALSE,TRUE),exact(Metadata!L398,"cm"))</f>
        <v>0</v>
      </c>
      <c r="AN398">
        <f>IF(Metadata!M398="",FALSE,TRUE)</f>
        <v>0</v>
      </c>
      <c r="AO398">
        <f>OR(AND(IF(Metadata!N398="",FALSE,TRUE),OR(exact(Metadata!N398,"not applicable"),exact(Metadata!N398,"not collected"),exact(Metadata!N398,"not provided"))),AND(IF(Metadata!N398="",FALSE,IF(ISERROR(INT(Metadata!N398)),FALSE,INT(Metadata!N398)=Metadata!N398)),Metadata!N398&gt;0))</f>
        <v>0</v>
      </c>
      <c r="AP398">
        <f>OR(AND(IF(Metadata!O398="",FALSE,TRUE),OR(exact(Metadata!O398,"not collected"),exact(Metadata!O398,"not provided"))),AND(IF(Metadata!O398="",FALSE,ISNUMBER(VALUE(Metadata!O398))),Metadata!O398&gt;0))</f>
        <v>0</v>
      </c>
      <c r="AQ398">
        <f>AND(IF(Metadata!P398="",FALSE,TRUE),exact(Metadata!P398,"kg"))</f>
        <v>0</v>
      </c>
      <c r="AR398">
        <f>OR(AND(IF(Metadata!Q398="",FALSE,TRUE),OR(exact(Metadata!Q398,"not applicable"),exact(Metadata!Q398,"not collected"),exact(Metadata!Q398,"not provided"),exact(Metadata!Q398,"restricted access"))),IF(Metadata!Q398="",FALSE,IF(ISERROR(INT(Metadata!Q398)),FALSE,INT(Metadata!Q398)=Metadata!Q398)))</f>
        <v>0</v>
      </c>
      <c r="AS398">
        <f>AND(IF(Metadata!R398="",FALSE,TRUE),exact(Metadata!R398,"Not applicable"))</f>
        <v>0</v>
      </c>
    </row>
    <row r="399" spans="1:45">
      <c r="A399" s="4">
        <f>IF(B399=" "," ",HYPERLINK(CONCATENATE("#metadata!",ADDRESS(INDEX($X$2:$X$1001,MATCH(ROWS($V$2:V399),$V$2:$V$1001,0),0),2)),INDEX($AA$2:$AA$1001,MATCH(ROWS($V$2:V399),$V$2:$V$1001,0),0)))</f>
        <v>0</v>
      </c>
      <c r="B399" s="5">
        <f>IF(OR(INDEX($W$2:$W$1001,MATCH(ROWS($V$2:V399),$V$2:$V$1001,0),1)&gt;=100000,INDEX($AC$1005:$AS$1005,1,MATCH(COLUMNS($AC$1006:AC1006),$AC$1006:$AS$1006,0))&gt;=100000), " ",IF(INDEX($AC$2:$AS$1001,MATCH(ROWS($V$2:V399),$V$2:$V$1001,0),MATCH(COLUMNS($AC$1006:AC1006),$AC$1006:$AS$1006,0)), HYPERLINK("#",""), HYPERLINK(CONCATENATE("#Metadata!", ADDRESS(INDEX($X$2:$X$1001,MATCH(ROWS($V$2:V399),$V$2:$V$1001,0),0), INDEX($AC$1004:$AS$1004,1,MATCH(COLUMNS($AC$1006:AC1006),$AC$1006:$AS$1006,0)))),"Fix")))</f>
        <v>0</v>
      </c>
      <c r="C399" s="5">
        <f>IF(OR(INDEX($W$2:$W$1001,MATCH(ROWS($V$2:V399),$V$2:$V$1001,0),1)&gt;=100000,INDEX($AC$1005:$AS$1005,1,MATCH(COLUMNS($AC$1006:AD1006),$AC$1006:$AS$1006,0))&gt;=100000), " ",IF(INDEX($AC$2:$AS$1001,MATCH(ROWS($V$2:V399),$V$2:$V$1001,0),MATCH(COLUMNS($AC$1006:AD1006),$AC$1006:$AS$1006,0)), HYPERLINK("#",""), HYPERLINK(CONCATENATE("#Metadata!", ADDRESS(INDEX($X$2:$X$1001,MATCH(ROWS($V$2:V399),$V$2:$V$1001,0),0), INDEX($AC$1004:$AS$1004,1,MATCH(COLUMNS($AC$1006:AD1006),$AC$1006:$AS$1006,0)))),"Fix")))</f>
        <v>0</v>
      </c>
      <c r="D399" s="5">
        <f>IF(OR(INDEX($W$2:$W$1001,MATCH(ROWS($V$2:V399),$V$2:$V$1001,0),1)&gt;=100000,INDEX($AC$1005:$AS$1005,1,MATCH(COLUMNS($AC$1006:AE1006),$AC$1006:$AS$1006,0))&gt;=100000), " ",IF(INDEX($AC$2:$AS$1001,MATCH(ROWS($V$2:V399),$V$2:$V$1001,0),MATCH(COLUMNS($AC$1006:AE1006),$AC$1006:$AS$1006,0)), HYPERLINK("#",""), HYPERLINK(CONCATENATE("#Metadata!", ADDRESS(INDEX($X$2:$X$1001,MATCH(ROWS($V$2:V399),$V$2:$V$1001,0),0), INDEX($AC$1004:$AS$1004,1,MATCH(COLUMNS($AC$1006:AE1006),$AC$1006:$AS$1006,0)))),"Fix")))</f>
        <v>0</v>
      </c>
      <c r="E399" s="5">
        <f>IF(OR(INDEX($W$2:$W$1001,MATCH(ROWS($V$2:V399),$V$2:$V$1001,0),1)&gt;=100000,INDEX($AC$1005:$AS$1005,1,MATCH(COLUMNS($AC$1006:AF1006),$AC$1006:$AS$1006,0))&gt;=100000), " ",IF(INDEX($AC$2:$AS$1001,MATCH(ROWS($V$2:V399),$V$2:$V$1001,0),MATCH(COLUMNS($AC$1006:AF1006),$AC$1006:$AS$1006,0)), HYPERLINK("#",""), HYPERLINK(CONCATENATE("#Metadata!", ADDRESS(INDEX($X$2:$X$1001,MATCH(ROWS($V$2:V399),$V$2:$V$1001,0),0), INDEX($AC$1004:$AS$1004,1,MATCH(COLUMNS($AC$1006:AF1006),$AC$1006:$AS$1006,0)))),"Fix")))</f>
        <v>0</v>
      </c>
      <c r="F399" s="5">
        <f>IF(OR(INDEX($W$2:$W$1001,MATCH(ROWS($V$2:V399),$V$2:$V$1001,0),1)&gt;=100000,INDEX($AC$1005:$AS$1005,1,MATCH(COLUMNS($AC$1006:AG1006),$AC$1006:$AS$1006,0))&gt;=100000), " ",IF(INDEX($AC$2:$AS$1001,MATCH(ROWS($V$2:V399),$V$2:$V$1001,0),MATCH(COLUMNS($AC$1006:AG1006),$AC$1006:$AS$1006,0)), HYPERLINK("#",""), HYPERLINK(CONCATENATE("#Metadata!", ADDRESS(INDEX($X$2:$X$1001,MATCH(ROWS($V$2:V399),$V$2:$V$1001,0),0), INDEX($AC$1004:$AS$1004,1,MATCH(COLUMNS($AC$1006:AG1006),$AC$1006:$AS$1006,0)))),"Fix")))</f>
        <v>0</v>
      </c>
      <c r="G399" s="5">
        <f>IF(OR(INDEX($W$2:$W$1001,MATCH(ROWS($V$2:V399),$V$2:$V$1001,0),1)&gt;=100000,INDEX($AC$1005:$AS$1005,1,MATCH(COLUMNS($AC$1006:AH1006),$AC$1006:$AS$1006,0))&gt;=100000), " ",IF(INDEX($AC$2:$AS$1001,MATCH(ROWS($V$2:V399),$V$2:$V$1001,0),MATCH(COLUMNS($AC$1006:AH1006),$AC$1006:$AS$1006,0)), HYPERLINK("#",""), HYPERLINK(CONCATENATE("#Metadata!", ADDRESS(INDEX($X$2:$X$1001,MATCH(ROWS($V$2:V399),$V$2:$V$1001,0),0), INDEX($AC$1004:$AS$1004,1,MATCH(COLUMNS($AC$1006:AH1006),$AC$1006:$AS$1006,0)))),"Fix")))</f>
        <v>0</v>
      </c>
      <c r="H399" s="5">
        <f>IF(OR(INDEX($W$2:$W$1001,MATCH(ROWS($V$2:V399),$V$2:$V$1001,0),1)&gt;=100000,INDEX($AC$1005:$AS$1005,1,MATCH(COLUMNS($AC$1006:AI1006),$AC$1006:$AS$1006,0))&gt;=100000), " ",IF(INDEX($AC$2:$AS$1001,MATCH(ROWS($V$2:V399),$V$2:$V$1001,0),MATCH(COLUMNS($AC$1006:AI1006),$AC$1006:$AS$1006,0)), HYPERLINK("#",""), HYPERLINK(CONCATENATE("#Metadata!", ADDRESS(INDEX($X$2:$X$1001,MATCH(ROWS($V$2:V399),$V$2:$V$1001,0),0), INDEX($AC$1004:$AS$1004,1,MATCH(COLUMNS($AC$1006:AI1006),$AC$1006:$AS$1006,0)))),"Fix")))</f>
        <v>0</v>
      </c>
      <c r="I399" s="5">
        <f>IF(OR(INDEX($W$2:$W$1001,MATCH(ROWS($V$2:V399),$V$2:$V$1001,0),1)&gt;=100000,INDEX($AC$1005:$AS$1005,1,MATCH(COLUMNS($AC$1006:AJ1006),$AC$1006:$AS$1006,0))&gt;=100000), " ",IF(INDEX($AC$2:$AS$1001,MATCH(ROWS($V$2:V399),$V$2:$V$1001,0),MATCH(COLUMNS($AC$1006:AJ1006),$AC$1006:$AS$1006,0)), HYPERLINK("#",""), HYPERLINK(CONCATENATE("#Metadata!", ADDRESS(INDEX($X$2:$X$1001,MATCH(ROWS($V$2:V399),$V$2:$V$1001,0),0), INDEX($AC$1004:$AS$1004,1,MATCH(COLUMNS($AC$1006:AJ1006),$AC$1006:$AS$1006,0)))),"Fix")))</f>
        <v>0</v>
      </c>
      <c r="J399" s="5">
        <f>IF(OR(INDEX($W$2:$W$1001,MATCH(ROWS($V$2:V399),$V$2:$V$1001,0),1)&gt;=100000,INDEX($AC$1005:$AS$1005,1,MATCH(COLUMNS($AC$1006:AK1006),$AC$1006:$AS$1006,0))&gt;=100000), " ",IF(INDEX($AC$2:$AS$1001,MATCH(ROWS($V$2:V399),$V$2:$V$1001,0),MATCH(COLUMNS($AC$1006:AK1006),$AC$1006:$AS$1006,0)), HYPERLINK("#",""), HYPERLINK(CONCATENATE("#Metadata!", ADDRESS(INDEX($X$2:$X$1001,MATCH(ROWS($V$2:V399),$V$2:$V$1001,0),0), INDEX($AC$1004:$AS$1004,1,MATCH(COLUMNS($AC$1006:AK1006),$AC$1006:$AS$1006,0)))),"Fix")))</f>
        <v>0</v>
      </c>
      <c r="K399" s="5">
        <f>IF(OR(INDEX($W$2:$W$1001,MATCH(ROWS($V$2:V399),$V$2:$V$1001,0),1)&gt;=100000,INDEX($AC$1005:$AS$1005,1,MATCH(COLUMNS($AC$1006:AL1006),$AC$1006:$AS$1006,0))&gt;=100000), " ",IF(INDEX($AC$2:$AS$1001,MATCH(ROWS($V$2:V399),$V$2:$V$1001,0),MATCH(COLUMNS($AC$1006:AL1006),$AC$1006:$AS$1006,0)), HYPERLINK("#",""), HYPERLINK(CONCATENATE("#Metadata!", ADDRESS(INDEX($X$2:$X$1001,MATCH(ROWS($V$2:V399),$V$2:$V$1001,0),0), INDEX($AC$1004:$AS$1004,1,MATCH(COLUMNS($AC$1006:AL1006),$AC$1006:$AS$1006,0)))),"Fix")))</f>
        <v>0</v>
      </c>
      <c r="L399" s="5">
        <f>IF(OR(INDEX($W$2:$W$1001,MATCH(ROWS($V$2:V399),$V$2:$V$1001,0),1)&gt;=100000,INDEX($AC$1005:$AS$1005,1,MATCH(COLUMNS($AC$1006:AM1006),$AC$1006:$AS$1006,0))&gt;=100000), " ",IF(INDEX($AC$2:$AS$1001,MATCH(ROWS($V$2:V399),$V$2:$V$1001,0),MATCH(COLUMNS($AC$1006:AM1006),$AC$1006:$AS$1006,0)), HYPERLINK("#",""), HYPERLINK(CONCATENATE("#Metadata!", ADDRESS(INDEX($X$2:$X$1001,MATCH(ROWS($V$2:V399),$V$2:$V$1001,0),0), INDEX($AC$1004:$AS$1004,1,MATCH(COLUMNS($AC$1006:AM1006),$AC$1006:$AS$1006,0)))),"Fix")))</f>
        <v>0</v>
      </c>
      <c r="M399" s="5">
        <f>IF(OR(INDEX($W$2:$W$1001,MATCH(ROWS($V$2:V399),$V$2:$V$1001,0),1)&gt;=100000,INDEX($AC$1005:$AS$1005,1,MATCH(COLUMNS($AC$1006:AN1006),$AC$1006:$AS$1006,0))&gt;=100000), " ",IF(INDEX($AC$2:$AS$1001,MATCH(ROWS($V$2:V399),$V$2:$V$1001,0),MATCH(COLUMNS($AC$1006:AN1006),$AC$1006:$AS$1006,0)), HYPERLINK("#",""), HYPERLINK(CONCATENATE("#Metadata!", ADDRESS(INDEX($X$2:$X$1001,MATCH(ROWS($V$2:V399),$V$2:$V$1001,0),0), INDEX($AC$1004:$AS$1004,1,MATCH(COLUMNS($AC$1006:AN1006),$AC$1006:$AS$1006,0)))),"Fix")))</f>
        <v>0</v>
      </c>
      <c r="N399" s="5">
        <f>IF(OR(INDEX($W$2:$W$1001,MATCH(ROWS($V$2:V399),$V$2:$V$1001,0),1)&gt;=100000,INDEX($AC$1005:$AS$1005,1,MATCH(COLUMNS($AC$1006:AO1006),$AC$1006:$AS$1006,0))&gt;=100000), " ",IF(INDEX($AC$2:$AS$1001,MATCH(ROWS($V$2:V399),$V$2:$V$1001,0),MATCH(COLUMNS($AC$1006:AO1006),$AC$1006:$AS$1006,0)), HYPERLINK("#",""), HYPERLINK(CONCATENATE("#Metadata!", ADDRESS(INDEX($X$2:$X$1001,MATCH(ROWS($V$2:V399),$V$2:$V$1001,0),0), INDEX($AC$1004:$AS$1004,1,MATCH(COLUMNS($AC$1006:AO1006),$AC$1006:$AS$1006,0)))),"Fix")))</f>
        <v>0</v>
      </c>
      <c r="O399" s="5">
        <f>IF(OR(INDEX($W$2:$W$1001,MATCH(ROWS($V$2:V399),$V$2:$V$1001,0),1)&gt;=100000,INDEX($AC$1005:$AS$1005,1,MATCH(COLUMNS($AC$1006:AP1006),$AC$1006:$AS$1006,0))&gt;=100000), " ",IF(INDEX($AC$2:$AS$1001,MATCH(ROWS($V$2:V399),$V$2:$V$1001,0),MATCH(COLUMNS($AC$1006:AP1006),$AC$1006:$AS$1006,0)), HYPERLINK("#",""), HYPERLINK(CONCATENATE("#Metadata!", ADDRESS(INDEX($X$2:$X$1001,MATCH(ROWS($V$2:V399),$V$2:$V$1001,0),0), INDEX($AC$1004:$AS$1004,1,MATCH(COLUMNS($AC$1006:AP1006),$AC$1006:$AS$1006,0)))),"Fix")))</f>
        <v>0</v>
      </c>
      <c r="P399" s="5">
        <f>IF(OR(INDEX($W$2:$W$1001,MATCH(ROWS($V$2:V399),$V$2:$V$1001,0),1)&gt;=100000,INDEX($AC$1005:$AS$1005,1,MATCH(COLUMNS($AC$1006:AQ1006),$AC$1006:$AS$1006,0))&gt;=100000), " ",IF(INDEX($AC$2:$AS$1001,MATCH(ROWS($V$2:V399),$V$2:$V$1001,0),MATCH(COLUMNS($AC$1006:AQ1006),$AC$1006:$AS$1006,0)), HYPERLINK("#",""), HYPERLINK(CONCATENATE("#Metadata!", ADDRESS(INDEX($X$2:$X$1001,MATCH(ROWS($V$2:V399),$V$2:$V$1001,0),0), INDEX($AC$1004:$AS$1004,1,MATCH(COLUMNS($AC$1006:AQ1006),$AC$1006:$AS$1006,0)))),"Fix")))</f>
        <v>0</v>
      </c>
      <c r="Q399" s="5">
        <f>IF(OR(INDEX($W$2:$W$1001,MATCH(ROWS($V$2:V399),$V$2:$V$1001,0),1)&gt;=100000,INDEX($AC$1005:$AS$1005,1,MATCH(COLUMNS($AC$1006:AR1006),$AC$1006:$AS$1006,0))&gt;=100000), " ",IF(INDEX($AC$2:$AS$1001,MATCH(ROWS($V$2:V399),$V$2:$V$1001,0),MATCH(COLUMNS($AC$1006:AR1006),$AC$1006:$AS$1006,0)), HYPERLINK("#",""), HYPERLINK(CONCATENATE("#Metadata!", ADDRESS(INDEX($X$2:$X$1001,MATCH(ROWS($V$2:V399),$V$2:$V$1001,0),0), INDEX($AC$1004:$AS$1004,1,MATCH(COLUMNS($AC$1006:AR1006),$AC$1006:$AS$1006,0)))),"Fix")))</f>
        <v>0</v>
      </c>
      <c r="R399" s="5">
        <f>IF(OR(INDEX($W$2:$W$1001,MATCH(ROWS($V$2:V399),$V$2:$V$1001,0),1)&gt;=100000,INDEX($AC$1005:$AS$1005,1,MATCH(COLUMNS($AC$1006:AS1006),$AC$1006:$AS$1006,0))&gt;=100000), " ",IF(INDEX($AC$2:$AS$1001,MATCH(ROWS($V$2:V399),$V$2:$V$1001,0),MATCH(COLUMNS($AC$1006:AS1006),$AC$1006:$AS$1006,0)), HYPERLINK("#",""), HYPERLINK(CONCATENATE("#Metadata!", ADDRESS(INDEX($X$2:$X$1001,MATCH(ROWS($V$2:V399),$V$2:$V$1001,0),0), INDEX($AC$1004:$AS$1004,1,MATCH(COLUMNS($AC$1006:AS1006),$AC$1006:$AS$1006,0)))),"Fix")))</f>
        <v>0</v>
      </c>
      <c r="V399">
        <v>0</v>
      </c>
      <c r="W399">
        <v>0</v>
      </c>
      <c r="X399">
        <v>0</v>
      </c>
      <c r="Y399">
        <f>IF(Z399,TRUE,AND(AC399:AS399))</f>
        <v>0</v>
      </c>
      <c r="Z399">
        <f>COUNTBLANK(Metadata!B399:R399)=COLUMNS(Metadata!B399:R399)</f>
        <v>0</v>
      </c>
      <c r="AA399">
        <v>0</v>
      </c>
      <c r="AC399">
        <f>AND(IF(Metadata!B399="",FALSE,TRUE),COUNTIF(Metadata!B:B, Metadata!B399) = 1,NOT(ISERROR(SUMPRODUCT(SEARCH(MID(Metadata!B399,ROW(INDIRECT("1:"&amp;LEN(Metadata!B399))), 1),"0123456789abcdefghijklmnopqrstuvwxyzABCDEFGHIJKLMNOPQRSTUVWXYZ.")))))</f>
        <v>0</v>
      </c>
      <c r="AD399">
        <f>AND(IF(Metadata!C399="",FALSE,TRUE),exact(Metadata!C399,"Host-associated"))</f>
        <v>0</v>
      </c>
      <c r="AE399">
        <f>AND(IF(Metadata!D399="",FALSE,TRUE),OR(exact(Metadata!D399,"Animal"),exact(Metadata!D399,"Fungus"),exact(Metadata!D399,"Plant")))</f>
        <v>0</v>
      </c>
      <c r="AF399">
        <f>AND(IF(Metadata!E399="",FALSE,TRUE),OR(exact(Metadata!E399,"Plant secretion"),exact(Metadata!E399,"Plant rhizosphere"),exact(Metadata!E399,"Plant surface"),exact(Metadata!E399,"Plant corpus"),exact(Metadata!E399,"Fungus surface"),exact(Metadata!E399,"Fungus corpus"),exact(Metadata!E399,"Animal surface"),exact(Metadata!E399,"Animal proximal gut"),exact(Metadata!E399,"Animal corpus"),exact(Metadata!E399,"Animal distal gut"),exact(Metadata!E399,"Animal secretion")))</f>
        <v>0</v>
      </c>
      <c r="AG399">
        <f>OR(AND(IF(Metadata!F399="",FALSE,TRUE),OR(exact(Metadata!F399,"not collected"),exact(Metadata!F399,"not provided"),exact(Metadata!F399,"restricted access"))),AND(IF(Metadata!F399="",FALSE,TRUE),OR(exact(Metadata!F399,"organism-associated habitat"),exact(Metadata!F399,"plant-associated habitat"),exact(Metadata!F399,"animal-associated habitat"),exact(Metadata!F399,"insecta-associated habitat"),exact(Metadata!F399,"mammalia-associated habitat"),exact(Metadata!F399,"human-associated habitat"),exact(Metadata!F399,"livestock-associated habitat"))))</f>
        <v>0</v>
      </c>
      <c r="AH399">
        <f>AND(IF(Metadata!G399="",FALSE,TRUE),exact(Metadata!G399,"host-associated"))</f>
        <v>0</v>
      </c>
      <c r="AI399">
        <f>OR(AND(IF(Metadata!H399="",FALSE,TRUE),OR(exact(Metadata!H399,"not collected"),exact(Metadata!H399,"not provided"))),AND(IF(Metadata!H399="",FALSE,ISNUMBER(VALUE(Metadata!H399))),Metadata!H399&gt;0))</f>
        <v>0</v>
      </c>
      <c r="AJ399">
        <f>AND(IF(Metadata!I399="",FALSE,TRUE),exact(Metadata!I399,"years"))</f>
        <v>0</v>
      </c>
      <c r="AK399">
        <f>IF(Metadata!J399="",FALSE,TRUE)</f>
        <v>0</v>
      </c>
      <c r="AL399">
        <f>OR(AND(IF(Metadata!K399="",FALSE,TRUE),OR(exact(Metadata!K399,"not collected"),exact(Metadata!K399,"not provided"))),AND(IF(Metadata!K399="",FALSE,ISNUMBER(VALUE(Metadata!K399))),Metadata!K399&gt;0))</f>
        <v>0</v>
      </c>
      <c r="AM399">
        <f>AND(IF(Metadata!L399="",FALSE,TRUE),exact(Metadata!L399,"cm"))</f>
        <v>0</v>
      </c>
      <c r="AN399">
        <f>IF(Metadata!M399="",FALSE,TRUE)</f>
        <v>0</v>
      </c>
      <c r="AO399">
        <f>OR(AND(IF(Metadata!N399="",FALSE,TRUE),OR(exact(Metadata!N399,"not applicable"),exact(Metadata!N399,"not collected"),exact(Metadata!N399,"not provided"))),AND(IF(Metadata!N399="",FALSE,IF(ISERROR(INT(Metadata!N399)),FALSE,INT(Metadata!N399)=Metadata!N399)),Metadata!N399&gt;0))</f>
        <v>0</v>
      </c>
      <c r="AP399">
        <f>OR(AND(IF(Metadata!O399="",FALSE,TRUE),OR(exact(Metadata!O399,"not collected"),exact(Metadata!O399,"not provided"))),AND(IF(Metadata!O399="",FALSE,ISNUMBER(VALUE(Metadata!O399))),Metadata!O399&gt;0))</f>
        <v>0</v>
      </c>
      <c r="AQ399">
        <f>AND(IF(Metadata!P399="",FALSE,TRUE),exact(Metadata!P399,"kg"))</f>
        <v>0</v>
      </c>
      <c r="AR399">
        <f>OR(AND(IF(Metadata!Q399="",FALSE,TRUE),OR(exact(Metadata!Q399,"not applicable"),exact(Metadata!Q399,"not collected"),exact(Metadata!Q399,"not provided"),exact(Metadata!Q399,"restricted access"))),IF(Metadata!Q399="",FALSE,IF(ISERROR(INT(Metadata!Q399)),FALSE,INT(Metadata!Q399)=Metadata!Q399)))</f>
        <v>0</v>
      </c>
      <c r="AS399">
        <f>AND(IF(Metadata!R399="",FALSE,TRUE),exact(Metadata!R399,"Not applicable"))</f>
        <v>0</v>
      </c>
    </row>
    <row r="400" spans="1:45">
      <c r="A400" s="4">
        <f>IF(B400=" "," ",HYPERLINK(CONCATENATE("#metadata!",ADDRESS(INDEX($X$2:$X$1001,MATCH(ROWS($V$2:V400),$V$2:$V$1001,0),0),2)),INDEX($AA$2:$AA$1001,MATCH(ROWS($V$2:V400),$V$2:$V$1001,0),0)))</f>
        <v>0</v>
      </c>
      <c r="B400" s="5">
        <f>IF(OR(INDEX($W$2:$W$1001,MATCH(ROWS($V$2:V400),$V$2:$V$1001,0),1)&gt;=100000,INDEX($AC$1005:$AS$1005,1,MATCH(COLUMNS($AC$1006:AC1006),$AC$1006:$AS$1006,0))&gt;=100000), " ",IF(INDEX($AC$2:$AS$1001,MATCH(ROWS($V$2:V400),$V$2:$V$1001,0),MATCH(COLUMNS($AC$1006:AC1006),$AC$1006:$AS$1006,0)), HYPERLINK("#",""), HYPERLINK(CONCATENATE("#Metadata!", ADDRESS(INDEX($X$2:$X$1001,MATCH(ROWS($V$2:V400),$V$2:$V$1001,0),0), INDEX($AC$1004:$AS$1004,1,MATCH(COLUMNS($AC$1006:AC1006),$AC$1006:$AS$1006,0)))),"Fix")))</f>
        <v>0</v>
      </c>
      <c r="C400" s="5">
        <f>IF(OR(INDEX($W$2:$W$1001,MATCH(ROWS($V$2:V400),$V$2:$V$1001,0),1)&gt;=100000,INDEX($AC$1005:$AS$1005,1,MATCH(COLUMNS($AC$1006:AD1006),$AC$1006:$AS$1006,0))&gt;=100000), " ",IF(INDEX($AC$2:$AS$1001,MATCH(ROWS($V$2:V400),$V$2:$V$1001,0),MATCH(COLUMNS($AC$1006:AD1006),$AC$1006:$AS$1006,0)), HYPERLINK("#",""), HYPERLINK(CONCATENATE("#Metadata!", ADDRESS(INDEX($X$2:$X$1001,MATCH(ROWS($V$2:V400),$V$2:$V$1001,0),0), INDEX($AC$1004:$AS$1004,1,MATCH(COLUMNS($AC$1006:AD1006),$AC$1006:$AS$1006,0)))),"Fix")))</f>
        <v>0</v>
      </c>
      <c r="D400" s="5">
        <f>IF(OR(INDEX($W$2:$W$1001,MATCH(ROWS($V$2:V400),$V$2:$V$1001,0),1)&gt;=100000,INDEX($AC$1005:$AS$1005,1,MATCH(COLUMNS($AC$1006:AE1006),$AC$1006:$AS$1006,0))&gt;=100000), " ",IF(INDEX($AC$2:$AS$1001,MATCH(ROWS($V$2:V400),$V$2:$V$1001,0),MATCH(COLUMNS($AC$1006:AE1006),$AC$1006:$AS$1006,0)), HYPERLINK("#",""), HYPERLINK(CONCATENATE("#Metadata!", ADDRESS(INDEX($X$2:$X$1001,MATCH(ROWS($V$2:V400),$V$2:$V$1001,0),0), INDEX($AC$1004:$AS$1004,1,MATCH(COLUMNS($AC$1006:AE1006),$AC$1006:$AS$1006,0)))),"Fix")))</f>
        <v>0</v>
      </c>
      <c r="E400" s="5">
        <f>IF(OR(INDEX($W$2:$W$1001,MATCH(ROWS($V$2:V400),$V$2:$V$1001,0),1)&gt;=100000,INDEX($AC$1005:$AS$1005,1,MATCH(COLUMNS($AC$1006:AF1006),$AC$1006:$AS$1006,0))&gt;=100000), " ",IF(INDEX($AC$2:$AS$1001,MATCH(ROWS($V$2:V400),$V$2:$V$1001,0),MATCH(COLUMNS($AC$1006:AF1006),$AC$1006:$AS$1006,0)), HYPERLINK("#",""), HYPERLINK(CONCATENATE("#Metadata!", ADDRESS(INDEX($X$2:$X$1001,MATCH(ROWS($V$2:V400),$V$2:$V$1001,0),0), INDEX($AC$1004:$AS$1004,1,MATCH(COLUMNS($AC$1006:AF1006),$AC$1006:$AS$1006,0)))),"Fix")))</f>
        <v>0</v>
      </c>
      <c r="F400" s="5">
        <f>IF(OR(INDEX($W$2:$W$1001,MATCH(ROWS($V$2:V400),$V$2:$V$1001,0),1)&gt;=100000,INDEX($AC$1005:$AS$1005,1,MATCH(COLUMNS($AC$1006:AG1006),$AC$1006:$AS$1006,0))&gt;=100000), " ",IF(INDEX($AC$2:$AS$1001,MATCH(ROWS($V$2:V400),$V$2:$V$1001,0),MATCH(COLUMNS($AC$1006:AG1006),$AC$1006:$AS$1006,0)), HYPERLINK("#",""), HYPERLINK(CONCATENATE("#Metadata!", ADDRESS(INDEX($X$2:$X$1001,MATCH(ROWS($V$2:V400),$V$2:$V$1001,0),0), INDEX($AC$1004:$AS$1004,1,MATCH(COLUMNS($AC$1006:AG1006),$AC$1006:$AS$1006,0)))),"Fix")))</f>
        <v>0</v>
      </c>
      <c r="G400" s="5">
        <f>IF(OR(INDEX($W$2:$W$1001,MATCH(ROWS($V$2:V400),$V$2:$V$1001,0),1)&gt;=100000,INDEX($AC$1005:$AS$1005,1,MATCH(COLUMNS($AC$1006:AH1006),$AC$1006:$AS$1006,0))&gt;=100000), " ",IF(INDEX($AC$2:$AS$1001,MATCH(ROWS($V$2:V400),$V$2:$V$1001,0),MATCH(COLUMNS($AC$1006:AH1006),$AC$1006:$AS$1006,0)), HYPERLINK("#",""), HYPERLINK(CONCATENATE("#Metadata!", ADDRESS(INDEX($X$2:$X$1001,MATCH(ROWS($V$2:V400),$V$2:$V$1001,0),0), INDEX($AC$1004:$AS$1004,1,MATCH(COLUMNS($AC$1006:AH1006),$AC$1006:$AS$1006,0)))),"Fix")))</f>
        <v>0</v>
      </c>
      <c r="H400" s="5">
        <f>IF(OR(INDEX($W$2:$W$1001,MATCH(ROWS($V$2:V400),$V$2:$V$1001,0),1)&gt;=100000,INDEX($AC$1005:$AS$1005,1,MATCH(COLUMNS($AC$1006:AI1006),$AC$1006:$AS$1006,0))&gt;=100000), " ",IF(INDEX($AC$2:$AS$1001,MATCH(ROWS($V$2:V400),$V$2:$V$1001,0),MATCH(COLUMNS($AC$1006:AI1006),$AC$1006:$AS$1006,0)), HYPERLINK("#",""), HYPERLINK(CONCATENATE("#Metadata!", ADDRESS(INDEX($X$2:$X$1001,MATCH(ROWS($V$2:V400),$V$2:$V$1001,0),0), INDEX($AC$1004:$AS$1004,1,MATCH(COLUMNS($AC$1006:AI1006),$AC$1006:$AS$1006,0)))),"Fix")))</f>
        <v>0</v>
      </c>
      <c r="I400" s="5">
        <f>IF(OR(INDEX($W$2:$W$1001,MATCH(ROWS($V$2:V400),$V$2:$V$1001,0),1)&gt;=100000,INDEX($AC$1005:$AS$1005,1,MATCH(COLUMNS($AC$1006:AJ1006),$AC$1006:$AS$1006,0))&gt;=100000), " ",IF(INDEX($AC$2:$AS$1001,MATCH(ROWS($V$2:V400),$V$2:$V$1001,0),MATCH(COLUMNS($AC$1006:AJ1006),$AC$1006:$AS$1006,0)), HYPERLINK("#",""), HYPERLINK(CONCATENATE("#Metadata!", ADDRESS(INDEX($X$2:$X$1001,MATCH(ROWS($V$2:V400),$V$2:$V$1001,0),0), INDEX($AC$1004:$AS$1004,1,MATCH(COLUMNS($AC$1006:AJ1006),$AC$1006:$AS$1006,0)))),"Fix")))</f>
        <v>0</v>
      </c>
      <c r="J400" s="5">
        <f>IF(OR(INDEX($W$2:$W$1001,MATCH(ROWS($V$2:V400),$V$2:$V$1001,0),1)&gt;=100000,INDEX($AC$1005:$AS$1005,1,MATCH(COLUMNS($AC$1006:AK1006),$AC$1006:$AS$1006,0))&gt;=100000), " ",IF(INDEX($AC$2:$AS$1001,MATCH(ROWS($V$2:V400),$V$2:$V$1001,0),MATCH(COLUMNS($AC$1006:AK1006),$AC$1006:$AS$1006,0)), HYPERLINK("#",""), HYPERLINK(CONCATENATE("#Metadata!", ADDRESS(INDEX($X$2:$X$1001,MATCH(ROWS($V$2:V400),$V$2:$V$1001,0),0), INDEX($AC$1004:$AS$1004,1,MATCH(COLUMNS($AC$1006:AK1006),$AC$1006:$AS$1006,0)))),"Fix")))</f>
        <v>0</v>
      </c>
      <c r="K400" s="5">
        <f>IF(OR(INDEX($W$2:$W$1001,MATCH(ROWS($V$2:V400),$V$2:$V$1001,0),1)&gt;=100000,INDEX($AC$1005:$AS$1005,1,MATCH(COLUMNS($AC$1006:AL1006),$AC$1006:$AS$1006,0))&gt;=100000), " ",IF(INDEX($AC$2:$AS$1001,MATCH(ROWS($V$2:V400),$V$2:$V$1001,0),MATCH(COLUMNS($AC$1006:AL1006),$AC$1006:$AS$1006,0)), HYPERLINK("#",""), HYPERLINK(CONCATENATE("#Metadata!", ADDRESS(INDEX($X$2:$X$1001,MATCH(ROWS($V$2:V400),$V$2:$V$1001,0),0), INDEX($AC$1004:$AS$1004,1,MATCH(COLUMNS($AC$1006:AL1006),$AC$1006:$AS$1006,0)))),"Fix")))</f>
        <v>0</v>
      </c>
      <c r="L400" s="5">
        <f>IF(OR(INDEX($W$2:$W$1001,MATCH(ROWS($V$2:V400),$V$2:$V$1001,0),1)&gt;=100000,INDEX($AC$1005:$AS$1005,1,MATCH(COLUMNS($AC$1006:AM1006),$AC$1006:$AS$1006,0))&gt;=100000), " ",IF(INDEX($AC$2:$AS$1001,MATCH(ROWS($V$2:V400),$V$2:$V$1001,0),MATCH(COLUMNS($AC$1006:AM1006),$AC$1006:$AS$1006,0)), HYPERLINK("#",""), HYPERLINK(CONCATENATE("#Metadata!", ADDRESS(INDEX($X$2:$X$1001,MATCH(ROWS($V$2:V400),$V$2:$V$1001,0),0), INDEX($AC$1004:$AS$1004,1,MATCH(COLUMNS($AC$1006:AM1006),$AC$1006:$AS$1006,0)))),"Fix")))</f>
        <v>0</v>
      </c>
      <c r="M400" s="5">
        <f>IF(OR(INDEX($W$2:$W$1001,MATCH(ROWS($V$2:V400),$V$2:$V$1001,0),1)&gt;=100000,INDEX($AC$1005:$AS$1005,1,MATCH(COLUMNS($AC$1006:AN1006),$AC$1006:$AS$1006,0))&gt;=100000), " ",IF(INDEX($AC$2:$AS$1001,MATCH(ROWS($V$2:V400),$V$2:$V$1001,0),MATCH(COLUMNS($AC$1006:AN1006),$AC$1006:$AS$1006,0)), HYPERLINK("#",""), HYPERLINK(CONCATENATE("#Metadata!", ADDRESS(INDEX($X$2:$X$1001,MATCH(ROWS($V$2:V400),$V$2:$V$1001,0),0), INDEX($AC$1004:$AS$1004,1,MATCH(COLUMNS($AC$1006:AN1006),$AC$1006:$AS$1006,0)))),"Fix")))</f>
        <v>0</v>
      </c>
      <c r="N400" s="5">
        <f>IF(OR(INDEX($W$2:$W$1001,MATCH(ROWS($V$2:V400),$V$2:$V$1001,0),1)&gt;=100000,INDEX($AC$1005:$AS$1005,1,MATCH(COLUMNS($AC$1006:AO1006),$AC$1006:$AS$1006,0))&gt;=100000), " ",IF(INDEX($AC$2:$AS$1001,MATCH(ROWS($V$2:V400),$V$2:$V$1001,0),MATCH(COLUMNS($AC$1006:AO1006),$AC$1006:$AS$1006,0)), HYPERLINK("#",""), HYPERLINK(CONCATENATE("#Metadata!", ADDRESS(INDEX($X$2:$X$1001,MATCH(ROWS($V$2:V400),$V$2:$V$1001,0),0), INDEX($AC$1004:$AS$1004,1,MATCH(COLUMNS($AC$1006:AO1006),$AC$1006:$AS$1006,0)))),"Fix")))</f>
        <v>0</v>
      </c>
      <c r="O400" s="5">
        <f>IF(OR(INDEX($W$2:$W$1001,MATCH(ROWS($V$2:V400),$V$2:$V$1001,0),1)&gt;=100000,INDEX($AC$1005:$AS$1005,1,MATCH(COLUMNS($AC$1006:AP1006),$AC$1006:$AS$1006,0))&gt;=100000), " ",IF(INDEX($AC$2:$AS$1001,MATCH(ROWS($V$2:V400),$V$2:$V$1001,0),MATCH(COLUMNS($AC$1006:AP1006),$AC$1006:$AS$1006,0)), HYPERLINK("#",""), HYPERLINK(CONCATENATE("#Metadata!", ADDRESS(INDEX($X$2:$X$1001,MATCH(ROWS($V$2:V400),$V$2:$V$1001,0),0), INDEX($AC$1004:$AS$1004,1,MATCH(COLUMNS($AC$1006:AP1006),$AC$1006:$AS$1006,0)))),"Fix")))</f>
        <v>0</v>
      </c>
      <c r="P400" s="5">
        <f>IF(OR(INDEX($W$2:$W$1001,MATCH(ROWS($V$2:V400),$V$2:$V$1001,0),1)&gt;=100000,INDEX($AC$1005:$AS$1005,1,MATCH(COLUMNS($AC$1006:AQ1006),$AC$1006:$AS$1006,0))&gt;=100000), " ",IF(INDEX($AC$2:$AS$1001,MATCH(ROWS($V$2:V400),$V$2:$V$1001,0),MATCH(COLUMNS($AC$1006:AQ1006),$AC$1006:$AS$1006,0)), HYPERLINK("#",""), HYPERLINK(CONCATENATE("#Metadata!", ADDRESS(INDEX($X$2:$X$1001,MATCH(ROWS($V$2:V400),$V$2:$V$1001,0),0), INDEX($AC$1004:$AS$1004,1,MATCH(COLUMNS($AC$1006:AQ1006),$AC$1006:$AS$1006,0)))),"Fix")))</f>
        <v>0</v>
      </c>
      <c r="Q400" s="5">
        <f>IF(OR(INDEX($W$2:$W$1001,MATCH(ROWS($V$2:V400),$V$2:$V$1001,0),1)&gt;=100000,INDEX($AC$1005:$AS$1005,1,MATCH(COLUMNS($AC$1006:AR1006),$AC$1006:$AS$1006,0))&gt;=100000), " ",IF(INDEX($AC$2:$AS$1001,MATCH(ROWS($V$2:V400),$V$2:$V$1001,0),MATCH(COLUMNS($AC$1006:AR1006),$AC$1006:$AS$1006,0)), HYPERLINK("#",""), HYPERLINK(CONCATENATE("#Metadata!", ADDRESS(INDEX($X$2:$X$1001,MATCH(ROWS($V$2:V400),$V$2:$V$1001,0),0), INDEX($AC$1004:$AS$1004,1,MATCH(COLUMNS($AC$1006:AR1006),$AC$1006:$AS$1006,0)))),"Fix")))</f>
        <v>0</v>
      </c>
      <c r="R400" s="5">
        <f>IF(OR(INDEX($W$2:$W$1001,MATCH(ROWS($V$2:V400),$V$2:$V$1001,0),1)&gt;=100000,INDEX($AC$1005:$AS$1005,1,MATCH(COLUMNS($AC$1006:AS1006),$AC$1006:$AS$1006,0))&gt;=100000), " ",IF(INDEX($AC$2:$AS$1001,MATCH(ROWS($V$2:V400),$V$2:$V$1001,0),MATCH(COLUMNS($AC$1006:AS1006),$AC$1006:$AS$1006,0)), HYPERLINK("#",""), HYPERLINK(CONCATENATE("#Metadata!", ADDRESS(INDEX($X$2:$X$1001,MATCH(ROWS($V$2:V400),$V$2:$V$1001,0),0), INDEX($AC$1004:$AS$1004,1,MATCH(COLUMNS($AC$1006:AS1006),$AC$1006:$AS$1006,0)))),"Fix")))</f>
        <v>0</v>
      </c>
      <c r="V400">
        <v>0</v>
      </c>
      <c r="W400">
        <v>0</v>
      </c>
      <c r="X400">
        <v>0</v>
      </c>
      <c r="Y400">
        <f>IF(Z400,TRUE,AND(AC400:AS400))</f>
        <v>0</v>
      </c>
      <c r="Z400">
        <f>COUNTBLANK(Metadata!B400:R400)=COLUMNS(Metadata!B400:R400)</f>
        <v>0</v>
      </c>
      <c r="AA400">
        <v>0</v>
      </c>
      <c r="AC400">
        <f>AND(IF(Metadata!B400="",FALSE,TRUE),COUNTIF(Metadata!B:B, Metadata!B400) = 1,NOT(ISERROR(SUMPRODUCT(SEARCH(MID(Metadata!B400,ROW(INDIRECT("1:"&amp;LEN(Metadata!B400))), 1),"0123456789abcdefghijklmnopqrstuvwxyzABCDEFGHIJKLMNOPQRSTUVWXYZ.")))))</f>
        <v>0</v>
      </c>
      <c r="AD400">
        <f>AND(IF(Metadata!C400="",FALSE,TRUE),exact(Metadata!C400,"Host-associated"))</f>
        <v>0</v>
      </c>
      <c r="AE400">
        <f>AND(IF(Metadata!D400="",FALSE,TRUE),OR(exact(Metadata!D400,"Animal"),exact(Metadata!D400,"Fungus"),exact(Metadata!D400,"Plant")))</f>
        <v>0</v>
      </c>
      <c r="AF400">
        <f>AND(IF(Metadata!E400="",FALSE,TRUE),OR(exact(Metadata!E400,"Plant secretion"),exact(Metadata!E400,"Plant rhizosphere"),exact(Metadata!E400,"Plant surface"),exact(Metadata!E400,"Plant corpus"),exact(Metadata!E400,"Fungus surface"),exact(Metadata!E400,"Fungus corpus"),exact(Metadata!E400,"Animal surface"),exact(Metadata!E400,"Animal proximal gut"),exact(Metadata!E400,"Animal corpus"),exact(Metadata!E400,"Animal distal gut"),exact(Metadata!E400,"Animal secretion")))</f>
        <v>0</v>
      </c>
      <c r="AG400">
        <f>OR(AND(IF(Metadata!F400="",FALSE,TRUE),OR(exact(Metadata!F400,"not collected"),exact(Metadata!F400,"not provided"),exact(Metadata!F400,"restricted access"))),AND(IF(Metadata!F400="",FALSE,TRUE),OR(exact(Metadata!F400,"organism-associated habitat"),exact(Metadata!F400,"plant-associated habitat"),exact(Metadata!F400,"animal-associated habitat"),exact(Metadata!F400,"insecta-associated habitat"),exact(Metadata!F400,"mammalia-associated habitat"),exact(Metadata!F400,"human-associated habitat"),exact(Metadata!F400,"livestock-associated habitat"))))</f>
        <v>0</v>
      </c>
      <c r="AH400">
        <f>AND(IF(Metadata!G400="",FALSE,TRUE),exact(Metadata!G400,"host-associated"))</f>
        <v>0</v>
      </c>
      <c r="AI400">
        <f>OR(AND(IF(Metadata!H400="",FALSE,TRUE),OR(exact(Metadata!H400,"not collected"),exact(Metadata!H400,"not provided"))),AND(IF(Metadata!H400="",FALSE,ISNUMBER(VALUE(Metadata!H400))),Metadata!H400&gt;0))</f>
        <v>0</v>
      </c>
      <c r="AJ400">
        <f>AND(IF(Metadata!I400="",FALSE,TRUE),exact(Metadata!I400,"years"))</f>
        <v>0</v>
      </c>
      <c r="AK400">
        <f>IF(Metadata!J400="",FALSE,TRUE)</f>
        <v>0</v>
      </c>
      <c r="AL400">
        <f>OR(AND(IF(Metadata!K400="",FALSE,TRUE),OR(exact(Metadata!K400,"not collected"),exact(Metadata!K400,"not provided"))),AND(IF(Metadata!K400="",FALSE,ISNUMBER(VALUE(Metadata!K400))),Metadata!K400&gt;0))</f>
        <v>0</v>
      </c>
      <c r="AM400">
        <f>AND(IF(Metadata!L400="",FALSE,TRUE),exact(Metadata!L400,"cm"))</f>
        <v>0</v>
      </c>
      <c r="AN400">
        <f>IF(Metadata!M400="",FALSE,TRUE)</f>
        <v>0</v>
      </c>
      <c r="AO400">
        <f>OR(AND(IF(Metadata!N400="",FALSE,TRUE),OR(exact(Metadata!N400,"not applicable"),exact(Metadata!N400,"not collected"),exact(Metadata!N400,"not provided"))),AND(IF(Metadata!N400="",FALSE,IF(ISERROR(INT(Metadata!N400)),FALSE,INT(Metadata!N400)=Metadata!N400)),Metadata!N400&gt;0))</f>
        <v>0</v>
      </c>
      <c r="AP400">
        <f>OR(AND(IF(Metadata!O400="",FALSE,TRUE),OR(exact(Metadata!O400,"not collected"),exact(Metadata!O400,"not provided"))),AND(IF(Metadata!O400="",FALSE,ISNUMBER(VALUE(Metadata!O400))),Metadata!O400&gt;0))</f>
        <v>0</v>
      </c>
      <c r="AQ400">
        <f>AND(IF(Metadata!P400="",FALSE,TRUE),exact(Metadata!P400,"kg"))</f>
        <v>0</v>
      </c>
      <c r="AR400">
        <f>OR(AND(IF(Metadata!Q400="",FALSE,TRUE),OR(exact(Metadata!Q400,"not applicable"),exact(Metadata!Q400,"not collected"),exact(Metadata!Q400,"not provided"),exact(Metadata!Q400,"restricted access"))),IF(Metadata!Q400="",FALSE,IF(ISERROR(INT(Metadata!Q400)),FALSE,INT(Metadata!Q400)=Metadata!Q400)))</f>
        <v>0</v>
      </c>
      <c r="AS400">
        <f>AND(IF(Metadata!R400="",FALSE,TRUE),exact(Metadata!R400,"Not applicable"))</f>
        <v>0</v>
      </c>
    </row>
    <row r="401" spans="1:45">
      <c r="A401" s="4">
        <f>IF(B401=" "," ",HYPERLINK(CONCATENATE("#metadata!",ADDRESS(INDEX($X$2:$X$1001,MATCH(ROWS($V$2:V401),$V$2:$V$1001,0),0),2)),INDEX($AA$2:$AA$1001,MATCH(ROWS($V$2:V401),$V$2:$V$1001,0),0)))</f>
        <v>0</v>
      </c>
      <c r="B401" s="5">
        <f>IF(OR(INDEX($W$2:$W$1001,MATCH(ROWS($V$2:V401),$V$2:$V$1001,0),1)&gt;=100000,INDEX($AC$1005:$AS$1005,1,MATCH(COLUMNS($AC$1006:AC1006),$AC$1006:$AS$1006,0))&gt;=100000), " ",IF(INDEX($AC$2:$AS$1001,MATCH(ROWS($V$2:V401),$V$2:$V$1001,0),MATCH(COLUMNS($AC$1006:AC1006),$AC$1006:$AS$1006,0)), HYPERLINK("#",""), HYPERLINK(CONCATENATE("#Metadata!", ADDRESS(INDEX($X$2:$X$1001,MATCH(ROWS($V$2:V401),$V$2:$V$1001,0),0), INDEX($AC$1004:$AS$1004,1,MATCH(COLUMNS($AC$1006:AC1006),$AC$1006:$AS$1006,0)))),"Fix")))</f>
        <v>0</v>
      </c>
      <c r="C401" s="5">
        <f>IF(OR(INDEX($W$2:$W$1001,MATCH(ROWS($V$2:V401),$V$2:$V$1001,0),1)&gt;=100000,INDEX($AC$1005:$AS$1005,1,MATCH(COLUMNS($AC$1006:AD1006),$AC$1006:$AS$1006,0))&gt;=100000), " ",IF(INDEX($AC$2:$AS$1001,MATCH(ROWS($V$2:V401),$V$2:$V$1001,0),MATCH(COLUMNS($AC$1006:AD1006),$AC$1006:$AS$1006,0)), HYPERLINK("#",""), HYPERLINK(CONCATENATE("#Metadata!", ADDRESS(INDEX($X$2:$X$1001,MATCH(ROWS($V$2:V401),$V$2:$V$1001,0),0), INDEX($AC$1004:$AS$1004,1,MATCH(COLUMNS($AC$1006:AD1006),$AC$1006:$AS$1006,0)))),"Fix")))</f>
        <v>0</v>
      </c>
      <c r="D401" s="5">
        <f>IF(OR(INDEX($W$2:$W$1001,MATCH(ROWS($V$2:V401),$V$2:$V$1001,0),1)&gt;=100000,INDEX($AC$1005:$AS$1005,1,MATCH(COLUMNS($AC$1006:AE1006),$AC$1006:$AS$1006,0))&gt;=100000), " ",IF(INDEX($AC$2:$AS$1001,MATCH(ROWS($V$2:V401),$V$2:$V$1001,0),MATCH(COLUMNS($AC$1006:AE1006),$AC$1006:$AS$1006,0)), HYPERLINK("#",""), HYPERLINK(CONCATENATE("#Metadata!", ADDRESS(INDEX($X$2:$X$1001,MATCH(ROWS($V$2:V401),$V$2:$V$1001,0),0), INDEX($AC$1004:$AS$1004,1,MATCH(COLUMNS($AC$1006:AE1006),$AC$1006:$AS$1006,0)))),"Fix")))</f>
        <v>0</v>
      </c>
      <c r="E401" s="5">
        <f>IF(OR(INDEX($W$2:$W$1001,MATCH(ROWS($V$2:V401),$V$2:$V$1001,0),1)&gt;=100000,INDEX($AC$1005:$AS$1005,1,MATCH(COLUMNS($AC$1006:AF1006),$AC$1006:$AS$1006,0))&gt;=100000), " ",IF(INDEX($AC$2:$AS$1001,MATCH(ROWS($V$2:V401),$V$2:$V$1001,0),MATCH(COLUMNS($AC$1006:AF1006),$AC$1006:$AS$1006,0)), HYPERLINK("#",""), HYPERLINK(CONCATENATE("#Metadata!", ADDRESS(INDEX($X$2:$X$1001,MATCH(ROWS($V$2:V401),$V$2:$V$1001,0),0), INDEX($AC$1004:$AS$1004,1,MATCH(COLUMNS($AC$1006:AF1006),$AC$1006:$AS$1006,0)))),"Fix")))</f>
        <v>0</v>
      </c>
      <c r="F401" s="5">
        <f>IF(OR(INDEX($W$2:$W$1001,MATCH(ROWS($V$2:V401),$V$2:$V$1001,0),1)&gt;=100000,INDEX($AC$1005:$AS$1005,1,MATCH(COLUMNS($AC$1006:AG1006),$AC$1006:$AS$1006,0))&gt;=100000), " ",IF(INDEX($AC$2:$AS$1001,MATCH(ROWS($V$2:V401),$V$2:$V$1001,0),MATCH(COLUMNS($AC$1006:AG1006),$AC$1006:$AS$1006,0)), HYPERLINK("#",""), HYPERLINK(CONCATENATE("#Metadata!", ADDRESS(INDEX($X$2:$X$1001,MATCH(ROWS($V$2:V401),$V$2:$V$1001,0),0), INDEX($AC$1004:$AS$1004,1,MATCH(COLUMNS($AC$1006:AG1006),$AC$1006:$AS$1006,0)))),"Fix")))</f>
        <v>0</v>
      </c>
      <c r="G401" s="5">
        <f>IF(OR(INDEX($W$2:$W$1001,MATCH(ROWS($V$2:V401),$V$2:$V$1001,0),1)&gt;=100000,INDEX($AC$1005:$AS$1005,1,MATCH(COLUMNS($AC$1006:AH1006),$AC$1006:$AS$1006,0))&gt;=100000), " ",IF(INDEX($AC$2:$AS$1001,MATCH(ROWS($V$2:V401),$V$2:$V$1001,0),MATCH(COLUMNS($AC$1006:AH1006),$AC$1006:$AS$1006,0)), HYPERLINK("#",""), HYPERLINK(CONCATENATE("#Metadata!", ADDRESS(INDEX($X$2:$X$1001,MATCH(ROWS($V$2:V401),$V$2:$V$1001,0),0), INDEX($AC$1004:$AS$1004,1,MATCH(COLUMNS($AC$1006:AH1006),$AC$1006:$AS$1006,0)))),"Fix")))</f>
        <v>0</v>
      </c>
      <c r="H401" s="5">
        <f>IF(OR(INDEX($W$2:$W$1001,MATCH(ROWS($V$2:V401),$V$2:$V$1001,0),1)&gt;=100000,INDEX($AC$1005:$AS$1005,1,MATCH(COLUMNS($AC$1006:AI1006),$AC$1006:$AS$1006,0))&gt;=100000), " ",IF(INDEX($AC$2:$AS$1001,MATCH(ROWS($V$2:V401),$V$2:$V$1001,0),MATCH(COLUMNS($AC$1006:AI1006),$AC$1006:$AS$1006,0)), HYPERLINK("#",""), HYPERLINK(CONCATENATE("#Metadata!", ADDRESS(INDEX($X$2:$X$1001,MATCH(ROWS($V$2:V401),$V$2:$V$1001,0),0), INDEX($AC$1004:$AS$1004,1,MATCH(COLUMNS($AC$1006:AI1006),$AC$1006:$AS$1006,0)))),"Fix")))</f>
        <v>0</v>
      </c>
      <c r="I401" s="5">
        <f>IF(OR(INDEX($W$2:$W$1001,MATCH(ROWS($V$2:V401),$V$2:$V$1001,0),1)&gt;=100000,INDEX($AC$1005:$AS$1005,1,MATCH(COLUMNS($AC$1006:AJ1006),$AC$1006:$AS$1006,0))&gt;=100000), " ",IF(INDEX($AC$2:$AS$1001,MATCH(ROWS($V$2:V401),$V$2:$V$1001,0),MATCH(COLUMNS($AC$1006:AJ1006),$AC$1006:$AS$1006,0)), HYPERLINK("#",""), HYPERLINK(CONCATENATE("#Metadata!", ADDRESS(INDEX($X$2:$X$1001,MATCH(ROWS($V$2:V401),$V$2:$V$1001,0),0), INDEX($AC$1004:$AS$1004,1,MATCH(COLUMNS($AC$1006:AJ1006),$AC$1006:$AS$1006,0)))),"Fix")))</f>
        <v>0</v>
      </c>
      <c r="J401" s="5">
        <f>IF(OR(INDEX($W$2:$W$1001,MATCH(ROWS($V$2:V401),$V$2:$V$1001,0),1)&gt;=100000,INDEX($AC$1005:$AS$1005,1,MATCH(COLUMNS($AC$1006:AK1006),$AC$1006:$AS$1006,0))&gt;=100000), " ",IF(INDEX($AC$2:$AS$1001,MATCH(ROWS($V$2:V401),$V$2:$V$1001,0),MATCH(COLUMNS($AC$1006:AK1006),$AC$1006:$AS$1006,0)), HYPERLINK("#",""), HYPERLINK(CONCATENATE("#Metadata!", ADDRESS(INDEX($X$2:$X$1001,MATCH(ROWS($V$2:V401),$V$2:$V$1001,0),0), INDEX($AC$1004:$AS$1004,1,MATCH(COLUMNS($AC$1006:AK1006),$AC$1006:$AS$1006,0)))),"Fix")))</f>
        <v>0</v>
      </c>
      <c r="K401" s="5">
        <f>IF(OR(INDEX($W$2:$W$1001,MATCH(ROWS($V$2:V401),$V$2:$V$1001,0),1)&gt;=100000,INDEX($AC$1005:$AS$1005,1,MATCH(COLUMNS($AC$1006:AL1006),$AC$1006:$AS$1006,0))&gt;=100000), " ",IF(INDEX($AC$2:$AS$1001,MATCH(ROWS($V$2:V401),$V$2:$V$1001,0),MATCH(COLUMNS($AC$1006:AL1006),$AC$1006:$AS$1006,0)), HYPERLINK("#",""), HYPERLINK(CONCATENATE("#Metadata!", ADDRESS(INDEX($X$2:$X$1001,MATCH(ROWS($V$2:V401),$V$2:$V$1001,0),0), INDEX($AC$1004:$AS$1004,1,MATCH(COLUMNS($AC$1006:AL1006),$AC$1006:$AS$1006,0)))),"Fix")))</f>
        <v>0</v>
      </c>
      <c r="L401" s="5">
        <f>IF(OR(INDEX($W$2:$W$1001,MATCH(ROWS($V$2:V401),$V$2:$V$1001,0),1)&gt;=100000,INDEX($AC$1005:$AS$1005,1,MATCH(COLUMNS($AC$1006:AM1006),$AC$1006:$AS$1006,0))&gt;=100000), " ",IF(INDEX($AC$2:$AS$1001,MATCH(ROWS($V$2:V401),$V$2:$V$1001,0),MATCH(COLUMNS($AC$1006:AM1006),$AC$1006:$AS$1006,0)), HYPERLINK("#",""), HYPERLINK(CONCATENATE("#Metadata!", ADDRESS(INDEX($X$2:$X$1001,MATCH(ROWS($V$2:V401),$V$2:$V$1001,0),0), INDEX($AC$1004:$AS$1004,1,MATCH(COLUMNS($AC$1006:AM1006),$AC$1006:$AS$1006,0)))),"Fix")))</f>
        <v>0</v>
      </c>
      <c r="M401" s="5">
        <f>IF(OR(INDEX($W$2:$W$1001,MATCH(ROWS($V$2:V401),$V$2:$V$1001,0),1)&gt;=100000,INDEX($AC$1005:$AS$1005,1,MATCH(COLUMNS($AC$1006:AN1006),$AC$1006:$AS$1006,0))&gt;=100000), " ",IF(INDEX($AC$2:$AS$1001,MATCH(ROWS($V$2:V401),$V$2:$V$1001,0),MATCH(COLUMNS($AC$1006:AN1006),$AC$1006:$AS$1006,0)), HYPERLINK("#",""), HYPERLINK(CONCATENATE("#Metadata!", ADDRESS(INDEX($X$2:$X$1001,MATCH(ROWS($V$2:V401),$V$2:$V$1001,0),0), INDEX($AC$1004:$AS$1004,1,MATCH(COLUMNS($AC$1006:AN1006),$AC$1006:$AS$1006,0)))),"Fix")))</f>
        <v>0</v>
      </c>
      <c r="N401" s="5">
        <f>IF(OR(INDEX($W$2:$W$1001,MATCH(ROWS($V$2:V401),$V$2:$V$1001,0),1)&gt;=100000,INDEX($AC$1005:$AS$1005,1,MATCH(COLUMNS($AC$1006:AO1006),$AC$1006:$AS$1006,0))&gt;=100000), " ",IF(INDEX($AC$2:$AS$1001,MATCH(ROWS($V$2:V401),$V$2:$V$1001,0),MATCH(COLUMNS($AC$1006:AO1006),$AC$1006:$AS$1006,0)), HYPERLINK("#",""), HYPERLINK(CONCATENATE("#Metadata!", ADDRESS(INDEX($X$2:$X$1001,MATCH(ROWS($V$2:V401),$V$2:$V$1001,0),0), INDEX($AC$1004:$AS$1004,1,MATCH(COLUMNS($AC$1006:AO1006),$AC$1006:$AS$1006,0)))),"Fix")))</f>
        <v>0</v>
      </c>
      <c r="O401" s="5">
        <f>IF(OR(INDEX($W$2:$W$1001,MATCH(ROWS($V$2:V401),$V$2:$V$1001,0),1)&gt;=100000,INDEX($AC$1005:$AS$1005,1,MATCH(COLUMNS($AC$1006:AP1006),$AC$1006:$AS$1006,0))&gt;=100000), " ",IF(INDEX($AC$2:$AS$1001,MATCH(ROWS($V$2:V401),$V$2:$V$1001,0),MATCH(COLUMNS($AC$1006:AP1006),$AC$1006:$AS$1006,0)), HYPERLINK("#",""), HYPERLINK(CONCATENATE("#Metadata!", ADDRESS(INDEX($X$2:$X$1001,MATCH(ROWS($V$2:V401),$V$2:$V$1001,0),0), INDEX($AC$1004:$AS$1004,1,MATCH(COLUMNS($AC$1006:AP1006),$AC$1006:$AS$1006,0)))),"Fix")))</f>
        <v>0</v>
      </c>
      <c r="P401" s="5">
        <f>IF(OR(INDEX($W$2:$W$1001,MATCH(ROWS($V$2:V401),$V$2:$V$1001,0),1)&gt;=100000,INDEX($AC$1005:$AS$1005,1,MATCH(COLUMNS($AC$1006:AQ1006),$AC$1006:$AS$1006,0))&gt;=100000), " ",IF(INDEX($AC$2:$AS$1001,MATCH(ROWS($V$2:V401),$V$2:$V$1001,0),MATCH(COLUMNS($AC$1006:AQ1006),$AC$1006:$AS$1006,0)), HYPERLINK("#",""), HYPERLINK(CONCATENATE("#Metadata!", ADDRESS(INDEX($X$2:$X$1001,MATCH(ROWS($V$2:V401),$V$2:$V$1001,0),0), INDEX($AC$1004:$AS$1004,1,MATCH(COLUMNS($AC$1006:AQ1006),$AC$1006:$AS$1006,0)))),"Fix")))</f>
        <v>0</v>
      </c>
      <c r="Q401" s="5">
        <f>IF(OR(INDEX($W$2:$W$1001,MATCH(ROWS($V$2:V401),$V$2:$V$1001,0),1)&gt;=100000,INDEX($AC$1005:$AS$1005,1,MATCH(COLUMNS($AC$1006:AR1006),$AC$1006:$AS$1006,0))&gt;=100000), " ",IF(INDEX($AC$2:$AS$1001,MATCH(ROWS($V$2:V401),$V$2:$V$1001,0),MATCH(COLUMNS($AC$1006:AR1006),$AC$1006:$AS$1006,0)), HYPERLINK("#",""), HYPERLINK(CONCATENATE("#Metadata!", ADDRESS(INDEX($X$2:$X$1001,MATCH(ROWS($V$2:V401),$V$2:$V$1001,0),0), INDEX($AC$1004:$AS$1004,1,MATCH(COLUMNS($AC$1006:AR1006),$AC$1006:$AS$1006,0)))),"Fix")))</f>
        <v>0</v>
      </c>
      <c r="R401" s="5">
        <f>IF(OR(INDEX($W$2:$W$1001,MATCH(ROWS($V$2:V401),$V$2:$V$1001,0),1)&gt;=100000,INDEX($AC$1005:$AS$1005,1,MATCH(COLUMNS($AC$1006:AS1006),$AC$1006:$AS$1006,0))&gt;=100000), " ",IF(INDEX($AC$2:$AS$1001,MATCH(ROWS($V$2:V401),$V$2:$V$1001,0),MATCH(COLUMNS($AC$1006:AS1006),$AC$1006:$AS$1006,0)), HYPERLINK("#",""), HYPERLINK(CONCATENATE("#Metadata!", ADDRESS(INDEX($X$2:$X$1001,MATCH(ROWS($V$2:V401),$V$2:$V$1001,0),0), INDEX($AC$1004:$AS$1004,1,MATCH(COLUMNS($AC$1006:AS1006),$AC$1006:$AS$1006,0)))),"Fix")))</f>
        <v>0</v>
      </c>
      <c r="V401">
        <v>0</v>
      </c>
      <c r="W401">
        <v>0</v>
      </c>
      <c r="X401">
        <v>0</v>
      </c>
      <c r="Y401">
        <f>IF(Z401,TRUE,AND(AC401:AS401))</f>
        <v>0</v>
      </c>
      <c r="Z401">
        <f>COUNTBLANK(Metadata!B401:R401)=COLUMNS(Metadata!B401:R401)</f>
        <v>0</v>
      </c>
      <c r="AA401">
        <v>0</v>
      </c>
      <c r="AC401">
        <f>AND(IF(Metadata!B401="",FALSE,TRUE),COUNTIF(Metadata!B:B, Metadata!B401) = 1,NOT(ISERROR(SUMPRODUCT(SEARCH(MID(Metadata!B401,ROW(INDIRECT("1:"&amp;LEN(Metadata!B401))), 1),"0123456789abcdefghijklmnopqrstuvwxyzABCDEFGHIJKLMNOPQRSTUVWXYZ.")))))</f>
        <v>0</v>
      </c>
      <c r="AD401">
        <f>AND(IF(Metadata!C401="",FALSE,TRUE),exact(Metadata!C401,"Host-associated"))</f>
        <v>0</v>
      </c>
      <c r="AE401">
        <f>AND(IF(Metadata!D401="",FALSE,TRUE),OR(exact(Metadata!D401,"Animal"),exact(Metadata!D401,"Fungus"),exact(Metadata!D401,"Plant")))</f>
        <v>0</v>
      </c>
      <c r="AF401">
        <f>AND(IF(Metadata!E401="",FALSE,TRUE),OR(exact(Metadata!E401,"Plant secretion"),exact(Metadata!E401,"Plant rhizosphere"),exact(Metadata!E401,"Plant surface"),exact(Metadata!E401,"Plant corpus"),exact(Metadata!E401,"Fungus surface"),exact(Metadata!E401,"Fungus corpus"),exact(Metadata!E401,"Animal surface"),exact(Metadata!E401,"Animal proximal gut"),exact(Metadata!E401,"Animal corpus"),exact(Metadata!E401,"Animal distal gut"),exact(Metadata!E401,"Animal secretion")))</f>
        <v>0</v>
      </c>
      <c r="AG401">
        <f>OR(AND(IF(Metadata!F401="",FALSE,TRUE),OR(exact(Metadata!F401,"not collected"),exact(Metadata!F401,"not provided"),exact(Metadata!F401,"restricted access"))),AND(IF(Metadata!F401="",FALSE,TRUE),OR(exact(Metadata!F401,"organism-associated habitat"),exact(Metadata!F401,"plant-associated habitat"),exact(Metadata!F401,"animal-associated habitat"),exact(Metadata!F401,"insecta-associated habitat"),exact(Metadata!F401,"mammalia-associated habitat"),exact(Metadata!F401,"human-associated habitat"),exact(Metadata!F401,"livestock-associated habitat"))))</f>
        <v>0</v>
      </c>
      <c r="AH401">
        <f>AND(IF(Metadata!G401="",FALSE,TRUE),exact(Metadata!G401,"host-associated"))</f>
        <v>0</v>
      </c>
      <c r="AI401">
        <f>OR(AND(IF(Metadata!H401="",FALSE,TRUE),OR(exact(Metadata!H401,"not collected"),exact(Metadata!H401,"not provided"))),AND(IF(Metadata!H401="",FALSE,ISNUMBER(VALUE(Metadata!H401))),Metadata!H401&gt;0))</f>
        <v>0</v>
      </c>
      <c r="AJ401">
        <f>AND(IF(Metadata!I401="",FALSE,TRUE),exact(Metadata!I401,"years"))</f>
        <v>0</v>
      </c>
      <c r="AK401">
        <f>IF(Metadata!J401="",FALSE,TRUE)</f>
        <v>0</v>
      </c>
      <c r="AL401">
        <f>OR(AND(IF(Metadata!K401="",FALSE,TRUE),OR(exact(Metadata!K401,"not collected"),exact(Metadata!K401,"not provided"))),AND(IF(Metadata!K401="",FALSE,ISNUMBER(VALUE(Metadata!K401))),Metadata!K401&gt;0))</f>
        <v>0</v>
      </c>
      <c r="AM401">
        <f>AND(IF(Metadata!L401="",FALSE,TRUE),exact(Metadata!L401,"cm"))</f>
        <v>0</v>
      </c>
      <c r="AN401">
        <f>IF(Metadata!M401="",FALSE,TRUE)</f>
        <v>0</v>
      </c>
      <c r="AO401">
        <f>OR(AND(IF(Metadata!N401="",FALSE,TRUE),OR(exact(Metadata!N401,"not applicable"),exact(Metadata!N401,"not collected"),exact(Metadata!N401,"not provided"))),AND(IF(Metadata!N401="",FALSE,IF(ISERROR(INT(Metadata!N401)),FALSE,INT(Metadata!N401)=Metadata!N401)),Metadata!N401&gt;0))</f>
        <v>0</v>
      </c>
      <c r="AP401">
        <f>OR(AND(IF(Metadata!O401="",FALSE,TRUE),OR(exact(Metadata!O401,"not collected"),exact(Metadata!O401,"not provided"))),AND(IF(Metadata!O401="",FALSE,ISNUMBER(VALUE(Metadata!O401))),Metadata!O401&gt;0))</f>
        <v>0</v>
      </c>
      <c r="AQ401">
        <f>AND(IF(Metadata!P401="",FALSE,TRUE),exact(Metadata!P401,"kg"))</f>
        <v>0</v>
      </c>
      <c r="AR401">
        <f>OR(AND(IF(Metadata!Q401="",FALSE,TRUE),OR(exact(Metadata!Q401,"not applicable"),exact(Metadata!Q401,"not collected"),exact(Metadata!Q401,"not provided"),exact(Metadata!Q401,"restricted access"))),IF(Metadata!Q401="",FALSE,IF(ISERROR(INT(Metadata!Q401)),FALSE,INT(Metadata!Q401)=Metadata!Q401)))</f>
        <v>0</v>
      </c>
      <c r="AS401">
        <f>AND(IF(Metadata!R401="",FALSE,TRUE),exact(Metadata!R401,"Not applicable"))</f>
        <v>0</v>
      </c>
    </row>
    <row r="402" spans="1:45">
      <c r="A402" s="4">
        <f>IF(B402=" "," ",HYPERLINK(CONCATENATE("#metadata!",ADDRESS(INDEX($X$2:$X$1001,MATCH(ROWS($V$2:V402),$V$2:$V$1001,0),0),2)),INDEX($AA$2:$AA$1001,MATCH(ROWS($V$2:V402),$V$2:$V$1001,0),0)))</f>
        <v>0</v>
      </c>
      <c r="B402" s="5">
        <f>IF(OR(INDEX($W$2:$W$1001,MATCH(ROWS($V$2:V402),$V$2:$V$1001,0),1)&gt;=100000,INDEX($AC$1005:$AS$1005,1,MATCH(COLUMNS($AC$1006:AC1006),$AC$1006:$AS$1006,0))&gt;=100000), " ",IF(INDEX($AC$2:$AS$1001,MATCH(ROWS($V$2:V402),$V$2:$V$1001,0),MATCH(COLUMNS($AC$1006:AC1006),$AC$1006:$AS$1006,0)), HYPERLINK("#",""), HYPERLINK(CONCATENATE("#Metadata!", ADDRESS(INDEX($X$2:$X$1001,MATCH(ROWS($V$2:V402),$V$2:$V$1001,0),0), INDEX($AC$1004:$AS$1004,1,MATCH(COLUMNS($AC$1006:AC1006),$AC$1006:$AS$1006,0)))),"Fix")))</f>
        <v>0</v>
      </c>
      <c r="C402" s="5">
        <f>IF(OR(INDEX($W$2:$W$1001,MATCH(ROWS($V$2:V402),$V$2:$V$1001,0),1)&gt;=100000,INDEX($AC$1005:$AS$1005,1,MATCH(COLUMNS($AC$1006:AD1006),$AC$1006:$AS$1006,0))&gt;=100000), " ",IF(INDEX($AC$2:$AS$1001,MATCH(ROWS($V$2:V402),$V$2:$V$1001,0),MATCH(COLUMNS($AC$1006:AD1006),$AC$1006:$AS$1006,0)), HYPERLINK("#",""), HYPERLINK(CONCATENATE("#Metadata!", ADDRESS(INDEX($X$2:$X$1001,MATCH(ROWS($V$2:V402),$V$2:$V$1001,0),0), INDEX($AC$1004:$AS$1004,1,MATCH(COLUMNS($AC$1006:AD1006),$AC$1006:$AS$1006,0)))),"Fix")))</f>
        <v>0</v>
      </c>
      <c r="D402" s="5">
        <f>IF(OR(INDEX($W$2:$W$1001,MATCH(ROWS($V$2:V402),$V$2:$V$1001,0),1)&gt;=100000,INDEX($AC$1005:$AS$1005,1,MATCH(COLUMNS($AC$1006:AE1006),$AC$1006:$AS$1006,0))&gt;=100000), " ",IF(INDEX($AC$2:$AS$1001,MATCH(ROWS($V$2:V402),$V$2:$V$1001,0),MATCH(COLUMNS($AC$1006:AE1006),$AC$1006:$AS$1006,0)), HYPERLINK("#",""), HYPERLINK(CONCATENATE("#Metadata!", ADDRESS(INDEX($X$2:$X$1001,MATCH(ROWS($V$2:V402),$V$2:$V$1001,0),0), INDEX($AC$1004:$AS$1004,1,MATCH(COLUMNS($AC$1006:AE1006),$AC$1006:$AS$1006,0)))),"Fix")))</f>
        <v>0</v>
      </c>
      <c r="E402" s="5">
        <f>IF(OR(INDEX($W$2:$W$1001,MATCH(ROWS($V$2:V402),$V$2:$V$1001,0),1)&gt;=100000,INDEX($AC$1005:$AS$1005,1,MATCH(COLUMNS($AC$1006:AF1006),$AC$1006:$AS$1006,0))&gt;=100000), " ",IF(INDEX($AC$2:$AS$1001,MATCH(ROWS($V$2:V402),$V$2:$V$1001,0),MATCH(COLUMNS($AC$1006:AF1006),$AC$1006:$AS$1006,0)), HYPERLINK("#",""), HYPERLINK(CONCATENATE("#Metadata!", ADDRESS(INDEX($X$2:$X$1001,MATCH(ROWS($V$2:V402),$V$2:$V$1001,0),0), INDEX($AC$1004:$AS$1004,1,MATCH(COLUMNS($AC$1006:AF1006),$AC$1006:$AS$1006,0)))),"Fix")))</f>
        <v>0</v>
      </c>
      <c r="F402" s="5">
        <f>IF(OR(INDEX($W$2:$W$1001,MATCH(ROWS($V$2:V402),$V$2:$V$1001,0),1)&gt;=100000,INDEX($AC$1005:$AS$1005,1,MATCH(COLUMNS($AC$1006:AG1006),$AC$1006:$AS$1006,0))&gt;=100000), " ",IF(INDEX($AC$2:$AS$1001,MATCH(ROWS($V$2:V402),$V$2:$V$1001,0),MATCH(COLUMNS($AC$1006:AG1006),$AC$1006:$AS$1006,0)), HYPERLINK("#",""), HYPERLINK(CONCATENATE("#Metadata!", ADDRESS(INDEX($X$2:$X$1001,MATCH(ROWS($V$2:V402),$V$2:$V$1001,0),0), INDEX($AC$1004:$AS$1004,1,MATCH(COLUMNS($AC$1006:AG1006),$AC$1006:$AS$1006,0)))),"Fix")))</f>
        <v>0</v>
      </c>
      <c r="G402" s="5">
        <f>IF(OR(INDEX($W$2:$W$1001,MATCH(ROWS($V$2:V402),$V$2:$V$1001,0),1)&gt;=100000,INDEX($AC$1005:$AS$1005,1,MATCH(COLUMNS($AC$1006:AH1006),$AC$1006:$AS$1006,0))&gt;=100000), " ",IF(INDEX($AC$2:$AS$1001,MATCH(ROWS($V$2:V402),$V$2:$V$1001,0),MATCH(COLUMNS($AC$1006:AH1006),$AC$1006:$AS$1006,0)), HYPERLINK("#",""), HYPERLINK(CONCATENATE("#Metadata!", ADDRESS(INDEX($X$2:$X$1001,MATCH(ROWS($V$2:V402),$V$2:$V$1001,0),0), INDEX($AC$1004:$AS$1004,1,MATCH(COLUMNS($AC$1006:AH1006),$AC$1006:$AS$1006,0)))),"Fix")))</f>
        <v>0</v>
      </c>
      <c r="H402" s="5">
        <f>IF(OR(INDEX($W$2:$W$1001,MATCH(ROWS($V$2:V402),$V$2:$V$1001,0),1)&gt;=100000,INDEX($AC$1005:$AS$1005,1,MATCH(COLUMNS($AC$1006:AI1006),$AC$1006:$AS$1006,0))&gt;=100000), " ",IF(INDEX($AC$2:$AS$1001,MATCH(ROWS($V$2:V402),$V$2:$V$1001,0),MATCH(COLUMNS($AC$1006:AI1006),$AC$1006:$AS$1006,0)), HYPERLINK("#",""), HYPERLINK(CONCATENATE("#Metadata!", ADDRESS(INDEX($X$2:$X$1001,MATCH(ROWS($V$2:V402),$V$2:$V$1001,0),0), INDEX($AC$1004:$AS$1004,1,MATCH(COLUMNS($AC$1006:AI1006),$AC$1006:$AS$1006,0)))),"Fix")))</f>
        <v>0</v>
      </c>
      <c r="I402" s="5">
        <f>IF(OR(INDEX($W$2:$W$1001,MATCH(ROWS($V$2:V402),$V$2:$V$1001,0),1)&gt;=100000,INDEX($AC$1005:$AS$1005,1,MATCH(COLUMNS($AC$1006:AJ1006),$AC$1006:$AS$1006,0))&gt;=100000), " ",IF(INDEX($AC$2:$AS$1001,MATCH(ROWS($V$2:V402),$V$2:$V$1001,0),MATCH(COLUMNS($AC$1006:AJ1006),$AC$1006:$AS$1006,0)), HYPERLINK("#",""), HYPERLINK(CONCATENATE("#Metadata!", ADDRESS(INDEX($X$2:$X$1001,MATCH(ROWS($V$2:V402),$V$2:$V$1001,0),0), INDEX($AC$1004:$AS$1004,1,MATCH(COLUMNS($AC$1006:AJ1006),$AC$1006:$AS$1006,0)))),"Fix")))</f>
        <v>0</v>
      </c>
      <c r="J402" s="5">
        <f>IF(OR(INDEX($W$2:$W$1001,MATCH(ROWS($V$2:V402),$V$2:$V$1001,0),1)&gt;=100000,INDEX($AC$1005:$AS$1005,1,MATCH(COLUMNS($AC$1006:AK1006),$AC$1006:$AS$1006,0))&gt;=100000), " ",IF(INDEX($AC$2:$AS$1001,MATCH(ROWS($V$2:V402),$V$2:$V$1001,0),MATCH(COLUMNS($AC$1006:AK1006),$AC$1006:$AS$1006,0)), HYPERLINK("#",""), HYPERLINK(CONCATENATE("#Metadata!", ADDRESS(INDEX($X$2:$X$1001,MATCH(ROWS($V$2:V402),$V$2:$V$1001,0),0), INDEX($AC$1004:$AS$1004,1,MATCH(COLUMNS($AC$1006:AK1006),$AC$1006:$AS$1006,0)))),"Fix")))</f>
        <v>0</v>
      </c>
      <c r="K402" s="5">
        <f>IF(OR(INDEX($W$2:$W$1001,MATCH(ROWS($V$2:V402),$V$2:$V$1001,0),1)&gt;=100000,INDEX($AC$1005:$AS$1005,1,MATCH(COLUMNS($AC$1006:AL1006),$AC$1006:$AS$1006,0))&gt;=100000), " ",IF(INDEX($AC$2:$AS$1001,MATCH(ROWS($V$2:V402),$V$2:$V$1001,0),MATCH(COLUMNS($AC$1006:AL1006),$AC$1006:$AS$1006,0)), HYPERLINK("#",""), HYPERLINK(CONCATENATE("#Metadata!", ADDRESS(INDEX($X$2:$X$1001,MATCH(ROWS($V$2:V402),$V$2:$V$1001,0),0), INDEX($AC$1004:$AS$1004,1,MATCH(COLUMNS($AC$1006:AL1006),$AC$1006:$AS$1006,0)))),"Fix")))</f>
        <v>0</v>
      </c>
      <c r="L402" s="5">
        <f>IF(OR(INDEX($W$2:$W$1001,MATCH(ROWS($V$2:V402),$V$2:$V$1001,0),1)&gt;=100000,INDEX($AC$1005:$AS$1005,1,MATCH(COLUMNS($AC$1006:AM1006),$AC$1006:$AS$1006,0))&gt;=100000), " ",IF(INDEX($AC$2:$AS$1001,MATCH(ROWS($V$2:V402),$V$2:$V$1001,0),MATCH(COLUMNS($AC$1006:AM1006),$AC$1006:$AS$1006,0)), HYPERLINK("#",""), HYPERLINK(CONCATENATE("#Metadata!", ADDRESS(INDEX($X$2:$X$1001,MATCH(ROWS($V$2:V402),$V$2:$V$1001,0),0), INDEX($AC$1004:$AS$1004,1,MATCH(COLUMNS($AC$1006:AM1006),$AC$1006:$AS$1006,0)))),"Fix")))</f>
        <v>0</v>
      </c>
      <c r="M402" s="5">
        <f>IF(OR(INDEX($W$2:$W$1001,MATCH(ROWS($V$2:V402),$V$2:$V$1001,0),1)&gt;=100000,INDEX($AC$1005:$AS$1005,1,MATCH(COLUMNS($AC$1006:AN1006),$AC$1006:$AS$1006,0))&gt;=100000), " ",IF(INDEX($AC$2:$AS$1001,MATCH(ROWS($V$2:V402),$V$2:$V$1001,0),MATCH(COLUMNS($AC$1006:AN1006),$AC$1006:$AS$1006,0)), HYPERLINK("#",""), HYPERLINK(CONCATENATE("#Metadata!", ADDRESS(INDEX($X$2:$X$1001,MATCH(ROWS($V$2:V402),$V$2:$V$1001,0),0), INDEX($AC$1004:$AS$1004,1,MATCH(COLUMNS($AC$1006:AN1006),$AC$1006:$AS$1006,0)))),"Fix")))</f>
        <v>0</v>
      </c>
      <c r="N402" s="5">
        <f>IF(OR(INDEX($W$2:$W$1001,MATCH(ROWS($V$2:V402),$V$2:$V$1001,0),1)&gt;=100000,INDEX($AC$1005:$AS$1005,1,MATCH(COLUMNS($AC$1006:AO1006),$AC$1006:$AS$1006,0))&gt;=100000), " ",IF(INDEX($AC$2:$AS$1001,MATCH(ROWS($V$2:V402),$V$2:$V$1001,0),MATCH(COLUMNS($AC$1006:AO1006),$AC$1006:$AS$1006,0)), HYPERLINK("#",""), HYPERLINK(CONCATENATE("#Metadata!", ADDRESS(INDEX($X$2:$X$1001,MATCH(ROWS($V$2:V402),$V$2:$V$1001,0),0), INDEX($AC$1004:$AS$1004,1,MATCH(COLUMNS($AC$1006:AO1006),$AC$1006:$AS$1006,0)))),"Fix")))</f>
        <v>0</v>
      </c>
      <c r="O402" s="5">
        <f>IF(OR(INDEX($W$2:$W$1001,MATCH(ROWS($V$2:V402),$V$2:$V$1001,0),1)&gt;=100000,INDEX($AC$1005:$AS$1005,1,MATCH(COLUMNS($AC$1006:AP1006),$AC$1006:$AS$1006,0))&gt;=100000), " ",IF(INDEX($AC$2:$AS$1001,MATCH(ROWS($V$2:V402),$V$2:$V$1001,0),MATCH(COLUMNS($AC$1006:AP1006),$AC$1006:$AS$1006,0)), HYPERLINK("#",""), HYPERLINK(CONCATENATE("#Metadata!", ADDRESS(INDEX($X$2:$X$1001,MATCH(ROWS($V$2:V402),$V$2:$V$1001,0),0), INDEX($AC$1004:$AS$1004,1,MATCH(COLUMNS($AC$1006:AP1006),$AC$1006:$AS$1006,0)))),"Fix")))</f>
        <v>0</v>
      </c>
      <c r="P402" s="5">
        <f>IF(OR(INDEX($W$2:$W$1001,MATCH(ROWS($V$2:V402),$V$2:$V$1001,0),1)&gt;=100000,INDEX($AC$1005:$AS$1005,1,MATCH(COLUMNS($AC$1006:AQ1006),$AC$1006:$AS$1006,0))&gt;=100000), " ",IF(INDEX($AC$2:$AS$1001,MATCH(ROWS($V$2:V402),$V$2:$V$1001,0),MATCH(COLUMNS($AC$1006:AQ1006),$AC$1006:$AS$1006,0)), HYPERLINK("#",""), HYPERLINK(CONCATENATE("#Metadata!", ADDRESS(INDEX($X$2:$X$1001,MATCH(ROWS($V$2:V402),$V$2:$V$1001,0),0), INDEX($AC$1004:$AS$1004,1,MATCH(COLUMNS($AC$1006:AQ1006),$AC$1006:$AS$1006,0)))),"Fix")))</f>
        <v>0</v>
      </c>
      <c r="Q402" s="5">
        <f>IF(OR(INDEX($W$2:$W$1001,MATCH(ROWS($V$2:V402),$V$2:$V$1001,0),1)&gt;=100000,INDEX($AC$1005:$AS$1005,1,MATCH(COLUMNS($AC$1006:AR1006),$AC$1006:$AS$1006,0))&gt;=100000), " ",IF(INDEX($AC$2:$AS$1001,MATCH(ROWS($V$2:V402),$V$2:$V$1001,0),MATCH(COLUMNS($AC$1006:AR1006),$AC$1006:$AS$1006,0)), HYPERLINK("#",""), HYPERLINK(CONCATENATE("#Metadata!", ADDRESS(INDEX($X$2:$X$1001,MATCH(ROWS($V$2:V402),$V$2:$V$1001,0),0), INDEX($AC$1004:$AS$1004,1,MATCH(COLUMNS($AC$1006:AR1006),$AC$1006:$AS$1006,0)))),"Fix")))</f>
        <v>0</v>
      </c>
      <c r="R402" s="5">
        <f>IF(OR(INDEX($W$2:$W$1001,MATCH(ROWS($V$2:V402),$V$2:$V$1001,0),1)&gt;=100000,INDEX($AC$1005:$AS$1005,1,MATCH(COLUMNS($AC$1006:AS1006),$AC$1006:$AS$1006,0))&gt;=100000), " ",IF(INDEX($AC$2:$AS$1001,MATCH(ROWS($V$2:V402),$V$2:$V$1001,0),MATCH(COLUMNS($AC$1006:AS1006),$AC$1006:$AS$1006,0)), HYPERLINK("#",""), HYPERLINK(CONCATENATE("#Metadata!", ADDRESS(INDEX($X$2:$X$1001,MATCH(ROWS($V$2:V402),$V$2:$V$1001,0),0), INDEX($AC$1004:$AS$1004,1,MATCH(COLUMNS($AC$1006:AS1006),$AC$1006:$AS$1006,0)))),"Fix")))</f>
        <v>0</v>
      </c>
      <c r="V402">
        <v>0</v>
      </c>
      <c r="W402">
        <v>0</v>
      </c>
      <c r="X402">
        <v>0</v>
      </c>
      <c r="Y402">
        <f>IF(Z402,TRUE,AND(AC402:AS402))</f>
        <v>0</v>
      </c>
      <c r="Z402">
        <f>COUNTBLANK(Metadata!B402:R402)=COLUMNS(Metadata!B402:R402)</f>
        <v>0</v>
      </c>
      <c r="AA402">
        <v>0</v>
      </c>
      <c r="AC402">
        <f>AND(IF(Metadata!B402="",FALSE,TRUE),COUNTIF(Metadata!B:B, Metadata!B402) = 1,NOT(ISERROR(SUMPRODUCT(SEARCH(MID(Metadata!B402,ROW(INDIRECT("1:"&amp;LEN(Metadata!B402))), 1),"0123456789abcdefghijklmnopqrstuvwxyzABCDEFGHIJKLMNOPQRSTUVWXYZ.")))))</f>
        <v>0</v>
      </c>
      <c r="AD402">
        <f>AND(IF(Metadata!C402="",FALSE,TRUE),exact(Metadata!C402,"Host-associated"))</f>
        <v>0</v>
      </c>
      <c r="AE402">
        <f>AND(IF(Metadata!D402="",FALSE,TRUE),OR(exact(Metadata!D402,"Animal"),exact(Metadata!D402,"Fungus"),exact(Metadata!D402,"Plant")))</f>
        <v>0</v>
      </c>
      <c r="AF402">
        <f>AND(IF(Metadata!E402="",FALSE,TRUE),OR(exact(Metadata!E402,"Plant secretion"),exact(Metadata!E402,"Plant rhizosphere"),exact(Metadata!E402,"Plant surface"),exact(Metadata!E402,"Plant corpus"),exact(Metadata!E402,"Fungus surface"),exact(Metadata!E402,"Fungus corpus"),exact(Metadata!E402,"Animal surface"),exact(Metadata!E402,"Animal proximal gut"),exact(Metadata!E402,"Animal corpus"),exact(Metadata!E402,"Animal distal gut"),exact(Metadata!E402,"Animal secretion")))</f>
        <v>0</v>
      </c>
      <c r="AG402">
        <f>OR(AND(IF(Metadata!F402="",FALSE,TRUE),OR(exact(Metadata!F402,"not collected"),exact(Metadata!F402,"not provided"),exact(Metadata!F402,"restricted access"))),AND(IF(Metadata!F402="",FALSE,TRUE),OR(exact(Metadata!F402,"organism-associated habitat"),exact(Metadata!F402,"plant-associated habitat"),exact(Metadata!F402,"animal-associated habitat"),exact(Metadata!F402,"insecta-associated habitat"),exact(Metadata!F402,"mammalia-associated habitat"),exact(Metadata!F402,"human-associated habitat"),exact(Metadata!F402,"livestock-associated habitat"))))</f>
        <v>0</v>
      </c>
      <c r="AH402">
        <f>AND(IF(Metadata!G402="",FALSE,TRUE),exact(Metadata!G402,"host-associated"))</f>
        <v>0</v>
      </c>
      <c r="AI402">
        <f>OR(AND(IF(Metadata!H402="",FALSE,TRUE),OR(exact(Metadata!H402,"not collected"),exact(Metadata!H402,"not provided"))),AND(IF(Metadata!H402="",FALSE,ISNUMBER(VALUE(Metadata!H402))),Metadata!H402&gt;0))</f>
        <v>0</v>
      </c>
      <c r="AJ402">
        <f>AND(IF(Metadata!I402="",FALSE,TRUE),exact(Metadata!I402,"years"))</f>
        <v>0</v>
      </c>
      <c r="AK402">
        <f>IF(Metadata!J402="",FALSE,TRUE)</f>
        <v>0</v>
      </c>
      <c r="AL402">
        <f>OR(AND(IF(Metadata!K402="",FALSE,TRUE),OR(exact(Metadata!K402,"not collected"),exact(Metadata!K402,"not provided"))),AND(IF(Metadata!K402="",FALSE,ISNUMBER(VALUE(Metadata!K402))),Metadata!K402&gt;0))</f>
        <v>0</v>
      </c>
      <c r="AM402">
        <f>AND(IF(Metadata!L402="",FALSE,TRUE),exact(Metadata!L402,"cm"))</f>
        <v>0</v>
      </c>
      <c r="AN402">
        <f>IF(Metadata!M402="",FALSE,TRUE)</f>
        <v>0</v>
      </c>
      <c r="AO402">
        <f>OR(AND(IF(Metadata!N402="",FALSE,TRUE),OR(exact(Metadata!N402,"not applicable"),exact(Metadata!N402,"not collected"),exact(Metadata!N402,"not provided"))),AND(IF(Metadata!N402="",FALSE,IF(ISERROR(INT(Metadata!N402)),FALSE,INT(Metadata!N402)=Metadata!N402)),Metadata!N402&gt;0))</f>
        <v>0</v>
      </c>
      <c r="AP402">
        <f>OR(AND(IF(Metadata!O402="",FALSE,TRUE),OR(exact(Metadata!O402,"not collected"),exact(Metadata!O402,"not provided"))),AND(IF(Metadata!O402="",FALSE,ISNUMBER(VALUE(Metadata!O402))),Metadata!O402&gt;0))</f>
        <v>0</v>
      </c>
      <c r="AQ402">
        <f>AND(IF(Metadata!P402="",FALSE,TRUE),exact(Metadata!P402,"kg"))</f>
        <v>0</v>
      </c>
      <c r="AR402">
        <f>OR(AND(IF(Metadata!Q402="",FALSE,TRUE),OR(exact(Metadata!Q402,"not applicable"),exact(Metadata!Q402,"not collected"),exact(Metadata!Q402,"not provided"),exact(Metadata!Q402,"restricted access"))),IF(Metadata!Q402="",FALSE,IF(ISERROR(INT(Metadata!Q402)),FALSE,INT(Metadata!Q402)=Metadata!Q402)))</f>
        <v>0</v>
      </c>
      <c r="AS402">
        <f>AND(IF(Metadata!R402="",FALSE,TRUE),exact(Metadata!R402,"Not applicable"))</f>
        <v>0</v>
      </c>
    </row>
    <row r="403" spans="1:45">
      <c r="A403" s="4">
        <f>IF(B403=" "," ",HYPERLINK(CONCATENATE("#metadata!",ADDRESS(INDEX($X$2:$X$1001,MATCH(ROWS($V$2:V403),$V$2:$V$1001,0),0),2)),INDEX($AA$2:$AA$1001,MATCH(ROWS($V$2:V403),$V$2:$V$1001,0),0)))</f>
        <v>0</v>
      </c>
      <c r="B403" s="5">
        <f>IF(OR(INDEX($W$2:$W$1001,MATCH(ROWS($V$2:V403),$V$2:$V$1001,0),1)&gt;=100000,INDEX($AC$1005:$AS$1005,1,MATCH(COLUMNS($AC$1006:AC1006),$AC$1006:$AS$1006,0))&gt;=100000), " ",IF(INDEX($AC$2:$AS$1001,MATCH(ROWS($V$2:V403),$V$2:$V$1001,0),MATCH(COLUMNS($AC$1006:AC1006),$AC$1006:$AS$1006,0)), HYPERLINK("#",""), HYPERLINK(CONCATENATE("#Metadata!", ADDRESS(INDEX($X$2:$X$1001,MATCH(ROWS($V$2:V403),$V$2:$V$1001,0),0), INDEX($AC$1004:$AS$1004,1,MATCH(COLUMNS($AC$1006:AC1006),$AC$1006:$AS$1006,0)))),"Fix")))</f>
        <v>0</v>
      </c>
      <c r="C403" s="5">
        <f>IF(OR(INDEX($W$2:$W$1001,MATCH(ROWS($V$2:V403),$V$2:$V$1001,0),1)&gt;=100000,INDEX($AC$1005:$AS$1005,1,MATCH(COLUMNS($AC$1006:AD1006),$AC$1006:$AS$1006,0))&gt;=100000), " ",IF(INDEX($AC$2:$AS$1001,MATCH(ROWS($V$2:V403),$V$2:$V$1001,0),MATCH(COLUMNS($AC$1006:AD1006),$AC$1006:$AS$1006,0)), HYPERLINK("#",""), HYPERLINK(CONCATENATE("#Metadata!", ADDRESS(INDEX($X$2:$X$1001,MATCH(ROWS($V$2:V403),$V$2:$V$1001,0),0), INDEX($AC$1004:$AS$1004,1,MATCH(COLUMNS($AC$1006:AD1006),$AC$1006:$AS$1006,0)))),"Fix")))</f>
        <v>0</v>
      </c>
      <c r="D403" s="5">
        <f>IF(OR(INDEX($W$2:$W$1001,MATCH(ROWS($V$2:V403),$V$2:$V$1001,0),1)&gt;=100000,INDEX($AC$1005:$AS$1005,1,MATCH(COLUMNS($AC$1006:AE1006),$AC$1006:$AS$1006,0))&gt;=100000), " ",IF(INDEX($AC$2:$AS$1001,MATCH(ROWS($V$2:V403),$V$2:$V$1001,0),MATCH(COLUMNS($AC$1006:AE1006),$AC$1006:$AS$1006,0)), HYPERLINK("#",""), HYPERLINK(CONCATENATE("#Metadata!", ADDRESS(INDEX($X$2:$X$1001,MATCH(ROWS($V$2:V403),$V$2:$V$1001,0),0), INDEX($AC$1004:$AS$1004,1,MATCH(COLUMNS($AC$1006:AE1006),$AC$1006:$AS$1006,0)))),"Fix")))</f>
        <v>0</v>
      </c>
      <c r="E403" s="5">
        <f>IF(OR(INDEX($W$2:$W$1001,MATCH(ROWS($V$2:V403),$V$2:$V$1001,0),1)&gt;=100000,INDEX($AC$1005:$AS$1005,1,MATCH(COLUMNS($AC$1006:AF1006),$AC$1006:$AS$1006,0))&gt;=100000), " ",IF(INDEX($AC$2:$AS$1001,MATCH(ROWS($V$2:V403),$V$2:$V$1001,0),MATCH(COLUMNS($AC$1006:AF1006),$AC$1006:$AS$1006,0)), HYPERLINK("#",""), HYPERLINK(CONCATENATE("#Metadata!", ADDRESS(INDEX($X$2:$X$1001,MATCH(ROWS($V$2:V403),$V$2:$V$1001,0),0), INDEX($AC$1004:$AS$1004,1,MATCH(COLUMNS($AC$1006:AF1006),$AC$1006:$AS$1006,0)))),"Fix")))</f>
        <v>0</v>
      </c>
      <c r="F403" s="5">
        <f>IF(OR(INDEX($W$2:$W$1001,MATCH(ROWS($V$2:V403),$V$2:$V$1001,0),1)&gt;=100000,INDEX($AC$1005:$AS$1005,1,MATCH(COLUMNS($AC$1006:AG1006),$AC$1006:$AS$1006,0))&gt;=100000), " ",IF(INDEX($AC$2:$AS$1001,MATCH(ROWS($V$2:V403),$V$2:$V$1001,0),MATCH(COLUMNS($AC$1006:AG1006),$AC$1006:$AS$1006,0)), HYPERLINK("#",""), HYPERLINK(CONCATENATE("#Metadata!", ADDRESS(INDEX($X$2:$X$1001,MATCH(ROWS($V$2:V403),$V$2:$V$1001,0),0), INDEX($AC$1004:$AS$1004,1,MATCH(COLUMNS($AC$1006:AG1006),$AC$1006:$AS$1006,0)))),"Fix")))</f>
        <v>0</v>
      </c>
      <c r="G403" s="5">
        <f>IF(OR(INDEX($W$2:$W$1001,MATCH(ROWS($V$2:V403),$V$2:$V$1001,0),1)&gt;=100000,INDEX($AC$1005:$AS$1005,1,MATCH(COLUMNS($AC$1006:AH1006),$AC$1006:$AS$1006,0))&gt;=100000), " ",IF(INDEX($AC$2:$AS$1001,MATCH(ROWS($V$2:V403),$V$2:$V$1001,0),MATCH(COLUMNS($AC$1006:AH1006),$AC$1006:$AS$1006,0)), HYPERLINK("#",""), HYPERLINK(CONCATENATE("#Metadata!", ADDRESS(INDEX($X$2:$X$1001,MATCH(ROWS($V$2:V403),$V$2:$V$1001,0),0), INDEX($AC$1004:$AS$1004,1,MATCH(COLUMNS($AC$1006:AH1006),$AC$1006:$AS$1006,0)))),"Fix")))</f>
        <v>0</v>
      </c>
      <c r="H403" s="5">
        <f>IF(OR(INDEX($W$2:$W$1001,MATCH(ROWS($V$2:V403),$V$2:$V$1001,0),1)&gt;=100000,INDEX($AC$1005:$AS$1005,1,MATCH(COLUMNS($AC$1006:AI1006),$AC$1006:$AS$1006,0))&gt;=100000), " ",IF(INDEX($AC$2:$AS$1001,MATCH(ROWS($V$2:V403),$V$2:$V$1001,0),MATCH(COLUMNS($AC$1006:AI1006),$AC$1006:$AS$1006,0)), HYPERLINK("#",""), HYPERLINK(CONCATENATE("#Metadata!", ADDRESS(INDEX($X$2:$X$1001,MATCH(ROWS($V$2:V403),$V$2:$V$1001,0),0), INDEX($AC$1004:$AS$1004,1,MATCH(COLUMNS($AC$1006:AI1006),$AC$1006:$AS$1006,0)))),"Fix")))</f>
        <v>0</v>
      </c>
      <c r="I403" s="5">
        <f>IF(OR(INDEX($W$2:$W$1001,MATCH(ROWS($V$2:V403),$V$2:$V$1001,0),1)&gt;=100000,INDEX($AC$1005:$AS$1005,1,MATCH(COLUMNS($AC$1006:AJ1006),$AC$1006:$AS$1006,0))&gt;=100000), " ",IF(INDEX($AC$2:$AS$1001,MATCH(ROWS($V$2:V403),$V$2:$V$1001,0),MATCH(COLUMNS($AC$1006:AJ1006),$AC$1006:$AS$1006,0)), HYPERLINK("#",""), HYPERLINK(CONCATENATE("#Metadata!", ADDRESS(INDEX($X$2:$X$1001,MATCH(ROWS($V$2:V403),$V$2:$V$1001,0),0), INDEX($AC$1004:$AS$1004,1,MATCH(COLUMNS($AC$1006:AJ1006),$AC$1006:$AS$1006,0)))),"Fix")))</f>
        <v>0</v>
      </c>
      <c r="J403" s="5">
        <f>IF(OR(INDEX($W$2:$W$1001,MATCH(ROWS($V$2:V403),$V$2:$V$1001,0),1)&gt;=100000,INDEX($AC$1005:$AS$1005,1,MATCH(COLUMNS($AC$1006:AK1006),$AC$1006:$AS$1006,0))&gt;=100000), " ",IF(INDEX($AC$2:$AS$1001,MATCH(ROWS($V$2:V403),$V$2:$V$1001,0),MATCH(COLUMNS($AC$1006:AK1006),$AC$1006:$AS$1006,0)), HYPERLINK("#",""), HYPERLINK(CONCATENATE("#Metadata!", ADDRESS(INDEX($X$2:$X$1001,MATCH(ROWS($V$2:V403),$V$2:$V$1001,0),0), INDEX($AC$1004:$AS$1004,1,MATCH(COLUMNS($AC$1006:AK1006),$AC$1006:$AS$1006,0)))),"Fix")))</f>
        <v>0</v>
      </c>
      <c r="K403" s="5">
        <f>IF(OR(INDEX($W$2:$W$1001,MATCH(ROWS($V$2:V403),$V$2:$V$1001,0),1)&gt;=100000,INDEX($AC$1005:$AS$1005,1,MATCH(COLUMNS($AC$1006:AL1006),$AC$1006:$AS$1006,0))&gt;=100000), " ",IF(INDEX($AC$2:$AS$1001,MATCH(ROWS($V$2:V403),$V$2:$V$1001,0),MATCH(COLUMNS($AC$1006:AL1006),$AC$1006:$AS$1006,0)), HYPERLINK("#",""), HYPERLINK(CONCATENATE("#Metadata!", ADDRESS(INDEX($X$2:$X$1001,MATCH(ROWS($V$2:V403),$V$2:$V$1001,0),0), INDEX($AC$1004:$AS$1004,1,MATCH(COLUMNS($AC$1006:AL1006),$AC$1006:$AS$1006,0)))),"Fix")))</f>
        <v>0</v>
      </c>
      <c r="L403" s="5">
        <f>IF(OR(INDEX($W$2:$W$1001,MATCH(ROWS($V$2:V403),$V$2:$V$1001,0),1)&gt;=100000,INDEX($AC$1005:$AS$1005,1,MATCH(COLUMNS($AC$1006:AM1006),$AC$1006:$AS$1006,0))&gt;=100000), " ",IF(INDEX($AC$2:$AS$1001,MATCH(ROWS($V$2:V403),$V$2:$V$1001,0),MATCH(COLUMNS($AC$1006:AM1006),$AC$1006:$AS$1006,0)), HYPERLINK("#",""), HYPERLINK(CONCATENATE("#Metadata!", ADDRESS(INDEX($X$2:$X$1001,MATCH(ROWS($V$2:V403),$V$2:$V$1001,0),0), INDEX($AC$1004:$AS$1004,1,MATCH(COLUMNS($AC$1006:AM1006),$AC$1006:$AS$1006,0)))),"Fix")))</f>
        <v>0</v>
      </c>
      <c r="M403" s="5">
        <f>IF(OR(INDEX($W$2:$W$1001,MATCH(ROWS($V$2:V403),$V$2:$V$1001,0),1)&gt;=100000,INDEX($AC$1005:$AS$1005,1,MATCH(COLUMNS($AC$1006:AN1006),$AC$1006:$AS$1006,0))&gt;=100000), " ",IF(INDEX($AC$2:$AS$1001,MATCH(ROWS($V$2:V403),$V$2:$V$1001,0),MATCH(COLUMNS($AC$1006:AN1006),$AC$1006:$AS$1006,0)), HYPERLINK("#",""), HYPERLINK(CONCATENATE("#Metadata!", ADDRESS(INDEX($X$2:$X$1001,MATCH(ROWS($V$2:V403),$V$2:$V$1001,0),0), INDEX($AC$1004:$AS$1004,1,MATCH(COLUMNS($AC$1006:AN1006),$AC$1006:$AS$1006,0)))),"Fix")))</f>
        <v>0</v>
      </c>
      <c r="N403" s="5">
        <f>IF(OR(INDEX($W$2:$W$1001,MATCH(ROWS($V$2:V403),$V$2:$V$1001,0),1)&gt;=100000,INDEX($AC$1005:$AS$1005,1,MATCH(COLUMNS($AC$1006:AO1006),$AC$1006:$AS$1006,0))&gt;=100000), " ",IF(INDEX($AC$2:$AS$1001,MATCH(ROWS($V$2:V403),$V$2:$V$1001,0),MATCH(COLUMNS($AC$1006:AO1006),$AC$1006:$AS$1006,0)), HYPERLINK("#",""), HYPERLINK(CONCATENATE("#Metadata!", ADDRESS(INDEX($X$2:$X$1001,MATCH(ROWS($V$2:V403),$V$2:$V$1001,0),0), INDEX($AC$1004:$AS$1004,1,MATCH(COLUMNS($AC$1006:AO1006),$AC$1006:$AS$1006,0)))),"Fix")))</f>
        <v>0</v>
      </c>
      <c r="O403" s="5">
        <f>IF(OR(INDEX($W$2:$W$1001,MATCH(ROWS($V$2:V403),$V$2:$V$1001,0),1)&gt;=100000,INDEX($AC$1005:$AS$1005,1,MATCH(COLUMNS($AC$1006:AP1006),$AC$1006:$AS$1006,0))&gt;=100000), " ",IF(INDEX($AC$2:$AS$1001,MATCH(ROWS($V$2:V403),$V$2:$V$1001,0),MATCH(COLUMNS($AC$1006:AP1006),$AC$1006:$AS$1006,0)), HYPERLINK("#",""), HYPERLINK(CONCATENATE("#Metadata!", ADDRESS(INDEX($X$2:$X$1001,MATCH(ROWS($V$2:V403),$V$2:$V$1001,0),0), INDEX($AC$1004:$AS$1004,1,MATCH(COLUMNS($AC$1006:AP1006),$AC$1006:$AS$1006,0)))),"Fix")))</f>
        <v>0</v>
      </c>
      <c r="P403" s="5">
        <f>IF(OR(INDEX($W$2:$W$1001,MATCH(ROWS($V$2:V403),$V$2:$V$1001,0),1)&gt;=100000,INDEX($AC$1005:$AS$1005,1,MATCH(COLUMNS($AC$1006:AQ1006),$AC$1006:$AS$1006,0))&gt;=100000), " ",IF(INDEX($AC$2:$AS$1001,MATCH(ROWS($V$2:V403),$V$2:$V$1001,0),MATCH(COLUMNS($AC$1006:AQ1006),$AC$1006:$AS$1006,0)), HYPERLINK("#",""), HYPERLINK(CONCATENATE("#Metadata!", ADDRESS(INDEX($X$2:$X$1001,MATCH(ROWS($V$2:V403),$V$2:$V$1001,0),0), INDEX($AC$1004:$AS$1004,1,MATCH(COLUMNS($AC$1006:AQ1006),$AC$1006:$AS$1006,0)))),"Fix")))</f>
        <v>0</v>
      </c>
      <c r="Q403" s="5">
        <f>IF(OR(INDEX($W$2:$W$1001,MATCH(ROWS($V$2:V403),$V$2:$V$1001,0),1)&gt;=100000,INDEX($AC$1005:$AS$1005,1,MATCH(COLUMNS($AC$1006:AR1006),$AC$1006:$AS$1006,0))&gt;=100000), " ",IF(INDEX($AC$2:$AS$1001,MATCH(ROWS($V$2:V403),$V$2:$V$1001,0),MATCH(COLUMNS($AC$1006:AR1006),$AC$1006:$AS$1006,0)), HYPERLINK("#",""), HYPERLINK(CONCATENATE("#Metadata!", ADDRESS(INDEX($X$2:$X$1001,MATCH(ROWS($V$2:V403),$V$2:$V$1001,0),0), INDEX($AC$1004:$AS$1004,1,MATCH(COLUMNS($AC$1006:AR1006),$AC$1006:$AS$1006,0)))),"Fix")))</f>
        <v>0</v>
      </c>
      <c r="R403" s="5">
        <f>IF(OR(INDEX($W$2:$W$1001,MATCH(ROWS($V$2:V403),$V$2:$V$1001,0),1)&gt;=100000,INDEX($AC$1005:$AS$1005,1,MATCH(COLUMNS($AC$1006:AS1006),$AC$1006:$AS$1006,0))&gt;=100000), " ",IF(INDEX($AC$2:$AS$1001,MATCH(ROWS($V$2:V403),$V$2:$V$1001,0),MATCH(COLUMNS($AC$1006:AS1006),$AC$1006:$AS$1006,0)), HYPERLINK("#",""), HYPERLINK(CONCATENATE("#Metadata!", ADDRESS(INDEX($X$2:$X$1001,MATCH(ROWS($V$2:V403),$V$2:$V$1001,0),0), INDEX($AC$1004:$AS$1004,1,MATCH(COLUMNS($AC$1006:AS1006),$AC$1006:$AS$1006,0)))),"Fix")))</f>
        <v>0</v>
      </c>
      <c r="V403">
        <v>0</v>
      </c>
      <c r="W403">
        <v>0</v>
      </c>
      <c r="X403">
        <v>0</v>
      </c>
      <c r="Y403">
        <f>IF(Z403,TRUE,AND(AC403:AS403))</f>
        <v>0</v>
      </c>
      <c r="Z403">
        <f>COUNTBLANK(Metadata!B403:R403)=COLUMNS(Metadata!B403:R403)</f>
        <v>0</v>
      </c>
      <c r="AA403">
        <v>0</v>
      </c>
      <c r="AC403">
        <f>AND(IF(Metadata!B403="",FALSE,TRUE),COUNTIF(Metadata!B:B, Metadata!B403) = 1,NOT(ISERROR(SUMPRODUCT(SEARCH(MID(Metadata!B403,ROW(INDIRECT("1:"&amp;LEN(Metadata!B403))), 1),"0123456789abcdefghijklmnopqrstuvwxyzABCDEFGHIJKLMNOPQRSTUVWXYZ.")))))</f>
        <v>0</v>
      </c>
      <c r="AD403">
        <f>AND(IF(Metadata!C403="",FALSE,TRUE),exact(Metadata!C403,"Host-associated"))</f>
        <v>0</v>
      </c>
      <c r="AE403">
        <f>AND(IF(Metadata!D403="",FALSE,TRUE),OR(exact(Metadata!D403,"Animal"),exact(Metadata!D403,"Fungus"),exact(Metadata!D403,"Plant")))</f>
        <v>0</v>
      </c>
      <c r="AF403">
        <f>AND(IF(Metadata!E403="",FALSE,TRUE),OR(exact(Metadata!E403,"Plant secretion"),exact(Metadata!E403,"Plant rhizosphere"),exact(Metadata!E403,"Plant surface"),exact(Metadata!E403,"Plant corpus"),exact(Metadata!E403,"Fungus surface"),exact(Metadata!E403,"Fungus corpus"),exact(Metadata!E403,"Animal surface"),exact(Metadata!E403,"Animal proximal gut"),exact(Metadata!E403,"Animal corpus"),exact(Metadata!E403,"Animal distal gut"),exact(Metadata!E403,"Animal secretion")))</f>
        <v>0</v>
      </c>
      <c r="AG403">
        <f>OR(AND(IF(Metadata!F403="",FALSE,TRUE),OR(exact(Metadata!F403,"not collected"),exact(Metadata!F403,"not provided"),exact(Metadata!F403,"restricted access"))),AND(IF(Metadata!F403="",FALSE,TRUE),OR(exact(Metadata!F403,"organism-associated habitat"),exact(Metadata!F403,"plant-associated habitat"),exact(Metadata!F403,"animal-associated habitat"),exact(Metadata!F403,"insecta-associated habitat"),exact(Metadata!F403,"mammalia-associated habitat"),exact(Metadata!F403,"human-associated habitat"),exact(Metadata!F403,"livestock-associated habitat"))))</f>
        <v>0</v>
      </c>
      <c r="AH403">
        <f>AND(IF(Metadata!G403="",FALSE,TRUE),exact(Metadata!G403,"host-associated"))</f>
        <v>0</v>
      </c>
      <c r="AI403">
        <f>OR(AND(IF(Metadata!H403="",FALSE,TRUE),OR(exact(Metadata!H403,"not collected"),exact(Metadata!H403,"not provided"))),AND(IF(Metadata!H403="",FALSE,ISNUMBER(VALUE(Metadata!H403))),Metadata!H403&gt;0))</f>
        <v>0</v>
      </c>
      <c r="AJ403">
        <f>AND(IF(Metadata!I403="",FALSE,TRUE),exact(Metadata!I403,"years"))</f>
        <v>0</v>
      </c>
      <c r="AK403">
        <f>IF(Metadata!J403="",FALSE,TRUE)</f>
        <v>0</v>
      </c>
      <c r="AL403">
        <f>OR(AND(IF(Metadata!K403="",FALSE,TRUE),OR(exact(Metadata!K403,"not collected"),exact(Metadata!K403,"not provided"))),AND(IF(Metadata!K403="",FALSE,ISNUMBER(VALUE(Metadata!K403))),Metadata!K403&gt;0))</f>
        <v>0</v>
      </c>
      <c r="AM403">
        <f>AND(IF(Metadata!L403="",FALSE,TRUE),exact(Metadata!L403,"cm"))</f>
        <v>0</v>
      </c>
      <c r="AN403">
        <f>IF(Metadata!M403="",FALSE,TRUE)</f>
        <v>0</v>
      </c>
      <c r="AO403">
        <f>OR(AND(IF(Metadata!N403="",FALSE,TRUE),OR(exact(Metadata!N403,"not applicable"),exact(Metadata!N403,"not collected"),exact(Metadata!N403,"not provided"))),AND(IF(Metadata!N403="",FALSE,IF(ISERROR(INT(Metadata!N403)),FALSE,INT(Metadata!N403)=Metadata!N403)),Metadata!N403&gt;0))</f>
        <v>0</v>
      </c>
      <c r="AP403">
        <f>OR(AND(IF(Metadata!O403="",FALSE,TRUE),OR(exact(Metadata!O403,"not collected"),exact(Metadata!O403,"not provided"))),AND(IF(Metadata!O403="",FALSE,ISNUMBER(VALUE(Metadata!O403))),Metadata!O403&gt;0))</f>
        <v>0</v>
      </c>
      <c r="AQ403">
        <f>AND(IF(Metadata!P403="",FALSE,TRUE),exact(Metadata!P403,"kg"))</f>
        <v>0</v>
      </c>
      <c r="AR403">
        <f>OR(AND(IF(Metadata!Q403="",FALSE,TRUE),OR(exact(Metadata!Q403,"not applicable"),exact(Metadata!Q403,"not collected"),exact(Metadata!Q403,"not provided"),exact(Metadata!Q403,"restricted access"))),IF(Metadata!Q403="",FALSE,IF(ISERROR(INT(Metadata!Q403)),FALSE,INT(Metadata!Q403)=Metadata!Q403)))</f>
        <v>0</v>
      </c>
      <c r="AS403">
        <f>AND(IF(Metadata!R403="",FALSE,TRUE),exact(Metadata!R403,"Not applicable"))</f>
        <v>0</v>
      </c>
    </row>
    <row r="404" spans="1:45">
      <c r="A404" s="4">
        <f>IF(B404=" "," ",HYPERLINK(CONCATENATE("#metadata!",ADDRESS(INDEX($X$2:$X$1001,MATCH(ROWS($V$2:V404),$V$2:$V$1001,0),0),2)),INDEX($AA$2:$AA$1001,MATCH(ROWS($V$2:V404),$V$2:$V$1001,0),0)))</f>
        <v>0</v>
      </c>
      <c r="B404" s="5">
        <f>IF(OR(INDEX($W$2:$W$1001,MATCH(ROWS($V$2:V404),$V$2:$V$1001,0),1)&gt;=100000,INDEX($AC$1005:$AS$1005,1,MATCH(COLUMNS($AC$1006:AC1006),$AC$1006:$AS$1006,0))&gt;=100000), " ",IF(INDEX($AC$2:$AS$1001,MATCH(ROWS($V$2:V404),$V$2:$V$1001,0),MATCH(COLUMNS($AC$1006:AC1006),$AC$1006:$AS$1006,0)), HYPERLINK("#",""), HYPERLINK(CONCATENATE("#Metadata!", ADDRESS(INDEX($X$2:$X$1001,MATCH(ROWS($V$2:V404),$V$2:$V$1001,0),0), INDEX($AC$1004:$AS$1004,1,MATCH(COLUMNS($AC$1006:AC1006),$AC$1006:$AS$1006,0)))),"Fix")))</f>
        <v>0</v>
      </c>
      <c r="C404" s="5">
        <f>IF(OR(INDEX($W$2:$W$1001,MATCH(ROWS($V$2:V404),$V$2:$V$1001,0),1)&gt;=100000,INDEX($AC$1005:$AS$1005,1,MATCH(COLUMNS($AC$1006:AD1006),$AC$1006:$AS$1006,0))&gt;=100000), " ",IF(INDEX($AC$2:$AS$1001,MATCH(ROWS($V$2:V404),$V$2:$V$1001,0),MATCH(COLUMNS($AC$1006:AD1006),$AC$1006:$AS$1006,0)), HYPERLINK("#",""), HYPERLINK(CONCATENATE("#Metadata!", ADDRESS(INDEX($X$2:$X$1001,MATCH(ROWS($V$2:V404),$V$2:$V$1001,0),0), INDEX($AC$1004:$AS$1004,1,MATCH(COLUMNS($AC$1006:AD1006),$AC$1006:$AS$1006,0)))),"Fix")))</f>
        <v>0</v>
      </c>
      <c r="D404" s="5">
        <f>IF(OR(INDEX($W$2:$W$1001,MATCH(ROWS($V$2:V404),$V$2:$V$1001,0),1)&gt;=100000,INDEX($AC$1005:$AS$1005,1,MATCH(COLUMNS($AC$1006:AE1006),$AC$1006:$AS$1006,0))&gt;=100000), " ",IF(INDEX($AC$2:$AS$1001,MATCH(ROWS($V$2:V404),$V$2:$V$1001,0),MATCH(COLUMNS($AC$1006:AE1006),$AC$1006:$AS$1006,0)), HYPERLINK("#",""), HYPERLINK(CONCATENATE("#Metadata!", ADDRESS(INDEX($X$2:$X$1001,MATCH(ROWS($V$2:V404),$V$2:$V$1001,0),0), INDEX($AC$1004:$AS$1004,1,MATCH(COLUMNS($AC$1006:AE1006),$AC$1006:$AS$1006,0)))),"Fix")))</f>
        <v>0</v>
      </c>
      <c r="E404" s="5">
        <f>IF(OR(INDEX($W$2:$W$1001,MATCH(ROWS($V$2:V404),$V$2:$V$1001,0),1)&gt;=100000,INDEX($AC$1005:$AS$1005,1,MATCH(COLUMNS($AC$1006:AF1006),$AC$1006:$AS$1006,0))&gt;=100000), " ",IF(INDEX($AC$2:$AS$1001,MATCH(ROWS($V$2:V404),$V$2:$V$1001,0),MATCH(COLUMNS($AC$1006:AF1006),$AC$1006:$AS$1006,0)), HYPERLINK("#",""), HYPERLINK(CONCATENATE("#Metadata!", ADDRESS(INDEX($X$2:$X$1001,MATCH(ROWS($V$2:V404),$V$2:$V$1001,0),0), INDEX($AC$1004:$AS$1004,1,MATCH(COLUMNS($AC$1006:AF1006),$AC$1006:$AS$1006,0)))),"Fix")))</f>
        <v>0</v>
      </c>
      <c r="F404" s="5">
        <f>IF(OR(INDEX($W$2:$W$1001,MATCH(ROWS($V$2:V404),$V$2:$V$1001,0),1)&gt;=100000,INDEX($AC$1005:$AS$1005,1,MATCH(COLUMNS($AC$1006:AG1006),$AC$1006:$AS$1006,0))&gt;=100000), " ",IF(INDEX($AC$2:$AS$1001,MATCH(ROWS($V$2:V404),$V$2:$V$1001,0),MATCH(COLUMNS($AC$1006:AG1006),$AC$1006:$AS$1006,0)), HYPERLINK("#",""), HYPERLINK(CONCATENATE("#Metadata!", ADDRESS(INDEX($X$2:$X$1001,MATCH(ROWS($V$2:V404),$V$2:$V$1001,0),0), INDEX($AC$1004:$AS$1004,1,MATCH(COLUMNS($AC$1006:AG1006),$AC$1006:$AS$1006,0)))),"Fix")))</f>
        <v>0</v>
      </c>
      <c r="G404" s="5">
        <f>IF(OR(INDEX($W$2:$W$1001,MATCH(ROWS($V$2:V404),$V$2:$V$1001,0),1)&gt;=100000,INDEX($AC$1005:$AS$1005,1,MATCH(COLUMNS($AC$1006:AH1006),$AC$1006:$AS$1006,0))&gt;=100000), " ",IF(INDEX($AC$2:$AS$1001,MATCH(ROWS($V$2:V404),$V$2:$V$1001,0),MATCH(COLUMNS($AC$1006:AH1006),$AC$1006:$AS$1006,0)), HYPERLINK("#",""), HYPERLINK(CONCATENATE("#Metadata!", ADDRESS(INDEX($X$2:$X$1001,MATCH(ROWS($V$2:V404),$V$2:$V$1001,0),0), INDEX($AC$1004:$AS$1004,1,MATCH(COLUMNS($AC$1006:AH1006),$AC$1006:$AS$1006,0)))),"Fix")))</f>
        <v>0</v>
      </c>
      <c r="H404" s="5">
        <f>IF(OR(INDEX($W$2:$W$1001,MATCH(ROWS($V$2:V404),$V$2:$V$1001,0),1)&gt;=100000,INDEX($AC$1005:$AS$1005,1,MATCH(COLUMNS($AC$1006:AI1006),$AC$1006:$AS$1006,0))&gt;=100000), " ",IF(INDEX($AC$2:$AS$1001,MATCH(ROWS($V$2:V404),$V$2:$V$1001,0),MATCH(COLUMNS($AC$1006:AI1006),$AC$1006:$AS$1006,0)), HYPERLINK("#",""), HYPERLINK(CONCATENATE("#Metadata!", ADDRESS(INDEX($X$2:$X$1001,MATCH(ROWS($V$2:V404),$V$2:$V$1001,0),0), INDEX($AC$1004:$AS$1004,1,MATCH(COLUMNS($AC$1006:AI1006),$AC$1006:$AS$1006,0)))),"Fix")))</f>
        <v>0</v>
      </c>
      <c r="I404" s="5">
        <f>IF(OR(INDEX($W$2:$W$1001,MATCH(ROWS($V$2:V404),$V$2:$V$1001,0),1)&gt;=100000,INDEX($AC$1005:$AS$1005,1,MATCH(COLUMNS($AC$1006:AJ1006),$AC$1006:$AS$1006,0))&gt;=100000), " ",IF(INDEX($AC$2:$AS$1001,MATCH(ROWS($V$2:V404),$V$2:$V$1001,0),MATCH(COLUMNS($AC$1006:AJ1006),$AC$1006:$AS$1006,0)), HYPERLINK("#",""), HYPERLINK(CONCATENATE("#Metadata!", ADDRESS(INDEX($X$2:$X$1001,MATCH(ROWS($V$2:V404),$V$2:$V$1001,0),0), INDEX($AC$1004:$AS$1004,1,MATCH(COLUMNS($AC$1006:AJ1006),$AC$1006:$AS$1006,0)))),"Fix")))</f>
        <v>0</v>
      </c>
      <c r="J404" s="5">
        <f>IF(OR(INDEX($W$2:$W$1001,MATCH(ROWS($V$2:V404),$V$2:$V$1001,0),1)&gt;=100000,INDEX($AC$1005:$AS$1005,1,MATCH(COLUMNS($AC$1006:AK1006),$AC$1006:$AS$1006,0))&gt;=100000), " ",IF(INDEX($AC$2:$AS$1001,MATCH(ROWS($V$2:V404),$V$2:$V$1001,0),MATCH(COLUMNS($AC$1006:AK1006),$AC$1006:$AS$1006,0)), HYPERLINK("#",""), HYPERLINK(CONCATENATE("#Metadata!", ADDRESS(INDEX($X$2:$X$1001,MATCH(ROWS($V$2:V404),$V$2:$V$1001,0),0), INDEX($AC$1004:$AS$1004,1,MATCH(COLUMNS($AC$1006:AK1006),$AC$1006:$AS$1006,0)))),"Fix")))</f>
        <v>0</v>
      </c>
      <c r="K404" s="5">
        <f>IF(OR(INDEX($W$2:$W$1001,MATCH(ROWS($V$2:V404),$V$2:$V$1001,0),1)&gt;=100000,INDEX($AC$1005:$AS$1005,1,MATCH(COLUMNS($AC$1006:AL1006),$AC$1006:$AS$1006,0))&gt;=100000), " ",IF(INDEX($AC$2:$AS$1001,MATCH(ROWS($V$2:V404),$V$2:$V$1001,0),MATCH(COLUMNS($AC$1006:AL1006),$AC$1006:$AS$1006,0)), HYPERLINK("#",""), HYPERLINK(CONCATENATE("#Metadata!", ADDRESS(INDEX($X$2:$X$1001,MATCH(ROWS($V$2:V404),$V$2:$V$1001,0),0), INDEX($AC$1004:$AS$1004,1,MATCH(COLUMNS($AC$1006:AL1006),$AC$1006:$AS$1006,0)))),"Fix")))</f>
        <v>0</v>
      </c>
      <c r="L404" s="5">
        <f>IF(OR(INDEX($W$2:$W$1001,MATCH(ROWS($V$2:V404),$V$2:$V$1001,0),1)&gt;=100000,INDEX($AC$1005:$AS$1005,1,MATCH(COLUMNS($AC$1006:AM1006),$AC$1006:$AS$1006,0))&gt;=100000), " ",IF(INDEX($AC$2:$AS$1001,MATCH(ROWS($V$2:V404),$V$2:$V$1001,0),MATCH(COLUMNS($AC$1006:AM1006),$AC$1006:$AS$1006,0)), HYPERLINK("#",""), HYPERLINK(CONCATENATE("#Metadata!", ADDRESS(INDEX($X$2:$X$1001,MATCH(ROWS($V$2:V404),$V$2:$V$1001,0),0), INDEX($AC$1004:$AS$1004,1,MATCH(COLUMNS($AC$1006:AM1006),$AC$1006:$AS$1006,0)))),"Fix")))</f>
        <v>0</v>
      </c>
      <c r="M404" s="5">
        <f>IF(OR(INDEX($W$2:$W$1001,MATCH(ROWS($V$2:V404),$V$2:$V$1001,0),1)&gt;=100000,INDEX($AC$1005:$AS$1005,1,MATCH(COLUMNS($AC$1006:AN1006),$AC$1006:$AS$1006,0))&gt;=100000), " ",IF(INDEX($AC$2:$AS$1001,MATCH(ROWS($V$2:V404),$V$2:$V$1001,0),MATCH(COLUMNS($AC$1006:AN1006),$AC$1006:$AS$1006,0)), HYPERLINK("#",""), HYPERLINK(CONCATENATE("#Metadata!", ADDRESS(INDEX($X$2:$X$1001,MATCH(ROWS($V$2:V404),$V$2:$V$1001,0),0), INDEX($AC$1004:$AS$1004,1,MATCH(COLUMNS($AC$1006:AN1006),$AC$1006:$AS$1006,0)))),"Fix")))</f>
        <v>0</v>
      </c>
      <c r="N404" s="5">
        <f>IF(OR(INDEX($W$2:$W$1001,MATCH(ROWS($V$2:V404),$V$2:$V$1001,0),1)&gt;=100000,INDEX($AC$1005:$AS$1005,1,MATCH(COLUMNS($AC$1006:AO1006),$AC$1006:$AS$1006,0))&gt;=100000), " ",IF(INDEX($AC$2:$AS$1001,MATCH(ROWS($V$2:V404),$V$2:$V$1001,0),MATCH(COLUMNS($AC$1006:AO1006),$AC$1006:$AS$1006,0)), HYPERLINK("#",""), HYPERLINK(CONCATENATE("#Metadata!", ADDRESS(INDEX($X$2:$X$1001,MATCH(ROWS($V$2:V404),$V$2:$V$1001,0),0), INDEX($AC$1004:$AS$1004,1,MATCH(COLUMNS($AC$1006:AO1006),$AC$1006:$AS$1006,0)))),"Fix")))</f>
        <v>0</v>
      </c>
      <c r="O404" s="5">
        <f>IF(OR(INDEX($W$2:$W$1001,MATCH(ROWS($V$2:V404),$V$2:$V$1001,0),1)&gt;=100000,INDEX($AC$1005:$AS$1005,1,MATCH(COLUMNS($AC$1006:AP1006),$AC$1006:$AS$1006,0))&gt;=100000), " ",IF(INDEX($AC$2:$AS$1001,MATCH(ROWS($V$2:V404),$V$2:$V$1001,0),MATCH(COLUMNS($AC$1006:AP1006),$AC$1006:$AS$1006,0)), HYPERLINK("#",""), HYPERLINK(CONCATENATE("#Metadata!", ADDRESS(INDEX($X$2:$X$1001,MATCH(ROWS($V$2:V404),$V$2:$V$1001,0),0), INDEX($AC$1004:$AS$1004,1,MATCH(COLUMNS($AC$1006:AP1006),$AC$1006:$AS$1006,0)))),"Fix")))</f>
        <v>0</v>
      </c>
      <c r="P404" s="5">
        <f>IF(OR(INDEX($W$2:$W$1001,MATCH(ROWS($V$2:V404),$V$2:$V$1001,0),1)&gt;=100000,INDEX($AC$1005:$AS$1005,1,MATCH(COLUMNS($AC$1006:AQ1006),$AC$1006:$AS$1006,0))&gt;=100000), " ",IF(INDEX($AC$2:$AS$1001,MATCH(ROWS($V$2:V404),$V$2:$V$1001,0),MATCH(COLUMNS($AC$1006:AQ1006),$AC$1006:$AS$1006,0)), HYPERLINK("#",""), HYPERLINK(CONCATENATE("#Metadata!", ADDRESS(INDEX($X$2:$X$1001,MATCH(ROWS($V$2:V404),$V$2:$V$1001,0),0), INDEX($AC$1004:$AS$1004,1,MATCH(COLUMNS($AC$1006:AQ1006),$AC$1006:$AS$1006,0)))),"Fix")))</f>
        <v>0</v>
      </c>
      <c r="Q404" s="5">
        <f>IF(OR(INDEX($W$2:$W$1001,MATCH(ROWS($V$2:V404),$V$2:$V$1001,0),1)&gt;=100000,INDEX($AC$1005:$AS$1005,1,MATCH(COLUMNS($AC$1006:AR1006),$AC$1006:$AS$1006,0))&gt;=100000), " ",IF(INDEX($AC$2:$AS$1001,MATCH(ROWS($V$2:V404),$V$2:$V$1001,0),MATCH(COLUMNS($AC$1006:AR1006),$AC$1006:$AS$1006,0)), HYPERLINK("#",""), HYPERLINK(CONCATENATE("#Metadata!", ADDRESS(INDEX($X$2:$X$1001,MATCH(ROWS($V$2:V404),$V$2:$V$1001,0),0), INDEX($AC$1004:$AS$1004,1,MATCH(COLUMNS($AC$1006:AR1006),$AC$1006:$AS$1006,0)))),"Fix")))</f>
        <v>0</v>
      </c>
      <c r="R404" s="5">
        <f>IF(OR(INDEX($W$2:$W$1001,MATCH(ROWS($V$2:V404),$V$2:$V$1001,0),1)&gt;=100000,INDEX($AC$1005:$AS$1005,1,MATCH(COLUMNS($AC$1006:AS1006),$AC$1006:$AS$1006,0))&gt;=100000), " ",IF(INDEX($AC$2:$AS$1001,MATCH(ROWS($V$2:V404),$V$2:$V$1001,0),MATCH(COLUMNS($AC$1006:AS1006),$AC$1006:$AS$1006,0)), HYPERLINK("#",""), HYPERLINK(CONCATENATE("#Metadata!", ADDRESS(INDEX($X$2:$X$1001,MATCH(ROWS($V$2:V404),$V$2:$V$1001,0),0), INDEX($AC$1004:$AS$1004,1,MATCH(COLUMNS($AC$1006:AS1006),$AC$1006:$AS$1006,0)))),"Fix")))</f>
        <v>0</v>
      </c>
      <c r="V404">
        <v>0</v>
      </c>
      <c r="W404">
        <v>0</v>
      </c>
      <c r="X404">
        <v>0</v>
      </c>
      <c r="Y404">
        <f>IF(Z404,TRUE,AND(AC404:AS404))</f>
        <v>0</v>
      </c>
      <c r="Z404">
        <f>COUNTBLANK(Metadata!B404:R404)=COLUMNS(Metadata!B404:R404)</f>
        <v>0</v>
      </c>
      <c r="AA404">
        <v>0</v>
      </c>
      <c r="AC404">
        <f>AND(IF(Metadata!B404="",FALSE,TRUE),COUNTIF(Metadata!B:B, Metadata!B404) = 1,NOT(ISERROR(SUMPRODUCT(SEARCH(MID(Metadata!B404,ROW(INDIRECT("1:"&amp;LEN(Metadata!B404))), 1),"0123456789abcdefghijklmnopqrstuvwxyzABCDEFGHIJKLMNOPQRSTUVWXYZ.")))))</f>
        <v>0</v>
      </c>
      <c r="AD404">
        <f>AND(IF(Metadata!C404="",FALSE,TRUE),exact(Metadata!C404,"Host-associated"))</f>
        <v>0</v>
      </c>
      <c r="AE404">
        <f>AND(IF(Metadata!D404="",FALSE,TRUE),OR(exact(Metadata!D404,"Animal"),exact(Metadata!D404,"Fungus"),exact(Metadata!D404,"Plant")))</f>
        <v>0</v>
      </c>
      <c r="AF404">
        <f>AND(IF(Metadata!E404="",FALSE,TRUE),OR(exact(Metadata!E404,"Plant secretion"),exact(Metadata!E404,"Plant rhizosphere"),exact(Metadata!E404,"Plant surface"),exact(Metadata!E404,"Plant corpus"),exact(Metadata!E404,"Fungus surface"),exact(Metadata!E404,"Fungus corpus"),exact(Metadata!E404,"Animal surface"),exact(Metadata!E404,"Animal proximal gut"),exact(Metadata!E404,"Animal corpus"),exact(Metadata!E404,"Animal distal gut"),exact(Metadata!E404,"Animal secretion")))</f>
        <v>0</v>
      </c>
      <c r="AG404">
        <f>OR(AND(IF(Metadata!F404="",FALSE,TRUE),OR(exact(Metadata!F404,"not collected"),exact(Metadata!F404,"not provided"),exact(Metadata!F404,"restricted access"))),AND(IF(Metadata!F404="",FALSE,TRUE),OR(exact(Metadata!F404,"organism-associated habitat"),exact(Metadata!F404,"plant-associated habitat"),exact(Metadata!F404,"animal-associated habitat"),exact(Metadata!F404,"insecta-associated habitat"),exact(Metadata!F404,"mammalia-associated habitat"),exact(Metadata!F404,"human-associated habitat"),exact(Metadata!F404,"livestock-associated habitat"))))</f>
        <v>0</v>
      </c>
      <c r="AH404">
        <f>AND(IF(Metadata!G404="",FALSE,TRUE),exact(Metadata!G404,"host-associated"))</f>
        <v>0</v>
      </c>
      <c r="AI404">
        <f>OR(AND(IF(Metadata!H404="",FALSE,TRUE),OR(exact(Metadata!H404,"not collected"),exact(Metadata!H404,"not provided"))),AND(IF(Metadata!H404="",FALSE,ISNUMBER(VALUE(Metadata!H404))),Metadata!H404&gt;0))</f>
        <v>0</v>
      </c>
      <c r="AJ404">
        <f>AND(IF(Metadata!I404="",FALSE,TRUE),exact(Metadata!I404,"years"))</f>
        <v>0</v>
      </c>
      <c r="AK404">
        <f>IF(Metadata!J404="",FALSE,TRUE)</f>
        <v>0</v>
      </c>
      <c r="AL404">
        <f>OR(AND(IF(Metadata!K404="",FALSE,TRUE),OR(exact(Metadata!K404,"not collected"),exact(Metadata!K404,"not provided"))),AND(IF(Metadata!K404="",FALSE,ISNUMBER(VALUE(Metadata!K404))),Metadata!K404&gt;0))</f>
        <v>0</v>
      </c>
      <c r="AM404">
        <f>AND(IF(Metadata!L404="",FALSE,TRUE),exact(Metadata!L404,"cm"))</f>
        <v>0</v>
      </c>
      <c r="AN404">
        <f>IF(Metadata!M404="",FALSE,TRUE)</f>
        <v>0</v>
      </c>
      <c r="AO404">
        <f>OR(AND(IF(Metadata!N404="",FALSE,TRUE),OR(exact(Metadata!N404,"not applicable"),exact(Metadata!N404,"not collected"),exact(Metadata!N404,"not provided"))),AND(IF(Metadata!N404="",FALSE,IF(ISERROR(INT(Metadata!N404)),FALSE,INT(Metadata!N404)=Metadata!N404)),Metadata!N404&gt;0))</f>
        <v>0</v>
      </c>
      <c r="AP404">
        <f>OR(AND(IF(Metadata!O404="",FALSE,TRUE),OR(exact(Metadata!O404,"not collected"),exact(Metadata!O404,"not provided"))),AND(IF(Metadata!O404="",FALSE,ISNUMBER(VALUE(Metadata!O404))),Metadata!O404&gt;0))</f>
        <v>0</v>
      </c>
      <c r="AQ404">
        <f>AND(IF(Metadata!P404="",FALSE,TRUE),exact(Metadata!P404,"kg"))</f>
        <v>0</v>
      </c>
      <c r="AR404">
        <f>OR(AND(IF(Metadata!Q404="",FALSE,TRUE),OR(exact(Metadata!Q404,"not applicable"),exact(Metadata!Q404,"not collected"),exact(Metadata!Q404,"not provided"),exact(Metadata!Q404,"restricted access"))),IF(Metadata!Q404="",FALSE,IF(ISERROR(INT(Metadata!Q404)),FALSE,INT(Metadata!Q404)=Metadata!Q404)))</f>
        <v>0</v>
      </c>
      <c r="AS404">
        <f>AND(IF(Metadata!R404="",FALSE,TRUE),exact(Metadata!R404,"Not applicable"))</f>
        <v>0</v>
      </c>
    </row>
    <row r="405" spans="1:45">
      <c r="A405" s="4">
        <f>IF(B405=" "," ",HYPERLINK(CONCATENATE("#metadata!",ADDRESS(INDEX($X$2:$X$1001,MATCH(ROWS($V$2:V405),$V$2:$V$1001,0),0),2)),INDEX($AA$2:$AA$1001,MATCH(ROWS($V$2:V405),$V$2:$V$1001,0),0)))</f>
        <v>0</v>
      </c>
      <c r="B405" s="5">
        <f>IF(OR(INDEX($W$2:$W$1001,MATCH(ROWS($V$2:V405),$V$2:$V$1001,0),1)&gt;=100000,INDEX($AC$1005:$AS$1005,1,MATCH(COLUMNS($AC$1006:AC1006),$AC$1006:$AS$1006,0))&gt;=100000), " ",IF(INDEX($AC$2:$AS$1001,MATCH(ROWS($V$2:V405),$V$2:$V$1001,0),MATCH(COLUMNS($AC$1006:AC1006),$AC$1006:$AS$1006,0)), HYPERLINK("#",""), HYPERLINK(CONCATENATE("#Metadata!", ADDRESS(INDEX($X$2:$X$1001,MATCH(ROWS($V$2:V405),$V$2:$V$1001,0),0), INDEX($AC$1004:$AS$1004,1,MATCH(COLUMNS($AC$1006:AC1006),$AC$1006:$AS$1006,0)))),"Fix")))</f>
        <v>0</v>
      </c>
      <c r="C405" s="5">
        <f>IF(OR(INDEX($W$2:$W$1001,MATCH(ROWS($V$2:V405),$V$2:$V$1001,0),1)&gt;=100000,INDEX($AC$1005:$AS$1005,1,MATCH(COLUMNS($AC$1006:AD1006),$AC$1006:$AS$1006,0))&gt;=100000), " ",IF(INDEX($AC$2:$AS$1001,MATCH(ROWS($V$2:V405),$V$2:$V$1001,0),MATCH(COLUMNS($AC$1006:AD1006),$AC$1006:$AS$1006,0)), HYPERLINK("#",""), HYPERLINK(CONCATENATE("#Metadata!", ADDRESS(INDEX($X$2:$X$1001,MATCH(ROWS($V$2:V405),$V$2:$V$1001,0),0), INDEX($AC$1004:$AS$1004,1,MATCH(COLUMNS($AC$1006:AD1006),$AC$1006:$AS$1006,0)))),"Fix")))</f>
        <v>0</v>
      </c>
      <c r="D405" s="5">
        <f>IF(OR(INDEX($W$2:$W$1001,MATCH(ROWS($V$2:V405),$V$2:$V$1001,0),1)&gt;=100000,INDEX($AC$1005:$AS$1005,1,MATCH(COLUMNS($AC$1006:AE1006),$AC$1006:$AS$1006,0))&gt;=100000), " ",IF(INDEX($AC$2:$AS$1001,MATCH(ROWS($V$2:V405),$V$2:$V$1001,0),MATCH(COLUMNS($AC$1006:AE1006),$AC$1006:$AS$1006,0)), HYPERLINK("#",""), HYPERLINK(CONCATENATE("#Metadata!", ADDRESS(INDEX($X$2:$X$1001,MATCH(ROWS($V$2:V405),$V$2:$V$1001,0),0), INDEX($AC$1004:$AS$1004,1,MATCH(COLUMNS($AC$1006:AE1006),$AC$1006:$AS$1006,0)))),"Fix")))</f>
        <v>0</v>
      </c>
      <c r="E405" s="5">
        <f>IF(OR(INDEX($W$2:$W$1001,MATCH(ROWS($V$2:V405),$V$2:$V$1001,0),1)&gt;=100000,INDEX($AC$1005:$AS$1005,1,MATCH(COLUMNS($AC$1006:AF1006),$AC$1006:$AS$1006,0))&gt;=100000), " ",IF(INDEX($AC$2:$AS$1001,MATCH(ROWS($V$2:V405),$V$2:$V$1001,0),MATCH(COLUMNS($AC$1006:AF1006),$AC$1006:$AS$1006,0)), HYPERLINK("#",""), HYPERLINK(CONCATENATE("#Metadata!", ADDRESS(INDEX($X$2:$X$1001,MATCH(ROWS($V$2:V405),$V$2:$V$1001,0),0), INDEX($AC$1004:$AS$1004,1,MATCH(COLUMNS($AC$1006:AF1006),$AC$1006:$AS$1006,0)))),"Fix")))</f>
        <v>0</v>
      </c>
      <c r="F405" s="5">
        <f>IF(OR(INDEX($W$2:$W$1001,MATCH(ROWS($V$2:V405),$V$2:$V$1001,0),1)&gt;=100000,INDEX($AC$1005:$AS$1005,1,MATCH(COLUMNS($AC$1006:AG1006),$AC$1006:$AS$1006,0))&gt;=100000), " ",IF(INDEX($AC$2:$AS$1001,MATCH(ROWS($V$2:V405),$V$2:$V$1001,0),MATCH(COLUMNS($AC$1006:AG1006),$AC$1006:$AS$1006,0)), HYPERLINK("#",""), HYPERLINK(CONCATENATE("#Metadata!", ADDRESS(INDEX($X$2:$X$1001,MATCH(ROWS($V$2:V405),$V$2:$V$1001,0),0), INDEX($AC$1004:$AS$1004,1,MATCH(COLUMNS($AC$1006:AG1006),$AC$1006:$AS$1006,0)))),"Fix")))</f>
        <v>0</v>
      </c>
      <c r="G405" s="5">
        <f>IF(OR(INDEX($W$2:$W$1001,MATCH(ROWS($V$2:V405),$V$2:$V$1001,0),1)&gt;=100000,INDEX($AC$1005:$AS$1005,1,MATCH(COLUMNS($AC$1006:AH1006),$AC$1006:$AS$1006,0))&gt;=100000), " ",IF(INDEX($AC$2:$AS$1001,MATCH(ROWS($V$2:V405),$V$2:$V$1001,0),MATCH(COLUMNS($AC$1006:AH1006),$AC$1006:$AS$1006,0)), HYPERLINK("#",""), HYPERLINK(CONCATENATE("#Metadata!", ADDRESS(INDEX($X$2:$X$1001,MATCH(ROWS($V$2:V405),$V$2:$V$1001,0),0), INDEX($AC$1004:$AS$1004,1,MATCH(COLUMNS($AC$1006:AH1006),$AC$1006:$AS$1006,0)))),"Fix")))</f>
        <v>0</v>
      </c>
      <c r="H405" s="5">
        <f>IF(OR(INDEX($W$2:$W$1001,MATCH(ROWS($V$2:V405),$V$2:$V$1001,0),1)&gt;=100000,INDEX($AC$1005:$AS$1005,1,MATCH(COLUMNS($AC$1006:AI1006),$AC$1006:$AS$1006,0))&gt;=100000), " ",IF(INDEX($AC$2:$AS$1001,MATCH(ROWS($V$2:V405),$V$2:$V$1001,0),MATCH(COLUMNS($AC$1006:AI1006),$AC$1006:$AS$1006,0)), HYPERLINK("#",""), HYPERLINK(CONCATENATE("#Metadata!", ADDRESS(INDEX($X$2:$X$1001,MATCH(ROWS($V$2:V405),$V$2:$V$1001,0),0), INDEX($AC$1004:$AS$1004,1,MATCH(COLUMNS($AC$1006:AI1006),$AC$1006:$AS$1006,0)))),"Fix")))</f>
        <v>0</v>
      </c>
      <c r="I405" s="5">
        <f>IF(OR(INDEX($W$2:$W$1001,MATCH(ROWS($V$2:V405),$V$2:$V$1001,0),1)&gt;=100000,INDEX($AC$1005:$AS$1005,1,MATCH(COLUMNS($AC$1006:AJ1006),$AC$1006:$AS$1006,0))&gt;=100000), " ",IF(INDEX($AC$2:$AS$1001,MATCH(ROWS($V$2:V405),$V$2:$V$1001,0),MATCH(COLUMNS($AC$1006:AJ1006),$AC$1006:$AS$1006,0)), HYPERLINK("#",""), HYPERLINK(CONCATENATE("#Metadata!", ADDRESS(INDEX($X$2:$X$1001,MATCH(ROWS($V$2:V405),$V$2:$V$1001,0),0), INDEX($AC$1004:$AS$1004,1,MATCH(COLUMNS($AC$1006:AJ1006),$AC$1006:$AS$1006,0)))),"Fix")))</f>
        <v>0</v>
      </c>
      <c r="J405" s="5">
        <f>IF(OR(INDEX($W$2:$W$1001,MATCH(ROWS($V$2:V405),$V$2:$V$1001,0),1)&gt;=100000,INDEX($AC$1005:$AS$1005,1,MATCH(COLUMNS($AC$1006:AK1006),$AC$1006:$AS$1006,0))&gt;=100000), " ",IF(INDEX($AC$2:$AS$1001,MATCH(ROWS($V$2:V405),$V$2:$V$1001,0),MATCH(COLUMNS($AC$1006:AK1006),$AC$1006:$AS$1006,0)), HYPERLINK("#",""), HYPERLINK(CONCATENATE("#Metadata!", ADDRESS(INDEX($X$2:$X$1001,MATCH(ROWS($V$2:V405),$V$2:$V$1001,0),0), INDEX($AC$1004:$AS$1004,1,MATCH(COLUMNS($AC$1006:AK1006),$AC$1006:$AS$1006,0)))),"Fix")))</f>
        <v>0</v>
      </c>
      <c r="K405" s="5">
        <f>IF(OR(INDEX($W$2:$W$1001,MATCH(ROWS($V$2:V405),$V$2:$V$1001,0),1)&gt;=100000,INDEX($AC$1005:$AS$1005,1,MATCH(COLUMNS($AC$1006:AL1006),$AC$1006:$AS$1006,0))&gt;=100000), " ",IF(INDEX($AC$2:$AS$1001,MATCH(ROWS($V$2:V405),$V$2:$V$1001,0),MATCH(COLUMNS($AC$1006:AL1006),$AC$1006:$AS$1006,0)), HYPERLINK("#",""), HYPERLINK(CONCATENATE("#Metadata!", ADDRESS(INDEX($X$2:$X$1001,MATCH(ROWS($V$2:V405),$V$2:$V$1001,0),0), INDEX($AC$1004:$AS$1004,1,MATCH(COLUMNS($AC$1006:AL1006),$AC$1006:$AS$1006,0)))),"Fix")))</f>
        <v>0</v>
      </c>
      <c r="L405" s="5">
        <f>IF(OR(INDEX($W$2:$W$1001,MATCH(ROWS($V$2:V405),$V$2:$V$1001,0),1)&gt;=100000,INDEX($AC$1005:$AS$1005,1,MATCH(COLUMNS($AC$1006:AM1006),$AC$1006:$AS$1006,0))&gt;=100000), " ",IF(INDEX($AC$2:$AS$1001,MATCH(ROWS($V$2:V405),$V$2:$V$1001,0),MATCH(COLUMNS($AC$1006:AM1006),$AC$1006:$AS$1006,0)), HYPERLINK("#",""), HYPERLINK(CONCATENATE("#Metadata!", ADDRESS(INDEX($X$2:$X$1001,MATCH(ROWS($V$2:V405),$V$2:$V$1001,0),0), INDEX($AC$1004:$AS$1004,1,MATCH(COLUMNS($AC$1006:AM1006),$AC$1006:$AS$1006,0)))),"Fix")))</f>
        <v>0</v>
      </c>
      <c r="M405" s="5">
        <f>IF(OR(INDEX($W$2:$W$1001,MATCH(ROWS($V$2:V405),$V$2:$V$1001,0),1)&gt;=100000,INDEX($AC$1005:$AS$1005,1,MATCH(COLUMNS($AC$1006:AN1006),$AC$1006:$AS$1006,0))&gt;=100000), " ",IF(INDEX($AC$2:$AS$1001,MATCH(ROWS($V$2:V405),$V$2:$V$1001,0),MATCH(COLUMNS($AC$1006:AN1006),$AC$1006:$AS$1006,0)), HYPERLINK("#",""), HYPERLINK(CONCATENATE("#Metadata!", ADDRESS(INDEX($X$2:$X$1001,MATCH(ROWS($V$2:V405),$V$2:$V$1001,0),0), INDEX($AC$1004:$AS$1004,1,MATCH(COLUMNS($AC$1006:AN1006),$AC$1006:$AS$1006,0)))),"Fix")))</f>
        <v>0</v>
      </c>
      <c r="N405" s="5">
        <f>IF(OR(INDEX($W$2:$W$1001,MATCH(ROWS($V$2:V405),$V$2:$V$1001,0),1)&gt;=100000,INDEX($AC$1005:$AS$1005,1,MATCH(COLUMNS($AC$1006:AO1006),$AC$1006:$AS$1006,0))&gt;=100000), " ",IF(INDEX($AC$2:$AS$1001,MATCH(ROWS($V$2:V405),$V$2:$V$1001,0),MATCH(COLUMNS($AC$1006:AO1006),$AC$1006:$AS$1006,0)), HYPERLINK("#",""), HYPERLINK(CONCATENATE("#Metadata!", ADDRESS(INDEX($X$2:$X$1001,MATCH(ROWS($V$2:V405),$V$2:$V$1001,0),0), INDEX($AC$1004:$AS$1004,1,MATCH(COLUMNS($AC$1006:AO1006),$AC$1006:$AS$1006,0)))),"Fix")))</f>
        <v>0</v>
      </c>
      <c r="O405" s="5">
        <f>IF(OR(INDEX($W$2:$W$1001,MATCH(ROWS($V$2:V405),$V$2:$V$1001,0),1)&gt;=100000,INDEX($AC$1005:$AS$1005,1,MATCH(COLUMNS($AC$1006:AP1006),$AC$1006:$AS$1006,0))&gt;=100000), " ",IF(INDEX($AC$2:$AS$1001,MATCH(ROWS($V$2:V405),$V$2:$V$1001,0),MATCH(COLUMNS($AC$1006:AP1006),$AC$1006:$AS$1006,0)), HYPERLINK("#",""), HYPERLINK(CONCATENATE("#Metadata!", ADDRESS(INDEX($X$2:$X$1001,MATCH(ROWS($V$2:V405),$V$2:$V$1001,0),0), INDEX($AC$1004:$AS$1004,1,MATCH(COLUMNS($AC$1006:AP1006),$AC$1006:$AS$1006,0)))),"Fix")))</f>
        <v>0</v>
      </c>
      <c r="P405" s="5">
        <f>IF(OR(INDEX($W$2:$W$1001,MATCH(ROWS($V$2:V405),$V$2:$V$1001,0),1)&gt;=100000,INDEX($AC$1005:$AS$1005,1,MATCH(COLUMNS($AC$1006:AQ1006),$AC$1006:$AS$1006,0))&gt;=100000), " ",IF(INDEX($AC$2:$AS$1001,MATCH(ROWS($V$2:V405),$V$2:$V$1001,0),MATCH(COLUMNS($AC$1006:AQ1006),$AC$1006:$AS$1006,0)), HYPERLINK("#",""), HYPERLINK(CONCATENATE("#Metadata!", ADDRESS(INDEX($X$2:$X$1001,MATCH(ROWS($V$2:V405),$V$2:$V$1001,0),0), INDEX($AC$1004:$AS$1004,1,MATCH(COLUMNS($AC$1006:AQ1006),$AC$1006:$AS$1006,0)))),"Fix")))</f>
        <v>0</v>
      </c>
      <c r="Q405" s="5">
        <f>IF(OR(INDEX($W$2:$W$1001,MATCH(ROWS($V$2:V405),$V$2:$V$1001,0),1)&gt;=100000,INDEX($AC$1005:$AS$1005,1,MATCH(COLUMNS($AC$1006:AR1006),$AC$1006:$AS$1006,0))&gt;=100000), " ",IF(INDEX($AC$2:$AS$1001,MATCH(ROWS($V$2:V405),$V$2:$V$1001,0),MATCH(COLUMNS($AC$1006:AR1006),$AC$1006:$AS$1006,0)), HYPERLINK("#",""), HYPERLINK(CONCATENATE("#Metadata!", ADDRESS(INDEX($X$2:$X$1001,MATCH(ROWS($V$2:V405),$V$2:$V$1001,0),0), INDEX($AC$1004:$AS$1004,1,MATCH(COLUMNS($AC$1006:AR1006),$AC$1006:$AS$1006,0)))),"Fix")))</f>
        <v>0</v>
      </c>
      <c r="R405" s="5">
        <f>IF(OR(INDEX($W$2:$W$1001,MATCH(ROWS($V$2:V405),$V$2:$V$1001,0),1)&gt;=100000,INDEX($AC$1005:$AS$1005,1,MATCH(COLUMNS($AC$1006:AS1006),$AC$1006:$AS$1006,0))&gt;=100000), " ",IF(INDEX($AC$2:$AS$1001,MATCH(ROWS($V$2:V405),$V$2:$V$1001,0),MATCH(COLUMNS($AC$1006:AS1006),$AC$1006:$AS$1006,0)), HYPERLINK("#",""), HYPERLINK(CONCATENATE("#Metadata!", ADDRESS(INDEX($X$2:$X$1001,MATCH(ROWS($V$2:V405),$V$2:$V$1001,0),0), INDEX($AC$1004:$AS$1004,1,MATCH(COLUMNS($AC$1006:AS1006),$AC$1006:$AS$1006,0)))),"Fix")))</f>
        <v>0</v>
      </c>
      <c r="V405">
        <v>0</v>
      </c>
      <c r="W405">
        <v>0</v>
      </c>
      <c r="X405">
        <v>0</v>
      </c>
      <c r="Y405">
        <f>IF(Z405,TRUE,AND(AC405:AS405))</f>
        <v>0</v>
      </c>
      <c r="Z405">
        <f>COUNTBLANK(Metadata!B405:R405)=COLUMNS(Metadata!B405:R405)</f>
        <v>0</v>
      </c>
      <c r="AA405">
        <v>0</v>
      </c>
      <c r="AC405">
        <f>AND(IF(Metadata!B405="",FALSE,TRUE),COUNTIF(Metadata!B:B, Metadata!B405) = 1,NOT(ISERROR(SUMPRODUCT(SEARCH(MID(Metadata!B405,ROW(INDIRECT("1:"&amp;LEN(Metadata!B405))), 1),"0123456789abcdefghijklmnopqrstuvwxyzABCDEFGHIJKLMNOPQRSTUVWXYZ.")))))</f>
        <v>0</v>
      </c>
      <c r="AD405">
        <f>AND(IF(Metadata!C405="",FALSE,TRUE),exact(Metadata!C405,"Host-associated"))</f>
        <v>0</v>
      </c>
      <c r="AE405">
        <f>AND(IF(Metadata!D405="",FALSE,TRUE),OR(exact(Metadata!D405,"Animal"),exact(Metadata!D405,"Fungus"),exact(Metadata!D405,"Plant")))</f>
        <v>0</v>
      </c>
      <c r="AF405">
        <f>AND(IF(Metadata!E405="",FALSE,TRUE),OR(exact(Metadata!E405,"Plant secretion"),exact(Metadata!E405,"Plant rhizosphere"),exact(Metadata!E405,"Plant surface"),exact(Metadata!E405,"Plant corpus"),exact(Metadata!E405,"Fungus surface"),exact(Metadata!E405,"Fungus corpus"),exact(Metadata!E405,"Animal surface"),exact(Metadata!E405,"Animal proximal gut"),exact(Metadata!E405,"Animal corpus"),exact(Metadata!E405,"Animal distal gut"),exact(Metadata!E405,"Animal secretion")))</f>
        <v>0</v>
      </c>
      <c r="AG405">
        <f>OR(AND(IF(Metadata!F405="",FALSE,TRUE),OR(exact(Metadata!F405,"not collected"),exact(Metadata!F405,"not provided"),exact(Metadata!F405,"restricted access"))),AND(IF(Metadata!F405="",FALSE,TRUE),OR(exact(Metadata!F405,"organism-associated habitat"),exact(Metadata!F405,"plant-associated habitat"),exact(Metadata!F405,"animal-associated habitat"),exact(Metadata!F405,"insecta-associated habitat"),exact(Metadata!F405,"mammalia-associated habitat"),exact(Metadata!F405,"human-associated habitat"),exact(Metadata!F405,"livestock-associated habitat"))))</f>
        <v>0</v>
      </c>
      <c r="AH405">
        <f>AND(IF(Metadata!G405="",FALSE,TRUE),exact(Metadata!G405,"host-associated"))</f>
        <v>0</v>
      </c>
      <c r="AI405">
        <f>OR(AND(IF(Metadata!H405="",FALSE,TRUE),OR(exact(Metadata!H405,"not collected"),exact(Metadata!H405,"not provided"))),AND(IF(Metadata!H405="",FALSE,ISNUMBER(VALUE(Metadata!H405))),Metadata!H405&gt;0))</f>
        <v>0</v>
      </c>
      <c r="AJ405">
        <f>AND(IF(Metadata!I405="",FALSE,TRUE),exact(Metadata!I405,"years"))</f>
        <v>0</v>
      </c>
      <c r="AK405">
        <f>IF(Metadata!J405="",FALSE,TRUE)</f>
        <v>0</v>
      </c>
      <c r="AL405">
        <f>OR(AND(IF(Metadata!K405="",FALSE,TRUE),OR(exact(Metadata!K405,"not collected"),exact(Metadata!K405,"not provided"))),AND(IF(Metadata!K405="",FALSE,ISNUMBER(VALUE(Metadata!K405))),Metadata!K405&gt;0))</f>
        <v>0</v>
      </c>
      <c r="AM405">
        <f>AND(IF(Metadata!L405="",FALSE,TRUE),exact(Metadata!L405,"cm"))</f>
        <v>0</v>
      </c>
      <c r="AN405">
        <f>IF(Metadata!M405="",FALSE,TRUE)</f>
        <v>0</v>
      </c>
      <c r="AO405">
        <f>OR(AND(IF(Metadata!N405="",FALSE,TRUE),OR(exact(Metadata!N405,"not applicable"),exact(Metadata!N405,"not collected"),exact(Metadata!N405,"not provided"))),AND(IF(Metadata!N405="",FALSE,IF(ISERROR(INT(Metadata!N405)),FALSE,INT(Metadata!N405)=Metadata!N405)),Metadata!N405&gt;0))</f>
        <v>0</v>
      </c>
      <c r="AP405">
        <f>OR(AND(IF(Metadata!O405="",FALSE,TRUE),OR(exact(Metadata!O405,"not collected"),exact(Metadata!O405,"not provided"))),AND(IF(Metadata!O405="",FALSE,ISNUMBER(VALUE(Metadata!O405))),Metadata!O405&gt;0))</f>
        <v>0</v>
      </c>
      <c r="AQ405">
        <f>AND(IF(Metadata!P405="",FALSE,TRUE),exact(Metadata!P405,"kg"))</f>
        <v>0</v>
      </c>
      <c r="AR405">
        <f>OR(AND(IF(Metadata!Q405="",FALSE,TRUE),OR(exact(Metadata!Q405,"not applicable"),exact(Metadata!Q405,"not collected"),exact(Metadata!Q405,"not provided"),exact(Metadata!Q405,"restricted access"))),IF(Metadata!Q405="",FALSE,IF(ISERROR(INT(Metadata!Q405)),FALSE,INT(Metadata!Q405)=Metadata!Q405)))</f>
        <v>0</v>
      </c>
      <c r="AS405">
        <f>AND(IF(Metadata!R405="",FALSE,TRUE),exact(Metadata!R405,"Not applicable"))</f>
        <v>0</v>
      </c>
    </row>
    <row r="406" spans="1:45">
      <c r="A406" s="4">
        <f>IF(B406=" "," ",HYPERLINK(CONCATENATE("#metadata!",ADDRESS(INDEX($X$2:$X$1001,MATCH(ROWS($V$2:V406),$V$2:$V$1001,0),0),2)),INDEX($AA$2:$AA$1001,MATCH(ROWS($V$2:V406),$V$2:$V$1001,0),0)))</f>
        <v>0</v>
      </c>
      <c r="B406" s="5">
        <f>IF(OR(INDEX($W$2:$W$1001,MATCH(ROWS($V$2:V406),$V$2:$V$1001,0),1)&gt;=100000,INDEX($AC$1005:$AS$1005,1,MATCH(COLUMNS($AC$1006:AC1006),$AC$1006:$AS$1006,0))&gt;=100000), " ",IF(INDEX($AC$2:$AS$1001,MATCH(ROWS($V$2:V406),$V$2:$V$1001,0),MATCH(COLUMNS($AC$1006:AC1006),$AC$1006:$AS$1006,0)), HYPERLINK("#",""), HYPERLINK(CONCATENATE("#Metadata!", ADDRESS(INDEX($X$2:$X$1001,MATCH(ROWS($V$2:V406),$V$2:$V$1001,0),0), INDEX($AC$1004:$AS$1004,1,MATCH(COLUMNS($AC$1006:AC1006),$AC$1006:$AS$1006,0)))),"Fix")))</f>
        <v>0</v>
      </c>
      <c r="C406" s="5">
        <f>IF(OR(INDEX($W$2:$W$1001,MATCH(ROWS($V$2:V406),$V$2:$V$1001,0),1)&gt;=100000,INDEX($AC$1005:$AS$1005,1,MATCH(COLUMNS($AC$1006:AD1006),$AC$1006:$AS$1006,0))&gt;=100000), " ",IF(INDEX($AC$2:$AS$1001,MATCH(ROWS($V$2:V406),$V$2:$V$1001,0),MATCH(COLUMNS($AC$1006:AD1006),$AC$1006:$AS$1006,0)), HYPERLINK("#",""), HYPERLINK(CONCATENATE("#Metadata!", ADDRESS(INDEX($X$2:$X$1001,MATCH(ROWS($V$2:V406),$V$2:$V$1001,0),0), INDEX($AC$1004:$AS$1004,1,MATCH(COLUMNS($AC$1006:AD1006),$AC$1006:$AS$1006,0)))),"Fix")))</f>
        <v>0</v>
      </c>
      <c r="D406" s="5">
        <f>IF(OR(INDEX($W$2:$W$1001,MATCH(ROWS($V$2:V406),$V$2:$V$1001,0),1)&gt;=100000,INDEX($AC$1005:$AS$1005,1,MATCH(COLUMNS($AC$1006:AE1006),$AC$1006:$AS$1006,0))&gt;=100000), " ",IF(INDEX($AC$2:$AS$1001,MATCH(ROWS($V$2:V406),$V$2:$V$1001,0),MATCH(COLUMNS($AC$1006:AE1006),$AC$1006:$AS$1006,0)), HYPERLINK("#",""), HYPERLINK(CONCATENATE("#Metadata!", ADDRESS(INDEX($X$2:$X$1001,MATCH(ROWS($V$2:V406),$V$2:$V$1001,0),0), INDEX($AC$1004:$AS$1004,1,MATCH(COLUMNS($AC$1006:AE1006),$AC$1006:$AS$1006,0)))),"Fix")))</f>
        <v>0</v>
      </c>
      <c r="E406" s="5">
        <f>IF(OR(INDEX($W$2:$W$1001,MATCH(ROWS($V$2:V406),$V$2:$V$1001,0),1)&gt;=100000,INDEX($AC$1005:$AS$1005,1,MATCH(COLUMNS($AC$1006:AF1006),$AC$1006:$AS$1006,0))&gt;=100000), " ",IF(INDEX($AC$2:$AS$1001,MATCH(ROWS($V$2:V406),$V$2:$V$1001,0),MATCH(COLUMNS($AC$1006:AF1006),$AC$1006:$AS$1006,0)), HYPERLINK("#",""), HYPERLINK(CONCATENATE("#Metadata!", ADDRESS(INDEX($X$2:$X$1001,MATCH(ROWS($V$2:V406),$V$2:$V$1001,0),0), INDEX($AC$1004:$AS$1004,1,MATCH(COLUMNS($AC$1006:AF1006),$AC$1006:$AS$1006,0)))),"Fix")))</f>
        <v>0</v>
      </c>
      <c r="F406" s="5">
        <f>IF(OR(INDEX($W$2:$W$1001,MATCH(ROWS($V$2:V406),$V$2:$V$1001,0),1)&gt;=100000,INDEX($AC$1005:$AS$1005,1,MATCH(COLUMNS($AC$1006:AG1006),$AC$1006:$AS$1006,0))&gt;=100000), " ",IF(INDEX($AC$2:$AS$1001,MATCH(ROWS($V$2:V406),$V$2:$V$1001,0),MATCH(COLUMNS($AC$1006:AG1006),$AC$1006:$AS$1006,0)), HYPERLINK("#",""), HYPERLINK(CONCATENATE("#Metadata!", ADDRESS(INDEX($X$2:$X$1001,MATCH(ROWS($V$2:V406),$V$2:$V$1001,0),0), INDEX($AC$1004:$AS$1004,1,MATCH(COLUMNS($AC$1006:AG1006),$AC$1006:$AS$1006,0)))),"Fix")))</f>
        <v>0</v>
      </c>
      <c r="G406" s="5">
        <f>IF(OR(INDEX($W$2:$W$1001,MATCH(ROWS($V$2:V406),$V$2:$V$1001,0),1)&gt;=100000,INDEX($AC$1005:$AS$1005,1,MATCH(COLUMNS($AC$1006:AH1006),$AC$1006:$AS$1006,0))&gt;=100000), " ",IF(INDEX($AC$2:$AS$1001,MATCH(ROWS($V$2:V406),$V$2:$V$1001,0),MATCH(COLUMNS($AC$1006:AH1006),$AC$1006:$AS$1006,0)), HYPERLINK("#",""), HYPERLINK(CONCATENATE("#Metadata!", ADDRESS(INDEX($X$2:$X$1001,MATCH(ROWS($V$2:V406),$V$2:$V$1001,0),0), INDEX($AC$1004:$AS$1004,1,MATCH(COLUMNS($AC$1006:AH1006),$AC$1006:$AS$1006,0)))),"Fix")))</f>
        <v>0</v>
      </c>
      <c r="H406" s="5">
        <f>IF(OR(INDEX($W$2:$W$1001,MATCH(ROWS($V$2:V406),$V$2:$V$1001,0),1)&gt;=100000,INDEX($AC$1005:$AS$1005,1,MATCH(COLUMNS($AC$1006:AI1006),$AC$1006:$AS$1006,0))&gt;=100000), " ",IF(INDEX($AC$2:$AS$1001,MATCH(ROWS($V$2:V406),$V$2:$V$1001,0),MATCH(COLUMNS($AC$1006:AI1006),$AC$1006:$AS$1006,0)), HYPERLINK("#",""), HYPERLINK(CONCATENATE("#Metadata!", ADDRESS(INDEX($X$2:$X$1001,MATCH(ROWS($V$2:V406),$V$2:$V$1001,0),0), INDEX($AC$1004:$AS$1004,1,MATCH(COLUMNS($AC$1006:AI1006),$AC$1006:$AS$1006,0)))),"Fix")))</f>
        <v>0</v>
      </c>
      <c r="I406" s="5">
        <f>IF(OR(INDEX($W$2:$W$1001,MATCH(ROWS($V$2:V406),$V$2:$V$1001,0),1)&gt;=100000,INDEX($AC$1005:$AS$1005,1,MATCH(COLUMNS($AC$1006:AJ1006),$AC$1006:$AS$1006,0))&gt;=100000), " ",IF(INDEX($AC$2:$AS$1001,MATCH(ROWS($V$2:V406),$V$2:$V$1001,0),MATCH(COLUMNS($AC$1006:AJ1006),$AC$1006:$AS$1006,0)), HYPERLINK("#",""), HYPERLINK(CONCATENATE("#Metadata!", ADDRESS(INDEX($X$2:$X$1001,MATCH(ROWS($V$2:V406),$V$2:$V$1001,0),0), INDEX($AC$1004:$AS$1004,1,MATCH(COLUMNS($AC$1006:AJ1006),$AC$1006:$AS$1006,0)))),"Fix")))</f>
        <v>0</v>
      </c>
      <c r="J406" s="5">
        <f>IF(OR(INDEX($W$2:$W$1001,MATCH(ROWS($V$2:V406),$V$2:$V$1001,0),1)&gt;=100000,INDEX($AC$1005:$AS$1005,1,MATCH(COLUMNS($AC$1006:AK1006),$AC$1006:$AS$1006,0))&gt;=100000), " ",IF(INDEX($AC$2:$AS$1001,MATCH(ROWS($V$2:V406),$V$2:$V$1001,0),MATCH(COLUMNS($AC$1006:AK1006),$AC$1006:$AS$1006,0)), HYPERLINK("#",""), HYPERLINK(CONCATENATE("#Metadata!", ADDRESS(INDEX($X$2:$X$1001,MATCH(ROWS($V$2:V406),$V$2:$V$1001,0),0), INDEX($AC$1004:$AS$1004,1,MATCH(COLUMNS($AC$1006:AK1006),$AC$1006:$AS$1006,0)))),"Fix")))</f>
        <v>0</v>
      </c>
      <c r="K406" s="5">
        <f>IF(OR(INDEX($W$2:$W$1001,MATCH(ROWS($V$2:V406),$V$2:$V$1001,0),1)&gt;=100000,INDEX($AC$1005:$AS$1005,1,MATCH(COLUMNS($AC$1006:AL1006),$AC$1006:$AS$1006,0))&gt;=100000), " ",IF(INDEX($AC$2:$AS$1001,MATCH(ROWS($V$2:V406),$V$2:$V$1001,0),MATCH(COLUMNS($AC$1006:AL1006),$AC$1006:$AS$1006,0)), HYPERLINK("#",""), HYPERLINK(CONCATENATE("#Metadata!", ADDRESS(INDEX($X$2:$X$1001,MATCH(ROWS($V$2:V406),$V$2:$V$1001,0),0), INDEX($AC$1004:$AS$1004,1,MATCH(COLUMNS($AC$1006:AL1006),$AC$1006:$AS$1006,0)))),"Fix")))</f>
        <v>0</v>
      </c>
      <c r="L406" s="5">
        <f>IF(OR(INDEX($W$2:$W$1001,MATCH(ROWS($V$2:V406),$V$2:$V$1001,0),1)&gt;=100000,INDEX($AC$1005:$AS$1005,1,MATCH(COLUMNS($AC$1006:AM1006),$AC$1006:$AS$1006,0))&gt;=100000), " ",IF(INDEX($AC$2:$AS$1001,MATCH(ROWS($V$2:V406),$V$2:$V$1001,0),MATCH(COLUMNS($AC$1006:AM1006),$AC$1006:$AS$1006,0)), HYPERLINK("#",""), HYPERLINK(CONCATENATE("#Metadata!", ADDRESS(INDEX($X$2:$X$1001,MATCH(ROWS($V$2:V406),$V$2:$V$1001,0),0), INDEX($AC$1004:$AS$1004,1,MATCH(COLUMNS($AC$1006:AM1006),$AC$1006:$AS$1006,0)))),"Fix")))</f>
        <v>0</v>
      </c>
      <c r="M406" s="5">
        <f>IF(OR(INDEX($W$2:$W$1001,MATCH(ROWS($V$2:V406),$V$2:$V$1001,0),1)&gt;=100000,INDEX($AC$1005:$AS$1005,1,MATCH(COLUMNS($AC$1006:AN1006),$AC$1006:$AS$1006,0))&gt;=100000), " ",IF(INDEX($AC$2:$AS$1001,MATCH(ROWS($V$2:V406),$V$2:$V$1001,0),MATCH(COLUMNS($AC$1006:AN1006),$AC$1006:$AS$1006,0)), HYPERLINK("#",""), HYPERLINK(CONCATENATE("#Metadata!", ADDRESS(INDEX($X$2:$X$1001,MATCH(ROWS($V$2:V406),$V$2:$V$1001,0),0), INDEX($AC$1004:$AS$1004,1,MATCH(COLUMNS($AC$1006:AN1006),$AC$1006:$AS$1006,0)))),"Fix")))</f>
        <v>0</v>
      </c>
      <c r="N406" s="5">
        <f>IF(OR(INDEX($W$2:$W$1001,MATCH(ROWS($V$2:V406),$V$2:$V$1001,0),1)&gt;=100000,INDEX($AC$1005:$AS$1005,1,MATCH(COLUMNS($AC$1006:AO1006),$AC$1006:$AS$1006,0))&gt;=100000), " ",IF(INDEX($AC$2:$AS$1001,MATCH(ROWS($V$2:V406),$V$2:$V$1001,0),MATCH(COLUMNS($AC$1006:AO1006),$AC$1006:$AS$1006,0)), HYPERLINK("#",""), HYPERLINK(CONCATENATE("#Metadata!", ADDRESS(INDEX($X$2:$X$1001,MATCH(ROWS($V$2:V406),$V$2:$V$1001,0),0), INDEX($AC$1004:$AS$1004,1,MATCH(COLUMNS($AC$1006:AO1006),$AC$1006:$AS$1006,0)))),"Fix")))</f>
        <v>0</v>
      </c>
      <c r="O406" s="5">
        <f>IF(OR(INDEX($W$2:$W$1001,MATCH(ROWS($V$2:V406),$V$2:$V$1001,0),1)&gt;=100000,INDEX($AC$1005:$AS$1005,1,MATCH(COLUMNS($AC$1006:AP1006),$AC$1006:$AS$1006,0))&gt;=100000), " ",IF(INDEX($AC$2:$AS$1001,MATCH(ROWS($V$2:V406),$V$2:$V$1001,0),MATCH(COLUMNS($AC$1006:AP1006),$AC$1006:$AS$1006,0)), HYPERLINK("#",""), HYPERLINK(CONCATENATE("#Metadata!", ADDRESS(INDEX($X$2:$X$1001,MATCH(ROWS($V$2:V406),$V$2:$V$1001,0),0), INDEX($AC$1004:$AS$1004,1,MATCH(COLUMNS($AC$1006:AP1006),$AC$1006:$AS$1006,0)))),"Fix")))</f>
        <v>0</v>
      </c>
      <c r="P406" s="5">
        <f>IF(OR(INDEX($W$2:$W$1001,MATCH(ROWS($V$2:V406),$V$2:$V$1001,0),1)&gt;=100000,INDEX($AC$1005:$AS$1005,1,MATCH(COLUMNS($AC$1006:AQ1006),$AC$1006:$AS$1006,0))&gt;=100000), " ",IF(INDEX($AC$2:$AS$1001,MATCH(ROWS($V$2:V406),$V$2:$V$1001,0),MATCH(COLUMNS($AC$1006:AQ1006),$AC$1006:$AS$1006,0)), HYPERLINK("#",""), HYPERLINK(CONCATENATE("#Metadata!", ADDRESS(INDEX($X$2:$X$1001,MATCH(ROWS($V$2:V406),$V$2:$V$1001,0),0), INDEX($AC$1004:$AS$1004,1,MATCH(COLUMNS($AC$1006:AQ1006),$AC$1006:$AS$1006,0)))),"Fix")))</f>
        <v>0</v>
      </c>
      <c r="Q406" s="5">
        <f>IF(OR(INDEX($W$2:$W$1001,MATCH(ROWS($V$2:V406),$V$2:$V$1001,0),1)&gt;=100000,INDEX($AC$1005:$AS$1005,1,MATCH(COLUMNS($AC$1006:AR1006),$AC$1006:$AS$1006,0))&gt;=100000), " ",IF(INDEX($AC$2:$AS$1001,MATCH(ROWS($V$2:V406),$V$2:$V$1001,0),MATCH(COLUMNS($AC$1006:AR1006),$AC$1006:$AS$1006,0)), HYPERLINK("#",""), HYPERLINK(CONCATENATE("#Metadata!", ADDRESS(INDEX($X$2:$X$1001,MATCH(ROWS($V$2:V406),$V$2:$V$1001,0),0), INDEX($AC$1004:$AS$1004,1,MATCH(COLUMNS($AC$1006:AR1006),$AC$1006:$AS$1006,0)))),"Fix")))</f>
        <v>0</v>
      </c>
      <c r="R406" s="5">
        <f>IF(OR(INDEX($W$2:$W$1001,MATCH(ROWS($V$2:V406),$V$2:$V$1001,0),1)&gt;=100000,INDEX($AC$1005:$AS$1005,1,MATCH(COLUMNS($AC$1006:AS1006),$AC$1006:$AS$1006,0))&gt;=100000), " ",IF(INDEX($AC$2:$AS$1001,MATCH(ROWS($V$2:V406),$V$2:$V$1001,0),MATCH(COLUMNS($AC$1006:AS1006),$AC$1006:$AS$1006,0)), HYPERLINK("#",""), HYPERLINK(CONCATENATE("#Metadata!", ADDRESS(INDEX($X$2:$X$1001,MATCH(ROWS($V$2:V406),$V$2:$V$1001,0),0), INDEX($AC$1004:$AS$1004,1,MATCH(COLUMNS($AC$1006:AS1006),$AC$1006:$AS$1006,0)))),"Fix")))</f>
        <v>0</v>
      </c>
      <c r="V406">
        <v>0</v>
      </c>
      <c r="W406">
        <v>0</v>
      </c>
      <c r="X406">
        <v>0</v>
      </c>
      <c r="Y406">
        <f>IF(Z406,TRUE,AND(AC406:AS406))</f>
        <v>0</v>
      </c>
      <c r="Z406">
        <f>COUNTBLANK(Metadata!B406:R406)=COLUMNS(Metadata!B406:R406)</f>
        <v>0</v>
      </c>
      <c r="AA406">
        <v>0</v>
      </c>
      <c r="AC406">
        <f>AND(IF(Metadata!B406="",FALSE,TRUE),COUNTIF(Metadata!B:B, Metadata!B406) = 1,NOT(ISERROR(SUMPRODUCT(SEARCH(MID(Metadata!B406,ROW(INDIRECT("1:"&amp;LEN(Metadata!B406))), 1),"0123456789abcdefghijklmnopqrstuvwxyzABCDEFGHIJKLMNOPQRSTUVWXYZ.")))))</f>
        <v>0</v>
      </c>
      <c r="AD406">
        <f>AND(IF(Metadata!C406="",FALSE,TRUE),exact(Metadata!C406,"Host-associated"))</f>
        <v>0</v>
      </c>
      <c r="AE406">
        <f>AND(IF(Metadata!D406="",FALSE,TRUE),OR(exact(Metadata!D406,"Animal"),exact(Metadata!D406,"Fungus"),exact(Metadata!D406,"Plant")))</f>
        <v>0</v>
      </c>
      <c r="AF406">
        <f>AND(IF(Metadata!E406="",FALSE,TRUE),OR(exact(Metadata!E406,"Plant secretion"),exact(Metadata!E406,"Plant rhizosphere"),exact(Metadata!E406,"Plant surface"),exact(Metadata!E406,"Plant corpus"),exact(Metadata!E406,"Fungus surface"),exact(Metadata!E406,"Fungus corpus"),exact(Metadata!E406,"Animal surface"),exact(Metadata!E406,"Animal proximal gut"),exact(Metadata!E406,"Animal corpus"),exact(Metadata!E406,"Animal distal gut"),exact(Metadata!E406,"Animal secretion")))</f>
        <v>0</v>
      </c>
      <c r="AG406">
        <f>OR(AND(IF(Metadata!F406="",FALSE,TRUE),OR(exact(Metadata!F406,"not collected"),exact(Metadata!F406,"not provided"),exact(Metadata!F406,"restricted access"))),AND(IF(Metadata!F406="",FALSE,TRUE),OR(exact(Metadata!F406,"organism-associated habitat"),exact(Metadata!F406,"plant-associated habitat"),exact(Metadata!F406,"animal-associated habitat"),exact(Metadata!F406,"insecta-associated habitat"),exact(Metadata!F406,"mammalia-associated habitat"),exact(Metadata!F406,"human-associated habitat"),exact(Metadata!F406,"livestock-associated habitat"))))</f>
        <v>0</v>
      </c>
      <c r="AH406">
        <f>AND(IF(Metadata!G406="",FALSE,TRUE),exact(Metadata!G406,"host-associated"))</f>
        <v>0</v>
      </c>
      <c r="AI406">
        <f>OR(AND(IF(Metadata!H406="",FALSE,TRUE),OR(exact(Metadata!H406,"not collected"),exact(Metadata!H406,"not provided"))),AND(IF(Metadata!H406="",FALSE,ISNUMBER(VALUE(Metadata!H406))),Metadata!H406&gt;0))</f>
        <v>0</v>
      </c>
      <c r="AJ406">
        <f>AND(IF(Metadata!I406="",FALSE,TRUE),exact(Metadata!I406,"years"))</f>
        <v>0</v>
      </c>
      <c r="AK406">
        <f>IF(Metadata!J406="",FALSE,TRUE)</f>
        <v>0</v>
      </c>
      <c r="AL406">
        <f>OR(AND(IF(Metadata!K406="",FALSE,TRUE),OR(exact(Metadata!K406,"not collected"),exact(Metadata!K406,"not provided"))),AND(IF(Metadata!K406="",FALSE,ISNUMBER(VALUE(Metadata!K406))),Metadata!K406&gt;0))</f>
        <v>0</v>
      </c>
      <c r="AM406">
        <f>AND(IF(Metadata!L406="",FALSE,TRUE),exact(Metadata!L406,"cm"))</f>
        <v>0</v>
      </c>
      <c r="AN406">
        <f>IF(Metadata!M406="",FALSE,TRUE)</f>
        <v>0</v>
      </c>
      <c r="AO406">
        <f>OR(AND(IF(Metadata!N406="",FALSE,TRUE),OR(exact(Metadata!N406,"not applicable"),exact(Metadata!N406,"not collected"),exact(Metadata!N406,"not provided"))),AND(IF(Metadata!N406="",FALSE,IF(ISERROR(INT(Metadata!N406)),FALSE,INT(Metadata!N406)=Metadata!N406)),Metadata!N406&gt;0))</f>
        <v>0</v>
      </c>
      <c r="AP406">
        <f>OR(AND(IF(Metadata!O406="",FALSE,TRUE),OR(exact(Metadata!O406,"not collected"),exact(Metadata!O406,"not provided"))),AND(IF(Metadata!O406="",FALSE,ISNUMBER(VALUE(Metadata!O406))),Metadata!O406&gt;0))</f>
        <v>0</v>
      </c>
      <c r="AQ406">
        <f>AND(IF(Metadata!P406="",FALSE,TRUE),exact(Metadata!P406,"kg"))</f>
        <v>0</v>
      </c>
      <c r="AR406">
        <f>OR(AND(IF(Metadata!Q406="",FALSE,TRUE),OR(exact(Metadata!Q406,"not applicable"),exact(Metadata!Q406,"not collected"),exact(Metadata!Q406,"not provided"),exact(Metadata!Q406,"restricted access"))),IF(Metadata!Q406="",FALSE,IF(ISERROR(INT(Metadata!Q406)),FALSE,INT(Metadata!Q406)=Metadata!Q406)))</f>
        <v>0</v>
      </c>
      <c r="AS406">
        <f>AND(IF(Metadata!R406="",FALSE,TRUE),exact(Metadata!R406,"Not applicable"))</f>
        <v>0</v>
      </c>
    </row>
    <row r="407" spans="1:45">
      <c r="A407" s="4">
        <f>IF(B407=" "," ",HYPERLINK(CONCATENATE("#metadata!",ADDRESS(INDEX($X$2:$X$1001,MATCH(ROWS($V$2:V407),$V$2:$V$1001,0),0),2)),INDEX($AA$2:$AA$1001,MATCH(ROWS($V$2:V407),$V$2:$V$1001,0),0)))</f>
        <v>0</v>
      </c>
      <c r="B407" s="5">
        <f>IF(OR(INDEX($W$2:$W$1001,MATCH(ROWS($V$2:V407),$V$2:$V$1001,0),1)&gt;=100000,INDEX($AC$1005:$AS$1005,1,MATCH(COLUMNS($AC$1006:AC1006),$AC$1006:$AS$1006,0))&gt;=100000), " ",IF(INDEX($AC$2:$AS$1001,MATCH(ROWS($V$2:V407),$V$2:$V$1001,0),MATCH(COLUMNS($AC$1006:AC1006),$AC$1006:$AS$1006,0)), HYPERLINK("#",""), HYPERLINK(CONCATENATE("#Metadata!", ADDRESS(INDEX($X$2:$X$1001,MATCH(ROWS($V$2:V407),$V$2:$V$1001,0),0), INDEX($AC$1004:$AS$1004,1,MATCH(COLUMNS($AC$1006:AC1006),$AC$1006:$AS$1006,0)))),"Fix")))</f>
        <v>0</v>
      </c>
      <c r="C407" s="5">
        <f>IF(OR(INDEX($W$2:$W$1001,MATCH(ROWS($V$2:V407),$V$2:$V$1001,0),1)&gt;=100000,INDEX($AC$1005:$AS$1005,1,MATCH(COLUMNS($AC$1006:AD1006),$AC$1006:$AS$1006,0))&gt;=100000), " ",IF(INDEX($AC$2:$AS$1001,MATCH(ROWS($V$2:V407),$V$2:$V$1001,0),MATCH(COLUMNS($AC$1006:AD1006),$AC$1006:$AS$1006,0)), HYPERLINK("#",""), HYPERLINK(CONCATENATE("#Metadata!", ADDRESS(INDEX($X$2:$X$1001,MATCH(ROWS($V$2:V407),$V$2:$V$1001,0),0), INDEX($AC$1004:$AS$1004,1,MATCH(COLUMNS($AC$1006:AD1006),$AC$1006:$AS$1006,0)))),"Fix")))</f>
        <v>0</v>
      </c>
      <c r="D407" s="5">
        <f>IF(OR(INDEX($W$2:$W$1001,MATCH(ROWS($V$2:V407),$V$2:$V$1001,0),1)&gt;=100000,INDEX($AC$1005:$AS$1005,1,MATCH(COLUMNS($AC$1006:AE1006),$AC$1006:$AS$1006,0))&gt;=100000), " ",IF(INDEX($AC$2:$AS$1001,MATCH(ROWS($V$2:V407),$V$2:$V$1001,0),MATCH(COLUMNS($AC$1006:AE1006),$AC$1006:$AS$1006,0)), HYPERLINK("#",""), HYPERLINK(CONCATENATE("#Metadata!", ADDRESS(INDEX($X$2:$X$1001,MATCH(ROWS($V$2:V407),$V$2:$V$1001,0),0), INDEX($AC$1004:$AS$1004,1,MATCH(COLUMNS($AC$1006:AE1006),$AC$1006:$AS$1006,0)))),"Fix")))</f>
        <v>0</v>
      </c>
      <c r="E407" s="5">
        <f>IF(OR(INDEX($W$2:$W$1001,MATCH(ROWS($V$2:V407),$V$2:$V$1001,0),1)&gt;=100000,INDEX($AC$1005:$AS$1005,1,MATCH(COLUMNS($AC$1006:AF1006),$AC$1006:$AS$1006,0))&gt;=100000), " ",IF(INDEX($AC$2:$AS$1001,MATCH(ROWS($V$2:V407),$V$2:$V$1001,0),MATCH(COLUMNS($AC$1006:AF1006),$AC$1006:$AS$1006,0)), HYPERLINK("#",""), HYPERLINK(CONCATENATE("#Metadata!", ADDRESS(INDEX($X$2:$X$1001,MATCH(ROWS($V$2:V407),$V$2:$V$1001,0),0), INDEX($AC$1004:$AS$1004,1,MATCH(COLUMNS($AC$1006:AF1006),$AC$1006:$AS$1006,0)))),"Fix")))</f>
        <v>0</v>
      </c>
      <c r="F407" s="5">
        <f>IF(OR(INDEX($W$2:$W$1001,MATCH(ROWS($V$2:V407),$V$2:$V$1001,0),1)&gt;=100000,INDEX($AC$1005:$AS$1005,1,MATCH(COLUMNS($AC$1006:AG1006),$AC$1006:$AS$1006,0))&gt;=100000), " ",IF(INDEX($AC$2:$AS$1001,MATCH(ROWS($V$2:V407),$V$2:$V$1001,0),MATCH(COLUMNS($AC$1006:AG1006),$AC$1006:$AS$1006,0)), HYPERLINK("#",""), HYPERLINK(CONCATENATE("#Metadata!", ADDRESS(INDEX($X$2:$X$1001,MATCH(ROWS($V$2:V407),$V$2:$V$1001,0),0), INDEX($AC$1004:$AS$1004,1,MATCH(COLUMNS($AC$1006:AG1006),$AC$1006:$AS$1006,0)))),"Fix")))</f>
        <v>0</v>
      </c>
      <c r="G407" s="5">
        <f>IF(OR(INDEX($W$2:$W$1001,MATCH(ROWS($V$2:V407),$V$2:$V$1001,0),1)&gt;=100000,INDEX($AC$1005:$AS$1005,1,MATCH(COLUMNS($AC$1006:AH1006),$AC$1006:$AS$1006,0))&gt;=100000), " ",IF(INDEX($AC$2:$AS$1001,MATCH(ROWS($V$2:V407),$V$2:$V$1001,0),MATCH(COLUMNS($AC$1006:AH1006),$AC$1006:$AS$1006,0)), HYPERLINK("#",""), HYPERLINK(CONCATENATE("#Metadata!", ADDRESS(INDEX($X$2:$X$1001,MATCH(ROWS($V$2:V407),$V$2:$V$1001,0),0), INDEX($AC$1004:$AS$1004,1,MATCH(COLUMNS($AC$1006:AH1006),$AC$1006:$AS$1006,0)))),"Fix")))</f>
        <v>0</v>
      </c>
      <c r="H407" s="5">
        <f>IF(OR(INDEX($W$2:$W$1001,MATCH(ROWS($V$2:V407),$V$2:$V$1001,0),1)&gt;=100000,INDEX($AC$1005:$AS$1005,1,MATCH(COLUMNS($AC$1006:AI1006),$AC$1006:$AS$1006,0))&gt;=100000), " ",IF(INDEX($AC$2:$AS$1001,MATCH(ROWS($V$2:V407),$V$2:$V$1001,0),MATCH(COLUMNS($AC$1006:AI1006),$AC$1006:$AS$1006,0)), HYPERLINK("#",""), HYPERLINK(CONCATENATE("#Metadata!", ADDRESS(INDEX($X$2:$X$1001,MATCH(ROWS($V$2:V407),$V$2:$V$1001,0),0), INDEX($AC$1004:$AS$1004,1,MATCH(COLUMNS($AC$1006:AI1006),$AC$1006:$AS$1006,0)))),"Fix")))</f>
        <v>0</v>
      </c>
      <c r="I407" s="5">
        <f>IF(OR(INDEX($W$2:$W$1001,MATCH(ROWS($V$2:V407),$V$2:$V$1001,0),1)&gt;=100000,INDEX($AC$1005:$AS$1005,1,MATCH(COLUMNS($AC$1006:AJ1006),$AC$1006:$AS$1006,0))&gt;=100000), " ",IF(INDEX($AC$2:$AS$1001,MATCH(ROWS($V$2:V407),$V$2:$V$1001,0),MATCH(COLUMNS($AC$1006:AJ1006),$AC$1006:$AS$1006,0)), HYPERLINK("#",""), HYPERLINK(CONCATENATE("#Metadata!", ADDRESS(INDEX($X$2:$X$1001,MATCH(ROWS($V$2:V407),$V$2:$V$1001,0),0), INDEX($AC$1004:$AS$1004,1,MATCH(COLUMNS($AC$1006:AJ1006),$AC$1006:$AS$1006,0)))),"Fix")))</f>
        <v>0</v>
      </c>
      <c r="J407" s="5">
        <f>IF(OR(INDEX($W$2:$W$1001,MATCH(ROWS($V$2:V407),$V$2:$V$1001,0),1)&gt;=100000,INDEX($AC$1005:$AS$1005,1,MATCH(COLUMNS($AC$1006:AK1006),$AC$1006:$AS$1006,0))&gt;=100000), " ",IF(INDEX($AC$2:$AS$1001,MATCH(ROWS($V$2:V407),$V$2:$V$1001,0),MATCH(COLUMNS($AC$1006:AK1006),$AC$1006:$AS$1006,0)), HYPERLINK("#",""), HYPERLINK(CONCATENATE("#Metadata!", ADDRESS(INDEX($X$2:$X$1001,MATCH(ROWS($V$2:V407),$V$2:$V$1001,0),0), INDEX($AC$1004:$AS$1004,1,MATCH(COLUMNS($AC$1006:AK1006),$AC$1006:$AS$1006,0)))),"Fix")))</f>
        <v>0</v>
      </c>
      <c r="K407" s="5">
        <f>IF(OR(INDEX($W$2:$W$1001,MATCH(ROWS($V$2:V407),$V$2:$V$1001,0),1)&gt;=100000,INDEX($AC$1005:$AS$1005,1,MATCH(COLUMNS($AC$1006:AL1006),$AC$1006:$AS$1006,0))&gt;=100000), " ",IF(INDEX($AC$2:$AS$1001,MATCH(ROWS($V$2:V407),$V$2:$V$1001,0),MATCH(COLUMNS($AC$1006:AL1006),$AC$1006:$AS$1006,0)), HYPERLINK("#",""), HYPERLINK(CONCATENATE("#Metadata!", ADDRESS(INDEX($X$2:$X$1001,MATCH(ROWS($V$2:V407),$V$2:$V$1001,0),0), INDEX($AC$1004:$AS$1004,1,MATCH(COLUMNS($AC$1006:AL1006),$AC$1006:$AS$1006,0)))),"Fix")))</f>
        <v>0</v>
      </c>
      <c r="L407" s="5">
        <f>IF(OR(INDEX($W$2:$W$1001,MATCH(ROWS($V$2:V407),$V$2:$V$1001,0),1)&gt;=100000,INDEX($AC$1005:$AS$1005,1,MATCH(COLUMNS($AC$1006:AM1006),$AC$1006:$AS$1006,0))&gt;=100000), " ",IF(INDEX($AC$2:$AS$1001,MATCH(ROWS($V$2:V407),$V$2:$V$1001,0),MATCH(COLUMNS($AC$1006:AM1006),$AC$1006:$AS$1006,0)), HYPERLINK("#",""), HYPERLINK(CONCATENATE("#Metadata!", ADDRESS(INDEX($X$2:$X$1001,MATCH(ROWS($V$2:V407),$V$2:$V$1001,0),0), INDEX($AC$1004:$AS$1004,1,MATCH(COLUMNS($AC$1006:AM1006),$AC$1006:$AS$1006,0)))),"Fix")))</f>
        <v>0</v>
      </c>
      <c r="M407" s="5">
        <f>IF(OR(INDEX($W$2:$W$1001,MATCH(ROWS($V$2:V407),$V$2:$V$1001,0),1)&gt;=100000,INDEX($AC$1005:$AS$1005,1,MATCH(COLUMNS($AC$1006:AN1006),$AC$1006:$AS$1006,0))&gt;=100000), " ",IF(INDEX($AC$2:$AS$1001,MATCH(ROWS($V$2:V407),$V$2:$V$1001,0),MATCH(COLUMNS($AC$1006:AN1006),$AC$1006:$AS$1006,0)), HYPERLINK("#",""), HYPERLINK(CONCATENATE("#Metadata!", ADDRESS(INDEX($X$2:$X$1001,MATCH(ROWS($V$2:V407),$V$2:$V$1001,0),0), INDEX($AC$1004:$AS$1004,1,MATCH(COLUMNS($AC$1006:AN1006),$AC$1006:$AS$1006,0)))),"Fix")))</f>
        <v>0</v>
      </c>
      <c r="N407" s="5">
        <f>IF(OR(INDEX($W$2:$W$1001,MATCH(ROWS($V$2:V407),$V$2:$V$1001,0),1)&gt;=100000,INDEX($AC$1005:$AS$1005,1,MATCH(COLUMNS($AC$1006:AO1006),$AC$1006:$AS$1006,0))&gt;=100000), " ",IF(INDEX($AC$2:$AS$1001,MATCH(ROWS($V$2:V407),$V$2:$V$1001,0),MATCH(COLUMNS($AC$1006:AO1006),$AC$1006:$AS$1006,0)), HYPERLINK("#",""), HYPERLINK(CONCATENATE("#Metadata!", ADDRESS(INDEX($X$2:$X$1001,MATCH(ROWS($V$2:V407),$V$2:$V$1001,0),0), INDEX($AC$1004:$AS$1004,1,MATCH(COLUMNS($AC$1006:AO1006),$AC$1006:$AS$1006,0)))),"Fix")))</f>
        <v>0</v>
      </c>
      <c r="O407" s="5">
        <f>IF(OR(INDEX($W$2:$W$1001,MATCH(ROWS($V$2:V407),$V$2:$V$1001,0),1)&gt;=100000,INDEX($AC$1005:$AS$1005,1,MATCH(COLUMNS($AC$1006:AP1006),$AC$1006:$AS$1006,0))&gt;=100000), " ",IF(INDEX($AC$2:$AS$1001,MATCH(ROWS($V$2:V407),$V$2:$V$1001,0),MATCH(COLUMNS($AC$1006:AP1006),$AC$1006:$AS$1006,0)), HYPERLINK("#",""), HYPERLINK(CONCATENATE("#Metadata!", ADDRESS(INDEX($X$2:$X$1001,MATCH(ROWS($V$2:V407),$V$2:$V$1001,0),0), INDEX($AC$1004:$AS$1004,1,MATCH(COLUMNS($AC$1006:AP1006),$AC$1006:$AS$1006,0)))),"Fix")))</f>
        <v>0</v>
      </c>
      <c r="P407" s="5">
        <f>IF(OR(INDEX($W$2:$W$1001,MATCH(ROWS($V$2:V407),$V$2:$V$1001,0),1)&gt;=100000,INDEX($AC$1005:$AS$1005,1,MATCH(COLUMNS($AC$1006:AQ1006),$AC$1006:$AS$1006,0))&gt;=100000), " ",IF(INDEX($AC$2:$AS$1001,MATCH(ROWS($V$2:V407),$V$2:$V$1001,0),MATCH(COLUMNS($AC$1006:AQ1006),$AC$1006:$AS$1006,0)), HYPERLINK("#",""), HYPERLINK(CONCATENATE("#Metadata!", ADDRESS(INDEX($X$2:$X$1001,MATCH(ROWS($V$2:V407),$V$2:$V$1001,0),0), INDEX($AC$1004:$AS$1004,1,MATCH(COLUMNS($AC$1006:AQ1006),$AC$1006:$AS$1006,0)))),"Fix")))</f>
        <v>0</v>
      </c>
      <c r="Q407" s="5">
        <f>IF(OR(INDEX($W$2:$W$1001,MATCH(ROWS($V$2:V407),$V$2:$V$1001,0),1)&gt;=100000,INDEX($AC$1005:$AS$1005,1,MATCH(COLUMNS($AC$1006:AR1006),$AC$1006:$AS$1006,0))&gt;=100000), " ",IF(INDEX($AC$2:$AS$1001,MATCH(ROWS($V$2:V407),$V$2:$V$1001,0),MATCH(COLUMNS($AC$1006:AR1006),$AC$1006:$AS$1006,0)), HYPERLINK("#",""), HYPERLINK(CONCATENATE("#Metadata!", ADDRESS(INDEX($X$2:$X$1001,MATCH(ROWS($V$2:V407),$V$2:$V$1001,0),0), INDEX($AC$1004:$AS$1004,1,MATCH(COLUMNS($AC$1006:AR1006),$AC$1006:$AS$1006,0)))),"Fix")))</f>
        <v>0</v>
      </c>
      <c r="R407" s="5">
        <f>IF(OR(INDEX($W$2:$W$1001,MATCH(ROWS($V$2:V407),$V$2:$V$1001,0),1)&gt;=100000,INDEX($AC$1005:$AS$1005,1,MATCH(COLUMNS($AC$1006:AS1006),$AC$1006:$AS$1006,0))&gt;=100000), " ",IF(INDEX($AC$2:$AS$1001,MATCH(ROWS($V$2:V407),$V$2:$V$1001,0),MATCH(COLUMNS($AC$1006:AS1006),$AC$1006:$AS$1006,0)), HYPERLINK("#",""), HYPERLINK(CONCATENATE("#Metadata!", ADDRESS(INDEX($X$2:$X$1001,MATCH(ROWS($V$2:V407),$V$2:$V$1001,0),0), INDEX($AC$1004:$AS$1004,1,MATCH(COLUMNS($AC$1006:AS1006),$AC$1006:$AS$1006,0)))),"Fix")))</f>
        <v>0</v>
      </c>
      <c r="V407">
        <v>0</v>
      </c>
      <c r="W407">
        <v>0</v>
      </c>
      <c r="X407">
        <v>0</v>
      </c>
      <c r="Y407">
        <f>IF(Z407,TRUE,AND(AC407:AS407))</f>
        <v>0</v>
      </c>
      <c r="Z407">
        <f>COUNTBLANK(Metadata!B407:R407)=COLUMNS(Metadata!B407:R407)</f>
        <v>0</v>
      </c>
      <c r="AA407">
        <v>0</v>
      </c>
      <c r="AC407">
        <f>AND(IF(Metadata!B407="",FALSE,TRUE),COUNTIF(Metadata!B:B, Metadata!B407) = 1,NOT(ISERROR(SUMPRODUCT(SEARCH(MID(Metadata!B407,ROW(INDIRECT("1:"&amp;LEN(Metadata!B407))), 1),"0123456789abcdefghijklmnopqrstuvwxyzABCDEFGHIJKLMNOPQRSTUVWXYZ.")))))</f>
        <v>0</v>
      </c>
      <c r="AD407">
        <f>AND(IF(Metadata!C407="",FALSE,TRUE),exact(Metadata!C407,"Host-associated"))</f>
        <v>0</v>
      </c>
      <c r="AE407">
        <f>AND(IF(Metadata!D407="",FALSE,TRUE),OR(exact(Metadata!D407,"Animal"),exact(Metadata!D407,"Fungus"),exact(Metadata!D407,"Plant")))</f>
        <v>0</v>
      </c>
      <c r="AF407">
        <f>AND(IF(Metadata!E407="",FALSE,TRUE),OR(exact(Metadata!E407,"Plant secretion"),exact(Metadata!E407,"Plant rhizosphere"),exact(Metadata!E407,"Plant surface"),exact(Metadata!E407,"Plant corpus"),exact(Metadata!E407,"Fungus surface"),exact(Metadata!E407,"Fungus corpus"),exact(Metadata!E407,"Animal surface"),exact(Metadata!E407,"Animal proximal gut"),exact(Metadata!E407,"Animal corpus"),exact(Metadata!E407,"Animal distal gut"),exact(Metadata!E407,"Animal secretion")))</f>
        <v>0</v>
      </c>
      <c r="AG407">
        <f>OR(AND(IF(Metadata!F407="",FALSE,TRUE),OR(exact(Metadata!F407,"not collected"),exact(Metadata!F407,"not provided"),exact(Metadata!F407,"restricted access"))),AND(IF(Metadata!F407="",FALSE,TRUE),OR(exact(Metadata!F407,"organism-associated habitat"),exact(Metadata!F407,"plant-associated habitat"),exact(Metadata!F407,"animal-associated habitat"),exact(Metadata!F407,"insecta-associated habitat"),exact(Metadata!F407,"mammalia-associated habitat"),exact(Metadata!F407,"human-associated habitat"),exact(Metadata!F407,"livestock-associated habitat"))))</f>
        <v>0</v>
      </c>
      <c r="AH407">
        <f>AND(IF(Metadata!G407="",FALSE,TRUE),exact(Metadata!G407,"host-associated"))</f>
        <v>0</v>
      </c>
      <c r="AI407">
        <f>OR(AND(IF(Metadata!H407="",FALSE,TRUE),OR(exact(Metadata!H407,"not collected"),exact(Metadata!H407,"not provided"))),AND(IF(Metadata!H407="",FALSE,ISNUMBER(VALUE(Metadata!H407))),Metadata!H407&gt;0))</f>
        <v>0</v>
      </c>
      <c r="AJ407">
        <f>AND(IF(Metadata!I407="",FALSE,TRUE),exact(Metadata!I407,"years"))</f>
        <v>0</v>
      </c>
      <c r="AK407">
        <f>IF(Metadata!J407="",FALSE,TRUE)</f>
        <v>0</v>
      </c>
      <c r="AL407">
        <f>OR(AND(IF(Metadata!K407="",FALSE,TRUE),OR(exact(Metadata!K407,"not collected"),exact(Metadata!K407,"not provided"))),AND(IF(Metadata!K407="",FALSE,ISNUMBER(VALUE(Metadata!K407))),Metadata!K407&gt;0))</f>
        <v>0</v>
      </c>
      <c r="AM407">
        <f>AND(IF(Metadata!L407="",FALSE,TRUE),exact(Metadata!L407,"cm"))</f>
        <v>0</v>
      </c>
      <c r="AN407">
        <f>IF(Metadata!M407="",FALSE,TRUE)</f>
        <v>0</v>
      </c>
      <c r="AO407">
        <f>OR(AND(IF(Metadata!N407="",FALSE,TRUE),OR(exact(Metadata!N407,"not applicable"),exact(Metadata!N407,"not collected"),exact(Metadata!N407,"not provided"))),AND(IF(Metadata!N407="",FALSE,IF(ISERROR(INT(Metadata!N407)),FALSE,INT(Metadata!N407)=Metadata!N407)),Metadata!N407&gt;0))</f>
        <v>0</v>
      </c>
      <c r="AP407">
        <f>OR(AND(IF(Metadata!O407="",FALSE,TRUE),OR(exact(Metadata!O407,"not collected"),exact(Metadata!O407,"not provided"))),AND(IF(Metadata!O407="",FALSE,ISNUMBER(VALUE(Metadata!O407))),Metadata!O407&gt;0))</f>
        <v>0</v>
      </c>
      <c r="AQ407">
        <f>AND(IF(Metadata!P407="",FALSE,TRUE),exact(Metadata!P407,"kg"))</f>
        <v>0</v>
      </c>
      <c r="AR407">
        <f>OR(AND(IF(Metadata!Q407="",FALSE,TRUE),OR(exact(Metadata!Q407,"not applicable"),exact(Metadata!Q407,"not collected"),exact(Metadata!Q407,"not provided"),exact(Metadata!Q407,"restricted access"))),IF(Metadata!Q407="",FALSE,IF(ISERROR(INT(Metadata!Q407)),FALSE,INT(Metadata!Q407)=Metadata!Q407)))</f>
        <v>0</v>
      </c>
      <c r="AS407">
        <f>AND(IF(Metadata!R407="",FALSE,TRUE),exact(Metadata!R407,"Not applicable"))</f>
        <v>0</v>
      </c>
    </row>
    <row r="408" spans="1:45">
      <c r="A408" s="4">
        <f>IF(B408=" "," ",HYPERLINK(CONCATENATE("#metadata!",ADDRESS(INDEX($X$2:$X$1001,MATCH(ROWS($V$2:V408),$V$2:$V$1001,0),0),2)),INDEX($AA$2:$AA$1001,MATCH(ROWS($V$2:V408),$V$2:$V$1001,0),0)))</f>
        <v>0</v>
      </c>
      <c r="B408" s="5">
        <f>IF(OR(INDEX($W$2:$W$1001,MATCH(ROWS($V$2:V408),$V$2:$V$1001,0),1)&gt;=100000,INDEX($AC$1005:$AS$1005,1,MATCH(COLUMNS($AC$1006:AC1006),$AC$1006:$AS$1006,0))&gt;=100000), " ",IF(INDEX($AC$2:$AS$1001,MATCH(ROWS($V$2:V408),$V$2:$V$1001,0),MATCH(COLUMNS($AC$1006:AC1006),$AC$1006:$AS$1006,0)), HYPERLINK("#",""), HYPERLINK(CONCATENATE("#Metadata!", ADDRESS(INDEX($X$2:$X$1001,MATCH(ROWS($V$2:V408),$V$2:$V$1001,0),0), INDEX($AC$1004:$AS$1004,1,MATCH(COLUMNS($AC$1006:AC1006),$AC$1006:$AS$1006,0)))),"Fix")))</f>
        <v>0</v>
      </c>
      <c r="C408" s="5">
        <f>IF(OR(INDEX($W$2:$W$1001,MATCH(ROWS($V$2:V408),$V$2:$V$1001,0),1)&gt;=100000,INDEX($AC$1005:$AS$1005,1,MATCH(COLUMNS($AC$1006:AD1006),$AC$1006:$AS$1006,0))&gt;=100000), " ",IF(INDEX($AC$2:$AS$1001,MATCH(ROWS($V$2:V408),$V$2:$V$1001,0),MATCH(COLUMNS($AC$1006:AD1006),$AC$1006:$AS$1006,0)), HYPERLINK("#",""), HYPERLINK(CONCATENATE("#Metadata!", ADDRESS(INDEX($X$2:$X$1001,MATCH(ROWS($V$2:V408),$V$2:$V$1001,0),0), INDEX($AC$1004:$AS$1004,1,MATCH(COLUMNS($AC$1006:AD1006),$AC$1006:$AS$1006,0)))),"Fix")))</f>
        <v>0</v>
      </c>
      <c r="D408" s="5">
        <f>IF(OR(INDEX($W$2:$W$1001,MATCH(ROWS($V$2:V408),$V$2:$V$1001,0),1)&gt;=100000,INDEX($AC$1005:$AS$1005,1,MATCH(COLUMNS($AC$1006:AE1006),$AC$1006:$AS$1006,0))&gt;=100000), " ",IF(INDEX($AC$2:$AS$1001,MATCH(ROWS($V$2:V408),$V$2:$V$1001,0),MATCH(COLUMNS($AC$1006:AE1006),$AC$1006:$AS$1006,0)), HYPERLINK("#",""), HYPERLINK(CONCATENATE("#Metadata!", ADDRESS(INDEX($X$2:$X$1001,MATCH(ROWS($V$2:V408),$V$2:$V$1001,0),0), INDEX($AC$1004:$AS$1004,1,MATCH(COLUMNS($AC$1006:AE1006),$AC$1006:$AS$1006,0)))),"Fix")))</f>
        <v>0</v>
      </c>
      <c r="E408" s="5">
        <f>IF(OR(INDEX($W$2:$W$1001,MATCH(ROWS($V$2:V408),$V$2:$V$1001,0),1)&gt;=100000,INDEX($AC$1005:$AS$1005,1,MATCH(COLUMNS($AC$1006:AF1006),$AC$1006:$AS$1006,0))&gt;=100000), " ",IF(INDEX($AC$2:$AS$1001,MATCH(ROWS($V$2:V408),$V$2:$V$1001,0),MATCH(COLUMNS($AC$1006:AF1006),$AC$1006:$AS$1006,0)), HYPERLINK("#",""), HYPERLINK(CONCATENATE("#Metadata!", ADDRESS(INDEX($X$2:$X$1001,MATCH(ROWS($V$2:V408),$V$2:$V$1001,0),0), INDEX($AC$1004:$AS$1004,1,MATCH(COLUMNS($AC$1006:AF1006),$AC$1006:$AS$1006,0)))),"Fix")))</f>
        <v>0</v>
      </c>
      <c r="F408" s="5">
        <f>IF(OR(INDEX($W$2:$W$1001,MATCH(ROWS($V$2:V408),$V$2:$V$1001,0),1)&gt;=100000,INDEX($AC$1005:$AS$1005,1,MATCH(COLUMNS($AC$1006:AG1006),$AC$1006:$AS$1006,0))&gt;=100000), " ",IF(INDEX($AC$2:$AS$1001,MATCH(ROWS($V$2:V408),$V$2:$V$1001,0),MATCH(COLUMNS($AC$1006:AG1006),$AC$1006:$AS$1006,0)), HYPERLINK("#",""), HYPERLINK(CONCATENATE("#Metadata!", ADDRESS(INDEX($X$2:$X$1001,MATCH(ROWS($V$2:V408),$V$2:$V$1001,0),0), INDEX($AC$1004:$AS$1004,1,MATCH(COLUMNS($AC$1006:AG1006),$AC$1006:$AS$1006,0)))),"Fix")))</f>
        <v>0</v>
      </c>
      <c r="G408" s="5">
        <f>IF(OR(INDEX($W$2:$W$1001,MATCH(ROWS($V$2:V408),$V$2:$V$1001,0),1)&gt;=100000,INDEX($AC$1005:$AS$1005,1,MATCH(COLUMNS($AC$1006:AH1006),$AC$1006:$AS$1006,0))&gt;=100000), " ",IF(INDEX($AC$2:$AS$1001,MATCH(ROWS($V$2:V408),$V$2:$V$1001,0),MATCH(COLUMNS($AC$1006:AH1006),$AC$1006:$AS$1006,0)), HYPERLINK("#",""), HYPERLINK(CONCATENATE("#Metadata!", ADDRESS(INDEX($X$2:$X$1001,MATCH(ROWS($V$2:V408),$V$2:$V$1001,0),0), INDEX($AC$1004:$AS$1004,1,MATCH(COLUMNS($AC$1006:AH1006),$AC$1006:$AS$1006,0)))),"Fix")))</f>
        <v>0</v>
      </c>
      <c r="H408" s="5">
        <f>IF(OR(INDEX($W$2:$W$1001,MATCH(ROWS($V$2:V408),$V$2:$V$1001,0),1)&gt;=100000,INDEX($AC$1005:$AS$1005,1,MATCH(COLUMNS($AC$1006:AI1006),$AC$1006:$AS$1006,0))&gt;=100000), " ",IF(INDEX($AC$2:$AS$1001,MATCH(ROWS($V$2:V408),$V$2:$V$1001,0),MATCH(COLUMNS($AC$1006:AI1006),$AC$1006:$AS$1006,0)), HYPERLINK("#",""), HYPERLINK(CONCATENATE("#Metadata!", ADDRESS(INDEX($X$2:$X$1001,MATCH(ROWS($V$2:V408),$V$2:$V$1001,0),0), INDEX($AC$1004:$AS$1004,1,MATCH(COLUMNS($AC$1006:AI1006),$AC$1006:$AS$1006,0)))),"Fix")))</f>
        <v>0</v>
      </c>
      <c r="I408" s="5">
        <f>IF(OR(INDEX($W$2:$W$1001,MATCH(ROWS($V$2:V408),$V$2:$V$1001,0),1)&gt;=100000,INDEX($AC$1005:$AS$1005,1,MATCH(COLUMNS($AC$1006:AJ1006),$AC$1006:$AS$1006,0))&gt;=100000), " ",IF(INDEX($AC$2:$AS$1001,MATCH(ROWS($V$2:V408),$V$2:$V$1001,0),MATCH(COLUMNS($AC$1006:AJ1006),$AC$1006:$AS$1006,0)), HYPERLINK("#",""), HYPERLINK(CONCATENATE("#Metadata!", ADDRESS(INDEX($X$2:$X$1001,MATCH(ROWS($V$2:V408),$V$2:$V$1001,0),0), INDEX($AC$1004:$AS$1004,1,MATCH(COLUMNS($AC$1006:AJ1006),$AC$1006:$AS$1006,0)))),"Fix")))</f>
        <v>0</v>
      </c>
      <c r="J408" s="5">
        <f>IF(OR(INDEX($W$2:$W$1001,MATCH(ROWS($V$2:V408),$V$2:$V$1001,0),1)&gt;=100000,INDEX($AC$1005:$AS$1005,1,MATCH(COLUMNS($AC$1006:AK1006),$AC$1006:$AS$1006,0))&gt;=100000), " ",IF(INDEX($AC$2:$AS$1001,MATCH(ROWS($V$2:V408),$V$2:$V$1001,0),MATCH(COLUMNS($AC$1006:AK1006),$AC$1006:$AS$1006,0)), HYPERLINK("#",""), HYPERLINK(CONCATENATE("#Metadata!", ADDRESS(INDEX($X$2:$X$1001,MATCH(ROWS($V$2:V408),$V$2:$V$1001,0),0), INDEX($AC$1004:$AS$1004,1,MATCH(COLUMNS($AC$1006:AK1006),$AC$1006:$AS$1006,0)))),"Fix")))</f>
        <v>0</v>
      </c>
      <c r="K408" s="5">
        <f>IF(OR(INDEX($W$2:$W$1001,MATCH(ROWS($V$2:V408),$V$2:$V$1001,0),1)&gt;=100000,INDEX($AC$1005:$AS$1005,1,MATCH(COLUMNS($AC$1006:AL1006),$AC$1006:$AS$1006,0))&gt;=100000), " ",IF(INDEX($AC$2:$AS$1001,MATCH(ROWS($V$2:V408),$V$2:$V$1001,0),MATCH(COLUMNS($AC$1006:AL1006),$AC$1006:$AS$1006,0)), HYPERLINK("#",""), HYPERLINK(CONCATENATE("#Metadata!", ADDRESS(INDEX($X$2:$X$1001,MATCH(ROWS($V$2:V408),$V$2:$V$1001,0),0), INDEX($AC$1004:$AS$1004,1,MATCH(COLUMNS($AC$1006:AL1006),$AC$1006:$AS$1006,0)))),"Fix")))</f>
        <v>0</v>
      </c>
      <c r="L408" s="5">
        <f>IF(OR(INDEX($W$2:$W$1001,MATCH(ROWS($V$2:V408),$V$2:$V$1001,0),1)&gt;=100000,INDEX($AC$1005:$AS$1005,1,MATCH(COLUMNS($AC$1006:AM1006),$AC$1006:$AS$1006,0))&gt;=100000), " ",IF(INDEX($AC$2:$AS$1001,MATCH(ROWS($V$2:V408),$V$2:$V$1001,0),MATCH(COLUMNS($AC$1006:AM1006),$AC$1006:$AS$1006,0)), HYPERLINK("#",""), HYPERLINK(CONCATENATE("#Metadata!", ADDRESS(INDEX($X$2:$X$1001,MATCH(ROWS($V$2:V408),$V$2:$V$1001,0),0), INDEX($AC$1004:$AS$1004,1,MATCH(COLUMNS($AC$1006:AM1006),$AC$1006:$AS$1006,0)))),"Fix")))</f>
        <v>0</v>
      </c>
      <c r="M408" s="5">
        <f>IF(OR(INDEX($W$2:$W$1001,MATCH(ROWS($V$2:V408),$V$2:$V$1001,0),1)&gt;=100000,INDEX($AC$1005:$AS$1005,1,MATCH(COLUMNS($AC$1006:AN1006),$AC$1006:$AS$1006,0))&gt;=100000), " ",IF(INDEX($AC$2:$AS$1001,MATCH(ROWS($V$2:V408),$V$2:$V$1001,0),MATCH(COLUMNS($AC$1006:AN1006),$AC$1006:$AS$1006,0)), HYPERLINK("#",""), HYPERLINK(CONCATENATE("#Metadata!", ADDRESS(INDEX($X$2:$X$1001,MATCH(ROWS($V$2:V408),$V$2:$V$1001,0),0), INDEX($AC$1004:$AS$1004,1,MATCH(COLUMNS($AC$1006:AN1006),$AC$1006:$AS$1006,0)))),"Fix")))</f>
        <v>0</v>
      </c>
      <c r="N408" s="5">
        <f>IF(OR(INDEX($W$2:$W$1001,MATCH(ROWS($V$2:V408),$V$2:$V$1001,0),1)&gt;=100000,INDEX($AC$1005:$AS$1005,1,MATCH(COLUMNS($AC$1006:AO1006),$AC$1006:$AS$1006,0))&gt;=100000), " ",IF(INDEX($AC$2:$AS$1001,MATCH(ROWS($V$2:V408),$V$2:$V$1001,0),MATCH(COLUMNS($AC$1006:AO1006),$AC$1006:$AS$1006,0)), HYPERLINK("#",""), HYPERLINK(CONCATENATE("#Metadata!", ADDRESS(INDEX($X$2:$X$1001,MATCH(ROWS($V$2:V408),$V$2:$V$1001,0),0), INDEX($AC$1004:$AS$1004,1,MATCH(COLUMNS($AC$1006:AO1006),$AC$1006:$AS$1006,0)))),"Fix")))</f>
        <v>0</v>
      </c>
      <c r="O408" s="5">
        <f>IF(OR(INDEX($W$2:$W$1001,MATCH(ROWS($V$2:V408),$V$2:$V$1001,0),1)&gt;=100000,INDEX($AC$1005:$AS$1005,1,MATCH(COLUMNS($AC$1006:AP1006),$AC$1006:$AS$1006,0))&gt;=100000), " ",IF(INDEX($AC$2:$AS$1001,MATCH(ROWS($V$2:V408),$V$2:$V$1001,0),MATCH(COLUMNS($AC$1006:AP1006),$AC$1006:$AS$1006,0)), HYPERLINK("#",""), HYPERLINK(CONCATENATE("#Metadata!", ADDRESS(INDEX($X$2:$X$1001,MATCH(ROWS($V$2:V408),$V$2:$V$1001,0),0), INDEX($AC$1004:$AS$1004,1,MATCH(COLUMNS($AC$1006:AP1006),$AC$1006:$AS$1006,0)))),"Fix")))</f>
        <v>0</v>
      </c>
      <c r="P408" s="5">
        <f>IF(OR(INDEX($W$2:$W$1001,MATCH(ROWS($V$2:V408),$V$2:$V$1001,0),1)&gt;=100000,INDEX($AC$1005:$AS$1005,1,MATCH(COLUMNS($AC$1006:AQ1006),$AC$1006:$AS$1006,0))&gt;=100000), " ",IF(INDEX($AC$2:$AS$1001,MATCH(ROWS($V$2:V408),$V$2:$V$1001,0),MATCH(COLUMNS($AC$1006:AQ1006),$AC$1006:$AS$1006,0)), HYPERLINK("#",""), HYPERLINK(CONCATENATE("#Metadata!", ADDRESS(INDEX($X$2:$X$1001,MATCH(ROWS($V$2:V408),$V$2:$V$1001,0),0), INDEX($AC$1004:$AS$1004,1,MATCH(COLUMNS($AC$1006:AQ1006),$AC$1006:$AS$1006,0)))),"Fix")))</f>
        <v>0</v>
      </c>
      <c r="Q408" s="5">
        <f>IF(OR(INDEX($W$2:$W$1001,MATCH(ROWS($V$2:V408),$V$2:$V$1001,0),1)&gt;=100000,INDEX($AC$1005:$AS$1005,1,MATCH(COLUMNS($AC$1006:AR1006),$AC$1006:$AS$1006,0))&gt;=100000), " ",IF(INDEX($AC$2:$AS$1001,MATCH(ROWS($V$2:V408),$V$2:$V$1001,0),MATCH(COLUMNS($AC$1006:AR1006),$AC$1006:$AS$1006,0)), HYPERLINK("#",""), HYPERLINK(CONCATENATE("#Metadata!", ADDRESS(INDEX($X$2:$X$1001,MATCH(ROWS($V$2:V408),$V$2:$V$1001,0),0), INDEX($AC$1004:$AS$1004,1,MATCH(COLUMNS($AC$1006:AR1006),$AC$1006:$AS$1006,0)))),"Fix")))</f>
        <v>0</v>
      </c>
      <c r="R408" s="5">
        <f>IF(OR(INDEX($W$2:$W$1001,MATCH(ROWS($V$2:V408),$V$2:$V$1001,0),1)&gt;=100000,INDEX($AC$1005:$AS$1005,1,MATCH(COLUMNS($AC$1006:AS1006),$AC$1006:$AS$1006,0))&gt;=100000), " ",IF(INDEX($AC$2:$AS$1001,MATCH(ROWS($V$2:V408),$V$2:$V$1001,0),MATCH(COLUMNS($AC$1006:AS1006),$AC$1006:$AS$1006,0)), HYPERLINK("#",""), HYPERLINK(CONCATENATE("#Metadata!", ADDRESS(INDEX($X$2:$X$1001,MATCH(ROWS($V$2:V408),$V$2:$V$1001,0),0), INDEX($AC$1004:$AS$1004,1,MATCH(COLUMNS($AC$1006:AS1006),$AC$1006:$AS$1006,0)))),"Fix")))</f>
        <v>0</v>
      </c>
      <c r="V408">
        <v>0</v>
      </c>
      <c r="W408">
        <v>0</v>
      </c>
      <c r="X408">
        <v>0</v>
      </c>
      <c r="Y408">
        <f>IF(Z408,TRUE,AND(AC408:AS408))</f>
        <v>0</v>
      </c>
      <c r="Z408">
        <f>COUNTBLANK(Metadata!B408:R408)=COLUMNS(Metadata!B408:R408)</f>
        <v>0</v>
      </c>
      <c r="AA408">
        <v>0</v>
      </c>
      <c r="AC408">
        <f>AND(IF(Metadata!B408="",FALSE,TRUE),COUNTIF(Metadata!B:B, Metadata!B408) = 1,NOT(ISERROR(SUMPRODUCT(SEARCH(MID(Metadata!B408,ROW(INDIRECT("1:"&amp;LEN(Metadata!B408))), 1),"0123456789abcdefghijklmnopqrstuvwxyzABCDEFGHIJKLMNOPQRSTUVWXYZ.")))))</f>
        <v>0</v>
      </c>
      <c r="AD408">
        <f>AND(IF(Metadata!C408="",FALSE,TRUE),exact(Metadata!C408,"Host-associated"))</f>
        <v>0</v>
      </c>
      <c r="AE408">
        <f>AND(IF(Metadata!D408="",FALSE,TRUE),OR(exact(Metadata!D408,"Animal"),exact(Metadata!D408,"Fungus"),exact(Metadata!D408,"Plant")))</f>
        <v>0</v>
      </c>
      <c r="AF408">
        <f>AND(IF(Metadata!E408="",FALSE,TRUE),OR(exact(Metadata!E408,"Plant secretion"),exact(Metadata!E408,"Plant rhizosphere"),exact(Metadata!E408,"Plant surface"),exact(Metadata!E408,"Plant corpus"),exact(Metadata!E408,"Fungus surface"),exact(Metadata!E408,"Fungus corpus"),exact(Metadata!E408,"Animal surface"),exact(Metadata!E408,"Animal proximal gut"),exact(Metadata!E408,"Animal corpus"),exact(Metadata!E408,"Animal distal gut"),exact(Metadata!E408,"Animal secretion")))</f>
        <v>0</v>
      </c>
      <c r="AG408">
        <f>OR(AND(IF(Metadata!F408="",FALSE,TRUE),OR(exact(Metadata!F408,"not collected"),exact(Metadata!F408,"not provided"),exact(Metadata!F408,"restricted access"))),AND(IF(Metadata!F408="",FALSE,TRUE),OR(exact(Metadata!F408,"organism-associated habitat"),exact(Metadata!F408,"plant-associated habitat"),exact(Metadata!F408,"animal-associated habitat"),exact(Metadata!F408,"insecta-associated habitat"),exact(Metadata!F408,"mammalia-associated habitat"),exact(Metadata!F408,"human-associated habitat"),exact(Metadata!F408,"livestock-associated habitat"))))</f>
        <v>0</v>
      </c>
      <c r="AH408">
        <f>AND(IF(Metadata!G408="",FALSE,TRUE),exact(Metadata!G408,"host-associated"))</f>
        <v>0</v>
      </c>
      <c r="AI408">
        <f>OR(AND(IF(Metadata!H408="",FALSE,TRUE),OR(exact(Metadata!H408,"not collected"),exact(Metadata!H408,"not provided"))),AND(IF(Metadata!H408="",FALSE,ISNUMBER(VALUE(Metadata!H408))),Metadata!H408&gt;0))</f>
        <v>0</v>
      </c>
      <c r="AJ408">
        <f>AND(IF(Metadata!I408="",FALSE,TRUE),exact(Metadata!I408,"years"))</f>
        <v>0</v>
      </c>
      <c r="AK408">
        <f>IF(Metadata!J408="",FALSE,TRUE)</f>
        <v>0</v>
      </c>
      <c r="AL408">
        <f>OR(AND(IF(Metadata!K408="",FALSE,TRUE),OR(exact(Metadata!K408,"not collected"),exact(Metadata!K408,"not provided"))),AND(IF(Metadata!K408="",FALSE,ISNUMBER(VALUE(Metadata!K408))),Metadata!K408&gt;0))</f>
        <v>0</v>
      </c>
      <c r="AM408">
        <f>AND(IF(Metadata!L408="",FALSE,TRUE),exact(Metadata!L408,"cm"))</f>
        <v>0</v>
      </c>
      <c r="AN408">
        <f>IF(Metadata!M408="",FALSE,TRUE)</f>
        <v>0</v>
      </c>
      <c r="AO408">
        <f>OR(AND(IF(Metadata!N408="",FALSE,TRUE),OR(exact(Metadata!N408,"not applicable"),exact(Metadata!N408,"not collected"),exact(Metadata!N408,"not provided"))),AND(IF(Metadata!N408="",FALSE,IF(ISERROR(INT(Metadata!N408)),FALSE,INT(Metadata!N408)=Metadata!N408)),Metadata!N408&gt;0))</f>
        <v>0</v>
      </c>
      <c r="AP408">
        <f>OR(AND(IF(Metadata!O408="",FALSE,TRUE),OR(exact(Metadata!O408,"not collected"),exact(Metadata!O408,"not provided"))),AND(IF(Metadata!O408="",FALSE,ISNUMBER(VALUE(Metadata!O408))),Metadata!O408&gt;0))</f>
        <v>0</v>
      </c>
      <c r="AQ408">
        <f>AND(IF(Metadata!P408="",FALSE,TRUE),exact(Metadata!P408,"kg"))</f>
        <v>0</v>
      </c>
      <c r="AR408">
        <f>OR(AND(IF(Metadata!Q408="",FALSE,TRUE),OR(exact(Metadata!Q408,"not applicable"),exact(Metadata!Q408,"not collected"),exact(Metadata!Q408,"not provided"),exact(Metadata!Q408,"restricted access"))),IF(Metadata!Q408="",FALSE,IF(ISERROR(INT(Metadata!Q408)),FALSE,INT(Metadata!Q408)=Metadata!Q408)))</f>
        <v>0</v>
      </c>
      <c r="AS408">
        <f>AND(IF(Metadata!R408="",FALSE,TRUE),exact(Metadata!R408,"Not applicable"))</f>
        <v>0</v>
      </c>
    </row>
    <row r="409" spans="1:45">
      <c r="A409" s="4">
        <f>IF(B409=" "," ",HYPERLINK(CONCATENATE("#metadata!",ADDRESS(INDEX($X$2:$X$1001,MATCH(ROWS($V$2:V409),$V$2:$V$1001,0),0),2)),INDEX($AA$2:$AA$1001,MATCH(ROWS($V$2:V409),$V$2:$V$1001,0),0)))</f>
        <v>0</v>
      </c>
      <c r="B409" s="5">
        <f>IF(OR(INDEX($W$2:$W$1001,MATCH(ROWS($V$2:V409),$V$2:$V$1001,0),1)&gt;=100000,INDEX($AC$1005:$AS$1005,1,MATCH(COLUMNS($AC$1006:AC1006),$AC$1006:$AS$1006,0))&gt;=100000), " ",IF(INDEX($AC$2:$AS$1001,MATCH(ROWS($V$2:V409),$V$2:$V$1001,0),MATCH(COLUMNS($AC$1006:AC1006),$AC$1006:$AS$1006,0)), HYPERLINK("#",""), HYPERLINK(CONCATENATE("#Metadata!", ADDRESS(INDEX($X$2:$X$1001,MATCH(ROWS($V$2:V409),$V$2:$V$1001,0),0), INDEX($AC$1004:$AS$1004,1,MATCH(COLUMNS($AC$1006:AC1006),$AC$1006:$AS$1006,0)))),"Fix")))</f>
        <v>0</v>
      </c>
      <c r="C409" s="5">
        <f>IF(OR(INDEX($W$2:$W$1001,MATCH(ROWS($V$2:V409),$V$2:$V$1001,0),1)&gt;=100000,INDEX($AC$1005:$AS$1005,1,MATCH(COLUMNS($AC$1006:AD1006),$AC$1006:$AS$1006,0))&gt;=100000), " ",IF(INDEX($AC$2:$AS$1001,MATCH(ROWS($V$2:V409),$V$2:$V$1001,0),MATCH(COLUMNS($AC$1006:AD1006),$AC$1006:$AS$1006,0)), HYPERLINK("#",""), HYPERLINK(CONCATENATE("#Metadata!", ADDRESS(INDEX($X$2:$X$1001,MATCH(ROWS($V$2:V409),$V$2:$V$1001,0),0), INDEX($AC$1004:$AS$1004,1,MATCH(COLUMNS($AC$1006:AD1006),$AC$1006:$AS$1006,0)))),"Fix")))</f>
        <v>0</v>
      </c>
      <c r="D409" s="5">
        <f>IF(OR(INDEX($W$2:$W$1001,MATCH(ROWS($V$2:V409),$V$2:$V$1001,0),1)&gt;=100000,INDEX($AC$1005:$AS$1005,1,MATCH(COLUMNS($AC$1006:AE1006),$AC$1006:$AS$1006,0))&gt;=100000), " ",IF(INDEX($AC$2:$AS$1001,MATCH(ROWS($V$2:V409),$V$2:$V$1001,0),MATCH(COLUMNS($AC$1006:AE1006),$AC$1006:$AS$1006,0)), HYPERLINK("#",""), HYPERLINK(CONCATENATE("#Metadata!", ADDRESS(INDEX($X$2:$X$1001,MATCH(ROWS($V$2:V409),$V$2:$V$1001,0),0), INDEX($AC$1004:$AS$1004,1,MATCH(COLUMNS($AC$1006:AE1006),$AC$1006:$AS$1006,0)))),"Fix")))</f>
        <v>0</v>
      </c>
      <c r="E409" s="5">
        <f>IF(OR(INDEX($W$2:$W$1001,MATCH(ROWS($V$2:V409),$V$2:$V$1001,0),1)&gt;=100000,INDEX($AC$1005:$AS$1005,1,MATCH(COLUMNS($AC$1006:AF1006),$AC$1006:$AS$1006,0))&gt;=100000), " ",IF(INDEX($AC$2:$AS$1001,MATCH(ROWS($V$2:V409),$V$2:$V$1001,0),MATCH(COLUMNS($AC$1006:AF1006),$AC$1006:$AS$1006,0)), HYPERLINK("#",""), HYPERLINK(CONCATENATE("#Metadata!", ADDRESS(INDEX($X$2:$X$1001,MATCH(ROWS($V$2:V409),$V$2:$V$1001,0),0), INDEX($AC$1004:$AS$1004,1,MATCH(COLUMNS($AC$1006:AF1006),$AC$1006:$AS$1006,0)))),"Fix")))</f>
        <v>0</v>
      </c>
      <c r="F409" s="5">
        <f>IF(OR(INDEX($W$2:$W$1001,MATCH(ROWS($V$2:V409),$V$2:$V$1001,0),1)&gt;=100000,INDEX($AC$1005:$AS$1005,1,MATCH(COLUMNS($AC$1006:AG1006),$AC$1006:$AS$1006,0))&gt;=100000), " ",IF(INDEX($AC$2:$AS$1001,MATCH(ROWS($V$2:V409),$V$2:$V$1001,0),MATCH(COLUMNS($AC$1006:AG1006),$AC$1006:$AS$1006,0)), HYPERLINK("#",""), HYPERLINK(CONCATENATE("#Metadata!", ADDRESS(INDEX($X$2:$X$1001,MATCH(ROWS($V$2:V409),$V$2:$V$1001,0),0), INDEX($AC$1004:$AS$1004,1,MATCH(COLUMNS($AC$1006:AG1006),$AC$1006:$AS$1006,0)))),"Fix")))</f>
        <v>0</v>
      </c>
      <c r="G409" s="5">
        <f>IF(OR(INDEX($W$2:$W$1001,MATCH(ROWS($V$2:V409),$V$2:$V$1001,0),1)&gt;=100000,INDEX($AC$1005:$AS$1005,1,MATCH(COLUMNS($AC$1006:AH1006),$AC$1006:$AS$1006,0))&gt;=100000), " ",IF(INDEX($AC$2:$AS$1001,MATCH(ROWS($V$2:V409),$V$2:$V$1001,0),MATCH(COLUMNS($AC$1006:AH1006),$AC$1006:$AS$1006,0)), HYPERLINK("#",""), HYPERLINK(CONCATENATE("#Metadata!", ADDRESS(INDEX($X$2:$X$1001,MATCH(ROWS($V$2:V409),$V$2:$V$1001,0),0), INDEX($AC$1004:$AS$1004,1,MATCH(COLUMNS($AC$1006:AH1006),$AC$1006:$AS$1006,0)))),"Fix")))</f>
        <v>0</v>
      </c>
      <c r="H409" s="5">
        <f>IF(OR(INDEX($W$2:$W$1001,MATCH(ROWS($V$2:V409),$V$2:$V$1001,0),1)&gt;=100000,INDEX($AC$1005:$AS$1005,1,MATCH(COLUMNS($AC$1006:AI1006),$AC$1006:$AS$1006,0))&gt;=100000), " ",IF(INDEX($AC$2:$AS$1001,MATCH(ROWS($V$2:V409),$V$2:$V$1001,0),MATCH(COLUMNS($AC$1006:AI1006),$AC$1006:$AS$1006,0)), HYPERLINK("#",""), HYPERLINK(CONCATENATE("#Metadata!", ADDRESS(INDEX($X$2:$X$1001,MATCH(ROWS($V$2:V409),$V$2:$V$1001,0),0), INDEX($AC$1004:$AS$1004,1,MATCH(COLUMNS($AC$1006:AI1006),$AC$1006:$AS$1006,0)))),"Fix")))</f>
        <v>0</v>
      </c>
      <c r="I409" s="5">
        <f>IF(OR(INDEX($W$2:$W$1001,MATCH(ROWS($V$2:V409),$V$2:$V$1001,0),1)&gt;=100000,INDEX($AC$1005:$AS$1005,1,MATCH(COLUMNS($AC$1006:AJ1006),$AC$1006:$AS$1006,0))&gt;=100000), " ",IF(INDEX($AC$2:$AS$1001,MATCH(ROWS($V$2:V409),$V$2:$V$1001,0),MATCH(COLUMNS($AC$1006:AJ1006),$AC$1006:$AS$1006,0)), HYPERLINK("#",""), HYPERLINK(CONCATENATE("#Metadata!", ADDRESS(INDEX($X$2:$X$1001,MATCH(ROWS($V$2:V409),$V$2:$V$1001,0),0), INDEX($AC$1004:$AS$1004,1,MATCH(COLUMNS($AC$1006:AJ1006),$AC$1006:$AS$1006,0)))),"Fix")))</f>
        <v>0</v>
      </c>
      <c r="J409" s="5">
        <f>IF(OR(INDEX($W$2:$W$1001,MATCH(ROWS($V$2:V409),$V$2:$V$1001,0),1)&gt;=100000,INDEX($AC$1005:$AS$1005,1,MATCH(COLUMNS($AC$1006:AK1006),$AC$1006:$AS$1006,0))&gt;=100000), " ",IF(INDEX($AC$2:$AS$1001,MATCH(ROWS($V$2:V409),$V$2:$V$1001,0),MATCH(COLUMNS($AC$1006:AK1006),$AC$1006:$AS$1006,0)), HYPERLINK("#",""), HYPERLINK(CONCATENATE("#Metadata!", ADDRESS(INDEX($X$2:$X$1001,MATCH(ROWS($V$2:V409),$V$2:$V$1001,0),0), INDEX($AC$1004:$AS$1004,1,MATCH(COLUMNS($AC$1006:AK1006),$AC$1006:$AS$1006,0)))),"Fix")))</f>
        <v>0</v>
      </c>
      <c r="K409" s="5">
        <f>IF(OR(INDEX($W$2:$W$1001,MATCH(ROWS($V$2:V409),$V$2:$V$1001,0),1)&gt;=100000,INDEX($AC$1005:$AS$1005,1,MATCH(COLUMNS($AC$1006:AL1006),$AC$1006:$AS$1006,0))&gt;=100000), " ",IF(INDEX($AC$2:$AS$1001,MATCH(ROWS($V$2:V409),$V$2:$V$1001,0),MATCH(COLUMNS($AC$1006:AL1006),$AC$1006:$AS$1006,0)), HYPERLINK("#",""), HYPERLINK(CONCATENATE("#Metadata!", ADDRESS(INDEX($X$2:$X$1001,MATCH(ROWS($V$2:V409),$V$2:$V$1001,0),0), INDEX($AC$1004:$AS$1004,1,MATCH(COLUMNS($AC$1006:AL1006),$AC$1006:$AS$1006,0)))),"Fix")))</f>
        <v>0</v>
      </c>
      <c r="L409" s="5">
        <f>IF(OR(INDEX($W$2:$W$1001,MATCH(ROWS($V$2:V409),$V$2:$V$1001,0),1)&gt;=100000,INDEX($AC$1005:$AS$1005,1,MATCH(COLUMNS($AC$1006:AM1006),$AC$1006:$AS$1006,0))&gt;=100000), " ",IF(INDEX($AC$2:$AS$1001,MATCH(ROWS($V$2:V409),$V$2:$V$1001,0),MATCH(COLUMNS($AC$1006:AM1006),$AC$1006:$AS$1006,0)), HYPERLINK("#",""), HYPERLINK(CONCATENATE("#Metadata!", ADDRESS(INDEX($X$2:$X$1001,MATCH(ROWS($V$2:V409),$V$2:$V$1001,0),0), INDEX($AC$1004:$AS$1004,1,MATCH(COLUMNS($AC$1006:AM1006),$AC$1006:$AS$1006,0)))),"Fix")))</f>
        <v>0</v>
      </c>
      <c r="M409" s="5">
        <f>IF(OR(INDEX($W$2:$W$1001,MATCH(ROWS($V$2:V409),$V$2:$V$1001,0),1)&gt;=100000,INDEX($AC$1005:$AS$1005,1,MATCH(COLUMNS($AC$1006:AN1006),$AC$1006:$AS$1006,0))&gt;=100000), " ",IF(INDEX($AC$2:$AS$1001,MATCH(ROWS($V$2:V409),$V$2:$V$1001,0),MATCH(COLUMNS($AC$1006:AN1006),$AC$1006:$AS$1006,0)), HYPERLINK("#",""), HYPERLINK(CONCATENATE("#Metadata!", ADDRESS(INDEX($X$2:$X$1001,MATCH(ROWS($V$2:V409),$V$2:$V$1001,0),0), INDEX($AC$1004:$AS$1004,1,MATCH(COLUMNS($AC$1006:AN1006),$AC$1006:$AS$1006,0)))),"Fix")))</f>
        <v>0</v>
      </c>
      <c r="N409" s="5">
        <f>IF(OR(INDEX($W$2:$W$1001,MATCH(ROWS($V$2:V409),$V$2:$V$1001,0),1)&gt;=100000,INDEX($AC$1005:$AS$1005,1,MATCH(COLUMNS($AC$1006:AO1006),$AC$1006:$AS$1006,0))&gt;=100000), " ",IF(INDEX($AC$2:$AS$1001,MATCH(ROWS($V$2:V409),$V$2:$V$1001,0),MATCH(COLUMNS($AC$1006:AO1006),$AC$1006:$AS$1006,0)), HYPERLINK("#",""), HYPERLINK(CONCATENATE("#Metadata!", ADDRESS(INDEX($X$2:$X$1001,MATCH(ROWS($V$2:V409),$V$2:$V$1001,0),0), INDEX($AC$1004:$AS$1004,1,MATCH(COLUMNS($AC$1006:AO1006),$AC$1006:$AS$1006,0)))),"Fix")))</f>
        <v>0</v>
      </c>
      <c r="O409" s="5">
        <f>IF(OR(INDEX($W$2:$W$1001,MATCH(ROWS($V$2:V409),$V$2:$V$1001,0),1)&gt;=100000,INDEX($AC$1005:$AS$1005,1,MATCH(COLUMNS($AC$1006:AP1006),$AC$1006:$AS$1006,0))&gt;=100000), " ",IF(INDEX($AC$2:$AS$1001,MATCH(ROWS($V$2:V409),$V$2:$V$1001,0),MATCH(COLUMNS($AC$1006:AP1006),$AC$1006:$AS$1006,0)), HYPERLINK("#",""), HYPERLINK(CONCATENATE("#Metadata!", ADDRESS(INDEX($X$2:$X$1001,MATCH(ROWS($V$2:V409),$V$2:$V$1001,0),0), INDEX($AC$1004:$AS$1004,1,MATCH(COLUMNS($AC$1006:AP1006),$AC$1006:$AS$1006,0)))),"Fix")))</f>
        <v>0</v>
      </c>
      <c r="P409" s="5">
        <f>IF(OR(INDEX($W$2:$W$1001,MATCH(ROWS($V$2:V409),$V$2:$V$1001,0),1)&gt;=100000,INDEX($AC$1005:$AS$1005,1,MATCH(COLUMNS($AC$1006:AQ1006),$AC$1006:$AS$1006,0))&gt;=100000), " ",IF(INDEX($AC$2:$AS$1001,MATCH(ROWS($V$2:V409),$V$2:$V$1001,0),MATCH(COLUMNS($AC$1006:AQ1006),$AC$1006:$AS$1006,0)), HYPERLINK("#",""), HYPERLINK(CONCATENATE("#Metadata!", ADDRESS(INDEX($X$2:$X$1001,MATCH(ROWS($V$2:V409),$V$2:$V$1001,0),0), INDEX($AC$1004:$AS$1004,1,MATCH(COLUMNS($AC$1006:AQ1006),$AC$1006:$AS$1006,0)))),"Fix")))</f>
        <v>0</v>
      </c>
      <c r="Q409" s="5">
        <f>IF(OR(INDEX($W$2:$W$1001,MATCH(ROWS($V$2:V409),$V$2:$V$1001,0),1)&gt;=100000,INDEX($AC$1005:$AS$1005,1,MATCH(COLUMNS($AC$1006:AR1006),$AC$1006:$AS$1006,0))&gt;=100000), " ",IF(INDEX($AC$2:$AS$1001,MATCH(ROWS($V$2:V409),$V$2:$V$1001,0),MATCH(COLUMNS($AC$1006:AR1006),$AC$1006:$AS$1006,0)), HYPERLINK("#",""), HYPERLINK(CONCATENATE("#Metadata!", ADDRESS(INDEX($X$2:$X$1001,MATCH(ROWS($V$2:V409),$V$2:$V$1001,0),0), INDEX($AC$1004:$AS$1004,1,MATCH(COLUMNS($AC$1006:AR1006),$AC$1006:$AS$1006,0)))),"Fix")))</f>
        <v>0</v>
      </c>
      <c r="R409" s="5">
        <f>IF(OR(INDEX($W$2:$W$1001,MATCH(ROWS($V$2:V409),$V$2:$V$1001,0),1)&gt;=100000,INDEX($AC$1005:$AS$1005,1,MATCH(COLUMNS($AC$1006:AS1006),$AC$1006:$AS$1006,0))&gt;=100000), " ",IF(INDEX($AC$2:$AS$1001,MATCH(ROWS($V$2:V409),$V$2:$V$1001,0),MATCH(COLUMNS($AC$1006:AS1006),$AC$1006:$AS$1006,0)), HYPERLINK("#",""), HYPERLINK(CONCATENATE("#Metadata!", ADDRESS(INDEX($X$2:$X$1001,MATCH(ROWS($V$2:V409),$V$2:$V$1001,0),0), INDEX($AC$1004:$AS$1004,1,MATCH(COLUMNS($AC$1006:AS1006),$AC$1006:$AS$1006,0)))),"Fix")))</f>
        <v>0</v>
      </c>
      <c r="V409">
        <v>0</v>
      </c>
      <c r="W409">
        <v>0</v>
      </c>
      <c r="X409">
        <v>0</v>
      </c>
      <c r="Y409">
        <f>IF(Z409,TRUE,AND(AC409:AS409))</f>
        <v>0</v>
      </c>
      <c r="Z409">
        <f>COUNTBLANK(Metadata!B409:R409)=COLUMNS(Metadata!B409:R409)</f>
        <v>0</v>
      </c>
      <c r="AA409">
        <v>0</v>
      </c>
      <c r="AC409">
        <f>AND(IF(Metadata!B409="",FALSE,TRUE),COUNTIF(Metadata!B:B, Metadata!B409) = 1,NOT(ISERROR(SUMPRODUCT(SEARCH(MID(Metadata!B409,ROW(INDIRECT("1:"&amp;LEN(Metadata!B409))), 1),"0123456789abcdefghijklmnopqrstuvwxyzABCDEFGHIJKLMNOPQRSTUVWXYZ.")))))</f>
        <v>0</v>
      </c>
      <c r="AD409">
        <f>AND(IF(Metadata!C409="",FALSE,TRUE),exact(Metadata!C409,"Host-associated"))</f>
        <v>0</v>
      </c>
      <c r="AE409">
        <f>AND(IF(Metadata!D409="",FALSE,TRUE),OR(exact(Metadata!D409,"Animal"),exact(Metadata!D409,"Fungus"),exact(Metadata!D409,"Plant")))</f>
        <v>0</v>
      </c>
      <c r="AF409">
        <f>AND(IF(Metadata!E409="",FALSE,TRUE),OR(exact(Metadata!E409,"Plant secretion"),exact(Metadata!E409,"Plant rhizosphere"),exact(Metadata!E409,"Plant surface"),exact(Metadata!E409,"Plant corpus"),exact(Metadata!E409,"Fungus surface"),exact(Metadata!E409,"Fungus corpus"),exact(Metadata!E409,"Animal surface"),exact(Metadata!E409,"Animal proximal gut"),exact(Metadata!E409,"Animal corpus"),exact(Metadata!E409,"Animal distal gut"),exact(Metadata!E409,"Animal secretion")))</f>
        <v>0</v>
      </c>
      <c r="AG409">
        <f>OR(AND(IF(Metadata!F409="",FALSE,TRUE),OR(exact(Metadata!F409,"not collected"),exact(Metadata!F409,"not provided"),exact(Metadata!F409,"restricted access"))),AND(IF(Metadata!F409="",FALSE,TRUE),OR(exact(Metadata!F409,"organism-associated habitat"),exact(Metadata!F409,"plant-associated habitat"),exact(Metadata!F409,"animal-associated habitat"),exact(Metadata!F409,"insecta-associated habitat"),exact(Metadata!F409,"mammalia-associated habitat"),exact(Metadata!F409,"human-associated habitat"),exact(Metadata!F409,"livestock-associated habitat"))))</f>
        <v>0</v>
      </c>
      <c r="AH409">
        <f>AND(IF(Metadata!G409="",FALSE,TRUE),exact(Metadata!G409,"host-associated"))</f>
        <v>0</v>
      </c>
      <c r="AI409">
        <f>OR(AND(IF(Metadata!H409="",FALSE,TRUE),OR(exact(Metadata!H409,"not collected"),exact(Metadata!H409,"not provided"))),AND(IF(Metadata!H409="",FALSE,ISNUMBER(VALUE(Metadata!H409))),Metadata!H409&gt;0))</f>
        <v>0</v>
      </c>
      <c r="AJ409">
        <f>AND(IF(Metadata!I409="",FALSE,TRUE),exact(Metadata!I409,"years"))</f>
        <v>0</v>
      </c>
      <c r="AK409">
        <f>IF(Metadata!J409="",FALSE,TRUE)</f>
        <v>0</v>
      </c>
      <c r="AL409">
        <f>OR(AND(IF(Metadata!K409="",FALSE,TRUE),OR(exact(Metadata!K409,"not collected"),exact(Metadata!K409,"not provided"))),AND(IF(Metadata!K409="",FALSE,ISNUMBER(VALUE(Metadata!K409))),Metadata!K409&gt;0))</f>
        <v>0</v>
      </c>
      <c r="AM409">
        <f>AND(IF(Metadata!L409="",FALSE,TRUE),exact(Metadata!L409,"cm"))</f>
        <v>0</v>
      </c>
      <c r="AN409">
        <f>IF(Metadata!M409="",FALSE,TRUE)</f>
        <v>0</v>
      </c>
      <c r="AO409">
        <f>OR(AND(IF(Metadata!N409="",FALSE,TRUE),OR(exact(Metadata!N409,"not applicable"),exact(Metadata!N409,"not collected"),exact(Metadata!N409,"not provided"))),AND(IF(Metadata!N409="",FALSE,IF(ISERROR(INT(Metadata!N409)),FALSE,INT(Metadata!N409)=Metadata!N409)),Metadata!N409&gt;0))</f>
        <v>0</v>
      </c>
      <c r="AP409">
        <f>OR(AND(IF(Metadata!O409="",FALSE,TRUE),OR(exact(Metadata!O409,"not collected"),exact(Metadata!O409,"not provided"))),AND(IF(Metadata!O409="",FALSE,ISNUMBER(VALUE(Metadata!O409))),Metadata!O409&gt;0))</f>
        <v>0</v>
      </c>
      <c r="AQ409">
        <f>AND(IF(Metadata!P409="",FALSE,TRUE),exact(Metadata!P409,"kg"))</f>
        <v>0</v>
      </c>
      <c r="AR409">
        <f>OR(AND(IF(Metadata!Q409="",FALSE,TRUE),OR(exact(Metadata!Q409,"not applicable"),exact(Metadata!Q409,"not collected"),exact(Metadata!Q409,"not provided"),exact(Metadata!Q409,"restricted access"))),IF(Metadata!Q409="",FALSE,IF(ISERROR(INT(Metadata!Q409)),FALSE,INT(Metadata!Q409)=Metadata!Q409)))</f>
        <v>0</v>
      </c>
      <c r="AS409">
        <f>AND(IF(Metadata!R409="",FALSE,TRUE),exact(Metadata!R409,"Not applicable"))</f>
        <v>0</v>
      </c>
    </row>
    <row r="410" spans="1:45">
      <c r="A410" s="4">
        <f>IF(B410=" "," ",HYPERLINK(CONCATENATE("#metadata!",ADDRESS(INDEX($X$2:$X$1001,MATCH(ROWS($V$2:V410),$V$2:$V$1001,0),0),2)),INDEX($AA$2:$AA$1001,MATCH(ROWS($V$2:V410),$V$2:$V$1001,0),0)))</f>
        <v>0</v>
      </c>
      <c r="B410" s="5">
        <f>IF(OR(INDEX($W$2:$W$1001,MATCH(ROWS($V$2:V410),$V$2:$V$1001,0),1)&gt;=100000,INDEX($AC$1005:$AS$1005,1,MATCH(COLUMNS($AC$1006:AC1006),$AC$1006:$AS$1006,0))&gt;=100000), " ",IF(INDEX($AC$2:$AS$1001,MATCH(ROWS($V$2:V410),$V$2:$V$1001,0),MATCH(COLUMNS($AC$1006:AC1006),$AC$1006:$AS$1006,0)), HYPERLINK("#",""), HYPERLINK(CONCATENATE("#Metadata!", ADDRESS(INDEX($X$2:$X$1001,MATCH(ROWS($V$2:V410),$V$2:$V$1001,0),0), INDEX($AC$1004:$AS$1004,1,MATCH(COLUMNS($AC$1006:AC1006),$AC$1006:$AS$1006,0)))),"Fix")))</f>
        <v>0</v>
      </c>
      <c r="C410" s="5">
        <f>IF(OR(INDEX($W$2:$W$1001,MATCH(ROWS($V$2:V410),$V$2:$V$1001,0),1)&gt;=100000,INDEX($AC$1005:$AS$1005,1,MATCH(COLUMNS($AC$1006:AD1006),$AC$1006:$AS$1006,0))&gt;=100000), " ",IF(INDEX($AC$2:$AS$1001,MATCH(ROWS($V$2:V410),$V$2:$V$1001,0),MATCH(COLUMNS($AC$1006:AD1006),$AC$1006:$AS$1006,0)), HYPERLINK("#",""), HYPERLINK(CONCATENATE("#Metadata!", ADDRESS(INDEX($X$2:$X$1001,MATCH(ROWS($V$2:V410),$V$2:$V$1001,0),0), INDEX($AC$1004:$AS$1004,1,MATCH(COLUMNS($AC$1006:AD1006),$AC$1006:$AS$1006,0)))),"Fix")))</f>
        <v>0</v>
      </c>
      <c r="D410" s="5">
        <f>IF(OR(INDEX($W$2:$W$1001,MATCH(ROWS($V$2:V410),$V$2:$V$1001,0),1)&gt;=100000,INDEX($AC$1005:$AS$1005,1,MATCH(COLUMNS($AC$1006:AE1006),$AC$1006:$AS$1006,0))&gt;=100000), " ",IF(INDEX($AC$2:$AS$1001,MATCH(ROWS($V$2:V410),$V$2:$V$1001,0),MATCH(COLUMNS($AC$1006:AE1006),$AC$1006:$AS$1006,0)), HYPERLINK("#",""), HYPERLINK(CONCATENATE("#Metadata!", ADDRESS(INDEX($X$2:$X$1001,MATCH(ROWS($V$2:V410),$V$2:$V$1001,0),0), INDEX($AC$1004:$AS$1004,1,MATCH(COLUMNS($AC$1006:AE1006),$AC$1006:$AS$1006,0)))),"Fix")))</f>
        <v>0</v>
      </c>
      <c r="E410" s="5">
        <f>IF(OR(INDEX($W$2:$W$1001,MATCH(ROWS($V$2:V410),$V$2:$V$1001,0),1)&gt;=100000,INDEX($AC$1005:$AS$1005,1,MATCH(COLUMNS($AC$1006:AF1006),$AC$1006:$AS$1006,0))&gt;=100000), " ",IF(INDEX($AC$2:$AS$1001,MATCH(ROWS($V$2:V410),$V$2:$V$1001,0),MATCH(COLUMNS($AC$1006:AF1006),$AC$1006:$AS$1006,0)), HYPERLINK("#",""), HYPERLINK(CONCATENATE("#Metadata!", ADDRESS(INDEX($X$2:$X$1001,MATCH(ROWS($V$2:V410),$V$2:$V$1001,0),0), INDEX($AC$1004:$AS$1004,1,MATCH(COLUMNS($AC$1006:AF1006),$AC$1006:$AS$1006,0)))),"Fix")))</f>
        <v>0</v>
      </c>
      <c r="F410" s="5">
        <f>IF(OR(INDEX($W$2:$W$1001,MATCH(ROWS($V$2:V410),$V$2:$V$1001,0),1)&gt;=100000,INDEX($AC$1005:$AS$1005,1,MATCH(COLUMNS($AC$1006:AG1006),$AC$1006:$AS$1006,0))&gt;=100000), " ",IF(INDEX($AC$2:$AS$1001,MATCH(ROWS($V$2:V410),$V$2:$V$1001,0),MATCH(COLUMNS($AC$1006:AG1006),$AC$1006:$AS$1006,0)), HYPERLINK("#",""), HYPERLINK(CONCATENATE("#Metadata!", ADDRESS(INDEX($X$2:$X$1001,MATCH(ROWS($V$2:V410),$V$2:$V$1001,0),0), INDEX($AC$1004:$AS$1004,1,MATCH(COLUMNS($AC$1006:AG1006),$AC$1006:$AS$1006,0)))),"Fix")))</f>
        <v>0</v>
      </c>
      <c r="G410" s="5">
        <f>IF(OR(INDEX($W$2:$W$1001,MATCH(ROWS($V$2:V410),$V$2:$V$1001,0),1)&gt;=100000,INDEX($AC$1005:$AS$1005,1,MATCH(COLUMNS($AC$1006:AH1006),$AC$1006:$AS$1006,0))&gt;=100000), " ",IF(INDEX($AC$2:$AS$1001,MATCH(ROWS($V$2:V410),$V$2:$V$1001,0),MATCH(COLUMNS($AC$1006:AH1006),$AC$1006:$AS$1006,0)), HYPERLINK("#",""), HYPERLINK(CONCATENATE("#Metadata!", ADDRESS(INDEX($X$2:$X$1001,MATCH(ROWS($V$2:V410),$V$2:$V$1001,0),0), INDEX($AC$1004:$AS$1004,1,MATCH(COLUMNS($AC$1006:AH1006),$AC$1006:$AS$1006,0)))),"Fix")))</f>
        <v>0</v>
      </c>
      <c r="H410" s="5">
        <f>IF(OR(INDEX($W$2:$W$1001,MATCH(ROWS($V$2:V410),$V$2:$V$1001,0),1)&gt;=100000,INDEX($AC$1005:$AS$1005,1,MATCH(COLUMNS($AC$1006:AI1006),$AC$1006:$AS$1006,0))&gt;=100000), " ",IF(INDEX($AC$2:$AS$1001,MATCH(ROWS($V$2:V410),$V$2:$V$1001,0),MATCH(COLUMNS($AC$1006:AI1006),$AC$1006:$AS$1006,0)), HYPERLINK("#",""), HYPERLINK(CONCATENATE("#Metadata!", ADDRESS(INDEX($X$2:$X$1001,MATCH(ROWS($V$2:V410),$V$2:$V$1001,0),0), INDEX($AC$1004:$AS$1004,1,MATCH(COLUMNS($AC$1006:AI1006),$AC$1006:$AS$1006,0)))),"Fix")))</f>
        <v>0</v>
      </c>
      <c r="I410" s="5">
        <f>IF(OR(INDEX($W$2:$W$1001,MATCH(ROWS($V$2:V410),$V$2:$V$1001,0),1)&gt;=100000,INDEX($AC$1005:$AS$1005,1,MATCH(COLUMNS($AC$1006:AJ1006),$AC$1006:$AS$1006,0))&gt;=100000), " ",IF(INDEX($AC$2:$AS$1001,MATCH(ROWS($V$2:V410),$V$2:$V$1001,0),MATCH(COLUMNS($AC$1006:AJ1006),$AC$1006:$AS$1006,0)), HYPERLINK("#",""), HYPERLINK(CONCATENATE("#Metadata!", ADDRESS(INDEX($X$2:$X$1001,MATCH(ROWS($V$2:V410),$V$2:$V$1001,0),0), INDEX($AC$1004:$AS$1004,1,MATCH(COLUMNS($AC$1006:AJ1006),$AC$1006:$AS$1006,0)))),"Fix")))</f>
        <v>0</v>
      </c>
      <c r="J410" s="5">
        <f>IF(OR(INDEX($W$2:$W$1001,MATCH(ROWS($V$2:V410),$V$2:$V$1001,0),1)&gt;=100000,INDEX($AC$1005:$AS$1005,1,MATCH(COLUMNS($AC$1006:AK1006),$AC$1006:$AS$1006,0))&gt;=100000), " ",IF(INDEX($AC$2:$AS$1001,MATCH(ROWS($V$2:V410),$V$2:$V$1001,0),MATCH(COLUMNS($AC$1006:AK1006),$AC$1006:$AS$1006,0)), HYPERLINK("#",""), HYPERLINK(CONCATENATE("#Metadata!", ADDRESS(INDEX($X$2:$X$1001,MATCH(ROWS($V$2:V410),$V$2:$V$1001,0),0), INDEX($AC$1004:$AS$1004,1,MATCH(COLUMNS($AC$1006:AK1006),$AC$1006:$AS$1006,0)))),"Fix")))</f>
        <v>0</v>
      </c>
      <c r="K410" s="5">
        <f>IF(OR(INDEX($W$2:$W$1001,MATCH(ROWS($V$2:V410),$V$2:$V$1001,0),1)&gt;=100000,INDEX($AC$1005:$AS$1005,1,MATCH(COLUMNS($AC$1006:AL1006),$AC$1006:$AS$1006,0))&gt;=100000), " ",IF(INDEX($AC$2:$AS$1001,MATCH(ROWS($V$2:V410),$V$2:$V$1001,0),MATCH(COLUMNS($AC$1006:AL1006),$AC$1006:$AS$1006,0)), HYPERLINK("#",""), HYPERLINK(CONCATENATE("#Metadata!", ADDRESS(INDEX($X$2:$X$1001,MATCH(ROWS($V$2:V410),$V$2:$V$1001,0),0), INDEX($AC$1004:$AS$1004,1,MATCH(COLUMNS($AC$1006:AL1006),$AC$1006:$AS$1006,0)))),"Fix")))</f>
        <v>0</v>
      </c>
      <c r="L410" s="5">
        <f>IF(OR(INDEX($W$2:$W$1001,MATCH(ROWS($V$2:V410),$V$2:$V$1001,0),1)&gt;=100000,INDEX($AC$1005:$AS$1005,1,MATCH(COLUMNS($AC$1006:AM1006),$AC$1006:$AS$1006,0))&gt;=100000), " ",IF(INDEX($AC$2:$AS$1001,MATCH(ROWS($V$2:V410),$V$2:$V$1001,0),MATCH(COLUMNS($AC$1006:AM1006),$AC$1006:$AS$1006,0)), HYPERLINK("#",""), HYPERLINK(CONCATENATE("#Metadata!", ADDRESS(INDEX($X$2:$X$1001,MATCH(ROWS($V$2:V410),$V$2:$V$1001,0),0), INDEX($AC$1004:$AS$1004,1,MATCH(COLUMNS($AC$1006:AM1006),$AC$1006:$AS$1006,0)))),"Fix")))</f>
        <v>0</v>
      </c>
      <c r="M410" s="5">
        <f>IF(OR(INDEX($W$2:$W$1001,MATCH(ROWS($V$2:V410),$V$2:$V$1001,0),1)&gt;=100000,INDEX($AC$1005:$AS$1005,1,MATCH(COLUMNS($AC$1006:AN1006),$AC$1006:$AS$1006,0))&gt;=100000), " ",IF(INDEX($AC$2:$AS$1001,MATCH(ROWS($V$2:V410),$V$2:$V$1001,0),MATCH(COLUMNS($AC$1006:AN1006),$AC$1006:$AS$1006,0)), HYPERLINK("#",""), HYPERLINK(CONCATENATE("#Metadata!", ADDRESS(INDEX($X$2:$X$1001,MATCH(ROWS($V$2:V410),$V$2:$V$1001,0),0), INDEX($AC$1004:$AS$1004,1,MATCH(COLUMNS($AC$1006:AN1006),$AC$1006:$AS$1006,0)))),"Fix")))</f>
        <v>0</v>
      </c>
      <c r="N410" s="5">
        <f>IF(OR(INDEX($W$2:$W$1001,MATCH(ROWS($V$2:V410),$V$2:$V$1001,0),1)&gt;=100000,INDEX($AC$1005:$AS$1005,1,MATCH(COLUMNS($AC$1006:AO1006),$AC$1006:$AS$1006,0))&gt;=100000), " ",IF(INDEX($AC$2:$AS$1001,MATCH(ROWS($V$2:V410),$V$2:$V$1001,0),MATCH(COLUMNS($AC$1006:AO1006),$AC$1006:$AS$1006,0)), HYPERLINK("#",""), HYPERLINK(CONCATENATE("#Metadata!", ADDRESS(INDEX($X$2:$X$1001,MATCH(ROWS($V$2:V410),$V$2:$V$1001,0),0), INDEX($AC$1004:$AS$1004,1,MATCH(COLUMNS($AC$1006:AO1006),$AC$1006:$AS$1006,0)))),"Fix")))</f>
        <v>0</v>
      </c>
      <c r="O410" s="5">
        <f>IF(OR(INDEX($W$2:$W$1001,MATCH(ROWS($V$2:V410),$V$2:$V$1001,0),1)&gt;=100000,INDEX($AC$1005:$AS$1005,1,MATCH(COLUMNS($AC$1006:AP1006),$AC$1006:$AS$1006,0))&gt;=100000), " ",IF(INDEX($AC$2:$AS$1001,MATCH(ROWS($V$2:V410),$V$2:$V$1001,0),MATCH(COLUMNS($AC$1006:AP1006),$AC$1006:$AS$1006,0)), HYPERLINK("#",""), HYPERLINK(CONCATENATE("#Metadata!", ADDRESS(INDEX($X$2:$X$1001,MATCH(ROWS($V$2:V410),$V$2:$V$1001,0),0), INDEX($AC$1004:$AS$1004,1,MATCH(COLUMNS($AC$1006:AP1006),$AC$1006:$AS$1006,0)))),"Fix")))</f>
        <v>0</v>
      </c>
      <c r="P410" s="5">
        <f>IF(OR(INDEX($W$2:$W$1001,MATCH(ROWS($V$2:V410),$V$2:$V$1001,0),1)&gt;=100000,INDEX($AC$1005:$AS$1005,1,MATCH(COLUMNS($AC$1006:AQ1006),$AC$1006:$AS$1006,0))&gt;=100000), " ",IF(INDEX($AC$2:$AS$1001,MATCH(ROWS($V$2:V410),$V$2:$V$1001,0),MATCH(COLUMNS($AC$1006:AQ1006),$AC$1006:$AS$1006,0)), HYPERLINK("#",""), HYPERLINK(CONCATENATE("#Metadata!", ADDRESS(INDEX($X$2:$X$1001,MATCH(ROWS($V$2:V410),$V$2:$V$1001,0),0), INDEX($AC$1004:$AS$1004,1,MATCH(COLUMNS($AC$1006:AQ1006),$AC$1006:$AS$1006,0)))),"Fix")))</f>
        <v>0</v>
      </c>
      <c r="Q410" s="5">
        <f>IF(OR(INDEX($W$2:$W$1001,MATCH(ROWS($V$2:V410),$V$2:$V$1001,0),1)&gt;=100000,INDEX($AC$1005:$AS$1005,1,MATCH(COLUMNS($AC$1006:AR1006),$AC$1006:$AS$1006,0))&gt;=100000), " ",IF(INDEX($AC$2:$AS$1001,MATCH(ROWS($V$2:V410),$V$2:$V$1001,0),MATCH(COLUMNS($AC$1006:AR1006),$AC$1006:$AS$1006,0)), HYPERLINK("#",""), HYPERLINK(CONCATENATE("#Metadata!", ADDRESS(INDEX($X$2:$X$1001,MATCH(ROWS($V$2:V410),$V$2:$V$1001,0),0), INDEX($AC$1004:$AS$1004,1,MATCH(COLUMNS($AC$1006:AR1006),$AC$1006:$AS$1006,0)))),"Fix")))</f>
        <v>0</v>
      </c>
      <c r="R410" s="5">
        <f>IF(OR(INDEX($W$2:$W$1001,MATCH(ROWS($V$2:V410),$V$2:$V$1001,0),1)&gt;=100000,INDEX($AC$1005:$AS$1005,1,MATCH(COLUMNS($AC$1006:AS1006),$AC$1006:$AS$1006,0))&gt;=100000), " ",IF(INDEX($AC$2:$AS$1001,MATCH(ROWS($V$2:V410),$V$2:$V$1001,0),MATCH(COLUMNS($AC$1006:AS1006),$AC$1006:$AS$1006,0)), HYPERLINK("#",""), HYPERLINK(CONCATENATE("#Metadata!", ADDRESS(INDEX($X$2:$X$1001,MATCH(ROWS($V$2:V410),$V$2:$V$1001,0),0), INDEX($AC$1004:$AS$1004,1,MATCH(COLUMNS($AC$1006:AS1006),$AC$1006:$AS$1006,0)))),"Fix")))</f>
        <v>0</v>
      </c>
      <c r="V410">
        <v>0</v>
      </c>
      <c r="W410">
        <v>0</v>
      </c>
      <c r="X410">
        <v>0</v>
      </c>
      <c r="Y410">
        <f>IF(Z410,TRUE,AND(AC410:AS410))</f>
        <v>0</v>
      </c>
      <c r="Z410">
        <f>COUNTBLANK(Metadata!B410:R410)=COLUMNS(Metadata!B410:R410)</f>
        <v>0</v>
      </c>
      <c r="AA410">
        <v>0</v>
      </c>
      <c r="AC410">
        <f>AND(IF(Metadata!B410="",FALSE,TRUE),COUNTIF(Metadata!B:B, Metadata!B410) = 1,NOT(ISERROR(SUMPRODUCT(SEARCH(MID(Metadata!B410,ROW(INDIRECT("1:"&amp;LEN(Metadata!B410))), 1),"0123456789abcdefghijklmnopqrstuvwxyzABCDEFGHIJKLMNOPQRSTUVWXYZ.")))))</f>
        <v>0</v>
      </c>
      <c r="AD410">
        <f>AND(IF(Metadata!C410="",FALSE,TRUE),exact(Metadata!C410,"Host-associated"))</f>
        <v>0</v>
      </c>
      <c r="AE410">
        <f>AND(IF(Metadata!D410="",FALSE,TRUE),OR(exact(Metadata!D410,"Animal"),exact(Metadata!D410,"Fungus"),exact(Metadata!D410,"Plant")))</f>
        <v>0</v>
      </c>
      <c r="AF410">
        <f>AND(IF(Metadata!E410="",FALSE,TRUE),OR(exact(Metadata!E410,"Plant secretion"),exact(Metadata!E410,"Plant rhizosphere"),exact(Metadata!E410,"Plant surface"),exact(Metadata!E410,"Plant corpus"),exact(Metadata!E410,"Fungus surface"),exact(Metadata!E410,"Fungus corpus"),exact(Metadata!E410,"Animal surface"),exact(Metadata!E410,"Animal proximal gut"),exact(Metadata!E410,"Animal corpus"),exact(Metadata!E410,"Animal distal gut"),exact(Metadata!E410,"Animal secretion")))</f>
        <v>0</v>
      </c>
      <c r="AG410">
        <f>OR(AND(IF(Metadata!F410="",FALSE,TRUE),OR(exact(Metadata!F410,"not collected"),exact(Metadata!F410,"not provided"),exact(Metadata!F410,"restricted access"))),AND(IF(Metadata!F410="",FALSE,TRUE),OR(exact(Metadata!F410,"organism-associated habitat"),exact(Metadata!F410,"plant-associated habitat"),exact(Metadata!F410,"animal-associated habitat"),exact(Metadata!F410,"insecta-associated habitat"),exact(Metadata!F410,"mammalia-associated habitat"),exact(Metadata!F410,"human-associated habitat"),exact(Metadata!F410,"livestock-associated habitat"))))</f>
        <v>0</v>
      </c>
      <c r="AH410">
        <f>AND(IF(Metadata!G410="",FALSE,TRUE),exact(Metadata!G410,"host-associated"))</f>
        <v>0</v>
      </c>
      <c r="AI410">
        <f>OR(AND(IF(Metadata!H410="",FALSE,TRUE),OR(exact(Metadata!H410,"not collected"),exact(Metadata!H410,"not provided"))),AND(IF(Metadata!H410="",FALSE,ISNUMBER(VALUE(Metadata!H410))),Metadata!H410&gt;0))</f>
        <v>0</v>
      </c>
      <c r="AJ410">
        <f>AND(IF(Metadata!I410="",FALSE,TRUE),exact(Metadata!I410,"years"))</f>
        <v>0</v>
      </c>
      <c r="AK410">
        <f>IF(Metadata!J410="",FALSE,TRUE)</f>
        <v>0</v>
      </c>
      <c r="AL410">
        <f>OR(AND(IF(Metadata!K410="",FALSE,TRUE),OR(exact(Metadata!K410,"not collected"),exact(Metadata!K410,"not provided"))),AND(IF(Metadata!K410="",FALSE,ISNUMBER(VALUE(Metadata!K410))),Metadata!K410&gt;0))</f>
        <v>0</v>
      </c>
      <c r="AM410">
        <f>AND(IF(Metadata!L410="",FALSE,TRUE),exact(Metadata!L410,"cm"))</f>
        <v>0</v>
      </c>
      <c r="AN410">
        <f>IF(Metadata!M410="",FALSE,TRUE)</f>
        <v>0</v>
      </c>
      <c r="AO410">
        <f>OR(AND(IF(Metadata!N410="",FALSE,TRUE),OR(exact(Metadata!N410,"not applicable"),exact(Metadata!N410,"not collected"),exact(Metadata!N410,"not provided"))),AND(IF(Metadata!N410="",FALSE,IF(ISERROR(INT(Metadata!N410)),FALSE,INT(Metadata!N410)=Metadata!N410)),Metadata!N410&gt;0))</f>
        <v>0</v>
      </c>
      <c r="AP410">
        <f>OR(AND(IF(Metadata!O410="",FALSE,TRUE),OR(exact(Metadata!O410,"not collected"),exact(Metadata!O410,"not provided"))),AND(IF(Metadata!O410="",FALSE,ISNUMBER(VALUE(Metadata!O410))),Metadata!O410&gt;0))</f>
        <v>0</v>
      </c>
      <c r="AQ410">
        <f>AND(IF(Metadata!P410="",FALSE,TRUE),exact(Metadata!P410,"kg"))</f>
        <v>0</v>
      </c>
      <c r="AR410">
        <f>OR(AND(IF(Metadata!Q410="",FALSE,TRUE),OR(exact(Metadata!Q410,"not applicable"),exact(Metadata!Q410,"not collected"),exact(Metadata!Q410,"not provided"),exact(Metadata!Q410,"restricted access"))),IF(Metadata!Q410="",FALSE,IF(ISERROR(INT(Metadata!Q410)),FALSE,INT(Metadata!Q410)=Metadata!Q410)))</f>
        <v>0</v>
      </c>
      <c r="AS410">
        <f>AND(IF(Metadata!R410="",FALSE,TRUE),exact(Metadata!R410,"Not applicable"))</f>
        <v>0</v>
      </c>
    </row>
    <row r="411" spans="1:45">
      <c r="A411" s="4">
        <f>IF(B411=" "," ",HYPERLINK(CONCATENATE("#metadata!",ADDRESS(INDEX($X$2:$X$1001,MATCH(ROWS($V$2:V411),$V$2:$V$1001,0),0),2)),INDEX($AA$2:$AA$1001,MATCH(ROWS($V$2:V411),$V$2:$V$1001,0),0)))</f>
        <v>0</v>
      </c>
      <c r="B411" s="5">
        <f>IF(OR(INDEX($W$2:$W$1001,MATCH(ROWS($V$2:V411),$V$2:$V$1001,0),1)&gt;=100000,INDEX($AC$1005:$AS$1005,1,MATCH(COLUMNS($AC$1006:AC1006),$AC$1006:$AS$1006,0))&gt;=100000), " ",IF(INDEX($AC$2:$AS$1001,MATCH(ROWS($V$2:V411),$V$2:$V$1001,0),MATCH(COLUMNS($AC$1006:AC1006),$AC$1006:$AS$1006,0)), HYPERLINK("#",""), HYPERLINK(CONCATENATE("#Metadata!", ADDRESS(INDEX($X$2:$X$1001,MATCH(ROWS($V$2:V411),$V$2:$V$1001,0),0), INDEX($AC$1004:$AS$1004,1,MATCH(COLUMNS($AC$1006:AC1006),$AC$1006:$AS$1006,0)))),"Fix")))</f>
        <v>0</v>
      </c>
      <c r="C411" s="5">
        <f>IF(OR(INDEX($W$2:$W$1001,MATCH(ROWS($V$2:V411),$V$2:$V$1001,0),1)&gt;=100000,INDEX($AC$1005:$AS$1005,1,MATCH(COLUMNS($AC$1006:AD1006),$AC$1006:$AS$1006,0))&gt;=100000), " ",IF(INDEX($AC$2:$AS$1001,MATCH(ROWS($V$2:V411),$V$2:$V$1001,0),MATCH(COLUMNS($AC$1006:AD1006),$AC$1006:$AS$1006,0)), HYPERLINK("#",""), HYPERLINK(CONCATENATE("#Metadata!", ADDRESS(INDEX($X$2:$X$1001,MATCH(ROWS($V$2:V411),$V$2:$V$1001,0),0), INDEX($AC$1004:$AS$1004,1,MATCH(COLUMNS($AC$1006:AD1006),$AC$1006:$AS$1006,0)))),"Fix")))</f>
        <v>0</v>
      </c>
      <c r="D411" s="5">
        <f>IF(OR(INDEX($W$2:$W$1001,MATCH(ROWS($V$2:V411),$V$2:$V$1001,0),1)&gt;=100000,INDEX($AC$1005:$AS$1005,1,MATCH(COLUMNS($AC$1006:AE1006),$AC$1006:$AS$1006,0))&gt;=100000), " ",IF(INDEX($AC$2:$AS$1001,MATCH(ROWS($V$2:V411),$V$2:$V$1001,0),MATCH(COLUMNS($AC$1006:AE1006),$AC$1006:$AS$1006,0)), HYPERLINK("#",""), HYPERLINK(CONCATENATE("#Metadata!", ADDRESS(INDEX($X$2:$X$1001,MATCH(ROWS($V$2:V411),$V$2:$V$1001,0),0), INDEX($AC$1004:$AS$1004,1,MATCH(COLUMNS($AC$1006:AE1006),$AC$1006:$AS$1006,0)))),"Fix")))</f>
        <v>0</v>
      </c>
      <c r="E411" s="5">
        <f>IF(OR(INDEX($W$2:$W$1001,MATCH(ROWS($V$2:V411),$V$2:$V$1001,0),1)&gt;=100000,INDEX($AC$1005:$AS$1005,1,MATCH(COLUMNS($AC$1006:AF1006),$AC$1006:$AS$1006,0))&gt;=100000), " ",IF(INDEX($AC$2:$AS$1001,MATCH(ROWS($V$2:V411),$V$2:$V$1001,0),MATCH(COLUMNS($AC$1006:AF1006),$AC$1006:$AS$1006,0)), HYPERLINK("#",""), HYPERLINK(CONCATENATE("#Metadata!", ADDRESS(INDEX($X$2:$X$1001,MATCH(ROWS($V$2:V411),$V$2:$V$1001,0),0), INDEX($AC$1004:$AS$1004,1,MATCH(COLUMNS($AC$1006:AF1006),$AC$1006:$AS$1006,0)))),"Fix")))</f>
        <v>0</v>
      </c>
      <c r="F411" s="5">
        <f>IF(OR(INDEX($W$2:$W$1001,MATCH(ROWS($V$2:V411),$V$2:$V$1001,0),1)&gt;=100000,INDEX($AC$1005:$AS$1005,1,MATCH(COLUMNS($AC$1006:AG1006),$AC$1006:$AS$1006,0))&gt;=100000), " ",IF(INDEX($AC$2:$AS$1001,MATCH(ROWS($V$2:V411),$V$2:$V$1001,0),MATCH(COLUMNS($AC$1006:AG1006),$AC$1006:$AS$1006,0)), HYPERLINK("#",""), HYPERLINK(CONCATENATE("#Metadata!", ADDRESS(INDEX($X$2:$X$1001,MATCH(ROWS($V$2:V411),$V$2:$V$1001,0),0), INDEX($AC$1004:$AS$1004,1,MATCH(COLUMNS($AC$1006:AG1006),$AC$1006:$AS$1006,0)))),"Fix")))</f>
        <v>0</v>
      </c>
      <c r="G411" s="5">
        <f>IF(OR(INDEX($W$2:$W$1001,MATCH(ROWS($V$2:V411),$V$2:$V$1001,0),1)&gt;=100000,INDEX($AC$1005:$AS$1005,1,MATCH(COLUMNS($AC$1006:AH1006),$AC$1006:$AS$1006,0))&gt;=100000), " ",IF(INDEX($AC$2:$AS$1001,MATCH(ROWS($V$2:V411),$V$2:$V$1001,0),MATCH(COLUMNS($AC$1006:AH1006),$AC$1006:$AS$1006,0)), HYPERLINK("#",""), HYPERLINK(CONCATENATE("#Metadata!", ADDRESS(INDEX($X$2:$X$1001,MATCH(ROWS($V$2:V411),$V$2:$V$1001,0),0), INDEX($AC$1004:$AS$1004,1,MATCH(COLUMNS($AC$1006:AH1006),$AC$1006:$AS$1006,0)))),"Fix")))</f>
        <v>0</v>
      </c>
      <c r="H411" s="5">
        <f>IF(OR(INDEX($W$2:$W$1001,MATCH(ROWS($V$2:V411),$V$2:$V$1001,0),1)&gt;=100000,INDEX($AC$1005:$AS$1005,1,MATCH(COLUMNS($AC$1006:AI1006),$AC$1006:$AS$1006,0))&gt;=100000), " ",IF(INDEX($AC$2:$AS$1001,MATCH(ROWS($V$2:V411),$V$2:$V$1001,0),MATCH(COLUMNS($AC$1006:AI1006),$AC$1006:$AS$1006,0)), HYPERLINK("#",""), HYPERLINK(CONCATENATE("#Metadata!", ADDRESS(INDEX($X$2:$X$1001,MATCH(ROWS($V$2:V411),$V$2:$V$1001,0),0), INDEX($AC$1004:$AS$1004,1,MATCH(COLUMNS($AC$1006:AI1006),$AC$1006:$AS$1006,0)))),"Fix")))</f>
        <v>0</v>
      </c>
      <c r="I411" s="5">
        <f>IF(OR(INDEX($W$2:$W$1001,MATCH(ROWS($V$2:V411),$V$2:$V$1001,0),1)&gt;=100000,INDEX($AC$1005:$AS$1005,1,MATCH(COLUMNS($AC$1006:AJ1006),$AC$1006:$AS$1006,0))&gt;=100000), " ",IF(INDEX($AC$2:$AS$1001,MATCH(ROWS($V$2:V411),$V$2:$V$1001,0),MATCH(COLUMNS($AC$1006:AJ1006),$AC$1006:$AS$1006,0)), HYPERLINK("#",""), HYPERLINK(CONCATENATE("#Metadata!", ADDRESS(INDEX($X$2:$X$1001,MATCH(ROWS($V$2:V411),$V$2:$V$1001,0),0), INDEX($AC$1004:$AS$1004,1,MATCH(COLUMNS($AC$1006:AJ1006),$AC$1006:$AS$1006,0)))),"Fix")))</f>
        <v>0</v>
      </c>
      <c r="J411" s="5">
        <f>IF(OR(INDEX($W$2:$W$1001,MATCH(ROWS($V$2:V411),$V$2:$V$1001,0),1)&gt;=100000,INDEX($AC$1005:$AS$1005,1,MATCH(COLUMNS($AC$1006:AK1006),$AC$1006:$AS$1006,0))&gt;=100000), " ",IF(INDEX($AC$2:$AS$1001,MATCH(ROWS($V$2:V411),$V$2:$V$1001,0),MATCH(COLUMNS($AC$1006:AK1006),$AC$1006:$AS$1006,0)), HYPERLINK("#",""), HYPERLINK(CONCATENATE("#Metadata!", ADDRESS(INDEX($X$2:$X$1001,MATCH(ROWS($V$2:V411),$V$2:$V$1001,0),0), INDEX($AC$1004:$AS$1004,1,MATCH(COLUMNS($AC$1006:AK1006),$AC$1006:$AS$1006,0)))),"Fix")))</f>
        <v>0</v>
      </c>
      <c r="K411" s="5">
        <f>IF(OR(INDEX($W$2:$W$1001,MATCH(ROWS($V$2:V411),$V$2:$V$1001,0),1)&gt;=100000,INDEX($AC$1005:$AS$1005,1,MATCH(COLUMNS($AC$1006:AL1006),$AC$1006:$AS$1006,0))&gt;=100000), " ",IF(INDEX($AC$2:$AS$1001,MATCH(ROWS($V$2:V411),$V$2:$V$1001,0),MATCH(COLUMNS($AC$1006:AL1006),$AC$1006:$AS$1006,0)), HYPERLINK("#",""), HYPERLINK(CONCATENATE("#Metadata!", ADDRESS(INDEX($X$2:$X$1001,MATCH(ROWS($V$2:V411),$V$2:$V$1001,0),0), INDEX($AC$1004:$AS$1004,1,MATCH(COLUMNS($AC$1006:AL1006),$AC$1006:$AS$1006,0)))),"Fix")))</f>
        <v>0</v>
      </c>
      <c r="L411" s="5">
        <f>IF(OR(INDEX($W$2:$W$1001,MATCH(ROWS($V$2:V411),$V$2:$V$1001,0),1)&gt;=100000,INDEX($AC$1005:$AS$1005,1,MATCH(COLUMNS($AC$1006:AM1006),$AC$1006:$AS$1006,0))&gt;=100000), " ",IF(INDEX($AC$2:$AS$1001,MATCH(ROWS($V$2:V411),$V$2:$V$1001,0),MATCH(COLUMNS($AC$1006:AM1006),$AC$1006:$AS$1006,0)), HYPERLINK("#",""), HYPERLINK(CONCATENATE("#Metadata!", ADDRESS(INDEX($X$2:$X$1001,MATCH(ROWS($V$2:V411),$V$2:$V$1001,0),0), INDEX($AC$1004:$AS$1004,1,MATCH(COLUMNS($AC$1006:AM1006),$AC$1006:$AS$1006,0)))),"Fix")))</f>
        <v>0</v>
      </c>
      <c r="M411" s="5">
        <f>IF(OR(INDEX($W$2:$W$1001,MATCH(ROWS($V$2:V411),$V$2:$V$1001,0),1)&gt;=100000,INDEX($AC$1005:$AS$1005,1,MATCH(COLUMNS($AC$1006:AN1006),$AC$1006:$AS$1006,0))&gt;=100000), " ",IF(INDEX($AC$2:$AS$1001,MATCH(ROWS($V$2:V411),$V$2:$V$1001,0),MATCH(COLUMNS($AC$1006:AN1006),$AC$1006:$AS$1006,0)), HYPERLINK("#",""), HYPERLINK(CONCATENATE("#Metadata!", ADDRESS(INDEX($X$2:$X$1001,MATCH(ROWS($V$2:V411),$V$2:$V$1001,0),0), INDEX($AC$1004:$AS$1004,1,MATCH(COLUMNS($AC$1006:AN1006),$AC$1006:$AS$1006,0)))),"Fix")))</f>
        <v>0</v>
      </c>
      <c r="N411" s="5">
        <f>IF(OR(INDEX($W$2:$W$1001,MATCH(ROWS($V$2:V411),$V$2:$V$1001,0),1)&gt;=100000,INDEX($AC$1005:$AS$1005,1,MATCH(COLUMNS($AC$1006:AO1006),$AC$1006:$AS$1006,0))&gt;=100000), " ",IF(INDEX($AC$2:$AS$1001,MATCH(ROWS($V$2:V411),$V$2:$V$1001,0),MATCH(COLUMNS($AC$1006:AO1006),$AC$1006:$AS$1006,0)), HYPERLINK("#",""), HYPERLINK(CONCATENATE("#Metadata!", ADDRESS(INDEX($X$2:$X$1001,MATCH(ROWS($V$2:V411),$V$2:$V$1001,0),0), INDEX($AC$1004:$AS$1004,1,MATCH(COLUMNS($AC$1006:AO1006),$AC$1006:$AS$1006,0)))),"Fix")))</f>
        <v>0</v>
      </c>
      <c r="O411" s="5">
        <f>IF(OR(INDEX($W$2:$W$1001,MATCH(ROWS($V$2:V411),$V$2:$V$1001,0),1)&gt;=100000,INDEX($AC$1005:$AS$1005,1,MATCH(COLUMNS($AC$1006:AP1006),$AC$1006:$AS$1006,0))&gt;=100000), " ",IF(INDEX($AC$2:$AS$1001,MATCH(ROWS($V$2:V411),$V$2:$V$1001,0),MATCH(COLUMNS($AC$1006:AP1006),$AC$1006:$AS$1006,0)), HYPERLINK("#",""), HYPERLINK(CONCATENATE("#Metadata!", ADDRESS(INDEX($X$2:$X$1001,MATCH(ROWS($V$2:V411),$V$2:$V$1001,0),0), INDEX($AC$1004:$AS$1004,1,MATCH(COLUMNS($AC$1006:AP1006),$AC$1006:$AS$1006,0)))),"Fix")))</f>
        <v>0</v>
      </c>
      <c r="P411" s="5">
        <f>IF(OR(INDEX($W$2:$W$1001,MATCH(ROWS($V$2:V411),$V$2:$V$1001,0),1)&gt;=100000,INDEX($AC$1005:$AS$1005,1,MATCH(COLUMNS($AC$1006:AQ1006),$AC$1006:$AS$1006,0))&gt;=100000), " ",IF(INDEX($AC$2:$AS$1001,MATCH(ROWS($V$2:V411),$V$2:$V$1001,0),MATCH(COLUMNS($AC$1006:AQ1006),$AC$1006:$AS$1006,0)), HYPERLINK("#",""), HYPERLINK(CONCATENATE("#Metadata!", ADDRESS(INDEX($X$2:$X$1001,MATCH(ROWS($V$2:V411),$V$2:$V$1001,0),0), INDEX($AC$1004:$AS$1004,1,MATCH(COLUMNS($AC$1006:AQ1006),$AC$1006:$AS$1006,0)))),"Fix")))</f>
        <v>0</v>
      </c>
      <c r="Q411" s="5">
        <f>IF(OR(INDEX($W$2:$W$1001,MATCH(ROWS($V$2:V411),$V$2:$V$1001,0),1)&gt;=100000,INDEX($AC$1005:$AS$1005,1,MATCH(COLUMNS($AC$1006:AR1006),$AC$1006:$AS$1006,0))&gt;=100000), " ",IF(INDEX($AC$2:$AS$1001,MATCH(ROWS($V$2:V411),$V$2:$V$1001,0),MATCH(COLUMNS($AC$1006:AR1006),$AC$1006:$AS$1006,0)), HYPERLINK("#",""), HYPERLINK(CONCATENATE("#Metadata!", ADDRESS(INDEX($X$2:$X$1001,MATCH(ROWS($V$2:V411),$V$2:$V$1001,0),0), INDEX($AC$1004:$AS$1004,1,MATCH(COLUMNS($AC$1006:AR1006),$AC$1006:$AS$1006,0)))),"Fix")))</f>
        <v>0</v>
      </c>
      <c r="R411" s="5">
        <f>IF(OR(INDEX($W$2:$W$1001,MATCH(ROWS($V$2:V411),$V$2:$V$1001,0),1)&gt;=100000,INDEX($AC$1005:$AS$1005,1,MATCH(COLUMNS($AC$1006:AS1006),$AC$1006:$AS$1006,0))&gt;=100000), " ",IF(INDEX($AC$2:$AS$1001,MATCH(ROWS($V$2:V411),$V$2:$V$1001,0),MATCH(COLUMNS($AC$1006:AS1006),$AC$1006:$AS$1006,0)), HYPERLINK("#",""), HYPERLINK(CONCATENATE("#Metadata!", ADDRESS(INDEX($X$2:$X$1001,MATCH(ROWS($V$2:V411),$V$2:$V$1001,0),0), INDEX($AC$1004:$AS$1004,1,MATCH(COLUMNS($AC$1006:AS1006),$AC$1006:$AS$1006,0)))),"Fix")))</f>
        <v>0</v>
      </c>
      <c r="V411">
        <v>0</v>
      </c>
      <c r="W411">
        <v>0</v>
      </c>
      <c r="X411">
        <v>0</v>
      </c>
      <c r="Y411">
        <f>IF(Z411,TRUE,AND(AC411:AS411))</f>
        <v>0</v>
      </c>
      <c r="Z411">
        <f>COUNTBLANK(Metadata!B411:R411)=COLUMNS(Metadata!B411:R411)</f>
        <v>0</v>
      </c>
      <c r="AA411">
        <v>0</v>
      </c>
      <c r="AC411">
        <f>AND(IF(Metadata!B411="",FALSE,TRUE),COUNTIF(Metadata!B:B, Metadata!B411) = 1,NOT(ISERROR(SUMPRODUCT(SEARCH(MID(Metadata!B411,ROW(INDIRECT("1:"&amp;LEN(Metadata!B411))), 1),"0123456789abcdefghijklmnopqrstuvwxyzABCDEFGHIJKLMNOPQRSTUVWXYZ.")))))</f>
        <v>0</v>
      </c>
      <c r="AD411">
        <f>AND(IF(Metadata!C411="",FALSE,TRUE),exact(Metadata!C411,"Host-associated"))</f>
        <v>0</v>
      </c>
      <c r="AE411">
        <f>AND(IF(Metadata!D411="",FALSE,TRUE),OR(exact(Metadata!D411,"Animal"),exact(Metadata!D411,"Fungus"),exact(Metadata!D411,"Plant")))</f>
        <v>0</v>
      </c>
      <c r="AF411">
        <f>AND(IF(Metadata!E411="",FALSE,TRUE),OR(exact(Metadata!E411,"Plant secretion"),exact(Metadata!E411,"Plant rhizosphere"),exact(Metadata!E411,"Plant surface"),exact(Metadata!E411,"Plant corpus"),exact(Metadata!E411,"Fungus surface"),exact(Metadata!E411,"Fungus corpus"),exact(Metadata!E411,"Animal surface"),exact(Metadata!E411,"Animal proximal gut"),exact(Metadata!E411,"Animal corpus"),exact(Metadata!E411,"Animal distal gut"),exact(Metadata!E411,"Animal secretion")))</f>
        <v>0</v>
      </c>
      <c r="AG411">
        <f>OR(AND(IF(Metadata!F411="",FALSE,TRUE),OR(exact(Metadata!F411,"not collected"),exact(Metadata!F411,"not provided"),exact(Metadata!F411,"restricted access"))),AND(IF(Metadata!F411="",FALSE,TRUE),OR(exact(Metadata!F411,"organism-associated habitat"),exact(Metadata!F411,"plant-associated habitat"),exact(Metadata!F411,"animal-associated habitat"),exact(Metadata!F411,"insecta-associated habitat"),exact(Metadata!F411,"mammalia-associated habitat"),exact(Metadata!F411,"human-associated habitat"),exact(Metadata!F411,"livestock-associated habitat"))))</f>
        <v>0</v>
      </c>
      <c r="AH411">
        <f>AND(IF(Metadata!G411="",FALSE,TRUE),exact(Metadata!G411,"host-associated"))</f>
        <v>0</v>
      </c>
      <c r="AI411">
        <f>OR(AND(IF(Metadata!H411="",FALSE,TRUE),OR(exact(Metadata!H411,"not collected"),exact(Metadata!H411,"not provided"))),AND(IF(Metadata!H411="",FALSE,ISNUMBER(VALUE(Metadata!H411))),Metadata!H411&gt;0))</f>
        <v>0</v>
      </c>
      <c r="AJ411">
        <f>AND(IF(Metadata!I411="",FALSE,TRUE),exact(Metadata!I411,"years"))</f>
        <v>0</v>
      </c>
      <c r="AK411">
        <f>IF(Metadata!J411="",FALSE,TRUE)</f>
        <v>0</v>
      </c>
      <c r="AL411">
        <f>OR(AND(IF(Metadata!K411="",FALSE,TRUE),OR(exact(Metadata!K411,"not collected"),exact(Metadata!K411,"not provided"))),AND(IF(Metadata!K411="",FALSE,ISNUMBER(VALUE(Metadata!K411))),Metadata!K411&gt;0))</f>
        <v>0</v>
      </c>
      <c r="AM411">
        <f>AND(IF(Metadata!L411="",FALSE,TRUE),exact(Metadata!L411,"cm"))</f>
        <v>0</v>
      </c>
      <c r="AN411">
        <f>IF(Metadata!M411="",FALSE,TRUE)</f>
        <v>0</v>
      </c>
      <c r="AO411">
        <f>OR(AND(IF(Metadata!N411="",FALSE,TRUE),OR(exact(Metadata!N411,"not applicable"),exact(Metadata!N411,"not collected"),exact(Metadata!N411,"not provided"))),AND(IF(Metadata!N411="",FALSE,IF(ISERROR(INT(Metadata!N411)),FALSE,INT(Metadata!N411)=Metadata!N411)),Metadata!N411&gt;0))</f>
        <v>0</v>
      </c>
      <c r="AP411">
        <f>OR(AND(IF(Metadata!O411="",FALSE,TRUE),OR(exact(Metadata!O411,"not collected"),exact(Metadata!O411,"not provided"))),AND(IF(Metadata!O411="",FALSE,ISNUMBER(VALUE(Metadata!O411))),Metadata!O411&gt;0))</f>
        <v>0</v>
      </c>
      <c r="AQ411">
        <f>AND(IF(Metadata!P411="",FALSE,TRUE),exact(Metadata!P411,"kg"))</f>
        <v>0</v>
      </c>
      <c r="AR411">
        <f>OR(AND(IF(Metadata!Q411="",FALSE,TRUE),OR(exact(Metadata!Q411,"not applicable"),exact(Metadata!Q411,"not collected"),exact(Metadata!Q411,"not provided"),exact(Metadata!Q411,"restricted access"))),IF(Metadata!Q411="",FALSE,IF(ISERROR(INT(Metadata!Q411)),FALSE,INT(Metadata!Q411)=Metadata!Q411)))</f>
        <v>0</v>
      </c>
      <c r="AS411">
        <f>AND(IF(Metadata!R411="",FALSE,TRUE),exact(Metadata!R411,"Not applicable"))</f>
        <v>0</v>
      </c>
    </row>
    <row r="412" spans="1:45">
      <c r="A412" s="4">
        <f>IF(B412=" "," ",HYPERLINK(CONCATENATE("#metadata!",ADDRESS(INDEX($X$2:$X$1001,MATCH(ROWS($V$2:V412),$V$2:$V$1001,0),0),2)),INDEX($AA$2:$AA$1001,MATCH(ROWS($V$2:V412),$V$2:$V$1001,0),0)))</f>
        <v>0</v>
      </c>
      <c r="B412" s="5">
        <f>IF(OR(INDEX($W$2:$W$1001,MATCH(ROWS($V$2:V412),$V$2:$V$1001,0),1)&gt;=100000,INDEX($AC$1005:$AS$1005,1,MATCH(COLUMNS($AC$1006:AC1006),$AC$1006:$AS$1006,0))&gt;=100000), " ",IF(INDEX($AC$2:$AS$1001,MATCH(ROWS($V$2:V412),$V$2:$V$1001,0),MATCH(COLUMNS($AC$1006:AC1006),$AC$1006:$AS$1006,0)), HYPERLINK("#",""), HYPERLINK(CONCATENATE("#Metadata!", ADDRESS(INDEX($X$2:$X$1001,MATCH(ROWS($V$2:V412),$V$2:$V$1001,0),0), INDEX($AC$1004:$AS$1004,1,MATCH(COLUMNS($AC$1006:AC1006),$AC$1006:$AS$1006,0)))),"Fix")))</f>
        <v>0</v>
      </c>
      <c r="C412" s="5">
        <f>IF(OR(INDEX($W$2:$W$1001,MATCH(ROWS($V$2:V412),$V$2:$V$1001,0),1)&gt;=100000,INDEX($AC$1005:$AS$1005,1,MATCH(COLUMNS($AC$1006:AD1006),$AC$1006:$AS$1006,0))&gt;=100000), " ",IF(INDEX($AC$2:$AS$1001,MATCH(ROWS($V$2:V412),$V$2:$V$1001,0),MATCH(COLUMNS($AC$1006:AD1006),$AC$1006:$AS$1006,0)), HYPERLINK("#",""), HYPERLINK(CONCATENATE("#Metadata!", ADDRESS(INDEX($X$2:$X$1001,MATCH(ROWS($V$2:V412),$V$2:$V$1001,0),0), INDEX($AC$1004:$AS$1004,1,MATCH(COLUMNS($AC$1006:AD1006),$AC$1006:$AS$1006,0)))),"Fix")))</f>
        <v>0</v>
      </c>
      <c r="D412" s="5">
        <f>IF(OR(INDEX($W$2:$W$1001,MATCH(ROWS($V$2:V412),$V$2:$V$1001,0),1)&gt;=100000,INDEX($AC$1005:$AS$1005,1,MATCH(COLUMNS($AC$1006:AE1006),$AC$1006:$AS$1006,0))&gt;=100000), " ",IF(INDEX($AC$2:$AS$1001,MATCH(ROWS($V$2:V412),$V$2:$V$1001,0),MATCH(COLUMNS($AC$1006:AE1006),$AC$1006:$AS$1006,0)), HYPERLINK("#",""), HYPERLINK(CONCATENATE("#Metadata!", ADDRESS(INDEX($X$2:$X$1001,MATCH(ROWS($V$2:V412),$V$2:$V$1001,0),0), INDEX($AC$1004:$AS$1004,1,MATCH(COLUMNS($AC$1006:AE1006),$AC$1006:$AS$1006,0)))),"Fix")))</f>
        <v>0</v>
      </c>
      <c r="E412" s="5">
        <f>IF(OR(INDEX($W$2:$W$1001,MATCH(ROWS($V$2:V412),$V$2:$V$1001,0),1)&gt;=100000,INDEX($AC$1005:$AS$1005,1,MATCH(COLUMNS($AC$1006:AF1006),$AC$1006:$AS$1006,0))&gt;=100000), " ",IF(INDEX($AC$2:$AS$1001,MATCH(ROWS($V$2:V412),$V$2:$V$1001,0),MATCH(COLUMNS($AC$1006:AF1006),$AC$1006:$AS$1006,0)), HYPERLINK("#",""), HYPERLINK(CONCATENATE("#Metadata!", ADDRESS(INDEX($X$2:$X$1001,MATCH(ROWS($V$2:V412),$V$2:$V$1001,0),0), INDEX($AC$1004:$AS$1004,1,MATCH(COLUMNS($AC$1006:AF1006),$AC$1006:$AS$1006,0)))),"Fix")))</f>
        <v>0</v>
      </c>
      <c r="F412" s="5">
        <f>IF(OR(INDEX($W$2:$W$1001,MATCH(ROWS($V$2:V412),$V$2:$V$1001,0),1)&gt;=100000,INDEX($AC$1005:$AS$1005,1,MATCH(COLUMNS($AC$1006:AG1006),$AC$1006:$AS$1006,0))&gt;=100000), " ",IF(INDEX($AC$2:$AS$1001,MATCH(ROWS($V$2:V412),$V$2:$V$1001,0),MATCH(COLUMNS($AC$1006:AG1006),$AC$1006:$AS$1006,0)), HYPERLINK("#",""), HYPERLINK(CONCATENATE("#Metadata!", ADDRESS(INDEX($X$2:$X$1001,MATCH(ROWS($V$2:V412),$V$2:$V$1001,0),0), INDEX($AC$1004:$AS$1004,1,MATCH(COLUMNS($AC$1006:AG1006),$AC$1006:$AS$1006,0)))),"Fix")))</f>
        <v>0</v>
      </c>
      <c r="G412" s="5">
        <f>IF(OR(INDEX($W$2:$W$1001,MATCH(ROWS($V$2:V412),$V$2:$V$1001,0),1)&gt;=100000,INDEX($AC$1005:$AS$1005,1,MATCH(COLUMNS($AC$1006:AH1006),$AC$1006:$AS$1006,0))&gt;=100000), " ",IF(INDEX($AC$2:$AS$1001,MATCH(ROWS($V$2:V412),$V$2:$V$1001,0),MATCH(COLUMNS($AC$1006:AH1006),$AC$1006:$AS$1006,0)), HYPERLINK("#",""), HYPERLINK(CONCATENATE("#Metadata!", ADDRESS(INDEX($X$2:$X$1001,MATCH(ROWS($V$2:V412),$V$2:$V$1001,0),0), INDEX($AC$1004:$AS$1004,1,MATCH(COLUMNS($AC$1006:AH1006),$AC$1006:$AS$1006,0)))),"Fix")))</f>
        <v>0</v>
      </c>
      <c r="H412" s="5">
        <f>IF(OR(INDEX($W$2:$W$1001,MATCH(ROWS($V$2:V412),$V$2:$V$1001,0),1)&gt;=100000,INDEX($AC$1005:$AS$1005,1,MATCH(COLUMNS($AC$1006:AI1006),$AC$1006:$AS$1006,0))&gt;=100000), " ",IF(INDEX($AC$2:$AS$1001,MATCH(ROWS($V$2:V412),$V$2:$V$1001,0),MATCH(COLUMNS($AC$1006:AI1006),$AC$1006:$AS$1006,0)), HYPERLINK("#",""), HYPERLINK(CONCATENATE("#Metadata!", ADDRESS(INDEX($X$2:$X$1001,MATCH(ROWS($V$2:V412),$V$2:$V$1001,0),0), INDEX($AC$1004:$AS$1004,1,MATCH(COLUMNS($AC$1006:AI1006),$AC$1006:$AS$1006,0)))),"Fix")))</f>
        <v>0</v>
      </c>
      <c r="I412" s="5">
        <f>IF(OR(INDEX($W$2:$W$1001,MATCH(ROWS($V$2:V412),$V$2:$V$1001,0),1)&gt;=100000,INDEX($AC$1005:$AS$1005,1,MATCH(COLUMNS($AC$1006:AJ1006),$AC$1006:$AS$1006,0))&gt;=100000), " ",IF(INDEX($AC$2:$AS$1001,MATCH(ROWS($V$2:V412),$V$2:$V$1001,0),MATCH(COLUMNS($AC$1006:AJ1006),$AC$1006:$AS$1006,0)), HYPERLINK("#",""), HYPERLINK(CONCATENATE("#Metadata!", ADDRESS(INDEX($X$2:$X$1001,MATCH(ROWS($V$2:V412),$V$2:$V$1001,0),0), INDEX($AC$1004:$AS$1004,1,MATCH(COLUMNS($AC$1006:AJ1006),$AC$1006:$AS$1006,0)))),"Fix")))</f>
        <v>0</v>
      </c>
      <c r="J412" s="5">
        <f>IF(OR(INDEX($W$2:$W$1001,MATCH(ROWS($V$2:V412),$V$2:$V$1001,0),1)&gt;=100000,INDEX($AC$1005:$AS$1005,1,MATCH(COLUMNS($AC$1006:AK1006),$AC$1006:$AS$1006,0))&gt;=100000), " ",IF(INDEX($AC$2:$AS$1001,MATCH(ROWS($V$2:V412),$V$2:$V$1001,0),MATCH(COLUMNS($AC$1006:AK1006),$AC$1006:$AS$1006,0)), HYPERLINK("#",""), HYPERLINK(CONCATENATE("#Metadata!", ADDRESS(INDEX($X$2:$X$1001,MATCH(ROWS($V$2:V412),$V$2:$V$1001,0),0), INDEX($AC$1004:$AS$1004,1,MATCH(COLUMNS($AC$1006:AK1006),$AC$1006:$AS$1006,0)))),"Fix")))</f>
        <v>0</v>
      </c>
      <c r="K412" s="5">
        <f>IF(OR(INDEX($W$2:$W$1001,MATCH(ROWS($V$2:V412),$V$2:$V$1001,0),1)&gt;=100000,INDEX($AC$1005:$AS$1005,1,MATCH(COLUMNS($AC$1006:AL1006),$AC$1006:$AS$1006,0))&gt;=100000), " ",IF(INDEX($AC$2:$AS$1001,MATCH(ROWS($V$2:V412),$V$2:$V$1001,0),MATCH(COLUMNS($AC$1006:AL1006),$AC$1006:$AS$1006,0)), HYPERLINK("#",""), HYPERLINK(CONCATENATE("#Metadata!", ADDRESS(INDEX($X$2:$X$1001,MATCH(ROWS($V$2:V412),$V$2:$V$1001,0),0), INDEX($AC$1004:$AS$1004,1,MATCH(COLUMNS($AC$1006:AL1006),$AC$1006:$AS$1006,0)))),"Fix")))</f>
        <v>0</v>
      </c>
      <c r="L412" s="5">
        <f>IF(OR(INDEX($W$2:$W$1001,MATCH(ROWS($V$2:V412),$V$2:$V$1001,0),1)&gt;=100000,INDEX($AC$1005:$AS$1005,1,MATCH(COLUMNS($AC$1006:AM1006),$AC$1006:$AS$1006,0))&gt;=100000), " ",IF(INDEX($AC$2:$AS$1001,MATCH(ROWS($V$2:V412),$V$2:$V$1001,0),MATCH(COLUMNS($AC$1006:AM1006),$AC$1006:$AS$1006,0)), HYPERLINK("#",""), HYPERLINK(CONCATENATE("#Metadata!", ADDRESS(INDEX($X$2:$X$1001,MATCH(ROWS($V$2:V412),$V$2:$V$1001,0),0), INDEX($AC$1004:$AS$1004,1,MATCH(COLUMNS($AC$1006:AM1006),$AC$1006:$AS$1006,0)))),"Fix")))</f>
        <v>0</v>
      </c>
      <c r="M412" s="5">
        <f>IF(OR(INDEX($W$2:$W$1001,MATCH(ROWS($V$2:V412),$V$2:$V$1001,0),1)&gt;=100000,INDEX($AC$1005:$AS$1005,1,MATCH(COLUMNS($AC$1006:AN1006),$AC$1006:$AS$1006,0))&gt;=100000), " ",IF(INDEX($AC$2:$AS$1001,MATCH(ROWS($V$2:V412),$V$2:$V$1001,0),MATCH(COLUMNS($AC$1006:AN1006),$AC$1006:$AS$1006,0)), HYPERLINK("#",""), HYPERLINK(CONCATENATE("#Metadata!", ADDRESS(INDEX($X$2:$X$1001,MATCH(ROWS($V$2:V412),$V$2:$V$1001,0),0), INDEX($AC$1004:$AS$1004,1,MATCH(COLUMNS($AC$1006:AN1006),$AC$1006:$AS$1006,0)))),"Fix")))</f>
        <v>0</v>
      </c>
      <c r="N412" s="5">
        <f>IF(OR(INDEX($W$2:$W$1001,MATCH(ROWS($V$2:V412),$V$2:$V$1001,0),1)&gt;=100000,INDEX($AC$1005:$AS$1005,1,MATCH(COLUMNS($AC$1006:AO1006),$AC$1006:$AS$1006,0))&gt;=100000), " ",IF(INDEX($AC$2:$AS$1001,MATCH(ROWS($V$2:V412),$V$2:$V$1001,0),MATCH(COLUMNS($AC$1006:AO1006),$AC$1006:$AS$1006,0)), HYPERLINK("#",""), HYPERLINK(CONCATENATE("#Metadata!", ADDRESS(INDEX($X$2:$X$1001,MATCH(ROWS($V$2:V412),$V$2:$V$1001,0),0), INDEX($AC$1004:$AS$1004,1,MATCH(COLUMNS($AC$1006:AO1006),$AC$1006:$AS$1006,0)))),"Fix")))</f>
        <v>0</v>
      </c>
      <c r="O412" s="5">
        <f>IF(OR(INDEX($W$2:$W$1001,MATCH(ROWS($V$2:V412),$V$2:$V$1001,0),1)&gt;=100000,INDEX($AC$1005:$AS$1005,1,MATCH(COLUMNS($AC$1006:AP1006),$AC$1006:$AS$1006,0))&gt;=100000), " ",IF(INDEX($AC$2:$AS$1001,MATCH(ROWS($V$2:V412),$V$2:$V$1001,0),MATCH(COLUMNS($AC$1006:AP1006),$AC$1006:$AS$1006,0)), HYPERLINK("#",""), HYPERLINK(CONCATENATE("#Metadata!", ADDRESS(INDEX($X$2:$X$1001,MATCH(ROWS($V$2:V412),$V$2:$V$1001,0),0), INDEX($AC$1004:$AS$1004,1,MATCH(COLUMNS($AC$1006:AP1006),$AC$1006:$AS$1006,0)))),"Fix")))</f>
        <v>0</v>
      </c>
      <c r="P412" s="5">
        <f>IF(OR(INDEX($W$2:$W$1001,MATCH(ROWS($V$2:V412),$V$2:$V$1001,0),1)&gt;=100000,INDEX($AC$1005:$AS$1005,1,MATCH(COLUMNS($AC$1006:AQ1006),$AC$1006:$AS$1006,0))&gt;=100000), " ",IF(INDEX($AC$2:$AS$1001,MATCH(ROWS($V$2:V412),$V$2:$V$1001,0),MATCH(COLUMNS($AC$1006:AQ1006),$AC$1006:$AS$1006,0)), HYPERLINK("#",""), HYPERLINK(CONCATENATE("#Metadata!", ADDRESS(INDEX($X$2:$X$1001,MATCH(ROWS($V$2:V412),$V$2:$V$1001,0),0), INDEX($AC$1004:$AS$1004,1,MATCH(COLUMNS($AC$1006:AQ1006),$AC$1006:$AS$1006,0)))),"Fix")))</f>
        <v>0</v>
      </c>
      <c r="Q412" s="5">
        <f>IF(OR(INDEX($W$2:$W$1001,MATCH(ROWS($V$2:V412),$V$2:$V$1001,0),1)&gt;=100000,INDEX($AC$1005:$AS$1005,1,MATCH(COLUMNS($AC$1006:AR1006),$AC$1006:$AS$1006,0))&gt;=100000), " ",IF(INDEX($AC$2:$AS$1001,MATCH(ROWS($V$2:V412),$V$2:$V$1001,0),MATCH(COLUMNS($AC$1006:AR1006),$AC$1006:$AS$1006,0)), HYPERLINK("#",""), HYPERLINK(CONCATENATE("#Metadata!", ADDRESS(INDEX($X$2:$X$1001,MATCH(ROWS($V$2:V412),$V$2:$V$1001,0),0), INDEX($AC$1004:$AS$1004,1,MATCH(COLUMNS($AC$1006:AR1006),$AC$1006:$AS$1006,0)))),"Fix")))</f>
        <v>0</v>
      </c>
      <c r="R412" s="5">
        <f>IF(OR(INDEX($W$2:$W$1001,MATCH(ROWS($V$2:V412),$V$2:$V$1001,0),1)&gt;=100000,INDEX($AC$1005:$AS$1005,1,MATCH(COLUMNS($AC$1006:AS1006),$AC$1006:$AS$1006,0))&gt;=100000), " ",IF(INDEX($AC$2:$AS$1001,MATCH(ROWS($V$2:V412),$V$2:$V$1001,0),MATCH(COLUMNS($AC$1006:AS1006),$AC$1006:$AS$1006,0)), HYPERLINK("#",""), HYPERLINK(CONCATENATE("#Metadata!", ADDRESS(INDEX($X$2:$X$1001,MATCH(ROWS($V$2:V412),$V$2:$V$1001,0),0), INDEX($AC$1004:$AS$1004,1,MATCH(COLUMNS($AC$1006:AS1006),$AC$1006:$AS$1006,0)))),"Fix")))</f>
        <v>0</v>
      </c>
      <c r="V412">
        <v>0</v>
      </c>
      <c r="W412">
        <v>0</v>
      </c>
      <c r="X412">
        <v>0</v>
      </c>
      <c r="Y412">
        <f>IF(Z412,TRUE,AND(AC412:AS412))</f>
        <v>0</v>
      </c>
      <c r="Z412">
        <f>COUNTBLANK(Metadata!B412:R412)=COLUMNS(Metadata!B412:R412)</f>
        <v>0</v>
      </c>
      <c r="AA412">
        <v>0</v>
      </c>
      <c r="AC412">
        <f>AND(IF(Metadata!B412="",FALSE,TRUE),COUNTIF(Metadata!B:B, Metadata!B412) = 1,NOT(ISERROR(SUMPRODUCT(SEARCH(MID(Metadata!B412,ROW(INDIRECT("1:"&amp;LEN(Metadata!B412))), 1),"0123456789abcdefghijklmnopqrstuvwxyzABCDEFGHIJKLMNOPQRSTUVWXYZ.")))))</f>
        <v>0</v>
      </c>
      <c r="AD412">
        <f>AND(IF(Metadata!C412="",FALSE,TRUE),exact(Metadata!C412,"Host-associated"))</f>
        <v>0</v>
      </c>
      <c r="AE412">
        <f>AND(IF(Metadata!D412="",FALSE,TRUE),OR(exact(Metadata!D412,"Animal"),exact(Metadata!D412,"Fungus"),exact(Metadata!D412,"Plant")))</f>
        <v>0</v>
      </c>
      <c r="AF412">
        <f>AND(IF(Metadata!E412="",FALSE,TRUE),OR(exact(Metadata!E412,"Plant secretion"),exact(Metadata!E412,"Plant rhizosphere"),exact(Metadata!E412,"Plant surface"),exact(Metadata!E412,"Plant corpus"),exact(Metadata!E412,"Fungus surface"),exact(Metadata!E412,"Fungus corpus"),exact(Metadata!E412,"Animal surface"),exact(Metadata!E412,"Animal proximal gut"),exact(Metadata!E412,"Animal corpus"),exact(Metadata!E412,"Animal distal gut"),exact(Metadata!E412,"Animal secretion")))</f>
        <v>0</v>
      </c>
      <c r="AG412">
        <f>OR(AND(IF(Metadata!F412="",FALSE,TRUE),OR(exact(Metadata!F412,"not collected"),exact(Metadata!F412,"not provided"),exact(Metadata!F412,"restricted access"))),AND(IF(Metadata!F412="",FALSE,TRUE),OR(exact(Metadata!F412,"organism-associated habitat"),exact(Metadata!F412,"plant-associated habitat"),exact(Metadata!F412,"animal-associated habitat"),exact(Metadata!F412,"insecta-associated habitat"),exact(Metadata!F412,"mammalia-associated habitat"),exact(Metadata!F412,"human-associated habitat"),exact(Metadata!F412,"livestock-associated habitat"))))</f>
        <v>0</v>
      </c>
      <c r="AH412">
        <f>AND(IF(Metadata!G412="",FALSE,TRUE),exact(Metadata!G412,"host-associated"))</f>
        <v>0</v>
      </c>
      <c r="AI412">
        <f>OR(AND(IF(Metadata!H412="",FALSE,TRUE),OR(exact(Metadata!H412,"not collected"),exact(Metadata!H412,"not provided"))),AND(IF(Metadata!H412="",FALSE,ISNUMBER(VALUE(Metadata!H412))),Metadata!H412&gt;0))</f>
        <v>0</v>
      </c>
      <c r="AJ412">
        <f>AND(IF(Metadata!I412="",FALSE,TRUE),exact(Metadata!I412,"years"))</f>
        <v>0</v>
      </c>
      <c r="AK412">
        <f>IF(Metadata!J412="",FALSE,TRUE)</f>
        <v>0</v>
      </c>
      <c r="AL412">
        <f>OR(AND(IF(Metadata!K412="",FALSE,TRUE),OR(exact(Metadata!K412,"not collected"),exact(Metadata!K412,"not provided"))),AND(IF(Metadata!K412="",FALSE,ISNUMBER(VALUE(Metadata!K412))),Metadata!K412&gt;0))</f>
        <v>0</v>
      </c>
      <c r="AM412">
        <f>AND(IF(Metadata!L412="",FALSE,TRUE),exact(Metadata!L412,"cm"))</f>
        <v>0</v>
      </c>
      <c r="AN412">
        <f>IF(Metadata!M412="",FALSE,TRUE)</f>
        <v>0</v>
      </c>
      <c r="AO412">
        <f>OR(AND(IF(Metadata!N412="",FALSE,TRUE),OR(exact(Metadata!N412,"not applicable"),exact(Metadata!N412,"not collected"),exact(Metadata!N412,"not provided"))),AND(IF(Metadata!N412="",FALSE,IF(ISERROR(INT(Metadata!N412)),FALSE,INT(Metadata!N412)=Metadata!N412)),Metadata!N412&gt;0))</f>
        <v>0</v>
      </c>
      <c r="AP412">
        <f>OR(AND(IF(Metadata!O412="",FALSE,TRUE),OR(exact(Metadata!O412,"not collected"),exact(Metadata!O412,"not provided"))),AND(IF(Metadata!O412="",FALSE,ISNUMBER(VALUE(Metadata!O412))),Metadata!O412&gt;0))</f>
        <v>0</v>
      </c>
      <c r="AQ412">
        <f>AND(IF(Metadata!P412="",FALSE,TRUE),exact(Metadata!P412,"kg"))</f>
        <v>0</v>
      </c>
      <c r="AR412">
        <f>OR(AND(IF(Metadata!Q412="",FALSE,TRUE),OR(exact(Metadata!Q412,"not applicable"),exact(Metadata!Q412,"not collected"),exact(Metadata!Q412,"not provided"),exact(Metadata!Q412,"restricted access"))),IF(Metadata!Q412="",FALSE,IF(ISERROR(INT(Metadata!Q412)),FALSE,INT(Metadata!Q412)=Metadata!Q412)))</f>
        <v>0</v>
      </c>
      <c r="AS412">
        <f>AND(IF(Metadata!R412="",FALSE,TRUE),exact(Metadata!R412,"Not applicable"))</f>
        <v>0</v>
      </c>
    </row>
    <row r="413" spans="1:45">
      <c r="A413" s="4">
        <f>IF(B413=" "," ",HYPERLINK(CONCATENATE("#metadata!",ADDRESS(INDEX($X$2:$X$1001,MATCH(ROWS($V$2:V413),$V$2:$V$1001,0),0),2)),INDEX($AA$2:$AA$1001,MATCH(ROWS($V$2:V413),$V$2:$V$1001,0),0)))</f>
        <v>0</v>
      </c>
      <c r="B413" s="5">
        <f>IF(OR(INDEX($W$2:$W$1001,MATCH(ROWS($V$2:V413),$V$2:$V$1001,0),1)&gt;=100000,INDEX($AC$1005:$AS$1005,1,MATCH(COLUMNS($AC$1006:AC1006),$AC$1006:$AS$1006,0))&gt;=100000), " ",IF(INDEX($AC$2:$AS$1001,MATCH(ROWS($V$2:V413),$V$2:$V$1001,0),MATCH(COLUMNS($AC$1006:AC1006),$AC$1006:$AS$1006,0)), HYPERLINK("#",""), HYPERLINK(CONCATENATE("#Metadata!", ADDRESS(INDEX($X$2:$X$1001,MATCH(ROWS($V$2:V413),$V$2:$V$1001,0),0), INDEX($AC$1004:$AS$1004,1,MATCH(COLUMNS($AC$1006:AC1006),$AC$1006:$AS$1006,0)))),"Fix")))</f>
        <v>0</v>
      </c>
      <c r="C413" s="5">
        <f>IF(OR(INDEX($W$2:$W$1001,MATCH(ROWS($V$2:V413),$V$2:$V$1001,0),1)&gt;=100000,INDEX($AC$1005:$AS$1005,1,MATCH(COLUMNS($AC$1006:AD1006),$AC$1006:$AS$1006,0))&gt;=100000), " ",IF(INDEX($AC$2:$AS$1001,MATCH(ROWS($V$2:V413),$V$2:$V$1001,0),MATCH(COLUMNS($AC$1006:AD1006),$AC$1006:$AS$1006,0)), HYPERLINK("#",""), HYPERLINK(CONCATENATE("#Metadata!", ADDRESS(INDEX($X$2:$X$1001,MATCH(ROWS($V$2:V413),$V$2:$V$1001,0),0), INDEX($AC$1004:$AS$1004,1,MATCH(COLUMNS($AC$1006:AD1006),$AC$1006:$AS$1006,0)))),"Fix")))</f>
        <v>0</v>
      </c>
      <c r="D413" s="5">
        <f>IF(OR(INDEX($W$2:$W$1001,MATCH(ROWS($V$2:V413),$V$2:$V$1001,0),1)&gt;=100000,INDEX($AC$1005:$AS$1005,1,MATCH(COLUMNS($AC$1006:AE1006),$AC$1006:$AS$1006,0))&gt;=100000), " ",IF(INDEX($AC$2:$AS$1001,MATCH(ROWS($V$2:V413),$V$2:$V$1001,0),MATCH(COLUMNS($AC$1006:AE1006),$AC$1006:$AS$1006,0)), HYPERLINK("#",""), HYPERLINK(CONCATENATE("#Metadata!", ADDRESS(INDEX($X$2:$X$1001,MATCH(ROWS($V$2:V413),$V$2:$V$1001,0),0), INDEX($AC$1004:$AS$1004,1,MATCH(COLUMNS($AC$1006:AE1006),$AC$1006:$AS$1006,0)))),"Fix")))</f>
        <v>0</v>
      </c>
      <c r="E413" s="5">
        <f>IF(OR(INDEX($W$2:$W$1001,MATCH(ROWS($V$2:V413),$V$2:$V$1001,0),1)&gt;=100000,INDEX($AC$1005:$AS$1005,1,MATCH(COLUMNS($AC$1006:AF1006),$AC$1006:$AS$1006,0))&gt;=100000), " ",IF(INDEX($AC$2:$AS$1001,MATCH(ROWS($V$2:V413),$V$2:$V$1001,0),MATCH(COLUMNS($AC$1006:AF1006),$AC$1006:$AS$1006,0)), HYPERLINK("#",""), HYPERLINK(CONCATENATE("#Metadata!", ADDRESS(INDEX($X$2:$X$1001,MATCH(ROWS($V$2:V413),$V$2:$V$1001,0),0), INDEX($AC$1004:$AS$1004,1,MATCH(COLUMNS($AC$1006:AF1006),$AC$1006:$AS$1006,0)))),"Fix")))</f>
        <v>0</v>
      </c>
      <c r="F413" s="5">
        <f>IF(OR(INDEX($W$2:$W$1001,MATCH(ROWS($V$2:V413),$V$2:$V$1001,0),1)&gt;=100000,INDEX($AC$1005:$AS$1005,1,MATCH(COLUMNS($AC$1006:AG1006),$AC$1006:$AS$1006,0))&gt;=100000), " ",IF(INDEX($AC$2:$AS$1001,MATCH(ROWS($V$2:V413),$V$2:$V$1001,0),MATCH(COLUMNS($AC$1006:AG1006),$AC$1006:$AS$1006,0)), HYPERLINK("#",""), HYPERLINK(CONCATENATE("#Metadata!", ADDRESS(INDEX($X$2:$X$1001,MATCH(ROWS($V$2:V413),$V$2:$V$1001,0),0), INDEX($AC$1004:$AS$1004,1,MATCH(COLUMNS($AC$1006:AG1006),$AC$1006:$AS$1006,0)))),"Fix")))</f>
        <v>0</v>
      </c>
      <c r="G413" s="5">
        <f>IF(OR(INDEX($W$2:$W$1001,MATCH(ROWS($V$2:V413),$V$2:$V$1001,0),1)&gt;=100000,INDEX($AC$1005:$AS$1005,1,MATCH(COLUMNS($AC$1006:AH1006),$AC$1006:$AS$1006,0))&gt;=100000), " ",IF(INDEX($AC$2:$AS$1001,MATCH(ROWS($V$2:V413),$V$2:$V$1001,0),MATCH(COLUMNS($AC$1006:AH1006),$AC$1006:$AS$1006,0)), HYPERLINK("#",""), HYPERLINK(CONCATENATE("#Metadata!", ADDRESS(INDEX($X$2:$X$1001,MATCH(ROWS($V$2:V413),$V$2:$V$1001,0),0), INDEX($AC$1004:$AS$1004,1,MATCH(COLUMNS($AC$1006:AH1006),$AC$1006:$AS$1006,0)))),"Fix")))</f>
        <v>0</v>
      </c>
      <c r="H413" s="5">
        <f>IF(OR(INDEX($W$2:$W$1001,MATCH(ROWS($V$2:V413),$V$2:$V$1001,0),1)&gt;=100000,INDEX($AC$1005:$AS$1005,1,MATCH(COLUMNS($AC$1006:AI1006),$AC$1006:$AS$1006,0))&gt;=100000), " ",IF(INDEX($AC$2:$AS$1001,MATCH(ROWS($V$2:V413),$V$2:$V$1001,0),MATCH(COLUMNS($AC$1006:AI1006),$AC$1006:$AS$1006,0)), HYPERLINK("#",""), HYPERLINK(CONCATENATE("#Metadata!", ADDRESS(INDEX($X$2:$X$1001,MATCH(ROWS($V$2:V413),$V$2:$V$1001,0),0), INDEX($AC$1004:$AS$1004,1,MATCH(COLUMNS($AC$1006:AI1006),$AC$1006:$AS$1006,0)))),"Fix")))</f>
        <v>0</v>
      </c>
      <c r="I413" s="5">
        <f>IF(OR(INDEX($W$2:$W$1001,MATCH(ROWS($V$2:V413),$V$2:$V$1001,0),1)&gt;=100000,INDEX($AC$1005:$AS$1005,1,MATCH(COLUMNS($AC$1006:AJ1006),$AC$1006:$AS$1006,0))&gt;=100000), " ",IF(INDEX($AC$2:$AS$1001,MATCH(ROWS($V$2:V413),$V$2:$V$1001,0),MATCH(COLUMNS($AC$1006:AJ1006),$AC$1006:$AS$1006,0)), HYPERLINK("#",""), HYPERLINK(CONCATENATE("#Metadata!", ADDRESS(INDEX($X$2:$X$1001,MATCH(ROWS($V$2:V413),$V$2:$V$1001,0),0), INDEX($AC$1004:$AS$1004,1,MATCH(COLUMNS($AC$1006:AJ1006),$AC$1006:$AS$1006,0)))),"Fix")))</f>
        <v>0</v>
      </c>
      <c r="J413" s="5">
        <f>IF(OR(INDEX($W$2:$W$1001,MATCH(ROWS($V$2:V413),$V$2:$V$1001,0),1)&gt;=100000,INDEX($AC$1005:$AS$1005,1,MATCH(COLUMNS($AC$1006:AK1006),$AC$1006:$AS$1006,0))&gt;=100000), " ",IF(INDEX($AC$2:$AS$1001,MATCH(ROWS($V$2:V413),$V$2:$V$1001,0),MATCH(COLUMNS($AC$1006:AK1006),$AC$1006:$AS$1006,0)), HYPERLINK("#",""), HYPERLINK(CONCATENATE("#Metadata!", ADDRESS(INDEX($X$2:$X$1001,MATCH(ROWS($V$2:V413),$V$2:$V$1001,0),0), INDEX($AC$1004:$AS$1004,1,MATCH(COLUMNS($AC$1006:AK1006),$AC$1006:$AS$1006,0)))),"Fix")))</f>
        <v>0</v>
      </c>
      <c r="K413" s="5">
        <f>IF(OR(INDEX($W$2:$W$1001,MATCH(ROWS($V$2:V413),$V$2:$V$1001,0),1)&gt;=100000,INDEX($AC$1005:$AS$1005,1,MATCH(COLUMNS($AC$1006:AL1006),$AC$1006:$AS$1006,0))&gt;=100000), " ",IF(INDEX($AC$2:$AS$1001,MATCH(ROWS($V$2:V413),$V$2:$V$1001,0),MATCH(COLUMNS($AC$1006:AL1006),$AC$1006:$AS$1006,0)), HYPERLINK("#",""), HYPERLINK(CONCATENATE("#Metadata!", ADDRESS(INDEX($X$2:$X$1001,MATCH(ROWS($V$2:V413),$V$2:$V$1001,0),0), INDEX($AC$1004:$AS$1004,1,MATCH(COLUMNS($AC$1006:AL1006),$AC$1006:$AS$1006,0)))),"Fix")))</f>
        <v>0</v>
      </c>
      <c r="L413" s="5">
        <f>IF(OR(INDEX($W$2:$W$1001,MATCH(ROWS($V$2:V413),$V$2:$V$1001,0),1)&gt;=100000,INDEX($AC$1005:$AS$1005,1,MATCH(COLUMNS($AC$1006:AM1006),$AC$1006:$AS$1006,0))&gt;=100000), " ",IF(INDEX($AC$2:$AS$1001,MATCH(ROWS($V$2:V413),$V$2:$V$1001,0),MATCH(COLUMNS($AC$1006:AM1006),$AC$1006:$AS$1006,0)), HYPERLINK("#",""), HYPERLINK(CONCATENATE("#Metadata!", ADDRESS(INDEX($X$2:$X$1001,MATCH(ROWS($V$2:V413),$V$2:$V$1001,0),0), INDEX($AC$1004:$AS$1004,1,MATCH(COLUMNS($AC$1006:AM1006),$AC$1006:$AS$1006,0)))),"Fix")))</f>
        <v>0</v>
      </c>
      <c r="M413" s="5">
        <f>IF(OR(INDEX($W$2:$W$1001,MATCH(ROWS($V$2:V413),$V$2:$V$1001,0),1)&gt;=100000,INDEX($AC$1005:$AS$1005,1,MATCH(COLUMNS($AC$1006:AN1006),$AC$1006:$AS$1006,0))&gt;=100000), " ",IF(INDEX($AC$2:$AS$1001,MATCH(ROWS($V$2:V413),$V$2:$V$1001,0),MATCH(COLUMNS($AC$1006:AN1006),$AC$1006:$AS$1006,0)), HYPERLINK("#",""), HYPERLINK(CONCATENATE("#Metadata!", ADDRESS(INDEX($X$2:$X$1001,MATCH(ROWS($V$2:V413),$V$2:$V$1001,0),0), INDEX($AC$1004:$AS$1004,1,MATCH(COLUMNS($AC$1006:AN1006),$AC$1006:$AS$1006,0)))),"Fix")))</f>
        <v>0</v>
      </c>
      <c r="N413" s="5">
        <f>IF(OR(INDEX($W$2:$W$1001,MATCH(ROWS($V$2:V413),$V$2:$V$1001,0),1)&gt;=100000,INDEX($AC$1005:$AS$1005,1,MATCH(COLUMNS($AC$1006:AO1006),$AC$1006:$AS$1006,0))&gt;=100000), " ",IF(INDEX($AC$2:$AS$1001,MATCH(ROWS($V$2:V413),$V$2:$V$1001,0),MATCH(COLUMNS($AC$1006:AO1006),$AC$1006:$AS$1006,0)), HYPERLINK("#",""), HYPERLINK(CONCATENATE("#Metadata!", ADDRESS(INDEX($X$2:$X$1001,MATCH(ROWS($V$2:V413),$V$2:$V$1001,0),0), INDEX($AC$1004:$AS$1004,1,MATCH(COLUMNS($AC$1006:AO1006),$AC$1006:$AS$1006,0)))),"Fix")))</f>
        <v>0</v>
      </c>
      <c r="O413" s="5">
        <f>IF(OR(INDEX($W$2:$W$1001,MATCH(ROWS($V$2:V413),$V$2:$V$1001,0),1)&gt;=100000,INDEX($AC$1005:$AS$1005,1,MATCH(COLUMNS($AC$1006:AP1006),$AC$1006:$AS$1006,0))&gt;=100000), " ",IF(INDEX($AC$2:$AS$1001,MATCH(ROWS($V$2:V413),$V$2:$V$1001,0),MATCH(COLUMNS($AC$1006:AP1006),$AC$1006:$AS$1006,0)), HYPERLINK("#",""), HYPERLINK(CONCATENATE("#Metadata!", ADDRESS(INDEX($X$2:$X$1001,MATCH(ROWS($V$2:V413),$V$2:$V$1001,0),0), INDEX($AC$1004:$AS$1004,1,MATCH(COLUMNS($AC$1006:AP1006),$AC$1006:$AS$1006,0)))),"Fix")))</f>
        <v>0</v>
      </c>
      <c r="P413" s="5">
        <f>IF(OR(INDEX($W$2:$W$1001,MATCH(ROWS($V$2:V413),$V$2:$V$1001,0),1)&gt;=100000,INDEX($AC$1005:$AS$1005,1,MATCH(COLUMNS($AC$1006:AQ1006),$AC$1006:$AS$1006,0))&gt;=100000), " ",IF(INDEX($AC$2:$AS$1001,MATCH(ROWS($V$2:V413),$V$2:$V$1001,0),MATCH(COLUMNS($AC$1006:AQ1006),$AC$1006:$AS$1006,0)), HYPERLINK("#",""), HYPERLINK(CONCATENATE("#Metadata!", ADDRESS(INDEX($X$2:$X$1001,MATCH(ROWS($V$2:V413),$V$2:$V$1001,0),0), INDEX($AC$1004:$AS$1004,1,MATCH(COLUMNS($AC$1006:AQ1006),$AC$1006:$AS$1006,0)))),"Fix")))</f>
        <v>0</v>
      </c>
      <c r="Q413" s="5">
        <f>IF(OR(INDEX($W$2:$W$1001,MATCH(ROWS($V$2:V413),$V$2:$V$1001,0),1)&gt;=100000,INDEX($AC$1005:$AS$1005,1,MATCH(COLUMNS($AC$1006:AR1006),$AC$1006:$AS$1006,0))&gt;=100000), " ",IF(INDEX($AC$2:$AS$1001,MATCH(ROWS($V$2:V413),$V$2:$V$1001,0),MATCH(COLUMNS($AC$1006:AR1006),$AC$1006:$AS$1006,0)), HYPERLINK("#",""), HYPERLINK(CONCATENATE("#Metadata!", ADDRESS(INDEX($X$2:$X$1001,MATCH(ROWS($V$2:V413),$V$2:$V$1001,0),0), INDEX($AC$1004:$AS$1004,1,MATCH(COLUMNS($AC$1006:AR1006),$AC$1006:$AS$1006,0)))),"Fix")))</f>
        <v>0</v>
      </c>
      <c r="R413" s="5">
        <f>IF(OR(INDEX($W$2:$W$1001,MATCH(ROWS($V$2:V413),$V$2:$V$1001,0),1)&gt;=100000,INDEX($AC$1005:$AS$1005,1,MATCH(COLUMNS($AC$1006:AS1006),$AC$1006:$AS$1006,0))&gt;=100000), " ",IF(INDEX($AC$2:$AS$1001,MATCH(ROWS($V$2:V413),$V$2:$V$1001,0),MATCH(COLUMNS($AC$1006:AS1006),$AC$1006:$AS$1006,0)), HYPERLINK("#",""), HYPERLINK(CONCATENATE("#Metadata!", ADDRESS(INDEX($X$2:$X$1001,MATCH(ROWS($V$2:V413),$V$2:$V$1001,0),0), INDEX($AC$1004:$AS$1004,1,MATCH(COLUMNS($AC$1006:AS1006),$AC$1006:$AS$1006,0)))),"Fix")))</f>
        <v>0</v>
      </c>
      <c r="V413">
        <v>0</v>
      </c>
      <c r="W413">
        <v>0</v>
      </c>
      <c r="X413">
        <v>0</v>
      </c>
      <c r="Y413">
        <f>IF(Z413,TRUE,AND(AC413:AS413))</f>
        <v>0</v>
      </c>
      <c r="Z413">
        <f>COUNTBLANK(Metadata!B413:R413)=COLUMNS(Metadata!B413:R413)</f>
        <v>0</v>
      </c>
      <c r="AA413">
        <v>0</v>
      </c>
      <c r="AC413">
        <f>AND(IF(Metadata!B413="",FALSE,TRUE),COUNTIF(Metadata!B:B, Metadata!B413) = 1,NOT(ISERROR(SUMPRODUCT(SEARCH(MID(Metadata!B413,ROW(INDIRECT("1:"&amp;LEN(Metadata!B413))), 1),"0123456789abcdefghijklmnopqrstuvwxyzABCDEFGHIJKLMNOPQRSTUVWXYZ.")))))</f>
        <v>0</v>
      </c>
      <c r="AD413">
        <f>AND(IF(Metadata!C413="",FALSE,TRUE),exact(Metadata!C413,"Host-associated"))</f>
        <v>0</v>
      </c>
      <c r="AE413">
        <f>AND(IF(Metadata!D413="",FALSE,TRUE),OR(exact(Metadata!D413,"Animal"),exact(Metadata!D413,"Fungus"),exact(Metadata!D413,"Plant")))</f>
        <v>0</v>
      </c>
      <c r="AF413">
        <f>AND(IF(Metadata!E413="",FALSE,TRUE),OR(exact(Metadata!E413,"Plant secretion"),exact(Metadata!E413,"Plant rhizosphere"),exact(Metadata!E413,"Plant surface"),exact(Metadata!E413,"Plant corpus"),exact(Metadata!E413,"Fungus surface"),exact(Metadata!E413,"Fungus corpus"),exact(Metadata!E413,"Animal surface"),exact(Metadata!E413,"Animal proximal gut"),exact(Metadata!E413,"Animal corpus"),exact(Metadata!E413,"Animal distal gut"),exact(Metadata!E413,"Animal secretion")))</f>
        <v>0</v>
      </c>
      <c r="AG413">
        <f>OR(AND(IF(Metadata!F413="",FALSE,TRUE),OR(exact(Metadata!F413,"not collected"),exact(Metadata!F413,"not provided"),exact(Metadata!F413,"restricted access"))),AND(IF(Metadata!F413="",FALSE,TRUE),OR(exact(Metadata!F413,"organism-associated habitat"),exact(Metadata!F413,"plant-associated habitat"),exact(Metadata!F413,"animal-associated habitat"),exact(Metadata!F413,"insecta-associated habitat"),exact(Metadata!F413,"mammalia-associated habitat"),exact(Metadata!F413,"human-associated habitat"),exact(Metadata!F413,"livestock-associated habitat"))))</f>
        <v>0</v>
      </c>
      <c r="AH413">
        <f>AND(IF(Metadata!G413="",FALSE,TRUE),exact(Metadata!G413,"host-associated"))</f>
        <v>0</v>
      </c>
      <c r="AI413">
        <f>OR(AND(IF(Metadata!H413="",FALSE,TRUE),OR(exact(Metadata!H413,"not collected"),exact(Metadata!H413,"not provided"))),AND(IF(Metadata!H413="",FALSE,ISNUMBER(VALUE(Metadata!H413))),Metadata!H413&gt;0))</f>
        <v>0</v>
      </c>
      <c r="AJ413">
        <f>AND(IF(Metadata!I413="",FALSE,TRUE),exact(Metadata!I413,"years"))</f>
        <v>0</v>
      </c>
      <c r="AK413">
        <f>IF(Metadata!J413="",FALSE,TRUE)</f>
        <v>0</v>
      </c>
      <c r="AL413">
        <f>OR(AND(IF(Metadata!K413="",FALSE,TRUE),OR(exact(Metadata!K413,"not collected"),exact(Metadata!K413,"not provided"))),AND(IF(Metadata!K413="",FALSE,ISNUMBER(VALUE(Metadata!K413))),Metadata!K413&gt;0))</f>
        <v>0</v>
      </c>
      <c r="AM413">
        <f>AND(IF(Metadata!L413="",FALSE,TRUE),exact(Metadata!L413,"cm"))</f>
        <v>0</v>
      </c>
      <c r="AN413">
        <f>IF(Metadata!M413="",FALSE,TRUE)</f>
        <v>0</v>
      </c>
      <c r="AO413">
        <f>OR(AND(IF(Metadata!N413="",FALSE,TRUE),OR(exact(Metadata!N413,"not applicable"),exact(Metadata!N413,"not collected"),exact(Metadata!N413,"not provided"))),AND(IF(Metadata!N413="",FALSE,IF(ISERROR(INT(Metadata!N413)),FALSE,INT(Metadata!N413)=Metadata!N413)),Metadata!N413&gt;0))</f>
        <v>0</v>
      </c>
      <c r="AP413">
        <f>OR(AND(IF(Metadata!O413="",FALSE,TRUE),OR(exact(Metadata!O413,"not collected"),exact(Metadata!O413,"not provided"))),AND(IF(Metadata!O413="",FALSE,ISNUMBER(VALUE(Metadata!O413))),Metadata!O413&gt;0))</f>
        <v>0</v>
      </c>
      <c r="AQ413">
        <f>AND(IF(Metadata!P413="",FALSE,TRUE),exact(Metadata!P413,"kg"))</f>
        <v>0</v>
      </c>
      <c r="AR413">
        <f>OR(AND(IF(Metadata!Q413="",FALSE,TRUE),OR(exact(Metadata!Q413,"not applicable"),exact(Metadata!Q413,"not collected"),exact(Metadata!Q413,"not provided"),exact(Metadata!Q413,"restricted access"))),IF(Metadata!Q413="",FALSE,IF(ISERROR(INT(Metadata!Q413)),FALSE,INT(Metadata!Q413)=Metadata!Q413)))</f>
        <v>0</v>
      </c>
      <c r="AS413">
        <f>AND(IF(Metadata!R413="",FALSE,TRUE),exact(Metadata!R413,"Not applicable"))</f>
        <v>0</v>
      </c>
    </row>
    <row r="414" spans="1:45">
      <c r="A414" s="4">
        <f>IF(B414=" "," ",HYPERLINK(CONCATENATE("#metadata!",ADDRESS(INDEX($X$2:$X$1001,MATCH(ROWS($V$2:V414),$V$2:$V$1001,0),0),2)),INDEX($AA$2:$AA$1001,MATCH(ROWS($V$2:V414),$V$2:$V$1001,0),0)))</f>
        <v>0</v>
      </c>
      <c r="B414" s="5">
        <f>IF(OR(INDEX($W$2:$W$1001,MATCH(ROWS($V$2:V414),$V$2:$V$1001,0),1)&gt;=100000,INDEX($AC$1005:$AS$1005,1,MATCH(COLUMNS($AC$1006:AC1006),$AC$1006:$AS$1006,0))&gt;=100000), " ",IF(INDEX($AC$2:$AS$1001,MATCH(ROWS($V$2:V414),$V$2:$V$1001,0),MATCH(COLUMNS($AC$1006:AC1006),$AC$1006:$AS$1006,0)), HYPERLINK("#",""), HYPERLINK(CONCATENATE("#Metadata!", ADDRESS(INDEX($X$2:$X$1001,MATCH(ROWS($V$2:V414),$V$2:$V$1001,0),0), INDEX($AC$1004:$AS$1004,1,MATCH(COLUMNS($AC$1006:AC1006),$AC$1006:$AS$1006,0)))),"Fix")))</f>
        <v>0</v>
      </c>
      <c r="C414" s="5">
        <f>IF(OR(INDEX($W$2:$W$1001,MATCH(ROWS($V$2:V414),$V$2:$V$1001,0),1)&gt;=100000,INDEX($AC$1005:$AS$1005,1,MATCH(COLUMNS($AC$1006:AD1006),$AC$1006:$AS$1006,0))&gt;=100000), " ",IF(INDEX($AC$2:$AS$1001,MATCH(ROWS($V$2:V414),$V$2:$V$1001,0),MATCH(COLUMNS($AC$1006:AD1006),$AC$1006:$AS$1006,0)), HYPERLINK("#",""), HYPERLINK(CONCATENATE("#Metadata!", ADDRESS(INDEX($X$2:$X$1001,MATCH(ROWS($V$2:V414),$V$2:$V$1001,0),0), INDEX($AC$1004:$AS$1004,1,MATCH(COLUMNS($AC$1006:AD1006),$AC$1006:$AS$1006,0)))),"Fix")))</f>
        <v>0</v>
      </c>
      <c r="D414" s="5">
        <f>IF(OR(INDEX($W$2:$W$1001,MATCH(ROWS($V$2:V414),$V$2:$V$1001,0),1)&gt;=100000,INDEX($AC$1005:$AS$1005,1,MATCH(COLUMNS($AC$1006:AE1006),$AC$1006:$AS$1006,0))&gt;=100000), " ",IF(INDEX($AC$2:$AS$1001,MATCH(ROWS($V$2:V414),$V$2:$V$1001,0),MATCH(COLUMNS($AC$1006:AE1006),$AC$1006:$AS$1006,0)), HYPERLINK("#",""), HYPERLINK(CONCATENATE("#Metadata!", ADDRESS(INDEX($X$2:$X$1001,MATCH(ROWS($V$2:V414),$V$2:$V$1001,0),0), INDEX($AC$1004:$AS$1004,1,MATCH(COLUMNS($AC$1006:AE1006),$AC$1006:$AS$1006,0)))),"Fix")))</f>
        <v>0</v>
      </c>
      <c r="E414" s="5">
        <f>IF(OR(INDEX($W$2:$W$1001,MATCH(ROWS($V$2:V414),$V$2:$V$1001,0),1)&gt;=100000,INDEX($AC$1005:$AS$1005,1,MATCH(COLUMNS($AC$1006:AF1006),$AC$1006:$AS$1006,0))&gt;=100000), " ",IF(INDEX($AC$2:$AS$1001,MATCH(ROWS($V$2:V414),$V$2:$V$1001,0),MATCH(COLUMNS($AC$1006:AF1006),$AC$1006:$AS$1006,0)), HYPERLINK("#",""), HYPERLINK(CONCATENATE("#Metadata!", ADDRESS(INDEX($X$2:$X$1001,MATCH(ROWS($V$2:V414),$V$2:$V$1001,0),0), INDEX($AC$1004:$AS$1004,1,MATCH(COLUMNS($AC$1006:AF1006),$AC$1006:$AS$1006,0)))),"Fix")))</f>
        <v>0</v>
      </c>
      <c r="F414" s="5">
        <f>IF(OR(INDEX($W$2:$W$1001,MATCH(ROWS($V$2:V414),$V$2:$V$1001,0),1)&gt;=100000,INDEX($AC$1005:$AS$1005,1,MATCH(COLUMNS($AC$1006:AG1006),$AC$1006:$AS$1006,0))&gt;=100000), " ",IF(INDEX($AC$2:$AS$1001,MATCH(ROWS($V$2:V414),$V$2:$V$1001,0),MATCH(COLUMNS($AC$1006:AG1006),$AC$1006:$AS$1006,0)), HYPERLINK("#",""), HYPERLINK(CONCATENATE("#Metadata!", ADDRESS(INDEX($X$2:$X$1001,MATCH(ROWS($V$2:V414),$V$2:$V$1001,0),0), INDEX($AC$1004:$AS$1004,1,MATCH(COLUMNS($AC$1006:AG1006),$AC$1006:$AS$1006,0)))),"Fix")))</f>
        <v>0</v>
      </c>
      <c r="G414" s="5">
        <f>IF(OR(INDEX($W$2:$W$1001,MATCH(ROWS($V$2:V414),$V$2:$V$1001,0),1)&gt;=100000,INDEX($AC$1005:$AS$1005,1,MATCH(COLUMNS($AC$1006:AH1006),$AC$1006:$AS$1006,0))&gt;=100000), " ",IF(INDEX($AC$2:$AS$1001,MATCH(ROWS($V$2:V414),$V$2:$V$1001,0),MATCH(COLUMNS($AC$1006:AH1006),$AC$1006:$AS$1006,0)), HYPERLINK("#",""), HYPERLINK(CONCATENATE("#Metadata!", ADDRESS(INDEX($X$2:$X$1001,MATCH(ROWS($V$2:V414),$V$2:$V$1001,0),0), INDEX($AC$1004:$AS$1004,1,MATCH(COLUMNS($AC$1006:AH1006),$AC$1006:$AS$1006,0)))),"Fix")))</f>
        <v>0</v>
      </c>
      <c r="H414" s="5">
        <f>IF(OR(INDEX($W$2:$W$1001,MATCH(ROWS($V$2:V414),$V$2:$V$1001,0),1)&gt;=100000,INDEX($AC$1005:$AS$1005,1,MATCH(COLUMNS($AC$1006:AI1006),$AC$1006:$AS$1006,0))&gt;=100000), " ",IF(INDEX($AC$2:$AS$1001,MATCH(ROWS($V$2:V414),$V$2:$V$1001,0),MATCH(COLUMNS($AC$1006:AI1006),$AC$1006:$AS$1006,0)), HYPERLINK("#",""), HYPERLINK(CONCATENATE("#Metadata!", ADDRESS(INDEX($X$2:$X$1001,MATCH(ROWS($V$2:V414),$V$2:$V$1001,0),0), INDEX($AC$1004:$AS$1004,1,MATCH(COLUMNS($AC$1006:AI1006),$AC$1006:$AS$1006,0)))),"Fix")))</f>
        <v>0</v>
      </c>
      <c r="I414" s="5">
        <f>IF(OR(INDEX($W$2:$W$1001,MATCH(ROWS($V$2:V414),$V$2:$V$1001,0),1)&gt;=100000,INDEX($AC$1005:$AS$1005,1,MATCH(COLUMNS($AC$1006:AJ1006),$AC$1006:$AS$1006,0))&gt;=100000), " ",IF(INDEX($AC$2:$AS$1001,MATCH(ROWS($V$2:V414),$V$2:$V$1001,0),MATCH(COLUMNS($AC$1006:AJ1006),$AC$1006:$AS$1006,0)), HYPERLINK("#",""), HYPERLINK(CONCATENATE("#Metadata!", ADDRESS(INDEX($X$2:$X$1001,MATCH(ROWS($V$2:V414),$V$2:$V$1001,0),0), INDEX($AC$1004:$AS$1004,1,MATCH(COLUMNS($AC$1006:AJ1006),$AC$1006:$AS$1006,0)))),"Fix")))</f>
        <v>0</v>
      </c>
      <c r="J414" s="5">
        <f>IF(OR(INDEX($W$2:$W$1001,MATCH(ROWS($V$2:V414),$V$2:$V$1001,0),1)&gt;=100000,INDEX($AC$1005:$AS$1005,1,MATCH(COLUMNS($AC$1006:AK1006),$AC$1006:$AS$1006,0))&gt;=100000), " ",IF(INDEX($AC$2:$AS$1001,MATCH(ROWS($V$2:V414),$V$2:$V$1001,0),MATCH(COLUMNS($AC$1006:AK1006),$AC$1006:$AS$1006,0)), HYPERLINK("#",""), HYPERLINK(CONCATENATE("#Metadata!", ADDRESS(INDEX($X$2:$X$1001,MATCH(ROWS($V$2:V414),$V$2:$V$1001,0),0), INDEX($AC$1004:$AS$1004,1,MATCH(COLUMNS($AC$1006:AK1006),$AC$1006:$AS$1006,0)))),"Fix")))</f>
        <v>0</v>
      </c>
      <c r="K414" s="5">
        <f>IF(OR(INDEX($W$2:$W$1001,MATCH(ROWS($V$2:V414),$V$2:$V$1001,0),1)&gt;=100000,INDEX($AC$1005:$AS$1005,1,MATCH(COLUMNS($AC$1006:AL1006),$AC$1006:$AS$1006,0))&gt;=100000), " ",IF(INDEX($AC$2:$AS$1001,MATCH(ROWS($V$2:V414),$V$2:$V$1001,0),MATCH(COLUMNS($AC$1006:AL1006),$AC$1006:$AS$1006,0)), HYPERLINK("#",""), HYPERLINK(CONCATENATE("#Metadata!", ADDRESS(INDEX($X$2:$X$1001,MATCH(ROWS($V$2:V414),$V$2:$V$1001,0),0), INDEX($AC$1004:$AS$1004,1,MATCH(COLUMNS($AC$1006:AL1006),$AC$1006:$AS$1006,0)))),"Fix")))</f>
        <v>0</v>
      </c>
      <c r="L414" s="5">
        <f>IF(OR(INDEX($W$2:$W$1001,MATCH(ROWS($V$2:V414),$V$2:$V$1001,0),1)&gt;=100000,INDEX($AC$1005:$AS$1005,1,MATCH(COLUMNS($AC$1006:AM1006),$AC$1006:$AS$1006,0))&gt;=100000), " ",IF(INDEX($AC$2:$AS$1001,MATCH(ROWS($V$2:V414),$V$2:$V$1001,0),MATCH(COLUMNS($AC$1006:AM1006),$AC$1006:$AS$1006,0)), HYPERLINK("#",""), HYPERLINK(CONCATENATE("#Metadata!", ADDRESS(INDEX($X$2:$X$1001,MATCH(ROWS($V$2:V414),$V$2:$V$1001,0),0), INDEX($AC$1004:$AS$1004,1,MATCH(COLUMNS($AC$1006:AM1006),$AC$1006:$AS$1006,0)))),"Fix")))</f>
        <v>0</v>
      </c>
      <c r="M414" s="5">
        <f>IF(OR(INDEX($W$2:$W$1001,MATCH(ROWS($V$2:V414),$V$2:$V$1001,0),1)&gt;=100000,INDEX($AC$1005:$AS$1005,1,MATCH(COLUMNS($AC$1006:AN1006),$AC$1006:$AS$1006,0))&gt;=100000), " ",IF(INDEX($AC$2:$AS$1001,MATCH(ROWS($V$2:V414),$V$2:$V$1001,0),MATCH(COLUMNS($AC$1006:AN1006),$AC$1006:$AS$1006,0)), HYPERLINK("#",""), HYPERLINK(CONCATENATE("#Metadata!", ADDRESS(INDEX($X$2:$X$1001,MATCH(ROWS($V$2:V414),$V$2:$V$1001,0),0), INDEX($AC$1004:$AS$1004,1,MATCH(COLUMNS($AC$1006:AN1006),$AC$1006:$AS$1006,0)))),"Fix")))</f>
        <v>0</v>
      </c>
      <c r="N414" s="5">
        <f>IF(OR(INDEX($W$2:$W$1001,MATCH(ROWS($V$2:V414),$V$2:$V$1001,0),1)&gt;=100000,INDEX($AC$1005:$AS$1005,1,MATCH(COLUMNS($AC$1006:AO1006),$AC$1006:$AS$1006,0))&gt;=100000), " ",IF(INDEX($AC$2:$AS$1001,MATCH(ROWS($V$2:V414),$V$2:$V$1001,0),MATCH(COLUMNS($AC$1006:AO1006),$AC$1006:$AS$1006,0)), HYPERLINK("#",""), HYPERLINK(CONCATENATE("#Metadata!", ADDRESS(INDEX($X$2:$X$1001,MATCH(ROWS($V$2:V414),$V$2:$V$1001,0),0), INDEX($AC$1004:$AS$1004,1,MATCH(COLUMNS($AC$1006:AO1006),$AC$1006:$AS$1006,0)))),"Fix")))</f>
        <v>0</v>
      </c>
      <c r="O414" s="5">
        <f>IF(OR(INDEX($W$2:$W$1001,MATCH(ROWS($V$2:V414),$V$2:$V$1001,0),1)&gt;=100000,INDEX($AC$1005:$AS$1005,1,MATCH(COLUMNS($AC$1006:AP1006),$AC$1006:$AS$1006,0))&gt;=100000), " ",IF(INDEX($AC$2:$AS$1001,MATCH(ROWS($V$2:V414),$V$2:$V$1001,0),MATCH(COLUMNS($AC$1006:AP1006),$AC$1006:$AS$1006,0)), HYPERLINK("#",""), HYPERLINK(CONCATENATE("#Metadata!", ADDRESS(INDEX($X$2:$X$1001,MATCH(ROWS($V$2:V414),$V$2:$V$1001,0),0), INDEX($AC$1004:$AS$1004,1,MATCH(COLUMNS($AC$1006:AP1006),$AC$1006:$AS$1006,0)))),"Fix")))</f>
        <v>0</v>
      </c>
      <c r="P414" s="5">
        <f>IF(OR(INDEX($W$2:$W$1001,MATCH(ROWS($V$2:V414),$V$2:$V$1001,0),1)&gt;=100000,INDEX($AC$1005:$AS$1005,1,MATCH(COLUMNS($AC$1006:AQ1006),$AC$1006:$AS$1006,0))&gt;=100000), " ",IF(INDEX($AC$2:$AS$1001,MATCH(ROWS($V$2:V414),$V$2:$V$1001,0),MATCH(COLUMNS($AC$1006:AQ1006),$AC$1006:$AS$1006,0)), HYPERLINK("#",""), HYPERLINK(CONCATENATE("#Metadata!", ADDRESS(INDEX($X$2:$X$1001,MATCH(ROWS($V$2:V414),$V$2:$V$1001,0),0), INDEX($AC$1004:$AS$1004,1,MATCH(COLUMNS($AC$1006:AQ1006),$AC$1006:$AS$1006,0)))),"Fix")))</f>
        <v>0</v>
      </c>
      <c r="Q414" s="5">
        <f>IF(OR(INDEX($W$2:$W$1001,MATCH(ROWS($V$2:V414),$V$2:$V$1001,0),1)&gt;=100000,INDEX($AC$1005:$AS$1005,1,MATCH(COLUMNS($AC$1006:AR1006),$AC$1006:$AS$1006,0))&gt;=100000), " ",IF(INDEX($AC$2:$AS$1001,MATCH(ROWS($V$2:V414),$V$2:$V$1001,0),MATCH(COLUMNS($AC$1006:AR1006),$AC$1006:$AS$1006,0)), HYPERLINK("#",""), HYPERLINK(CONCATENATE("#Metadata!", ADDRESS(INDEX($X$2:$X$1001,MATCH(ROWS($V$2:V414),$V$2:$V$1001,0),0), INDEX($AC$1004:$AS$1004,1,MATCH(COLUMNS($AC$1006:AR1006),$AC$1006:$AS$1006,0)))),"Fix")))</f>
        <v>0</v>
      </c>
      <c r="R414" s="5">
        <f>IF(OR(INDEX($W$2:$W$1001,MATCH(ROWS($V$2:V414),$V$2:$V$1001,0),1)&gt;=100000,INDEX($AC$1005:$AS$1005,1,MATCH(COLUMNS($AC$1006:AS1006),$AC$1006:$AS$1006,0))&gt;=100000), " ",IF(INDEX($AC$2:$AS$1001,MATCH(ROWS($V$2:V414),$V$2:$V$1001,0),MATCH(COLUMNS($AC$1006:AS1006),$AC$1006:$AS$1006,0)), HYPERLINK("#",""), HYPERLINK(CONCATENATE("#Metadata!", ADDRESS(INDEX($X$2:$X$1001,MATCH(ROWS($V$2:V414),$V$2:$V$1001,0),0), INDEX($AC$1004:$AS$1004,1,MATCH(COLUMNS($AC$1006:AS1006),$AC$1006:$AS$1006,0)))),"Fix")))</f>
        <v>0</v>
      </c>
      <c r="V414">
        <v>0</v>
      </c>
      <c r="W414">
        <v>0</v>
      </c>
      <c r="X414">
        <v>0</v>
      </c>
      <c r="Y414">
        <f>IF(Z414,TRUE,AND(AC414:AS414))</f>
        <v>0</v>
      </c>
      <c r="Z414">
        <f>COUNTBLANK(Metadata!B414:R414)=COLUMNS(Metadata!B414:R414)</f>
        <v>0</v>
      </c>
      <c r="AA414">
        <v>0</v>
      </c>
      <c r="AC414">
        <f>AND(IF(Metadata!B414="",FALSE,TRUE),COUNTIF(Metadata!B:B, Metadata!B414) = 1,NOT(ISERROR(SUMPRODUCT(SEARCH(MID(Metadata!B414,ROW(INDIRECT("1:"&amp;LEN(Metadata!B414))), 1),"0123456789abcdefghijklmnopqrstuvwxyzABCDEFGHIJKLMNOPQRSTUVWXYZ.")))))</f>
        <v>0</v>
      </c>
      <c r="AD414">
        <f>AND(IF(Metadata!C414="",FALSE,TRUE),exact(Metadata!C414,"Host-associated"))</f>
        <v>0</v>
      </c>
      <c r="AE414">
        <f>AND(IF(Metadata!D414="",FALSE,TRUE),OR(exact(Metadata!D414,"Animal"),exact(Metadata!D414,"Fungus"),exact(Metadata!D414,"Plant")))</f>
        <v>0</v>
      </c>
      <c r="AF414">
        <f>AND(IF(Metadata!E414="",FALSE,TRUE),OR(exact(Metadata!E414,"Plant secretion"),exact(Metadata!E414,"Plant rhizosphere"),exact(Metadata!E414,"Plant surface"),exact(Metadata!E414,"Plant corpus"),exact(Metadata!E414,"Fungus surface"),exact(Metadata!E414,"Fungus corpus"),exact(Metadata!E414,"Animal surface"),exact(Metadata!E414,"Animal proximal gut"),exact(Metadata!E414,"Animal corpus"),exact(Metadata!E414,"Animal distal gut"),exact(Metadata!E414,"Animal secretion")))</f>
        <v>0</v>
      </c>
      <c r="AG414">
        <f>OR(AND(IF(Metadata!F414="",FALSE,TRUE),OR(exact(Metadata!F414,"not collected"),exact(Metadata!F414,"not provided"),exact(Metadata!F414,"restricted access"))),AND(IF(Metadata!F414="",FALSE,TRUE),OR(exact(Metadata!F414,"organism-associated habitat"),exact(Metadata!F414,"plant-associated habitat"),exact(Metadata!F414,"animal-associated habitat"),exact(Metadata!F414,"insecta-associated habitat"),exact(Metadata!F414,"mammalia-associated habitat"),exact(Metadata!F414,"human-associated habitat"),exact(Metadata!F414,"livestock-associated habitat"))))</f>
        <v>0</v>
      </c>
      <c r="AH414">
        <f>AND(IF(Metadata!G414="",FALSE,TRUE),exact(Metadata!G414,"host-associated"))</f>
        <v>0</v>
      </c>
      <c r="AI414">
        <f>OR(AND(IF(Metadata!H414="",FALSE,TRUE),OR(exact(Metadata!H414,"not collected"),exact(Metadata!H414,"not provided"))),AND(IF(Metadata!H414="",FALSE,ISNUMBER(VALUE(Metadata!H414))),Metadata!H414&gt;0))</f>
        <v>0</v>
      </c>
      <c r="AJ414">
        <f>AND(IF(Metadata!I414="",FALSE,TRUE),exact(Metadata!I414,"years"))</f>
        <v>0</v>
      </c>
      <c r="AK414">
        <f>IF(Metadata!J414="",FALSE,TRUE)</f>
        <v>0</v>
      </c>
      <c r="AL414">
        <f>OR(AND(IF(Metadata!K414="",FALSE,TRUE),OR(exact(Metadata!K414,"not collected"),exact(Metadata!K414,"not provided"))),AND(IF(Metadata!K414="",FALSE,ISNUMBER(VALUE(Metadata!K414))),Metadata!K414&gt;0))</f>
        <v>0</v>
      </c>
      <c r="AM414">
        <f>AND(IF(Metadata!L414="",FALSE,TRUE),exact(Metadata!L414,"cm"))</f>
        <v>0</v>
      </c>
      <c r="AN414">
        <f>IF(Metadata!M414="",FALSE,TRUE)</f>
        <v>0</v>
      </c>
      <c r="AO414">
        <f>OR(AND(IF(Metadata!N414="",FALSE,TRUE),OR(exact(Metadata!N414,"not applicable"),exact(Metadata!N414,"not collected"),exact(Metadata!N414,"not provided"))),AND(IF(Metadata!N414="",FALSE,IF(ISERROR(INT(Metadata!N414)),FALSE,INT(Metadata!N414)=Metadata!N414)),Metadata!N414&gt;0))</f>
        <v>0</v>
      </c>
      <c r="AP414">
        <f>OR(AND(IF(Metadata!O414="",FALSE,TRUE),OR(exact(Metadata!O414,"not collected"),exact(Metadata!O414,"not provided"))),AND(IF(Metadata!O414="",FALSE,ISNUMBER(VALUE(Metadata!O414))),Metadata!O414&gt;0))</f>
        <v>0</v>
      </c>
      <c r="AQ414">
        <f>AND(IF(Metadata!P414="",FALSE,TRUE),exact(Metadata!P414,"kg"))</f>
        <v>0</v>
      </c>
      <c r="AR414">
        <f>OR(AND(IF(Metadata!Q414="",FALSE,TRUE),OR(exact(Metadata!Q414,"not applicable"),exact(Metadata!Q414,"not collected"),exact(Metadata!Q414,"not provided"),exact(Metadata!Q414,"restricted access"))),IF(Metadata!Q414="",FALSE,IF(ISERROR(INT(Metadata!Q414)),FALSE,INT(Metadata!Q414)=Metadata!Q414)))</f>
        <v>0</v>
      </c>
      <c r="AS414">
        <f>AND(IF(Metadata!R414="",FALSE,TRUE),exact(Metadata!R414,"Not applicable"))</f>
        <v>0</v>
      </c>
    </row>
    <row r="415" spans="1:45">
      <c r="A415" s="4">
        <f>IF(B415=" "," ",HYPERLINK(CONCATENATE("#metadata!",ADDRESS(INDEX($X$2:$X$1001,MATCH(ROWS($V$2:V415),$V$2:$V$1001,0),0),2)),INDEX($AA$2:$AA$1001,MATCH(ROWS($V$2:V415),$V$2:$V$1001,0),0)))</f>
        <v>0</v>
      </c>
      <c r="B415" s="5">
        <f>IF(OR(INDEX($W$2:$W$1001,MATCH(ROWS($V$2:V415),$V$2:$V$1001,0),1)&gt;=100000,INDEX($AC$1005:$AS$1005,1,MATCH(COLUMNS($AC$1006:AC1006),$AC$1006:$AS$1006,0))&gt;=100000), " ",IF(INDEX($AC$2:$AS$1001,MATCH(ROWS($V$2:V415),$V$2:$V$1001,0),MATCH(COLUMNS($AC$1006:AC1006),$AC$1006:$AS$1006,0)), HYPERLINK("#",""), HYPERLINK(CONCATENATE("#Metadata!", ADDRESS(INDEX($X$2:$X$1001,MATCH(ROWS($V$2:V415),$V$2:$V$1001,0),0), INDEX($AC$1004:$AS$1004,1,MATCH(COLUMNS($AC$1006:AC1006),$AC$1006:$AS$1006,0)))),"Fix")))</f>
        <v>0</v>
      </c>
      <c r="C415" s="5">
        <f>IF(OR(INDEX($W$2:$W$1001,MATCH(ROWS($V$2:V415),$V$2:$V$1001,0),1)&gt;=100000,INDEX($AC$1005:$AS$1005,1,MATCH(COLUMNS($AC$1006:AD1006),$AC$1006:$AS$1006,0))&gt;=100000), " ",IF(INDEX($AC$2:$AS$1001,MATCH(ROWS($V$2:V415),$V$2:$V$1001,0),MATCH(COLUMNS($AC$1006:AD1006),$AC$1006:$AS$1006,0)), HYPERLINK("#",""), HYPERLINK(CONCATENATE("#Metadata!", ADDRESS(INDEX($X$2:$X$1001,MATCH(ROWS($V$2:V415),$V$2:$V$1001,0),0), INDEX($AC$1004:$AS$1004,1,MATCH(COLUMNS($AC$1006:AD1006),$AC$1006:$AS$1006,0)))),"Fix")))</f>
        <v>0</v>
      </c>
      <c r="D415" s="5">
        <f>IF(OR(INDEX($W$2:$W$1001,MATCH(ROWS($V$2:V415),$V$2:$V$1001,0),1)&gt;=100000,INDEX($AC$1005:$AS$1005,1,MATCH(COLUMNS($AC$1006:AE1006),$AC$1006:$AS$1006,0))&gt;=100000), " ",IF(INDEX($AC$2:$AS$1001,MATCH(ROWS($V$2:V415),$V$2:$V$1001,0),MATCH(COLUMNS($AC$1006:AE1006),$AC$1006:$AS$1006,0)), HYPERLINK("#",""), HYPERLINK(CONCATENATE("#Metadata!", ADDRESS(INDEX($X$2:$X$1001,MATCH(ROWS($V$2:V415),$V$2:$V$1001,0),0), INDEX($AC$1004:$AS$1004,1,MATCH(COLUMNS($AC$1006:AE1006),$AC$1006:$AS$1006,0)))),"Fix")))</f>
        <v>0</v>
      </c>
      <c r="E415" s="5">
        <f>IF(OR(INDEX($W$2:$W$1001,MATCH(ROWS($V$2:V415),$V$2:$V$1001,0),1)&gt;=100000,INDEX($AC$1005:$AS$1005,1,MATCH(COLUMNS($AC$1006:AF1006),$AC$1006:$AS$1006,0))&gt;=100000), " ",IF(INDEX($AC$2:$AS$1001,MATCH(ROWS($V$2:V415),$V$2:$V$1001,0),MATCH(COLUMNS($AC$1006:AF1006),$AC$1006:$AS$1006,0)), HYPERLINK("#",""), HYPERLINK(CONCATENATE("#Metadata!", ADDRESS(INDEX($X$2:$X$1001,MATCH(ROWS($V$2:V415),$V$2:$V$1001,0),0), INDEX($AC$1004:$AS$1004,1,MATCH(COLUMNS($AC$1006:AF1006),$AC$1006:$AS$1006,0)))),"Fix")))</f>
        <v>0</v>
      </c>
      <c r="F415" s="5">
        <f>IF(OR(INDEX($W$2:$W$1001,MATCH(ROWS($V$2:V415),$V$2:$V$1001,0),1)&gt;=100000,INDEX($AC$1005:$AS$1005,1,MATCH(COLUMNS($AC$1006:AG1006),$AC$1006:$AS$1006,0))&gt;=100000), " ",IF(INDEX($AC$2:$AS$1001,MATCH(ROWS($V$2:V415),$V$2:$V$1001,0),MATCH(COLUMNS($AC$1006:AG1006),$AC$1006:$AS$1006,0)), HYPERLINK("#",""), HYPERLINK(CONCATENATE("#Metadata!", ADDRESS(INDEX($X$2:$X$1001,MATCH(ROWS($V$2:V415),$V$2:$V$1001,0),0), INDEX($AC$1004:$AS$1004,1,MATCH(COLUMNS($AC$1006:AG1006),$AC$1006:$AS$1006,0)))),"Fix")))</f>
        <v>0</v>
      </c>
      <c r="G415" s="5">
        <f>IF(OR(INDEX($W$2:$W$1001,MATCH(ROWS($V$2:V415),$V$2:$V$1001,0),1)&gt;=100000,INDEX($AC$1005:$AS$1005,1,MATCH(COLUMNS($AC$1006:AH1006),$AC$1006:$AS$1006,0))&gt;=100000), " ",IF(INDEX($AC$2:$AS$1001,MATCH(ROWS($V$2:V415),$V$2:$V$1001,0),MATCH(COLUMNS($AC$1006:AH1006),$AC$1006:$AS$1006,0)), HYPERLINK("#",""), HYPERLINK(CONCATENATE("#Metadata!", ADDRESS(INDEX($X$2:$X$1001,MATCH(ROWS($V$2:V415),$V$2:$V$1001,0),0), INDEX($AC$1004:$AS$1004,1,MATCH(COLUMNS($AC$1006:AH1006),$AC$1006:$AS$1006,0)))),"Fix")))</f>
        <v>0</v>
      </c>
      <c r="H415" s="5">
        <f>IF(OR(INDEX($W$2:$W$1001,MATCH(ROWS($V$2:V415),$V$2:$V$1001,0),1)&gt;=100000,INDEX($AC$1005:$AS$1005,1,MATCH(COLUMNS($AC$1006:AI1006),$AC$1006:$AS$1006,0))&gt;=100000), " ",IF(INDEX($AC$2:$AS$1001,MATCH(ROWS($V$2:V415),$V$2:$V$1001,0),MATCH(COLUMNS($AC$1006:AI1006),$AC$1006:$AS$1006,0)), HYPERLINK("#",""), HYPERLINK(CONCATENATE("#Metadata!", ADDRESS(INDEX($X$2:$X$1001,MATCH(ROWS($V$2:V415),$V$2:$V$1001,0),0), INDEX($AC$1004:$AS$1004,1,MATCH(COLUMNS($AC$1006:AI1006),$AC$1006:$AS$1006,0)))),"Fix")))</f>
        <v>0</v>
      </c>
      <c r="I415" s="5">
        <f>IF(OR(INDEX($W$2:$W$1001,MATCH(ROWS($V$2:V415),$V$2:$V$1001,0),1)&gt;=100000,INDEX($AC$1005:$AS$1005,1,MATCH(COLUMNS($AC$1006:AJ1006),$AC$1006:$AS$1006,0))&gt;=100000), " ",IF(INDEX($AC$2:$AS$1001,MATCH(ROWS($V$2:V415),$V$2:$V$1001,0),MATCH(COLUMNS($AC$1006:AJ1006),$AC$1006:$AS$1006,0)), HYPERLINK("#",""), HYPERLINK(CONCATENATE("#Metadata!", ADDRESS(INDEX($X$2:$X$1001,MATCH(ROWS($V$2:V415),$V$2:$V$1001,0),0), INDEX($AC$1004:$AS$1004,1,MATCH(COLUMNS($AC$1006:AJ1006),$AC$1006:$AS$1006,0)))),"Fix")))</f>
        <v>0</v>
      </c>
      <c r="J415" s="5">
        <f>IF(OR(INDEX($W$2:$W$1001,MATCH(ROWS($V$2:V415),$V$2:$V$1001,0),1)&gt;=100000,INDEX($AC$1005:$AS$1005,1,MATCH(COLUMNS($AC$1006:AK1006),$AC$1006:$AS$1006,0))&gt;=100000), " ",IF(INDEX($AC$2:$AS$1001,MATCH(ROWS($V$2:V415),$V$2:$V$1001,0),MATCH(COLUMNS($AC$1006:AK1006),$AC$1006:$AS$1006,0)), HYPERLINK("#",""), HYPERLINK(CONCATENATE("#Metadata!", ADDRESS(INDEX($X$2:$X$1001,MATCH(ROWS($V$2:V415),$V$2:$V$1001,0),0), INDEX($AC$1004:$AS$1004,1,MATCH(COLUMNS($AC$1006:AK1006),$AC$1006:$AS$1006,0)))),"Fix")))</f>
        <v>0</v>
      </c>
      <c r="K415" s="5">
        <f>IF(OR(INDEX($W$2:$W$1001,MATCH(ROWS($V$2:V415),$V$2:$V$1001,0),1)&gt;=100000,INDEX($AC$1005:$AS$1005,1,MATCH(COLUMNS($AC$1006:AL1006),$AC$1006:$AS$1006,0))&gt;=100000), " ",IF(INDEX($AC$2:$AS$1001,MATCH(ROWS($V$2:V415),$V$2:$V$1001,0),MATCH(COLUMNS($AC$1006:AL1006),$AC$1006:$AS$1006,0)), HYPERLINK("#",""), HYPERLINK(CONCATENATE("#Metadata!", ADDRESS(INDEX($X$2:$X$1001,MATCH(ROWS($V$2:V415),$V$2:$V$1001,0),0), INDEX($AC$1004:$AS$1004,1,MATCH(COLUMNS($AC$1006:AL1006),$AC$1006:$AS$1006,0)))),"Fix")))</f>
        <v>0</v>
      </c>
      <c r="L415" s="5">
        <f>IF(OR(INDEX($W$2:$W$1001,MATCH(ROWS($V$2:V415),$V$2:$V$1001,0),1)&gt;=100000,INDEX($AC$1005:$AS$1005,1,MATCH(COLUMNS($AC$1006:AM1006),$AC$1006:$AS$1006,0))&gt;=100000), " ",IF(INDEX($AC$2:$AS$1001,MATCH(ROWS($V$2:V415),$V$2:$V$1001,0),MATCH(COLUMNS($AC$1006:AM1006),$AC$1006:$AS$1006,0)), HYPERLINK("#",""), HYPERLINK(CONCATENATE("#Metadata!", ADDRESS(INDEX($X$2:$X$1001,MATCH(ROWS($V$2:V415),$V$2:$V$1001,0),0), INDEX($AC$1004:$AS$1004,1,MATCH(COLUMNS($AC$1006:AM1006),$AC$1006:$AS$1006,0)))),"Fix")))</f>
        <v>0</v>
      </c>
      <c r="M415" s="5">
        <f>IF(OR(INDEX($W$2:$W$1001,MATCH(ROWS($V$2:V415),$V$2:$V$1001,0),1)&gt;=100000,INDEX($AC$1005:$AS$1005,1,MATCH(COLUMNS($AC$1006:AN1006),$AC$1006:$AS$1006,0))&gt;=100000), " ",IF(INDEX($AC$2:$AS$1001,MATCH(ROWS($V$2:V415),$V$2:$V$1001,0),MATCH(COLUMNS($AC$1006:AN1006),$AC$1006:$AS$1006,0)), HYPERLINK("#",""), HYPERLINK(CONCATENATE("#Metadata!", ADDRESS(INDEX($X$2:$X$1001,MATCH(ROWS($V$2:V415),$V$2:$V$1001,0),0), INDEX($AC$1004:$AS$1004,1,MATCH(COLUMNS($AC$1006:AN1006),$AC$1006:$AS$1006,0)))),"Fix")))</f>
        <v>0</v>
      </c>
      <c r="N415" s="5">
        <f>IF(OR(INDEX($W$2:$W$1001,MATCH(ROWS($V$2:V415),$V$2:$V$1001,0),1)&gt;=100000,INDEX($AC$1005:$AS$1005,1,MATCH(COLUMNS($AC$1006:AO1006),$AC$1006:$AS$1006,0))&gt;=100000), " ",IF(INDEX($AC$2:$AS$1001,MATCH(ROWS($V$2:V415),$V$2:$V$1001,0),MATCH(COLUMNS($AC$1006:AO1006),$AC$1006:$AS$1006,0)), HYPERLINK("#",""), HYPERLINK(CONCATENATE("#Metadata!", ADDRESS(INDEX($X$2:$X$1001,MATCH(ROWS($V$2:V415),$V$2:$V$1001,0),0), INDEX($AC$1004:$AS$1004,1,MATCH(COLUMNS($AC$1006:AO1006),$AC$1006:$AS$1006,0)))),"Fix")))</f>
        <v>0</v>
      </c>
      <c r="O415" s="5">
        <f>IF(OR(INDEX($W$2:$W$1001,MATCH(ROWS($V$2:V415),$V$2:$V$1001,0),1)&gt;=100000,INDEX($AC$1005:$AS$1005,1,MATCH(COLUMNS($AC$1006:AP1006),$AC$1006:$AS$1006,0))&gt;=100000), " ",IF(INDEX($AC$2:$AS$1001,MATCH(ROWS($V$2:V415),$V$2:$V$1001,0),MATCH(COLUMNS($AC$1006:AP1006),$AC$1006:$AS$1006,0)), HYPERLINK("#",""), HYPERLINK(CONCATENATE("#Metadata!", ADDRESS(INDEX($X$2:$X$1001,MATCH(ROWS($V$2:V415),$V$2:$V$1001,0),0), INDEX($AC$1004:$AS$1004,1,MATCH(COLUMNS($AC$1006:AP1006),$AC$1006:$AS$1006,0)))),"Fix")))</f>
        <v>0</v>
      </c>
      <c r="P415" s="5">
        <f>IF(OR(INDEX($W$2:$W$1001,MATCH(ROWS($V$2:V415),$V$2:$V$1001,0),1)&gt;=100000,INDEX($AC$1005:$AS$1005,1,MATCH(COLUMNS($AC$1006:AQ1006),$AC$1006:$AS$1006,0))&gt;=100000), " ",IF(INDEX($AC$2:$AS$1001,MATCH(ROWS($V$2:V415),$V$2:$V$1001,0),MATCH(COLUMNS($AC$1006:AQ1006),$AC$1006:$AS$1006,0)), HYPERLINK("#",""), HYPERLINK(CONCATENATE("#Metadata!", ADDRESS(INDEX($X$2:$X$1001,MATCH(ROWS($V$2:V415),$V$2:$V$1001,0),0), INDEX($AC$1004:$AS$1004,1,MATCH(COLUMNS($AC$1006:AQ1006),$AC$1006:$AS$1006,0)))),"Fix")))</f>
        <v>0</v>
      </c>
      <c r="Q415" s="5">
        <f>IF(OR(INDEX($W$2:$W$1001,MATCH(ROWS($V$2:V415),$V$2:$V$1001,0),1)&gt;=100000,INDEX($AC$1005:$AS$1005,1,MATCH(COLUMNS($AC$1006:AR1006),$AC$1006:$AS$1006,0))&gt;=100000), " ",IF(INDEX($AC$2:$AS$1001,MATCH(ROWS($V$2:V415),$V$2:$V$1001,0),MATCH(COLUMNS($AC$1006:AR1006),$AC$1006:$AS$1006,0)), HYPERLINK("#",""), HYPERLINK(CONCATENATE("#Metadata!", ADDRESS(INDEX($X$2:$X$1001,MATCH(ROWS($V$2:V415),$V$2:$V$1001,0),0), INDEX($AC$1004:$AS$1004,1,MATCH(COLUMNS($AC$1006:AR1006),$AC$1006:$AS$1006,0)))),"Fix")))</f>
        <v>0</v>
      </c>
      <c r="R415" s="5">
        <f>IF(OR(INDEX($W$2:$W$1001,MATCH(ROWS($V$2:V415),$V$2:$V$1001,0),1)&gt;=100000,INDEX($AC$1005:$AS$1005,1,MATCH(COLUMNS($AC$1006:AS1006),$AC$1006:$AS$1006,0))&gt;=100000), " ",IF(INDEX($AC$2:$AS$1001,MATCH(ROWS($V$2:V415),$V$2:$V$1001,0),MATCH(COLUMNS($AC$1006:AS1006),$AC$1006:$AS$1006,0)), HYPERLINK("#",""), HYPERLINK(CONCATENATE("#Metadata!", ADDRESS(INDEX($X$2:$X$1001,MATCH(ROWS($V$2:V415),$V$2:$V$1001,0),0), INDEX($AC$1004:$AS$1004,1,MATCH(COLUMNS($AC$1006:AS1006),$AC$1006:$AS$1006,0)))),"Fix")))</f>
        <v>0</v>
      </c>
      <c r="V415">
        <v>0</v>
      </c>
      <c r="W415">
        <v>0</v>
      </c>
      <c r="X415">
        <v>0</v>
      </c>
      <c r="Y415">
        <f>IF(Z415,TRUE,AND(AC415:AS415))</f>
        <v>0</v>
      </c>
      <c r="Z415">
        <f>COUNTBLANK(Metadata!B415:R415)=COLUMNS(Metadata!B415:R415)</f>
        <v>0</v>
      </c>
      <c r="AA415">
        <v>0</v>
      </c>
      <c r="AC415">
        <f>AND(IF(Metadata!B415="",FALSE,TRUE),COUNTIF(Metadata!B:B, Metadata!B415) = 1,NOT(ISERROR(SUMPRODUCT(SEARCH(MID(Metadata!B415,ROW(INDIRECT("1:"&amp;LEN(Metadata!B415))), 1),"0123456789abcdefghijklmnopqrstuvwxyzABCDEFGHIJKLMNOPQRSTUVWXYZ.")))))</f>
        <v>0</v>
      </c>
      <c r="AD415">
        <f>AND(IF(Metadata!C415="",FALSE,TRUE),exact(Metadata!C415,"Host-associated"))</f>
        <v>0</v>
      </c>
      <c r="AE415">
        <f>AND(IF(Metadata!D415="",FALSE,TRUE),OR(exact(Metadata!D415,"Animal"),exact(Metadata!D415,"Fungus"),exact(Metadata!D415,"Plant")))</f>
        <v>0</v>
      </c>
      <c r="AF415">
        <f>AND(IF(Metadata!E415="",FALSE,TRUE),OR(exact(Metadata!E415,"Plant secretion"),exact(Metadata!E415,"Plant rhizosphere"),exact(Metadata!E415,"Plant surface"),exact(Metadata!E415,"Plant corpus"),exact(Metadata!E415,"Fungus surface"),exact(Metadata!E415,"Fungus corpus"),exact(Metadata!E415,"Animal surface"),exact(Metadata!E415,"Animal proximal gut"),exact(Metadata!E415,"Animal corpus"),exact(Metadata!E415,"Animal distal gut"),exact(Metadata!E415,"Animal secretion")))</f>
        <v>0</v>
      </c>
      <c r="AG415">
        <f>OR(AND(IF(Metadata!F415="",FALSE,TRUE),OR(exact(Metadata!F415,"not collected"),exact(Metadata!F415,"not provided"),exact(Metadata!F415,"restricted access"))),AND(IF(Metadata!F415="",FALSE,TRUE),OR(exact(Metadata!F415,"organism-associated habitat"),exact(Metadata!F415,"plant-associated habitat"),exact(Metadata!F415,"animal-associated habitat"),exact(Metadata!F415,"insecta-associated habitat"),exact(Metadata!F415,"mammalia-associated habitat"),exact(Metadata!F415,"human-associated habitat"),exact(Metadata!F415,"livestock-associated habitat"))))</f>
        <v>0</v>
      </c>
      <c r="AH415">
        <f>AND(IF(Metadata!G415="",FALSE,TRUE),exact(Metadata!G415,"host-associated"))</f>
        <v>0</v>
      </c>
      <c r="AI415">
        <f>OR(AND(IF(Metadata!H415="",FALSE,TRUE),OR(exact(Metadata!H415,"not collected"),exact(Metadata!H415,"not provided"))),AND(IF(Metadata!H415="",FALSE,ISNUMBER(VALUE(Metadata!H415))),Metadata!H415&gt;0))</f>
        <v>0</v>
      </c>
      <c r="AJ415">
        <f>AND(IF(Metadata!I415="",FALSE,TRUE),exact(Metadata!I415,"years"))</f>
        <v>0</v>
      </c>
      <c r="AK415">
        <f>IF(Metadata!J415="",FALSE,TRUE)</f>
        <v>0</v>
      </c>
      <c r="AL415">
        <f>OR(AND(IF(Metadata!K415="",FALSE,TRUE),OR(exact(Metadata!K415,"not collected"),exact(Metadata!K415,"not provided"))),AND(IF(Metadata!K415="",FALSE,ISNUMBER(VALUE(Metadata!K415))),Metadata!K415&gt;0))</f>
        <v>0</v>
      </c>
      <c r="AM415">
        <f>AND(IF(Metadata!L415="",FALSE,TRUE),exact(Metadata!L415,"cm"))</f>
        <v>0</v>
      </c>
      <c r="AN415">
        <f>IF(Metadata!M415="",FALSE,TRUE)</f>
        <v>0</v>
      </c>
      <c r="AO415">
        <f>OR(AND(IF(Metadata!N415="",FALSE,TRUE),OR(exact(Metadata!N415,"not applicable"),exact(Metadata!N415,"not collected"),exact(Metadata!N415,"not provided"))),AND(IF(Metadata!N415="",FALSE,IF(ISERROR(INT(Metadata!N415)),FALSE,INT(Metadata!N415)=Metadata!N415)),Metadata!N415&gt;0))</f>
        <v>0</v>
      </c>
      <c r="AP415">
        <f>OR(AND(IF(Metadata!O415="",FALSE,TRUE),OR(exact(Metadata!O415,"not collected"),exact(Metadata!O415,"not provided"))),AND(IF(Metadata!O415="",FALSE,ISNUMBER(VALUE(Metadata!O415))),Metadata!O415&gt;0))</f>
        <v>0</v>
      </c>
      <c r="AQ415">
        <f>AND(IF(Metadata!P415="",FALSE,TRUE),exact(Metadata!P415,"kg"))</f>
        <v>0</v>
      </c>
      <c r="AR415">
        <f>OR(AND(IF(Metadata!Q415="",FALSE,TRUE),OR(exact(Metadata!Q415,"not applicable"),exact(Metadata!Q415,"not collected"),exact(Metadata!Q415,"not provided"),exact(Metadata!Q415,"restricted access"))),IF(Metadata!Q415="",FALSE,IF(ISERROR(INT(Metadata!Q415)),FALSE,INT(Metadata!Q415)=Metadata!Q415)))</f>
        <v>0</v>
      </c>
      <c r="AS415">
        <f>AND(IF(Metadata!R415="",FALSE,TRUE),exact(Metadata!R415,"Not applicable"))</f>
        <v>0</v>
      </c>
    </row>
    <row r="416" spans="1:45">
      <c r="A416" s="4">
        <f>IF(B416=" "," ",HYPERLINK(CONCATENATE("#metadata!",ADDRESS(INDEX($X$2:$X$1001,MATCH(ROWS($V$2:V416),$V$2:$V$1001,0),0),2)),INDEX($AA$2:$AA$1001,MATCH(ROWS($V$2:V416),$V$2:$V$1001,0),0)))</f>
        <v>0</v>
      </c>
      <c r="B416" s="5">
        <f>IF(OR(INDEX($W$2:$W$1001,MATCH(ROWS($V$2:V416),$V$2:$V$1001,0),1)&gt;=100000,INDEX($AC$1005:$AS$1005,1,MATCH(COLUMNS($AC$1006:AC1006),$AC$1006:$AS$1006,0))&gt;=100000), " ",IF(INDEX($AC$2:$AS$1001,MATCH(ROWS($V$2:V416),$V$2:$V$1001,0),MATCH(COLUMNS($AC$1006:AC1006),$AC$1006:$AS$1006,0)), HYPERLINK("#",""), HYPERLINK(CONCATENATE("#Metadata!", ADDRESS(INDEX($X$2:$X$1001,MATCH(ROWS($V$2:V416),$V$2:$V$1001,0),0), INDEX($AC$1004:$AS$1004,1,MATCH(COLUMNS($AC$1006:AC1006),$AC$1006:$AS$1006,0)))),"Fix")))</f>
        <v>0</v>
      </c>
      <c r="C416" s="5">
        <f>IF(OR(INDEX($W$2:$W$1001,MATCH(ROWS($V$2:V416),$V$2:$V$1001,0),1)&gt;=100000,INDEX($AC$1005:$AS$1005,1,MATCH(COLUMNS($AC$1006:AD1006),$AC$1006:$AS$1006,0))&gt;=100000), " ",IF(INDEX($AC$2:$AS$1001,MATCH(ROWS($V$2:V416),$V$2:$V$1001,0),MATCH(COLUMNS($AC$1006:AD1006),$AC$1006:$AS$1006,0)), HYPERLINK("#",""), HYPERLINK(CONCATENATE("#Metadata!", ADDRESS(INDEX($X$2:$X$1001,MATCH(ROWS($V$2:V416),$V$2:$V$1001,0),0), INDEX($AC$1004:$AS$1004,1,MATCH(COLUMNS($AC$1006:AD1006),$AC$1006:$AS$1006,0)))),"Fix")))</f>
        <v>0</v>
      </c>
      <c r="D416" s="5">
        <f>IF(OR(INDEX($W$2:$W$1001,MATCH(ROWS($V$2:V416),$V$2:$V$1001,0),1)&gt;=100000,INDEX($AC$1005:$AS$1005,1,MATCH(COLUMNS($AC$1006:AE1006),$AC$1006:$AS$1006,0))&gt;=100000), " ",IF(INDEX($AC$2:$AS$1001,MATCH(ROWS($V$2:V416),$V$2:$V$1001,0),MATCH(COLUMNS($AC$1006:AE1006),$AC$1006:$AS$1006,0)), HYPERLINK("#",""), HYPERLINK(CONCATENATE("#Metadata!", ADDRESS(INDEX($X$2:$X$1001,MATCH(ROWS($V$2:V416),$V$2:$V$1001,0),0), INDEX($AC$1004:$AS$1004,1,MATCH(COLUMNS($AC$1006:AE1006),$AC$1006:$AS$1006,0)))),"Fix")))</f>
        <v>0</v>
      </c>
      <c r="E416" s="5">
        <f>IF(OR(INDEX($W$2:$W$1001,MATCH(ROWS($V$2:V416),$V$2:$V$1001,0),1)&gt;=100000,INDEX($AC$1005:$AS$1005,1,MATCH(COLUMNS($AC$1006:AF1006),$AC$1006:$AS$1006,0))&gt;=100000), " ",IF(INDEX($AC$2:$AS$1001,MATCH(ROWS($V$2:V416),$V$2:$V$1001,0),MATCH(COLUMNS($AC$1006:AF1006),$AC$1006:$AS$1006,0)), HYPERLINK("#",""), HYPERLINK(CONCATENATE("#Metadata!", ADDRESS(INDEX($X$2:$X$1001,MATCH(ROWS($V$2:V416),$V$2:$V$1001,0),0), INDEX($AC$1004:$AS$1004,1,MATCH(COLUMNS($AC$1006:AF1006),$AC$1006:$AS$1006,0)))),"Fix")))</f>
        <v>0</v>
      </c>
      <c r="F416" s="5">
        <f>IF(OR(INDEX($W$2:$W$1001,MATCH(ROWS($V$2:V416),$V$2:$V$1001,0),1)&gt;=100000,INDEX($AC$1005:$AS$1005,1,MATCH(COLUMNS($AC$1006:AG1006),$AC$1006:$AS$1006,0))&gt;=100000), " ",IF(INDEX($AC$2:$AS$1001,MATCH(ROWS($V$2:V416),$V$2:$V$1001,0),MATCH(COLUMNS($AC$1006:AG1006),$AC$1006:$AS$1006,0)), HYPERLINK("#",""), HYPERLINK(CONCATENATE("#Metadata!", ADDRESS(INDEX($X$2:$X$1001,MATCH(ROWS($V$2:V416),$V$2:$V$1001,0),0), INDEX($AC$1004:$AS$1004,1,MATCH(COLUMNS($AC$1006:AG1006),$AC$1006:$AS$1006,0)))),"Fix")))</f>
        <v>0</v>
      </c>
      <c r="G416" s="5">
        <f>IF(OR(INDEX($W$2:$W$1001,MATCH(ROWS($V$2:V416),$V$2:$V$1001,0),1)&gt;=100000,INDEX($AC$1005:$AS$1005,1,MATCH(COLUMNS($AC$1006:AH1006),$AC$1006:$AS$1006,0))&gt;=100000), " ",IF(INDEX($AC$2:$AS$1001,MATCH(ROWS($V$2:V416),$V$2:$V$1001,0),MATCH(COLUMNS($AC$1006:AH1006),$AC$1006:$AS$1006,0)), HYPERLINK("#",""), HYPERLINK(CONCATENATE("#Metadata!", ADDRESS(INDEX($X$2:$X$1001,MATCH(ROWS($V$2:V416),$V$2:$V$1001,0),0), INDEX($AC$1004:$AS$1004,1,MATCH(COLUMNS($AC$1006:AH1006),$AC$1006:$AS$1006,0)))),"Fix")))</f>
        <v>0</v>
      </c>
      <c r="H416" s="5">
        <f>IF(OR(INDEX($W$2:$W$1001,MATCH(ROWS($V$2:V416),$V$2:$V$1001,0),1)&gt;=100000,INDEX($AC$1005:$AS$1005,1,MATCH(COLUMNS($AC$1006:AI1006),$AC$1006:$AS$1006,0))&gt;=100000), " ",IF(INDEX($AC$2:$AS$1001,MATCH(ROWS($V$2:V416),$V$2:$V$1001,0),MATCH(COLUMNS($AC$1006:AI1006),$AC$1006:$AS$1006,0)), HYPERLINK("#",""), HYPERLINK(CONCATENATE("#Metadata!", ADDRESS(INDEX($X$2:$X$1001,MATCH(ROWS($V$2:V416),$V$2:$V$1001,0),0), INDEX($AC$1004:$AS$1004,1,MATCH(COLUMNS($AC$1006:AI1006),$AC$1006:$AS$1006,0)))),"Fix")))</f>
        <v>0</v>
      </c>
      <c r="I416" s="5">
        <f>IF(OR(INDEX($W$2:$W$1001,MATCH(ROWS($V$2:V416),$V$2:$V$1001,0),1)&gt;=100000,INDEX($AC$1005:$AS$1005,1,MATCH(COLUMNS($AC$1006:AJ1006),$AC$1006:$AS$1006,0))&gt;=100000), " ",IF(INDEX($AC$2:$AS$1001,MATCH(ROWS($V$2:V416),$V$2:$V$1001,0),MATCH(COLUMNS($AC$1006:AJ1006),$AC$1006:$AS$1006,0)), HYPERLINK("#",""), HYPERLINK(CONCATENATE("#Metadata!", ADDRESS(INDEX($X$2:$X$1001,MATCH(ROWS($V$2:V416),$V$2:$V$1001,0),0), INDEX($AC$1004:$AS$1004,1,MATCH(COLUMNS($AC$1006:AJ1006),$AC$1006:$AS$1006,0)))),"Fix")))</f>
        <v>0</v>
      </c>
      <c r="J416" s="5">
        <f>IF(OR(INDEX($W$2:$W$1001,MATCH(ROWS($V$2:V416),$V$2:$V$1001,0),1)&gt;=100000,INDEX($AC$1005:$AS$1005,1,MATCH(COLUMNS($AC$1006:AK1006),$AC$1006:$AS$1006,0))&gt;=100000), " ",IF(INDEX($AC$2:$AS$1001,MATCH(ROWS($V$2:V416),$V$2:$V$1001,0),MATCH(COLUMNS($AC$1006:AK1006),$AC$1006:$AS$1006,0)), HYPERLINK("#",""), HYPERLINK(CONCATENATE("#Metadata!", ADDRESS(INDEX($X$2:$X$1001,MATCH(ROWS($V$2:V416),$V$2:$V$1001,0),0), INDEX($AC$1004:$AS$1004,1,MATCH(COLUMNS($AC$1006:AK1006),$AC$1006:$AS$1006,0)))),"Fix")))</f>
        <v>0</v>
      </c>
      <c r="K416" s="5">
        <f>IF(OR(INDEX($W$2:$W$1001,MATCH(ROWS($V$2:V416),$V$2:$V$1001,0),1)&gt;=100000,INDEX($AC$1005:$AS$1005,1,MATCH(COLUMNS($AC$1006:AL1006),$AC$1006:$AS$1006,0))&gt;=100000), " ",IF(INDEX($AC$2:$AS$1001,MATCH(ROWS($V$2:V416),$V$2:$V$1001,0),MATCH(COLUMNS($AC$1006:AL1006),$AC$1006:$AS$1006,0)), HYPERLINK("#",""), HYPERLINK(CONCATENATE("#Metadata!", ADDRESS(INDEX($X$2:$X$1001,MATCH(ROWS($V$2:V416),$V$2:$V$1001,0),0), INDEX($AC$1004:$AS$1004,1,MATCH(COLUMNS($AC$1006:AL1006),$AC$1006:$AS$1006,0)))),"Fix")))</f>
        <v>0</v>
      </c>
      <c r="L416" s="5">
        <f>IF(OR(INDEX($W$2:$W$1001,MATCH(ROWS($V$2:V416),$V$2:$V$1001,0),1)&gt;=100000,INDEX($AC$1005:$AS$1005,1,MATCH(COLUMNS($AC$1006:AM1006),$AC$1006:$AS$1006,0))&gt;=100000), " ",IF(INDEX($AC$2:$AS$1001,MATCH(ROWS($V$2:V416),$V$2:$V$1001,0),MATCH(COLUMNS($AC$1006:AM1006),$AC$1006:$AS$1006,0)), HYPERLINK("#",""), HYPERLINK(CONCATENATE("#Metadata!", ADDRESS(INDEX($X$2:$X$1001,MATCH(ROWS($V$2:V416),$V$2:$V$1001,0),0), INDEX($AC$1004:$AS$1004,1,MATCH(COLUMNS($AC$1006:AM1006),$AC$1006:$AS$1006,0)))),"Fix")))</f>
        <v>0</v>
      </c>
      <c r="M416" s="5">
        <f>IF(OR(INDEX($W$2:$W$1001,MATCH(ROWS($V$2:V416),$V$2:$V$1001,0),1)&gt;=100000,INDEX($AC$1005:$AS$1005,1,MATCH(COLUMNS($AC$1006:AN1006),$AC$1006:$AS$1006,0))&gt;=100000), " ",IF(INDEX($AC$2:$AS$1001,MATCH(ROWS($V$2:V416),$V$2:$V$1001,0),MATCH(COLUMNS($AC$1006:AN1006),$AC$1006:$AS$1006,0)), HYPERLINK("#",""), HYPERLINK(CONCATENATE("#Metadata!", ADDRESS(INDEX($X$2:$X$1001,MATCH(ROWS($V$2:V416),$V$2:$V$1001,0),0), INDEX($AC$1004:$AS$1004,1,MATCH(COLUMNS($AC$1006:AN1006),$AC$1006:$AS$1006,0)))),"Fix")))</f>
        <v>0</v>
      </c>
      <c r="N416" s="5">
        <f>IF(OR(INDEX($W$2:$W$1001,MATCH(ROWS($V$2:V416),$V$2:$V$1001,0),1)&gt;=100000,INDEX($AC$1005:$AS$1005,1,MATCH(COLUMNS($AC$1006:AO1006),$AC$1006:$AS$1006,0))&gt;=100000), " ",IF(INDEX($AC$2:$AS$1001,MATCH(ROWS($V$2:V416),$V$2:$V$1001,0),MATCH(COLUMNS($AC$1006:AO1006),$AC$1006:$AS$1006,0)), HYPERLINK("#",""), HYPERLINK(CONCATENATE("#Metadata!", ADDRESS(INDEX($X$2:$X$1001,MATCH(ROWS($V$2:V416),$V$2:$V$1001,0),0), INDEX($AC$1004:$AS$1004,1,MATCH(COLUMNS($AC$1006:AO1006),$AC$1006:$AS$1006,0)))),"Fix")))</f>
        <v>0</v>
      </c>
      <c r="O416" s="5">
        <f>IF(OR(INDEX($W$2:$W$1001,MATCH(ROWS($V$2:V416),$V$2:$V$1001,0),1)&gt;=100000,INDEX($AC$1005:$AS$1005,1,MATCH(COLUMNS($AC$1006:AP1006),$AC$1006:$AS$1006,0))&gt;=100000), " ",IF(INDEX($AC$2:$AS$1001,MATCH(ROWS($V$2:V416),$V$2:$V$1001,0),MATCH(COLUMNS($AC$1006:AP1006),$AC$1006:$AS$1006,0)), HYPERLINK("#",""), HYPERLINK(CONCATENATE("#Metadata!", ADDRESS(INDEX($X$2:$X$1001,MATCH(ROWS($V$2:V416),$V$2:$V$1001,0),0), INDEX($AC$1004:$AS$1004,1,MATCH(COLUMNS($AC$1006:AP1006),$AC$1006:$AS$1006,0)))),"Fix")))</f>
        <v>0</v>
      </c>
      <c r="P416" s="5">
        <f>IF(OR(INDEX($W$2:$W$1001,MATCH(ROWS($V$2:V416),$V$2:$V$1001,0),1)&gt;=100000,INDEX($AC$1005:$AS$1005,1,MATCH(COLUMNS($AC$1006:AQ1006),$AC$1006:$AS$1006,0))&gt;=100000), " ",IF(INDEX($AC$2:$AS$1001,MATCH(ROWS($V$2:V416),$V$2:$V$1001,0),MATCH(COLUMNS($AC$1006:AQ1006),$AC$1006:$AS$1006,0)), HYPERLINK("#",""), HYPERLINK(CONCATENATE("#Metadata!", ADDRESS(INDEX($X$2:$X$1001,MATCH(ROWS($V$2:V416),$V$2:$V$1001,0),0), INDEX($AC$1004:$AS$1004,1,MATCH(COLUMNS($AC$1006:AQ1006),$AC$1006:$AS$1006,0)))),"Fix")))</f>
        <v>0</v>
      </c>
      <c r="Q416" s="5">
        <f>IF(OR(INDEX($W$2:$W$1001,MATCH(ROWS($V$2:V416),$V$2:$V$1001,0),1)&gt;=100000,INDEX($AC$1005:$AS$1005,1,MATCH(COLUMNS($AC$1006:AR1006),$AC$1006:$AS$1006,0))&gt;=100000), " ",IF(INDEX($AC$2:$AS$1001,MATCH(ROWS($V$2:V416),$V$2:$V$1001,0),MATCH(COLUMNS($AC$1006:AR1006),$AC$1006:$AS$1006,0)), HYPERLINK("#",""), HYPERLINK(CONCATENATE("#Metadata!", ADDRESS(INDEX($X$2:$X$1001,MATCH(ROWS($V$2:V416),$V$2:$V$1001,0),0), INDEX($AC$1004:$AS$1004,1,MATCH(COLUMNS($AC$1006:AR1006),$AC$1006:$AS$1006,0)))),"Fix")))</f>
        <v>0</v>
      </c>
      <c r="R416" s="5">
        <f>IF(OR(INDEX($W$2:$W$1001,MATCH(ROWS($V$2:V416),$V$2:$V$1001,0),1)&gt;=100000,INDEX($AC$1005:$AS$1005,1,MATCH(COLUMNS($AC$1006:AS1006),$AC$1006:$AS$1006,0))&gt;=100000), " ",IF(INDEX($AC$2:$AS$1001,MATCH(ROWS($V$2:V416),$V$2:$V$1001,0),MATCH(COLUMNS($AC$1006:AS1006),$AC$1006:$AS$1006,0)), HYPERLINK("#",""), HYPERLINK(CONCATENATE("#Metadata!", ADDRESS(INDEX($X$2:$X$1001,MATCH(ROWS($V$2:V416),$V$2:$V$1001,0),0), INDEX($AC$1004:$AS$1004,1,MATCH(COLUMNS($AC$1006:AS1006),$AC$1006:$AS$1006,0)))),"Fix")))</f>
        <v>0</v>
      </c>
      <c r="V416">
        <v>0</v>
      </c>
      <c r="W416">
        <v>0</v>
      </c>
      <c r="X416">
        <v>0</v>
      </c>
      <c r="Y416">
        <f>IF(Z416,TRUE,AND(AC416:AS416))</f>
        <v>0</v>
      </c>
      <c r="Z416">
        <f>COUNTBLANK(Metadata!B416:R416)=COLUMNS(Metadata!B416:R416)</f>
        <v>0</v>
      </c>
      <c r="AA416">
        <v>0</v>
      </c>
      <c r="AC416">
        <f>AND(IF(Metadata!B416="",FALSE,TRUE),COUNTIF(Metadata!B:B, Metadata!B416) = 1,NOT(ISERROR(SUMPRODUCT(SEARCH(MID(Metadata!B416,ROW(INDIRECT("1:"&amp;LEN(Metadata!B416))), 1),"0123456789abcdefghijklmnopqrstuvwxyzABCDEFGHIJKLMNOPQRSTUVWXYZ.")))))</f>
        <v>0</v>
      </c>
      <c r="AD416">
        <f>AND(IF(Metadata!C416="",FALSE,TRUE),exact(Metadata!C416,"Host-associated"))</f>
        <v>0</v>
      </c>
      <c r="AE416">
        <f>AND(IF(Metadata!D416="",FALSE,TRUE),OR(exact(Metadata!D416,"Animal"),exact(Metadata!D416,"Fungus"),exact(Metadata!D416,"Plant")))</f>
        <v>0</v>
      </c>
      <c r="AF416">
        <f>AND(IF(Metadata!E416="",FALSE,TRUE),OR(exact(Metadata!E416,"Plant secretion"),exact(Metadata!E416,"Plant rhizosphere"),exact(Metadata!E416,"Plant surface"),exact(Metadata!E416,"Plant corpus"),exact(Metadata!E416,"Fungus surface"),exact(Metadata!E416,"Fungus corpus"),exact(Metadata!E416,"Animal surface"),exact(Metadata!E416,"Animal proximal gut"),exact(Metadata!E416,"Animal corpus"),exact(Metadata!E416,"Animal distal gut"),exact(Metadata!E416,"Animal secretion")))</f>
        <v>0</v>
      </c>
      <c r="AG416">
        <f>OR(AND(IF(Metadata!F416="",FALSE,TRUE),OR(exact(Metadata!F416,"not collected"),exact(Metadata!F416,"not provided"),exact(Metadata!F416,"restricted access"))),AND(IF(Metadata!F416="",FALSE,TRUE),OR(exact(Metadata!F416,"organism-associated habitat"),exact(Metadata!F416,"plant-associated habitat"),exact(Metadata!F416,"animal-associated habitat"),exact(Metadata!F416,"insecta-associated habitat"),exact(Metadata!F416,"mammalia-associated habitat"),exact(Metadata!F416,"human-associated habitat"),exact(Metadata!F416,"livestock-associated habitat"))))</f>
        <v>0</v>
      </c>
      <c r="AH416">
        <f>AND(IF(Metadata!G416="",FALSE,TRUE),exact(Metadata!G416,"host-associated"))</f>
        <v>0</v>
      </c>
      <c r="AI416">
        <f>OR(AND(IF(Metadata!H416="",FALSE,TRUE),OR(exact(Metadata!H416,"not collected"),exact(Metadata!H416,"not provided"))),AND(IF(Metadata!H416="",FALSE,ISNUMBER(VALUE(Metadata!H416))),Metadata!H416&gt;0))</f>
        <v>0</v>
      </c>
      <c r="AJ416">
        <f>AND(IF(Metadata!I416="",FALSE,TRUE),exact(Metadata!I416,"years"))</f>
        <v>0</v>
      </c>
      <c r="AK416">
        <f>IF(Metadata!J416="",FALSE,TRUE)</f>
        <v>0</v>
      </c>
      <c r="AL416">
        <f>OR(AND(IF(Metadata!K416="",FALSE,TRUE),OR(exact(Metadata!K416,"not collected"),exact(Metadata!K416,"not provided"))),AND(IF(Metadata!K416="",FALSE,ISNUMBER(VALUE(Metadata!K416))),Metadata!K416&gt;0))</f>
        <v>0</v>
      </c>
      <c r="AM416">
        <f>AND(IF(Metadata!L416="",FALSE,TRUE),exact(Metadata!L416,"cm"))</f>
        <v>0</v>
      </c>
      <c r="AN416">
        <f>IF(Metadata!M416="",FALSE,TRUE)</f>
        <v>0</v>
      </c>
      <c r="AO416">
        <f>OR(AND(IF(Metadata!N416="",FALSE,TRUE),OR(exact(Metadata!N416,"not applicable"),exact(Metadata!N416,"not collected"),exact(Metadata!N416,"not provided"))),AND(IF(Metadata!N416="",FALSE,IF(ISERROR(INT(Metadata!N416)),FALSE,INT(Metadata!N416)=Metadata!N416)),Metadata!N416&gt;0))</f>
        <v>0</v>
      </c>
      <c r="AP416">
        <f>OR(AND(IF(Metadata!O416="",FALSE,TRUE),OR(exact(Metadata!O416,"not collected"),exact(Metadata!O416,"not provided"))),AND(IF(Metadata!O416="",FALSE,ISNUMBER(VALUE(Metadata!O416))),Metadata!O416&gt;0))</f>
        <v>0</v>
      </c>
      <c r="AQ416">
        <f>AND(IF(Metadata!P416="",FALSE,TRUE),exact(Metadata!P416,"kg"))</f>
        <v>0</v>
      </c>
      <c r="AR416">
        <f>OR(AND(IF(Metadata!Q416="",FALSE,TRUE),OR(exact(Metadata!Q416,"not applicable"),exact(Metadata!Q416,"not collected"),exact(Metadata!Q416,"not provided"),exact(Metadata!Q416,"restricted access"))),IF(Metadata!Q416="",FALSE,IF(ISERROR(INT(Metadata!Q416)),FALSE,INT(Metadata!Q416)=Metadata!Q416)))</f>
        <v>0</v>
      </c>
      <c r="AS416">
        <f>AND(IF(Metadata!R416="",FALSE,TRUE),exact(Metadata!R416,"Not applicable"))</f>
        <v>0</v>
      </c>
    </row>
    <row r="417" spans="1:45">
      <c r="A417" s="4">
        <f>IF(B417=" "," ",HYPERLINK(CONCATENATE("#metadata!",ADDRESS(INDEX($X$2:$X$1001,MATCH(ROWS($V$2:V417),$V$2:$V$1001,0),0),2)),INDEX($AA$2:$AA$1001,MATCH(ROWS($V$2:V417),$V$2:$V$1001,0),0)))</f>
        <v>0</v>
      </c>
      <c r="B417" s="5">
        <f>IF(OR(INDEX($W$2:$W$1001,MATCH(ROWS($V$2:V417),$V$2:$V$1001,0),1)&gt;=100000,INDEX($AC$1005:$AS$1005,1,MATCH(COLUMNS($AC$1006:AC1006),$AC$1006:$AS$1006,0))&gt;=100000), " ",IF(INDEX($AC$2:$AS$1001,MATCH(ROWS($V$2:V417),$V$2:$V$1001,0),MATCH(COLUMNS($AC$1006:AC1006),$AC$1006:$AS$1006,0)), HYPERLINK("#",""), HYPERLINK(CONCATENATE("#Metadata!", ADDRESS(INDEX($X$2:$X$1001,MATCH(ROWS($V$2:V417),$V$2:$V$1001,0),0), INDEX($AC$1004:$AS$1004,1,MATCH(COLUMNS($AC$1006:AC1006),$AC$1006:$AS$1006,0)))),"Fix")))</f>
        <v>0</v>
      </c>
      <c r="C417" s="5">
        <f>IF(OR(INDEX($W$2:$W$1001,MATCH(ROWS($V$2:V417),$V$2:$V$1001,0),1)&gt;=100000,INDEX($AC$1005:$AS$1005,1,MATCH(COLUMNS($AC$1006:AD1006),$AC$1006:$AS$1006,0))&gt;=100000), " ",IF(INDEX($AC$2:$AS$1001,MATCH(ROWS($V$2:V417),$V$2:$V$1001,0),MATCH(COLUMNS($AC$1006:AD1006),$AC$1006:$AS$1006,0)), HYPERLINK("#",""), HYPERLINK(CONCATENATE("#Metadata!", ADDRESS(INDEX($X$2:$X$1001,MATCH(ROWS($V$2:V417),$V$2:$V$1001,0),0), INDEX($AC$1004:$AS$1004,1,MATCH(COLUMNS($AC$1006:AD1006),$AC$1006:$AS$1006,0)))),"Fix")))</f>
        <v>0</v>
      </c>
      <c r="D417" s="5">
        <f>IF(OR(INDEX($W$2:$W$1001,MATCH(ROWS($V$2:V417),$V$2:$V$1001,0),1)&gt;=100000,INDEX($AC$1005:$AS$1005,1,MATCH(COLUMNS($AC$1006:AE1006),$AC$1006:$AS$1006,0))&gt;=100000), " ",IF(INDEX($AC$2:$AS$1001,MATCH(ROWS($V$2:V417),$V$2:$V$1001,0),MATCH(COLUMNS($AC$1006:AE1006),$AC$1006:$AS$1006,0)), HYPERLINK("#",""), HYPERLINK(CONCATENATE("#Metadata!", ADDRESS(INDEX($X$2:$X$1001,MATCH(ROWS($V$2:V417),$V$2:$V$1001,0),0), INDEX($AC$1004:$AS$1004,1,MATCH(COLUMNS($AC$1006:AE1006),$AC$1006:$AS$1006,0)))),"Fix")))</f>
        <v>0</v>
      </c>
      <c r="E417" s="5">
        <f>IF(OR(INDEX($W$2:$W$1001,MATCH(ROWS($V$2:V417),$V$2:$V$1001,0),1)&gt;=100000,INDEX($AC$1005:$AS$1005,1,MATCH(COLUMNS($AC$1006:AF1006),$AC$1006:$AS$1006,0))&gt;=100000), " ",IF(INDEX($AC$2:$AS$1001,MATCH(ROWS($V$2:V417),$V$2:$V$1001,0),MATCH(COLUMNS($AC$1006:AF1006),$AC$1006:$AS$1006,0)), HYPERLINK("#",""), HYPERLINK(CONCATENATE("#Metadata!", ADDRESS(INDEX($X$2:$X$1001,MATCH(ROWS($V$2:V417),$V$2:$V$1001,0),0), INDEX($AC$1004:$AS$1004,1,MATCH(COLUMNS($AC$1006:AF1006),$AC$1006:$AS$1006,0)))),"Fix")))</f>
        <v>0</v>
      </c>
      <c r="F417" s="5">
        <f>IF(OR(INDEX($W$2:$W$1001,MATCH(ROWS($V$2:V417),$V$2:$V$1001,0),1)&gt;=100000,INDEX($AC$1005:$AS$1005,1,MATCH(COLUMNS($AC$1006:AG1006),$AC$1006:$AS$1006,0))&gt;=100000), " ",IF(INDEX($AC$2:$AS$1001,MATCH(ROWS($V$2:V417),$V$2:$V$1001,0),MATCH(COLUMNS($AC$1006:AG1006),$AC$1006:$AS$1006,0)), HYPERLINK("#",""), HYPERLINK(CONCATENATE("#Metadata!", ADDRESS(INDEX($X$2:$X$1001,MATCH(ROWS($V$2:V417),$V$2:$V$1001,0),0), INDEX($AC$1004:$AS$1004,1,MATCH(COLUMNS($AC$1006:AG1006),$AC$1006:$AS$1006,0)))),"Fix")))</f>
        <v>0</v>
      </c>
      <c r="G417" s="5">
        <f>IF(OR(INDEX($W$2:$W$1001,MATCH(ROWS($V$2:V417),$V$2:$V$1001,0),1)&gt;=100000,INDEX($AC$1005:$AS$1005,1,MATCH(COLUMNS($AC$1006:AH1006),$AC$1006:$AS$1006,0))&gt;=100000), " ",IF(INDEX($AC$2:$AS$1001,MATCH(ROWS($V$2:V417),$V$2:$V$1001,0),MATCH(COLUMNS($AC$1006:AH1006),$AC$1006:$AS$1006,0)), HYPERLINK("#",""), HYPERLINK(CONCATENATE("#Metadata!", ADDRESS(INDEX($X$2:$X$1001,MATCH(ROWS($V$2:V417),$V$2:$V$1001,0),0), INDEX($AC$1004:$AS$1004,1,MATCH(COLUMNS($AC$1006:AH1006),$AC$1006:$AS$1006,0)))),"Fix")))</f>
        <v>0</v>
      </c>
      <c r="H417" s="5">
        <f>IF(OR(INDEX($W$2:$W$1001,MATCH(ROWS($V$2:V417),$V$2:$V$1001,0),1)&gt;=100000,INDEX($AC$1005:$AS$1005,1,MATCH(COLUMNS($AC$1006:AI1006),$AC$1006:$AS$1006,0))&gt;=100000), " ",IF(INDEX($AC$2:$AS$1001,MATCH(ROWS($V$2:V417),$V$2:$V$1001,0),MATCH(COLUMNS($AC$1006:AI1006),$AC$1006:$AS$1006,0)), HYPERLINK("#",""), HYPERLINK(CONCATENATE("#Metadata!", ADDRESS(INDEX($X$2:$X$1001,MATCH(ROWS($V$2:V417),$V$2:$V$1001,0),0), INDEX($AC$1004:$AS$1004,1,MATCH(COLUMNS($AC$1006:AI1006),$AC$1006:$AS$1006,0)))),"Fix")))</f>
        <v>0</v>
      </c>
      <c r="I417" s="5">
        <f>IF(OR(INDEX($W$2:$W$1001,MATCH(ROWS($V$2:V417),$V$2:$V$1001,0),1)&gt;=100000,INDEX($AC$1005:$AS$1005,1,MATCH(COLUMNS($AC$1006:AJ1006),$AC$1006:$AS$1006,0))&gt;=100000), " ",IF(INDEX($AC$2:$AS$1001,MATCH(ROWS($V$2:V417),$V$2:$V$1001,0),MATCH(COLUMNS($AC$1006:AJ1006),$AC$1006:$AS$1006,0)), HYPERLINK("#",""), HYPERLINK(CONCATENATE("#Metadata!", ADDRESS(INDEX($X$2:$X$1001,MATCH(ROWS($V$2:V417),$V$2:$V$1001,0),0), INDEX($AC$1004:$AS$1004,1,MATCH(COLUMNS($AC$1006:AJ1006),$AC$1006:$AS$1006,0)))),"Fix")))</f>
        <v>0</v>
      </c>
      <c r="J417" s="5">
        <f>IF(OR(INDEX($W$2:$W$1001,MATCH(ROWS($V$2:V417),$V$2:$V$1001,0),1)&gt;=100000,INDEX($AC$1005:$AS$1005,1,MATCH(COLUMNS($AC$1006:AK1006),$AC$1006:$AS$1006,0))&gt;=100000), " ",IF(INDEX($AC$2:$AS$1001,MATCH(ROWS($V$2:V417),$V$2:$V$1001,0),MATCH(COLUMNS($AC$1006:AK1006),$AC$1006:$AS$1006,0)), HYPERLINK("#",""), HYPERLINK(CONCATENATE("#Metadata!", ADDRESS(INDEX($X$2:$X$1001,MATCH(ROWS($V$2:V417),$V$2:$V$1001,0),0), INDEX($AC$1004:$AS$1004,1,MATCH(COLUMNS($AC$1006:AK1006),$AC$1006:$AS$1006,0)))),"Fix")))</f>
        <v>0</v>
      </c>
      <c r="K417" s="5">
        <f>IF(OR(INDEX($W$2:$W$1001,MATCH(ROWS($V$2:V417),$V$2:$V$1001,0),1)&gt;=100000,INDEX($AC$1005:$AS$1005,1,MATCH(COLUMNS($AC$1006:AL1006),$AC$1006:$AS$1006,0))&gt;=100000), " ",IF(INDEX($AC$2:$AS$1001,MATCH(ROWS($V$2:V417),$V$2:$V$1001,0),MATCH(COLUMNS($AC$1006:AL1006),$AC$1006:$AS$1006,0)), HYPERLINK("#",""), HYPERLINK(CONCATENATE("#Metadata!", ADDRESS(INDEX($X$2:$X$1001,MATCH(ROWS($V$2:V417),$V$2:$V$1001,0),0), INDEX($AC$1004:$AS$1004,1,MATCH(COLUMNS($AC$1006:AL1006),$AC$1006:$AS$1006,0)))),"Fix")))</f>
        <v>0</v>
      </c>
      <c r="L417" s="5">
        <f>IF(OR(INDEX($W$2:$W$1001,MATCH(ROWS($V$2:V417),$V$2:$V$1001,0),1)&gt;=100000,INDEX($AC$1005:$AS$1005,1,MATCH(COLUMNS($AC$1006:AM1006),$AC$1006:$AS$1006,0))&gt;=100000), " ",IF(INDEX($AC$2:$AS$1001,MATCH(ROWS($V$2:V417),$V$2:$V$1001,0),MATCH(COLUMNS($AC$1006:AM1006),$AC$1006:$AS$1006,0)), HYPERLINK("#",""), HYPERLINK(CONCATENATE("#Metadata!", ADDRESS(INDEX($X$2:$X$1001,MATCH(ROWS($V$2:V417),$V$2:$V$1001,0),0), INDEX($AC$1004:$AS$1004,1,MATCH(COLUMNS($AC$1006:AM1006),$AC$1006:$AS$1006,0)))),"Fix")))</f>
        <v>0</v>
      </c>
      <c r="M417" s="5">
        <f>IF(OR(INDEX($W$2:$W$1001,MATCH(ROWS($V$2:V417),$V$2:$V$1001,0),1)&gt;=100000,INDEX($AC$1005:$AS$1005,1,MATCH(COLUMNS($AC$1006:AN1006),$AC$1006:$AS$1006,0))&gt;=100000), " ",IF(INDEX($AC$2:$AS$1001,MATCH(ROWS($V$2:V417),$V$2:$V$1001,0),MATCH(COLUMNS($AC$1006:AN1006),$AC$1006:$AS$1006,0)), HYPERLINK("#",""), HYPERLINK(CONCATENATE("#Metadata!", ADDRESS(INDEX($X$2:$X$1001,MATCH(ROWS($V$2:V417),$V$2:$V$1001,0),0), INDEX($AC$1004:$AS$1004,1,MATCH(COLUMNS($AC$1006:AN1006),$AC$1006:$AS$1006,0)))),"Fix")))</f>
        <v>0</v>
      </c>
      <c r="N417" s="5">
        <f>IF(OR(INDEX($W$2:$W$1001,MATCH(ROWS($V$2:V417),$V$2:$V$1001,0),1)&gt;=100000,INDEX($AC$1005:$AS$1005,1,MATCH(COLUMNS($AC$1006:AO1006),$AC$1006:$AS$1006,0))&gt;=100000), " ",IF(INDEX($AC$2:$AS$1001,MATCH(ROWS($V$2:V417),$V$2:$V$1001,0),MATCH(COLUMNS($AC$1006:AO1006),$AC$1006:$AS$1006,0)), HYPERLINK("#",""), HYPERLINK(CONCATENATE("#Metadata!", ADDRESS(INDEX($X$2:$X$1001,MATCH(ROWS($V$2:V417),$V$2:$V$1001,0),0), INDEX($AC$1004:$AS$1004,1,MATCH(COLUMNS($AC$1006:AO1006),$AC$1006:$AS$1006,0)))),"Fix")))</f>
        <v>0</v>
      </c>
      <c r="O417" s="5">
        <f>IF(OR(INDEX($W$2:$W$1001,MATCH(ROWS($V$2:V417),$V$2:$V$1001,0),1)&gt;=100000,INDEX($AC$1005:$AS$1005,1,MATCH(COLUMNS($AC$1006:AP1006),$AC$1006:$AS$1006,0))&gt;=100000), " ",IF(INDEX($AC$2:$AS$1001,MATCH(ROWS($V$2:V417),$V$2:$V$1001,0),MATCH(COLUMNS($AC$1006:AP1006),$AC$1006:$AS$1006,0)), HYPERLINK("#",""), HYPERLINK(CONCATENATE("#Metadata!", ADDRESS(INDEX($X$2:$X$1001,MATCH(ROWS($V$2:V417),$V$2:$V$1001,0),0), INDEX($AC$1004:$AS$1004,1,MATCH(COLUMNS($AC$1006:AP1006),$AC$1006:$AS$1006,0)))),"Fix")))</f>
        <v>0</v>
      </c>
      <c r="P417" s="5">
        <f>IF(OR(INDEX($W$2:$W$1001,MATCH(ROWS($V$2:V417),$V$2:$V$1001,0),1)&gt;=100000,INDEX($AC$1005:$AS$1005,1,MATCH(COLUMNS($AC$1006:AQ1006),$AC$1006:$AS$1006,0))&gt;=100000), " ",IF(INDEX($AC$2:$AS$1001,MATCH(ROWS($V$2:V417),$V$2:$V$1001,0),MATCH(COLUMNS($AC$1006:AQ1006),$AC$1006:$AS$1006,0)), HYPERLINK("#",""), HYPERLINK(CONCATENATE("#Metadata!", ADDRESS(INDEX($X$2:$X$1001,MATCH(ROWS($V$2:V417),$V$2:$V$1001,0),0), INDEX($AC$1004:$AS$1004,1,MATCH(COLUMNS($AC$1006:AQ1006),$AC$1006:$AS$1006,0)))),"Fix")))</f>
        <v>0</v>
      </c>
      <c r="Q417" s="5">
        <f>IF(OR(INDEX($W$2:$W$1001,MATCH(ROWS($V$2:V417),$V$2:$V$1001,0),1)&gt;=100000,INDEX($AC$1005:$AS$1005,1,MATCH(COLUMNS($AC$1006:AR1006),$AC$1006:$AS$1006,0))&gt;=100000), " ",IF(INDEX($AC$2:$AS$1001,MATCH(ROWS($V$2:V417),$V$2:$V$1001,0),MATCH(COLUMNS($AC$1006:AR1006),$AC$1006:$AS$1006,0)), HYPERLINK("#",""), HYPERLINK(CONCATENATE("#Metadata!", ADDRESS(INDEX($X$2:$X$1001,MATCH(ROWS($V$2:V417),$V$2:$V$1001,0),0), INDEX($AC$1004:$AS$1004,1,MATCH(COLUMNS($AC$1006:AR1006),$AC$1006:$AS$1006,0)))),"Fix")))</f>
        <v>0</v>
      </c>
      <c r="R417" s="5">
        <f>IF(OR(INDEX($W$2:$W$1001,MATCH(ROWS($V$2:V417),$V$2:$V$1001,0),1)&gt;=100000,INDEX($AC$1005:$AS$1005,1,MATCH(COLUMNS($AC$1006:AS1006),$AC$1006:$AS$1006,0))&gt;=100000), " ",IF(INDEX($AC$2:$AS$1001,MATCH(ROWS($V$2:V417),$V$2:$V$1001,0),MATCH(COLUMNS($AC$1006:AS1006),$AC$1006:$AS$1006,0)), HYPERLINK("#",""), HYPERLINK(CONCATENATE("#Metadata!", ADDRESS(INDEX($X$2:$X$1001,MATCH(ROWS($V$2:V417),$V$2:$V$1001,0),0), INDEX($AC$1004:$AS$1004,1,MATCH(COLUMNS($AC$1006:AS1006),$AC$1006:$AS$1006,0)))),"Fix")))</f>
        <v>0</v>
      </c>
      <c r="V417">
        <v>0</v>
      </c>
      <c r="W417">
        <v>0</v>
      </c>
      <c r="X417">
        <v>0</v>
      </c>
      <c r="Y417">
        <f>IF(Z417,TRUE,AND(AC417:AS417))</f>
        <v>0</v>
      </c>
      <c r="Z417">
        <f>COUNTBLANK(Metadata!B417:R417)=COLUMNS(Metadata!B417:R417)</f>
        <v>0</v>
      </c>
      <c r="AA417">
        <v>0</v>
      </c>
      <c r="AC417">
        <f>AND(IF(Metadata!B417="",FALSE,TRUE),COUNTIF(Metadata!B:B, Metadata!B417) = 1,NOT(ISERROR(SUMPRODUCT(SEARCH(MID(Metadata!B417,ROW(INDIRECT("1:"&amp;LEN(Metadata!B417))), 1),"0123456789abcdefghijklmnopqrstuvwxyzABCDEFGHIJKLMNOPQRSTUVWXYZ.")))))</f>
        <v>0</v>
      </c>
      <c r="AD417">
        <f>AND(IF(Metadata!C417="",FALSE,TRUE),exact(Metadata!C417,"Host-associated"))</f>
        <v>0</v>
      </c>
      <c r="AE417">
        <f>AND(IF(Metadata!D417="",FALSE,TRUE),OR(exact(Metadata!D417,"Animal"),exact(Metadata!D417,"Fungus"),exact(Metadata!D417,"Plant")))</f>
        <v>0</v>
      </c>
      <c r="AF417">
        <f>AND(IF(Metadata!E417="",FALSE,TRUE),OR(exact(Metadata!E417,"Plant secretion"),exact(Metadata!E417,"Plant rhizosphere"),exact(Metadata!E417,"Plant surface"),exact(Metadata!E417,"Plant corpus"),exact(Metadata!E417,"Fungus surface"),exact(Metadata!E417,"Fungus corpus"),exact(Metadata!E417,"Animal surface"),exact(Metadata!E417,"Animal proximal gut"),exact(Metadata!E417,"Animal corpus"),exact(Metadata!E417,"Animal distal gut"),exact(Metadata!E417,"Animal secretion")))</f>
        <v>0</v>
      </c>
      <c r="AG417">
        <f>OR(AND(IF(Metadata!F417="",FALSE,TRUE),OR(exact(Metadata!F417,"not collected"),exact(Metadata!F417,"not provided"),exact(Metadata!F417,"restricted access"))),AND(IF(Metadata!F417="",FALSE,TRUE),OR(exact(Metadata!F417,"organism-associated habitat"),exact(Metadata!F417,"plant-associated habitat"),exact(Metadata!F417,"animal-associated habitat"),exact(Metadata!F417,"insecta-associated habitat"),exact(Metadata!F417,"mammalia-associated habitat"),exact(Metadata!F417,"human-associated habitat"),exact(Metadata!F417,"livestock-associated habitat"))))</f>
        <v>0</v>
      </c>
      <c r="AH417">
        <f>AND(IF(Metadata!G417="",FALSE,TRUE),exact(Metadata!G417,"host-associated"))</f>
        <v>0</v>
      </c>
      <c r="AI417">
        <f>OR(AND(IF(Metadata!H417="",FALSE,TRUE),OR(exact(Metadata!H417,"not collected"),exact(Metadata!H417,"not provided"))),AND(IF(Metadata!H417="",FALSE,ISNUMBER(VALUE(Metadata!H417))),Metadata!H417&gt;0))</f>
        <v>0</v>
      </c>
      <c r="AJ417">
        <f>AND(IF(Metadata!I417="",FALSE,TRUE),exact(Metadata!I417,"years"))</f>
        <v>0</v>
      </c>
      <c r="AK417">
        <f>IF(Metadata!J417="",FALSE,TRUE)</f>
        <v>0</v>
      </c>
      <c r="AL417">
        <f>OR(AND(IF(Metadata!K417="",FALSE,TRUE),OR(exact(Metadata!K417,"not collected"),exact(Metadata!K417,"not provided"))),AND(IF(Metadata!K417="",FALSE,ISNUMBER(VALUE(Metadata!K417))),Metadata!K417&gt;0))</f>
        <v>0</v>
      </c>
      <c r="AM417">
        <f>AND(IF(Metadata!L417="",FALSE,TRUE),exact(Metadata!L417,"cm"))</f>
        <v>0</v>
      </c>
      <c r="AN417">
        <f>IF(Metadata!M417="",FALSE,TRUE)</f>
        <v>0</v>
      </c>
      <c r="AO417">
        <f>OR(AND(IF(Metadata!N417="",FALSE,TRUE),OR(exact(Metadata!N417,"not applicable"),exact(Metadata!N417,"not collected"),exact(Metadata!N417,"not provided"))),AND(IF(Metadata!N417="",FALSE,IF(ISERROR(INT(Metadata!N417)),FALSE,INT(Metadata!N417)=Metadata!N417)),Metadata!N417&gt;0))</f>
        <v>0</v>
      </c>
      <c r="AP417">
        <f>OR(AND(IF(Metadata!O417="",FALSE,TRUE),OR(exact(Metadata!O417,"not collected"),exact(Metadata!O417,"not provided"))),AND(IF(Metadata!O417="",FALSE,ISNUMBER(VALUE(Metadata!O417))),Metadata!O417&gt;0))</f>
        <v>0</v>
      </c>
      <c r="AQ417">
        <f>AND(IF(Metadata!P417="",FALSE,TRUE),exact(Metadata!P417,"kg"))</f>
        <v>0</v>
      </c>
      <c r="AR417">
        <f>OR(AND(IF(Metadata!Q417="",FALSE,TRUE),OR(exact(Metadata!Q417,"not applicable"),exact(Metadata!Q417,"not collected"),exact(Metadata!Q417,"not provided"),exact(Metadata!Q417,"restricted access"))),IF(Metadata!Q417="",FALSE,IF(ISERROR(INT(Metadata!Q417)),FALSE,INT(Metadata!Q417)=Metadata!Q417)))</f>
        <v>0</v>
      </c>
      <c r="AS417">
        <f>AND(IF(Metadata!R417="",FALSE,TRUE),exact(Metadata!R417,"Not applicable"))</f>
        <v>0</v>
      </c>
    </row>
    <row r="418" spans="1:45">
      <c r="A418" s="4">
        <f>IF(B418=" "," ",HYPERLINK(CONCATENATE("#metadata!",ADDRESS(INDEX($X$2:$X$1001,MATCH(ROWS($V$2:V418),$V$2:$V$1001,0),0),2)),INDEX($AA$2:$AA$1001,MATCH(ROWS($V$2:V418),$V$2:$V$1001,0),0)))</f>
        <v>0</v>
      </c>
      <c r="B418" s="5">
        <f>IF(OR(INDEX($W$2:$W$1001,MATCH(ROWS($V$2:V418),$V$2:$V$1001,0),1)&gt;=100000,INDEX($AC$1005:$AS$1005,1,MATCH(COLUMNS($AC$1006:AC1006),$AC$1006:$AS$1006,0))&gt;=100000), " ",IF(INDEX($AC$2:$AS$1001,MATCH(ROWS($V$2:V418),$V$2:$V$1001,0),MATCH(COLUMNS($AC$1006:AC1006),$AC$1006:$AS$1006,0)), HYPERLINK("#",""), HYPERLINK(CONCATENATE("#Metadata!", ADDRESS(INDEX($X$2:$X$1001,MATCH(ROWS($V$2:V418),$V$2:$V$1001,0),0), INDEX($AC$1004:$AS$1004,1,MATCH(COLUMNS($AC$1006:AC1006),$AC$1006:$AS$1006,0)))),"Fix")))</f>
        <v>0</v>
      </c>
      <c r="C418" s="5">
        <f>IF(OR(INDEX($W$2:$W$1001,MATCH(ROWS($V$2:V418),$V$2:$V$1001,0),1)&gt;=100000,INDEX($AC$1005:$AS$1005,1,MATCH(COLUMNS($AC$1006:AD1006),$AC$1006:$AS$1006,0))&gt;=100000), " ",IF(INDEX($AC$2:$AS$1001,MATCH(ROWS($V$2:V418),$V$2:$V$1001,0),MATCH(COLUMNS($AC$1006:AD1006),$AC$1006:$AS$1006,0)), HYPERLINK("#",""), HYPERLINK(CONCATENATE("#Metadata!", ADDRESS(INDEX($X$2:$X$1001,MATCH(ROWS($V$2:V418),$V$2:$V$1001,0),0), INDEX($AC$1004:$AS$1004,1,MATCH(COLUMNS($AC$1006:AD1006),$AC$1006:$AS$1006,0)))),"Fix")))</f>
        <v>0</v>
      </c>
      <c r="D418" s="5">
        <f>IF(OR(INDEX($W$2:$W$1001,MATCH(ROWS($V$2:V418),$V$2:$V$1001,0),1)&gt;=100000,INDEX($AC$1005:$AS$1005,1,MATCH(COLUMNS($AC$1006:AE1006),$AC$1006:$AS$1006,0))&gt;=100000), " ",IF(INDEX($AC$2:$AS$1001,MATCH(ROWS($V$2:V418),$V$2:$V$1001,0),MATCH(COLUMNS($AC$1006:AE1006),$AC$1006:$AS$1006,0)), HYPERLINK("#",""), HYPERLINK(CONCATENATE("#Metadata!", ADDRESS(INDEX($X$2:$X$1001,MATCH(ROWS($V$2:V418),$V$2:$V$1001,0),0), INDEX($AC$1004:$AS$1004,1,MATCH(COLUMNS($AC$1006:AE1006),$AC$1006:$AS$1006,0)))),"Fix")))</f>
        <v>0</v>
      </c>
      <c r="E418" s="5">
        <f>IF(OR(INDEX($W$2:$W$1001,MATCH(ROWS($V$2:V418),$V$2:$V$1001,0),1)&gt;=100000,INDEX($AC$1005:$AS$1005,1,MATCH(COLUMNS($AC$1006:AF1006),$AC$1006:$AS$1006,0))&gt;=100000), " ",IF(INDEX($AC$2:$AS$1001,MATCH(ROWS($V$2:V418),$V$2:$V$1001,0),MATCH(COLUMNS($AC$1006:AF1006),$AC$1006:$AS$1006,0)), HYPERLINK("#",""), HYPERLINK(CONCATENATE("#Metadata!", ADDRESS(INDEX($X$2:$X$1001,MATCH(ROWS($V$2:V418),$V$2:$V$1001,0),0), INDEX($AC$1004:$AS$1004,1,MATCH(COLUMNS($AC$1006:AF1006),$AC$1006:$AS$1006,0)))),"Fix")))</f>
        <v>0</v>
      </c>
      <c r="F418" s="5">
        <f>IF(OR(INDEX($W$2:$W$1001,MATCH(ROWS($V$2:V418),$V$2:$V$1001,0),1)&gt;=100000,INDEX($AC$1005:$AS$1005,1,MATCH(COLUMNS($AC$1006:AG1006),$AC$1006:$AS$1006,0))&gt;=100000), " ",IF(INDEX($AC$2:$AS$1001,MATCH(ROWS($V$2:V418),$V$2:$V$1001,0),MATCH(COLUMNS($AC$1006:AG1006),$AC$1006:$AS$1006,0)), HYPERLINK("#",""), HYPERLINK(CONCATENATE("#Metadata!", ADDRESS(INDEX($X$2:$X$1001,MATCH(ROWS($V$2:V418),$V$2:$V$1001,0),0), INDEX($AC$1004:$AS$1004,1,MATCH(COLUMNS($AC$1006:AG1006),$AC$1006:$AS$1006,0)))),"Fix")))</f>
        <v>0</v>
      </c>
      <c r="G418" s="5">
        <f>IF(OR(INDEX($W$2:$W$1001,MATCH(ROWS($V$2:V418),$V$2:$V$1001,0),1)&gt;=100000,INDEX($AC$1005:$AS$1005,1,MATCH(COLUMNS($AC$1006:AH1006),$AC$1006:$AS$1006,0))&gt;=100000), " ",IF(INDEX($AC$2:$AS$1001,MATCH(ROWS($V$2:V418),$V$2:$V$1001,0),MATCH(COLUMNS($AC$1006:AH1006),$AC$1006:$AS$1006,0)), HYPERLINK("#",""), HYPERLINK(CONCATENATE("#Metadata!", ADDRESS(INDEX($X$2:$X$1001,MATCH(ROWS($V$2:V418),$V$2:$V$1001,0),0), INDEX($AC$1004:$AS$1004,1,MATCH(COLUMNS($AC$1006:AH1006),$AC$1006:$AS$1006,0)))),"Fix")))</f>
        <v>0</v>
      </c>
      <c r="H418" s="5">
        <f>IF(OR(INDEX($W$2:$W$1001,MATCH(ROWS($V$2:V418),$V$2:$V$1001,0),1)&gt;=100000,INDEX($AC$1005:$AS$1005,1,MATCH(COLUMNS($AC$1006:AI1006),$AC$1006:$AS$1006,0))&gt;=100000), " ",IF(INDEX($AC$2:$AS$1001,MATCH(ROWS($V$2:V418),$V$2:$V$1001,0),MATCH(COLUMNS($AC$1006:AI1006),$AC$1006:$AS$1006,0)), HYPERLINK("#",""), HYPERLINK(CONCATENATE("#Metadata!", ADDRESS(INDEX($X$2:$X$1001,MATCH(ROWS($V$2:V418),$V$2:$V$1001,0),0), INDEX($AC$1004:$AS$1004,1,MATCH(COLUMNS($AC$1006:AI1006),$AC$1006:$AS$1006,0)))),"Fix")))</f>
        <v>0</v>
      </c>
      <c r="I418" s="5">
        <f>IF(OR(INDEX($W$2:$W$1001,MATCH(ROWS($V$2:V418),$V$2:$V$1001,0),1)&gt;=100000,INDEX($AC$1005:$AS$1005,1,MATCH(COLUMNS($AC$1006:AJ1006),$AC$1006:$AS$1006,0))&gt;=100000), " ",IF(INDEX($AC$2:$AS$1001,MATCH(ROWS($V$2:V418),$V$2:$V$1001,0),MATCH(COLUMNS($AC$1006:AJ1006),$AC$1006:$AS$1006,0)), HYPERLINK("#",""), HYPERLINK(CONCATENATE("#Metadata!", ADDRESS(INDEX($X$2:$X$1001,MATCH(ROWS($V$2:V418),$V$2:$V$1001,0),0), INDEX($AC$1004:$AS$1004,1,MATCH(COLUMNS($AC$1006:AJ1006),$AC$1006:$AS$1006,0)))),"Fix")))</f>
        <v>0</v>
      </c>
      <c r="J418" s="5">
        <f>IF(OR(INDEX($W$2:$W$1001,MATCH(ROWS($V$2:V418),$V$2:$V$1001,0),1)&gt;=100000,INDEX($AC$1005:$AS$1005,1,MATCH(COLUMNS($AC$1006:AK1006),$AC$1006:$AS$1006,0))&gt;=100000), " ",IF(INDEX($AC$2:$AS$1001,MATCH(ROWS($V$2:V418),$V$2:$V$1001,0),MATCH(COLUMNS($AC$1006:AK1006),$AC$1006:$AS$1006,0)), HYPERLINK("#",""), HYPERLINK(CONCATENATE("#Metadata!", ADDRESS(INDEX($X$2:$X$1001,MATCH(ROWS($V$2:V418),$V$2:$V$1001,0),0), INDEX($AC$1004:$AS$1004,1,MATCH(COLUMNS($AC$1006:AK1006),$AC$1006:$AS$1006,0)))),"Fix")))</f>
        <v>0</v>
      </c>
      <c r="K418" s="5">
        <f>IF(OR(INDEX($W$2:$W$1001,MATCH(ROWS($V$2:V418),$V$2:$V$1001,0),1)&gt;=100000,INDEX($AC$1005:$AS$1005,1,MATCH(COLUMNS($AC$1006:AL1006),$AC$1006:$AS$1006,0))&gt;=100000), " ",IF(INDEX($AC$2:$AS$1001,MATCH(ROWS($V$2:V418),$V$2:$V$1001,0),MATCH(COLUMNS($AC$1006:AL1006),$AC$1006:$AS$1006,0)), HYPERLINK("#",""), HYPERLINK(CONCATENATE("#Metadata!", ADDRESS(INDEX($X$2:$X$1001,MATCH(ROWS($V$2:V418),$V$2:$V$1001,0),0), INDEX($AC$1004:$AS$1004,1,MATCH(COLUMNS($AC$1006:AL1006),$AC$1006:$AS$1006,0)))),"Fix")))</f>
        <v>0</v>
      </c>
      <c r="L418" s="5">
        <f>IF(OR(INDEX($W$2:$W$1001,MATCH(ROWS($V$2:V418),$V$2:$V$1001,0),1)&gt;=100000,INDEX($AC$1005:$AS$1005,1,MATCH(COLUMNS($AC$1006:AM1006),$AC$1006:$AS$1006,0))&gt;=100000), " ",IF(INDEX($AC$2:$AS$1001,MATCH(ROWS($V$2:V418),$V$2:$V$1001,0),MATCH(COLUMNS($AC$1006:AM1006),$AC$1006:$AS$1006,0)), HYPERLINK("#",""), HYPERLINK(CONCATENATE("#Metadata!", ADDRESS(INDEX($X$2:$X$1001,MATCH(ROWS($V$2:V418),$V$2:$V$1001,0),0), INDEX($AC$1004:$AS$1004,1,MATCH(COLUMNS($AC$1006:AM1006),$AC$1006:$AS$1006,0)))),"Fix")))</f>
        <v>0</v>
      </c>
      <c r="M418" s="5">
        <f>IF(OR(INDEX($W$2:$W$1001,MATCH(ROWS($V$2:V418),$V$2:$V$1001,0),1)&gt;=100000,INDEX($AC$1005:$AS$1005,1,MATCH(COLUMNS($AC$1006:AN1006),$AC$1006:$AS$1006,0))&gt;=100000), " ",IF(INDEX($AC$2:$AS$1001,MATCH(ROWS($V$2:V418),$V$2:$V$1001,0),MATCH(COLUMNS($AC$1006:AN1006),$AC$1006:$AS$1006,0)), HYPERLINK("#",""), HYPERLINK(CONCATENATE("#Metadata!", ADDRESS(INDEX($X$2:$X$1001,MATCH(ROWS($V$2:V418),$V$2:$V$1001,0),0), INDEX($AC$1004:$AS$1004,1,MATCH(COLUMNS($AC$1006:AN1006),$AC$1006:$AS$1006,0)))),"Fix")))</f>
        <v>0</v>
      </c>
      <c r="N418" s="5">
        <f>IF(OR(INDEX($W$2:$W$1001,MATCH(ROWS($V$2:V418),$V$2:$V$1001,0),1)&gt;=100000,INDEX($AC$1005:$AS$1005,1,MATCH(COLUMNS($AC$1006:AO1006),$AC$1006:$AS$1006,0))&gt;=100000), " ",IF(INDEX($AC$2:$AS$1001,MATCH(ROWS($V$2:V418),$V$2:$V$1001,0),MATCH(COLUMNS($AC$1006:AO1006),$AC$1006:$AS$1006,0)), HYPERLINK("#",""), HYPERLINK(CONCATENATE("#Metadata!", ADDRESS(INDEX($X$2:$X$1001,MATCH(ROWS($V$2:V418),$V$2:$V$1001,0),0), INDEX($AC$1004:$AS$1004,1,MATCH(COLUMNS($AC$1006:AO1006),$AC$1006:$AS$1006,0)))),"Fix")))</f>
        <v>0</v>
      </c>
      <c r="O418" s="5">
        <f>IF(OR(INDEX($W$2:$W$1001,MATCH(ROWS($V$2:V418),$V$2:$V$1001,0),1)&gt;=100000,INDEX($AC$1005:$AS$1005,1,MATCH(COLUMNS($AC$1006:AP1006),$AC$1006:$AS$1006,0))&gt;=100000), " ",IF(INDEX($AC$2:$AS$1001,MATCH(ROWS($V$2:V418),$V$2:$V$1001,0),MATCH(COLUMNS($AC$1006:AP1006),$AC$1006:$AS$1006,0)), HYPERLINK("#",""), HYPERLINK(CONCATENATE("#Metadata!", ADDRESS(INDEX($X$2:$X$1001,MATCH(ROWS($V$2:V418),$V$2:$V$1001,0),0), INDEX($AC$1004:$AS$1004,1,MATCH(COLUMNS($AC$1006:AP1006),$AC$1006:$AS$1006,0)))),"Fix")))</f>
        <v>0</v>
      </c>
      <c r="P418" s="5">
        <f>IF(OR(INDEX($W$2:$W$1001,MATCH(ROWS($V$2:V418),$V$2:$V$1001,0),1)&gt;=100000,INDEX($AC$1005:$AS$1005,1,MATCH(COLUMNS($AC$1006:AQ1006),$AC$1006:$AS$1006,0))&gt;=100000), " ",IF(INDEX($AC$2:$AS$1001,MATCH(ROWS($V$2:V418),$V$2:$V$1001,0),MATCH(COLUMNS($AC$1006:AQ1006),$AC$1006:$AS$1006,0)), HYPERLINK("#",""), HYPERLINK(CONCATENATE("#Metadata!", ADDRESS(INDEX($X$2:$X$1001,MATCH(ROWS($V$2:V418),$V$2:$V$1001,0),0), INDEX($AC$1004:$AS$1004,1,MATCH(COLUMNS($AC$1006:AQ1006),$AC$1006:$AS$1006,0)))),"Fix")))</f>
        <v>0</v>
      </c>
      <c r="Q418" s="5">
        <f>IF(OR(INDEX($W$2:$W$1001,MATCH(ROWS($V$2:V418),$V$2:$V$1001,0),1)&gt;=100000,INDEX($AC$1005:$AS$1005,1,MATCH(COLUMNS($AC$1006:AR1006),$AC$1006:$AS$1006,0))&gt;=100000), " ",IF(INDEX($AC$2:$AS$1001,MATCH(ROWS($V$2:V418),$V$2:$V$1001,0),MATCH(COLUMNS($AC$1006:AR1006),$AC$1006:$AS$1006,0)), HYPERLINK("#",""), HYPERLINK(CONCATENATE("#Metadata!", ADDRESS(INDEX($X$2:$X$1001,MATCH(ROWS($V$2:V418),$V$2:$V$1001,0),0), INDEX($AC$1004:$AS$1004,1,MATCH(COLUMNS($AC$1006:AR1006),$AC$1006:$AS$1006,0)))),"Fix")))</f>
        <v>0</v>
      </c>
      <c r="R418" s="5">
        <f>IF(OR(INDEX($W$2:$W$1001,MATCH(ROWS($V$2:V418),$V$2:$V$1001,0),1)&gt;=100000,INDEX($AC$1005:$AS$1005,1,MATCH(COLUMNS($AC$1006:AS1006),$AC$1006:$AS$1006,0))&gt;=100000), " ",IF(INDEX($AC$2:$AS$1001,MATCH(ROWS($V$2:V418),$V$2:$V$1001,0),MATCH(COLUMNS($AC$1006:AS1006),$AC$1006:$AS$1006,0)), HYPERLINK("#",""), HYPERLINK(CONCATENATE("#Metadata!", ADDRESS(INDEX($X$2:$X$1001,MATCH(ROWS($V$2:V418),$V$2:$V$1001,0),0), INDEX($AC$1004:$AS$1004,1,MATCH(COLUMNS($AC$1006:AS1006),$AC$1006:$AS$1006,0)))),"Fix")))</f>
        <v>0</v>
      </c>
      <c r="V418">
        <v>0</v>
      </c>
      <c r="W418">
        <v>0</v>
      </c>
      <c r="X418">
        <v>0</v>
      </c>
      <c r="Y418">
        <f>IF(Z418,TRUE,AND(AC418:AS418))</f>
        <v>0</v>
      </c>
      <c r="Z418">
        <f>COUNTBLANK(Metadata!B418:R418)=COLUMNS(Metadata!B418:R418)</f>
        <v>0</v>
      </c>
      <c r="AA418">
        <v>0</v>
      </c>
      <c r="AC418">
        <f>AND(IF(Metadata!B418="",FALSE,TRUE),COUNTIF(Metadata!B:B, Metadata!B418) = 1,NOT(ISERROR(SUMPRODUCT(SEARCH(MID(Metadata!B418,ROW(INDIRECT("1:"&amp;LEN(Metadata!B418))), 1),"0123456789abcdefghijklmnopqrstuvwxyzABCDEFGHIJKLMNOPQRSTUVWXYZ.")))))</f>
        <v>0</v>
      </c>
      <c r="AD418">
        <f>AND(IF(Metadata!C418="",FALSE,TRUE),exact(Metadata!C418,"Host-associated"))</f>
        <v>0</v>
      </c>
      <c r="AE418">
        <f>AND(IF(Metadata!D418="",FALSE,TRUE),OR(exact(Metadata!D418,"Animal"),exact(Metadata!D418,"Fungus"),exact(Metadata!D418,"Plant")))</f>
        <v>0</v>
      </c>
      <c r="AF418">
        <f>AND(IF(Metadata!E418="",FALSE,TRUE),OR(exact(Metadata!E418,"Plant secretion"),exact(Metadata!E418,"Plant rhizosphere"),exact(Metadata!E418,"Plant surface"),exact(Metadata!E418,"Plant corpus"),exact(Metadata!E418,"Fungus surface"),exact(Metadata!E418,"Fungus corpus"),exact(Metadata!E418,"Animal surface"),exact(Metadata!E418,"Animal proximal gut"),exact(Metadata!E418,"Animal corpus"),exact(Metadata!E418,"Animal distal gut"),exact(Metadata!E418,"Animal secretion")))</f>
        <v>0</v>
      </c>
      <c r="AG418">
        <f>OR(AND(IF(Metadata!F418="",FALSE,TRUE),OR(exact(Metadata!F418,"not collected"),exact(Metadata!F418,"not provided"),exact(Metadata!F418,"restricted access"))),AND(IF(Metadata!F418="",FALSE,TRUE),OR(exact(Metadata!F418,"organism-associated habitat"),exact(Metadata!F418,"plant-associated habitat"),exact(Metadata!F418,"animal-associated habitat"),exact(Metadata!F418,"insecta-associated habitat"),exact(Metadata!F418,"mammalia-associated habitat"),exact(Metadata!F418,"human-associated habitat"),exact(Metadata!F418,"livestock-associated habitat"))))</f>
        <v>0</v>
      </c>
      <c r="AH418">
        <f>AND(IF(Metadata!G418="",FALSE,TRUE),exact(Metadata!G418,"host-associated"))</f>
        <v>0</v>
      </c>
      <c r="AI418">
        <f>OR(AND(IF(Metadata!H418="",FALSE,TRUE),OR(exact(Metadata!H418,"not collected"),exact(Metadata!H418,"not provided"))),AND(IF(Metadata!H418="",FALSE,ISNUMBER(VALUE(Metadata!H418))),Metadata!H418&gt;0))</f>
        <v>0</v>
      </c>
      <c r="AJ418">
        <f>AND(IF(Metadata!I418="",FALSE,TRUE),exact(Metadata!I418,"years"))</f>
        <v>0</v>
      </c>
      <c r="AK418">
        <f>IF(Metadata!J418="",FALSE,TRUE)</f>
        <v>0</v>
      </c>
      <c r="AL418">
        <f>OR(AND(IF(Metadata!K418="",FALSE,TRUE),OR(exact(Metadata!K418,"not collected"),exact(Metadata!K418,"not provided"))),AND(IF(Metadata!K418="",FALSE,ISNUMBER(VALUE(Metadata!K418))),Metadata!K418&gt;0))</f>
        <v>0</v>
      </c>
      <c r="AM418">
        <f>AND(IF(Metadata!L418="",FALSE,TRUE),exact(Metadata!L418,"cm"))</f>
        <v>0</v>
      </c>
      <c r="AN418">
        <f>IF(Metadata!M418="",FALSE,TRUE)</f>
        <v>0</v>
      </c>
      <c r="AO418">
        <f>OR(AND(IF(Metadata!N418="",FALSE,TRUE),OR(exact(Metadata!N418,"not applicable"),exact(Metadata!N418,"not collected"),exact(Metadata!N418,"not provided"))),AND(IF(Metadata!N418="",FALSE,IF(ISERROR(INT(Metadata!N418)),FALSE,INT(Metadata!N418)=Metadata!N418)),Metadata!N418&gt;0))</f>
        <v>0</v>
      </c>
      <c r="AP418">
        <f>OR(AND(IF(Metadata!O418="",FALSE,TRUE),OR(exact(Metadata!O418,"not collected"),exact(Metadata!O418,"not provided"))),AND(IF(Metadata!O418="",FALSE,ISNUMBER(VALUE(Metadata!O418))),Metadata!O418&gt;0))</f>
        <v>0</v>
      </c>
      <c r="AQ418">
        <f>AND(IF(Metadata!P418="",FALSE,TRUE),exact(Metadata!P418,"kg"))</f>
        <v>0</v>
      </c>
      <c r="AR418">
        <f>OR(AND(IF(Metadata!Q418="",FALSE,TRUE),OR(exact(Metadata!Q418,"not applicable"),exact(Metadata!Q418,"not collected"),exact(Metadata!Q418,"not provided"),exact(Metadata!Q418,"restricted access"))),IF(Metadata!Q418="",FALSE,IF(ISERROR(INT(Metadata!Q418)),FALSE,INT(Metadata!Q418)=Metadata!Q418)))</f>
        <v>0</v>
      </c>
      <c r="AS418">
        <f>AND(IF(Metadata!R418="",FALSE,TRUE),exact(Metadata!R418,"Not applicable"))</f>
        <v>0</v>
      </c>
    </row>
    <row r="419" spans="1:45">
      <c r="A419" s="4">
        <f>IF(B419=" "," ",HYPERLINK(CONCATENATE("#metadata!",ADDRESS(INDEX($X$2:$X$1001,MATCH(ROWS($V$2:V419),$V$2:$V$1001,0),0),2)),INDEX($AA$2:$AA$1001,MATCH(ROWS($V$2:V419),$V$2:$V$1001,0),0)))</f>
        <v>0</v>
      </c>
      <c r="B419" s="5">
        <f>IF(OR(INDEX($W$2:$W$1001,MATCH(ROWS($V$2:V419),$V$2:$V$1001,0),1)&gt;=100000,INDEX($AC$1005:$AS$1005,1,MATCH(COLUMNS($AC$1006:AC1006),$AC$1006:$AS$1006,0))&gt;=100000), " ",IF(INDEX($AC$2:$AS$1001,MATCH(ROWS($V$2:V419),$V$2:$V$1001,0),MATCH(COLUMNS($AC$1006:AC1006),$AC$1006:$AS$1006,0)), HYPERLINK("#",""), HYPERLINK(CONCATENATE("#Metadata!", ADDRESS(INDEX($X$2:$X$1001,MATCH(ROWS($V$2:V419),$V$2:$V$1001,0),0), INDEX($AC$1004:$AS$1004,1,MATCH(COLUMNS($AC$1006:AC1006),$AC$1006:$AS$1006,0)))),"Fix")))</f>
        <v>0</v>
      </c>
      <c r="C419" s="5">
        <f>IF(OR(INDEX($W$2:$W$1001,MATCH(ROWS($V$2:V419),$V$2:$V$1001,0),1)&gt;=100000,INDEX($AC$1005:$AS$1005,1,MATCH(COLUMNS($AC$1006:AD1006),$AC$1006:$AS$1006,0))&gt;=100000), " ",IF(INDEX($AC$2:$AS$1001,MATCH(ROWS($V$2:V419),$V$2:$V$1001,0),MATCH(COLUMNS($AC$1006:AD1006),$AC$1006:$AS$1006,0)), HYPERLINK("#",""), HYPERLINK(CONCATENATE("#Metadata!", ADDRESS(INDEX($X$2:$X$1001,MATCH(ROWS($V$2:V419),$V$2:$V$1001,0),0), INDEX($AC$1004:$AS$1004,1,MATCH(COLUMNS($AC$1006:AD1006),$AC$1006:$AS$1006,0)))),"Fix")))</f>
        <v>0</v>
      </c>
      <c r="D419" s="5">
        <f>IF(OR(INDEX($W$2:$W$1001,MATCH(ROWS($V$2:V419),$V$2:$V$1001,0),1)&gt;=100000,INDEX($AC$1005:$AS$1005,1,MATCH(COLUMNS($AC$1006:AE1006),$AC$1006:$AS$1006,0))&gt;=100000), " ",IF(INDEX($AC$2:$AS$1001,MATCH(ROWS($V$2:V419),$V$2:$V$1001,0),MATCH(COLUMNS($AC$1006:AE1006),$AC$1006:$AS$1006,0)), HYPERLINK("#",""), HYPERLINK(CONCATENATE("#Metadata!", ADDRESS(INDEX($X$2:$X$1001,MATCH(ROWS($V$2:V419),$V$2:$V$1001,0),0), INDEX($AC$1004:$AS$1004,1,MATCH(COLUMNS($AC$1006:AE1006),$AC$1006:$AS$1006,0)))),"Fix")))</f>
        <v>0</v>
      </c>
      <c r="E419" s="5">
        <f>IF(OR(INDEX($W$2:$W$1001,MATCH(ROWS($V$2:V419),$V$2:$V$1001,0),1)&gt;=100000,INDEX($AC$1005:$AS$1005,1,MATCH(COLUMNS($AC$1006:AF1006),$AC$1006:$AS$1006,0))&gt;=100000), " ",IF(INDEX($AC$2:$AS$1001,MATCH(ROWS($V$2:V419),$V$2:$V$1001,0),MATCH(COLUMNS($AC$1006:AF1006),$AC$1006:$AS$1006,0)), HYPERLINK("#",""), HYPERLINK(CONCATENATE("#Metadata!", ADDRESS(INDEX($X$2:$X$1001,MATCH(ROWS($V$2:V419),$V$2:$V$1001,0),0), INDEX($AC$1004:$AS$1004,1,MATCH(COLUMNS($AC$1006:AF1006),$AC$1006:$AS$1006,0)))),"Fix")))</f>
        <v>0</v>
      </c>
      <c r="F419" s="5">
        <f>IF(OR(INDEX($W$2:$W$1001,MATCH(ROWS($V$2:V419),$V$2:$V$1001,0),1)&gt;=100000,INDEX($AC$1005:$AS$1005,1,MATCH(COLUMNS($AC$1006:AG1006),$AC$1006:$AS$1006,0))&gt;=100000), " ",IF(INDEX($AC$2:$AS$1001,MATCH(ROWS($V$2:V419),$V$2:$V$1001,0),MATCH(COLUMNS($AC$1006:AG1006),$AC$1006:$AS$1006,0)), HYPERLINK("#",""), HYPERLINK(CONCATENATE("#Metadata!", ADDRESS(INDEX($X$2:$X$1001,MATCH(ROWS($V$2:V419),$V$2:$V$1001,0),0), INDEX($AC$1004:$AS$1004,1,MATCH(COLUMNS($AC$1006:AG1006),$AC$1006:$AS$1006,0)))),"Fix")))</f>
        <v>0</v>
      </c>
      <c r="G419" s="5">
        <f>IF(OR(INDEX($W$2:$W$1001,MATCH(ROWS($V$2:V419),$V$2:$V$1001,0),1)&gt;=100000,INDEX($AC$1005:$AS$1005,1,MATCH(COLUMNS($AC$1006:AH1006),$AC$1006:$AS$1006,0))&gt;=100000), " ",IF(INDEX($AC$2:$AS$1001,MATCH(ROWS($V$2:V419),$V$2:$V$1001,0),MATCH(COLUMNS($AC$1006:AH1006),$AC$1006:$AS$1006,0)), HYPERLINK("#",""), HYPERLINK(CONCATENATE("#Metadata!", ADDRESS(INDEX($X$2:$X$1001,MATCH(ROWS($V$2:V419),$V$2:$V$1001,0),0), INDEX($AC$1004:$AS$1004,1,MATCH(COLUMNS($AC$1006:AH1006),$AC$1006:$AS$1006,0)))),"Fix")))</f>
        <v>0</v>
      </c>
      <c r="H419" s="5">
        <f>IF(OR(INDEX($W$2:$W$1001,MATCH(ROWS($V$2:V419),$V$2:$V$1001,0),1)&gt;=100000,INDEX($AC$1005:$AS$1005,1,MATCH(COLUMNS($AC$1006:AI1006),$AC$1006:$AS$1006,0))&gt;=100000), " ",IF(INDEX($AC$2:$AS$1001,MATCH(ROWS($V$2:V419),$V$2:$V$1001,0),MATCH(COLUMNS($AC$1006:AI1006),$AC$1006:$AS$1006,0)), HYPERLINK("#",""), HYPERLINK(CONCATENATE("#Metadata!", ADDRESS(INDEX($X$2:$X$1001,MATCH(ROWS($V$2:V419),$V$2:$V$1001,0),0), INDEX($AC$1004:$AS$1004,1,MATCH(COLUMNS($AC$1006:AI1006),$AC$1006:$AS$1006,0)))),"Fix")))</f>
        <v>0</v>
      </c>
      <c r="I419" s="5">
        <f>IF(OR(INDEX($W$2:$W$1001,MATCH(ROWS($V$2:V419),$V$2:$V$1001,0),1)&gt;=100000,INDEX($AC$1005:$AS$1005,1,MATCH(COLUMNS($AC$1006:AJ1006),$AC$1006:$AS$1006,0))&gt;=100000), " ",IF(INDEX($AC$2:$AS$1001,MATCH(ROWS($V$2:V419),$V$2:$V$1001,0),MATCH(COLUMNS($AC$1006:AJ1006),$AC$1006:$AS$1006,0)), HYPERLINK("#",""), HYPERLINK(CONCATENATE("#Metadata!", ADDRESS(INDEX($X$2:$X$1001,MATCH(ROWS($V$2:V419),$V$2:$V$1001,0),0), INDEX($AC$1004:$AS$1004,1,MATCH(COLUMNS($AC$1006:AJ1006),$AC$1006:$AS$1006,0)))),"Fix")))</f>
        <v>0</v>
      </c>
      <c r="J419" s="5">
        <f>IF(OR(INDEX($W$2:$W$1001,MATCH(ROWS($V$2:V419),$V$2:$V$1001,0),1)&gt;=100000,INDEX($AC$1005:$AS$1005,1,MATCH(COLUMNS($AC$1006:AK1006),$AC$1006:$AS$1006,0))&gt;=100000), " ",IF(INDEX($AC$2:$AS$1001,MATCH(ROWS($V$2:V419),$V$2:$V$1001,0),MATCH(COLUMNS($AC$1006:AK1006),$AC$1006:$AS$1006,0)), HYPERLINK("#",""), HYPERLINK(CONCATENATE("#Metadata!", ADDRESS(INDEX($X$2:$X$1001,MATCH(ROWS($V$2:V419),$V$2:$V$1001,0),0), INDEX($AC$1004:$AS$1004,1,MATCH(COLUMNS($AC$1006:AK1006),$AC$1006:$AS$1006,0)))),"Fix")))</f>
        <v>0</v>
      </c>
      <c r="K419" s="5">
        <f>IF(OR(INDEX($W$2:$W$1001,MATCH(ROWS($V$2:V419),$V$2:$V$1001,0),1)&gt;=100000,INDEX($AC$1005:$AS$1005,1,MATCH(COLUMNS($AC$1006:AL1006),$AC$1006:$AS$1006,0))&gt;=100000), " ",IF(INDEX($AC$2:$AS$1001,MATCH(ROWS($V$2:V419),$V$2:$V$1001,0),MATCH(COLUMNS($AC$1006:AL1006),$AC$1006:$AS$1006,0)), HYPERLINK("#",""), HYPERLINK(CONCATENATE("#Metadata!", ADDRESS(INDEX($X$2:$X$1001,MATCH(ROWS($V$2:V419),$V$2:$V$1001,0),0), INDEX($AC$1004:$AS$1004,1,MATCH(COLUMNS($AC$1006:AL1006),$AC$1006:$AS$1006,0)))),"Fix")))</f>
        <v>0</v>
      </c>
      <c r="L419" s="5">
        <f>IF(OR(INDEX($W$2:$W$1001,MATCH(ROWS($V$2:V419),$V$2:$V$1001,0),1)&gt;=100000,INDEX($AC$1005:$AS$1005,1,MATCH(COLUMNS($AC$1006:AM1006),$AC$1006:$AS$1006,0))&gt;=100000), " ",IF(INDEX($AC$2:$AS$1001,MATCH(ROWS($V$2:V419),$V$2:$V$1001,0),MATCH(COLUMNS($AC$1006:AM1006),$AC$1006:$AS$1006,0)), HYPERLINK("#",""), HYPERLINK(CONCATENATE("#Metadata!", ADDRESS(INDEX($X$2:$X$1001,MATCH(ROWS($V$2:V419),$V$2:$V$1001,0),0), INDEX($AC$1004:$AS$1004,1,MATCH(COLUMNS($AC$1006:AM1006),$AC$1006:$AS$1006,0)))),"Fix")))</f>
        <v>0</v>
      </c>
      <c r="M419" s="5">
        <f>IF(OR(INDEX($W$2:$W$1001,MATCH(ROWS($V$2:V419),$V$2:$V$1001,0),1)&gt;=100000,INDEX($AC$1005:$AS$1005,1,MATCH(COLUMNS($AC$1006:AN1006),$AC$1006:$AS$1006,0))&gt;=100000), " ",IF(INDEX($AC$2:$AS$1001,MATCH(ROWS($V$2:V419),$V$2:$V$1001,0),MATCH(COLUMNS($AC$1006:AN1006),$AC$1006:$AS$1006,0)), HYPERLINK("#",""), HYPERLINK(CONCATENATE("#Metadata!", ADDRESS(INDEX($X$2:$X$1001,MATCH(ROWS($V$2:V419),$V$2:$V$1001,0),0), INDEX($AC$1004:$AS$1004,1,MATCH(COLUMNS($AC$1006:AN1006),$AC$1006:$AS$1006,0)))),"Fix")))</f>
        <v>0</v>
      </c>
      <c r="N419" s="5">
        <f>IF(OR(INDEX($W$2:$W$1001,MATCH(ROWS($V$2:V419),$V$2:$V$1001,0),1)&gt;=100000,INDEX($AC$1005:$AS$1005,1,MATCH(COLUMNS($AC$1006:AO1006),$AC$1006:$AS$1006,0))&gt;=100000), " ",IF(INDEX($AC$2:$AS$1001,MATCH(ROWS($V$2:V419),$V$2:$V$1001,0),MATCH(COLUMNS($AC$1006:AO1006),$AC$1006:$AS$1006,0)), HYPERLINK("#",""), HYPERLINK(CONCATENATE("#Metadata!", ADDRESS(INDEX($X$2:$X$1001,MATCH(ROWS($V$2:V419),$V$2:$V$1001,0),0), INDEX($AC$1004:$AS$1004,1,MATCH(COLUMNS($AC$1006:AO1006),$AC$1006:$AS$1006,0)))),"Fix")))</f>
        <v>0</v>
      </c>
      <c r="O419" s="5">
        <f>IF(OR(INDEX($W$2:$W$1001,MATCH(ROWS($V$2:V419),$V$2:$V$1001,0),1)&gt;=100000,INDEX($AC$1005:$AS$1005,1,MATCH(COLUMNS($AC$1006:AP1006),$AC$1006:$AS$1006,0))&gt;=100000), " ",IF(INDEX($AC$2:$AS$1001,MATCH(ROWS($V$2:V419),$V$2:$V$1001,0),MATCH(COLUMNS($AC$1006:AP1006),$AC$1006:$AS$1006,0)), HYPERLINK("#",""), HYPERLINK(CONCATENATE("#Metadata!", ADDRESS(INDEX($X$2:$X$1001,MATCH(ROWS($V$2:V419),$V$2:$V$1001,0),0), INDEX($AC$1004:$AS$1004,1,MATCH(COLUMNS($AC$1006:AP1006),$AC$1006:$AS$1006,0)))),"Fix")))</f>
        <v>0</v>
      </c>
      <c r="P419" s="5">
        <f>IF(OR(INDEX($W$2:$W$1001,MATCH(ROWS($V$2:V419),$V$2:$V$1001,0),1)&gt;=100000,INDEX($AC$1005:$AS$1005,1,MATCH(COLUMNS($AC$1006:AQ1006),$AC$1006:$AS$1006,0))&gt;=100000), " ",IF(INDEX($AC$2:$AS$1001,MATCH(ROWS($V$2:V419),$V$2:$V$1001,0),MATCH(COLUMNS($AC$1006:AQ1006),$AC$1006:$AS$1006,0)), HYPERLINK("#",""), HYPERLINK(CONCATENATE("#Metadata!", ADDRESS(INDEX($X$2:$X$1001,MATCH(ROWS($V$2:V419),$V$2:$V$1001,0),0), INDEX($AC$1004:$AS$1004,1,MATCH(COLUMNS($AC$1006:AQ1006),$AC$1006:$AS$1006,0)))),"Fix")))</f>
        <v>0</v>
      </c>
      <c r="Q419" s="5">
        <f>IF(OR(INDEX($W$2:$W$1001,MATCH(ROWS($V$2:V419),$V$2:$V$1001,0),1)&gt;=100000,INDEX($AC$1005:$AS$1005,1,MATCH(COLUMNS($AC$1006:AR1006),$AC$1006:$AS$1006,0))&gt;=100000), " ",IF(INDEX($AC$2:$AS$1001,MATCH(ROWS($V$2:V419),$V$2:$V$1001,0),MATCH(COLUMNS($AC$1006:AR1006),$AC$1006:$AS$1006,0)), HYPERLINK("#",""), HYPERLINK(CONCATENATE("#Metadata!", ADDRESS(INDEX($X$2:$X$1001,MATCH(ROWS($V$2:V419),$V$2:$V$1001,0),0), INDEX($AC$1004:$AS$1004,1,MATCH(COLUMNS($AC$1006:AR1006),$AC$1006:$AS$1006,0)))),"Fix")))</f>
        <v>0</v>
      </c>
      <c r="R419" s="5">
        <f>IF(OR(INDEX($W$2:$W$1001,MATCH(ROWS($V$2:V419),$V$2:$V$1001,0),1)&gt;=100000,INDEX($AC$1005:$AS$1005,1,MATCH(COLUMNS($AC$1006:AS1006),$AC$1006:$AS$1006,0))&gt;=100000), " ",IF(INDEX($AC$2:$AS$1001,MATCH(ROWS($V$2:V419),$V$2:$V$1001,0),MATCH(COLUMNS($AC$1006:AS1006),$AC$1006:$AS$1006,0)), HYPERLINK("#",""), HYPERLINK(CONCATENATE("#Metadata!", ADDRESS(INDEX($X$2:$X$1001,MATCH(ROWS($V$2:V419),$V$2:$V$1001,0),0), INDEX($AC$1004:$AS$1004,1,MATCH(COLUMNS($AC$1006:AS1006),$AC$1006:$AS$1006,0)))),"Fix")))</f>
        <v>0</v>
      </c>
      <c r="V419">
        <v>0</v>
      </c>
      <c r="W419">
        <v>0</v>
      </c>
      <c r="X419">
        <v>0</v>
      </c>
      <c r="Y419">
        <f>IF(Z419,TRUE,AND(AC419:AS419))</f>
        <v>0</v>
      </c>
      <c r="Z419">
        <f>COUNTBLANK(Metadata!B419:R419)=COLUMNS(Metadata!B419:R419)</f>
        <v>0</v>
      </c>
      <c r="AA419">
        <v>0</v>
      </c>
      <c r="AC419">
        <f>AND(IF(Metadata!B419="",FALSE,TRUE),COUNTIF(Metadata!B:B, Metadata!B419) = 1,NOT(ISERROR(SUMPRODUCT(SEARCH(MID(Metadata!B419,ROW(INDIRECT("1:"&amp;LEN(Metadata!B419))), 1),"0123456789abcdefghijklmnopqrstuvwxyzABCDEFGHIJKLMNOPQRSTUVWXYZ.")))))</f>
        <v>0</v>
      </c>
      <c r="AD419">
        <f>AND(IF(Metadata!C419="",FALSE,TRUE),exact(Metadata!C419,"Host-associated"))</f>
        <v>0</v>
      </c>
      <c r="AE419">
        <f>AND(IF(Metadata!D419="",FALSE,TRUE),OR(exact(Metadata!D419,"Animal"),exact(Metadata!D419,"Fungus"),exact(Metadata!D419,"Plant")))</f>
        <v>0</v>
      </c>
      <c r="AF419">
        <f>AND(IF(Metadata!E419="",FALSE,TRUE),OR(exact(Metadata!E419,"Plant secretion"),exact(Metadata!E419,"Plant rhizosphere"),exact(Metadata!E419,"Plant surface"),exact(Metadata!E419,"Plant corpus"),exact(Metadata!E419,"Fungus surface"),exact(Metadata!E419,"Fungus corpus"),exact(Metadata!E419,"Animal surface"),exact(Metadata!E419,"Animal proximal gut"),exact(Metadata!E419,"Animal corpus"),exact(Metadata!E419,"Animal distal gut"),exact(Metadata!E419,"Animal secretion")))</f>
        <v>0</v>
      </c>
      <c r="AG419">
        <f>OR(AND(IF(Metadata!F419="",FALSE,TRUE),OR(exact(Metadata!F419,"not collected"),exact(Metadata!F419,"not provided"),exact(Metadata!F419,"restricted access"))),AND(IF(Metadata!F419="",FALSE,TRUE),OR(exact(Metadata!F419,"organism-associated habitat"),exact(Metadata!F419,"plant-associated habitat"),exact(Metadata!F419,"animal-associated habitat"),exact(Metadata!F419,"insecta-associated habitat"),exact(Metadata!F419,"mammalia-associated habitat"),exact(Metadata!F419,"human-associated habitat"),exact(Metadata!F419,"livestock-associated habitat"))))</f>
        <v>0</v>
      </c>
      <c r="AH419">
        <f>AND(IF(Metadata!G419="",FALSE,TRUE),exact(Metadata!G419,"host-associated"))</f>
        <v>0</v>
      </c>
      <c r="AI419">
        <f>OR(AND(IF(Metadata!H419="",FALSE,TRUE),OR(exact(Metadata!H419,"not collected"),exact(Metadata!H419,"not provided"))),AND(IF(Metadata!H419="",FALSE,ISNUMBER(VALUE(Metadata!H419))),Metadata!H419&gt;0))</f>
        <v>0</v>
      </c>
      <c r="AJ419">
        <f>AND(IF(Metadata!I419="",FALSE,TRUE),exact(Metadata!I419,"years"))</f>
        <v>0</v>
      </c>
      <c r="AK419">
        <f>IF(Metadata!J419="",FALSE,TRUE)</f>
        <v>0</v>
      </c>
      <c r="AL419">
        <f>OR(AND(IF(Metadata!K419="",FALSE,TRUE),OR(exact(Metadata!K419,"not collected"),exact(Metadata!K419,"not provided"))),AND(IF(Metadata!K419="",FALSE,ISNUMBER(VALUE(Metadata!K419))),Metadata!K419&gt;0))</f>
        <v>0</v>
      </c>
      <c r="AM419">
        <f>AND(IF(Metadata!L419="",FALSE,TRUE),exact(Metadata!L419,"cm"))</f>
        <v>0</v>
      </c>
      <c r="AN419">
        <f>IF(Metadata!M419="",FALSE,TRUE)</f>
        <v>0</v>
      </c>
      <c r="AO419">
        <f>OR(AND(IF(Metadata!N419="",FALSE,TRUE),OR(exact(Metadata!N419,"not applicable"),exact(Metadata!N419,"not collected"),exact(Metadata!N419,"not provided"))),AND(IF(Metadata!N419="",FALSE,IF(ISERROR(INT(Metadata!N419)),FALSE,INT(Metadata!N419)=Metadata!N419)),Metadata!N419&gt;0))</f>
        <v>0</v>
      </c>
      <c r="AP419">
        <f>OR(AND(IF(Metadata!O419="",FALSE,TRUE),OR(exact(Metadata!O419,"not collected"),exact(Metadata!O419,"not provided"))),AND(IF(Metadata!O419="",FALSE,ISNUMBER(VALUE(Metadata!O419))),Metadata!O419&gt;0))</f>
        <v>0</v>
      </c>
      <c r="AQ419">
        <f>AND(IF(Metadata!P419="",FALSE,TRUE),exact(Metadata!P419,"kg"))</f>
        <v>0</v>
      </c>
      <c r="AR419">
        <f>OR(AND(IF(Metadata!Q419="",FALSE,TRUE),OR(exact(Metadata!Q419,"not applicable"),exact(Metadata!Q419,"not collected"),exact(Metadata!Q419,"not provided"),exact(Metadata!Q419,"restricted access"))),IF(Metadata!Q419="",FALSE,IF(ISERROR(INT(Metadata!Q419)),FALSE,INT(Metadata!Q419)=Metadata!Q419)))</f>
        <v>0</v>
      </c>
      <c r="AS419">
        <f>AND(IF(Metadata!R419="",FALSE,TRUE),exact(Metadata!R419,"Not applicable"))</f>
        <v>0</v>
      </c>
    </row>
    <row r="420" spans="1:45">
      <c r="A420" s="4">
        <f>IF(B420=" "," ",HYPERLINK(CONCATENATE("#metadata!",ADDRESS(INDEX($X$2:$X$1001,MATCH(ROWS($V$2:V420),$V$2:$V$1001,0),0),2)),INDEX($AA$2:$AA$1001,MATCH(ROWS($V$2:V420),$V$2:$V$1001,0),0)))</f>
        <v>0</v>
      </c>
      <c r="B420" s="5">
        <f>IF(OR(INDEX($W$2:$W$1001,MATCH(ROWS($V$2:V420),$V$2:$V$1001,0),1)&gt;=100000,INDEX($AC$1005:$AS$1005,1,MATCH(COLUMNS($AC$1006:AC1006),$AC$1006:$AS$1006,0))&gt;=100000), " ",IF(INDEX($AC$2:$AS$1001,MATCH(ROWS($V$2:V420),$V$2:$V$1001,0),MATCH(COLUMNS($AC$1006:AC1006),$AC$1006:$AS$1006,0)), HYPERLINK("#",""), HYPERLINK(CONCATENATE("#Metadata!", ADDRESS(INDEX($X$2:$X$1001,MATCH(ROWS($V$2:V420),$V$2:$V$1001,0),0), INDEX($AC$1004:$AS$1004,1,MATCH(COLUMNS($AC$1006:AC1006),$AC$1006:$AS$1006,0)))),"Fix")))</f>
        <v>0</v>
      </c>
      <c r="C420" s="5">
        <f>IF(OR(INDEX($W$2:$W$1001,MATCH(ROWS($V$2:V420),$V$2:$V$1001,0),1)&gt;=100000,INDEX($AC$1005:$AS$1005,1,MATCH(COLUMNS($AC$1006:AD1006),$AC$1006:$AS$1006,0))&gt;=100000), " ",IF(INDEX($AC$2:$AS$1001,MATCH(ROWS($V$2:V420),$V$2:$V$1001,0),MATCH(COLUMNS($AC$1006:AD1006),$AC$1006:$AS$1006,0)), HYPERLINK("#",""), HYPERLINK(CONCATENATE("#Metadata!", ADDRESS(INDEX($X$2:$X$1001,MATCH(ROWS($V$2:V420),$V$2:$V$1001,0),0), INDEX($AC$1004:$AS$1004,1,MATCH(COLUMNS($AC$1006:AD1006),$AC$1006:$AS$1006,0)))),"Fix")))</f>
        <v>0</v>
      </c>
      <c r="D420" s="5">
        <f>IF(OR(INDEX($W$2:$W$1001,MATCH(ROWS($V$2:V420),$V$2:$V$1001,0),1)&gt;=100000,INDEX($AC$1005:$AS$1005,1,MATCH(COLUMNS($AC$1006:AE1006),$AC$1006:$AS$1006,0))&gt;=100000), " ",IF(INDEX($AC$2:$AS$1001,MATCH(ROWS($V$2:V420),$V$2:$V$1001,0),MATCH(COLUMNS($AC$1006:AE1006),$AC$1006:$AS$1006,0)), HYPERLINK("#",""), HYPERLINK(CONCATENATE("#Metadata!", ADDRESS(INDEX($X$2:$X$1001,MATCH(ROWS($V$2:V420),$V$2:$V$1001,0),0), INDEX($AC$1004:$AS$1004,1,MATCH(COLUMNS($AC$1006:AE1006),$AC$1006:$AS$1006,0)))),"Fix")))</f>
        <v>0</v>
      </c>
      <c r="E420" s="5">
        <f>IF(OR(INDEX($W$2:$W$1001,MATCH(ROWS($V$2:V420),$V$2:$V$1001,0),1)&gt;=100000,INDEX($AC$1005:$AS$1005,1,MATCH(COLUMNS($AC$1006:AF1006),$AC$1006:$AS$1006,0))&gt;=100000), " ",IF(INDEX($AC$2:$AS$1001,MATCH(ROWS($V$2:V420),$V$2:$V$1001,0),MATCH(COLUMNS($AC$1006:AF1006),$AC$1006:$AS$1006,0)), HYPERLINK("#",""), HYPERLINK(CONCATENATE("#Metadata!", ADDRESS(INDEX($X$2:$X$1001,MATCH(ROWS($V$2:V420),$V$2:$V$1001,0),0), INDEX($AC$1004:$AS$1004,1,MATCH(COLUMNS($AC$1006:AF1006),$AC$1006:$AS$1006,0)))),"Fix")))</f>
        <v>0</v>
      </c>
      <c r="F420" s="5">
        <f>IF(OR(INDEX($W$2:$W$1001,MATCH(ROWS($V$2:V420),$V$2:$V$1001,0),1)&gt;=100000,INDEX($AC$1005:$AS$1005,1,MATCH(COLUMNS($AC$1006:AG1006),$AC$1006:$AS$1006,0))&gt;=100000), " ",IF(INDEX($AC$2:$AS$1001,MATCH(ROWS($V$2:V420),$V$2:$V$1001,0),MATCH(COLUMNS($AC$1006:AG1006),$AC$1006:$AS$1006,0)), HYPERLINK("#",""), HYPERLINK(CONCATENATE("#Metadata!", ADDRESS(INDEX($X$2:$X$1001,MATCH(ROWS($V$2:V420),$V$2:$V$1001,0),0), INDEX($AC$1004:$AS$1004,1,MATCH(COLUMNS($AC$1006:AG1006),$AC$1006:$AS$1006,0)))),"Fix")))</f>
        <v>0</v>
      </c>
      <c r="G420" s="5">
        <f>IF(OR(INDEX($W$2:$W$1001,MATCH(ROWS($V$2:V420),$V$2:$V$1001,0),1)&gt;=100000,INDEX($AC$1005:$AS$1005,1,MATCH(COLUMNS($AC$1006:AH1006),$AC$1006:$AS$1006,0))&gt;=100000), " ",IF(INDEX($AC$2:$AS$1001,MATCH(ROWS($V$2:V420),$V$2:$V$1001,0),MATCH(COLUMNS($AC$1006:AH1006),$AC$1006:$AS$1006,0)), HYPERLINK("#",""), HYPERLINK(CONCATENATE("#Metadata!", ADDRESS(INDEX($X$2:$X$1001,MATCH(ROWS($V$2:V420),$V$2:$V$1001,0),0), INDEX($AC$1004:$AS$1004,1,MATCH(COLUMNS($AC$1006:AH1006),$AC$1006:$AS$1006,0)))),"Fix")))</f>
        <v>0</v>
      </c>
      <c r="H420" s="5">
        <f>IF(OR(INDEX($W$2:$W$1001,MATCH(ROWS($V$2:V420),$V$2:$V$1001,0),1)&gt;=100000,INDEX($AC$1005:$AS$1005,1,MATCH(COLUMNS($AC$1006:AI1006),$AC$1006:$AS$1006,0))&gt;=100000), " ",IF(INDEX($AC$2:$AS$1001,MATCH(ROWS($V$2:V420),$V$2:$V$1001,0),MATCH(COLUMNS($AC$1006:AI1006),$AC$1006:$AS$1006,0)), HYPERLINK("#",""), HYPERLINK(CONCATENATE("#Metadata!", ADDRESS(INDEX($X$2:$X$1001,MATCH(ROWS($V$2:V420),$V$2:$V$1001,0),0), INDEX($AC$1004:$AS$1004,1,MATCH(COLUMNS($AC$1006:AI1006),$AC$1006:$AS$1006,0)))),"Fix")))</f>
        <v>0</v>
      </c>
      <c r="I420" s="5">
        <f>IF(OR(INDEX($W$2:$W$1001,MATCH(ROWS($V$2:V420),$V$2:$V$1001,0),1)&gt;=100000,INDEX($AC$1005:$AS$1005,1,MATCH(COLUMNS($AC$1006:AJ1006),$AC$1006:$AS$1006,0))&gt;=100000), " ",IF(INDEX($AC$2:$AS$1001,MATCH(ROWS($V$2:V420),$V$2:$V$1001,0),MATCH(COLUMNS($AC$1006:AJ1006),$AC$1006:$AS$1006,0)), HYPERLINK("#",""), HYPERLINK(CONCATENATE("#Metadata!", ADDRESS(INDEX($X$2:$X$1001,MATCH(ROWS($V$2:V420),$V$2:$V$1001,0),0), INDEX($AC$1004:$AS$1004,1,MATCH(COLUMNS($AC$1006:AJ1006),$AC$1006:$AS$1006,0)))),"Fix")))</f>
        <v>0</v>
      </c>
      <c r="J420" s="5">
        <f>IF(OR(INDEX($W$2:$W$1001,MATCH(ROWS($V$2:V420),$V$2:$V$1001,0),1)&gt;=100000,INDEX($AC$1005:$AS$1005,1,MATCH(COLUMNS($AC$1006:AK1006),$AC$1006:$AS$1006,0))&gt;=100000), " ",IF(INDEX($AC$2:$AS$1001,MATCH(ROWS($V$2:V420),$V$2:$V$1001,0),MATCH(COLUMNS($AC$1006:AK1006),$AC$1006:$AS$1006,0)), HYPERLINK("#",""), HYPERLINK(CONCATENATE("#Metadata!", ADDRESS(INDEX($X$2:$X$1001,MATCH(ROWS($V$2:V420),$V$2:$V$1001,0),0), INDEX($AC$1004:$AS$1004,1,MATCH(COLUMNS($AC$1006:AK1006),$AC$1006:$AS$1006,0)))),"Fix")))</f>
        <v>0</v>
      </c>
      <c r="K420" s="5">
        <f>IF(OR(INDEX($W$2:$W$1001,MATCH(ROWS($V$2:V420),$V$2:$V$1001,0),1)&gt;=100000,INDEX($AC$1005:$AS$1005,1,MATCH(COLUMNS($AC$1006:AL1006),$AC$1006:$AS$1006,0))&gt;=100000), " ",IF(INDEX($AC$2:$AS$1001,MATCH(ROWS($V$2:V420),$V$2:$V$1001,0),MATCH(COLUMNS($AC$1006:AL1006),$AC$1006:$AS$1006,0)), HYPERLINK("#",""), HYPERLINK(CONCATENATE("#Metadata!", ADDRESS(INDEX($X$2:$X$1001,MATCH(ROWS($V$2:V420),$V$2:$V$1001,0),0), INDEX($AC$1004:$AS$1004,1,MATCH(COLUMNS($AC$1006:AL1006),$AC$1006:$AS$1006,0)))),"Fix")))</f>
        <v>0</v>
      </c>
      <c r="L420" s="5">
        <f>IF(OR(INDEX($W$2:$W$1001,MATCH(ROWS($V$2:V420),$V$2:$V$1001,0),1)&gt;=100000,INDEX($AC$1005:$AS$1005,1,MATCH(COLUMNS($AC$1006:AM1006),$AC$1006:$AS$1006,0))&gt;=100000), " ",IF(INDEX($AC$2:$AS$1001,MATCH(ROWS($V$2:V420),$V$2:$V$1001,0),MATCH(COLUMNS($AC$1006:AM1006),$AC$1006:$AS$1006,0)), HYPERLINK("#",""), HYPERLINK(CONCATENATE("#Metadata!", ADDRESS(INDEX($X$2:$X$1001,MATCH(ROWS($V$2:V420),$V$2:$V$1001,0),0), INDEX($AC$1004:$AS$1004,1,MATCH(COLUMNS($AC$1006:AM1006),$AC$1006:$AS$1006,0)))),"Fix")))</f>
        <v>0</v>
      </c>
      <c r="M420" s="5">
        <f>IF(OR(INDEX($W$2:$W$1001,MATCH(ROWS($V$2:V420),$V$2:$V$1001,0),1)&gt;=100000,INDEX($AC$1005:$AS$1005,1,MATCH(COLUMNS($AC$1006:AN1006),$AC$1006:$AS$1006,0))&gt;=100000), " ",IF(INDEX($AC$2:$AS$1001,MATCH(ROWS($V$2:V420),$V$2:$V$1001,0),MATCH(COLUMNS($AC$1006:AN1006),$AC$1006:$AS$1006,0)), HYPERLINK("#",""), HYPERLINK(CONCATENATE("#Metadata!", ADDRESS(INDEX($X$2:$X$1001,MATCH(ROWS($V$2:V420),$V$2:$V$1001,0),0), INDEX($AC$1004:$AS$1004,1,MATCH(COLUMNS($AC$1006:AN1006),$AC$1006:$AS$1006,0)))),"Fix")))</f>
        <v>0</v>
      </c>
      <c r="N420" s="5">
        <f>IF(OR(INDEX($W$2:$W$1001,MATCH(ROWS($V$2:V420),$V$2:$V$1001,0),1)&gt;=100000,INDEX($AC$1005:$AS$1005,1,MATCH(COLUMNS($AC$1006:AO1006),$AC$1006:$AS$1006,0))&gt;=100000), " ",IF(INDEX($AC$2:$AS$1001,MATCH(ROWS($V$2:V420),$V$2:$V$1001,0),MATCH(COLUMNS($AC$1006:AO1006),$AC$1006:$AS$1006,0)), HYPERLINK("#",""), HYPERLINK(CONCATENATE("#Metadata!", ADDRESS(INDEX($X$2:$X$1001,MATCH(ROWS($V$2:V420),$V$2:$V$1001,0),0), INDEX($AC$1004:$AS$1004,1,MATCH(COLUMNS($AC$1006:AO1006),$AC$1006:$AS$1006,0)))),"Fix")))</f>
        <v>0</v>
      </c>
      <c r="O420" s="5">
        <f>IF(OR(INDEX($W$2:$W$1001,MATCH(ROWS($V$2:V420),$V$2:$V$1001,0),1)&gt;=100000,INDEX($AC$1005:$AS$1005,1,MATCH(COLUMNS($AC$1006:AP1006),$AC$1006:$AS$1006,0))&gt;=100000), " ",IF(INDEX($AC$2:$AS$1001,MATCH(ROWS($V$2:V420),$V$2:$V$1001,0),MATCH(COLUMNS($AC$1006:AP1006),$AC$1006:$AS$1006,0)), HYPERLINK("#",""), HYPERLINK(CONCATENATE("#Metadata!", ADDRESS(INDEX($X$2:$X$1001,MATCH(ROWS($V$2:V420),$V$2:$V$1001,0),0), INDEX($AC$1004:$AS$1004,1,MATCH(COLUMNS($AC$1006:AP1006),$AC$1006:$AS$1006,0)))),"Fix")))</f>
        <v>0</v>
      </c>
      <c r="P420" s="5">
        <f>IF(OR(INDEX($W$2:$W$1001,MATCH(ROWS($V$2:V420),$V$2:$V$1001,0),1)&gt;=100000,INDEX($AC$1005:$AS$1005,1,MATCH(COLUMNS($AC$1006:AQ1006),$AC$1006:$AS$1006,0))&gt;=100000), " ",IF(INDEX($AC$2:$AS$1001,MATCH(ROWS($V$2:V420),$V$2:$V$1001,0),MATCH(COLUMNS($AC$1006:AQ1006),$AC$1006:$AS$1006,0)), HYPERLINK("#",""), HYPERLINK(CONCATENATE("#Metadata!", ADDRESS(INDEX($X$2:$X$1001,MATCH(ROWS($V$2:V420),$V$2:$V$1001,0),0), INDEX($AC$1004:$AS$1004,1,MATCH(COLUMNS($AC$1006:AQ1006),$AC$1006:$AS$1006,0)))),"Fix")))</f>
        <v>0</v>
      </c>
      <c r="Q420" s="5">
        <f>IF(OR(INDEX($W$2:$W$1001,MATCH(ROWS($V$2:V420),$V$2:$V$1001,0),1)&gt;=100000,INDEX($AC$1005:$AS$1005,1,MATCH(COLUMNS($AC$1006:AR1006),$AC$1006:$AS$1006,0))&gt;=100000), " ",IF(INDEX($AC$2:$AS$1001,MATCH(ROWS($V$2:V420),$V$2:$V$1001,0),MATCH(COLUMNS($AC$1006:AR1006),$AC$1006:$AS$1006,0)), HYPERLINK("#",""), HYPERLINK(CONCATENATE("#Metadata!", ADDRESS(INDEX($X$2:$X$1001,MATCH(ROWS($V$2:V420),$V$2:$V$1001,0),0), INDEX($AC$1004:$AS$1004,1,MATCH(COLUMNS($AC$1006:AR1006),$AC$1006:$AS$1006,0)))),"Fix")))</f>
        <v>0</v>
      </c>
      <c r="R420" s="5">
        <f>IF(OR(INDEX($W$2:$W$1001,MATCH(ROWS($V$2:V420),$V$2:$V$1001,0),1)&gt;=100000,INDEX($AC$1005:$AS$1005,1,MATCH(COLUMNS($AC$1006:AS1006),$AC$1006:$AS$1006,0))&gt;=100000), " ",IF(INDEX($AC$2:$AS$1001,MATCH(ROWS($V$2:V420),$V$2:$V$1001,0),MATCH(COLUMNS($AC$1006:AS1006),$AC$1006:$AS$1006,0)), HYPERLINK("#",""), HYPERLINK(CONCATENATE("#Metadata!", ADDRESS(INDEX($X$2:$X$1001,MATCH(ROWS($V$2:V420),$V$2:$V$1001,0),0), INDEX($AC$1004:$AS$1004,1,MATCH(COLUMNS($AC$1006:AS1006),$AC$1006:$AS$1006,0)))),"Fix")))</f>
        <v>0</v>
      </c>
      <c r="V420">
        <v>0</v>
      </c>
      <c r="W420">
        <v>0</v>
      </c>
      <c r="X420">
        <v>0</v>
      </c>
      <c r="Y420">
        <f>IF(Z420,TRUE,AND(AC420:AS420))</f>
        <v>0</v>
      </c>
      <c r="Z420">
        <f>COUNTBLANK(Metadata!B420:R420)=COLUMNS(Metadata!B420:R420)</f>
        <v>0</v>
      </c>
      <c r="AA420">
        <v>0</v>
      </c>
      <c r="AC420">
        <f>AND(IF(Metadata!B420="",FALSE,TRUE),COUNTIF(Metadata!B:B, Metadata!B420) = 1,NOT(ISERROR(SUMPRODUCT(SEARCH(MID(Metadata!B420,ROW(INDIRECT("1:"&amp;LEN(Metadata!B420))), 1),"0123456789abcdefghijklmnopqrstuvwxyzABCDEFGHIJKLMNOPQRSTUVWXYZ.")))))</f>
        <v>0</v>
      </c>
      <c r="AD420">
        <f>AND(IF(Metadata!C420="",FALSE,TRUE),exact(Metadata!C420,"Host-associated"))</f>
        <v>0</v>
      </c>
      <c r="AE420">
        <f>AND(IF(Metadata!D420="",FALSE,TRUE),OR(exact(Metadata!D420,"Animal"),exact(Metadata!D420,"Fungus"),exact(Metadata!D420,"Plant")))</f>
        <v>0</v>
      </c>
      <c r="AF420">
        <f>AND(IF(Metadata!E420="",FALSE,TRUE),OR(exact(Metadata!E420,"Plant secretion"),exact(Metadata!E420,"Plant rhizosphere"),exact(Metadata!E420,"Plant surface"),exact(Metadata!E420,"Plant corpus"),exact(Metadata!E420,"Fungus surface"),exact(Metadata!E420,"Fungus corpus"),exact(Metadata!E420,"Animal surface"),exact(Metadata!E420,"Animal proximal gut"),exact(Metadata!E420,"Animal corpus"),exact(Metadata!E420,"Animal distal gut"),exact(Metadata!E420,"Animal secretion")))</f>
        <v>0</v>
      </c>
      <c r="AG420">
        <f>OR(AND(IF(Metadata!F420="",FALSE,TRUE),OR(exact(Metadata!F420,"not collected"),exact(Metadata!F420,"not provided"),exact(Metadata!F420,"restricted access"))),AND(IF(Metadata!F420="",FALSE,TRUE),OR(exact(Metadata!F420,"organism-associated habitat"),exact(Metadata!F420,"plant-associated habitat"),exact(Metadata!F420,"animal-associated habitat"),exact(Metadata!F420,"insecta-associated habitat"),exact(Metadata!F420,"mammalia-associated habitat"),exact(Metadata!F420,"human-associated habitat"),exact(Metadata!F420,"livestock-associated habitat"))))</f>
        <v>0</v>
      </c>
      <c r="AH420">
        <f>AND(IF(Metadata!G420="",FALSE,TRUE),exact(Metadata!G420,"host-associated"))</f>
        <v>0</v>
      </c>
      <c r="AI420">
        <f>OR(AND(IF(Metadata!H420="",FALSE,TRUE),OR(exact(Metadata!H420,"not collected"),exact(Metadata!H420,"not provided"))),AND(IF(Metadata!H420="",FALSE,ISNUMBER(VALUE(Metadata!H420))),Metadata!H420&gt;0))</f>
        <v>0</v>
      </c>
      <c r="AJ420">
        <f>AND(IF(Metadata!I420="",FALSE,TRUE),exact(Metadata!I420,"years"))</f>
        <v>0</v>
      </c>
      <c r="AK420">
        <f>IF(Metadata!J420="",FALSE,TRUE)</f>
        <v>0</v>
      </c>
      <c r="AL420">
        <f>OR(AND(IF(Metadata!K420="",FALSE,TRUE),OR(exact(Metadata!K420,"not collected"),exact(Metadata!K420,"not provided"))),AND(IF(Metadata!K420="",FALSE,ISNUMBER(VALUE(Metadata!K420))),Metadata!K420&gt;0))</f>
        <v>0</v>
      </c>
      <c r="AM420">
        <f>AND(IF(Metadata!L420="",FALSE,TRUE),exact(Metadata!L420,"cm"))</f>
        <v>0</v>
      </c>
      <c r="AN420">
        <f>IF(Metadata!M420="",FALSE,TRUE)</f>
        <v>0</v>
      </c>
      <c r="AO420">
        <f>OR(AND(IF(Metadata!N420="",FALSE,TRUE),OR(exact(Metadata!N420,"not applicable"),exact(Metadata!N420,"not collected"),exact(Metadata!N420,"not provided"))),AND(IF(Metadata!N420="",FALSE,IF(ISERROR(INT(Metadata!N420)),FALSE,INT(Metadata!N420)=Metadata!N420)),Metadata!N420&gt;0))</f>
        <v>0</v>
      </c>
      <c r="AP420">
        <f>OR(AND(IF(Metadata!O420="",FALSE,TRUE),OR(exact(Metadata!O420,"not collected"),exact(Metadata!O420,"not provided"))),AND(IF(Metadata!O420="",FALSE,ISNUMBER(VALUE(Metadata!O420))),Metadata!O420&gt;0))</f>
        <v>0</v>
      </c>
      <c r="AQ420">
        <f>AND(IF(Metadata!P420="",FALSE,TRUE),exact(Metadata!P420,"kg"))</f>
        <v>0</v>
      </c>
      <c r="AR420">
        <f>OR(AND(IF(Metadata!Q420="",FALSE,TRUE),OR(exact(Metadata!Q420,"not applicable"),exact(Metadata!Q420,"not collected"),exact(Metadata!Q420,"not provided"),exact(Metadata!Q420,"restricted access"))),IF(Metadata!Q420="",FALSE,IF(ISERROR(INT(Metadata!Q420)),FALSE,INT(Metadata!Q420)=Metadata!Q420)))</f>
        <v>0</v>
      </c>
      <c r="AS420">
        <f>AND(IF(Metadata!R420="",FALSE,TRUE),exact(Metadata!R420,"Not applicable"))</f>
        <v>0</v>
      </c>
    </row>
    <row r="421" spans="1:45">
      <c r="A421" s="4">
        <f>IF(B421=" "," ",HYPERLINK(CONCATENATE("#metadata!",ADDRESS(INDEX($X$2:$X$1001,MATCH(ROWS($V$2:V421),$V$2:$V$1001,0),0),2)),INDEX($AA$2:$AA$1001,MATCH(ROWS($V$2:V421),$V$2:$V$1001,0),0)))</f>
        <v>0</v>
      </c>
      <c r="B421" s="5">
        <f>IF(OR(INDEX($W$2:$W$1001,MATCH(ROWS($V$2:V421),$V$2:$V$1001,0),1)&gt;=100000,INDEX($AC$1005:$AS$1005,1,MATCH(COLUMNS($AC$1006:AC1006),$AC$1006:$AS$1006,0))&gt;=100000), " ",IF(INDEX($AC$2:$AS$1001,MATCH(ROWS($V$2:V421),$V$2:$V$1001,0),MATCH(COLUMNS($AC$1006:AC1006),$AC$1006:$AS$1006,0)), HYPERLINK("#",""), HYPERLINK(CONCATENATE("#Metadata!", ADDRESS(INDEX($X$2:$X$1001,MATCH(ROWS($V$2:V421),$V$2:$V$1001,0),0), INDEX($AC$1004:$AS$1004,1,MATCH(COLUMNS($AC$1006:AC1006),$AC$1006:$AS$1006,0)))),"Fix")))</f>
        <v>0</v>
      </c>
      <c r="C421" s="5">
        <f>IF(OR(INDEX($W$2:$W$1001,MATCH(ROWS($V$2:V421),$V$2:$V$1001,0),1)&gt;=100000,INDEX($AC$1005:$AS$1005,1,MATCH(COLUMNS($AC$1006:AD1006),$AC$1006:$AS$1006,0))&gt;=100000), " ",IF(INDEX($AC$2:$AS$1001,MATCH(ROWS($V$2:V421),$V$2:$V$1001,0),MATCH(COLUMNS($AC$1006:AD1006),$AC$1006:$AS$1006,0)), HYPERLINK("#",""), HYPERLINK(CONCATENATE("#Metadata!", ADDRESS(INDEX($X$2:$X$1001,MATCH(ROWS($V$2:V421),$V$2:$V$1001,0),0), INDEX($AC$1004:$AS$1004,1,MATCH(COLUMNS($AC$1006:AD1006),$AC$1006:$AS$1006,0)))),"Fix")))</f>
        <v>0</v>
      </c>
      <c r="D421" s="5">
        <f>IF(OR(INDEX($W$2:$W$1001,MATCH(ROWS($V$2:V421),$V$2:$V$1001,0),1)&gt;=100000,INDEX($AC$1005:$AS$1005,1,MATCH(COLUMNS($AC$1006:AE1006),$AC$1006:$AS$1006,0))&gt;=100000), " ",IF(INDEX($AC$2:$AS$1001,MATCH(ROWS($V$2:V421),$V$2:$V$1001,0),MATCH(COLUMNS($AC$1006:AE1006),$AC$1006:$AS$1006,0)), HYPERLINK("#",""), HYPERLINK(CONCATENATE("#Metadata!", ADDRESS(INDEX($X$2:$X$1001,MATCH(ROWS($V$2:V421),$V$2:$V$1001,0),0), INDEX($AC$1004:$AS$1004,1,MATCH(COLUMNS($AC$1006:AE1006),$AC$1006:$AS$1006,0)))),"Fix")))</f>
        <v>0</v>
      </c>
      <c r="E421" s="5">
        <f>IF(OR(INDEX($W$2:$W$1001,MATCH(ROWS($V$2:V421),$V$2:$V$1001,0),1)&gt;=100000,INDEX($AC$1005:$AS$1005,1,MATCH(COLUMNS($AC$1006:AF1006),$AC$1006:$AS$1006,0))&gt;=100000), " ",IF(INDEX($AC$2:$AS$1001,MATCH(ROWS($V$2:V421),$V$2:$V$1001,0),MATCH(COLUMNS($AC$1006:AF1006),$AC$1006:$AS$1006,0)), HYPERLINK("#",""), HYPERLINK(CONCATENATE("#Metadata!", ADDRESS(INDEX($X$2:$X$1001,MATCH(ROWS($V$2:V421),$V$2:$V$1001,0),0), INDEX($AC$1004:$AS$1004,1,MATCH(COLUMNS($AC$1006:AF1006),$AC$1006:$AS$1006,0)))),"Fix")))</f>
        <v>0</v>
      </c>
      <c r="F421" s="5">
        <f>IF(OR(INDEX($W$2:$W$1001,MATCH(ROWS($V$2:V421),$V$2:$V$1001,0),1)&gt;=100000,INDEX($AC$1005:$AS$1005,1,MATCH(COLUMNS($AC$1006:AG1006),$AC$1006:$AS$1006,0))&gt;=100000), " ",IF(INDEX($AC$2:$AS$1001,MATCH(ROWS($V$2:V421),$V$2:$V$1001,0),MATCH(COLUMNS($AC$1006:AG1006),$AC$1006:$AS$1006,0)), HYPERLINK("#",""), HYPERLINK(CONCATENATE("#Metadata!", ADDRESS(INDEX($X$2:$X$1001,MATCH(ROWS($V$2:V421),$V$2:$V$1001,0),0), INDEX($AC$1004:$AS$1004,1,MATCH(COLUMNS($AC$1006:AG1006),$AC$1006:$AS$1006,0)))),"Fix")))</f>
        <v>0</v>
      </c>
      <c r="G421" s="5">
        <f>IF(OR(INDEX($W$2:$W$1001,MATCH(ROWS($V$2:V421),$V$2:$V$1001,0),1)&gt;=100000,INDEX($AC$1005:$AS$1005,1,MATCH(COLUMNS($AC$1006:AH1006),$AC$1006:$AS$1006,0))&gt;=100000), " ",IF(INDEX($AC$2:$AS$1001,MATCH(ROWS($V$2:V421),$V$2:$V$1001,0),MATCH(COLUMNS($AC$1006:AH1006),$AC$1006:$AS$1006,0)), HYPERLINK("#",""), HYPERLINK(CONCATENATE("#Metadata!", ADDRESS(INDEX($X$2:$X$1001,MATCH(ROWS($V$2:V421),$V$2:$V$1001,0),0), INDEX($AC$1004:$AS$1004,1,MATCH(COLUMNS($AC$1006:AH1006),$AC$1006:$AS$1006,0)))),"Fix")))</f>
        <v>0</v>
      </c>
      <c r="H421" s="5">
        <f>IF(OR(INDEX($W$2:$W$1001,MATCH(ROWS($V$2:V421),$V$2:$V$1001,0),1)&gt;=100000,INDEX($AC$1005:$AS$1005,1,MATCH(COLUMNS($AC$1006:AI1006),$AC$1006:$AS$1006,0))&gt;=100000), " ",IF(INDEX($AC$2:$AS$1001,MATCH(ROWS($V$2:V421),$V$2:$V$1001,0),MATCH(COLUMNS($AC$1006:AI1006),$AC$1006:$AS$1006,0)), HYPERLINK("#",""), HYPERLINK(CONCATENATE("#Metadata!", ADDRESS(INDEX($X$2:$X$1001,MATCH(ROWS($V$2:V421),$V$2:$V$1001,0),0), INDEX($AC$1004:$AS$1004,1,MATCH(COLUMNS($AC$1006:AI1006),$AC$1006:$AS$1006,0)))),"Fix")))</f>
        <v>0</v>
      </c>
      <c r="I421" s="5">
        <f>IF(OR(INDEX($W$2:$W$1001,MATCH(ROWS($V$2:V421),$V$2:$V$1001,0),1)&gt;=100000,INDEX($AC$1005:$AS$1005,1,MATCH(COLUMNS($AC$1006:AJ1006),$AC$1006:$AS$1006,0))&gt;=100000), " ",IF(INDEX($AC$2:$AS$1001,MATCH(ROWS($V$2:V421),$V$2:$V$1001,0),MATCH(COLUMNS($AC$1006:AJ1006),$AC$1006:$AS$1006,0)), HYPERLINK("#",""), HYPERLINK(CONCATENATE("#Metadata!", ADDRESS(INDEX($X$2:$X$1001,MATCH(ROWS($V$2:V421),$V$2:$V$1001,0),0), INDEX($AC$1004:$AS$1004,1,MATCH(COLUMNS($AC$1006:AJ1006),$AC$1006:$AS$1006,0)))),"Fix")))</f>
        <v>0</v>
      </c>
      <c r="J421" s="5">
        <f>IF(OR(INDEX($W$2:$W$1001,MATCH(ROWS($V$2:V421),$V$2:$V$1001,0),1)&gt;=100000,INDEX($AC$1005:$AS$1005,1,MATCH(COLUMNS($AC$1006:AK1006),$AC$1006:$AS$1006,0))&gt;=100000), " ",IF(INDEX($AC$2:$AS$1001,MATCH(ROWS($V$2:V421),$V$2:$V$1001,0),MATCH(COLUMNS($AC$1006:AK1006),$AC$1006:$AS$1006,0)), HYPERLINK("#",""), HYPERLINK(CONCATENATE("#Metadata!", ADDRESS(INDEX($X$2:$X$1001,MATCH(ROWS($V$2:V421),$V$2:$V$1001,0),0), INDEX($AC$1004:$AS$1004,1,MATCH(COLUMNS($AC$1006:AK1006),$AC$1006:$AS$1006,0)))),"Fix")))</f>
        <v>0</v>
      </c>
      <c r="K421" s="5">
        <f>IF(OR(INDEX($W$2:$W$1001,MATCH(ROWS($V$2:V421),$V$2:$V$1001,0),1)&gt;=100000,INDEX($AC$1005:$AS$1005,1,MATCH(COLUMNS($AC$1006:AL1006),$AC$1006:$AS$1006,0))&gt;=100000), " ",IF(INDEX($AC$2:$AS$1001,MATCH(ROWS($V$2:V421),$V$2:$V$1001,0),MATCH(COLUMNS($AC$1006:AL1006),$AC$1006:$AS$1006,0)), HYPERLINK("#",""), HYPERLINK(CONCATENATE("#Metadata!", ADDRESS(INDEX($X$2:$X$1001,MATCH(ROWS($V$2:V421),$V$2:$V$1001,0),0), INDEX($AC$1004:$AS$1004,1,MATCH(COLUMNS($AC$1006:AL1006),$AC$1006:$AS$1006,0)))),"Fix")))</f>
        <v>0</v>
      </c>
      <c r="L421" s="5">
        <f>IF(OR(INDEX($W$2:$W$1001,MATCH(ROWS($V$2:V421),$V$2:$V$1001,0),1)&gt;=100000,INDEX($AC$1005:$AS$1005,1,MATCH(COLUMNS($AC$1006:AM1006),$AC$1006:$AS$1006,0))&gt;=100000), " ",IF(INDEX($AC$2:$AS$1001,MATCH(ROWS($V$2:V421),$V$2:$V$1001,0),MATCH(COLUMNS($AC$1006:AM1006),$AC$1006:$AS$1006,0)), HYPERLINK("#",""), HYPERLINK(CONCATENATE("#Metadata!", ADDRESS(INDEX($X$2:$X$1001,MATCH(ROWS($V$2:V421),$V$2:$V$1001,0),0), INDEX($AC$1004:$AS$1004,1,MATCH(COLUMNS($AC$1006:AM1006),$AC$1006:$AS$1006,0)))),"Fix")))</f>
        <v>0</v>
      </c>
      <c r="M421" s="5">
        <f>IF(OR(INDEX($W$2:$W$1001,MATCH(ROWS($V$2:V421),$V$2:$V$1001,0),1)&gt;=100000,INDEX($AC$1005:$AS$1005,1,MATCH(COLUMNS($AC$1006:AN1006),$AC$1006:$AS$1006,0))&gt;=100000), " ",IF(INDEX($AC$2:$AS$1001,MATCH(ROWS($V$2:V421),$V$2:$V$1001,0),MATCH(COLUMNS($AC$1006:AN1006),$AC$1006:$AS$1006,0)), HYPERLINK("#",""), HYPERLINK(CONCATENATE("#Metadata!", ADDRESS(INDEX($X$2:$X$1001,MATCH(ROWS($V$2:V421),$V$2:$V$1001,0),0), INDEX($AC$1004:$AS$1004,1,MATCH(COLUMNS($AC$1006:AN1006),$AC$1006:$AS$1006,0)))),"Fix")))</f>
        <v>0</v>
      </c>
      <c r="N421" s="5">
        <f>IF(OR(INDEX($W$2:$W$1001,MATCH(ROWS($V$2:V421),$V$2:$V$1001,0),1)&gt;=100000,INDEX($AC$1005:$AS$1005,1,MATCH(COLUMNS($AC$1006:AO1006),$AC$1006:$AS$1006,0))&gt;=100000), " ",IF(INDEX($AC$2:$AS$1001,MATCH(ROWS($V$2:V421),$V$2:$V$1001,0),MATCH(COLUMNS($AC$1006:AO1006),$AC$1006:$AS$1006,0)), HYPERLINK("#",""), HYPERLINK(CONCATENATE("#Metadata!", ADDRESS(INDEX($X$2:$X$1001,MATCH(ROWS($V$2:V421),$V$2:$V$1001,0),0), INDEX($AC$1004:$AS$1004,1,MATCH(COLUMNS($AC$1006:AO1006),$AC$1006:$AS$1006,0)))),"Fix")))</f>
        <v>0</v>
      </c>
      <c r="O421" s="5">
        <f>IF(OR(INDEX($W$2:$W$1001,MATCH(ROWS($V$2:V421),$V$2:$V$1001,0),1)&gt;=100000,INDEX($AC$1005:$AS$1005,1,MATCH(COLUMNS($AC$1006:AP1006),$AC$1006:$AS$1006,0))&gt;=100000), " ",IF(INDEX($AC$2:$AS$1001,MATCH(ROWS($V$2:V421),$V$2:$V$1001,0),MATCH(COLUMNS($AC$1006:AP1006),$AC$1006:$AS$1006,0)), HYPERLINK("#",""), HYPERLINK(CONCATENATE("#Metadata!", ADDRESS(INDEX($X$2:$X$1001,MATCH(ROWS($V$2:V421),$V$2:$V$1001,0),0), INDEX($AC$1004:$AS$1004,1,MATCH(COLUMNS($AC$1006:AP1006),$AC$1006:$AS$1006,0)))),"Fix")))</f>
        <v>0</v>
      </c>
      <c r="P421" s="5">
        <f>IF(OR(INDEX($W$2:$W$1001,MATCH(ROWS($V$2:V421),$V$2:$V$1001,0),1)&gt;=100000,INDEX($AC$1005:$AS$1005,1,MATCH(COLUMNS($AC$1006:AQ1006),$AC$1006:$AS$1006,0))&gt;=100000), " ",IF(INDEX($AC$2:$AS$1001,MATCH(ROWS($V$2:V421),$V$2:$V$1001,0),MATCH(COLUMNS($AC$1006:AQ1006),$AC$1006:$AS$1006,0)), HYPERLINK("#",""), HYPERLINK(CONCATENATE("#Metadata!", ADDRESS(INDEX($X$2:$X$1001,MATCH(ROWS($V$2:V421),$V$2:$V$1001,0),0), INDEX($AC$1004:$AS$1004,1,MATCH(COLUMNS($AC$1006:AQ1006),$AC$1006:$AS$1006,0)))),"Fix")))</f>
        <v>0</v>
      </c>
      <c r="Q421" s="5">
        <f>IF(OR(INDEX($W$2:$W$1001,MATCH(ROWS($V$2:V421),$V$2:$V$1001,0),1)&gt;=100000,INDEX($AC$1005:$AS$1005,1,MATCH(COLUMNS($AC$1006:AR1006),$AC$1006:$AS$1006,0))&gt;=100000), " ",IF(INDEX($AC$2:$AS$1001,MATCH(ROWS($V$2:V421),$V$2:$V$1001,0),MATCH(COLUMNS($AC$1006:AR1006),$AC$1006:$AS$1006,0)), HYPERLINK("#",""), HYPERLINK(CONCATENATE("#Metadata!", ADDRESS(INDEX($X$2:$X$1001,MATCH(ROWS($V$2:V421),$V$2:$V$1001,0),0), INDEX($AC$1004:$AS$1004,1,MATCH(COLUMNS($AC$1006:AR1006),$AC$1006:$AS$1006,0)))),"Fix")))</f>
        <v>0</v>
      </c>
      <c r="R421" s="5">
        <f>IF(OR(INDEX($W$2:$W$1001,MATCH(ROWS($V$2:V421),$V$2:$V$1001,0),1)&gt;=100000,INDEX($AC$1005:$AS$1005,1,MATCH(COLUMNS($AC$1006:AS1006),$AC$1006:$AS$1006,0))&gt;=100000), " ",IF(INDEX($AC$2:$AS$1001,MATCH(ROWS($V$2:V421),$V$2:$V$1001,0),MATCH(COLUMNS($AC$1006:AS1006),$AC$1006:$AS$1006,0)), HYPERLINK("#",""), HYPERLINK(CONCATENATE("#Metadata!", ADDRESS(INDEX($X$2:$X$1001,MATCH(ROWS($V$2:V421),$V$2:$V$1001,0),0), INDEX($AC$1004:$AS$1004,1,MATCH(COLUMNS($AC$1006:AS1006),$AC$1006:$AS$1006,0)))),"Fix")))</f>
        <v>0</v>
      </c>
      <c r="V421">
        <v>0</v>
      </c>
      <c r="W421">
        <v>0</v>
      </c>
      <c r="X421">
        <v>0</v>
      </c>
      <c r="Y421">
        <f>IF(Z421,TRUE,AND(AC421:AS421))</f>
        <v>0</v>
      </c>
      <c r="Z421">
        <f>COUNTBLANK(Metadata!B421:R421)=COLUMNS(Metadata!B421:R421)</f>
        <v>0</v>
      </c>
      <c r="AA421">
        <v>0</v>
      </c>
      <c r="AC421">
        <f>AND(IF(Metadata!B421="",FALSE,TRUE),COUNTIF(Metadata!B:B, Metadata!B421) = 1,NOT(ISERROR(SUMPRODUCT(SEARCH(MID(Metadata!B421,ROW(INDIRECT("1:"&amp;LEN(Metadata!B421))), 1),"0123456789abcdefghijklmnopqrstuvwxyzABCDEFGHIJKLMNOPQRSTUVWXYZ.")))))</f>
        <v>0</v>
      </c>
      <c r="AD421">
        <f>AND(IF(Metadata!C421="",FALSE,TRUE),exact(Metadata!C421,"Host-associated"))</f>
        <v>0</v>
      </c>
      <c r="AE421">
        <f>AND(IF(Metadata!D421="",FALSE,TRUE),OR(exact(Metadata!D421,"Animal"),exact(Metadata!D421,"Fungus"),exact(Metadata!D421,"Plant")))</f>
        <v>0</v>
      </c>
      <c r="AF421">
        <f>AND(IF(Metadata!E421="",FALSE,TRUE),OR(exact(Metadata!E421,"Plant secretion"),exact(Metadata!E421,"Plant rhizosphere"),exact(Metadata!E421,"Plant surface"),exact(Metadata!E421,"Plant corpus"),exact(Metadata!E421,"Fungus surface"),exact(Metadata!E421,"Fungus corpus"),exact(Metadata!E421,"Animal surface"),exact(Metadata!E421,"Animal proximal gut"),exact(Metadata!E421,"Animal corpus"),exact(Metadata!E421,"Animal distal gut"),exact(Metadata!E421,"Animal secretion")))</f>
        <v>0</v>
      </c>
      <c r="AG421">
        <f>OR(AND(IF(Metadata!F421="",FALSE,TRUE),OR(exact(Metadata!F421,"not collected"),exact(Metadata!F421,"not provided"),exact(Metadata!F421,"restricted access"))),AND(IF(Metadata!F421="",FALSE,TRUE),OR(exact(Metadata!F421,"organism-associated habitat"),exact(Metadata!F421,"plant-associated habitat"),exact(Metadata!F421,"animal-associated habitat"),exact(Metadata!F421,"insecta-associated habitat"),exact(Metadata!F421,"mammalia-associated habitat"),exact(Metadata!F421,"human-associated habitat"),exact(Metadata!F421,"livestock-associated habitat"))))</f>
        <v>0</v>
      </c>
      <c r="AH421">
        <f>AND(IF(Metadata!G421="",FALSE,TRUE),exact(Metadata!G421,"host-associated"))</f>
        <v>0</v>
      </c>
      <c r="AI421">
        <f>OR(AND(IF(Metadata!H421="",FALSE,TRUE),OR(exact(Metadata!H421,"not collected"),exact(Metadata!H421,"not provided"))),AND(IF(Metadata!H421="",FALSE,ISNUMBER(VALUE(Metadata!H421))),Metadata!H421&gt;0))</f>
        <v>0</v>
      </c>
      <c r="AJ421">
        <f>AND(IF(Metadata!I421="",FALSE,TRUE),exact(Metadata!I421,"years"))</f>
        <v>0</v>
      </c>
      <c r="AK421">
        <f>IF(Metadata!J421="",FALSE,TRUE)</f>
        <v>0</v>
      </c>
      <c r="AL421">
        <f>OR(AND(IF(Metadata!K421="",FALSE,TRUE),OR(exact(Metadata!K421,"not collected"),exact(Metadata!K421,"not provided"))),AND(IF(Metadata!K421="",FALSE,ISNUMBER(VALUE(Metadata!K421))),Metadata!K421&gt;0))</f>
        <v>0</v>
      </c>
      <c r="AM421">
        <f>AND(IF(Metadata!L421="",FALSE,TRUE),exact(Metadata!L421,"cm"))</f>
        <v>0</v>
      </c>
      <c r="AN421">
        <f>IF(Metadata!M421="",FALSE,TRUE)</f>
        <v>0</v>
      </c>
      <c r="AO421">
        <f>OR(AND(IF(Metadata!N421="",FALSE,TRUE),OR(exact(Metadata!N421,"not applicable"),exact(Metadata!N421,"not collected"),exact(Metadata!N421,"not provided"))),AND(IF(Metadata!N421="",FALSE,IF(ISERROR(INT(Metadata!N421)),FALSE,INT(Metadata!N421)=Metadata!N421)),Metadata!N421&gt;0))</f>
        <v>0</v>
      </c>
      <c r="AP421">
        <f>OR(AND(IF(Metadata!O421="",FALSE,TRUE),OR(exact(Metadata!O421,"not collected"),exact(Metadata!O421,"not provided"))),AND(IF(Metadata!O421="",FALSE,ISNUMBER(VALUE(Metadata!O421))),Metadata!O421&gt;0))</f>
        <v>0</v>
      </c>
      <c r="AQ421">
        <f>AND(IF(Metadata!P421="",FALSE,TRUE),exact(Metadata!P421,"kg"))</f>
        <v>0</v>
      </c>
      <c r="AR421">
        <f>OR(AND(IF(Metadata!Q421="",FALSE,TRUE),OR(exact(Metadata!Q421,"not applicable"),exact(Metadata!Q421,"not collected"),exact(Metadata!Q421,"not provided"),exact(Metadata!Q421,"restricted access"))),IF(Metadata!Q421="",FALSE,IF(ISERROR(INT(Metadata!Q421)),FALSE,INT(Metadata!Q421)=Metadata!Q421)))</f>
        <v>0</v>
      </c>
      <c r="AS421">
        <f>AND(IF(Metadata!R421="",FALSE,TRUE),exact(Metadata!R421,"Not applicable"))</f>
        <v>0</v>
      </c>
    </row>
    <row r="422" spans="1:45">
      <c r="A422" s="4">
        <f>IF(B422=" "," ",HYPERLINK(CONCATENATE("#metadata!",ADDRESS(INDEX($X$2:$X$1001,MATCH(ROWS($V$2:V422),$V$2:$V$1001,0),0),2)),INDEX($AA$2:$AA$1001,MATCH(ROWS($V$2:V422),$V$2:$V$1001,0),0)))</f>
        <v>0</v>
      </c>
      <c r="B422" s="5">
        <f>IF(OR(INDEX($W$2:$W$1001,MATCH(ROWS($V$2:V422),$V$2:$V$1001,0),1)&gt;=100000,INDEX($AC$1005:$AS$1005,1,MATCH(COLUMNS($AC$1006:AC1006),$AC$1006:$AS$1006,0))&gt;=100000), " ",IF(INDEX($AC$2:$AS$1001,MATCH(ROWS($V$2:V422),$V$2:$V$1001,0),MATCH(COLUMNS($AC$1006:AC1006),$AC$1006:$AS$1006,0)), HYPERLINK("#",""), HYPERLINK(CONCATENATE("#Metadata!", ADDRESS(INDEX($X$2:$X$1001,MATCH(ROWS($V$2:V422),$V$2:$V$1001,0),0), INDEX($AC$1004:$AS$1004,1,MATCH(COLUMNS($AC$1006:AC1006),$AC$1006:$AS$1006,0)))),"Fix")))</f>
        <v>0</v>
      </c>
      <c r="C422" s="5">
        <f>IF(OR(INDEX($W$2:$W$1001,MATCH(ROWS($V$2:V422),$V$2:$V$1001,0),1)&gt;=100000,INDEX($AC$1005:$AS$1005,1,MATCH(COLUMNS($AC$1006:AD1006),$AC$1006:$AS$1006,0))&gt;=100000), " ",IF(INDEX($AC$2:$AS$1001,MATCH(ROWS($V$2:V422),$V$2:$V$1001,0),MATCH(COLUMNS($AC$1006:AD1006),$AC$1006:$AS$1006,0)), HYPERLINK("#",""), HYPERLINK(CONCATENATE("#Metadata!", ADDRESS(INDEX($X$2:$X$1001,MATCH(ROWS($V$2:V422),$V$2:$V$1001,0),0), INDEX($AC$1004:$AS$1004,1,MATCH(COLUMNS($AC$1006:AD1006),$AC$1006:$AS$1006,0)))),"Fix")))</f>
        <v>0</v>
      </c>
      <c r="D422" s="5">
        <f>IF(OR(INDEX($W$2:$W$1001,MATCH(ROWS($V$2:V422),$V$2:$V$1001,0),1)&gt;=100000,INDEX($AC$1005:$AS$1005,1,MATCH(COLUMNS($AC$1006:AE1006),$AC$1006:$AS$1006,0))&gt;=100000), " ",IF(INDEX($AC$2:$AS$1001,MATCH(ROWS($V$2:V422),$V$2:$V$1001,0),MATCH(COLUMNS($AC$1006:AE1006),$AC$1006:$AS$1006,0)), HYPERLINK("#",""), HYPERLINK(CONCATENATE("#Metadata!", ADDRESS(INDEX($X$2:$X$1001,MATCH(ROWS($V$2:V422),$V$2:$V$1001,0),0), INDEX($AC$1004:$AS$1004,1,MATCH(COLUMNS($AC$1006:AE1006),$AC$1006:$AS$1006,0)))),"Fix")))</f>
        <v>0</v>
      </c>
      <c r="E422" s="5">
        <f>IF(OR(INDEX($W$2:$W$1001,MATCH(ROWS($V$2:V422),$V$2:$V$1001,0),1)&gt;=100000,INDEX($AC$1005:$AS$1005,1,MATCH(COLUMNS($AC$1006:AF1006),$AC$1006:$AS$1006,0))&gt;=100000), " ",IF(INDEX($AC$2:$AS$1001,MATCH(ROWS($V$2:V422),$V$2:$V$1001,0),MATCH(COLUMNS($AC$1006:AF1006),$AC$1006:$AS$1006,0)), HYPERLINK("#",""), HYPERLINK(CONCATENATE("#Metadata!", ADDRESS(INDEX($X$2:$X$1001,MATCH(ROWS($V$2:V422),$V$2:$V$1001,0),0), INDEX($AC$1004:$AS$1004,1,MATCH(COLUMNS($AC$1006:AF1006),$AC$1006:$AS$1006,0)))),"Fix")))</f>
        <v>0</v>
      </c>
      <c r="F422" s="5">
        <f>IF(OR(INDEX($W$2:$W$1001,MATCH(ROWS($V$2:V422),$V$2:$V$1001,0),1)&gt;=100000,INDEX($AC$1005:$AS$1005,1,MATCH(COLUMNS($AC$1006:AG1006),$AC$1006:$AS$1006,0))&gt;=100000), " ",IF(INDEX($AC$2:$AS$1001,MATCH(ROWS($V$2:V422),$V$2:$V$1001,0),MATCH(COLUMNS($AC$1006:AG1006),$AC$1006:$AS$1006,0)), HYPERLINK("#",""), HYPERLINK(CONCATENATE("#Metadata!", ADDRESS(INDEX($X$2:$X$1001,MATCH(ROWS($V$2:V422),$V$2:$V$1001,0),0), INDEX($AC$1004:$AS$1004,1,MATCH(COLUMNS($AC$1006:AG1006),$AC$1006:$AS$1006,0)))),"Fix")))</f>
        <v>0</v>
      </c>
      <c r="G422" s="5">
        <f>IF(OR(INDEX($W$2:$W$1001,MATCH(ROWS($V$2:V422),$V$2:$V$1001,0),1)&gt;=100000,INDEX($AC$1005:$AS$1005,1,MATCH(COLUMNS($AC$1006:AH1006),$AC$1006:$AS$1006,0))&gt;=100000), " ",IF(INDEX($AC$2:$AS$1001,MATCH(ROWS($V$2:V422),$V$2:$V$1001,0),MATCH(COLUMNS($AC$1006:AH1006),$AC$1006:$AS$1006,0)), HYPERLINK("#",""), HYPERLINK(CONCATENATE("#Metadata!", ADDRESS(INDEX($X$2:$X$1001,MATCH(ROWS($V$2:V422),$V$2:$V$1001,0),0), INDEX($AC$1004:$AS$1004,1,MATCH(COLUMNS($AC$1006:AH1006),$AC$1006:$AS$1006,0)))),"Fix")))</f>
        <v>0</v>
      </c>
      <c r="H422" s="5">
        <f>IF(OR(INDEX($W$2:$W$1001,MATCH(ROWS($V$2:V422),$V$2:$V$1001,0),1)&gt;=100000,INDEX($AC$1005:$AS$1005,1,MATCH(COLUMNS($AC$1006:AI1006),$AC$1006:$AS$1006,0))&gt;=100000), " ",IF(INDEX($AC$2:$AS$1001,MATCH(ROWS($V$2:V422),$V$2:$V$1001,0),MATCH(COLUMNS($AC$1006:AI1006),$AC$1006:$AS$1006,0)), HYPERLINK("#",""), HYPERLINK(CONCATENATE("#Metadata!", ADDRESS(INDEX($X$2:$X$1001,MATCH(ROWS($V$2:V422),$V$2:$V$1001,0),0), INDEX($AC$1004:$AS$1004,1,MATCH(COLUMNS($AC$1006:AI1006),$AC$1006:$AS$1006,0)))),"Fix")))</f>
        <v>0</v>
      </c>
      <c r="I422" s="5">
        <f>IF(OR(INDEX($W$2:$W$1001,MATCH(ROWS($V$2:V422),$V$2:$V$1001,0),1)&gt;=100000,INDEX($AC$1005:$AS$1005,1,MATCH(COLUMNS($AC$1006:AJ1006),$AC$1006:$AS$1006,0))&gt;=100000), " ",IF(INDEX($AC$2:$AS$1001,MATCH(ROWS($V$2:V422),$V$2:$V$1001,0),MATCH(COLUMNS($AC$1006:AJ1006),$AC$1006:$AS$1006,0)), HYPERLINK("#",""), HYPERLINK(CONCATENATE("#Metadata!", ADDRESS(INDEX($X$2:$X$1001,MATCH(ROWS($V$2:V422),$V$2:$V$1001,0),0), INDEX($AC$1004:$AS$1004,1,MATCH(COLUMNS($AC$1006:AJ1006),$AC$1006:$AS$1006,0)))),"Fix")))</f>
        <v>0</v>
      </c>
      <c r="J422" s="5">
        <f>IF(OR(INDEX($W$2:$W$1001,MATCH(ROWS($V$2:V422),$V$2:$V$1001,0),1)&gt;=100000,INDEX($AC$1005:$AS$1005,1,MATCH(COLUMNS($AC$1006:AK1006),$AC$1006:$AS$1006,0))&gt;=100000), " ",IF(INDEX($AC$2:$AS$1001,MATCH(ROWS($V$2:V422),$V$2:$V$1001,0),MATCH(COLUMNS($AC$1006:AK1006),$AC$1006:$AS$1006,0)), HYPERLINK("#",""), HYPERLINK(CONCATENATE("#Metadata!", ADDRESS(INDEX($X$2:$X$1001,MATCH(ROWS($V$2:V422),$V$2:$V$1001,0),0), INDEX($AC$1004:$AS$1004,1,MATCH(COLUMNS($AC$1006:AK1006),$AC$1006:$AS$1006,0)))),"Fix")))</f>
        <v>0</v>
      </c>
      <c r="K422" s="5">
        <f>IF(OR(INDEX($W$2:$W$1001,MATCH(ROWS($V$2:V422),$V$2:$V$1001,0),1)&gt;=100000,INDEX($AC$1005:$AS$1005,1,MATCH(COLUMNS($AC$1006:AL1006),$AC$1006:$AS$1006,0))&gt;=100000), " ",IF(INDEX($AC$2:$AS$1001,MATCH(ROWS($V$2:V422),$V$2:$V$1001,0),MATCH(COLUMNS($AC$1006:AL1006),$AC$1006:$AS$1006,0)), HYPERLINK("#",""), HYPERLINK(CONCATENATE("#Metadata!", ADDRESS(INDEX($X$2:$X$1001,MATCH(ROWS($V$2:V422),$V$2:$V$1001,0),0), INDEX($AC$1004:$AS$1004,1,MATCH(COLUMNS($AC$1006:AL1006),$AC$1006:$AS$1006,0)))),"Fix")))</f>
        <v>0</v>
      </c>
      <c r="L422" s="5">
        <f>IF(OR(INDEX($W$2:$W$1001,MATCH(ROWS($V$2:V422),$V$2:$V$1001,0),1)&gt;=100000,INDEX($AC$1005:$AS$1005,1,MATCH(COLUMNS($AC$1006:AM1006),$AC$1006:$AS$1006,0))&gt;=100000), " ",IF(INDEX($AC$2:$AS$1001,MATCH(ROWS($V$2:V422),$V$2:$V$1001,0),MATCH(COLUMNS($AC$1006:AM1006),$AC$1006:$AS$1006,0)), HYPERLINK("#",""), HYPERLINK(CONCATENATE("#Metadata!", ADDRESS(INDEX($X$2:$X$1001,MATCH(ROWS($V$2:V422),$V$2:$V$1001,0),0), INDEX($AC$1004:$AS$1004,1,MATCH(COLUMNS($AC$1006:AM1006),$AC$1006:$AS$1006,0)))),"Fix")))</f>
        <v>0</v>
      </c>
      <c r="M422" s="5">
        <f>IF(OR(INDEX($W$2:$W$1001,MATCH(ROWS($V$2:V422),$V$2:$V$1001,0),1)&gt;=100000,INDEX($AC$1005:$AS$1005,1,MATCH(COLUMNS($AC$1006:AN1006),$AC$1006:$AS$1006,0))&gt;=100000), " ",IF(INDEX($AC$2:$AS$1001,MATCH(ROWS($V$2:V422),$V$2:$V$1001,0),MATCH(COLUMNS($AC$1006:AN1006),$AC$1006:$AS$1006,0)), HYPERLINK("#",""), HYPERLINK(CONCATENATE("#Metadata!", ADDRESS(INDEX($X$2:$X$1001,MATCH(ROWS($V$2:V422),$V$2:$V$1001,0),0), INDEX($AC$1004:$AS$1004,1,MATCH(COLUMNS($AC$1006:AN1006),$AC$1006:$AS$1006,0)))),"Fix")))</f>
        <v>0</v>
      </c>
      <c r="N422" s="5">
        <f>IF(OR(INDEX($W$2:$W$1001,MATCH(ROWS($V$2:V422),$V$2:$V$1001,0),1)&gt;=100000,INDEX($AC$1005:$AS$1005,1,MATCH(COLUMNS($AC$1006:AO1006),$AC$1006:$AS$1006,0))&gt;=100000), " ",IF(INDEX($AC$2:$AS$1001,MATCH(ROWS($V$2:V422),$V$2:$V$1001,0),MATCH(COLUMNS($AC$1006:AO1006),$AC$1006:$AS$1006,0)), HYPERLINK("#",""), HYPERLINK(CONCATENATE("#Metadata!", ADDRESS(INDEX($X$2:$X$1001,MATCH(ROWS($V$2:V422),$V$2:$V$1001,0),0), INDEX($AC$1004:$AS$1004,1,MATCH(COLUMNS($AC$1006:AO1006),$AC$1006:$AS$1006,0)))),"Fix")))</f>
        <v>0</v>
      </c>
      <c r="O422" s="5">
        <f>IF(OR(INDEX($W$2:$W$1001,MATCH(ROWS($V$2:V422),$V$2:$V$1001,0),1)&gt;=100000,INDEX($AC$1005:$AS$1005,1,MATCH(COLUMNS($AC$1006:AP1006),$AC$1006:$AS$1006,0))&gt;=100000), " ",IF(INDEX($AC$2:$AS$1001,MATCH(ROWS($V$2:V422),$V$2:$V$1001,0),MATCH(COLUMNS($AC$1006:AP1006),$AC$1006:$AS$1006,0)), HYPERLINK("#",""), HYPERLINK(CONCATENATE("#Metadata!", ADDRESS(INDEX($X$2:$X$1001,MATCH(ROWS($V$2:V422),$V$2:$V$1001,0),0), INDEX($AC$1004:$AS$1004,1,MATCH(COLUMNS($AC$1006:AP1006),$AC$1006:$AS$1006,0)))),"Fix")))</f>
        <v>0</v>
      </c>
      <c r="P422" s="5">
        <f>IF(OR(INDEX($W$2:$W$1001,MATCH(ROWS($V$2:V422),$V$2:$V$1001,0),1)&gt;=100000,INDEX($AC$1005:$AS$1005,1,MATCH(COLUMNS($AC$1006:AQ1006),$AC$1006:$AS$1006,0))&gt;=100000), " ",IF(INDEX($AC$2:$AS$1001,MATCH(ROWS($V$2:V422),$V$2:$V$1001,0),MATCH(COLUMNS($AC$1006:AQ1006),$AC$1006:$AS$1006,0)), HYPERLINK("#",""), HYPERLINK(CONCATENATE("#Metadata!", ADDRESS(INDEX($X$2:$X$1001,MATCH(ROWS($V$2:V422),$V$2:$V$1001,0),0), INDEX($AC$1004:$AS$1004,1,MATCH(COLUMNS($AC$1006:AQ1006),$AC$1006:$AS$1006,0)))),"Fix")))</f>
        <v>0</v>
      </c>
      <c r="Q422" s="5">
        <f>IF(OR(INDEX($W$2:$W$1001,MATCH(ROWS($V$2:V422),$V$2:$V$1001,0),1)&gt;=100000,INDEX($AC$1005:$AS$1005,1,MATCH(COLUMNS($AC$1006:AR1006),$AC$1006:$AS$1006,0))&gt;=100000), " ",IF(INDEX($AC$2:$AS$1001,MATCH(ROWS($V$2:V422),$V$2:$V$1001,0),MATCH(COLUMNS($AC$1006:AR1006),$AC$1006:$AS$1006,0)), HYPERLINK("#",""), HYPERLINK(CONCATENATE("#Metadata!", ADDRESS(INDEX($X$2:$X$1001,MATCH(ROWS($V$2:V422),$V$2:$V$1001,0),0), INDEX($AC$1004:$AS$1004,1,MATCH(COLUMNS($AC$1006:AR1006),$AC$1006:$AS$1006,0)))),"Fix")))</f>
        <v>0</v>
      </c>
      <c r="R422" s="5">
        <f>IF(OR(INDEX($W$2:$W$1001,MATCH(ROWS($V$2:V422),$V$2:$V$1001,0),1)&gt;=100000,INDEX($AC$1005:$AS$1005,1,MATCH(COLUMNS($AC$1006:AS1006),$AC$1006:$AS$1006,0))&gt;=100000), " ",IF(INDEX($AC$2:$AS$1001,MATCH(ROWS($V$2:V422),$V$2:$V$1001,0),MATCH(COLUMNS($AC$1006:AS1006),$AC$1006:$AS$1006,0)), HYPERLINK("#",""), HYPERLINK(CONCATENATE("#Metadata!", ADDRESS(INDEX($X$2:$X$1001,MATCH(ROWS($V$2:V422),$V$2:$V$1001,0),0), INDEX($AC$1004:$AS$1004,1,MATCH(COLUMNS($AC$1006:AS1006),$AC$1006:$AS$1006,0)))),"Fix")))</f>
        <v>0</v>
      </c>
      <c r="V422">
        <v>0</v>
      </c>
      <c r="W422">
        <v>0</v>
      </c>
      <c r="X422">
        <v>0</v>
      </c>
      <c r="Y422">
        <f>IF(Z422,TRUE,AND(AC422:AS422))</f>
        <v>0</v>
      </c>
      <c r="Z422">
        <f>COUNTBLANK(Metadata!B422:R422)=COLUMNS(Metadata!B422:R422)</f>
        <v>0</v>
      </c>
      <c r="AA422">
        <v>0</v>
      </c>
      <c r="AC422">
        <f>AND(IF(Metadata!B422="",FALSE,TRUE),COUNTIF(Metadata!B:B, Metadata!B422) = 1,NOT(ISERROR(SUMPRODUCT(SEARCH(MID(Metadata!B422,ROW(INDIRECT("1:"&amp;LEN(Metadata!B422))), 1),"0123456789abcdefghijklmnopqrstuvwxyzABCDEFGHIJKLMNOPQRSTUVWXYZ.")))))</f>
        <v>0</v>
      </c>
      <c r="AD422">
        <f>AND(IF(Metadata!C422="",FALSE,TRUE),exact(Metadata!C422,"Host-associated"))</f>
        <v>0</v>
      </c>
      <c r="AE422">
        <f>AND(IF(Metadata!D422="",FALSE,TRUE),OR(exact(Metadata!D422,"Animal"),exact(Metadata!D422,"Fungus"),exact(Metadata!D422,"Plant")))</f>
        <v>0</v>
      </c>
      <c r="AF422">
        <f>AND(IF(Metadata!E422="",FALSE,TRUE),OR(exact(Metadata!E422,"Plant secretion"),exact(Metadata!E422,"Plant rhizosphere"),exact(Metadata!E422,"Plant surface"),exact(Metadata!E422,"Plant corpus"),exact(Metadata!E422,"Fungus surface"),exact(Metadata!E422,"Fungus corpus"),exact(Metadata!E422,"Animal surface"),exact(Metadata!E422,"Animal proximal gut"),exact(Metadata!E422,"Animal corpus"),exact(Metadata!E422,"Animal distal gut"),exact(Metadata!E422,"Animal secretion")))</f>
        <v>0</v>
      </c>
      <c r="AG422">
        <f>OR(AND(IF(Metadata!F422="",FALSE,TRUE),OR(exact(Metadata!F422,"not collected"),exact(Metadata!F422,"not provided"),exact(Metadata!F422,"restricted access"))),AND(IF(Metadata!F422="",FALSE,TRUE),OR(exact(Metadata!F422,"organism-associated habitat"),exact(Metadata!F422,"plant-associated habitat"),exact(Metadata!F422,"animal-associated habitat"),exact(Metadata!F422,"insecta-associated habitat"),exact(Metadata!F422,"mammalia-associated habitat"),exact(Metadata!F422,"human-associated habitat"),exact(Metadata!F422,"livestock-associated habitat"))))</f>
        <v>0</v>
      </c>
      <c r="AH422">
        <f>AND(IF(Metadata!G422="",FALSE,TRUE),exact(Metadata!G422,"host-associated"))</f>
        <v>0</v>
      </c>
      <c r="AI422">
        <f>OR(AND(IF(Metadata!H422="",FALSE,TRUE),OR(exact(Metadata!H422,"not collected"),exact(Metadata!H422,"not provided"))),AND(IF(Metadata!H422="",FALSE,ISNUMBER(VALUE(Metadata!H422))),Metadata!H422&gt;0))</f>
        <v>0</v>
      </c>
      <c r="AJ422">
        <f>AND(IF(Metadata!I422="",FALSE,TRUE),exact(Metadata!I422,"years"))</f>
        <v>0</v>
      </c>
      <c r="AK422">
        <f>IF(Metadata!J422="",FALSE,TRUE)</f>
        <v>0</v>
      </c>
      <c r="AL422">
        <f>OR(AND(IF(Metadata!K422="",FALSE,TRUE),OR(exact(Metadata!K422,"not collected"),exact(Metadata!K422,"not provided"))),AND(IF(Metadata!K422="",FALSE,ISNUMBER(VALUE(Metadata!K422))),Metadata!K422&gt;0))</f>
        <v>0</v>
      </c>
      <c r="AM422">
        <f>AND(IF(Metadata!L422="",FALSE,TRUE),exact(Metadata!L422,"cm"))</f>
        <v>0</v>
      </c>
      <c r="AN422">
        <f>IF(Metadata!M422="",FALSE,TRUE)</f>
        <v>0</v>
      </c>
      <c r="AO422">
        <f>OR(AND(IF(Metadata!N422="",FALSE,TRUE),OR(exact(Metadata!N422,"not applicable"),exact(Metadata!N422,"not collected"),exact(Metadata!N422,"not provided"))),AND(IF(Metadata!N422="",FALSE,IF(ISERROR(INT(Metadata!N422)),FALSE,INT(Metadata!N422)=Metadata!N422)),Metadata!N422&gt;0))</f>
        <v>0</v>
      </c>
      <c r="AP422">
        <f>OR(AND(IF(Metadata!O422="",FALSE,TRUE),OR(exact(Metadata!O422,"not collected"),exact(Metadata!O422,"not provided"))),AND(IF(Metadata!O422="",FALSE,ISNUMBER(VALUE(Metadata!O422))),Metadata!O422&gt;0))</f>
        <v>0</v>
      </c>
      <c r="AQ422">
        <f>AND(IF(Metadata!P422="",FALSE,TRUE),exact(Metadata!P422,"kg"))</f>
        <v>0</v>
      </c>
      <c r="AR422">
        <f>OR(AND(IF(Metadata!Q422="",FALSE,TRUE),OR(exact(Metadata!Q422,"not applicable"),exact(Metadata!Q422,"not collected"),exact(Metadata!Q422,"not provided"),exact(Metadata!Q422,"restricted access"))),IF(Metadata!Q422="",FALSE,IF(ISERROR(INT(Metadata!Q422)),FALSE,INT(Metadata!Q422)=Metadata!Q422)))</f>
        <v>0</v>
      </c>
      <c r="AS422">
        <f>AND(IF(Metadata!R422="",FALSE,TRUE),exact(Metadata!R422,"Not applicable"))</f>
        <v>0</v>
      </c>
    </row>
    <row r="423" spans="1:45">
      <c r="A423" s="4">
        <f>IF(B423=" "," ",HYPERLINK(CONCATENATE("#metadata!",ADDRESS(INDEX($X$2:$X$1001,MATCH(ROWS($V$2:V423),$V$2:$V$1001,0),0),2)),INDEX($AA$2:$AA$1001,MATCH(ROWS($V$2:V423),$V$2:$V$1001,0),0)))</f>
        <v>0</v>
      </c>
      <c r="B423" s="5">
        <f>IF(OR(INDEX($W$2:$W$1001,MATCH(ROWS($V$2:V423),$V$2:$V$1001,0),1)&gt;=100000,INDEX($AC$1005:$AS$1005,1,MATCH(COLUMNS($AC$1006:AC1006),$AC$1006:$AS$1006,0))&gt;=100000), " ",IF(INDEX($AC$2:$AS$1001,MATCH(ROWS($V$2:V423),$V$2:$V$1001,0),MATCH(COLUMNS($AC$1006:AC1006),$AC$1006:$AS$1006,0)), HYPERLINK("#",""), HYPERLINK(CONCATENATE("#Metadata!", ADDRESS(INDEX($X$2:$X$1001,MATCH(ROWS($V$2:V423),$V$2:$V$1001,0),0), INDEX($AC$1004:$AS$1004,1,MATCH(COLUMNS($AC$1006:AC1006),$AC$1006:$AS$1006,0)))),"Fix")))</f>
        <v>0</v>
      </c>
      <c r="C423" s="5">
        <f>IF(OR(INDEX($W$2:$W$1001,MATCH(ROWS($V$2:V423),$V$2:$V$1001,0),1)&gt;=100000,INDEX($AC$1005:$AS$1005,1,MATCH(COLUMNS($AC$1006:AD1006),$AC$1006:$AS$1006,0))&gt;=100000), " ",IF(INDEX($AC$2:$AS$1001,MATCH(ROWS($V$2:V423),$V$2:$V$1001,0),MATCH(COLUMNS($AC$1006:AD1006),$AC$1006:$AS$1006,0)), HYPERLINK("#",""), HYPERLINK(CONCATENATE("#Metadata!", ADDRESS(INDEX($X$2:$X$1001,MATCH(ROWS($V$2:V423),$V$2:$V$1001,0),0), INDEX($AC$1004:$AS$1004,1,MATCH(COLUMNS($AC$1006:AD1006),$AC$1006:$AS$1006,0)))),"Fix")))</f>
        <v>0</v>
      </c>
      <c r="D423" s="5">
        <f>IF(OR(INDEX($W$2:$W$1001,MATCH(ROWS($V$2:V423),$V$2:$V$1001,0),1)&gt;=100000,INDEX($AC$1005:$AS$1005,1,MATCH(COLUMNS($AC$1006:AE1006),$AC$1006:$AS$1006,0))&gt;=100000), " ",IF(INDEX($AC$2:$AS$1001,MATCH(ROWS($V$2:V423),$V$2:$V$1001,0),MATCH(COLUMNS($AC$1006:AE1006),$AC$1006:$AS$1006,0)), HYPERLINK("#",""), HYPERLINK(CONCATENATE("#Metadata!", ADDRESS(INDEX($X$2:$X$1001,MATCH(ROWS($V$2:V423),$V$2:$V$1001,0),0), INDEX($AC$1004:$AS$1004,1,MATCH(COLUMNS($AC$1006:AE1006),$AC$1006:$AS$1006,0)))),"Fix")))</f>
        <v>0</v>
      </c>
      <c r="E423" s="5">
        <f>IF(OR(INDEX($W$2:$W$1001,MATCH(ROWS($V$2:V423),$V$2:$V$1001,0),1)&gt;=100000,INDEX($AC$1005:$AS$1005,1,MATCH(COLUMNS($AC$1006:AF1006),$AC$1006:$AS$1006,0))&gt;=100000), " ",IF(INDEX($AC$2:$AS$1001,MATCH(ROWS($V$2:V423),$V$2:$V$1001,0),MATCH(COLUMNS($AC$1006:AF1006),$AC$1006:$AS$1006,0)), HYPERLINK("#",""), HYPERLINK(CONCATENATE("#Metadata!", ADDRESS(INDEX($X$2:$X$1001,MATCH(ROWS($V$2:V423),$V$2:$V$1001,0),0), INDEX($AC$1004:$AS$1004,1,MATCH(COLUMNS($AC$1006:AF1006),$AC$1006:$AS$1006,0)))),"Fix")))</f>
        <v>0</v>
      </c>
      <c r="F423" s="5">
        <f>IF(OR(INDEX($W$2:$W$1001,MATCH(ROWS($V$2:V423),$V$2:$V$1001,0),1)&gt;=100000,INDEX($AC$1005:$AS$1005,1,MATCH(COLUMNS($AC$1006:AG1006),$AC$1006:$AS$1006,0))&gt;=100000), " ",IF(INDEX($AC$2:$AS$1001,MATCH(ROWS($V$2:V423),$V$2:$V$1001,0),MATCH(COLUMNS($AC$1006:AG1006),$AC$1006:$AS$1006,0)), HYPERLINK("#",""), HYPERLINK(CONCATENATE("#Metadata!", ADDRESS(INDEX($X$2:$X$1001,MATCH(ROWS($V$2:V423),$V$2:$V$1001,0),0), INDEX($AC$1004:$AS$1004,1,MATCH(COLUMNS($AC$1006:AG1006),$AC$1006:$AS$1006,0)))),"Fix")))</f>
        <v>0</v>
      </c>
      <c r="G423" s="5">
        <f>IF(OR(INDEX($W$2:$W$1001,MATCH(ROWS($V$2:V423),$V$2:$V$1001,0),1)&gt;=100000,INDEX($AC$1005:$AS$1005,1,MATCH(COLUMNS($AC$1006:AH1006),$AC$1006:$AS$1006,0))&gt;=100000), " ",IF(INDEX($AC$2:$AS$1001,MATCH(ROWS($V$2:V423),$V$2:$V$1001,0),MATCH(COLUMNS($AC$1006:AH1006),$AC$1006:$AS$1006,0)), HYPERLINK("#",""), HYPERLINK(CONCATENATE("#Metadata!", ADDRESS(INDEX($X$2:$X$1001,MATCH(ROWS($V$2:V423),$V$2:$V$1001,0),0), INDEX($AC$1004:$AS$1004,1,MATCH(COLUMNS($AC$1006:AH1006),$AC$1006:$AS$1006,0)))),"Fix")))</f>
        <v>0</v>
      </c>
      <c r="H423" s="5">
        <f>IF(OR(INDEX($W$2:$W$1001,MATCH(ROWS($V$2:V423),$V$2:$V$1001,0),1)&gt;=100000,INDEX($AC$1005:$AS$1005,1,MATCH(COLUMNS($AC$1006:AI1006),$AC$1006:$AS$1006,0))&gt;=100000), " ",IF(INDEX($AC$2:$AS$1001,MATCH(ROWS($V$2:V423),$V$2:$V$1001,0),MATCH(COLUMNS($AC$1006:AI1006),$AC$1006:$AS$1006,0)), HYPERLINK("#",""), HYPERLINK(CONCATENATE("#Metadata!", ADDRESS(INDEX($X$2:$X$1001,MATCH(ROWS($V$2:V423),$V$2:$V$1001,0),0), INDEX($AC$1004:$AS$1004,1,MATCH(COLUMNS($AC$1006:AI1006),$AC$1006:$AS$1006,0)))),"Fix")))</f>
        <v>0</v>
      </c>
      <c r="I423" s="5">
        <f>IF(OR(INDEX($W$2:$W$1001,MATCH(ROWS($V$2:V423),$V$2:$V$1001,0),1)&gt;=100000,INDEX($AC$1005:$AS$1005,1,MATCH(COLUMNS($AC$1006:AJ1006),$AC$1006:$AS$1006,0))&gt;=100000), " ",IF(INDEX($AC$2:$AS$1001,MATCH(ROWS($V$2:V423),$V$2:$V$1001,0),MATCH(COLUMNS($AC$1006:AJ1006),$AC$1006:$AS$1006,0)), HYPERLINK("#",""), HYPERLINK(CONCATENATE("#Metadata!", ADDRESS(INDEX($X$2:$X$1001,MATCH(ROWS($V$2:V423),$V$2:$V$1001,0),0), INDEX($AC$1004:$AS$1004,1,MATCH(COLUMNS($AC$1006:AJ1006),$AC$1006:$AS$1006,0)))),"Fix")))</f>
        <v>0</v>
      </c>
      <c r="J423" s="5">
        <f>IF(OR(INDEX($W$2:$W$1001,MATCH(ROWS($V$2:V423),$V$2:$V$1001,0),1)&gt;=100000,INDEX($AC$1005:$AS$1005,1,MATCH(COLUMNS($AC$1006:AK1006),$AC$1006:$AS$1006,0))&gt;=100000), " ",IF(INDEX($AC$2:$AS$1001,MATCH(ROWS($V$2:V423),$V$2:$V$1001,0),MATCH(COLUMNS($AC$1006:AK1006),$AC$1006:$AS$1006,0)), HYPERLINK("#",""), HYPERLINK(CONCATENATE("#Metadata!", ADDRESS(INDEX($X$2:$X$1001,MATCH(ROWS($V$2:V423),$V$2:$V$1001,0),0), INDEX($AC$1004:$AS$1004,1,MATCH(COLUMNS($AC$1006:AK1006),$AC$1006:$AS$1006,0)))),"Fix")))</f>
        <v>0</v>
      </c>
      <c r="K423" s="5">
        <f>IF(OR(INDEX($W$2:$W$1001,MATCH(ROWS($V$2:V423),$V$2:$V$1001,0),1)&gt;=100000,INDEX($AC$1005:$AS$1005,1,MATCH(COLUMNS($AC$1006:AL1006),$AC$1006:$AS$1006,0))&gt;=100000), " ",IF(INDEX($AC$2:$AS$1001,MATCH(ROWS($V$2:V423),$V$2:$V$1001,0),MATCH(COLUMNS($AC$1006:AL1006),$AC$1006:$AS$1006,0)), HYPERLINK("#",""), HYPERLINK(CONCATENATE("#Metadata!", ADDRESS(INDEX($X$2:$X$1001,MATCH(ROWS($V$2:V423),$V$2:$V$1001,0),0), INDEX($AC$1004:$AS$1004,1,MATCH(COLUMNS($AC$1006:AL1006),$AC$1006:$AS$1006,0)))),"Fix")))</f>
        <v>0</v>
      </c>
      <c r="L423" s="5">
        <f>IF(OR(INDEX($W$2:$W$1001,MATCH(ROWS($V$2:V423),$V$2:$V$1001,0),1)&gt;=100000,INDEX($AC$1005:$AS$1005,1,MATCH(COLUMNS($AC$1006:AM1006),$AC$1006:$AS$1006,0))&gt;=100000), " ",IF(INDEX($AC$2:$AS$1001,MATCH(ROWS($V$2:V423),$V$2:$V$1001,0),MATCH(COLUMNS($AC$1006:AM1006),$AC$1006:$AS$1006,0)), HYPERLINK("#",""), HYPERLINK(CONCATENATE("#Metadata!", ADDRESS(INDEX($X$2:$X$1001,MATCH(ROWS($V$2:V423),$V$2:$V$1001,0),0), INDEX($AC$1004:$AS$1004,1,MATCH(COLUMNS($AC$1006:AM1006),$AC$1006:$AS$1006,0)))),"Fix")))</f>
        <v>0</v>
      </c>
      <c r="M423" s="5">
        <f>IF(OR(INDEX($W$2:$W$1001,MATCH(ROWS($V$2:V423),$V$2:$V$1001,0),1)&gt;=100000,INDEX($AC$1005:$AS$1005,1,MATCH(COLUMNS($AC$1006:AN1006),$AC$1006:$AS$1006,0))&gt;=100000), " ",IF(INDEX($AC$2:$AS$1001,MATCH(ROWS($V$2:V423),$V$2:$V$1001,0),MATCH(COLUMNS($AC$1006:AN1006),$AC$1006:$AS$1006,0)), HYPERLINK("#",""), HYPERLINK(CONCATENATE("#Metadata!", ADDRESS(INDEX($X$2:$X$1001,MATCH(ROWS($V$2:V423),$V$2:$V$1001,0),0), INDEX($AC$1004:$AS$1004,1,MATCH(COLUMNS($AC$1006:AN1006),$AC$1006:$AS$1006,0)))),"Fix")))</f>
        <v>0</v>
      </c>
      <c r="N423" s="5">
        <f>IF(OR(INDEX($W$2:$W$1001,MATCH(ROWS($V$2:V423),$V$2:$V$1001,0),1)&gt;=100000,INDEX($AC$1005:$AS$1005,1,MATCH(COLUMNS($AC$1006:AO1006),$AC$1006:$AS$1006,0))&gt;=100000), " ",IF(INDEX($AC$2:$AS$1001,MATCH(ROWS($V$2:V423),$V$2:$V$1001,0),MATCH(COLUMNS($AC$1006:AO1006),$AC$1006:$AS$1006,0)), HYPERLINK("#",""), HYPERLINK(CONCATENATE("#Metadata!", ADDRESS(INDEX($X$2:$X$1001,MATCH(ROWS($V$2:V423),$V$2:$V$1001,0),0), INDEX($AC$1004:$AS$1004,1,MATCH(COLUMNS($AC$1006:AO1006),$AC$1006:$AS$1006,0)))),"Fix")))</f>
        <v>0</v>
      </c>
      <c r="O423" s="5">
        <f>IF(OR(INDEX($W$2:$W$1001,MATCH(ROWS($V$2:V423),$V$2:$V$1001,0),1)&gt;=100000,INDEX($AC$1005:$AS$1005,1,MATCH(COLUMNS($AC$1006:AP1006),$AC$1006:$AS$1006,0))&gt;=100000), " ",IF(INDEX($AC$2:$AS$1001,MATCH(ROWS($V$2:V423),$V$2:$V$1001,0),MATCH(COLUMNS($AC$1006:AP1006),$AC$1006:$AS$1006,0)), HYPERLINK("#",""), HYPERLINK(CONCATENATE("#Metadata!", ADDRESS(INDEX($X$2:$X$1001,MATCH(ROWS($V$2:V423),$V$2:$V$1001,0),0), INDEX($AC$1004:$AS$1004,1,MATCH(COLUMNS($AC$1006:AP1006),$AC$1006:$AS$1006,0)))),"Fix")))</f>
        <v>0</v>
      </c>
      <c r="P423" s="5">
        <f>IF(OR(INDEX($W$2:$W$1001,MATCH(ROWS($V$2:V423),$V$2:$V$1001,0),1)&gt;=100000,INDEX($AC$1005:$AS$1005,1,MATCH(COLUMNS($AC$1006:AQ1006),$AC$1006:$AS$1006,0))&gt;=100000), " ",IF(INDEX($AC$2:$AS$1001,MATCH(ROWS($V$2:V423),$V$2:$V$1001,0),MATCH(COLUMNS($AC$1006:AQ1006),$AC$1006:$AS$1006,0)), HYPERLINK("#",""), HYPERLINK(CONCATENATE("#Metadata!", ADDRESS(INDEX($X$2:$X$1001,MATCH(ROWS($V$2:V423),$V$2:$V$1001,0),0), INDEX($AC$1004:$AS$1004,1,MATCH(COLUMNS($AC$1006:AQ1006),$AC$1006:$AS$1006,0)))),"Fix")))</f>
        <v>0</v>
      </c>
      <c r="Q423" s="5">
        <f>IF(OR(INDEX($W$2:$W$1001,MATCH(ROWS($V$2:V423),$V$2:$V$1001,0),1)&gt;=100000,INDEX($AC$1005:$AS$1005,1,MATCH(COLUMNS($AC$1006:AR1006),$AC$1006:$AS$1006,0))&gt;=100000), " ",IF(INDEX($AC$2:$AS$1001,MATCH(ROWS($V$2:V423),$V$2:$V$1001,0),MATCH(COLUMNS($AC$1006:AR1006),$AC$1006:$AS$1006,0)), HYPERLINK("#",""), HYPERLINK(CONCATENATE("#Metadata!", ADDRESS(INDEX($X$2:$X$1001,MATCH(ROWS($V$2:V423),$V$2:$V$1001,0),0), INDEX($AC$1004:$AS$1004,1,MATCH(COLUMNS($AC$1006:AR1006),$AC$1006:$AS$1006,0)))),"Fix")))</f>
        <v>0</v>
      </c>
      <c r="R423" s="5">
        <f>IF(OR(INDEX($W$2:$W$1001,MATCH(ROWS($V$2:V423),$V$2:$V$1001,0),1)&gt;=100000,INDEX($AC$1005:$AS$1005,1,MATCH(COLUMNS($AC$1006:AS1006),$AC$1006:$AS$1006,0))&gt;=100000), " ",IF(INDEX($AC$2:$AS$1001,MATCH(ROWS($V$2:V423),$V$2:$V$1001,0),MATCH(COLUMNS($AC$1006:AS1006),$AC$1006:$AS$1006,0)), HYPERLINK("#",""), HYPERLINK(CONCATENATE("#Metadata!", ADDRESS(INDEX($X$2:$X$1001,MATCH(ROWS($V$2:V423),$V$2:$V$1001,0),0), INDEX($AC$1004:$AS$1004,1,MATCH(COLUMNS($AC$1006:AS1006),$AC$1006:$AS$1006,0)))),"Fix")))</f>
        <v>0</v>
      </c>
      <c r="V423">
        <v>0</v>
      </c>
      <c r="W423">
        <v>0</v>
      </c>
      <c r="X423">
        <v>0</v>
      </c>
      <c r="Y423">
        <f>IF(Z423,TRUE,AND(AC423:AS423))</f>
        <v>0</v>
      </c>
      <c r="Z423">
        <f>COUNTBLANK(Metadata!B423:R423)=COLUMNS(Metadata!B423:R423)</f>
        <v>0</v>
      </c>
      <c r="AA423">
        <v>0</v>
      </c>
      <c r="AC423">
        <f>AND(IF(Metadata!B423="",FALSE,TRUE),COUNTIF(Metadata!B:B, Metadata!B423) = 1,NOT(ISERROR(SUMPRODUCT(SEARCH(MID(Metadata!B423,ROW(INDIRECT("1:"&amp;LEN(Metadata!B423))), 1),"0123456789abcdefghijklmnopqrstuvwxyzABCDEFGHIJKLMNOPQRSTUVWXYZ.")))))</f>
        <v>0</v>
      </c>
      <c r="AD423">
        <f>AND(IF(Metadata!C423="",FALSE,TRUE),exact(Metadata!C423,"Host-associated"))</f>
        <v>0</v>
      </c>
      <c r="AE423">
        <f>AND(IF(Metadata!D423="",FALSE,TRUE),OR(exact(Metadata!D423,"Animal"),exact(Metadata!D423,"Fungus"),exact(Metadata!D423,"Plant")))</f>
        <v>0</v>
      </c>
      <c r="AF423">
        <f>AND(IF(Metadata!E423="",FALSE,TRUE),OR(exact(Metadata!E423,"Plant secretion"),exact(Metadata!E423,"Plant rhizosphere"),exact(Metadata!E423,"Plant surface"),exact(Metadata!E423,"Plant corpus"),exact(Metadata!E423,"Fungus surface"),exact(Metadata!E423,"Fungus corpus"),exact(Metadata!E423,"Animal surface"),exact(Metadata!E423,"Animal proximal gut"),exact(Metadata!E423,"Animal corpus"),exact(Metadata!E423,"Animal distal gut"),exact(Metadata!E423,"Animal secretion")))</f>
        <v>0</v>
      </c>
      <c r="AG423">
        <f>OR(AND(IF(Metadata!F423="",FALSE,TRUE),OR(exact(Metadata!F423,"not collected"),exact(Metadata!F423,"not provided"),exact(Metadata!F423,"restricted access"))),AND(IF(Metadata!F423="",FALSE,TRUE),OR(exact(Metadata!F423,"organism-associated habitat"),exact(Metadata!F423,"plant-associated habitat"),exact(Metadata!F423,"animal-associated habitat"),exact(Metadata!F423,"insecta-associated habitat"),exact(Metadata!F423,"mammalia-associated habitat"),exact(Metadata!F423,"human-associated habitat"),exact(Metadata!F423,"livestock-associated habitat"))))</f>
        <v>0</v>
      </c>
      <c r="AH423">
        <f>AND(IF(Metadata!G423="",FALSE,TRUE),exact(Metadata!G423,"host-associated"))</f>
        <v>0</v>
      </c>
      <c r="AI423">
        <f>OR(AND(IF(Metadata!H423="",FALSE,TRUE),OR(exact(Metadata!H423,"not collected"),exact(Metadata!H423,"not provided"))),AND(IF(Metadata!H423="",FALSE,ISNUMBER(VALUE(Metadata!H423))),Metadata!H423&gt;0))</f>
        <v>0</v>
      </c>
      <c r="AJ423">
        <f>AND(IF(Metadata!I423="",FALSE,TRUE),exact(Metadata!I423,"years"))</f>
        <v>0</v>
      </c>
      <c r="AK423">
        <f>IF(Metadata!J423="",FALSE,TRUE)</f>
        <v>0</v>
      </c>
      <c r="AL423">
        <f>OR(AND(IF(Metadata!K423="",FALSE,TRUE),OR(exact(Metadata!K423,"not collected"),exact(Metadata!K423,"not provided"))),AND(IF(Metadata!K423="",FALSE,ISNUMBER(VALUE(Metadata!K423))),Metadata!K423&gt;0))</f>
        <v>0</v>
      </c>
      <c r="AM423">
        <f>AND(IF(Metadata!L423="",FALSE,TRUE),exact(Metadata!L423,"cm"))</f>
        <v>0</v>
      </c>
      <c r="AN423">
        <f>IF(Metadata!M423="",FALSE,TRUE)</f>
        <v>0</v>
      </c>
      <c r="AO423">
        <f>OR(AND(IF(Metadata!N423="",FALSE,TRUE),OR(exact(Metadata!N423,"not applicable"),exact(Metadata!N423,"not collected"),exact(Metadata!N423,"not provided"))),AND(IF(Metadata!N423="",FALSE,IF(ISERROR(INT(Metadata!N423)),FALSE,INT(Metadata!N423)=Metadata!N423)),Metadata!N423&gt;0))</f>
        <v>0</v>
      </c>
      <c r="AP423">
        <f>OR(AND(IF(Metadata!O423="",FALSE,TRUE),OR(exact(Metadata!O423,"not collected"),exact(Metadata!O423,"not provided"))),AND(IF(Metadata!O423="",FALSE,ISNUMBER(VALUE(Metadata!O423))),Metadata!O423&gt;0))</f>
        <v>0</v>
      </c>
      <c r="AQ423">
        <f>AND(IF(Metadata!P423="",FALSE,TRUE),exact(Metadata!P423,"kg"))</f>
        <v>0</v>
      </c>
      <c r="AR423">
        <f>OR(AND(IF(Metadata!Q423="",FALSE,TRUE),OR(exact(Metadata!Q423,"not applicable"),exact(Metadata!Q423,"not collected"),exact(Metadata!Q423,"not provided"),exact(Metadata!Q423,"restricted access"))),IF(Metadata!Q423="",FALSE,IF(ISERROR(INT(Metadata!Q423)),FALSE,INT(Metadata!Q423)=Metadata!Q423)))</f>
        <v>0</v>
      </c>
      <c r="AS423">
        <f>AND(IF(Metadata!R423="",FALSE,TRUE),exact(Metadata!R423,"Not applicable"))</f>
        <v>0</v>
      </c>
    </row>
    <row r="424" spans="1:45">
      <c r="A424" s="4">
        <f>IF(B424=" "," ",HYPERLINK(CONCATENATE("#metadata!",ADDRESS(INDEX($X$2:$X$1001,MATCH(ROWS($V$2:V424),$V$2:$V$1001,0),0),2)),INDEX($AA$2:$AA$1001,MATCH(ROWS($V$2:V424),$V$2:$V$1001,0),0)))</f>
        <v>0</v>
      </c>
      <c r="B424" s="5">
        <f>IF(OR(INDEX($W$2:$W$1001,MATCH(ROWS($V$2:V424),$V$2:$V$1001,0),1)&gt;=100000,INDEX($AC$1005:$AS$1005,1,MATCH(COLUMNS($AC$1006:AC1006),$AC$1006:$AS$1006,0))&gt;=100000), " ",IF(INDEX($AC$2:$AS$1001,MATCH(ROWS($V$2:V424),$V$2:$V$1001,0),MATCH(COLUMNS($AC$1006:AC1006),$AC$1006:$AS$1006,0)), HYPERLINK("#",""), HYPERLINK(CONCATENATE("#Metadata!", ADDRESS(INDEX($X$2:$X$1001,MATCH(ROWS($V$2:V424),$V$2:$V$1001,0),0), INDEX($AC$1004:$AS$1004,1,MATCH(COLUMNS($AC$1006:AC1006),$AC$1006:$AS$1006,0)))),"Fix")))</f>
        <v>0</v>
      </c>
      <c r="C424" s="5">
        <f>IF(OR(INDEX($W$2:$W$1001,MATCH(ROWS($V$2:V424),$V$2:$V$1001,0),1)&gt;=100000,INDEX($AC$1005:$AS$1005,1,MATCH(COLUMNS($AC$1006:AD1006),$AC$1006:$AS$1006,0))&gt;=100000), " ",IF(INDEX($AC$2:$AS$1001,MATCH(ROWS($V$2:V424),$V$2:$V$1001,0),MATCH(COLUMNS($AC$1006:AD1006),$AC$1006:$AS$1006,0)), HYPERLINK("#",""), HYPERLINK(CONCATENATE("#Metadata!", ADDRESS(INDEX($X$2:$X$1001,MATCH(ROWS($V$2:V424),$V$2:$V$1001,0),0), INDEX($AC$1004:$AS$1004,1,MATCH(COLUMNS($AC$1006:AD1006),$AC$1006:$AS$1006,0)))),"Fix")))</f>
        <v>0</v>
      </c>
      <c r="D424" s="5">
        <f>IF(OR(INDEX($W$2:$W$1001,MATCH(ROWS($V$2:V424),$V$2:$V$1001,0),1)&gt;=100000,INDEX($AC$1005:$AS$1005,1,MATCH(COLUMNS($AC$1006:AE1006),$AC$1006:$AS$1006,0))&gt;=100000), " ",IF(INDEX($AC$2:$AS$1001,MATCH(ROWS($V$2:V424),$V$2:$V$1001,0),MATCH(COLUMNS($AC$1006:AE1006),$AC$1006:$AS$1006,0)), HYPERLINK("#",""), HYPERLINK(CONCATENATE("#Metadata!", ADDRESS(INDEX($X$2:$X$1001,MATCH(ROWS($V$2:V424),$V$2:$V$1001,0),0), INDEX($AC$1004:$AS$1004,1,MATCH(COLUMNS($AC$1006:AE1006),$AC$1006:$AS$1006,0)))),"Fix")))</f>
        <v>0</v>
      </c>
      <c r="E424" s="5">
        <f>IF(OR(INDEX($W$2:$W$1001,MATCH(ROWS($V$2:V424),$V$2:$V$1001,0),1)&gt;=100000,INDEX($AC$1005:$AS$1005,1,MATCH(COLUMNS($AC$1006:AF1006),$AC$1006:$AS$1006,0))&gt;=100000), " ",IF(INDEX($AC$2:$AS$1001,MATCH(ROWS($V$2:V424),$V$2:$V$1001,0),MATCH(COLUMNS($AC$1006:AF1006),$AC$1006:$AS$1006,0)), HYPERLINK("#",""), HYPERLINK(CONCATENATE("#Metadata!", ADDRESS(INDEX($X$2:$X$1001,MATCH(ROWS($V$2:V424),$V$2:$V$1001,0),0), INDEX($AC$1004:$AS$1004,1,MATCH(COLUMNS($AC$1006:AF1006),$AC$1006:$AS$1006,0)))),"Fix")))</f>
        <v>0</v>
      </c>
      <c r="F424" s="5">
        <f>IF(OR(INDEX($W$2:$W$1001,MATCH(ROWS($V$2:V424),$V$2:$V$1001,0),1)&gt;=100000,INDEX($AC$1005:$AS$1005,1,MATCH(COLUMNS($AC$1006:AG1006),$AC$1006:$AS$1006,0))&gt;=100000), " ",IF(INDEX($AC$2:$AS$1001,MATCH(ROWS($V$2:V424),$V$2:$V$1001,0),MATCH(COLUMNS($AC$1006:AG1006),$AC$1006:$AS$1006,0)), HYPERLINK("#",""), HYPERLINK(CONCATENATE("#Metadata!", ADDRESS(INDEX($X$2:$X$1001,MATCH(ROWS($V$2:V424),$V$2:$V$1001,0),0), INDEX($AC$1004:$AS$1004,1,MATCH(COLUMNS($AC$1006:AG1006),$AC$1006:$AS$1006,0)))),"Fix")))</f>
        <v>0</v>
      </c>
      <c r="G424" s="5">
        <f>IF(OR(INDEX($W$2:$W$1001,MATCH(ROWS($V$2:V424),$V$2:$V$1001,0),1)&gt;=100000,INDEX($AC$1005:$AS$1005,1,MATCH(COLUMNS($AC$1006:AH1006),$AC$1006:$AS$1006,0))&gt;=100000), " ",IF(INDEX($AC$2:$AS$1001,MATCH(ROWS($V$2:V424),$V$2:$V$1001,0),MATCH(COLUMNS($AC$1006:AH1006),$AC$1006:$AS$1006,0)), HYPERLINK("#",""), HYPERLINK(CONCATENATE("#Metadata!", ADDRESS(INDEX($X$2:$X$1001,MATCH(ROWS($V$2:V424),$V$2:$V$1001,0),0), INDEX($AC$1004:$AS$1004,1,MATCH(COLUMNS($AC$1006:AH1006),$AC$1006:$AS$1006,0)))),"Fix")))</f>
        <v>0</v>
      </c>
      <c r="H424" s="5">
        <f>IF(OR(INDEX($W$2:$W$1001,MATCH(ROWS($V$2:V424),$V$2:$V$1001,0),1)&gt;=100000,INDEX($AC$1005:$AS$1005,1,MATCH(COLUMNS($AC$1006:AI1006),$AC$1006:$AS$1006,0))&gt;=100000), " ",IF(INDEX($AC$2:$AS$1001,MATCH(ROWS($V$2:V424),$V$2:$V$1001,0),MATCH(COLUMNS($AC$1006:AI1006),$AC$1006:$AS$1006,0)), HYPERLINK("#",""), HYPERLINK(CONCATENATE("#Metadata!", ADDRESS(INDEX($X$2:$X$1001,MATCH(ROWS($V$2:V424),$V$2:$V$1001,0),0), INDEX($AC$1004:$AS$1004,1,MATCH(COLUMNS($AC$1006:AI1006),$AC$1006:$AS$1006,0)))),"Fix")))</f>
        <v>0</v>
      </c>
      <c r="I424" s="5">
        <f>IF(OR(INDEX($W$2:$W$1001,MATCH(ROWS($V$2:V424),$V$2:$V$1001,0),1)&gt;=100000,INDEX($AC$1005:$AS$1005,1,MATCH(COLUMNS($AC$1006:AJ1006),$AC$1006:$AS$1006,0))&gt;=100000), " ",IF(INDEX($AC$2:$AS$1001,MATCH(ROWS($V$2:V424),$V$2:$V$1001,0),MATCH(COLUMNS($AC$1006:AJ1006),$AC$1006:$AS$1006,0)), HYPERLINK("#",""), HYPERLINK(CONCATENATE("#Metadata!", ADDRESS(INDEX($X$2:$X$1001,MATCH(ROWS($V$2:V424),$V$2:$V$1001,0),0), INDEX($AC$1004:$AS$1004,1,MATCH(COLUMNS($AC$1006:AJ1006),$AC$1006:$AS$1006,0)))),"Fix")))</f>
        <v>0</v>
      </c>
      <c r="J424" s="5">
        <f>IF(OR(INDEX($W$2:$W$1001,MATCH(ROWS($V$2:V424),$V$2:$V$1001,0),1)&gt;=100000,INDEX($AC$1005:$AS$1005,1,MATCH(COLUMNS($AC$1006:AK1006),$AC$1006:$AS$1006,0))&gt;=100000), " ",IF(INDEX($AC$2:$AS$1001,MATCH(ROWS($V$2:V424),$V$2:$V$1001,0),MATCH(COLUMNS($AC$1006:AK1006),$AC$1006:$AS$1006,0)), HYPERLINK("#",""), HYPERLINK(CONCATENATE("#Metadata!", ADDRESS(INDEX($X$2:$X$1001,MATCH(ROWS($V$2:V424),$V$2:$V$1001,0),0), INDEX($AC$1004:$AS$1004,1,MATCH(COLUMNS($AC$1006:AK1006),$AC$1006:$AS$1006,0)))),"Fix")))</f>
        <v>0</v>
      </c>
      <c r="K424" s="5">
        <f>IF(OR(INDEX($W$2:$W$1001,MATCH(ROWS($V$2:V424),$V$2:$V$1001,0),1)&gt;=100000,INDEX($AC$1005:$AS$1005,1,MATCH(COLUMNS($AC$1006:AL1006),$AC$1006:$AS$1006,0))&gt;=100000), " ",IF(INDEX($AC$2:$AS$1001,MATCH(ROWS($V$2:V424),$V$2:$V$1001,0),MATCH(COLUMNS($AC$1006:AL1006),$AC$1006:$AS$1006,0)), HYPERLINK("#",""), HYPERLINK(CONCATENATE("#Metadata!", ADDRESS(INDEX($X$2:$X$1001,MATCH(ROWS($V$2:V424),$V$2:$V$1001,0),0), INDEX($AC$1004:$AS$1004,1,MATCH(COLUMNS($AC$1006:AL1006),$AC$1006:$AS$1006,0)))),"Fix")))</f>
        <v>0</v>
      </c>
      <c r="L424" s="5">
        <f>IF(OR(INDEX($W$2:$W$1001,MATCH(ROWS($V$2:V424),$V$2:$V$1001,0),1)&gt;=100000,INDEX($AC$1005:$AS$1005,1,MATCH(COLUMNS($AC$1006:AM1006),$AC$1006:$AS$1006,0))&gt;=100000), " ",IF(INDEX($AC$2:$AS$1001,MATCH(ROWS($V$2:V424),$V$2:$V$1001,0),MATCH(COLUMNS($AC$1006:AM1006),$AC$1006:$AS$1006,0)), HYPERLINK("#",""), HYPERLINK(CONCATENATE("#Metadata!", ADDRESS(INDEX($X$2:$X$1001,MATCH(ROWS($V$2:V424),$V$2:$V$1001,0),0), INDEX($AC$1004:$AS$1004,1,MATCH(COLUMNS($AC$1006:AM1006),$AC$1006:$AS$1006,0)))),"Fix")))</f>
        <v>0</v>
      </c>
      <c r="M424" s="5">
        <f>IF(OR(INDEX($W$2:$W$1001,MATCH(ROWS($V$2:V424),$V$2:$V$1001,0),1)&gt;=100000,INDEX($AC$1005:$AS$1005,1,MATCH(COLUMNS($AC$1006:AN1006),$AC$1006:$AS$1006,0))&gt;=100000), " ",IF(INDEX($AC$2:$AS$1001,MATCH(ROWS($V$2:V424),$V$2:$V$1001,0),MATCH(COLUMNS($AC$1006:AN1006),$AC$1006:$AS$1006,0)), HYPERLINK("#",""), HYPERLINK(CONCATENATE("#Metadata!", ADDRESS(INDEX($X$2:$X$1001,MATCH(ROWS($V$2:V424),$V$2:$V$1001,0),0), INDEX($AC$1004:$AS$1004,1,MATCH(COLUMNS($AC$1006:AN1006),$AC$1006:$AS$1006,0)))),"Fix")))</f>
        <v>0</v>
      </c>
      <c r="N424" s="5">
        <f>IF(OR(INDEX($W$2:$W$1001,MATCH(ROWS($V$2:V424),$V$2:$V$1001,0),1)&gt;=100000,INDEX($AC$1005:$AS$1005,1,MATCH(COLUMNS($AC$1006:AO1006),$AC$1006:$AS$1006,0))&gt;=100000), " ",IF(INDEX($AC$2:$AS$1001,MATCH(ROWS($V$2:V424),$V$2:$V$1001,0),MATCH(COLUMNS($AC$1006:AO1006),$AC$1006:$AS$1006,0)), HYPERLINK("#",""), HYPERLINK(CONCATENATE("#Metadata!", ADDRESS(INDEX($X$2:$X$1001,MATCH(ROWS($V$2:V424),$V$2:$V$1001,0),0), INDEX($AC$1004:$AS$1004,1,MATCH(COLUMNS($AC$1006:AO1006),$AC$1006:$AS$1006,0)))),"Fix")))</f>
        <v>0</v>
      </c>
      <c r="O424" s="5">
        <f>IF(OR(INDEX($W$2:$W$1001,MATCH(ROWS($V$2:V424),$V$2:$V$1001,0),1)&gt;=100000,INDEX($AC$1005:$AS$1005,1,MATCH(COLUMNS($AC$1006:AP1006),$AC$1006:$AS$1006,0))&gt;=100000), " ",IF(INDEX($AC$2:$AS$1001,MATCH(ROWS($V$2:V424),$V$2:$V$1001,0),MATCH(COLUMNS($AC$1006:AP1006),$AC$1006:$AS$1006,0)), HYPERLINK("#",""), HYPERLINK(CONCATENATE("#Metadata!", ADDRESS(INDEX($X$2:$X$1001,MATCH(ROWS($V$2:V424),$V$2:$V$1001,0),0), INDEX($AC$1004:$AS$1004,1,MATCH(COLUMNS($AC$1006:AP1006),$AC$1006:$AS$1006,0)))),"Fix")))</f>
        <v>0</v>
      </c>
      <c r="P424" s="5">
        <f>IF(OR(INDEX($W$2:$W$1001,MATCH(ROWS($V$2:V424),$V$2:$V$1001,0),1)&gt;=100000,INDEX($AC$1005:$AS$1005,1,MATCH(COLUMNS($AC$1006:AQ1006),$AC$1006:$AS$1006,0))&gt;=100000), " ",IF(INDEX($AC$2:$AS$1001,MATCH(ROWS($V$2:V424),$V$2:$V$1001,0),MATCH(COLUMNS($AC$1006:AQ1006),$AC$1006:$AS$1006,0)), HYPERLINK("#",""), HYPERLINK(CONCATENATE("#Metadata!", ADDRESS(INDEX($X$2:$X$1001,MATCH(ROWS($V$2:V424),$V$2:$V$1001,0),0), INDEX($AC$1004:$AS$1004,1,MATCH(COLUMNS($AC$1006:AQ1006),$AC$1006:$AS$1006,0)))),"Fix")))</f>
        <v>0</v>
      </c>
      <c r="Q424" s="5">
        <f>IF(OR(INDEX($W$2:$W$1001,MATCH(ROWS($V$2:V424),$V$2:$V$1001,0),1)&gt;=100000,INDEX($AC$1005:$AS$1005,1,MATCH(COLUMNS($AC$1006:AR1006),$AC$1006:$AS$1006,0))&gt;=100000), " ",IF(INDEX($AC$2:$AS$1001,MATCH(ROWS($V$2:V424),$V$2:$V$1001,0),MATCH(COLUMNS($AC$1006:AR1006),$AC$1006:$AS$1006,0)), HYPERLINK("#",""), HYPERLINK(CONCATENATE("#Metadata!", ADDRESS(INDEX($X$2:$X$1001,MATCH(ROWS($V$2:V424),$V$2:$V$1001,0),0), INDEX($AC$1004:$AS$1004,1,MATCH(COLUMNS($AC$1006:AR1006),$AC$1006:$AS$1006,0)))),"Fix")))</f>
        <v>0</v>
      </c>
      <c r="R424" s="5">
        <f>IF(OR(INDEX($W$2:$W$1001,MATCH(ROWS($V$2:V424),$V$2:$V$1001,0),1)&gt;=100000,INDEX($AC$1005:$AS$1005,1,MATCH(COLUMNS($AC$1006:AS1006),$AC$1006:$AS$1006,0))&gt;=100000), " ",IF(INDEX($AC$2:$AS$1001,MATCH(ROWS($V$2:V424),$V$2:$V$1001,0),MATCH(COLUMNS($AC$1006:AS1006),$AC$1006:$AS$1006,0)), HYPERLINK("#",""), HYPERLINK(CONCATENATE("#Metadata!", ADDRESS(INDEX($X$2:$X$1001,MATCH(ROWS($V$2:V424),$V$2:$V$1001,0),0), INDEX($AC$1004:$AS$1004,1,MATCH(COLUMNS($AC$1006:AS1006),$AC$1006:$AS$1006,0)))),"Fix")))</f>
        <v>0</v>
      </c>
      <c r="V424">
        <v>0</v>
      </c>
      <c r="W424">
        <v>0</v>
      </c>
      <c r="X424">
        <v>0</v>
      </c>
      <c r="Y424">
        <f>IF(Z424,TRUE,AND(AC424:AS424))</f>
        <v>0</v>
      </c>
      <c r="Z424">
        <f>COUNTBLANK(Metadata!B424:R424)=COLUMNS(Metadata!B424:R424)</f>
        <v>0</v>
      </c>
      <c r="AA424">
        <v>0</v>
      </c>
      <c r="AC424">
        <f>AND(IF(Metadata!B424="",FALSE,TRUE),COUNTIF(Metadata!B:B, Metadata!B424) = 1,NOT(ISERROR(SUMPRODUCT(SEARCH(MID(Metadata!B424,ROW(INDIRECT("1:"&amp;LEN(Metadata!B424))), 1),"0123456789abcdefghijklmnopqrstuvwxyzABCDEFGHIJKLMNOPQRSTUVWXYZ.")))))</f>
        <v>0</v>
      </c>
      <c r="AD424">
        <f>AND(IF(Metadata!C424="",FALSE,TRUE),exact(Metadata!C424,"Host-associated"))</f>
        <v>0</v>
      </c>
      <c r="AE424">
        <f>AND(IF(Metadata!D424="",FALSE,TRUE),OR(exact(Metadata!D424,"Animal"),exact(Metadata!D424,"Fungus"),exact(Metadata!D424,"Plant")))</f>
        <v>0</v>
      </c>
      <c r="AF424">
        <f>AND(IF(Metadata!E424="",FALSE,TRUE),OR(exact(Metadata!E424,"Plant secretion"),exact(Metadata!E424,"Plant rhizosphere"),exact(Metadata!E424,"Plant surface"),exact(Metadata!E424,"Plant corpus"),exact(Metadata!E424,"Fungus surface"),exact(Metadata!E424,"Fungus corpus"),exact(Metadata!E424,"Animal surface"),exact(Metadata!E424,"Animal proximal gut"),exact(Metadata!E424,"Animal corpus"),exact(Metadata!E424,"Animal distal gut"),exact(Metadata!E424,"Animal secretion")))</f>
        <v>0</v>
      </c>
      <c r="AG424">
        <f>OR(AND(IF(Metadata!F424="",FALSE,TRUE),OR(exact(Metadata!F424,"not collected"),exact(Metadata!F424,"not provided"),exact(Metadata!F424,"restricted access"))),AND(IF(Metadata!F424="",FALSE,TRUE),OR(exact(Metadata!F424,"organism-associated habitat"),exact(Metadata!F424,"plant-associated habitat"),exact(Metadata!F424,"animal-associated habitat"),exact(Metadata!F424,"insecta-associated habitat"),exact(Metadata!F424,"mammalia-associated habitat"),exact(Metadata!F424,"human-associated habitat"),exact(Metadata!F424,"livestock-associated habitat"))))</f>
        <v>0</v>
      </c>
      <c r="AH424">
        <f>AND(IF(Metadata!G424="",FALSE,TRUE),exact(Metadata!G424,"host-associated"))</f>
        <v>0</v>
      </c>
      <c r="AI424">
        <f>OR(AND(IF(Metadata!H424="",FALSE,TRUE),OR(exact(Metadata!H424,"not collected"),exact(Metadata!H424,"not provided"))),AND(IF(Metadata!H424="",FALSE,ISNUMBER(VALUE(Metadata!H424))),Metadata!H424&gt;0))</f>
        <v>0</v>
      </c>
      <c r="AJ424">
        <f>AND(IF(Metadata!I424="",FALSE,TRUE),exact(Metadata!I424,"years"))</f>
        <v>0</v>
      </c>
      <c r="AK424">
        <f>IF(Metadata!J424="",FALSE,TRUE)</f>
        <v>0</v>
      </c>
      <c r="AL424">
        <f>OR(AND(IF(Metadata!K424="",FALSE,TRUE),OR(exact(Metadata!K424,"not collected"),exact(Metadata!K424,"not provided"))),AND(IF(Metadata!K424="",FALSE,ISNUMBER(VALUE(Metadata!K424))),Metadata!K424&gt;0))</f>
        <v>0</v>
      </c>
      <c r="AM424">
        <f>AND(IF(Metadata!L424="",FALSE,TRUE),exact(Metadata!L424,"cm"))</f>
        <v>0</v>
      </c>
      <c r="AN424">
        <f>IF(Metadata!M424="",FALSE,TRUE)</f>
        <v>0</v>
      </c>
      <c r="AO424">
        <f>OR(AND(IF(Metadata!N424="",FALSE,TRUE),OR(exact(Metadata!N424,"not applicable"),exact(Metadata!N424,"not collected"),exact(Metadata!N424,"not provided"))),AND(IF(Metadata!N424="",FALSE,IF(ISERROR(INT(Metadata!N424)),FALSE,INT(Metadata!N424)=Metadata!N424)),Metadata!N424&gt;0))</f>
        <v>0</v>
      </c>
      <c r="AP424">
        <f>OR(AND(IF(Metadata!O424="",FALSE,TRUE),OR(exact(Metadata!O424,"not collected"),exact(Metadata!O424,"not provided"))),AND(IF(Metadata!O424="",FALSE,ISNUMBER(VALUE(Metadata!O424))),Metadata!O424&gt;0))</f>
        <v>0</v>
      </c>
      <c r="AQ424">
        <f>AND(IF(Metadata!P424="",FALSE,TRUE),exact(Metadata!P424,"kg"))</f>
        <v>0</v>
      </c>
      <c r="AR424">
        <f>OR(AND(IF(Metadata!Q424="",FALSE,TRUE),OR(exact(Metadata!Q424,"not applicable"),exact(Metadata!Q424,"not collected"),exact(Metadata!Q424,"not provided"),exact(Metadata!Q424,"restricted access"))),IF(Metadata!Q424="",FALSE,IF(ISERROR(INT(Metadata!Q424)),FALSE,INT(Metadata!Q424)=Metadata!Q424)))</f>
        <v>0</v>
      </c>
      <c r="AS424">
        <f>AND(IF(Metadata!R424="",FALSE,TRUE),exact(Metadata!R424,"Not applicable"))</f>
        <v>0</v>
      </c>
    </row>
    <row r="425" spans="1:45">
      <c r="A425" s="4">
        <f>IF(B425=" "," ",HYPERLINK(CONCATENATE("#metadata!",ADDRESS(INDEX($X$2:$X$1001,MATCH(ROWS($V$2:V425),$V$2:$V$1001,0),0),2)),INDEX($AA$2:$AA$1001,MATCH(ROWS($V$2:V425),$V$2:$V$1001,0),0)))</f>
        <v>0</v>
      </c>
      <c r="B425" s="5">
        <f>IF(OR(INDEX($W$2:$W$1001,MATCH(ROWS($V$2:V425),$V$2:$V$1001,0),1)&gt;=100000,INDEX($AC$1005:$AS$1005,1,MATCH(COLUMNS($AC$1006:AC1006),$AC$1006:$AS$1006,0))&gt;=100000), " ",IF(INDEX($AC$2:$AS$1001,MATCH(ROWS($V$2:V425),$V$2:$V$1001,0),MATCH(COLUMNS($AC$1006:AC1006),$AC$1006:$AS$1006,0)), HYPERLINK("#",""), HYPERLINK(CONCATENATE("#Metadata!", ADDRESS(INDEX($X$2:$X$1001,MATCH(ROWS($V$2:V425),$V$2:$V$1001,0),0), INDEX($AC$1004:$AS$1004,1,MATCH(COLUMNS($AC$1006:AC1006),$AC$1006:$AS$1006,0)))),"Fix")))</f>
        <v>0</v>
      </c>
      <c r="C425" s="5">
        <f>IF(OR(INDEX($W$2:$W$1001,MATCH(ROWS($V$2:V425),$V$2:$V$1001,0),1)&gt;=100000,INDEX($AC$1005:$AS$1005,1,MATCH(COLUMNS($AC$1006:AD1006),$AC$1006:$AS$1006,0))&gt;=100000), " ",IF(INDEX($AC$2:$AS$1001,MATCH(ROWS($V$2:V425),$V$2:$V$1001,0),MATCH(COLUMNS($AC$1006:AD1006),$AC$1006:$AS$1006,0)), HYPERLINK("#",""), HYPERLINK(CONCATENATE("#Metadata!", ADDRESS(INDEX($X$2:$X$1001,MATCH(ROWS($V$2:V425),$V$2:$V$1001,0),0), INDEX($AC$1004:$AS$1004,1,MATCH(COLUMNS($AC$1006:AD1006),$AC$1006:$AS$1006,0)))),"Fix")))</f>
        <v>0</v>
      </c>
      <c r="D425" s="5">
        <f>IF(OR(INDEX($W$2:$W$1001,MATCH(ROWS($V$2:V425),$V$2:$V$1001,0),1)&gt;=100000,INDEX($AC$1005:$AS$1005,1,MATCH(COLUMNS($AC$1006:AE1006),$AC$1006:$AS$1006,0))&gt;=100000), " ",IF(INDEX($AC$2:$AS$1001,MATCH(ROWS($V$2:V425),$V$2:$V$1001,0),MATCH(COLUMNS($AC$1006:AE1006),$AC$1006:$AS$1006,0)), HYPERLINK("#",""), HYPERLINK(CONCATENATE("#Metadata!", ADDRESS(INDEX($X$2:$X$1001,MATCH(ROWS($V$2:V425),$V$2:$V$1001,0),0), INDEX($AC$1004:$AS$1004,1,MATCH(COLUMNS($AC$1006:AE1006),$AC$1006:$AS$1006,0)))),"Fix")))</f>
        <v>0</v>
      </c>
      <c r="E425" s="5">
        <f>IF(OR(INDEX($W$2:$W$1001,MATCH(ROWS($V$2:V425),$V$2:$V$1001,0),1)&gt;=100000,INDEX($AC$1005:$AS$1005,1,MATCH(COLUMNS($AC$1006:AF1006),$AC$1006:$AS$1006,0))&gt;=100000), " ",IF(INDEX($AC$2:$AS$1001,MATCH(ROWS($V$2:V425),$V$2:$V$1001,0),MATCH(COLUMNS($AC$1006:AF1006),$AC$1006:$AS$1006,0)), HYPERLINK("#",""), HYPERLINK(CONCATENATE("#Metadata!", ADDRESS(INDEX($X$2:$X$1001,MATCH(ROWS($V$2:V425),$V$2:$V$1001,0),0), INDEX($AC$1004:$AS$1004,1,MATCH(COLUMNS($AC$1006:AF1006),$AC$1006:$AS$1006,0)))),"Fix")))</f>
        <v>0</v>
      </c>
      <c r="F425" s="5">
        <f>IF(OR(INDEX($W$2:$W$1001,MATCH(ROWS($V$2:V425),$V$2:$V$1001,0),1)&gt;=100000,INDEX($AC$1005:$AS$1005,1,MATCH(COLUMNS($AC$1006:AG1006),$AC$1006:$AS$1006,0))&gt;=100000), " ",IF(INDEX($AC$2:$AS$1001,MATCH(ROWS($V$2:V425),$V$2:$V$1001,0),MATCH(COLUMNS($AC$1006:AG1006),$AC$1006:$AS$1006,0)), HYPERLINK("#",""), HYPERLINK(CONCATENATE("#Metadata!", ADDRESS(INDEX($X$2:$X$1001,MATCH(ROWS($V$2:V425),$V$2:$V$1001,0),0), INDEX($AC$1004:$AS$1004,1,MATCH(COLUMNS($AC$1006:AG1006),$AC$1006:$AS$1006,0)))),"Fix")))</f>
        <v>0</v>
      </c>
      <c r="G425" s="5">
        <f>IF(OR(INDEX($W$2:$W$1001,MATCH(ROWS($V$2:V425),$V$2:$V$1001,0),1)&gt;=100000,INDEX($AC$1005:$AS$1005,1,MATCH(COLUMNS($AC$1006:AH1006),$AC$1006:$AS$1006,0))&gt;=100000), " ",IF(INDEX($AC$2:$AS$1001,MATCH(ROWS($V$2:V425),$V$2:$V$1001,0),MATCH(COLUMNS($AC$1006:AH1006),$AC$1006:$AS$1006,0)), HYPERLINK("#",""), HYPERLINK(CONCATENATE("#Metadata!", ADDRESS(INDEX($X$2:$X$1001,MATCH(ROWS($V$2:V425),$V$2:$V$1001,0),0), INDEX($AC$1004:$AS$1004,1,MATCH(COLUMNS($AC$1006:AH1006),$AC$1006:$AS$1006,0)))),"Fix")))</f>
        <v>0</v>
      </c>
      <c r="H425" s="5">
        <f>IF(OR(INDEX($W$2:$W$1001,MATCH(ROWS($V$2:V425),$V$2:$V$1001,0),1)&gt;=100000,INDEX($AC$1005:$AS$1005,1,MATCH(COLUMNS($AC$1006:AI1006),$AC$1006:$AS$1006,0))&gt;=100000), " ",IF(INDEX($AC$2:$AS$1001,MATCH(ROWS($V$2:V425),$V$2:$V$1001,0),MATCH(COLUMNS($AC$1006:AI1006),$AC$1006:$AS$1006,0)), HYPERLINK("#",""), HYPERLINK(CONCATENATE("#Metadata!", ADDRESS(INDEX($X$2:$X$1001,MATCH(ROWS($V$2:V425),$V$2:$V$1001,0),0), INDEX($AC$1004:$AS$1004,1,MATCH(COLUMNS($AC$1006:AI1006),$AC$1006:$AS$1006,0)))),"Fix")))</f>
        <v>0</v>
      </c>
      <c r="I425" s="5">
        <f>IF(OR(INDEX($W$2:$W$1001,MATCH(ROWS($V$2:V425),$V$2:$V$1001,0),1)&gt;=100000,INDEX($AC$1005:$AS$1005,1,MATCH(COLUMNS($AC$1006:AJ1006),$AC$1006:$AS$1006,0))&gt;=100000), " ",IF(INDEX($AC$2:$AS$1001,MATCH(ROWS($V$2:V425),$V$2:$V$1001,0),MATCH(COLUMNS($AC$1006:AJ1006),$AC$1006:$AS$1006,0)), HYPERLINK("#",""), HYPERLINK(CONCATENATE("#Metadata!", ADDRESS(INDEX($X$2:$X$1001,MATCH(ROWS($V$2:V425),$V$2:$V$1001,0),0), INDEX($AC$1004:$AS$1004,1,MATCH(COLUMNS($AC$1006:AJ1006),$AC$1006:$AS$1006,0)))),"Fix")))</f>
        <v>0</v>
      </c>
      <c r="J425" s="5">
        <f>IF(OR(INDEX($W$2:$W$1001,MATCH(ROWS($V$2:V425),$V$2:$V$1001,0),1)&gt;=100000,INDEX($AC$1005:$AS$1005,1,MATCH(COLUMNS($AC$1006:AK1006),$AC$1006:$AS$1006,0))&gt;=100000), " ",IF(INDEX($AC$2:$AS$1001,MATCH(ROWS($V$2:V425),$V$2:$V$1001,0),MATCH(COLUMNS($AC$1006:AK1006),$AC$1006:$AS$1006,0)), HYPERLINK("#",""), HYPERLINK(CONCATENATE("#Metadata!", ADDRESS(INDEX($X$2:$X$1001,MATCH(ROWS($V$2:V425),$V$2:$V$1001,0),0), INDEX($AC$1004:$AS$1004,1,MATCH(COLUMNS($AC$1006:AK1006),$AC$1006:$AS$1006,0)))),"Fix")))</f>
        <v>0</v>
      </c>
      <c r="K425" s="5">
        <f>IF(OR(INDEX($W$2:$W$1001,MATCH(ROWS($V$2:V425),$V$2:$V$1001,0),1)&gt;=100000,INDEX($AC$1005:$AS$1005,1,MATCH(COLUMNS($AC$1006:AL1006),$AC$1006:$AS$1006,0))&gt;=100000), " ",IF(INDEX($AC$2:$AS$1001,MATCH(ROWS($V$2:V425),$V$2:$V$1001,0),MATCH(COLUMNS($AC$1006:AL1006),$AC$1006:$AS$1006,0)), HYPERLINK("#",""), HYPERLINK(CONCATENATE("#Metadata!", ADDRESS(INDEX($X$2:$X$1001,MATCH(ROWS($V$2:V425),$V$2:$V$1001,0),0), INDEX($AC$1004:$AS$1004,1,MATCH(COLUMNS($AC$1006:AL1006),$AC$1006:$AS$1006,0)))),"Fix")))</f>
        <v>0</v>
      </c>
      <c r="L425" s="5">
        <f>IF(OR(INDEX($W$2:$W$1001,MATCH(ROWS($V$2:V425),$V$2:$V$1001,0),1)&gt;=100000,INDEX($AC$1005:$AS$1005,1,MATCH(COLUMNS($AC$1006:AM1006),$AC$1006:$AS$1006,0))&gt;=100000), " ",IF(INDEX($AC$2:$AS$1001,MATCH(ROWS($V$2:V425),$V$2:$V$1001,0),MATCH(COLUMNS($AC$1006:AM1006),$AC$1006:$AS$1006,0)), HYPERLINK("#",""), HYPERLINK(CONCATENATE("#Metadata!", ADDRESS(INDEX($X$2:$X$1001,MATCH(ROWS($V$2:V425),$V$2:$V$1001,0),0), INDEX($AC$1004:$AS$1004,1,MATCH(COLUMNS($AC$1006:AM1006),$AC$1006:$AS$1006,0)))),"Fix")))</f>
        <v>0</v>
      </c>
      <c r="M425" s="5">
        <f>IF(OR(INDEX($W$2:$W$1001,MATCH(ROWS($V$2:V425),$V$2:$V$1001,0),1)&gt;=100000,INDEX($AC$1005:$AS$1005,1,MATCH(COLUMNS($AC$1006:AN1006),$AC$1006:$AS$1006,0))&gt;=100000), " ",IF(INDEX($AC$2:$AS$1001,MATCH(ROWS($V$2:V425),$V$2:$V$1001,0),MATCH(COLUMNS($AC$1006:AN1006),$AC$1006:$AS$1006,0)), HYPERLINK("#",""), HYPERLINK(CONCATENATE("#Metadata!", ADDRESS(INDEX($X$2:$X$1001,MATCH(ROWS($V$2:V425),$V$2:$V$1001,0),0), INDEX($AC$1004:$AS$1004,1,MATCH(COLUMNS($AC$1006:AN1006),$AC$1006:$AS$1006,0)))),"Fix")))</f>
        <v>0</v>
      </c>
      <c r="N425" s="5">
        <f>IF(OR(INDEX($W$2:$W$1001,MATCH(ROWS($V$2:V425),$V$2:$V$1001,0),1)&gt;=100000,INDEX($AC$1005:$AS$1005,1,MATCH(COLUMNS($AC$1006:AO1006),$AC$1006:$AS$1006,0))&gt;=100000), " ",IF(INDEX($AC$2:$AS$1001,MATCH(ROWS($V$2:V425),$V$2:$V$1001,0),MATCH(COLUMNS($AC$1006:AO1006),$AC$1006:$AS$1006,0)), HYPERLINK("#",""), HYPERLINK(CONCATENATE("#Metadata!", ADDRESS(INDEX($X$2:$X$1001,MATCH(ROWS($V$2:V425),$V$2:$V$1001,0),0), INDEX($AC$1004:$AS$1004,1,MATCH(COLUMNS($AC$1006:AO1006),$AC$1006:$AS$1006,0)))),"Fix")))</f>
        <v>0</v>
      </c>
      <c r="O425" s="5">
        <f>IF(OR(INDEX($W$2:$W$1001,MATCH(ROWS($V$2:V425),$V$2:$V$1001,0),1)&gt;=100000,INDEX($AC$1005:$AS$1005,1,MATCH(COLUMNS($AC$1006:AP1006),$AC$1006:$AS$1006,0))&gt;=100000), " ",IF(INDEX($AC$2:$AS$1001,MATCH(ROWS($V$2:V425),$V$2:$V$1001,0),MATCH(COLUMNS($AC$1006:AP1006),$AC$1006:$AS$1006,0)), HYPERLINK("#",""), HYPERLINK(CONCATENATE("#Metadata!", ADDRESS(INDEX($X$2:$X$1001,MATCH(ROWS($V$2:V425),$V$2:$V$1001,0),0), INDEX($AC$1004:$AS$1004,1,MATCH(COLUMNS($AC$1006:AP1006),$AC$1006:$AS$1006,0)))),"Fix")))</f>
        <v>0</v>
      </c>
      <c r="P425" s="5">
        <f>IF(OR(INDEX($W$2:$W$1001,MATCH(ROWS($V$2:V425),$V$2:$V$1001,0),1)&gt;=100000,INDEX($AC$1005:$AS$1005,1,MATCH(COLUMNS($AC$1006:AQ1006),$AC$1006:$AS$1006,0))&gt;=100000), " ",IF(INDEX($AC$2:$AS$1001,MATCH(ROWS($V$2:V425),$V$2:$V$1001,0),MATCH(COLUMNS($AC$1006:AQ1006),$AC$1006:$AS$1006,0)), HYPERLINK("#",""), HYPERLINK(CONCATENATE("#Metadata!", ADDRESS(INDEX($X$2:$X$1001,MATCH(ROWS($V$2:V425),$V$2:$V$1001,0),0), INDEX($AC$1004:$AS$1004,1,MATCH(COLUMNS($AC$1006:AQ1006),$AC$1006:$AS$1006,0)))),"Fix")))</f>
        <v>0</v>
      </c>
      <c r="Q425" s="5">
        <f>IF(OR(INDEX($W$2:$W$1001,MATCH(ROWS($V$2:V425),$V$2:$V$1001,0),1)&gt;=100000,INDEX($AC$1005:$AS$1005,1,MATCH(COLUMNS($AC$1006:AR1006),$AC$1006:$AS$1006,0))&gt;=100000), " ",IF(INDEX($AC$2:$AS$1001,MATCH(ROWS($V$2:V425),$V$2:$V$1001,0),MATCH(COLUMNS($AC$1006:AR1006),$AC$1006:$AS$1006,0)), HYPERLINK("#",""), HYPERLINK(CONCATENATE("#Metadata!", ADDRESS(INDEX($X$2:$X$1001,MATCH(ROWS($V$2:V425),$V$2:$V$1001,0),0), INDEX($AC$1004:$AS$1004,1,MATCH(COLUMNS($AC$1006:AR1006),$AC$1006:$AS$1006,0)))),"Fix")))</f>
        <v>0</v>
      </c>
      <c r="R425" s="5">
        <f>IF(OR(INDEX($W$2:$W$1001,MATCH(ROWS($V$2:V425),$V$2:$V$1001,0),1)&gt;=100000,INDEX($AC$1005:$AS$1005,1,MATCH(COLUMNS($AC$1006:AS1006),$AC$1006:$AS$1006,0))&gt;=100000), " ",IF(INDEX($AC$2:$AS$1001,MATCH(ROWS($V$2:V425),$V$2:$V$1001,0),MATCH(COLUMNS($AC$1006:AS1006),$AC$1006:$AS$1006,0)), HYPERLINK("#",""), HYPERLINK(CONCATENATE("#Metadata!", ADDRESS(INDEX($X$2:$X$1001,MATCH(ROWS($V$2:V425),$V$2:$V$1001,0),0), INDEX($AC$1004:$AS$1004,1,MATCH(COLUMNS($AC$1006:AS1006),$AC$1006:$AS$1006,0)))),"Fix")))</f>
        <v>0</v>
      </c>
      <c r="V425">
        <v>0</v>
      </c>
      <c r="W425">
        <v>0</v>
      </c>
      <c r="X425">
        <v>0</v>
      </c>
      <c r="Y425">
        <f>IF(Z425,TRUE,AND(AC425:AS425))</f>
        <v>0</v>
      </c>
      <c r="Z425">
        <f>COUNTBLANK(Metadata!B425:R425)=COLUMNS(Metadata!B425:R425)</f>
        <v>0</v>
      </c>
      <c r="AA425">
        <v>0</v>
      </c>
      <c r="AC425">
        <f>AND(IF(Metadata!B425="",FALSE,TRUE),COUNTIF(Metadata!B:B, Metadata!B425) = 1,NOT(ISERROR(SUMPRODUCT(SEARCH(MID(Metadata!B425,ROW(INDIRECT("1:"&amp;LEN(Metadata!B425))), 1),"0123456789abcdefghijklmnopqrstuvwxyzABCDEFGHIJKLMNOPQRSTUVWXYZ.")))))</f>
        <v>0</v>
      </c>
      <c r="AD425">
        <f>AND(IF(Metadata!C425="",FALSE,TRUE),exact(Metadata!C425,"Host-associated"))</f>
        <v>0</v>
      </c>
      <c r="AE425">
        <f>AND(IF(Metadata!D425="",FALSE,TRUE),OR(exact(Metadata!D425,"Animal"),exact(Metadata!D425,"Fungus"),exact(Metadata!D425,"Plant")))</f>
        <v>0</v>
      </c>
      <c r="AF425">
        <f>AND(IF(Metadata!E425="",FALSE,TRUE),OR(exact(Metadata!E425,"Plant secretion"),exact(Metadata!E425,"Plant rhizosphere"),exact(Metadata!E425,"Plant surface"),exact(Metadata!E425,"Plant corpus"),exact(Metadata!E425,"Fungus surface"),exact(Metadata!E425,"Fungus corpus"),exact(Metadata!E425,"Animal surface"),exact(Metadata!E425,"Animal proximal gut"),exact(Metadata!E425,"Animal corpus"),exact(Metadata!E425,"Animal distal gut"),exact(Metadata!E425,"Animal secretion")))</f>
        <v>0</v>
      </c>
      <c r="AG425">
        <f>OR(AND(IF(Metadata!F425="",FALSE,TRUE),OR(exact(Metadata!F425,"not collected"),exact(Metadata!F425,"not provided"),exact(Metadata!F425,"restricted access"))),AND(IF(Metadata!F425="",FALSE,TRUE),OR(exact(Metadata!F425,"organism-associated habitat"),exact(Metadata!F425,"plant-associated habitat"),exact(Metadata!F425,"animal-associated habitat"),exact(Metadata!F425,"insecta-associated habitat"),exact(Metadata!F425,"mammalia-associated habitat"),exact(Metadata!F425,"human-associated habitat"),exact(Metadata!F425,"livestock-associated habitat"))))</f>
        <v>0</v>
      </c>
      <c r="AH425">
        <f>AND(IF(Metadata!G425="",FALSE,TRUE),exact(Metadata!G425,"host-associated"))</f>
        <v>0</v>
      </c>
      <c r="AI425">
        <f>OR(AND(IF(Metadata!H425="",FALSE,TRUE),OR(exact(Metadata!H425,"not collected"),exact(Metadata!H425,"not provided"))),AND(IF(Metadata!H425="",FALSE,ISNUMBER(VALUE(Metadata!H425))),Metadata!H425&gt;0))</f>
        <v>0</v>
      </c>
      <c r="AJ425">
        <f>AND(IF(Metadata!I425="",FALSE,TRUE),exact(Metadata!I425,"years"))</f>
        <v>0</v>
      </c>
      <c r="AK425">
        <f>IF(Metadata!J425="",FALSE,TRUE)</f>
        <v>0</v>
      </c>
      <c r="AL425">
        <f>OR(AND(IF(Metadata!K425="",FALSE,TRUE),OR(exact(Metadata!K425,"not collected"),exact(Metadata!K425,"not provided"))),AND(IF(Metadata!K425="",FALSE,ISNUMBER(VALUE(Metadata!K425))),Metadata!K425&gt;0))</f>
        <v>0</v>
      </c>
      <c r="AM425">
        <f>AND(IF(Metadata!L425="",FALSE,TRUE),exact(Metadata!L425,"cm"))</f>
        <v>0</v>
      </c>
      <c r="AN425">
        <f>IF(Metadata!M425="",FALSE,TRUE)</f>
        <v>0</v>
      </c>
      <c r="AO425">
        <f>OR(AND(IF(Metadata!N425="",FALSE,TRUE),OR(exact(Metadata!N425,"not applicable"),exact(Metadata!N425,"not collected"),exact(Metadata!N425,"not provided"))),AND(IF(Metadata!N425="",FALSE,IF(ISERROR(INT(Metadata!N425)),FALSE,INT(Metadata!N425)=Metadata!N425)),Metadata!N425&gt;0))</f>
        <v>0</v>
      </c>
      <c r="AP425">
        <f>OR(AND(IF(Metadata!O425="",FALSE,TRUE),OR(exact(Metadata!O425,"not collected"),exact(Metadata!O425,"not provided"))),AND(IF(Metadata!O425="",FALSE,ISNUMBER(VALUE(Metadata!O425))),Metadata!O425&gt;0))</f>
        <v>0</v>
      </c>
      <c r="AQ425">
        <f>AND(IF(Metadata!P425="",FALSE,TRUE),exact(Metadata!P425,"kg"))</f>
        <v>0</v>
      </c>
      <c r="AR425">
        <f>OR(AND(IF(Metadata!Q425="",FALSE,TRUE),OR(exact(Metadata!Q425,"not applicable"),exact(Metadata!Q425,"not collected"),exact(Metadata!Q425,"not provided"),exact(Metadata!Q425,"restricted access"))),IF(Metadata!Q425="",FALSE,IF(ISERROR(INT(Metadata!Q425)),FALSE,INT(Metadata!Q425)=Metadata!Q425)))</f>
        <v>0</v>
      </c>
      <c r="AS425">
        <f>AND(IF(Metadata!R425="",FALSE,TRUE),exact(Metadata!R425,"Not applicable"))</f>
        <v>0</v>
      </c>
    </row>
    <row r="426" spans="1:45">
      <c r="A426" s="4">
        <f>IF(B426=" "," ",HYPERLINK(CONCATENATE("#metadata!",ADDRESS(INDEX($X$2:$X$1001,MATCH(ROWS($V$2:V426),$V$2:$V$1001,0),0),2)),INDEX($AA$2:$AA$1001,MATCH(ROWS($V$2:V426),$V$2:$V$1001,0),0)))</f>
        <v>0</v>
      </c>
      <c r="B426" s="5">
        <f>IF(OR(INDEX($W$2:$W$1001,MATCH(ROWS($V$2:V426),$V$2:$V$1001,0),1)&gt;=100000,INDEX($AC$1005:$AS$1005,1,MATCH(COLUMNS($AC$1006:AC1006),$AC$1006:$AS$1006,0))&gt;=100000), " ",IF(INDEX($AC$2:$AS$1001,MATCH(ROWS($V$2:V426),$V$2:$V$1001,0),MATCH(COLUMNS($AC$1006:AC1006),$AC$1006:$AS$1006,0)), HYPERLINK("#",""), HYPERLINK(CONCATENATE("#Metadata!", ADDRESS(INDEX($X$2:$X$1001,MATCH(ROWS($V$2:V426),$V$2:$V$1001,0),0), INDEX($AC$1004:$AS$1004,1,MATCH(COLUMNS($AC$1006:AC1006),$AC$1006:$AS$1006,0)))),"Fix")))</f>
        <v>0</v>
      </c>
      <c r="C426" s="5">
        <f>IF(OR(INDEX($W$2:$W$1001,MATCH(ROWS($V$2:V426),$V$2:$V$1001,0),1)&gt;=100000,INDEX($AC$1005:$AS$1005,1,MATCH(COLUMNS($AC$1006:AD1006),$AC$1006:$AS$1006,0))&gt;=100000), " ",IF(INDEX($AC$2:$AS$1001,MATCH(ROWS($V$2:V426),$V$2:$V$1001,0),MATCH(COLUMNS($AC$1006:AD1006),$AC$1006:$AS$1006,0)), HYPERLINK("#",""), HYPERLINK(CONCATENATE("#Metadata!", ADDRESS(INDEX($X$2:$X$1001,MATCH(ROWS($V$2:V426),$V$2:$V$1001,0),0), INDEX($AC$1004:$AS$1004,1,MATCH(COLUMNS($AC$1006:AD1006),$AC$1006:$AS$1006,0)))),"Fix")))</f>
        <v>0</v>
      </c>
      <c r="D426" s="5">
        <f>IF(OR(INDEX($W$2:$W$1001,MATCH(ROWS($V$2:V426),$V$2:$V$1001,0),1)&gt;=100000,INDEX($AC$1005:$AS$1005,1,MATCH(COLUMNS($AC$1006:AE1006),$AC$1006:$AS$1006,0))&gt;=100000), " ",IF(INDEX($AC$2:$AS$1001,MATCH(ROWS($V$2:V426),$V$2:$V$1001,0),MATCH(COLUMNS($AC$1006:AE1006),$AC$1006:$AS$1006,0)), HYPERLINK("#",""), HYPERLINK(CONCATENATE("#Metadata!", ADDRESS(INDEX($X$2:$X$1001,MATCH(ROWS($V$2:V426),$V$2:$V$1001,0),0), INDEX($AC$1004:$AS$1004,1,MATCH(COLUMNS($AC$1006:AE1006),$AC$1006:$AS$1006,0)))),"Fix")))</f>
        <v>0</v>
      </c>
      <c r="E426" s="5">
        <f>IF(OR(INDEX($W$2:$W$1001,MATCH(ROWS($V$2:V426),$V$2:$V$1001,0),1)&gt;=100000,INDEX($AC$1005:$AS$1005,1,MATCH(COLUMNS($AC$1006:AF1006),$AC$1006:$AS$1006,0))&gt;=100000), " ",IF(INDEX($AC$2:$AS$1001,MATCH(ROWS($V$2:V426),$V$2:$V$1001,0),MATCH(COLUMNS($AC$1006:AF1006),$AC$1006:$AS$1006,0)), HYPERLINK("#",""), HYPERLINK(CONCATENATE("#Metadata!", ADDRESS(INDEX($X$2:$X$1001,MATCH(ROWS($V$2:V426),$V$2:$V$1001,0),0), INDEX($AC$1004:$AS$1004,1,MATCH(COLUMNS($AC$1006:AF1006),$AC$1006:$AS$1006,0)))),"Fix")))</f>
        <v>0</v>
      </c>
      <c r="F426" s="5">
        <f>IF(OR(INDEX($W$2:$W$1001,MATCH(ROWS($V$2:V426),$V$2:$V$1001,0),1)&gt;=100000,INDEX($AC$1005:$AS$1005,1,MATCH(COLUMNS($AC$1006:AG1006),$AC$1006:$AS$1006,0))&gt;=100000), " ",IF(INDEX($AC$2:$AS$1001,MATCH(ROWS($V$2:V426),$V$2:$V$1001,0),MATCH(COLUMNS($AC$1006:AG1006),$AC$1006:$AS$1006,0)), HYPERLINK("#",""), HYPERLINK(CONCATENATE("#Metadata!", ADDRESS(INDEX($X$2:$X$1001,MATCH(ROWS($V$2:V426),$V$2:$V$1001,0),0), INDEX($AC$1004:$AS$1004,1,MATCH(COLUMNS($AC$1006:AG1006),$AC$1006:$AS$1006,0)))),"Fix")))</f>
        <v>0</v>
      </c>
      <c r="G426" s="5">
        <f>IF(OR(INDEX($W$2:$W$1001,MATCH(ROWS($V$2:V426),$V$2:$V$1001,0),1)&gt;=100000,INDEX($AC$1005:$AS$1005,1,MATCH(COLUMNS($AC$1006:AH1006),$AC$1006:$AS$1006,0))&gt;=100000), " ",IF(INDEX($AC$2:$AS$1001,MATCH(ROWS($V$2:V426),$V$2:$V$1001,0),MATCH(COLUMNS($AC$1006:AH1006),$AC$1006:$AS$1006,0)), HYPERLINK("#",""), HYPERLINK(CONCATENATE("#Metadata!", ADDRESS(INDEX($X$2:$X$1001,MATCH(ROWS($V$2:V426),$V$2:$V$1001,0),0), INDEX($AC$1004:$AS$1004,1,MATCH(COLUMNS($AC$1006:AH1006),$AC$1006:$AS$1006,0)))),"Fix")))</f>
        <v>0</v>
      </c>
      <c r="H426" s="5">
        <f>IF(OR(INDEX($W$2:$W$1001,MATCH(ROWS($V$2:V426),$V$2:$V$1001,0),1)&gt;=100000,INDEX($AC$1005:$AS$1005,1,MATCH(COLUMNS($AC$1006:AI1006),$AC$1006:$AS$1006,0))&gt;=100000), " ",IF(INDEX($AC$2:$AS$1001,MATCH(ROWS($V$2:V426),$V$2:$V$1001,0),MATCH(COLUMNS($AC$1006:AI1006),$AC$1006:$AS$1006,0)), HYPERLINK("#",""), HYPERLINK(CONCATENATE("#Metadata!", ADDRESS(INDEX($X$2:$X$1001,MATCH(ROWS($V$2:V426),$V$2:$V$1001,0),0), INDEX($AC$1004:$AS$1004,1,MATCH(COLUMNS($AC$1006:AI1006),$AC$1006:$AS$1006,0)))),"Fix")))</f>
        <v>0</v>
      </c>
      <c r="I426" s="5">
        <f>IF(OR(INDEX($W$2:$W$1001,MATCH(ROWS($V$2:V426),$V$2:$V$1001,0),1)&gt;=100000,INDEX($AC$1005:$AS$1005,1,MATCH(COLUMNS($AC$1006:AJ1006),$AC$1006:$AS$1006,0))&gt;=100000), " ",IF(INDEX($AC$2:$AS$1001,MATCH(ROWS($V$2:V426),$V$2:$V$1001,0),MATCH(COLUMNS($AC$1006:AJ1006),$AC$1006:$AS$1006,0)), HYPERLINK("#",""), HYPERLINK(CONCATENATE("#Metadata!", ADDRESS(INDEX($X$2:$X$1001,MATCH(ROWS($V$2:V426),$V$2:$V$1001,0),0), INDEX($AC$1004:$AS$1004,1,MATCH(COLUMNS($AC$1006:AJ1006),$AC$1006:$AS$1006,0)))),"Fix")))</f>
        <v>0</v>
      </c>
      <c r="J426" s="5">
        <f>IF(OR(INDEX($W$2:$W$1001,MATCH(ROWS($V$2:V426),$V$2:$V$1001,0),1)&gt;=100000,INDEX($AC$1005:$AS$1005,1,MATCH(COLUMNS($AC$1006:AK1006),$AC$1006:$AS$1006,0))&gt;=100000), " ",IF(INDEX($AC$2:$AS$1001,MATCH(ROWS($V$2:V426),$V$2:$V$1001,0),MATCH(COLUMNS($AC$1006:AK1006),$AC$1006:$AS$1006,0)), HYPERLINK("#",""), HYPERLINK(CONCATENATE("#Metadata!", ADDRESS(INDEX($X$2:$X$1001,MATCH(ROWS($V$2:V426),$V$2:$V$1001,0),0), INDEX($AC$1004:$AS$1004,1,MATCH(COLUMNS($AC$1006:AK1006),$AC$1006:$AS$1006,0)))),"Fix")))</f>
        <v>0</v>
      </c>
      <c r="K426" s="5">
        <f>IF(OR(INDEX($W$2:$W$1001,MATCH(ROWS($V$2:V426),$V$2:$V$1001,0),1)&gt;=100000,INDEX($AC$1005:$AS$1005,1,MATCH(COLUMNS($AC$1006:AL1006),$AC$1006:$AS$1006,0))&gt;=100000), " ",IF(INDEX($AC$2:$AS$1001,MATCH(ROWS($V$2:V426),$V$2:$V$1001,0),MATCH(COLUMNS($AC$1006:AL1006),$AC$1006:$AS$1006,0)), HYPERLINK("#",""), HYPERLINK(CONCATENATE("#Metadata!", ADDRESS(INDEX($X$2:$X$1001,MATCH(ROWS($V$2:V426),$V$2:$V$1001,0),0), INDEX($AC$1004:$AS$1004,1,MATCH(COLUMNS($AC$1006:AL1006),$AC$1006:$AS$1006,0)))),"Fix")))</f>
        <v>0</v>
      </c>
      <c r="L426" s="5">
        <f>IF(OR(INDEX($W$2:$W$1001,MATCH(ROWS($V$2:V426),$V$2:$V$1001,0),1)&gt;=100000,INDEX($AC$1005:$AS$1005,1,MATCH(COLUMNS($AC$1006:AM1006),$AC$1006:$AS$1006,0))&gt;=100000), " ",IF(INDEX($AC$2:$AS$1001,MATCH(ROWS($V$2:V426),$V$2:$V$1001,0),MATCH(COLUMNS($AC$1006:AM1006),$AC$1006:$AS$1006,0)), HYPERLINK("#",""), HYPERLINK(CONCATENATE("#Metadata!", ADDRESS(INDEX($X$2:$X$1001,MATCH(ROWS($V$2:V426),$V$2:$V$1001,0),0), INDEX($AC$1004:$AS$1004,1,MATCH(COLUMNS($AC$1006:AM1006),$AC$1006:$AS$1006,0)))),"Fix")))</f>
        <v>0</v>
      </c>
      <c r="M426" s="5">
        <f>IF(OR(INDEX($W$2:$W$1001,MATCH(ROWS($V$2:V426),$V$2:$V$1001,0),1)&gt;=100000,INDEX($AC$1005:$AS$1005,1,MATCH(COLUMNS($AC$1006:AN1006),$AC$1006:$AS$1006,0))&gt;=100000), " ",IF(INDEX($AC$2:$AS$1001,MATCH(ROWS($V$2:V426),$V$2:$V$1001,0),MATCH(COLUMNS($AC$1006:AN1006),$AC$1006:$AS$1006,0)), HYPERLINK("#",""), HYPERLINK(CONCATENATE("#Metadata!", ADDRESS(INDEX($X$2:$X$1001,MATCH(ROWS($V$2:V426),$V$2:$V$1001,0),0), INDEX($AC$1004:$AS$1004,1,MATCH(COLUMNS($AC$1006:AN1006),$AC$1006:$AS$1006,0)))),"Fix")))</f>
        <v>0</v>
      </c>
      <c r="N426" s="5">
        <f>IF(OR(INDEX($W$2:$W$1001,MATCH(ROWS($V$2:V426),$V$2:$V$1001,0),1)&gt;=100000,INDEX($AC$1005:$AS$1005,1,MATCH(COLUMNS($AC$1006:AO1006),$AC$1006:$AS$1006,0))&gt;=100000), " ",IF(INDEX($AC$2:$AS$1001,MATCH(ROWS($V$2:V426),$V$2:$V$1001,0),MATCH(COLUMNS($AC$1006:AO1006),$AC$1006:$AS$1006,0)), HYPERLINK("#",""), HYPERLINK(CONCATENATE("#Metadata!", ADDRESS(INDEX($X$2:$X$1001,MATCH(ROWS($V$2:V426),$V$2:$V$1001,0),0), INDEX($AC$1004:$AS$1004,1,MATCH(COLUMNS($AC$1006:AO1006),$AC$1006:$AS$1006,0)))),"Fix")))</f>
        <v>0</v>
      </c>
      <c r="O426" s="5">
        <f>IF(OR(INDEX($W$2:$W$1001,MATCH(ROWS($V$2:V426),$V$2:$V$1001,0),1)&gt;=100000,INDEX($AC$1005:$AS$1005,1,MATCH(COLUMNS($AC$1006:AP1006),$AC$1006:$AS$1006,0))&gt;=100000), " ",IF(INDEX($AC$2:$AS$1001,MATCH(ROWS($V$2:V426),$V$2:$V$1001,0),MATCH(COLUMNS($AC$1006:AP1006),$AC$1006:$AS$1006,0)), HYPERLINK("#",""), HYPERLINK(CONCATENATE("#Metadata!", ADDRESS(INDEX($X$2:$X$1001,MATCH(ROWS($V$2:V426),$V$2:$V$1001,0),0), INDEX($AC$1004:$AS$1004,1,MATCH(COLUMNS($AC$1006:AP1006),$AC$1006:$AS$1006,0)))),"Fix")))</f>
        <v>0</v>
      </c>
      <c r="P426" s="5">
        <f>IF(OR(INDEX($W$2:$W$1001,MATCH(ROWS($V$2:V426),$V$2:$V$1001,0),1)&gt;=100000,INDEX($AC$1005:$AS$1005,1,MATCH(COLUMNS($AC$1006:AQ1006),$AC$1006:$AS$1006,0))&gt;=100000), " ",IF(INDEX($AC$2:$AS$1001,MATCH(ROWS($V$2:V426),$V$2:$V$1001,0),MATCH(COLUMNS($AC$1006:AQ1006),$AC$1006:$AS$1006,0)), HYPERLINK("#",""), HYPERLINK(CONCATENATE("#Metadata!", ADDRESS(INDEX($X$2:$X$1001,MATCH(ROWS($V$2:V426),$V$2:$V$1001,0),0), INDEX($AC$1004:$AS$1004,1,MATCH(COLUMNS($AC$1006:AQ1006),$AC$1006:$AS$1006,0)))),"Fix")))</f>
        <v>0</v>
      </c>
      <c r="Q426" s="5">
        <f>IF(OR(INDEX($W$2:$W$1001,MATCH(ROWS($V$2:V426),$V$2:$V$1001,0),1)&gt;=100000,INDEX($AC$1005:$AS$1005,1,MATCH(COLUMNS($AC$1006:AR1006),$AC$1006:$AS$1006,0))&gt;=100000), " ",IF(INDEX($AC$2:$AS$1001,MATCH(ROWS($V$2:V426),$V$2:$V$1001,0),MATCH(COLUMNS($AC$1006:AR1006),$AC$1006:$AS$1006,0)), HYPERLINK("#",""), HYPERLINK(CONCATENATE("#Metadata!", ADDRESS(INDEX($X$2:$X$1001,MATCH(ROWS($V$2:V426),$V$2:$V$1001,0),0), INDEX($AC$1004:$AS$1004,1,MATCH(COLUMNS($AC$1006:AR1006),$AC$1006:$AS$1006,0)))),"Fix")))</f>
        <v>0</v>
      </c>
      <c r="R426" s="5">
        <f>IF(OR(INDEX($W$2:$W$1001,MATCH(ROWS($V$2:V426),$V$2:$V$1001,0),1)&gt;=100000,INDEX($AC$1005:$AS$1005,1,MATCH(COLUMNS($AC$1006:AS1006),$AC$1006:$AS$1006,0))&gt;=100000), " ",IF(INDEX($AC$2:$AS$1001,MATCH(ROWS($V$2:V426),$V$2:$V$1001,0),MATCH(COLUMNS($AC$1006:AS1006),$AC$1006:$AS$1006,0)), HYPERLINK("#",""), HYPERLINK(CONCATENATE("#Metadata!", ADDRESS(INDEX($X$2:$X$1001,MATCH(ROWS($V$2:V426),$V$2:$V$1001,0),0), INDEX($AC$1004:$AS$1004,1,MATCH(COLUMNS($AC$1006:AS1006),$AC$1006:$AS$1006,0)))),"Fix")))</f>
        <v>0</v>
      </c>
      <c r="V426">
        <v>0</v>
      </c>
      <c r="W426">
        <v>0</v>
      </c>
      <c r="X426">
        <v>0</v>
      </c>
      <c r="Y426">
        <f>IF(Z426,TRUE,AND(AC426:AS426))</f>
        <v>0</v>
      </c>
      <c r="Z426">
        <f>COUNTBLANK(Metadata!B426:R426)=COLUMNS(Metadata!B426:R426)</f>
        <v>0</v>
      </c>
      <c r="AA426">
        <v>0</v>
      </c>
      <c r="AC426">
        <f>AND(IF(Metadata!B426="",FALSE,TRUE),COUNTIF(Metadata!B:B, Metadata!B426) = 1,NOT(ISERROR(SUMPRODUCT(SEARCH(MID(Metadata!B426,ROW(INDIRECT("1:"&amp;LEN(Metadata!B426))), 1),"0123456789abcdefghijklmnopqrstuvwxyzABCDEFGHIJKLMNOPQRSTUVWXYZ.")))))</f>
        <v>0</v>
      </c>
      <c r="AD426">
        <f>AND(IF(Metadata!C426="",FALSE,TRUE),exact(Metadata!C426,"Host-associated"))</f>
        <v>0</v>
      </c>
      <c r="AE426">
        <f>AND(IF(Metadata!D426="",FALSE,TRUE),OR(exact(Metadata!D426,"Animal"),exact(Metadata!D426,"Fungus"),exact(Metadata!D426,"Plant")))</f>
        <v>0</v>
      </c>
      <c r="AF426">
        <f>AND(IF(Metadata!E426="",FALSE,TRUE),OR(exact(Metadata!E426,"Plant secretion"),exact(Metadata!E426,"Plant rhizosphere"),exact(Metadata!E426,"Plant surface"),exact(Metadata!E426,"Plant corpus"),exact(Metadata!E426,"Fungus surface"),exact(Metadata!E426,"Fungus corpus"),exact(Metadata!E426,"Animal surface"),exact(Metadata!E426,"Animal proximal gut"),exact(Metadata!E426,"Animal corpus"),exact(Metadata!E426,"Animal distal gut"),exact(Metadata!E426,"Animal secretion")))</f>
        <v>0</v>
      </c>
      <c r="AG426">
        <f>OR(AND(IF(Metadata!F426="",FALSE,TRUE),OR(exact(Metadata!F426,"not collected"),exact(Metadata!F426,"not provided"),exact(Metadata!F426,"restricted access"))),AND(IF(Metadata!F426="",FALSE,TRUE),OR(exact(Metadata!F426,"organism-associated habitat"),exact(Metadata!F426,"plant-associated habitat"),exact(Metadata!F426,"animal-associated habitat"),exact(Metadata!F426,"insecta-associated habitat"),exact(Metadata!F426,"mammalia-associated habitat"),exact(Metadata!F426,"human-associated habitat"),exact(Metadata!F426,"livestock-associated habitat"))))</f>
        <v>0</v>
      </c>
      <c r="AH426">
        <f>AND(IF(Metadata!G426="",FALSE,TRUE),exact(Metadata!G426,"host-associated"))</f>
        <v>0</v>
      </c>
      <c r="AI426">
        <f>OR(AND(IF(Metadata!H426="",FALSE,TRUE),OR(exact(Metadata!H426,"not collected"),exact(Metadata!H426,"not provided"))),AND(IF(Metadata!H426="",FALSE,ISNUMBER(VALUE(Metadata!H426))),Metadata!H426&gt;0))</f>
        <v>0</v>
      </c>
      <c r="AJ426">
        <f>AND(IF(Metadata!I426="",FALSE,TRUE),exact(Metadata!I426,"years"))</f>
        <v>0</v>
      </c>
      <c r="AK426">
        <f>IF(Metadata!J426="",FALSE,TRUE)</f>
        <v>0</v>
      </c>
      <c r="AL426">
        <f>OR(AND(IF(Metadata!K426="",FALSE,TRUE),OR(exact(Metadata!K426,"not collected"),exact(Metadata!K426,"not provided"))),AND(IF(Metadata!K426="",FALSE,ISNUMBER(VALUE(Metadata!K426))),Metadata!K426&gt;0))</f>
        <v>0</v>
      </c>
      <c r="AM426">
        <f>AND(IF(Metadata!L426="",FALSE,TRUE),exact(Metadata!L426,"cm"))</f>
        <v>0</v>
      </c>
      <c r="AN426">
        <f>IF(Metadata!M426="",FALSE,TRUE)</f>
        <v>0</v>
      </c>
      <c r="AO426">
        <f>OR(AND(IF(Metadata!N426="",FALSE,TRUE),OR(exact(Metadata!N426,"not applicable"),exact(Metadata!N426,"not collected"),exact(Metadata!N426,"not provided"))),AND(IF(Metadata!N426="",FALSE,IF(ISERROR(INT(Metadata!N426)),FALSE,INT(Metadata!N426)=Metadata!N426)),Metadata!N426&gt;0))</f>
        <v>0</v>
      </c>
      <c r="AP426">
        <f>OR(AND(IF(Metadata!O426="",FALSE,TRUE),OR(exact(Metadata!O426,"not collected"),exact(Metadata!O426,"not provided"))),AND(IF(Metadata!O426="",FALSE,ISNUMBER(VALUE(Metadata!O426))),Metadata!O426&gt;0))</f>
        <v>0</v>
      </c>
      <c r="AQ426">
        <f>AND(IF(Metadata!P426="",FALSE,TRUE),exact(Metadata!P426,"kg"))</f>
        <v>0</v>
      </c>
      <c r="AR426">
        <f>OR(AND(IF(Metadata!Q426="",FALSE,TRUE),OR(exact(Metadata!Q426,"not applicable"),exact(Metadata!Q426,"not collected"),exact(Metadata!Q426,"not provided"),exact(Metadata!Q426,"restricted access"))),IF(Metadata!Q426="",FALSE,IF(ISERROR(INT(Metadata!Q426)),FALSE,INT(Metadata!Q426)=Metadata!Q426)))</f>
        <v>0</v>
      </c>
      <c r="AS426">
        <f>AND(IF(Metadata!R426="",FALSE,TRUE),exact(Metadata!R426,"Not applicable"))</f>
        <v>0</v>
      </c>
    </row>
    <row r="427" spans="1:45">
      <c r="A427" s="4">
        <f>IF(B427=" "," ",HYPERLINK(CONCATENATE("#metadata!",ADDRESS(INDEX($X$2:$X$1001,MATCH(ROWS($V$2:V427),$V$2:$V$1001,0),0),2)),INDEX($AA$2:$AA$1001,MATCH(ROWS($V$2:V427),$V$2:$V$1001,0),0)))</f>
        <v>0</v>
      </c>
      <c r="B427" s="5">
        <f>IF(OR(INDEX($W$2:$W$1001,MATCH(ROWS($V$2:V427),$V$2:$V$1001,0),1)&gt;=100000,INDEX($AC$1005:$AS$1005,1,MATCH(COLUMNS($AC$1006:AC1006),$AC$1006:$AS$1006,0))&gt;=100000), " ",IF(INDEX($AC$2:$AS$1001,MATCH(ROWS($V$2:V427),$V$2:$V$1001,0),MATCH(COLUMNS($AC$1006:AC1006),$AC$1006:$AS$1006,0)), HYPERLINK("#",""), HYPERLINK(CONCATENATE("#Metadata!", ADDRESS(INDEX($X$2:$X$1001,MATCH(ROWS($V$2:V427),$V$2:$V$1001,0),0), INDEX($AC$1004:$AS$1004,1,MATCH(COLUMNS($AC$1006:AC1006),$AC$1006:$AS$1006,0)))),"Fix")))</f>
        <v>0</v>
      </c>
      <c r="C427" s="5">
        <f>IF(OR(INDEX($W$2:$W$1001,MATCH(ROWS($V$2:V427),$V$2:$V$1001,0),1)&gt;=100000,INDEX($AC$1005:$AS$1005,1,MATCH(COLUMNS($AC$1006:AD1006),$AC$1006:$AS$1006,0))&gt;=100000), " ",IF(INDEX($AC$2:$AS$1001,MATCH(ROWS($V$2:V427),$V$2:$V$1001,0),MATCH(COLUMNS($AC$1006:AD1006),$AC$1006:$AS$1006,0)), HYPERLINK("#",""), HYPERLINK(CONCATENATE("#Metadata!", ADDRESS(INDEX($X$2:$X$1001,MATCH(ROWS($V$2:V427),$V$2:$V$1001,0),0), INDEX($AC$1004:$AS$1004,1,MATCH(COLUMNS($AC$1006:AD1006),$AC$1006:$AS$1006,0)))),"Fix")))</f>
        <v>0</v>
      </c>
      <c r="D427" s="5">
        <f>IF(OR(INDEX($W$2:$W$1001,MATCH(ROWS($V$2:V427),$V$2:$V$1001,0),1)&gt;=100000,INDEX($AC$1005:$AS$1005,1,MATCH(COLUMNS($AC$1006:AE1006),$AC$1006:$AS$1006,0))&gt;=100000), " ",IF(INDEX($AC$2:$AS$1001,MATCH(ROWS($V$2:V427),$V$2:$V$1001,0),MATCH(COLUMNS($AC$1006:AE1006),$AC$1006:$AS$1006,0)), HYPERLINK("#",""), HYPERLINK(CONCATENATE("#Metadata!", ADDRESS(INDEX($X$2:$X$1001,MATCH(ROWS($V$2:V427),$V$2:$V$1001,0),0), INDEX($AC$1004:$AS$1004,1,MATCH(COLUMNS($AC$1006:AE1006),$AC$1006:$AS$1006,0)))),"Fix")))</f>
        <v>0</v>
      </c>
      <c r="E427" s="5">
        <f>IF(OR(INDEX($W$2:$W$1001,MATCH(ROWS($V$2:V427),$V$2:$V$1001,0),1)&gt;=100000,INDEX($AC$1005:$AS$1005,1,MATCH(COLUMNS($AC$1006:AF1006),$AC$1006:$AS$1006,0))&gt;=100000), " ",IF(INDEX($AC$2:$AS$1001,MATCH(ROWS($V$2:V427),$V$2:$V$1001,0),MATCH(COLUMNS($AC$1006:AF1006),$AC$1006:$AS$1006,0)), HYPERLINK("#",""), HYPERLINK(CONCATENATE("#Metadata!", ADDRESS(INDEX($X$2:$X$1001,MATCH(ROWS($V$2:V427),$V$2:$V$1001,0),0), INDEX($AC$1004:$AS$1004,1,MATCH(COLUMNS($AC$1006:AF1006),$AC$1006:$AS$1006,0)))),"Fix")))</f>
        <v>0</v>
      </c>
      <c r="F427" s="5">
        <f>IF(OR(INDEX($W$2:$W$1001,MATCH(ROWS($V$2:V427),$V$2:$V$1001,0),1)&gt;=100000,INDEX($AC$1005:$AS$1005,1,MATCH(COLUMNS($AC$1006:AG1006),$AC$1006:$AS$1006,0))&gt;=100000), " ",IF(INDEX($AC$2:$AS$1001,MATCH(ROWS($V$2:V427),$V$2:$V$1001,0),MATCH(COLUMNS($AC$1006:AG1006),$AC$1006:$AS$1006,0)), HYPERLINK("#",""), HYPERLINK(CONCATENATE("#Metadata!", ADDRESS(INDEX($X$2:$X$1001,MATCH(ROWS($V$2:V427),$V$2:$V$1001,0),0), INDEX($AC$1004:$AS$1004,1,MATCH(COLUMNS($AC$1006:AG1006),$AC$1006:$AS$1006,0)))),"Fix")))</f>
        <v>0</v>
      </c>
      <c r="G427" s="5">
        <f>IF(OR(INDEX($W$2:$W$1001,MATCH(ROWS($V$2:V427),$V$2:$V$1001,0),1)&gt;=100000,INDEX($AC$1005:$AS$1005,1,MATCH(COLUMNS($AC$1006:AH1006),$AC$1006:$AS$1006,0))&gt;=100000), " ",IF(INDEX($AC$2:$AS$1001,MATCH(ROWS($V$2:V427),$V$2:$V$1001,0),MATCH(COLUMNS($AC$1006:AH1006),$AC$1006:$AS$1006,0)), HYPERLINK("#",""), HYPERLINK(CONCATENATE("#Metadata!", ADDRESS(INDEX($X$2:$X$1001,MATCH(ROWS($V$2:V427),$V$2:$V$1001,0),0), INDEX($AC$1004:$AS$1004,1,MATCH(COLUMNS($AC$1006:AH1006),$AC$1006:$AS$1006,0)))),"Fix")))</f>
        <v>0</v>
      </c>
      <c r="H427" s="5">
        <f>IF(OR(INDEX($W$2:$W$1001,MATCH(ROWS($V$2:V427),$V$2:$V$1001,0),1)&gt;=100000,INDEX($AC$1005:$AS$1005,1,MATCH(COLUMNS($AC$1006:AI1006),$AC$1006:$AS$1006,0))&gt;=100000), " ",IF(INDEX($AC$2:$AS$1001,MATCH(ROWS($V$2:V427),$V$2:$V$1001,0),MATCH(COLUMNS($AC$1006:AI1006),$AC$1006:$AS$1006,0)), HYPERLINK("#",""), HYPERLINK(CONCATENATE("#Metadata!", ADDRESS(INDEX($X$2:$X$1001,MATCH(ROWS($V$2:V427),$V$2:$V$1001,0),0), INDEX($AC$1004:$AS$1004,1,MATCH(COLUMNS($AC$1006:AI1006),$AC$1006:$AS$1006,0)))),"Fix")))</f>
        <v>0</v>
      </c>
      <c r="I427" s="5">
        <f>IF(OR(INDEX($W$2:$W$1001,MATCH(ROWS($V$2:V427),$V$2:$V$1001,0),1)&gt;=100000,INDEX($AC$1005:$AS$1005,1,MATCH(COLUMNS($AC$1006:AJ1006),$AC$1006:$AS$1006,0))&gt;=100000), " ",IF(INDEX($AC$2:$AS$1001,MATCH(ROWS($V$2:V427),$V$2:$V$1001,0),MATCH(COLUMNS($AC$1006:AJ1006),$AC$1006:$AS$1006,0)), HYPERLINK("#",""), HYPERLINK(CONCATENATE("#Metadata!", ADDRESS(INDEX($X$2:$X$1001,MATCH(ROWS($V$2:V427),$V$2:$V$1001,0),0), INDEX($AC$1004:$AS$1004,1,MATCH(COLUMNS($AC$1006:AJ1006),$AC$1006:$AS$1006,0)))),"Fix")))</f>
        <v>0</v>
      </c>
      <c r="J427" s="5">
        <f>IF(OR(INDEX($W$2:$W$1001,MATCH(ROWS($V$2:V427),$V$2:$V$1001,0),1)&gt;=100000,INDEX($AC$1005:$AS$1005,1,MATCH(COLUMNS($AC$1006:AK1006),$AC$1006:$AS$1006,0))&gt;=100000), " ",IF(INDEX($AC$2:$AS$1001,MATCH(ROWS($V$2:V427),$V$2:$V$1001,0),MATCH(COLUMNS($AC$1006:AK1006),$AC$1006:$AS$1006,0)), HYPERLINK("#",""), HYPERLINK(CONCATENATE("#Metadata!", ADDRESS(INDEX($X$2:$X$1001,MATCH(ROWS($V$2:V427),$V$2:$V$1001,0),0), INDEX($AC$1004:$AS$1004,1,MATCH(COLUMNS($AC$1006:AK1006),$AC$1006:$AS$1006,0)))),"Fix")))</f>
        <v>0</v>
      </c>
      <c r="K427" s="5">
        <f>IF(OR(INDEX($W$2:$W$1001,MATCH(ROWS($V$2:V427),$V$2:$V$1001,0),1)&gt;=100000,INDEX($AC$1005:$AS$1005,1,MATCH(COLUMNS($AC$1006:AL1006),$AC$1006:$AS$1006,0))&gt;=100000), " ",IF(INDEX($AC$2:$AS$1001,MATCH(ROWS($V$2:V427),$V$2:$V$1001,0),MATCH(COLUMNS($AC$1006:AL1006),$AC$1006:$AS$1006,0)), HYPERLINK("#",""), HYPERLINK(CONCATENATE("#Metadata!", ADDRESS(INDEX($X$2:$X$1001,MATCH(ROWS($V$2:V427),$V$2:$V$1001,0),0), INDEX($AC$1004:$AS$1004,1,MATCH(COLUMNS($AC$1006:AL1006),$AC$1006:$AS$1006,0)))),"Fix")))</f>
        <v>0</v>
      </c>
      <c r="L427" s="5">
        <f>IF(OR(INDEX($W$2:$W$1001,MATCH(ROWS($V$2:V427),$V$2:$V$1001,0),1)&gt;=100000,INDEX($AC$1005:$AS$1005,1,MATCH(COLUMNS($AC$1006:AM1006),$AC$1006:$AS$1006,0))&gt;=100000), " ",IF(INDEX($AC$2:$AS$1001,MATCH(ROWS($V$2:V427),$V$2:$V$1001,0),MATCH(COLUMNS($AC$1006:AM1006),$AC$1006:$AS$1006,0)), HYPERLINK("#",""), HYPERLINK(CONCATENATE("#Metadata!", ADDRESS(INDEX($X$2:$X$1001,MATCH(ROWS($V$2:V427),$V$2:$V$1001,0),0), INDEX($AC$1004:$AS$1004,1,MATCH(COLUMNS($AC$1006:AM1006),$AC$1006:$AS$1006,0)))),"Fix")))</f>
        <v>0</v>
      </c>
      <c r="M427" s="5">
        <f>IF(OR(INDEX($W$2:$W$1001,MATCH(ROWS($V$2:V427),$V$2:$V$1001,0),1)&gt;=100000,INDEX($AC$1005:$AS$1005,1,MATCH(COLUMNS($AC$1006:AN1006),$AC$1006:$AS$1006,0))&gt;=100000), " ",IF(INDEX($AC$2:$AS$1001,MATCH(ROWS($V$2:V427),$V$2:$V$1001,0),MATCH(COLUMNS($AC$1006:AN1006),$AC$1006:$AS$1006,0)), HYPERLINK("#",""), HYPERLINK(CONCATENATE("#Metadata!", ADDRESS(INDEX($X$2:$X$1001,MATCH(ROWS($V$2:V427),$V$2:$V$1001,0),0), INDEX($AC$1004:$AS$1004,1,MATCH(COLUMNS($AC$1006:AN1006),$AC$1006:$AS$1006,0)))),"Fix")))</f>
        <v>0</v>
      </c>
      <c r="N427" s="5">
        <f>IF(OR(INDEX($W$2:$W$1001,MATCH(ROWS($V$2:V427),$V$2:$V$1001,0),1)&gt;=100000,INDEX($AC$1005:$AS$1005,1,MATCH(COLUMNS($AC$1006:AO1006),$AC$1006:$AS$1006,0))&gt;=100000), " ",IF(INDEX($AC$2:$AS$1001,MATCH(ROWS($V$2:V427),$V$2:$V$1001,0),MATCH(COLUMNS($AC$1006:AO1006),$AC$1006:$AS$1006,0)), HYPERLINK("#",""), HYPERLINK(CONCATENATE("#Metadata!", ADDRESS(INDEX($X$2:$X$1001,MATCH(ROWS($V$2:V427),$V$2:$V$1001,0),0), INDEX($AC$1004:$AS$1004,1,MATCH(COLUMNS($AC$1006:AO1006),$AC$1006:$AS$1006,0)))),"Fix")))</f>
        <v>0</v>
      </c>
      <c r="O427" s="5">
        <f>IF(OR(INDEX($W$2:$W$1001,MATCH(ROWS($V$2:V427),$V$2:$V$1001,0),1)&gt;=100000,INDEX($AC$1005:$AS$1005,1,MATCH(COLUMNS($AC$1006:AP1006),$AC$1006:$AS$1006,0))&gt;=100000), " ",IF(INDEX($AC$2:$AS$1001,MATCH(ROWS($V$2:V427),$V$2:$V$1001,0),MATCH(COLUMNS($AC$1006:AP1006),$AC$1006:$AS$1006,0)), HYPERLINK("#",""), HYPERLINK(CONCATENATE("#Metadata!", ADDRESS(INDEX($X$2:$X$1001,MATCH(ROWS($V$2:V427),$V$2:$V$1001,0),0), INDEX($AC$1004:$AS$1004,1,MATCH(COLUMNS($AC$1006:AP1006),$AC$1006:$AS$1006,0)))),"Fix")))</f>
        <v>0</v>
      </c>
      <c r="P427" s="5">
        <f>IF(OR(INDEX($W$2:$W$1001,MATCH(ROWS($V$2:V427),$V$2:$V$1001,0),1)&gt;=100000,INDEX($AC$1005:$AS$1005,1,MATCH(COLUMNS($AC$1006:AQ1006),$AC$1006:$AS$1006,0))&gt;=100000), " ",IF(INDEX($AC$2:$AS$1001,MATCH(ROWS($V$2:V427),$V$2:$V$1001,0),MATCH(COLUMNS($AC$1006:AQ1006),$AC$1006:$AS$1006,0)), HYPERLINK("#",""), HYPERLINK(CONCATENATE("#Metadata!", ADDRESS(INDEX($X$2:$X$1001,MATCH(ROWS($V$2:V427),$V$2:$V$1001,0),0), INDEX($AC$1004:$AS$1004,1,MATCH(COLUMNS($AC$1006:AQ1006),$AC$1006:$AS$1006,0)))),"Fix")))</f>
        <v>0</v>
      </c>
      <c r="Q427" s="5">
        <f>IF(OR(INDEX($W$2:$W$1001,MATCH(ROWS($V$2:V427),$V$2:$V$1001,0),1)&gt;=100000,INDEX($AC$1005:$AS$1005,1,MATCH(COLUMNS($AC$1006:AR1006),$AC$1006:$AS$1006,0))&gt;=100000), " ",IF(INDEX($AC$2:$AS$1001,MATCH(ROWS($V$2:V427),$V$2:$V$1001,0),MATCH(COLUMNS($AC$1006:AR1006),$AC$1006:$AS$1006,0)), HYPERLINK("#",""), HYPERLINK(CONCATENATE("#Metadata!", ADDRESS(INDEX($X$2:$X$1001,MATCH(ROWS($V$2:V427),$V$2:$V$1001,0),0), INDEX($AC$1004:$AS$1004,1,MATCH(COLUMNS($AC$1006:AR1006),$AC$1006:$AS$1006,0)))),"Fix")))</f>
        <v>0</v>
      </c>
      <c r="R427" s="5">
        <f>IF(OR(INDEX($W$2:$W$1001,MATCH(ROWS($V$2:V427),$V$2:$V$1001,0),1)&gt;=100000,INDEX($AC$1005:$AS$1005,1,MATCH(COLUMNS($AC$1006:AS1006),$AC$1006:$AS$1006,0))&gt;=100000), " ",IF(INDEX($AC$2:$AS$1001,MATCH(ROWS($V$2:V427),$V$2:$V$1001,0),MATCH(COLUMNS($AC$1006:AS1006),$AC$1006:$AS$1006,0)), HYPERLINK("#",""), HYPERLINK(CONCATENATE("#Metadata!", ADDRESS(INDEX($X$2:$X$1001,MATCH(ROWS($V$2:V427),$V$2:$V$1001,0),0), INDEX($AC$1004:$AS$1004,1,MATCH(COLUMNS($AC$1006:AS1006),$AC$1006:$AS$1006,0)))),"Fix")))</f>
        <v>0</v>
      </c>
      <c r="V427">
        <v>0</v>
      </c>
      <c r="W427">
        <v>0</v>
      </c>
      <c r="X427">
        <v>0</v>
      </c>
      <c r="Y427">
        <f>IF(Z427,TRUE,AND(AC427:AS427))</f>
        <v>0</v>
      </c>
      <c r="Z427">
        <f>COUNTBLANK(Metadata!B427:R427)=COLUMNS(Metadata!B427:R427)</f>
        <v>0</v>
      </c>
      <c r="AA427">
        <v>0</v>
      </c>
      <c r="AC427">
        <f>AND(IF(Metadata!B427="",FALSE,TRUE),COUNTIF(Metadata!B:B, Metadata!B427) = 1,NOT(ISERROR(SUMPRODUCT(SEARCH(MID(Metadata!B427,ROW(INDIRECT("1:"&amp;LEN(Metadata!B427))), 1),"0123456789abcdefghijklmnopqrstuvwxyzABCDEFGHIJKLMNOPQRSTUVWXYZ.")))))</f>
        <v>0</v>
      </c>
      <c r="AD427">
        <f>AND(IF(Metadata!C427="",FALSE,TRUE),exact(Metadata!C427,"Host-associated"))</f>
        <v>0</v>
      </c>
      <c r="AE427">
        <f>AND(IF(Metadata!D427="",FALSE,TRUE),OR(exact(Metadata!D427,"Animal"),exact(Metadata!D427,"Fungus"),exact(Metadata!D427,"Plant")))</f>
        <v>0</v>
      </c>
      <c r="AF427">
        <f>AND(IF(Metadata!E427="",FALSE,TRUE),OR(exact(Metadata!E427,"Plant secretion"),exact(Metadata!E427,"Plant rhizosphere"),exact(Metadata!E427,"Plant surface"),exact(Metadata!E427,"Plant corpus"),exact(Metadata!E427,"Fungus surface"),exact(Metadata!E427,"Fungus corpus"),exact(Metadata!E427,"Animal surface"),exact(Metadata!E427,"Animal proximal gut"),exact(Metadata!E427,"Animal corpus"),exact(Metadata!E427,"Animal distal gut"),exact(Metadata!E427,"Animal secretion")))</f>
        <v>0</v>
      </c>
      <c r="AG427">
        <f>OR(AND(IF(Metadata!F427="",FALSE,TRUE),OR(exact(Metadata!F427,"not collected"),exact(Metadata!F427,"not provided"),exact(Metadata!F427,"restricted access"))),AND(IF(Metadata!F427="",FALSE,TRUE),OR(exact(Metadata!F427,"organism-associated habitat"),exact(Metadata!F427,"plant-associated habitat"),exact(Metadata!F427,"animal-associated habitat"),exact(Metadata!F427,"insecta-associated habitat"),exact(Metadata!F427,"mammalia-associated habitat"),exact(Metadata!F427,"human-associated habitat"),exact(Metadata!F427,"livestock-associated habitat"))))</f>
        <v>0</v>
      </c>
      <c r="AH427">
        <f>AND(IF(Metadata!G427="",FALSE,TRUE),exact(Metadata!G427,"host-associated"))</f>
        <v>0</v>
      </c>
      <c r="AI427">
        <f>OR(AND(IF(Metadata!H427="",FALSE,TRUE),OR(exact(Metadata!H427,"not collected"),exact(Metadata!H427,"not provided"))),AND(IF(Metadata!H427="",FALSE,ISNUMBER(VALUE(Metadata!H427))),Metadata!H427&gt;0))</f>
        <v>0</v>
      </c>
      <c r="AJ427">
        <f>AND(IF(Metadata!I427="",FALSE,TRUE),exact(Metadata!I427,"years"))</f>
        <v>0</v>
      </c>
      <c r="AK427">
        <f>IF(Metadata!J427="",FALSE,TRUE)</f>
        <v>0</v>
      </c>
      <c r="AL427">
        <f>OR(AND(IF(Metadata!K427="",FALSE,TRUE),OR(exact(Metadata!K427,"not collected"),exact(Metadata!K427,"not provided"))),AND(IF(Metadata!K427="",FALSE,ISNUMBER(VALUE(Metadata!K427))),Metadata!K427&gt;0))</f>
        <v>0</v>
      </c>
      <c r="AM427">
        <f>AND(IF(Metadata!L427="",FALSE,TRUE),exact(Metadata!L427,"cm"))</f>
        <v>0</v>
      </c>
      <c r="AN427">
        <f>IF(Metadata!M427="",FALSE,TRUE)</f>
        <v>0</v>
      </c>
      <c r="AO427">
        <f>OR(AND(IF(Metadata!N427="",FALSE,TRUE),OR(exact(Metadata!N427,"not applicable"),exact(Metadata!N427,"not collected"),exact(Metadata!N427,"not provided"))),AND(IF(Metadata!N427="",FALSE,IF(ISERROR(INT(Metadata!N427)),FALSE,INT(Metadata!N427)=Metadata!N427)),Metadata!N427&gt;0))</f>
        <v>0</v>
      </c>
      <c r="AP427">
        <f>OR(AND(IF(Metadata!O427="",FALSE,TRUE),OR(exact(Metadata!O427,"not collected"),exact(Metadata!O427,"not provided"))),AND(IF(Metadata!O427="",FALSE,ISNUMBER(VALUE(Metadata!O427))),Metadata!O427&gt;0))</f>
        <v>0</v>
      </c>
      <c r="AQ427">
        <f>AND(IF(Metadata!P427="",FALSE,TRUE),exact(Metadata!P427,"kg"))</f>
        <v>0</v>
      </c>
      <c r="AR427">
        <f>OR(AND(IF(Metadata!Q427="",FALSE,TRUE),OR(exact(Metadata!Q427,"not applicable"),exact(Metadata!Q427,"not collected"),exact(Metadata!Q427,"not provided"),exact(Metadata!Q427,"restricted access"))),IF(Metadata!Q427="",FALSE,IF(ISERROR(INT(Metadata!Q427)),FALSE,INT(Metadata!Q427)=Metadata!Q427)))</f>
        <v>0</v>
      </c>
      <c r="AS427">
        <f>AND(IF(Metadata!R427="",FALSE,TRUE),exact(Metadata!R427,"Not applicable"))</f>
        <v>0</v>
      </c>
    </row>
    <row r="428" spans="1:45">
      <c r="A428" s="4">
        <f>IF(B428=" "," ",HYPERLINK(CONCATENATE("#metadata!",ADDRESS(INDEX($X$2:$X$1001,MATCH(ROWS($V$2:V428),$V$2:$V$1001,0),0),2)),INDEX($AA$2:$AA$1001,MATCH(ROWS($V$2:V428),$V$2:$V$1001,0),0)))</f>
        <v>0</v>
      </c>
      <c r="B428" s="5">
        <f>IF(OR(INDEX($W$2:$W$1001,MATCH(ROWS($V$2:V428),$V$2:$V$1001,0),1)&gt;=100000,INDEX($AC$1005:$AS$1005,1,MATCH(COLUMNS($AC$1006:AC1006),$AC$1006:$AS$1006,0))&gt;=100000), " ",IF(INDEX($AC$2:$AS$1001,MATCH(ROWS($V$2:V428),$V$2:$V$1001,0),MATCH(COLUMNS($AC$1006:AC1006),$AC$1006:$AS$1006,0)), HYPERLINK("#",""), HYPERLINK(CONCATENATE("#Metadata!", ADDRESS(INDEX($X$2:$X$1001,MATCH(ROWS($V$2:V428),$V$2:$V$1001,0),0), INDEX($AC$1004:$AS$1004,1,MATCH(COLUMNS($AC$1006:AC1006),$AC$1006:$AS$1006,0)))),"Fix")))</f>
        <v>0</v>
      </c>
      <c r="C428" s="5">
        <f>IF(OR(INDEX($W$2:$W$1001,MATCH(ROWS($V$2:V428),$V$2:$V$1001,0),1)&gt;=100000,INDEX($AC$1005:$AS$1005,1,MATCH(COLUMNS($AC$1006:AD1006),$AC$1006:$AS$1006,0))&gt;=100000), " ",IF(INDEX($AC$2:$AS$1001,MATCH(ROWS($V$2:V428),$V$2:$V$1001,0),MATCH(COLUMNS($AC$1006:AD1006),$AC$1006:$AS$1006,0)), HYPERLINK("#",""), HYPERLINK(CONCATENATE("#Metadata!", ADDRESS(INDEX($X$2:$X$1001,MATCH(ROWS($V$2:V428),$V$2:$V$1001,0),0), INDEX($AC$1004:$AS$1004,1,MATCH(COLUMNS($AC$1006:AD1006),$AC$1006:$AS$1006,0)))),"Fix")))</f>
        <v>0</v>
      </c>
      <c r="D428" s="5">
        <f>IF(OR(INDEX($W$2:$W$1001,MATCH(ROWS($V$2:V428),$V$2:$V$1001,0),1)&gt;=100000,INDEX($AC$1005:$AS$1005,1,MATCH(COLUMNS($AC$1006:AE1006),$AC$1006:$AS$1006,0))&gt;=100000), " ",IF(INDEX($AC$2:$AS$1001,MATCH(ROWS($V$2:V428),$V$2:$V$1001,0),MATCH(COLUMNS($AC$1006:AE1006),$AC$1006:$AS$1006,0)), HYPERLINK("#",""), HYPERLINK(CONCATENATE("#Metadata!", ADDRESS(INDEX($X$2:$X$1001,MATCH(ROWS($V$2:V428),$V$2:$V$1001,0),0), INDEX($AC$1004:$AS$1004,1,MATCH(COLUMNS($AC$1006:AE1006),$AC$1006:$AS$1006,0)))),"Fix")))</f>
        <v>0</v>
      </c>
      <c r="E428" s="5">
        <f>IF(OR(INDEX($W$2:$W$1001,MATCH(ROWS($V$2:V428),$V$2:$V$1001,0),1)&gt;=100000,INDEX($AC$1005:$AS$1005,1,MATCH(COLUMNS($AC$1006:AF1006),$AC$1006:$AS$1006,0))&gt;=100000), " ",IF(INDEX($AC$2:$AS$1001,MATCH(ROWS($V$2:V428),$V$2:$V$1001,0),MATCH(COLUMNS($AC$1006:AF1006),$AC$1006:$AS$1006,0)), HYPERLINK("#",""), HYPERLINK(CONCATENATE("#Metadata!", ADDRESS(INDEX($X$2:$X$1001,MATCH(ROWS($V$2:V428),$V$2:$V$1001,0),0), INDEX($AC$1004:$AS$1004,1,MATCH(COLUMNS($AC$1006:AF1006),$AC$1006:$AS$1006,0)))),"Fix")))</f>
        <v>0</v>
      </c>
      <c r="F428" s="5">
        <f>IF(OR(INDEX($W$2:$W$1001,MATCH(ROWS($V$2:V428),$V$2:$V$1001,0),1)&gt;=100000,INDEX($AC$1005:$AS$1005,1,MATCH(COLUMNS($AC$1006:AG1006),$AC$1006:$AS$1006,0))&gt;=100000), " ",IF(INDEX($AC$2:$AS$1001,MATCH(ROWS($V$2:V428),$V$2:$V$1001,0),MATCH(COLUMNS($AC$1006:AG1006),$AC$1006:$AS$1006,0)), HYPERLINK("#",""), HYPERLINK(CONCATENATE("#Metadata!", ADDRESS(INDEX($X$2:$X$1001,MATCH(ROWS($V$2:V428),$V$2:$V$1001,0),0), INDEX($AC$1004:$AS$1004,1,MATCH(COLUMNS($AC$1006:AG1006),$AC$1006:$AS$1006,0)))),"Fix")))</f>
        <v>0</v>
      </c>
      <c r="G428" s="5">
        <f>IF(OR(INDEX($W$2:$W$1001,MATCH(ROWS($V$2:V428),$V$2:$V$1001,0),1)&gt;=100000,INDEX($AC$1005:$AS$1005,1,MATCH(COLUMNS($AC$1006:AH1006),$AC$1006:$AS$1006,0))&gt;=100000), " ",IF(INDEX($AC$2:$AS$1001,MATCH(ROWS($V$2:V428),$V$2:$V$1001,0),MATCH(COLUMNS($AC$1006:AH1006),$AC$1006:$AS$1006,0)), HYPERLINK("#",""), HYPERLINK(CONCATENATE("#Metadata!", ADDRESS(INDEX($X$2:$X$1001,MATCH(ROWS($V$2:V428),$V$2:$V$1001,0),0), INDEX($AC$1004:$AS$1004,1,MATCH(COLUMNS($AC$1006:AH1006),$AC$1006:$AS$1006,0)))),"Fix")))</f>
        <v>0</v>
      </c>
      <c r="H428" s="5">
        <f>IF(OR(INDEX($W$2:$W$1001,MATCH(ROWS($V$2:V428),$V$2:$V$1001,0),1)&gt;=100000,INDEX($AC$1005:$AS$1005,1,MATCH(COLUMNS($AC$1006:AI1006),$AC$1006:$AS$1006,0))&gt;=100000), " ",IF(INDEX($AC$2:$AS$1001,MATCH(ROWS($V$2:V428),$V$2:$V$1001,0),MATCH(COLUMNS($AC$1006:AI1006),$AC$1006:$AS$1006,0)), HYPERLINK("#",""), HYPERLINK(CONCATENATE("#Metadata!", ADDRESS(INDEX($X$2:$X$1001,MATCH(ROWS($V$2:V428),$V$2:$V$1001,0),0), INDEX($AC$1004:$AS$1004,1,MATCH(COLUMNS($AC$1006:AI1006),$AC$1006:$AS$1006,0)))),"Fix")))</f>
        <v>0</v>
      </c>
      <c r="I428" s="5">
        <f>IF(OR(INDEX($W$2:$W$1001,MATCH(ROWS($V$2:V428),$V$2:$V$1001,0),1)&gt;=100000,INDEX($AC$1005:$AS$1005,1,MATCH(COLUMNS($AC$1006:AJ1006),$AC$1006:$AS$1006,0))&gt;=100000), " ",IF(INDEX($AC$2:$AS$1001,MATCH(ROWS($V$2:V428),$V$2:$V$1001,0),MATCH(COLUMNS($AC$1006:AJ1006),$AC$1006:$AS$1006,0)), HYPERLINK("#",""), HYPERLINK(CONCATENATE("#Metadata!", ADDRESS(INDEX($X$2:$X$1001,MATCH(ROWS($V$2:V428),$V$2:$V$1001,0),0), INDEX($AC$1004:$AS$1004,1,MATCH(COLUMNS($AC$1006:AJ1006),$AC$1006:$AS$1006,0)))),"Fix")))</f>
        <v>0</v>
      </c>
      <c r="J428" s="5">
        <f>IF(OR(INDEX($W$2:$W$1001,MATCH(ROWS($V$2:V428),$V$2:$V$1001,0),1)&gt;=100000,INDEX($AC$1005:$AS$1005,1,MATCH(COLUMNS($AC$1006:AK1006),$AC$1006:$AS$1006,0))&gt;=100000), " ",IF(INDEX($AC$2:$AS$1001,MATCH(ROWS($V$2:V428),$V$2:$V$1001,0),MATCH(COLUMNS($AC$1006:AK1006),$AC$1006:$AS$1006,0)), HYPERLINK("#",""), HYPERLINK(CONCATENATE("#Metadata!", ADDRESS(INDEX($X$2:$X$1001,MATCH(ROWS($V$2:V428),$V$2:$V$1001,0),0), INDEX($AC$1004:$AS$1004,1,MATCH(COLUMNS($AC$1006:AK1006),$AC$1006:$AS$1006,0)))),"Fix")))</f>
        <v>0</v>
      </c>
      <c r="K428" s="5">
        <f>IF(OR(INDEX($W$2:$W$1001,MATCH(ROWS($V$2:V428),$V$2:$V$1001,0),1)&gt;=100000,INDEX($AC$1005:$AS$1005,1,MATCH(COLUMNS($AC$1006:AL1006),$AC$1006:$AS$1006,0))&gt;=100000), " ",IF(INDEX($AC$2:$AS$1001,MATCH(ROWS($V$2:V428),$V$2:$V$1001,0),MATCH(COLUMNS($AC$1006:AL1006),$AC$1006:$AS$1006,0)), HYPERLINK("#",""), HYPERLINK(CONCATENATE("#Metadata!", ADDRESS(INDEX($X$2:$X$1001,MATCH(ROWS($V$2:V428),$V$2:$V$1001,0),0), INDEX($AC$1004:$AS$1004,1,MATCH(COLUMNS($AC$1006:AL1006),$AC$1006:$AS$1006,0)))),"Fix")))</f>
        <v>0</v>
      </c>
      <c r="L428" s="5">
        <f>IF(OR(INDEX($W$2:$W$1001,MATCH(ROWS($V$2:V428),$V$2:$V$1001,0),1)&gt;=100000,INDEX($AC$1005:$AS$1005,1,MATCH(COLUMNS($AC$1006:AM1006),$AC$1006:$AS$1006,0))&gt;=100000), " ",IF(INDEX($AC$2:$AS$1001,MATCH(ROWS($V$2:V428),$V$2:$V$1001,0),MATCH(COLUMNS($AC$1006:AM1006),$AC$1006:$AS$1006,0)), HYPERLINK("#",""), HYPERLINK(CONCATENATE("#Metadata!", ADDRESS(INDEX($X$2:$X$1001,MATCH(ROWS($V$2:V428),$V$2:$V$1001,0),0), INDEX($AC$1004:$AS$1004,1,MATCH(COLUMNS($AC$1006:AM1006),$AC$1006:$AS$1006,0)))),"Fix")))</f>
        <v>0</v>
      </c>
      <c r="M428" s="5">
        <f>IF(OR(INDEX($W$2:$W$1001,MATCH(ROWS($V$2:V428),$V$2:$V$1001,0),1)&gt;=100000,INDEX($AC$1005:$AS$1005,1,MATCH(COLUMNS($AC$1006:AN1006),$AC$1006:$AS$1006,0))&gt;=100000), " ",IF(INDEX($AC$2:$AS$1001,MATCH(ROWS($V$2:V428),$V$2:$V$1001,0),MATCH(COLUMNS($AC$1006:AN1006),$AC$1006:$AS$1006,0)), HYPERLINK("#",""), HYPERLINK(CONCATENATE("#Metadata!", ADDRESS(INDEX($X$2:$X$1001,MATCH(ROWS($V$2:V428),$V$2:$V$1001,0),0), INDEX($AC$1004:$AS$1004,1,MATCH(COLUMNS($AC$1006:AN1006),$AC$1006:$AS$1006,0)))),"Fix")))</f>
        <v>0</v>
      </c>
      <c r="N428" s="5">
        <f>IF(OR(INDEX($W$2:$W$1001,MATCH(ROWS($V$2:V428),$V$2:$V$1001,0),1)&gt;=100000,INDEX($AC$1005:$AS$1005,1,MATCH(COLUMNS($AC$1006:AO1006),$AC$1006:$AS$1006,0))&gt;=100000), " ",IF(INDEX($AC$2:$AS$1001,MATCH(ROWS($V$2:V428),$V$2:$V$1001,0),MATCH(COLUMNS($AC$1006:AO1006),$AC$1006:$AS$1006,0)), HYPERLINK("#",""), HYPERLINK(CONCATENATE("#Metadata!", ADDRESS(INDEX($X$2:$X$1001,MATCH(ROWS($V$2:V428),$V$2:$V$1001,0),0), INDEX($AC$1004:$AS$1004,1,MATCH(COLUMNS($AC$1006:AO1006),$AC$1006:$AS$1006,0)))),"Fix")))</f>
        <v>0</v>
      </c>
      <c r="O428" s="5">
        <f>IF(OR(INDEX($W$2:$W$1001,MATCH(ROWS($V$2:V428),$V$2:$V$1001,0),1)&gt;=100000,INDEX($AC$1005:$AS$1005,1,MATCH(COLUMNS($AC$1006:AP1006),$AC$1006:$AS$1006,0))&gt;=100000), " ",IF(INDEX($AC$2:$AS$1001,MATCH(ROWS($V$2:V428),$V$2:$V$1001,0),MATCH(COLUMNS($AC$1006:AP1006),$AC$1006:$AS$1006,0)), HYPERLINK("#",""), HYPERLINK(CONCATENATE("#Metadata!", ADDRESS(INDEX($X$2:$X$1001,MATCH(ROWS($V$2:V428),$V$2:$V$1001,0),0), INDEX($AC$1004:$AS$1004,1,MATCH(COLUMNS($AC$1006:AP1006),$AC$1006:$AS$1006,0)))),"Fix")))</f>
        <v>0</v>
      </c>
      <c r="P428" s="5">
        <f>IF(OR(INDEX($W$2:$W$1001,MATCH(ROWS($V$2:V428),$V$2:$V$1001,0),1)&gt;=100000,INDEX($AC$1005:$AS$1005,1,MATCH(COLUMNS($AC$1006:AQ1006),$AC$1006:$AS$1006,0))&gt;=100000), " ",IF(INDEX($AC$2:$AS$1001,MATCH(ROWS($V$2:V428),$V$2:$V$1001,0),MATCH(COLUMNS($AC$1006:AQ1006),$AC$1006:$AS$1006,0)), HYPERLINK("#",""), HYPERLINK(CONCATENATE("#Metadata!", ADDRESS(INDEX($X$2:$X$1001,MATCH(ROWS($V$2:V428),$V$2:$V$1001,0),0), INDEX($AC$1004:$AS$1004,1,MATCH(COLUMNS($AC$1006:AQ1006),$AC$1006:$AS$1006,0)))),"Fix")))</f>
        <v>0</v>
      </c>
      <c r="Q428" s="5">
        <f>IF(OR(INDEX($W$2:$W$1001,MATCH(ROWS($V$2:V428),$V$2:$V$1001,0),1)&gt;=100000,INDEX($AC$1005:$AS$1005,1,MATCH(COLUMNS($AC$1006:AR1006),$AC$1006:$AS$1006,0))&gt;=100000), " ",IF(INDEX($AC$2:$AS$1001,MATCH(ROWS($V$2:V428),$V$2:$V$1001,0),MATCH(COLUMNS($AC$1006:AR1006),$AC$1006:$AS$1006,0)), HYPERLINK("#",""), HYPERLINK(CONCATENATE("#Metadata!", ADDRESS(INDEX($X$2:$X$1001,MATCH(ROWS($V$2:V428),$V$2:$V$1001,0),0), INDEX($AC$1004:$AS$1004,1,MATCH(COLUMNS($AC$1006:AR1006),$AC$1006:$AS$1006,0)))),"Fix")))</f>
        <v>0</v>
      </c>
      <c r="R428" s="5">
        <f>IF(OR(INDEX($W$2:$W$1001,MATCH(ROWS($V$2:V428),$V$2:$V$1001,0),1)&gt;=100000,INDEX($AC$1005:$AS$1005,1,MATCH(COLUMNS($AC$1006:AS1006),$AC$1006:$AS$1006,0))&gt;=100000), " ",IF(INDEX($AC$2:$AS$1001,MATCH(ROWS($V$2:V428),$V$2:$V$1001,0),MATCH(COLUMNS($AC$1006:AS1006),$AC$1006:$AS$1006,0)), HYPERLINK("#",""), HYPERLINK(CONCATENATE("#Metadata!", ADDRESS(INDEX($X$2:$X$1001,MATCH(ROWS($V$2:V428),$V$2:$V$1001,0),0), INDEX($AC$1004:$AS$1004,1,MATCH(COLUMNS($AC$1006:AS1006),$AC$1006:$AS$1006,0)))),"Fix")))</f>
        <v>0</v>
      </c>
      <c r="V428">
        <v>0</v>
      </c>
      <c r="W428">
        <v>0</v>
      </c>
      <c r="X428">
        <v>0</v>
      </c>
      <c r="Y428">
        <f>IF(Z428,TRUE,AND(AC428:AS428))</f>
        <v>0</v>
      </c>
      <c r="Z428">
        <f>COUNTBLANK(Metadata!B428:R428)=COLUMNS(Metadata!B428:R428)</f>
        <v>0</v>
      </c>
      <c r="AA428">
        <v>0</v>
      </c>
      <c r="AC428">
        <f>AND(IF(Metadata!B428="",FALSE,TRUE),COUNTIF(Metadata!B:B, Metadata!B428) = 1,NOT(ISERROR(SUMPRODUCT(SEARCH(MID(Metadata!B428,ROW(INDIRECT("1:"&amp;LEN(Metadata!B428))), 1),"0123456789abcdefghijklmnopqrstuvwxyzABCDEFGHIJKLMNOPQRSTUVWXYZ.")))))</f>
        <v>0</v>
      </c>
      <c r="AD428">
        <f>AND(IF(Metadata!C428="",FALSE,TRUE),exact(Metadata!C428,"Host-associated"))</f>
        <v>0</v>
      </c>
      <c r="AE428">
        <f>AND(IF(Metadata!D428="",FALSE,TRUE),OR(exact(Metadata!D428,"Animal"),exact(Metadata!D428,"Fungus"),exact(Metadata!D428,"Plant")))</f>
        <v>0</v>
      </c>
      <c r="AF428">
        <f>AND(IF(Metadata!E428="",FALSE,TRUE),OR(exact(Metadata!E428,"Plant secretion"),exact(Metadata!E428,"Plant rhizosphere"),exact(Metadata!E428,"Plant surface"),exact(Metadata!E428,"Plant corpus"),exact(Metadata!E428,"Fungus surface"),exact(Metadata!E428,"Fungus corpus"),exact(Metadata!E428,"Animal surface"),exact(Metadata!E428,"Animal proximal gut"),exact(Metadata!E428,"Animal corpus"),exact(Metadata!E428,"Animal distal gut"),exact(Metadata!E428,"Animal secretion")))</f>
        <v>0</v>
      </c>
      <c r="AG428">
        <f>OR(AND(IF(Metadata!F428="",FALSE,TRUE),OR(exact(Metadata!F428,"not collected"),exact(Metadata!F428,"not provided"),exact(Metadata!F428,"restricted access"))),AND(IF(Metadata!F428="",FALSE,TRUE),OR(exact(Metadata!F428,"organism-associated habitat"),exact(Metadata!F428,"plant-associated habitat"),exact(Metadata!F428,"animal-associated habitat"),exact(Metadata!F428,"insecta-associated habitat"),exact(Metadata!F428,"mammalia-associated habitat"),exact(Metadata!F428,"human-associated habitat"),exact(Metadata!F428,"livestock-associated habitat"))))</f>
        <v>0</v>
      </c>
      <c r="AH428">
        <f>AND(IF(Metadata!G428="",FALSE,TRUE),exact(Metadata!G428,"host-associated"))</f>
        <v>0</v>
      </c>
      <c r="AI428">
        <f>OR(AND(IF(Metadata!H428="",FALSE,TRUE),OR(exact(Metadata!H428,"not collected"),exact(Metadata!H428,"not provided"))),AND(IF(Metadata!H428="",FALSE,ISNUMBER(VALUE(Metadata!H428))),Metadata!H428&gt;0))</f>
        <v>0</v>
      </c>
      <c r="AJ428">
        <f>AND(IF(Metadata!I428="",FALSE,TRUE),exact(Metadata!I428,"years"))</f>
        <v>0</v>
      </c>
      <c r="AK428">
        <f>IF(Metadata!J428="",FALSE,TRUE)</f>
        <v>0</v>
      </c>
      <c r="AL428">
        <f>OR(AND(IF(Metadata!K428="",FALSE,TRUE),OR(exact(Metadata!K428,"not collected"),exact(Metadata!K428,"not provided"))),AND(IF(Metadata!K428="",FALSE,ISNUMBER(VALUE(Metadata!K428))),Metadata!K428&gt;0))</f>
        <v>0</v>
      </c>
      <c r="AM428">
        <f>AND(IF(Metadata!L428="",FALSE,TRUE),exact(Metadata!L428,"cm"))</f>
        <v>0</v>
      </c>
      <c r="AN428">
        <f>IF(Metadata!M428="",FALSE,TRUE)</f>
        <v>0</v>
      </c>
      <c r="AO428">
        <f>OR(AND(IF(Metadata!N428="",FALSE,TRUE),OR(exact(Metadata!N428,"not applicable"),exact(Metadata!N428,"not collected"),exact(Metadata!N428,"not provided"))),AND(IF(Metadata!N428="",FALSE,IF(ISERROR(INT(Metadata!N428)),FALSE,INT(Metadata!N428)=Metadata!N428)),Metadata!N428&gt;0))</f>
        <v>0</v>
      </c>
      <c r="AP428">
        <f>OR(AND(IF(Metadata!O428="",FALSE,TRUE),OR(exact(Metadata!O428,"not collected"),exact(Metadata!O428,"not provided"))),AND(IF(Metadata!O428="",FALSE,ISNUMBER(VALUE(Metadata!O428))),Metadata!O428&gt;0))</f>
        <v>0</v>
      </c>
      <c r="AQ428">
        <f>AND(IF(Metadata!P428="",FALSE,TRUE),exact(Metadata!P428,"kg"))</f>
        <v>0</v>
      </c>
      <c r="AR428">
        <f>OR(AND(IF(Metadata!Q428="",FALSE,TRUE),OR(exact(Metadata!Q428,"not applicable"),exact(Metadata!Q428,"not collected"),exact(Metadata!Q428,"not provided"),exact(Metadata!Q428,"restricted access"))),IF(Metadata!Q428="",FALSE,IF(ISERROR(INT(Metadata!Q428)),FALSE,INT(Metadata!Q428)=Metadata!Q428)))</f>
        <v>0</v>
      </c>
      <c r="AS428">
        <f>AND(IF(Metadata!R428="",FALSE,TRUE),exact(Metadata!R428,"Not applicable"))</f>
        <v>0</v>
      </c>
    </row>
    <row r="429" spans="1:45">
      <c r="A429" s="4">
        <f>IF(B429=" "," ",HYPERLINK(CONCATENATE("#metadata!",ADDRESS(INDEX($X$2:$X$1001,MATCH(ROWS($V$2:V429),$V$2:$V$1001,0),0),2)),INDEX($AA$2:$AA$1001,MATCH(ROWS($V$2:V429),$V$2:$V$1001,0),0)))</f>
        <v>0</v>
      </c>
      <c r="B429" s="5">
        <f>IF(OR(INDEX($W$2:$W$1001,MATCH(ROWS($V$2:V429),$V$2:$V$1001,0),1)&gt;=100000,INDEX($AC$1005:$AS$1005,1,MATCH(COLUMNS($AC$1006:AC1006),$AC$1006:$AS$1006,0))&gt;=100000), " ",IF(INDEX($AC$2:$AS$1001,MATCH(ROWS($V$2:V429),$V$2:$V$1001,0),MATCH(COLUMNS($AC$1006:AC1006),$AC$1006:$AS$1006,0)), HYPERLINK("#",""), HYPERLINK(CONCATENATE("#Metadata!", ADDRESS(INDEX($X$2:$X$1001,MATCH(ROWS($V$2:V429),$V$2:$V$1001,0),0), INDEX($AC$1004:$AS$1004,1,MATCH(COLUMNS($AC$1006:AC1006),$AC$1006:$AS$1006,0)))),"Fix")))</f>
        <v>0</v>
      </c>
      <c r="C429" s="5">
        <f>IF(OR(INDEX($W$2:$W$1001,MATCH(ROWS($V$2:V429),$V$2:$V$1001,0),1)&gt;=100000,INDEX($AC$1005:$AS$1005,1,MATCH(COLUMNS($AC$1006:AD1006),$AC$1006:$AS$1006,0))&gt;=100000), " ",IF(INDEX($AC$2:$AS$1001,MATCH(ROWS($V$2:V429),$V$2:$V$1001,0),MATCH(COLUMNS($AC$1006:AD1006),$AC$1006:$AS$1006,0)), HYPERLINK("#",""), HYPERLINK(CONCATENATE("#Metadata!", ADDRESS(INDEX($X$2:$X$1001,MATCH(ROWS($V$2:V429),$V$2:$V$1001,0),0), INDEX($AC$1004:$AS$1004,1,MATCH(COLUMNS($AC$1006:AD1006),$AC$1006:$AS$1006,0)))),"Fix")))</f>
        <v>0</v>
      </c>
      <c r="D429" s="5">
        <f>IF(OR(INDEX($W$2:$W$1001,MATCH(ROWS($V$2:V429),$V$2:$V$1001,0),1)&gt;=100000,INDEX($AC$1005:$AS$1005,1,MATCH(COLUMNS($AC$1006:AE1006),$AC$1006:$AS$1006,0))&gt;=100000), " ",IF(INDEX($AC$2:$AS$1001,MATCH(ROWS($V$2:V429),$V$2:$V$1001,0),MATCH(COLUMNS($AC$1006:AE1006),$AC$1006:$AS$1006,0)), HYPERLINK("#",""), HYPERLINK(CONCATENATE("#Metadata!", ADDRESS(INDEX($X$2:$X$1001,MATCH(ROWS($V$2:V429),$V$2:$V$1001,0),0), INDEX($AC$1004:$AS$1004,1,MATCH(COLUMNS($AC$1006:AE1006),$AC$1006:$AS$1006,0)))),"Fix")))</f>
        <v>0</v>
      </c>
      <c r="E429" s="5">
        <f>IF(OR(INDEX($W$2:$W$1001,MATCH(ROWS($V$2:V429),$V$2:$V$1001,0),1)&gt;=100000,INDEX($AC$1005:$AS$1005,1,MATCH(COLUMNS($AC$1006:AF1006),$AC$1006:$AS$1006,0))&gt;=100000), " ",IF(INDEX($AC$2:$AS$1001,MATCH(ROWS($V$2:V429),$V$2:$V$1001,0),MATCH(COLUMNS($AC$1006:AF1006),$AC$1006:$AS$1006,0)), HYPERLINK("#",""), HYPERLINK(CONCATENATE("#Metadata!", ADDRESS(INDEX($X$2:$X$1001,MATCH(ROWS($V$2:V429),$V$2:$V$1001,0),0), INDEX($AC$1004:$AS$1004,1,MATCH(COLUMNS($AC$1006:AF1006),$AC$1006:$AS$1006,0)))),"Fix")))</f>
        <v>0</v>
      </c>
      <c r="F429" s="5">
        <f>IF(OR(INDEX($W$2:$W$1001,MATCH(ROWS($V$2:V429),$V$2:$V$1001,0),1)&gt;=100000,INDEX($AC$1005:$AS$1005,1,MATCH(COLUMNS($AC$1006:AG1006),$AC$1006:$AS$1006,0))&gt;=100000), " ",IF(INDEX($AC$2:$AS$1001,MATCH(ROWS($V$2:V429),$V$2:$V$1001,0),MATCH(COLUMNS($AC$1006:AG1006),$AC$1006:$AS$1006,0)), HYPERLINK("#",""), HYPERLINK(CONCATENATE("#Metadata!", ADDRESS(INDEX($X$2:$X$1001,MATCH(ROWS($V$2:V429),$V$2:$V$1001,0),0), INDEX($AC$1004:$AS$1004,1,MATCH(COLUMNS($AC$1006:AG1006),$AC$1006:$AS$1006,0)))),"Fix")))</f>
        <v>0</v>
      </c>
      <c r="G429" s="5">
        <f>IF(OR(INDEX($W$2:$W$1001,MATCH(ROWS($V$2:V429),$V$2:$V$1001,0),1)&gt;=100000,INDEX($AC$1005:$AS$1005,1,MATCH(COLUMNS($AC$1006:AH1006),$AC$1006:$AS$1006,0))&gt;=100000), " ",IF(INDEX($AC$2:$AS$1001,MATCH(ROWS($V$2:V429),$V$2:$V$1001,0),MATCH(COLUMNS($AC$1006:AH1006),$AC$1006:$AS$1006,0)), HYPERLINK("#",""), HYPERLINK(CONCATENATE("#Metadata!", ADDRESS(INDEX($X$2:$X$1001,MATCH(ROWS($V$2:V429),$V$2:$V$1001,0),0), INDEX($AC$1004:$AS$1004,1,MATCH(COLUMNS($AC$1006:AH1006),$AC$1006:$AS$1006,0)))),"Fix")))</f>
        <v>0</v>
      </c>
      <c r="H429" s="5">
        <f>IF(OR(INDEX($W$2:$W$1001,MATCH(ROWS($V$2:V429),$V$2:$V$1001,0),1)&gt;=100000,INDEX($AC$1005:$AS$1005,1,MATCH(COLUMNS($AC$1006:AI1006),$AC$1006:$AS$1006,0))&gt;=100000), " ",IF(INDEX($AC$2:$AS$1001,MATCH(ROWS($V$2:V429),$V$2:$V$1001,0),MATCH(COLUMNS($AC$1006:AI1006),$AC$1006:$AS$1006,0)), HYPERLINK("#",""), HYPERLINK(CONCATENATE("#Metadata!", ADDRESS(INDEX($X$2:$X$1001,MATCH(ROWS($V$2:V429),$V$2:$V$1001,0),0), INDEX($AC$1004:$AS$1004,1,MATCH(COLUMNS($AC$1006:AI1006),$AC$1006:$AS$1006,0)))),"Fix")))</f>
        <v>0</v>
      </c>
      <c r="I429" s="5">
        <f>IF(OR(INDEX($W$2:$W$1001,MATCH(ROWS($V$2:V429),$V$2:$V$1001,0),1)&gt;=100000,INDEX($AC$1005:$AS$1005,1,MATCH(COLUMNS($AC$1006:AJ1006),$AC$1006:$AS$1006,0))&gt;=100000), " ",IF(INDEX($AC$2:$AS$1001,MATCH(ROWS($V$2:V429),$V$2:$V$1001,0),MATCH(COLUMNS($AC$1006:AJ1006),$AC$1006:$AS$1006,0)), HYPERLINK("#",""), HYPERLINK(CONCATENATE("#Metadata!", ADDRESS(INDEX($X$2:$X$1001,MATCH(ROWS($V$2:V429),$V$2:$V$1001,0),0), INDEX($AC$1004:$AS$1004,1,MATCH(COLUMNS($AC$1006:AJ1006),$AC$1006:$AS$1006,0)))),"Fix")))</f>
        <v>0</v>
      </c>
      <c r="J429" s="5">
        <f>IF(OR(INDEX($W$2:$W$1001,MATCH(ROWS($V$2:V429),$V$2:$V$1001,0),1)&gt;=100000,INDEX($AC$1005:$AS$1005,1,MATCH(COLUMNS($AC$1006:AK1006),$AC$1006:$AS$1006,0))&gt;=100000), " ",IF(INDEX($AC$2:$AS$1001,MATCH(ROWS($V$2:V429),$V$2:$V$1001,0),MATCH(COLUMNS($AC$1006:AK1006),$AC$1006:$AS$1006,0)), HYPERLINK("#",""), HYPERLINK(CONCATENATE("#Metadata!", ADDRESS(INDEX($X$2:$X$1001,MATCH(ROWS($V$2:V429),$V$2:$V$1001,0),0), INDEX($AC$1004:$AS$1004,1,MATCH(COLUMNS($AC$1006:AK1006),$AC$1006:$AS$1006,0)))),"Fix")))</f>
        <v>0</v>
      </c>
      <c r="K429" s="5">
        <f>IF(OR(INDEX($W$2:$W$1001,MATCH(ROWS($V$2:V429),$V$2:$V$1001,0),1)&gt;=100000,INDEX($AC$1005:$AS$1005,1,MATCH(COLUMNS($AC$1006:AL1006),$AC$1006:$AS$1006,0))&gt;=100000), " ",IF(INDEX($AC$2:$AS$1001,MATCH(ROWS($V$2:V429),$V$2:$V$1001,0),MATCH(COLUMNS($AC$1006:AL1006),$AC$1006:$AS$1006,0)), HYPERLINK("#",""), HYPERLINK(CONCATENATE("#Metadata!", ADDRESS(INDEX($X$2:$X$1001,MATCH(ROWS($V$2:V429),$V$2:$V$1001,0),0), INDEX($AC$1004:$AS$1004,1,MATCH(COLUMNS($AC$1006:AL1006),$AC$1006:$AS$1006,0)))),"Fix")))</f>
        <v>0</v>
      </c>
      <c r="L429" s="5">
        <f>IF(OR(INDEX($W$2:$W$1001,MATCH(ROWS($V$2:V429),$V$2:$V$1001,0),1)&gt;=100000,INDEX($AC$1005:$AS$1005,1,MATCH(COLUMNS($AC$1006:AM1006),$AC$1006:$AS$1006,0))&gt;=100000), " ",IF(INDEX($AC$2:$AS$1001,MATCH(ROWS($V$2:V429),$V$2:$V$1001,0),MATCH(COLUMNS($AC$1006:AM1006),$AC$1006:$AS$1006,0)), HYPERLINK("#",""), HYPERLINK(CONCATENATE("#Metadata!", ADDRESS(INDEX($X$2:$X$1001,MATCH(ROWS($V$2:V429),$V$2:$V$1001,0),0), INDEX($AC$1004:$AS$1004,1,MATCH(COLUMNS($AC$1006:AM1006),$AC$1006:$AS$1006,0)))),"Fix")))</f>
        <v>0</v>
      </c>
      <c r="M429" s="5">
        <f>IF(OR(INDEX($W$2:$W$1001,MATCH(ROWS($V$2:V429),$V$2:$V$1001,0),1)&gt;=100000,INDEX($AC$1005:$AS$1005,1,MATCH(COLUMNS($AC$1006:AN1006),$AC$1006:$AS$1006,0))&gt;=100000), " ",IF(INDEX($AC$2:$AS$1001,MATCH(ROWS($V$2:V429),$V$2:$V$1001,0),MATCH(COLUMNS($AC$1006:AN1006),$AC$1006:$AS$1006,0)), HYPERLINK("#",""), HYPERLINK(CONCATENATE("#Metadata!", ADDRESS(INDEX($X$2:$X$1001,MATCH(ROWS($V$2:V429),$V$2:$V$1001,0),0), INDEX($AC$1004:$AS$1004,1,MATCH(COLUMNS($AC$1006:AN1006),$AC$1006:$AS$1006,0)))),"Fix")))</f>
        <v>0</v>
      </c>
      <c r="N429" s="5">
        <f>IF(OR(INDEX($W$2:$W$1001,MATCH(ROWS($V$2:V429),$V$2:$V$1001,0),1)&gt;=100000,INDEX($AC$1005:$AS$1005,1,MATCH(COLUMNS($AC$1006:AO1006),$AC$1006:$AS$1006,0))&gt;=100000), " ",IF(INDEX($AC$2:$AS$1001,MATCH(ROWS($V$2:V429),$V$2:$V$1001,0),MATCH(COLUMNS($AC$1006:AO1006),$AC$1006:$AS$1006,0)), HYPERLINK("#",""), HYPERLINK(CONCATENATE("#Metadata!", ADDRESS(INDEX($X$2:$X$1001,MATCH(ROWS($V$2:V429),$V$2:$V$1001,0),0), INDEX($AC$1004:$AS$1004,1,MATCH(COLUMNS($AC$1006:AO1006),$AC$1006:$AS$1006,0)))),"Fix")))</f>
        <v>0</v>
      </c>
      <c r="O429" s="5">
        <f>IF(OR(INDEX($W$2:$W$1001,MATCH(ROWS($V$2:V429),$V$2:$V$1001,0),1)&gt;=100000,INDEX($AC$1005:$AS$1005,1,MATCH(COLUMNS($AC$1006:AP1006),$AC$1006:$AS$1006,0))&gt;=100000), " ",IF(INDEX($AC$2:$AS$1001,MATCH(ROWS($V$2:V429),$V$2:$V$1001,0),MATCH(COLUMNS($AC$1006:AP1006),$AC$1006:$AS$1006,0)), HYPERLINK("#",""), HYPERLINK(CONCATENATE("#Metadata!", ADDRESS(INDEX($X$2:$X$1001,MATCH(ROWS($V$2:V429),$V$2:$V$1001,0),0), INDEX($AC$1004:$AS$1004,1,MATCH(COLUMNS($AC$1006:AP1006),$AC$1006:$AS$1006,0)))),"Fix")))</f>
        <v>0</v>
      </c>
      <c r="P429" s="5">
        <f>IF(OR(INDEX($W$2:$W$1001,MATCH(ROWS($V$2:V429),$V$2:$V$1001,0),1)&gt;=100000,INDEX($AC$1005:$AS$1005,1,MATCH(COLUMNS($AC$1006:AQ1006),$AC$1006:$AS$1006,0))&gt;=100000), " ",IF(INDEX($AC$2:$AS$1001,MATCH(ROWS($V$2:V429),$V$2:$V$1001,0),MATCH(COLUMNS($AC$1006:AQ1006),$AC$1006:$AS$1006,0)), HYPERLINK("#",""), HYPERLINK(CONCATENATE("#Metadata!", ADDRESS(INDEX($X$2:$X$1001,MATCH(ROWS($V$2:V429),$V$2:$V$1001,0),0), INDEX($AC$1004:$AS$1004,1,MATCH(COLUMNS($AC$1006:AQ1006),$AC$1006:$AS$1006,0)))),"Fix")))</f>
        <v>0</v>
      </c>
      <c r="Q429" s="5">
        <f>IF(OR(INDEX($W$2:$W$1001,MATCH(ROWS($V$2:V429),$V$2:$V$1001,0),1)&gt;=100000,INDEX($AC$1005:$AS$1005,1,MATCH(COLUMNS($AC$1006:AR1006),$AC$1006:$AS$1006,0))&gt;=100000), " ",IF(INDEX($AC$2:$AS$1001,MATCH(ROWS($V$2:V429),$V$2:$V$1001,0),MATCH(COLUMNS($AC$1006:AR1006),$AC$1006:$AS$1006,0)), HYPERLINK("#",""), HYPERLINK(CONCATENATE("#Metadata!", ADDRESS(INDEX($X$2:$X$1001,MATCH(ROWS($V$2:V429),$V$2:$V$1001,0),0), INDEX($AC$1004:$AS$1004,1,MATCH(COLUMNS($AC$1006:AR1006),$AC$1006:$AS$1006,0)))),"Fix")))</f>
        <v>0</v>
      </c>
      <c r="R429" s="5">
        <f>IF(OR(INDEX($W$2:$W$1001,MATCH(ROWS($V$2:V429),$V$2:$V$1001,0),1)&gt;=100000,INDEX($AC$1005:$AS$1005,1,MATCH(COLUMNS($AC$1006:AS1006),$AC$1006:$AS$1006,0))&gt;=100000), " ",IF(INDEX($AC$2:$AS$1001,MATCH(ROWS($V$2:V429),$V$2:$V$1001,0),MATCH(COLUMNS($AC$1006:AS1006),$AC$1006:$AS$1006,0)), HYPERLINK("#",""), HYPERLINK(CONCATENATE("#Metadata!", ADDRESS(INDEX($X$2:$X$1001,MATCH(ROWS($V$2:V429),$V$2:$V$1001,0),0), INDEX($AC$1004:$AS$1004,1,MATCH(COLUMNS($AC$1006:AS1006),$AC$1006:$AS$1006,0)))),"Fix")))</f>
        <v>0</v>
      </c>
      <c r="V429">
        <v>0</v>
      </c>
      <c r="W429">
        <v>0</v>
      </c>
      <c r="X429">
        <v>0</v>
      </c>
      <c r="Y429">
        <f>IF(Z429,TRUE,AND(AC429:AS429))</f>
        <v>0</v>
      </c>
      <c r="Z429">
        <f>COUNTBLANK(Metadata!B429:R429)=COLUMNS(Metadata!B429:R429)</f>
        <v>0</v>
      </c>
      <c r="AA429">
        <v>0</v>
      </c>
      <c r="AC429">
        <f>AND(IF(Metadata!B429="",FALSE,TRUE),COUNTIF(Metadata!B:B, Metadata!B429) = 1,NOT(ISERROR(SUMPRODUCT(SEARCH(MID(Metadata!B429,ROW(INDIRECT("1:"&amp;LEN(Metadata!B429))), 1),"0123456789abcdefghijklmnopqrstuvwxyzABCDEFGHIJKLMNOPQRSTUVWXYZ.")))))</f>
        <v>0</v>
      </c>
      <c r="AD429">
        <f>AND(IF(Metadata!C429="",FALSE,TRUE),exact(Metadata!C429,"Host-associated"))</f>
        <v>0</v>
      </c>
      <c r="AE429">
        <f>AND(IF(Metadata!D429="",FALSE,TRUE),OR(exact(Metadata!D429,"Animal"),exact(Metadata!D429,"Fungus"),exact(Metadata!D429,"Plant")))</f>
        <v>0</v>
      </c>
      <c r="AF429">
        <f>AND(IF(Metadata!E429="",FALSE,TRUE),OR(exact(Metadata!E429,"Plant secretion"),exact(Metadata!E429,"Plant rhizosphere"),exact(Metadata!E429,"Plant surface"),exact(Metadata!E429,"Plant corpus"),exact(Metadata!E429,"Fungus surface"),exact(Metadata!E429,"Fungus corpus"),exact(Metadata!E429,"Animal surface"),exact(Metadata!E429,"Animal proximal gut"),exact(Metadata!E429,"Animal corpus"),exact(Metadata!E429,"Animal distal gut"),exact(Metadata!E429,"Animal secretion")))</f>
        <v>0</v>
      </c>
      <c r="AG429">
        <f>OR(AND(IF(Metadata!F429="",FALSE,TRUE),OR(exact(Metadata!F429,"not collected"),exact(Metadata!F429,"not provided"),exact(Metadata!F429,"restricted access"))),AND(IF(Metadata!F429="",FALSE,TRUE),OR(exact(Metadata!F429,"organism-associated habitat"),exact(Metadata!F429,"plant-associated habitat"),exact(Metadata!F429,"animal-associated habitat"),exact(Metadata!F429,"insecta-associated habitat"),exact(Metadata!F429,"mammalia-associated habitat"),exact(Metadata!F429,"human-associated habitat"),exact(Metadata!F429,"livestock-associated habitat"))))</f>
        <v>0</v>
      </c>
      <c r="AH429">
        <f>AND(IF(Metadata!G429="",FALSE,TRUE),exact(Metadata!G429,"host-associated"))</f>
        <v>0</v>
      </c>
      <c r="AI429">
        <f>OR(AND(IF(Metadata!H429="",FALSE,TRUE),OR(exact(Metadata!H429,"not collected"),exact(Metadata!H429,"not provided"))),AND(IF(Metadata!H429="",FALSE,ISNUMBER(VALUE(Metadata!H429))),Metadata!H429&gt;0))</f>
        <v>0</v>
      </c>
      <c r="AJ429">
        <f>AND(IF(Metadata!I429="",FALSE,TRUE),exact(Metadata!I429,"years"))</f>
        <v>0</v>
      </c>
      <c r="AK429">
        <f>IF(Metadata!J429="",FALSE,TRUE)</f>
        <v>0</v>
      </c>
      <c r="AL429">
        <f>OR(AND(IF(Metadata!K429="",FALSE,TRUE),OR(exact(Metadata!K429,"not collected"),exact(Metadata!K429,"not provided"))),AND(IF(Metadata!K429="",FALSE,ISNUMBER(VALUE(Metadata!K429))),Metadata!K429&gt;0))</f>
        <v>0</v>
      </c>
      <c r="AM429">
        <f>AND(IF(Metadata!L429="",FALSE,TRUE),exact(Metadata!L429,"cm"))</f>
        <v>0</v>
      </c>
      <c r="AN429">
        <f>IF(Metadata!M429="",FALSE,TRUE)</f>
        <v>0</v>
      </c>
      <c r="AO429">
        <f>OR(AND(IF(Metadata!N429="",FALSE,TRUE),OR(exact(Metadata!N429,"not applicable"),exact(Metadata!N429,"not collected"),exact(Metadata!N429,"not provided"))),AND(IF(Metadata!N429="",FALSE,IF(ISERROR(INT(Metadata!N429)),FALSE,INT(Metadata!N429)=Metadata!N429)),Metadata!N429&gt;0))</f>
        <v>0</v>
      </c>
      <c r="AP429">
        <f>OR(AND(IF(Metadata!O429="",FALSE,TRUE),OR(exact(Metadata!O429,"not collected"),exact(Metadata!O429,"not provided"))),AND(IF(Metadata!O429="",FALSE,ISNUMBER(VALUE(Metadata!O429))),Metadata!O429&gt;0))</f>
        <v>0</v>
      </c>
      <c r="AQ429">
        <f>AND(IF(Metadata!P429="",FALSE,TRUE),exact(Metadata!P429,"kg"))</f>
        <v>0</v>
      </c>
      <c r="AR429">
        <f>OR(AND(IF(Metadata!Q429="",FALSE,TRUE),OR(exact(Metadata!Q429,"not applicable"),exact(Metadata!Q429,"not collected"),exact(Metadata!Q429,"not provided"),exact(Metadata!Q429,"restricted access"))),IF(Metadata!Q429="",FALSE,IF(ISERROR(INT(Metadata!Q429)),FALSE,INT(Metadata!Q429)=Metadata!Q429)))</f>
        <v>0</v>
      </c>
      <c r="AS429">
        <f>AND(IF(Metadata!R429="",FALSE,TRUE),exact(Metadata!R429,"Not applicable"))</f>
        <v>0</v>
      </c>
    </row>
    <row r="430" spans="1:45">
      <c r="A430" s="4">
        <f>IF(B430=" "," ",HYPERLINK(CONCATENATE("#metadata!",ADDRESS(INDEX($X$2:$X$1001,MATCH(ROWS($V$2:V430),$V$2:$V$1001,0),0),2)),INDEX($AA$2:$AA$1001,MATCH(ROWS($V$2:V430),$V$2:$V$1001,0),0)))</f>
        <v>0</v>
      </c>
      <c r="B430" s="5">
        <f>IF(OR(INDEX($W$2:$W$1001,MATCH(ROWS($V$2:V430),$V$2:$V$1001,0),1)&gt;=100000,INDEX($AC$1005:$AS$1005,1,MATCH(COLUMNS($AC$1006:AC1006),$AC$1006:$AS$1006,0))&gt;=100000), " ",IF(INDEX($AC$2:$AS$1001,MATCH(ROWS($V$2:V430),$V$2:$V$1001,0),MATCH(COLUMNS($AC$1006:AC1006),$AC$1006:$AS$1006,0)), HYPERLINK("#",""), HYPERLINK(CONCATENATE("#Metadata!", ADDRESS(INDEX($X$2:$X$1001,MATCH(ROWS($V$2:V430),$V$2:$V$1001,0),0), INDEX($AC$1004:$AS$1004,1,MATCH(COLUMNS($AC$1006:AC1006),$AC$1006:$AS$1006,0)))),"Fix")))</f>
        <v>0</v>
      </c>
      <c r="C430" s="5">
        <f>IF(OR(INDEX($W$2:$W$1001,MATCH(ROWS($V$2:V430),$V$2:$V$1001,0),1)&gt;=100000,INDEX($AC$1005:$AS$1005,1,MATCH(COLUMNS($AC$1006:AD1006),$AC$1006:$AS$1006,0))&gt;=100000), " ",IF(INDEX($AC$2:$AS$1001,MATCH(ROWS($V$2:V430),$V$2:$V$1001,0),MATCH(COLUMNS($AC$1006:AD1006),$AC$1006:$AS$1006,0)), HYPERLINK("#",""), HYPERLINK(CONCATENATE("#Metadata!", ADDRESS(INDEX($X$2:$X$1001,MATCH(ROWS($V$2:V430),$V$2:$V$1001,0),0), INDEX($AC$1004:$AS$1004,1,MATCH(COLUMNS($AC$1006:AD1006),$AC$1006:$AS$1006,0)))),"Fix")))</f>
        <v>0</v>
      </c>
      <c r="D430" s="5">
        <f>IF(OR(INDEX($W$2:$W$1001,MATCH(ROWS($V$2:V430),$V$2:$V$1001,0),1)&gt;=100000,INDEX($AC$1005:$AS$1005,1,MATCH(COLUMNS($AC$1006:AE1006),$AC$1006:$AS$1006,0))&gt;=100000), " ",IF(INDEX($AC$2:$AS$1001,MATCH(ROWS($V$2:V430),$V$2:$V$1001,0),MATCH(COLUMNS($AC$1006:AE1006),$AC$1006:$AS$1006,0)), HYPERLINK("#",""), HYPERLINK(CONCATENATE("#Metadata!", ADDRESS(INDEX($X$2:$X$1001,MATCH(ROWS($V$2:V430),$V$2:$V$1001,0),0), INDEX($AC$1004:$AS$1004,1,MATCH(COLUMNS($AC$1006:AE1006),$AC$1006:$AS$1006,0)))),"Fix")))</f>
        <v>0</v>
      </c>
      <c r="E430" s="5">
        <f>IF(OR(INDEX($W$2:$W$1001,MATCH(ROWS($V$2:V430),$V$2:$V$1001,0),1)&gt;=100000,INDEX($AC$1005:$AS$1005,1,MATCH(COLUMNS($AC$1006:AF1006),$AC$1006:$AS$1006,0))&gt;=100000), " ",IF(INDEX($AC$2:$AS$1001,MATCH(ROWS($V$2:V430),$V$2:$V$1001,0),MATCH(COLUMNS($AC$1006:AF1006),$AC$1006:$AS$1006,0)), HYPERLINK("#",""), HYPERLINK(CONCATENATE("#Metadata!", ADDRESS(INDEX($X$2:$X$1001,MATCH(ROWS($V$2:V430),$V$2:$V$1001,0),0), INDEX($AC$1004:$AS$1004,1,MATCH(COLUMNS($AC$1006:AF1006),$AC$1006:$AS$1006,0)))),"Fix")))</f>
        <v>0</v>
      </c>
      <c r="F430" s="5">
        <f>IF(OR(INDEX($W$2:$W$1001,MATCH(ROWS($V$2:V430),$V$2:$V$1001,0),1)&gt;=100000,INDEX($AC$1005:$AS$1005,1,MATCH(COLUMNS($AC$1006:AG1006),$AC$1006:$AS$1006,0))&gt;=100000), " ",IF(INDEX($AC$2:$AS$1001,MATCH(ROWS($V$2:V430),$V$2:$V$1001,0),MATCH(COLUMNS($AC$1006:AG1006),$AC$1006:$AS$1006,0)), HYPERLINK("#",""), HYPERLINK(CONCATENATE("#Metadata!", ADDRESS(INDEX($X$2:$X$1001,MATCH(ROWS($V$2:V430),$V$2:$V$1001,0),0), INDEX($AC$1004:$AS$1004,1,MATCH(COLUMNS($AC$1006:AG1006),$AC$1006:$AS$1006,0)))),"Fix")))</f>
        <v>0</v>
      </c>
      <c r="G430" s="5">
        <f>IF(OR(INDEX($W$2:$W$1001,MATCH(ROWS($V$2:V430),$V$2:$V$1001,0),1)&gt;=100000,INDEX($AC$1005:$AS$1005,1,MATCH(COLUMNS($AC$1006:AH1006),$AC$1006:$AS$1006,0))&gt;=100000), " ",IF(INDEX($AC$2:$AS$1001,MATCH(ROWS($V$2:V430),$V$2:$V$1001,0),MATCH(COLUMNS($AC$1006:AH1006),$AC$1006:$AS$1006,0)), HYPERLINK("#",""), HYPERLINK(CONCATENATE("#Metadata!", ADDRESS(INDEX($X$2:$X$1001,MATCH(ROWS($V$2:V430),$V$2:$V$1001,0),0), INDEX($AC$1004:$AS$1004,1,MATCH(COLUMNS($AC$1006:AH1006),$AC$1006:$AS$1006,0)))),"Fix")))</f>
        <v>0</v>
      </c>
      <c r="H430" s="5">
        <f>IF(OR(INDEX($W$2:$W$1001,MATCH(ROWS($V$2:V430),$V$2:$V$1001,0),1)&gt;=100000,INDEX($AC$1005:$AS$1005,1,MATCH(COLUMNS($AC$1006:AI1006),$AC$1006:$AS$1006,0))&gt;=100000), " ",IF(INDEX($AC$2:$AS$1001,MATCH(ROWS($V$2:V430),$V$2:$V$1001,0),MATCH(COLUMNS($AC$1006:AI1006),$AC$1006:$AS$1006,0)), HYPERLINK("#",""), HYPERLINK(CONCATENATE("#Metadata!", ADDRESS(INDEX($X$2:$X$1001,MATCH(ROWS($V$2:V430),$V$2:$V$1001,0),0), INDEX($AC$1004:$AS$1004,1,MATCH(COLUMNS($AC$1006:AI1006),$AC$1006:$AS$1006,0)))),"Fix")))</f>
        <v>0</v>
      </c>
      <c r="I430" s="5">
        <f>IF(OR(INDEX($W$2:$W$1001,MATCH(ROWS($V$2:V430),$V$2:$V$1001,0),1)&gt;=100000,INDEX($AC$1005:$AS$1005,1,MATCH(COLUMNS($AC$1006:AJ1006),$AC$1006:$AS$1006,0))&gt;=100000), " ",IF(INDEX($AC$2:$AS$1001,MATCH(ROWS($V$2:V430),$V$2:$V$1001,0),MATCH(COLUMNS($AC$1006:AJ1006),$AC$1006:$AS$1006,0)), HYPERLINK("#",""), HYPERLINK(CONCATENATE("#Metadata!", ADDRESS(INDEX($X$2:$X$1001,MATCH(ROWS($V$2:V430),$V$2:$V$1001,0),0), INDEX($AC$1004:$AS$1004,1,MATCH(COLUMNS($AC$1006:AJ1006),$AC$1006:$AS$1006,0)))),"Fix")))</f>
        <v>0</v>
      </c>
      <c r="J430" s="5">
        <f>IF(OR(INDEX($W$2:$W$1001,MATCH(ROWS($V$2:V430),$V$2:$V$1001,0),1)&gt;=100000,INDEX($AC$1005:$AS$1005,1,MATCH(COLUMNS($AC$1006:AK1006),$AC$1006:$AS$1006,0))&gt;=100000), " ",IF(INDEX($AC$2:$AS$1001,MATCH(ROWS($V$2:V430),$V$2:$V$1001,0),MATCH(COLUMNS($AC$1006:AK1006),$AC$1006:$AS$1006,0)), HYPERLINK("#",""), HYPERLINK(CONCATENATE("#Metadata!", ADDRESS(INDEX($X$2:$X$1001,MATCH(ROWS($V$2:V430),$V$2:$V$1001,0),0), INDEX($AC$1004:$AS$1004,1,MATCH(COLUMNS($AC$1006:AK1006),$AC$1006:$AS$1006,0)))),"Fix")))</f>
        <v>0</v>
      </c>
      <c r="K430" s="5">
        <f>IF(OR(INDEX($W$2:$W$1001,MATCH(ROWS($V$2:V430),$V$2:$V$1001,0),1)&gt;=100000,INDEX($AC$1005:$AS$1005,1,MATCH(COLUMNS($AC$1006:AL1006),$AC$1006:$AS$1006,0))&gt;=100000), " ",IF(INDEX($AC$2:$AS$1001,MATCH(ROWS($V$2:V430),$V$2:$V$1001,0),MATCH(COLUMNS($AC$1006:AL1006),$AC$1006:$AS$1006,0)), HYPERLINK("#",""), HYPERLINK(CONCATENATE("#Metadata!", ADDRESS(INDEX($X$2:$X$1001,MATCH(ROWS($V$2:V430),$V$2:$V$1001,0),0), INDEX($AC$1004:$AS$1004,1,MATCH(COLUMNS($AC$1006:AL1006),$AC$1006:$AS$1006,0)))),"Fix")))</f>
        <v>0</v>
      </c>
      <c r="L430" s="5">
        <f>IF(OR(INDEX($W$2:$W$1001,MATCH(ROWS($V$2:V430),$V$2:$V$1001,0),1)&gt;=100000,INDEX($AC$1005:$AS$1005,1,MATCH(COLUMNS($AC$1006:AM1006),$AC$1006:$AS$1006,0))&gt;=100000), " ",IF(INDEX($AC$2:$AS$1001,MATCH(ROWS($V$2:V430),$V$2:$V$1001,0),MATCH(COLUMNS($AC$1006:AM1006),$AC$1006:$AS$1006,0)), HYPERLINK("#",""), HYPERLINK(CONCATENATE("#Metadata!", ADDRESS(INDEX($X$2:$X$1001,MATCH(ROWS($V$2:V430),$V$2:$V$1001,0),0), INDEX($AC$1004:$AS$1004,1,MATCH(COLUMNS($AC$1006:AM1006),$AC$1006:$AS$1006,0)))),"Fix")))</f>
        <v>0</v>
      </c>
      <c r="M430" s="5">
        <f>IF(OR(INDEX($W$2:$W$1001,MATCH(ROWS($V$2:V430),$V$2:$V$1001,0),1)&gt;=100000,INDEX($AC$1005:$AS$1005,1,MATCH(COLUMNS($AC$1006:AN1006),$AC$1006:$AS$1006,0))&gt;=100000), " ",IF(INDEX($AC$2:$AS$1001,MATCH(ROWS($V$2:V430),$V$2:$V$1001,0),MATCH(COLUMNS($AC$1006:AN1006),$AC$1006:$AS$1006,0)), HYPERLINK("#",""), HYPERLINK(CONCATENATE("#Metadata!", ADDRESS(INDEX($X$2:$X$1001,MATCH(ROWS($V$2:V430),$V$2:$V$1001,0),0), INDEX($AC$1004:$AS$1004,1,MATCH(COLUMNS($AC$1006:AN1006),$AC$1006:$AS$1006,0)))),"Fix")))</f>
        <v>0</v>
      </c>
      <c r="N430" s="5">
        <f>IF(OR(INDEX($W$2:$W$1001,MATCH(ROWS($V$2:V430),$V$2:$V$1001,0),1)&gt;=100000,INDEX($AC$1005:$AS$1005,1,MATCH(COLUMNS($AC$1006:AO1006),$AC$1006:$AS$1006,0))&gt;=100000), " ",IF(INDEX($AC$2:$AS$1001,MATCH(ROWS($V$2:V430),$V$2:$V$1001,0),MATCH(COLUMNS($AC$1006:AO1006),$AC$1006:$AS$1006,0)), HYPERLINK("#",""), HYPERLINK(CONCATENATE("#Metadata!", ADDRESS(INDEX($X$2:$X$1001,MATCH(ROWS($V$2:V430),$V$2:$V$1001,0),0), INDEX($AC$1004:$AS$1004,1,MATCH(COLUMNS($AC$1006:AO1006),$AC$1006:$AS$1006,0)))),"Fix")))</f>
        <v>0</v>
      </c>
      <c r="O430" s="5">
        <f>IF(OR(INDEX($W$2:$W$1001,MATCH(ROWS($V$2:V430),$V$2:$V$1001,0),1)&gt;=100000,INDEX($AC$1005:$AS$1005,1,MATCH(COLUMNS($AC$1006:AP1006),$AC$1006:$AS$1006,0))&gt;=100000), " ",IF(INDEX($AC$2:$AS$1001,MATCH(ROWS($V$2:V430),$V$2:$V$1001,0),MATCH(COLUMNS($AC$1006:AP1006),$AC$1006:$AS$1006,0)), HYPERLINK("#",""), HYPERLINK(CONCATENATE("#Metadata!", ADDRESS(INDEX($X$2:$X$1001,MATCH(ROWS($V$2:V430),$V$2:$V$1001,0),0), INDEX($AC$1004:$AS$1004,1,MATCH(COLUMNS($AC$1006:AP1006),$AC$1006:$AS$1006,0)))),"Fix")))</f>
        <v>0</v>
      </c>
      <c r="P430" s="5">
        <f>IF(OR(INDEX($W$2:$W$1001,MATCH(ROWS($V$2:V430),$V$2:$V$1001,0),1)&gt;=100000,INDEX($AC$1005:$AS$1005,1,MATCH(COLUMNS($AC$1006:AQ1006),$AC$1006:$AS$1006,0))&gt;=100000), " ",IF(INDEX($AC$2:$AS$1001,MATCH(ROWS($V$2:V430),$V$2:$V$1001,0),MATCH(COLUMNS($AC$1006:AQ1006),$AC$1006:$AS$1006,0)), HYPERLINK("#",""), HYPERLINK(CONCATENATE("#Metadata!", ADDRESS(INDEX($X$2:$X$1001,MATCH(ROWS($V$2:V430),$V$2:$V$1001,0),0), INDEX($AC$1004:$AS$1004,1,MATCH(COLUMNS($AC$1006:AQ1006),$AC$1006:$AS$1006,0)))),"Fix")))</f>
        <v>0</v>
      </c>
      <c r="Q430" s="5">
        <f>IF(OR(INDEX($W$2:$W$1001,MATCH(ROWS($V$2:V430),$V$2:$V$1001,0),1)&gt;=100000,INDEX($AC$1005:$AS$1005,1,MATCH(COLUMNS($AC$1006:AR1006),$AC$1006:$AS$1006,0))&gt;=100000), " ",IF(INDEX($AC$2:$AS$1001,MATCH(ROWS($V$2:V430),$V$2:$V$1001,0),MATCH(COLUMNS($AC$1006:AR1006),$AC$1006:$AS$1006,0)), HYPERLINK("#",""), HYPERLINK(CONCATENATE("#Metadata!", ADDRESS(INDEX($X$2:$X$1001,MATCH(ROWS($V$2:V430),$V$2:$V$1001,0),0), INDEX($AC$1004:$AS$1004,1,MATCH(COLUMNS($AC$1006:AR1006),$AC$1006:$AS$1006,0)))),"Fix")))</f>
        <v>0</v>
      </c>
      <c r="R430" s="5">
        <f>IF(OR(INDEX($W$2:$W$1001,MATCH(ROWS($V$2:V430),$V$2:$V$1001,0),1)&gt;=100000,INDEX($AC$1005:$AS$1005,1,MATCH(COLUMNS($AC$1006:AS1006),$AC$1006:$AS$1006,0))&gt;=100000), " ",IF(INDEX($AC$2:$AS$1001,MATCH(ROWS($V$2:V430),$V$2:$V$1001,0),MATCH(COLUMNS($AC$1006:AS1006),$AC$1006:$AS$1006,0)), HYPERLINK("#",""), HYPERLINK(CONCATENATE("#Metadata!", ADDRESS(INDEX($X$2:$X$1001,MATCH(ROWS($V$2:V430),$V$2:$V$1001,0),0), INDEX($AC$1004:$AS$1004,1,MATCH(COLUMNS($AC$1006:AS1006),$AC$1006:$AS$1006,0)))),"Fix")))</f>
        <v>0</v>
      </c>
      <c r="V430">
        <v>0</v>
      </c>
      <c r="W430">
        <v>0</v>
      </c>
      <c r="X430">
        <v>0</v>
      </c>
      <c r="Y430">
        <f>IF(Z430,TRUE,AND(AC430:AS430))</f>
        <v>0</v>
      </c>
      <c r="Z430">
        <f>COUNTBLANK(Metadata!B430:R430)=COLUMNS(Metadata!B430:R430)</f>
        <v>0</v>
      </c>
      <c r="AA430">
        <v>0</v>
      </c>
      <c r="AC430">
        <f>AND(IF(Metadata!B430="",FALSE,TRUE),COUNTIF(Metadata!B:B, Metadata!B430) = 1,NOT(ISERROR(SUMPRODUCT(SEARCH(MID(Metadata!B430,ROW(INDIRECT("1:"&amp;LEN(Metadata!B430))), 1),"0123456789abcdefghijklmnopqrstuvwxyzABCDEFGHIJKLMNOPQRSTUVWXYZ.")))))</f>
        <v>0</v>
      </c>
      <c r="AD430">
        <f>AND(IF(Metadata!C430="",FALSE,TRUE),exact(Metadata!C430,"Host-associated"))</f>
        <v>0</v>
      </c>
      <c r="AE430">
        <f>AND(IF(Metadata!D430="",FALSE,TRUE),OR(exact(Metadata!D430,"Animal"),exact(Metadata!D430,"Fungus"),exact(Metadata!D430,"Plant")))</f>
        <v>0</v>
      </c>
      <c r="AF430">
        <f>AND(IF(Metadata!E430="",FALSE,TRUE),OR(exact(Metadata!E430,"Plant secretion"),exact(Metadata!E430,"Plant rhizosphere"),exact(Metadata!E430,"Plant surface"),exact(Metadata!E430,"Plant corpus"),exact(Metadata!E430,"Fungus surface"),exact(Metadata!E430,"Fungus corpus"),exact(Metadata!E430,"Animal surface"),exact(Metadata!E430,"Animal proximal gut"),exact(Metadata!E430,"Animal corpus"),exact(Metadata!E430,"Animal distal gut"),exact(Metadata!E430,"Animal secretion")))</f>
        <v>0</v>
      </c>
      <c r="AG430">
        <f>OR(AND(IF(Metadata!F430="",FALSE,TRUE),OR(exact(Metadata!F430,"not collected"),exact(Metadata!F430,"not provided"),exact(Metadata!F430,"restricted access"))),AND(IF(Metadata!F430="",FALSE,TRUE),OR(exact(Metadata!F430,"organism-associated habitat"),exact(Metadata!F430,"plant-associated habitat"),exact(Metadata!F430,"animal-associated habitat"),exact(Metadata!F430,"insecta-associated habitat"),exact(Metadata!F430,"mammalia-associated habitat"),exact(Metadata!F430,"human-associated habitat"),exact(Metadata!F430,"livestock-associated habitat"))))</f>
        <v>0</v>
      </c>
      <c r="AH430">
        <f>AND(IF(Metadata!G430="",FALSE,TRUE),exact(Metadata!G430,"host-associated"))</f>
        <v>0</v>
      </c>
      <c r="AI430">
        <f>OR(AND(IF(Metadata!H430="",FALSE,TRUE),OR(exact(Metadata!H430,"not collected"),exact(Metadata!H430,"not provided"))),AND(IF(Metadata!H430="",FALSE,ISNUMBER(VALUE(Metadata!H430))),Metadata!H430&gt;0))</f>
        <v>0</v>
      </c>
      <c r="AJ430">
        <f>AND(IF(Metadata!I430="",FALSE,TRUE),exact(Metadata!I430,"years"))</f>
        <v>0</v>
      </c>
      <c r="AK430">
        <f>IF(Metadata!J430="",FALSE,TRUE)</f>
        <v>0</v>
      </c>
      <c r="AL430">
        <f>OR(AND(IF(Metadata!K430="",FALSE,TRUE),OR(exact(Metadata!K430,"not collected"),exact(Metadata!K430,"not provided"))),AND(IF(Metadata!K430="",FALSE,ISNUMBER(VALUE(Metadata!K430))),Metadata!K430&gt;0))</f>
        <v>0</v>
      </c>
      <c r="AM430">
        <f>AND(IF(Metadata!L430="",FALSE,TRUE),exact(Metadata!L430,"cm"))</f>
        <v>0</v>
      </c>
      <c r="AN430">
        <f>IF(Metadata!M430="",FALSE,TRUE)</f>
        <v>0</v>
      </c>
      <c r="AO430">
        <f>OR(AND(IF(Metadata!N430="",FALSE,TRUE),OR(exact(Metadata!N430,"not applicable"),exact(Metadata!N430,"not collected"),exact(Metadata!N430,"not provided"))),AND(IF(Metadata!N430="",FALSE,IF(ISERROR(INT(Metadata!N430)),FALSE,INT(Metadata!N430)=Metadata!N430)),Metadata!N430&gt;0))</f>
        <v>0</v>
      </c>
      <c r="AP430">
        <f>OR(AND(IF(Metadata!O430="",FALSE,TRUE),OR(exact(Metadata!O430,"not collected"),exact(Metadata!O430,"not provided"))),AND(IF(Metadata!O430="",FALSE,ISNUMBER(VALUE(Metadata!O430))),Metadata!O430&gt;0))</f>
        <v>0</v>
      </c>
      <c r="AQ430">
        <f>AND(IF(Metadata!P430="",FALSE,TRUE),exact(Metadata!P430,"kg"))</f>
        <v>0</v>
      </c>
      <c r="AR430">
        <f>OR(AND(IF(Metadata!Q430="",FALSE,TRUE),OR(exact(Metadata!Q430,"not applicable"),exact(Metadata!Q430,"not collected"),exact(Metadata!Q430,"not provided"),exact(Metadata!Q430,"restricted access"))),IF(Metadata!Q430="",FALSE,IF(ISERROR(INT(Metadata!Q430)),FALSE,INT(Metadata!Q430)=Metadata!Q430)))</f>
        <v>0</v>
      </c>
      <c r="AS430">
        <f>AND(IF(Metadata!R430="",FALSE,TRUE),exact(Metadata!R430,"Not applicable"))</f>
        <v>0</v>
      </c>
    </row>
    <row r="431" spans="1:45">
      <c r="A431" s="4">
        <f>IF(B431=" "," ",HYPERLINK(CONCATENATE("#metadata!",ADDRESS(INDEX($X$2:$X$1001,MATCH(ROWS($V$2:V431),$V$2:$V$1001,0),0),2)),INDEX($AA$2:$AA$1001,MATCH(ROWS($V$2:V431),$V$2:$V$1001,0),0)))</f>
        <v>0</v>
      </c>
      <c r="B431" s="5">
        <f>IF(OR(INDEX($W$2:$W$1001,MATCH(ROWS($V$2:V431),$V$2:$V$1001,0),1)&gt;=100000,INDEX($AC$1005:$AS$1005,1,MATCH(COLUMNS($AC$1006:AC1006),$AC$1006:$AS$1006,0))&gt;=100000), " ",IF(INDEX($AC$2:$AS$1001,MATCH(ROWS($V$2:V431),$V$2:$V$1001,0),MATCH(COLUMNS($AC$1006:AC1006),$AC$1006:$AS$1006,0)), HYPERLINK("#",""), HYPERLINK(CONCATENATE("#Metadata!", ADDRESS(INDEX($X$2:$X$1001,MATCH(ROWS($V$2:V431),$V$2:$V$1001,0),0), INDEX($AC$1004:$AS$1004,1,MATCH(COLUMNS($AC$1006:AC1006),$AC$1006:$AS$1006,0)))),"Fix")))</f>
        <v>0</v>
      </c>
      <c r="C431" s="5">
        <f>IF(OR(INDEX($W$2:$W$1001,MATCH(ROWS($V$2:V431),$V$2:$V$1001,0),1)&gt;=100000,INDEX($AC$1005:$AS$1005,1,MATCH(COLUMNS($AC$1006:AD1006),$AC$1006:$AS$1006,0))&gt;=100000), " ",IF(INDEX($AC$2:$AS$1001,MATCH(ROWS($V$2:V431),$V$2:$V$1001,0),MATCH(COLUMNS($AC$1006:AD1006),$AC$1006:$AS$1006,0)), HYPERLINK("#",""), HYPERLINK(CONCATENATE("#Metadata!", ADDRESS(INDEX($X$2:$X$1001,MATCH(ROWS($V$2:V431),$V$2:$V$1001,0),0), INDEX($AC$1004:$AS$1004,1,MATCH(COLUMNS($AC$1006:AD1006),$AC$1006:$AS$1006,0)))),"Fix")))</f>
        <v>0</v>
      </c>
      <c r="D431" s="5">
        <f>IF(OR(INDEX($W$2:$W$1001,MATCH(ROWS($V$2:V431),$V$2:$V$1001,0),1)&gt;=100000,INDEX($AC$1005:$AS$1005,1,MATCH(COLUMNS($AC$1006:AE1006),$AC$1006:$AS$1006,0))&gt;=100000), " ",IF(INDEX($AC$2:$AS$1001,MATCH(ROWS($V$2:V431),$V$2:$V$1001,0),MATCH(COLUMNS($AC$1006:AE1006),$AC$1006:$AS$1006,0)), HYPERLINK("#",""), HYPERLINK(CONCATENATE("#Metadata!", ADDRESS(INDEX($X$2:$X$1001,MATCH(ROWS($V$2:V431),$V$2:$V$1001,0),0), INDEX($AC$1004:$AS$1004,1,MATCH(COLUMNS($AC$1006:AE1006),$AC$1006:$AS$1006,0)))),"Fix")))</f>
        <v>0</v>
      </c>
      <c r="E431" s="5">
        <f>IF(OR(INDEX($W$2:$W$1001,MATCH(ROWS($V$2:V431),$V$2:$V$1001,0),1)&gt;=100000,INDEX($AC$1005:$AS$1005,1,MATCH(COLUMNS($AC$1006:AF1006),$AC$1006:$AS$1006,0))&gt;=100000), " ",IF(INDEX($AC$2:$AS$1001,MATCH(ROWS($V$2:V431),$V$2:$V$1001,0),MATCH(COLUMNS($AC$1006:AF1006),$AC$1006:$AS$1006,0)), HYPERLINK("#",""), HYPERLINK(CONCATENATE("#Metadata!", ADDRESS(INDEX($X$2:$X$1001,MATCH(ROWS($V$2:V431),$V$2:$V$1001,0),0), INDEX($AC$1004:$AS$1004,1,MATCH(COLUMNS($AC$1006:AF1006),$AC$1006:$AS$1006,0)))),"Fix")))</f>
        <v>0</v>
      </c>
      <c r="F431" s="5">
        <f>IF(OR(INDEX($W$2:$W$1001,MATCH(ROWS($V$2:V431),$V$2:$V$1001,0),1)&gt;=100000,INDEX($AC$1005:$AS$1005,1,MATCH(COLUMNS($AC$1006:AG1006),$AC$1006:$AS$1006,0))&gt;=100000), " ",IF(INDEX($AC$2:$AS$1001,MATCH(ROWS($V$2:V431),$V$2:$V$1001,0),MATCH(COLUMNS($AC$1006:AG1006),$AC$1006:$AS$1006,0)), HYPERLINK("#",""), HYPERLINK(CONCATENATE("#Metadata!", ADDRESS(INDEX($X$2:$X$1001,MATCH(ROWS($V$2:V431),$V$2:$V$1001,0),0), INDEX($AC$1004:$AS$1004,1,MATCH(COLUMNS($AC$1006:AG1006),$AC$1006:$AS$1006,0)))),"Fix")))</f>
        <v>0</v>
      </c>
      <c r="G431" s="5">
        <f>IF(OR(INDEX($W$2:$W$1001,MATCH(ROWS($V$2:V431),$V$2:$V$1001,0),1)&gt;=100000,INDEX($AC$1005:$AS$1005,1,MATCH(COLUMNS($AC$1006:AH1006),$AC$1006:$AS$1006,0))&gt;=100000), " ",IF(INDEX($AC$2:$AS$1001,MATCH(ROWS($V$2:V431),$V$2:$V$1001,0),MATCH(COLUMNS($AC$1006:AH1006),$AC$1006:$AS$1006,0)), HYPERLINK("#",""), HYPERLINK(CONCATENATE("#Metadata!", ADDRESS(INDEX($X$2:$X$1001,MATCH(ROWS($V$2:V431),$V$2:$V$1001,0),0), INDEX($AC$1004:$AS$1004,1,MATCH(COLUMNS($AC$1006:AH1006),$AC$1006:$AS$1006,0)))),"Fix")))</f>
        <v>0</v>
      </c>
      <c r="H431" s="5">
        <f>IF(OR(INDEX($W$2:$W$1001,MATCH(ROWS($V$2:V431),$V$2:$V$1001,0),1)&gt;=100000,INDEX($AC$1005:$AS$1005,1,MATCH(COLUMNS($AC$1006:AI1006),$AC$1006:$AS$1006,0))&gt;=100000), " ",IF(INDEX($AC$2:$AS$1001,MATCH(ROWS($V$2:V431),$V$2:$V$1001,0),MATCH(COLUMNS($AC$1006:AI1006),$AC$1006:$AS$1006,0)), HYPERLINK("#",""), HYPERLINK(CONCATENATE("#Metadata!", ADDRESS(INDEX($X$2:$X$1001,MATCH(ROWS($V$2:V431),$V$2:$V$1001,0),0), INDEX($AC$1004:$AS$1004,1,MATCH(COLUMNS($AC$1006:AI1006),$AC$1006:$AS$1006,0)))),"Fix")))</f>
        <v>0</v>
      </c>
      <c r="I431" s="5">
        <f>IF(OR(INDEX($W$2:$W$1001,MATCH(ROWS($V$2:V431),$V$2:$V$1001,0),1)&gt;=100000,INDEX($AC$1005:$AS$1005,1,MATCH(COLUMNS($AC$1006:AJ1006),$AC$1006:$AS$1006,0))&gt;=100000), " ",IF(INDEX($AC$2:$AS$1001,MATCH(ROWS($V$2:V431),$V$2:$V$1001,0),MATCH(COLUMNS($AC$1006:AJ1006),$AC$1006:$AS$1006,0)), HYPERLINK("#",""), HYPERLINK(CONCATENATE("#Metadata!", ADDRESS(INDEX($X$2:$X$1001,MATCH(ROWS($V$2:V431),$V$2:$V$1001,0),0), INDEX($AC$1004:$AS$1004,1,MATCH(COLUMNS($AC$1006:AJ1006),$AC$1006:$AS$1006,0)))),"Fix")))</f>
        <v>0</v>
      </c>
      <c r="J431" s="5">
        <f>IF(OR(INDEX($W$2:$W$1001,MATCH(ROWS($V$2:V431),$V$2:$V$1001,0),1)&gt;=100000,INDEX($AC$1005:$AS$1005,1,MATCH(COLUMNS($AC$1006:AK1006),$AC$1006:$AS$1006,0))&gt;=100000), " ",IF(INDEX($AC$2:$AS$1001,MATCH(ROWS($V$2:V431),$V$2:$V$1001,0),MATCH(COLUMNS($AC$1006:AK1006),$AC$1006:$AS$1006,0)), HYPERLINK("#",""), HYPERLINK(CONCATENATE("#Metadata!", ADDRESS(INDEX($X$2:$X$1001,MATCH(ROWS($V$2:V431),$V$2:$V$1001,0),0), INDEX($AC$1004:$AS$1004,1,MATCH(COLUMNS($AC$1006:AK1006),$AC$1006:$AS$1006,0)))),"Fix")))</f>
        <v>0</v>
      </c>
      <c r="K431" s="5">
        <f>IF(OR(INDEX($W$2:$W$1001,MATCH(ROWS($V$2:V431),$V$2:$V$1001,0),1)&gt;=100000,INDEX($AC$1005:$AS$1005,1,MATCH(COLUMNS($AC$1006:AL1006),$AC$1006:$AS$1006,0))&gt;=100000), " ",IF(INDEX($AC$2:$AS$1001,MATCH(ROWS($V$2:V431),$V$2:$V$1001,0),MATCH(COLUMNS($AC$1006:AL1006),$AC$1006:$AS$1006,0)), HYPERLINK("#",""), HYPERLINK(CONCATENATE("#Metadata!", ADDRESS(INDEX($X$2:$X$1001,MATCH(ROWS($V$2:V431),$V$2:$V$1001,0),0), INDEX($AC$1004:$AS$1004,1,MATCH(COLUMNS($AC$1006:AL1006),$AC$1006:$AS$1006,0)))),"Fix")))</f>
        <v>0</v>
      </c>
      <c r="L431" s="5">
        <f>IF(OR(INDEX($W$2:$W$1001,MATCH(ROWS($V$2:V431),$V$2:$V$1001,0),1)&gt;=100000,INDEX($AC$1005:$AS$1005,1,MATCH(COLUMNS($AC$1006:AM1006),$AC$1006:$AS$1006,0))&gt;=100000), " ",IF(INDEX($AC$2:$AS$1001,MATCH(ROWS($V$2:V431),$V$2:$V$1001,0),MATCH(COLUMNS($AC$1006:AM1006),$AC$1006:$AS$1006,0)), HYPERLINK("#",""), HYPERLINK(CONCATENATE("#Metadata!", ADDRESS(INDEX($X$2:$X$1001,MATCH(ROWS($V$2:V431),$V$2:$V$1001,0),0), INDEX($AC$1004:$AS$1004,1,MATCH(COLUMNS($AC$1006:AM1006),$AC$1006:$AS$1006,0)))),"Fix")))</f>
        <v>0</v>
      </c>
      <c r="M431" s="5">
        <f>IF(OR(INDEX($W$2:$W$1001,MATCH(ROWS($V$2:V431),$V$2:$V$1001,0),1)&gt;=100000,INDEX($AC$1005:$AS$1005,1,MATCH(COLUMNS($AC$1006:AN1006),$AC$1006:$AS$1006,0))&gt;=100000), " ",IF(INDEX($AC$2:$AS$1001,MATCH(ROWS($V$2:V431),$V$2:$V$1001,0),MATCH(COLUMNS($AC$1006:AN1006),$AC$1006:$AS$1006,0)), HYPERLINK("#",""), HYPERLINK(CONCATENATE("#Metadata!", ADDRESS(INDEX($X$2:$X$1001,MATCH(ROWS($V$2:V431),$V$2:$V$1001,0),0), INDEX($AC$1004:$AS$1004,1,MATCH(COLUMNS($AC$1006:AN1006),$AC$1006:$AS$1006,0)))),"Fix")))</f>
        <v>0</v>
      </c>
      <c r="N431" s="5">
        <f>IF(OR(INDEX($W$2:$W$1001,MATCH(ROWS($V$2:V431),$V$2:$V$1001,0),1)&gt;=100000,INDEX($AC$1005:$AS$1005,1,MATCH(COLUMNS($AC$1006:AO1006),$AC$1006:$AS$1006,0))&gt;=100000), " ",IF(INDEX($AC$2:$AS$1001,MATCH(ROWS($V$2:V431),$V$2:$V$1001,0),MATCH(COLUMNS($AC$1006:AO1006),$AC$1006:$AS$1006,0)), HYPERLINK("#",""), HYPERLINK(CONCATENATE("#Metadata!", ADDRESS(INDEX($X$2:$X$1001,MATCH(ROWS($V$2:V431),$V$2:$V$1001,0),0), INDEX($AC$1004:$AS$1004,1,MATCH(COLUMNS($AC$1006:AO1006),$AC$1006:$AS$1006,0)))),"Fix")))</f>
        <v>0</v>
      </c>
      <c r="O431" s="5">
        <f>IF(OR(INDEX($W$2:$W$1001,MATCH(ROWS($V$2:V431),$V$2:$V$1001,0),1)&gt;=100000,INDEX($AC$1005:$AS$1005,1,MATCH(COLUMNS($AC$1006:AP1006),$AC$1006:$AS$1006,0))&gt;=100000), " ",IF(INDEX($AC$2:$AS$1001,MATCH(ROWS($V$2:V431),$V$2:$V$1001,0),MATCH(COLUMNS($AC$1006:AP1006),$AC$1006:$AS$1006,0)), HYPERLINK("#",""), HYPERLINK(CONCATENATE("#Metadata!", ADDRESS(INDEX($X$2:$X$1001,MATCH(ROWS($V$2:V431),$V$2:$V$1001,0),0), INDEX($AC$1004:$AS$1004,1,MATCH(COLUMNS($AC$1006:AP1006),$AC$1006:$AS$1006,0)))),"Fix")))</f>
        <v>0</v>
      </c>
      <c r="P431" s="5">
        <f>IF(OR(INDEX($W$2:$W$1001,MATCH(ROWS($V$2:V431),$V$2:$V$1001,0),1)&gt;=100000,INDEX($AC$1005:$AS$1005,1,MATCH(COLUMNS($AC$1006:AQ1006),$AC$1006:$AS$1006,0))&gt;=100000), " ",IF(INDEX($AC$2:$AS$1001,MATCH(ROWS($V$2:V431),$V$2:$V$1001,0),MATCH(COLUMNS($AC$1006:AQ1006),$AC$1006:$AS$1006,0)), HYPERLINK("#",""), HYPERLINK(CONCATENATE("#Metadata!", ADDRESS(INDEX($X$2:$X$1001,MATCH(ROWS($V$2:V431),$V$2:$V$1001,0),0), INDEX($AC$1004:$AS$1004,1,MATCH(COLUMNS($AC$1006:AQ1006),$AC$1006:$AS$1006,0)))),"Fix")))</f>
        <v>0</v>
      </c>
      <c r="Q431" s="5">
        <f>IF(OR(INDEX($W$2:$W$1001,MATCH(ROWS($V$2:V431),$V$2:$V$1001,0),1)&gt;=100000,INDEX($AC$1005:$AS$1005,1,MATCH(COLUMNS($AC$1006:AR1006),$AC$1006:$AS$1006,0))&gt;=100000), " ",IF(INDEX($AC$2:$AS$1001,MATCH(ROWS($V$2:V431),$V$2:$V$1001,0),MATCH(COLUMNS($AC$1006:AR1006),$AC$1006:$AS$1006,0)), HYPERLINK("#",""), HYPERLINK(CONCATENATE("#Metadata!", ADDRESS(INDEX($X$2:$X$1001,MATCH(ROWS($V$2:V431),$V$2:$V$1001,0),0), INDEX($AC$1004:$AS$1004,1,MATCH(COLUMNS($AC$1006:AR1006),$AC$1006:$AS$1006,0)))),"Fix")))</f>
        <v>0</v>
      </c>
      <c r="R431" s="5">
        <f>IF(OR(INDEX($W$2:$W$1001,MATCH(ROWS($V$2:V431),$V$2:$V$1001,0),1)&gt;=100000,INDEX($AC$1005:$AS$1005,1,MATCH(COLUMNS($AC$1006:AS1006),$AC$1006:$AS$1006,0))&gt;=100000), " ",IF(INDEX($AC$2:$AS$1001,MATCH(ROWS($V$2:V431),$V$2:$V$1001,0),MATCH(COLUMNS($AC$1006:AS1006),$AC$1006:$AS$1006,0)), HYPERLINK("#",""), HYPERLINK(CONCATENATE("#Metadata!", ADDRESS(INDEX($X$2:$X$1001,MATCH(ROWS($V$2:V431),$V$2:$V$1001,0),0), INDEX($AC$1004:$AS$1004,1,MATCH(COLUMNS($AC$1006:AS1006),$AC$1006:$AS$1006,0)))),"Fix")))</f>
        <v>0</v>
      </c>
      <c r="V431">
        <v>0</v>
      </c>
      <c r="W431">
        <v>0</v>
      </c>
      <c r="X431">
        <v>0</v>
      </c>
      <c r="Y431">
        <f>IF(Z431,TRUE,AND(AC431:AS431))</f>
        <v>0</v>
      </c>
      <c r="Z431">
        <f>COUNTBLANK(Metadata!B431:R431)=COLUMNS(Metadata!B431:R431)</f>
        <v>0</v>
      </c>
      <c r="AA431">
        <v>0</v>
      </c>
      <c r="AC431">
        <f>AND(IF(Metadata!B431="",FALSE,TRUE),COUNTIF(Metadata!B:B, Metadata!B431) = 1,NOT(ISERROR(SUMPRODUCT(SEARCH(MID(Metadata!B431,ROW(INDIRECT("1:"&amp;LEN(Metadata!B431))), 1),"0123456789abcdefghijklmnopqrstuvwxyzABCDEFGHIJKLMNOPQRSTUVWXYZ.")))))</f>
        <v>0</v>
      </c>
      <c r="AD431">
        <f>AND(IF(Metadata!C431="",FALSE,TRUE),exact(Metadata!C431,"Host-associated"))</f>
        <v>0</v>
      </c>
      <c r="AE431">
        <f>AND(IF(Metadata!D431="",FALSE,TRUE),OR(exact(Metadata!D431,"Animal"),exact(Metadata!D431,"Fungus"),exact(Metadata!D431,"Plant")))</f>
        <v>0</v>
      </c>
      <c r="AF431">
        <f>AND(IF(Metadata!E431="",FALSE,TRUE),OR(exact(Metadata!E431,"Plant secretion"),exact(Metadata!E431,"Plant rhizosphere"),exact(Metadata!E431,"Plant surface"),exact(Metadata!E431,"Plant corpus"),exact(Metadata!E431,"Fungus surface"),exact(Metadata!E431,"Fungus corpus"),exact(Metadata!E431,"Animal surface"),exact(Metadata!E431,"Animal proximal gut"),exact(Metadata!E431,"Animal corpus"),exact(Metadata!E431,"Animal distal gut"),exact(Metadata!E431,"Animal secretion")))</f>
        <v>0</v>
      </c>
      <c r="AG431">
        <f>OR(AND(IF(Metadata!F431="",FALSE,TRUE),OR(exact(Metadata!F431,"not collected"),exact(Metadata!F431,"not provided"),exact(Metadata!F431,"restricted access"))),AND(IF(Metadata!F431="",FALSE,TRUE),OR(exact(Metadata!F431,"organism-associated habitat"),exact(Metadata!F431,"plant-associated habitat"),exact(Metadata!F431,"animal-associated habitat"),exact(Metadata!F431,"insecta-associated habitat"),exact(Metadata!F431,"mammalia-associated habitat"),exact(Metadata!F431,"human-associated habitat"),exact(Metadata!F431,"livestock-associated habitat"))))</f>
        <v>0</v>
      </c>
      <c r="AH431">
        <f>AND(IF(Metadata!G431="",FALSE,TRUE),exact(Metadata!G431,"host-associated"))</f>
        <v>0</v>
      </c>
      <c r="AI431">
        <f>OR(AND(IF(Metadata!H431="",FALSE,TRUE),OR(exact(Metadata!H431,"not collected"),exact(Metadata!H431,"not provided"))),AND(IF(Metadata!H431="",FALSE,ISNUMBER(VALUE(Metadata!H431))),Metadata!H431&gt;0))</f>
        <v>0</v>
      </c>
      <c r="AJ431">
        <f>AND(IF(Metadata!I431="",FALSE,TRUE),exact(Metadata!I431,"years"))</f>
        <v>0</v>
      </c>
      <c r="AK431">
        <f>IF(Metadata!J431="",FALSE,TRUE)</f>
        <v>0</v>
      </c>
      <c r="AL431">
        <f>OR(AND(IF(Metadata!K431="",FALSE,TRUE),OR(exact(Metadata!K431,"not collected"),exact(Metadata!K431,"not provided"))),AND(IF(Metadata!K431="",FALSE,ISNUMBER(VALUE(Metadata!K431))),Metadata!K431&gt;0))</f>
        <v>0</v>
      </c>
      <c r="AM431">
        <f>AND(IF(Metadata!L431="",FALSE,TRUE),exact(Metadata!L431,"cm"))</f>
        <v>0</v>
      </c>
      <c r="AN431">
        <f>IF(Metadata!M431="",FALSE,TRUE)</f>
        <v>0</v>
      </c>
      <c r="AO431">
        <f>OR(AND(IF(Metadata!N431="",FALSE,TRUE),OR(exact(Metadata!N431,"not applicable"),exact(Metadata!N431,"not collected"),exact(Metadata!N431,"not provided"))),AND(IF(Metadata!N431="",FALSE,IF(ISERROR(INT(Metadata!N431)),FALSE,INT(Metadata!N431)=Metadata!N431)),Metadata!N431&gt;0))</f>
        <v>0</v>
      </c>
      <c r="AP431">
        <f>OR(AND(IF(Metadata!O431="",FALSE,TRUE),OR(exact(Metadata!O431,"not collected"),exact(Metadata!O431,"not provided"))),AND(IF(Metadata!O431="",FALSE,ISNUMBER(VALUE(Metadata!O431))),Metadata!O431&gt;0))</f>
        <v>0</v>
      </c>
      <c r="AQ431">
        <f>AND(IF(Metadata!P431="",FALSE,TRUE),exact(Metadata!P431,"kg"))</f>
        <v>0</v>
      </c>
      <c r="AR431">
        <f>OR(AND(IF(Metadata!Q431="",FALSE,TRUE),OR(exact(Metadata!Q431,"not applicable"),exact(Metadata!Q431,"not collected"),exact(Metadata!Q431,"not provided"),exact(Metadata!Q431,"restricted access"))),IF(Metadata!Q431="",FALSE,IF(ISERROR(INT(Metadata!Q431)),FALSE,INT(Metadata!Q431)=Metadata!Q431)))</f>
        <v>0</v>
      </c>
      <c r="AS431">
        <f>AND(IF(Metadata!R431="",FALSE,TRUE),exact(Metadata!R431,"Not applicable"))</f>
        <v>0</v>
      </c>
    </row>
    <row r="432" spans="1:45">
      <c r="A432" s="4">
        <f>IF(B432=" "," ",HYPERLINK(CONCATENATE("#metadata!",ADDRESS(INDEX($X$2:$X$1001,MATCH(ROWS($V$2:V432),$V$2:$V$1001,0),0),2)),INDEX($AA$2:$AA$1001,MATCH(ROWS($V$2:V432),$V$2:$V$1001,0),0)))</f>
        <v>0</v>
      </c>
      <c r="B432" s="5">
        <f>IF(OR(INDEX($W$2:$W$1001,MATCH(ROWS($V$2:V432),$V$2:$V$1001,0),1)&gt;=100000,INDEX($AC$1005:$AS$1005,1,MATCH(COLUMNS($AC$1006:AC1006),$AC$1006:$AS$1006,0))&gt;=100000), " ",IF(INDEX($AC$2:$AS$1001,MATCH(ROWS($V$2:V432),$V$2:$V$1001,0),MATCH(COLUMNS($AC$1006:AC1006),$AC$1006:$AS$1006,0)), HYPERLINK("#",""), HYPERLINK(CONCATENATE("#Metadata!", ADDRESS(INDEX($X$2:$X$1001,MATCH(ROWS($V$2:V432),$V$2:$V$1001,0),0), INDEX($AC$1004:$AS$1004,1,MATCH(COLUMNS($AC$1006:AC1006),$AC$1006:$AS$1006,0)))),"Fix")))</f>
        <v>0</v>
      </c>
      <c r="C432" s="5">
        <f>IF(OR(INDEX($W$2:$W$1001,MATCH(ROWS($V$2:V432),$V$2:$V$1001,0),1)&gt;=100000,INDEX($AC$1005:$AS$1005,1,MATCH(COLUMNS($AC$1006:AD1006),$AC$1006:$AS$1006,0))&gt;=100000), " ",IF(INDEX($AC$2:$AS$1001,MATCH(ROWS($V$2:V432),$V$2:$V$1001,0),MATCH(COLUMNS($AC$1006:AD1006),$AC$1006:$AS$1006,0)), HYPERLINK("#",""), HYPERLINK(CONCATENATE("#Metadata!", ADDRESS(INDEX($X$2:$X$1001,MATCH(ROWS($V$2:V432),$V$2:$V$1001,0),0), INDEX($AC$1004:$AS$1004,1,MATCH(COLUMNS($AC$1006:AD1006),$AC$1006:$AS$1006,0)))),"Fix")))</f>
        <v>0</v>
      </c>
      <c r="D432" s="5">
        <f>IF(OR(INDEX($W$2:$W$1001,MATCH(ROWS($V$2:V432),$V$2:$V$1001,0),1)&gt;=100000,INDEX($AC$1005:$AS$1005,1,MATCH(COLUMNS($AC$1006:AE1006),$AC$1006:$AS$1006,0))&gt;=100000), " ",IF(INDEX($AC$2:$AS$1001,MATCH(ROWS($V$2:V432),$V$2:$V$1001,0),MATCH(COLUMNS($AC$1006:AE1006),$AC$1006:$AS$1006,0)), HYPERLINK("#",""), HYPERLINK(CONCATENATE("#Metadata!", ADDRESS(INDEX($X$2:$X$1001,MATCH(ROWS($V$2:V432),$V$2:$V$1001,0),0), INDEX($AC$1004:$AS$1004,1,MATCH(COLUMNS($AC$1006:AE1006),$AC$1006:$AS$1006,0)))),"Fix")))</f>
        <v>0</v>
      </c>
      <c r="E432" s="5">
        <f>IF(OR(INDEX($W$2:$W$1001,MATCH(ROWS($V$2:V432),$V$2:$V$1001,0),1)&gt;=100000,INDEX($AC$1005:$AS$1005,1,MATCH(COLUMNS($AC$1006:AF1006),$AC$1006:$AS$1006,0))&gt;=100000), " ",IF(INDEX($AC$2:$AS$1001,MATCH(ROWS($V$2:V432),$V$2:$V$1001,0),MATCH(COLUMNS($AC$1006:AF1006),$AC$1006:$AS$1006,0)), HYPERLINK("#",""), HYPERLINK(CONCATENATE("#Metadata!", ADDRESS(INDEX($X$2:$X$1001,MATCH(ROWS($V$2:V432),$V$2:$V$1001,0),0), INDEX($AC$1004:$AS$1004,1,MATCH(COLUMNS($AC$1006:AF1006),$AC$1006:$AS$1006,0)))),"Fix")))</f>
        <v>0</v>
      </c>
      <c r="F432" s="5">
        <f>IF(OR(INDEX($W$2:$W$1001,MATCH(ROWS($V$2:V432),$V$2:$V$1001,0),1)&gt;=100000,INDEX($AC$1005:$AS$1005,1,MATCH(COLUMNS($AC$1006:AG1006),$AC$1006:$AS$1006,0))&gt;=100000), " ",IF(INDEX($AC$2:$AS$1001,MATCH(ROWS($V$2:V432),$V$2:$V$1001,0),MATCH(COLUMNS($AC$1006:AG1006),$AC$1006:$AS$1006,0)), HYPERLINK("#",""), HYPERLINK(CONCATENATE("#Metadata!", ADDRESS(INDEX($X$2:$X$1001,MATCH(ROWS($V$2:V432),$V$2:$V$1001,0),0), INDEX($AC$1004:$AS$1004,1,MATCH(COLUMNS($AC$1006:AG1006),$AC$1006:$AS$1006,0)))),"Fix")))</f>
        <v>0</v>
      </c>
      <c r="G432" s="5">
        <f>IF(OR(INDEX($W$2:$W$1001,MATCH(ROWS($V$2:V432),$V$2:$V$1001,0),1)&gt;=100000,INDEX($AC$1005:$AS$1005,1,MATCH(COLUMNS($AC$1006:AH1006),$AC$1006:$AS$1006,0))&gt;=100000), " ",IF(INDEX($AC$2:$AS$1001,MATCH(ROWS($V$2:V432),$V$2:$V$1001,0),MATCH(COLUMNS($AC$1006:AH1006),$AC$1006:$AS$1006,0)), HYPERLINK("#",""), HYPERLINK(CONCATENATE("#Metadata!", ADDRESS(INDEX($X$2:$X$1001,MATCH(ROWS($V$2:V432),$V$2:$V$1001,0),0), INDEX($AC$1004:$AS$1004,1,MATCH(COLUMNS($AC$1006:AH1006),$AC$1006:$AS$1006,0)))),"Fix")))</f>
        <v>0</v>
      </c>
      <c r="H432" s="5">
        <f>IF(OR(INDEX($W$2:$W$1001,MATCH(ROWS($V$2:V432),$V$2:$V$1001,0),1)&gt;=100000,INDEX($AC$1005:$AS$1005,1,MATCH(COLUMNS($AC$1006:AI1006),$AC$1006:$AS$1006,0))&gt;=100000), " ",IF(INDEX($AC$2:$AS$1001,MATCH(ROWS($V$2:V432),$V$2:$V$1001,0),MATCH(COLUMNS($AC$1006:AI1006),$AC$1006:$AS$1006,0)), HYPERLINK("#",""), HYPERLINK(CONCATENATE("#Metadata!", ADDRESS(INDEX($X$2:$X$1001,MATCH(ROWS($V$2:V432),$V$2:$V$1001,0),0), INDEX($AC$1004:$AS$1004,1,MATCH(COLUMNS($AC$1006:AI1006),$AC$1006:$AS$1006,0)))),"Fix")))</f>
        <v>0</v>
      </c>
      <c r="I432" s="5">
        <f>IF(OR(INDEX($W$2:$W$1001,MATCH(ROWS($V$2:V432),$V$2:$V$1001,0),1)&gt;=100000,INDEX($AC$1005:$AS$1005,1,MATCH(COLUMNS($AC$1006:AJ1006),$AC$1006:$AS$1006,0))&gt;=100000), " ",IF(INDEX($AC$2:$AS$1001,MATCH(ROWS($V$2:V432),$V$2:$V$1001,0),MATCH(COLUMNS($AC$1006:AJ1006),$AC$1006:$AS$1006,0)), HYPERLINK("#",""), HYPERLINK(CONCATENATE("#Metadata!", ADDRESS(INDEX($X$2:$X$1001,MATCH(ROWS($V$2:V432),$V$2:$V$1001,0),0), INDEX($AC$1004:$AS$1004,1,MATCH(COLUMNS($AC$1006:AJ1006),$AC$1006:$AS$1006,0)))),"Fix")))</f>
        <v>0</v>
      </c>
      <c r="J432" s="5">
        <f>IF(OR(INDEX($W$2:$W$1001,MATCH(ROWS($V$2:V432),$V$2:$V$1001,0),1)&gt;=100000,INDEX($AC$1005:$AS$1005,1,MATCH(COLUMNS($AC$1006:AK1006),$AC$1006:$AS$1006,0))&gt;=100000), " ",IF(INDEX($AC$2:$AS$1001,MATCH(ROWS($V$2:V432),$V$2:$V$1001,0),MATCH(COLUMNS($AC$1006:AK1006),$AC$1006:$AS$1006,0)), HYPERLINK("#",""), HYPERLINK(CONCATENATE("#Metadata!", ADDRESS(INDEX($X$2:$X$1001,MATCH(ROWS($V$2:V432),$V$2:$V$1001,0),0), INDEX($AC$1004:$AS$1004,1,MATCH(COLUMNS($AC$1006:AK1006),$AC$1006:$AS$1006,0)))),"Fix")))</f>
        <v>0</v>
      </c>
      <c r="K432" s="5">
        <f>IF(OR(INDEX($W$2:$W$1001,MATCH(ROWS($V$2:V432),$V$2:$V$1001,0),1)&gt;=100000,INDEX($AC$1005:$AS$1005,1,MATCH(COLUMNS($AC$1006:AL1006),$AC$1006:$AS$1006,0))&gt;=100000), " ",IF(INDEX($AC$2:$AS$1001,MATCH(ROWS($V$2:V432),$V$2:$V$1001,0),MATCH(COLUMNS($AC$1006:AL1006),$AC$1006:$AS$1006,0)), HYPERLINK("#",""), HYPERLINK(CONCATENATE("#Metadata!", ADDRESS(INDEX($X$2:$X$1001,MATCH(ROWS($V$2:V432),$V$2:$V$1001,0),0), INDEX($AC$1004:$AS$1004,1,MATCH(COLUMNS($AC$1006:AL1006),$AC$1006:$AS$1006,0)))),"Fix")))</f>
        <v>0</v>
      </c>
      <c r="L432" s="5">
        <f>IF(OR(INDEX($W$2:$W$1001,MATCH(ROWS($V$2:V432),$V$2:$V$1001,0),1)&gt;=100000,INDEX($AC$1005:$AS$1005,1,MATCH(COLUMNS($AC$1006:AM1006),$AC$1006:$AS$1006,0))&gt;=100000), " ",IF(INDEX($AC$2:$AS$1001,MATCH(ROWS($V$2:V432),$V$2:$V$1001,0),MATCH(COLUMNS($AC$1006:AM1006),$AC$1006:$AS$1006,0)), HYPERLINK("#",""), HYPERLINK(CONCATENATE("#Metadata!", ADDRESS(INDEX($X$2:$X$1001,MATCH(ROWS($V$2:V432),$V$2:$V$1001,0),0), INDEX($AC$1004:$AS$1004,1,MATCH(COLUMNS($AC$1006:AM1006),$AC$1006:$AS$1006,0)))),"Fix")))</f>
        <v>0</v>
      </c>
      <c r="M432" s="5">
        <f>IF(OR(INDEX($W$2:$W$1001,MATCH(ROWS($V$2:V432),$V$2:$V$1001,0),1)&gt;=100000,INDEX($AC$1005:$AS$1005,1,MATCH(COLUMNS($AC$1006:AN1006),$AC$1006:$AS$1006,0))&gt;=100000), " ",IF(INDEX($AC$2:$AS$1001,MATCH(ROWS($V$2:V432),$V$2:$V$1001,0),MATCH(COLUMNS($AC$1006:AN1006),$AC$1006:$AS$1006,0)), HYPERLINK("#",""), HYPERLINK(CONCATENATE("#Metadata!", ADDRESS(INDEX($X$2:$X$1001,MATCH(ROWS($V$2:V432),$V$2:$V$1001,0),0), INDEX($AC$1004:$AS$1004,1,MATCH(COLUMNS($AC$1006:AN1006),$AC$1006:$AS$1006,0)))),"Fix")))</f>
        <v>0</v>
      </c>
      <c r="N432" s="5">
        <f>IF(OR(INDEX($W$2:$W$1001,MATCH(ROWS($V$2:V432),$V$2:$V$1001,0),1)&gt;=100000,INDEX($AC$1005:$AS$1005,1,MATCH(COLUMNS($AC$1006:AO1006),$AC$1006:$AS$1006,0))&gt;=100000), " ",IF(INDEX($AC$2:$AS$1001,MATCH(ROWS($V$2:V432),$V$2:$V$1001,0),MATCH(COLUMNS($AC$1006:AO1006),$AC$1006:$AS$1006,0)), HYPERLINK("#",""), HYPERLINK(CONCATENATE("#Metadata!", ADDRESS(INDEX($X$2:$X$1001,MATCH(ROWS($V$2:V432),$V$2:$V$1001,0),0), INDEX($AC$1004:$AS$1004,1,MATCH(COLUMNS($AC$1006:AO1006),$AC$1006:$AS$1006,0)))),"Fix")))</f>
        <v>0</v>
      </c>
      <c r="O432" s="5">
        <f>IF(OR(INDEX($W$2:$W$1001,MATCH(ROWS($V$2:V432),$V$2:$V$1001,0),1)&gt;=100000,INDEX($AC$1005:$AS$1005,1,MATCH(COLUMNS($AC$1006:AP1006),$AC$1006:$AS$1006,0))&gt;=100000), " ",IF(INDEX($AC$2:$AS$1001,MATCH(ROWS($V$2:V432),$V$2:$V$1001,0),MATCH(COLUMNS($AC$1006:AP1006),$AC$1006:$AS$1006,0)), HYPERLINK("#",""), HYPERLINK(CONCATENATE("#Metadata!", ADDRESS(INDEX($X$2:$X$1001,MATCH(ROWS($V$2:V432),$V$2:$V$1001,0),0), INDEX($AC$1004:$AS$1004,1,MATCH(COLUMNS($AC$1006:AP1006),$AC$1006:$AS$1006,0)))),"Fix")))</f>
        <v>0</v>
      </c>
      <c r="P432" s="5">
        <f>IF(OR(INDEX($W$2:$W$1001,MATCH(ROWS($V$2:V432),$V$2:$V$1001,0),1)&gt;=100000,INDEX($AC$1005:$AS$1005,1,MATCH(COLUMNS($AC$1006:AQ1006),$AC$1006:$AS$1006,0))&gt;=100000), " ",IF(INDEX($AC$2:$AS$1001,MATCH(ROWS($V$2:V432),$V$2:$V$1001,0),MATCH(COLUMNS($AC$1006:AQ1006),$AC$1006:$AS$1006,0)), HYPERLINK("#",""), HYPERLINK(CONCATENATE("#Metadata!", ADDRESS(INDEX($X$2:$X$1001,MATCH(ROWS($V$2:V432),$V$2:$V$1001,0),0), INDEX($AC$1004:$AS$1004,1,MATCH(COLUMNS($AC$1006:AQ1006),$AC$1006:$AS$1006,0)))),"Fix")))</f>
        <v>0</v>
      </c>
      <c r="Q432" s="5">
        <f>IF(OR(INDEX($W$2:$W$1001,MATCH(ROWS($V$2:V432),$V$2:$V$1001,0),1)&gt;=100000,INDEX($AC$1005:$AS$1005,1,MATCH(COLUMNS($AC$1006:AR1006),$AC$1006:$AS$1006,0))&gt;=100000), " ",IF(INDEX($AC$2:$AS$1001,MATCH(ROWS($V$2:V432),$V$2:$V$1001,0),MATCH(COLUMNS($AC$1006:AR1006),$AC$1006:$AS$1006,0)), HYPERLINK("#",""), HYPERLINK(CONCATENATE("#Metadata!", ADDRESS(INDEX($X$2:$X$1001,MATCH(ROWS($V$2:V432),$V$2:$V$1001,0),0), INDEX($AC$1004:$AS$1004,1,MATCH(COLUMNS($AC$1006:AR1006),$AC$1006:$AS$1006,0)))),"Fix")))</f>
        <v>0</v>
      </c>
      <c r="R432" s="5">
        <f>IF(OR(INDEX($W$2:$W$1001,MATCH(ROWS($V$2:V432),$V$2:$V$1001,0),1)&gt;=100000,INDEX($AC$1005:$AS$1005,1,MATCH(COLUMNS($AC$1006:AS1006),$AC$1006:$AS$1006,0))&gt;=100000), " ",IF(INDEX($AC$2:$AS$1001,MATCH(ROWS($V$2:V432),$V$2:$V$1001,0),MATCH(COLUMNS($AC$1006:AS1006),$AC$1006:$AS$1006,0)), HYPERLINK("#",""), HYPERLINK(CONCATENATE("#Metadata!", ADDRESS(INDEX($X$2:$X$1001,MATCH(ROWS($V$2:V432),$V$2:$V$1001,0),0), INDEX($AC$1004:$AS$1004,1,MATCH(COLUMNS($AC$1006:AS1006),$AC$1006:$AS$1006,0)))),"Fix")))</f>
        <v>0</v>
      </c>
      <c r="V432">
        <v>0</v>
      </c>
      <c r="W432">
        <v>0</v>
      </c>
      <c r="X432">
        <v>0</v>
      </c>
      <c r="Y432">
        <f>IF(Z432,TRUE,AND(AC432:AS432))</f>
        <v>0</v>
      </c>
      <c r="Z432">
        <f>COUNTBLANK(Metadata!B432:R432)=COLUMNS(Metadata!B432:R432)</f>
        <v>0</v>
      </c>
      <c r="AA432">
        <v>0</v>
      </c>
      <c r="AC432">
        <f>AND(IF(Metadata!B432="",FALSE,TRUE),COUNTIF(Metadata!B:B, Metadata!B432) = 1,NOT(ISERROR(SUMPRODUCT(SEARCH(MID(Metadata!B432,ROW(INDIRECT("1:"&amp;LEN(Metadata!B432))), 1),"0123456789abcdefghijklmnopqrstuvwxyzABCDEFGHIJKLMNOPQRSTUVWXYZ.")))))</f>
        <v>0</v>
      </c>
      <c r="AD432">
        <f>AND(IF(Metadata!C432="",FALSE,TRUE),exact(Metadata!C432,"Host-associated"))</f>
        <v>0</v>
      </c>
      <c r="AE432">
        <f>AND(IF(Metadata!D432="",FALSE,TRUE),OR(exact(Metadata!D432,"Animal"),exact(Metadata!D432,"Fungus"),exact(Metadata!D432,"Plant")))</f>
        <v>0</v>
      </c>
      <c r="AF432">
        <f>AND(IF(Metadata!E432="",FALSE,TRUE),OR(exact(Metadata!E432,"Plant secretion"),exact(Metadata!E432,"Plant rhizosphere"),exact(Metadata!E432,"Plant surface"),exact(Metadata!E432,"Plant corpus"),exact(Metadata!E432,"Fungus surface"),exact(Metadata!E432,"Fungus corpus"),exact(Metadata!E432,"Animal surface"),exact(Metadata!E432,"Animal proximal gut"),exact(Metadata!E432,"Animal corpus"),exact(Metadata!E432,"Animal distal gut"),exact(Metadata!E432,"Animal secretion")))</f>
        <v>0</v>
      </c>
      <c r="AG432">
        <f>OR(AND(IF(Metadata!F432="",FALSE,TRUE),OR(exact(Metadata!F432,"not collected"),exact(Metadata!F432,"not provided"),exact(Metadata!F432,"restricted access"))),AND(IF(Metadata!F432="",FALSE,TRUE),OR(exact(Metadata!F432,"organism-associated habitat"),exact(Metadata!F432,"plant-associated habitat"),exact(Metadata!F432,"animal-associated habitat"),exact(Metadata!F432,"insecta-associated habitat"),exact(Metadata!F432,"mammalia-associated habitat"),exact(Metadata!F432,"human-associated habitat"),exact(Metadata!F432,"livestock-associated habitat"))))</f>
        <v>0</v>
      </c>
      <c r="AH432">
        <f>AND(IF(Metadata!G432="",FALSE,TRUE),exact(Metadata!G432,"host-associated"))</f>
        <v>0</v>
      </c>
      <c r="AI432">
        <f>OR(AND(IF(Metadata!H432="",FALSE,TRUE),OR(exact(Metadata!H432,"not collected"),exact(Metadata!H432,"not provided"))),AND(IF(Metadata!H432="",FALSE,ISNUMBER(VALUE(Metadata!H432))),Metadata!H432&gt;0))</f>
        <v>0</v>
      </c>
      <c r="AJ432">
        <f>AND(IF(Metadata!I432="",FALSE,TRUE),exact(Metadata!I432,"years"))</f>
        <v>0</v>
      </c>
      <c r="AK432">
        <f>IF(Metadata!J432="",FALSE,TRUE)</f>
        <v>0</v>
      </c>
      <c r="AL432">
        <f>OR(AND(IF(Metadata!K432="",FALSE,TRUE),OR(exact(Metadata!K432,"not collected"),exact(Metadata!K432,"not provided"))),AND(IF(Metadata!K432="",FALSE,ISNUMBER(VALUE(Metadata!K432))),Metadata!K432&gt;0))</f>
        <v>0</v>
      </c>
      <c r="AM432">
        <f>AND(IF(Metadata!L432="",FALSE,TRUE),exact(Metadata!L432,"cm"))</f>
        <v>0</v>
      </c>
      <c r="AN432">
        <f>IF(Metadata!M432="",FALSE,TRUE)</f>
        <v>0</v>
      </c>
      <c r="AO432">
        <f>OR(AND(IF(Metadata!N432="",FALSE,TRUE),OR(exact(Metadata!N432,"not applicable"),exact(Metadata!N432,"not collected"),exact(Metadata!N432,"not provided"))),AND(IF(Metadata!N432="",FALSE,IF(ISERROR(INT(Metadata!N432)),FALSE,INT(Metadata!N432)=Metadata!N432)),Metadata!N432&gt;0))</f>
        <v>0</v>
      </c>
      <c r="AP432">
        <f>OR(AND(IF(Metadata!O432="",FALSE,TRUE),OR(exact(Metadata!O432,"not collected"),exact(Metadata!O432,"not provided"))),AND(IF(Metadata!O432="",FALSE,ISNUMBER(VALUE(Metadata!O432))),Metadata!O432&gt;0))</f>
        <v>0</v>
      </c>
      <c r="AQ432">
        <f>AND(IF(Metadata!P432="",FALSE,TRUE),exact(Metadata!P432,"kg"))</f>
        <v>0</v>
      </c>
      <c r="AR432">
        <f>OR(AND(IF(Metadata!Q432="",FALSE,TRUE),OR(exact(Metadata!Q432,"not applicable"),exact(Metadata!Q432,"not collected"),exact(Metadata!Q432,"not provided"),exact(Metadata!Q432,"restricted access"))),IF(Metadata!Q432="",FALSE,IF(ISERROR(INT(Metadata!Q432)),FALSE,INT(Metadata!Q432)=Metadata!Q432)))</f>
        <v>0</v>
      </c>
      <c r="AS432">
        <f>AND(IF(Metadata!R432="",FALSE,TRUE),exact(Metadata!R432,"Not applicable"))</f>
        <v>0</v>
      </c>
    </row>
    <row r="433" spans="1:45">
      <c r="A433" s="4">
        <f>IF(B433=" "," ",HYPERLINK(CONCATENATE("#metadata!",ADDRESS(INDEX($X$2:$X$1001,MATCH(ROWS($V$2:V433),$V$2:$V$1001,0),0),2)),INDEX($AA$2:$AA$1001,MATCH(ROWS($V$2:V433),$V$2:$V$1001,0),0)))</f>
        <v>0</v>
      </c>
      <c r="B433" s="5">
        <f>IF(OR(INDEX($W$2:$W$1001,MATCH(ROWS($V$2:V433),$V$2:$V$1001,0),1)&gt;=100000,INDEX($AC$1005:$AS$1005,1,MATCH(COLUMNS($AC$1006:AC1006),$AC$1006:$AS$1006,0))&gt;=100000), " ",IF(INDEX($AC$2:$AS$1001,MATCH(ROWS($V$2:V433),$V$2:$V$1001,0),MATCH(COLUMNS($AC$1006:AC1006),$AC$1006:$AS$1006,0)), HYPERLINK("#",""), HYPERLINK(CONCATENATE("#Metadata!", ADDRESS(INDEX($X$2:$X$1001,MATCH(ROWS($V$2:V433),$V$2:$V$1001,0),0), INDEX($AC$1004:$AS$1004,1,MATCH(COLUMNS($AC$1006:AC1006),$AC$1006:$AS$1006,0)))),"Fix")))</f>
        <v>0</v>
      </c>
      <c r="C433" s="5">
        <f>IF(OR(INDEX($W$2:$W$1001,MATCH(ROWS($V$2:V433),$V$2:$V$1001,0),1)&gt;=100000,INDEX($AC$1005:$AS$1005,1,MATCH(COLUMNS($AC$1006:AD1006),$AC$1006:$AS$1006,0))&gt;=100000), " ",IF(INDEX($AC$2:$AS$1001,MATCH(ROWS($V$2:V433),$V$2:$V$1001,0),MATCH(COLUMNS($AC$1006:AD1006),$AC$1006:$AS$1006,0)), HYPERLINK("#",""), HYPERLINK(CONCATENATE("#Metadata!", ADDRESS(INDEX($X$2:$X$1001,MATCH(ROWS($V$2:V433),$V$2:$V$1001,0),0), INDEX($AC$1004:$AS$1004,1,MATCH(COLUMNS($AC$1006:AD1006),$AC$1006:$AS$1006,0)))),"Fix")))</f>
        <v>0</v>
      </c>
      <c r="D433" s="5">
        <f>IF(OR(INDEX($W$2:$W$1001,MATCH(ROWS($V$2:V433),$V$2:$V$1001,0),1)&gt;=100000,INDEX($AC$1005:$AS$1005,1,MATCH(COLUMNS($AC$1006:AE1006),$AC$1006:$AS$1006,0))&gt;=100000), " ",IF(INDEX($AC$2:$AS$1001,MATCH(ROWS($V$2:V433),$V$2:$V$1001,0),MATCH(COLUMNS($AC$1006:AE1006),$AC$1006:$AS$1006,0)), HYPERLINK("#",""), HYPERLINK(CONCATENATE("#Metadata!", ADDRESS(INDEX($X$2:$X$1001,MATCH(ROWS($V$2:V433),$V$2:$V$1001,0),0), INDEX($AC$1004:$AS$1004,1,MATCH(COLUMNS($AC$1006:AE1006),$AC$1006:$AS$1006,0)))),"Fix")))</f>
        <v>0</v>
      </c>
      <c r="E433" s="5">
        <f>IF(OR(INDEX($W$2:$W$1001,MATCH(ROWS($V$2:V433),$V$2:$V$1001,0),1)&gt;=100000,INDEX($AC$1005:$AS$1005,1,MATCH(COLUMNS($AC$1006:AF1006),$AC$1006:$AS$1006,0))&gt;=100000), " ",IF(INDEX($AC$2:$AS$1001,MATCH(ROWS($V$2:V433),$V$2:$V$1001,0),MATCH(COLUMNS($AC$1006:AF1006),$AC$1006:$AS$1006,0)), HYPERLINK("#",""), HYPERLINK(CONCATENATE("#Metadata!", ADDRESS(INDEX($X$2:$X$1001,MATCH(ROWS($V$2:V433),$V$2:$V$1001,0),0), INDEX($AC$1004:$AS$1004,1,MATCH(COLUMNS($AC$1006:AF1006),$AC$1006:$AS$1006,0)))),"Fix")))</f>
        <v>0</v>
      </c>
      <c r="F433" s="5">
        <f>IF(OR(INDEX($W$2:$W$1001,MATCH(ROWS($V$2:V433),$V$2:$V$1001,0),1)&gt;=100000,INDEX($AC$1005:$AS$1005,1,MATCH(COLUMNS($AC$1006:AG1006),$AC$1006:$AS$1006,0))&gt;=100000), " ",IF(INDEX($AC$2:$AS$1001,MATCH(ROWS($V$2:V433),$V$2:$V$1001,0),MATCH(COLUMNS($AC$1006:AG1006),$AC$1006:$AS$1006,0)), HYPERLINK("#",""), HYPERLINK(CONCATENATE("#Metadata!", ADDRESS(INDEX($X$2:$X$1001,MATCH(ROWS($V$2:V433),$V$2:$V$1001,0),0), INDEX($AC$1004:$AS$1004,1,MATCH(COLUMNS($AC$1006:AG1006),$AC$1006:$AS$1006,0)))),"Fix")))</f>
        <v>0</v>
      </c>
      <c r="G433" s="5">
        <f>IF(OR(INDEX($W$2:$W$1001,MATCH(ROWS($V$2:V433),$V$2:$V$1001,0),1)&gt;=100000,INDEX($AC$1005:$AS$1005,1,MATCH(COLUMNS($AC$1006:AH1006),$AC$1006:$AS$1006,0))&gt;=100000), " ",IF(INDEX($AC$2:$AS$1001,MATCH(ROWS($V$2:V433),$V$2:$V$1001,0),MATCH(COLUMNS($AC$1006:AH1006),$AC$1006:$AS$1006,0)), HYPERLINK("#",""), HYPERLINK(CONCATENATE("#Metadata!", ADDRESS(INDEX($X$2:$X$1001,MATCH(ROWS($V$2:V433),$V$2:$V$1001,0),0), INDEX($AC$1004:$AS$1004,1,MATCH(COLUMNS($AC$1006:AH1006),$AC$1006:$AS$1006,0)))),"Fix")))</f>
        <v>0</v>
      </c>
      <c r="H433" s="5">
        <f>IF(OR(INDEX($W$2:$W$1001,MATCH(ROWS($V$2:V433),$V$2:$V$1001,0),1)&gt;=100000,INDEX($AC$1005:$AS$1005,1,MATCH(COLUMNS($AC$1006:AI1006),$AC$1006:$AS$1006,0))&gt;=100000), " ",IF(INDEX($AC$2:$AS$1001,MATCH(ROWS($V$2:V433),$V$2:$V$1001,0),MATCH(COLUMNS($AC$1006:AI1006),$AC$1006:$AS$1006,0)), HYPERLINK("#",""), HYPERLINK(CONCATENATE("#Metadata!", ADDRESS(INDEX($X$2:$X$1001,MATCH(ROWS($V$2:V433),$V$2:$V$1001,0),0), INDEX($AC$1004:$AS$1004,1,MATCH(COLUMNS($AC$1006:AI1006),$AC$1006:$AS$1006,0)))),"Fix")))</f>
        <v>0</v>
      </c>
      <c r="I433" s="5">
        <f>IF(OR(INDEX($W$2:$W$1001,MATCH(ROWS($V$2:V433),$V$2:$V$1001,0),1)&gt;=100000,INDEX($AC$1005:$AS$1005,1,MATCH(COLUMNS($AC$1006:AJ1006),$AC$1006:$AS$1006,0))&gt;=100000), " ",IF(INDEX($AC$2:$AS$1001,MATCH(ROWS($V$2:V433),$V$2:$V$1001,0),MATCH(COLUMNS($AC$1006:AJ1006),$AC$1006:$AS$1006,0)), HYPERLINK("#",""), HYPERLINK(CONCATENATE("#Metadata!", ADDRESS(INDEX($X$2:$X$1001,MATCH(ROWS($V$2:V433),$V$2:$V$1001,0),0), INDEX($AC$1004:$AS$1004,1,MATCH(COLUMNS($AC$1006:AJ1006),$AC$1006:$AS$1006,0)))),"Fix")))</f>
        <v>0</v>
      </c>
      <c r="J433" s="5">
        <f>IF(OR(INDEX($W$2:$W$1001,MATCH(ROWS($V$2:V433),$V$2:$V$1001,0),1)&gt;=100000,INDEX($AC$1005:$AS$1005,1,MATCH(COLUMNS($AC$1006:AK1006),$AC$1006:$AS$1006,0))&gt;=100000), " ",IF(INDEX($AC$2:$AS$1001,MATCH(ROWS($V$2:V433),$V$2:$V$1001,0),MATCH(COLUMNS($AC$1006:AK1006),$AC$1006:$AS$1006,0)), HYPERLINK("#",""), HYPERLINK(CONCATENATE("#Metadata!", ADDRESS(INDEX($X$2:$X$1001,MATCH(ROWS($V$2:V433),$V$2:$V$1001,0),0), INDEX($AC$1004:$AS$1004,1,MATCH(COLUMNS($AC$1006:AK1006),$AC$1006:$AS$1006,0)))),"Fix")))</f>
        <v>0</v>
      </c>
      <c r="K433" s="5">
        <f>IF(OR(INDEX($W$2:$W$1001,MATCH(ROWS($V$2:V433),$V$2:$V$1001,0),1)&gt;=100000,INDEX($AC$1005:$AS$1005,1,MATCH(COLUMNS($AC$1006:AL1006),$AC$1006:$AS$1006,0))&gt;=100000), " ",IF(INDEX($AC$2:$AS$1001,MATCH(ROWS($V$2:V433),$V$2:$V$1001,0),MATCH(COLUMNS($AC$1006:AL1006),$AC$1006:$AS$1006,0)), HYPERLINK("#",""), HYPERLINK(CONCATENATE("#Metadata!", ADDRESS(INDEX($X$2:$X$1001,MATCH(ROWS($V$2:V433),$V$2:$V$1001,0),0), INDEX($AC$1004:$AS$1004,1,MATCH(COLUMNS($AC$1006:AL1006),$AC$1006:$AS$1006,0)))),"Fix")))</f>
        <v>0</v>
      </c>
      <c r="L433" s="5">
        <f>IF(OR(INDEX($W$2:$W$1001,MATCH(ROWS($V$2:V433),$V$2:$V$1001,0),1)&gt;=100000,INDEX($AC$1005:$AS$1005,1,MATCH(COLUMNS($AC$1006:AM1006),$AC$1006:$AS$1006,0))&gt;=100000), " ",IF(INDEX($AC$2:$AS$1001,MATCH(ROWS($V$2:V433),$V$2:$V$1001,0),MATCH(COLUMNS($AC$1006:AM1006),$AC$1006:$AS$1006,0)), HYPERLINK("#",""), HYPERLINK(CONCATENATE("#Metadata!", ADDRESS(INDEX($X$2:$X$1001,MATCH(ROWS($V$2:V433),$V$2:$V$1001,0),0), INDEX($AC$1004:$AS$1004,1,MATCH(COLUMNS($AC$1006:AM1006),$AC$1006:$AS$1006,0)))),"Fix")))</f>
        <v>0</v>
      </c>
      <c r="M433" s="5">
        <f>IF(OR(INDEX($W$2:$W$1001,MATCH(ROWS($V$2:V433),$V$2:$V$1001,0),1)&gt;=100000,INDEX($AC$1005:$AS$1005,1,MATCH(COLUMNS($AC$1006:AN1006),$AC$1006:$AS$1006,0))&gt;=100000), " ",IF(INDEX($AC$2:$AS$1001,MATCH(ROWS($V$2:V433),$V$2:$V$1001,0),MATCH(COLUMNS($AC$1006:AN1006),$AC$1006:$AS$1006,0)), HYPERLINK("#",""), HYPERLINK(CONCATENATE("#Metadata!", ADDRESS(INDEX($X$2:$X$1001,MATCH(ROWS($V$2:V433),$V$2:$V$1001,0),0), INDEX($AC$1004:$AS$1004,1,MATCH(COLUMNS($AC$1006:AN1006),$AC$1006:$AS$1006,0)))),"Fix")))</f>
        <v>0</v>
      </c>
      <c r="N433" s="5">
        <f>IF(OR(INDEX($W$2:$W$1001,MATCH(ROWS($V$2:V433),$V$2:$V$1001,0),1)&gt;=100000,INDEX($AC$1005:$AS$1005,1,MATCH(COLUMNS($AC$1006:AO1006),$AC$1006:$AS$1006,0))&gt;=100000), " ",IF(INDEX($AC$2:$AS$1001,MATCH(ROWS($V$2:V433),$V$2:$V$1001,0),MATCH(COLUMNS($AC$1006:AO1006),$AC$1006:$AS$1006,0)), HYPERLINK("#",""), HYPERLINK(CONCATENATE("#Metadata!", ADDRESS(INDEX($X$2:$X$1001,MATCH(ROWS($V$2:V433),$V$2:$V$1001,0),0), INDEX($AC$1004:$AS$1004,1,MATCH(COLUMNS($AC$1006:AO1006),$AC$1006:$AS$1006,0)))),"Fix")))</f>
        <v>0</v>
      </c>
      <c r="O433" s="5">
        <f>IF(OR(INDEX($W$2:$W$1001,MATCH(ROWS($V$2:V433),$V$2:$V$1001,0),1)&gt;=100000,INDEX($AC$1005:$AS$1005,1,MATCH(COLUMNS($AC$1006:AP1006),$AC$1006:$AS$1006,0))&gt;=100000), " ",IF(INDEX($AC$2:$AS$1001,MATCH(ROWS($V$2:V433),$V$2:$V$1001,0),MATCH(COLUMNS($AC$1006:AP1006),$AC$1006:$AS$1006,0)), HYPERLINK("#",""), HYPERLINK(CONCATENATE("#Metadata!", ADDRESS(INDEX($X$2:$X$1001,MATCH(ROWS($V$2:V433),$V$2:$V$1001,0),0), INDEX($AC$1004:$AS$1004,1,MATCH(COLUMNS($AC$1006:AP1006),$AC$1006:$AS$1006,0)))),"Fix")))</f>
        <v>0</v>
      </c>
      <c r="P433" s="5">
        <f>IF(OR(INDEX($W$2:$W$1001,MATCH(ROWS($V$2:V433),$V$2:$V$1001,0),1)&gt;=100000,INDEX($AC$1005:$AS$1005,1,MATCH(COLUMNS($AC$1006:AQ1006),$AC$1006:$AS$1006,0))&gt;=100000), " ",IF(INDEX($AC$2:$AS$1001,MATCH(ROWS($V$2:V433),$V$2:$V$1001,0),MATCH(COLUMNS($AC$1006:AQ1006),$AC$1006:$AS$1006,0)), HYPERLINK("#",""), HYPERLINK(CONCATENATE("#Metadata!", ADDRESS(INDEX($X$2:$X$1001,MATCH(ROWS($V$2:V433),$V$2:$V$1001,0),0), INDEX($AC$1004:$AS$1004,1,MATCH(COLUMNS($AC$1006:AQ1006),$AC$1006:$AS$1006,0)))),"Fix")))</f>
        <v>0</v>
      </c>
      <c r="Q433" s="5">
        <f>IF(OR(INDEX($W$2:$W$1001,MATCH(ROWS($V$2:V433),$V$2:$V$1001,0),1)&gt;=100000,INDEX($AC$1005:$AS$1005,1,MATCH(COLUMNS($AC$1006:AR1006),$AC$1006:$AS$1006,0))&gt;=100000), " ",IF(INDEX($AC$2:$AS$1001,MATCH(ROWS($V$2:V433),$V$2:$V$1001,0),MATCH(COLUMNS($AC$1006:AR1006),$AC$1006:$AS$1006,0)), HYPERLINK("#",""), HYPERLINK(CONCATENATE("#Metadata!", ADDRESS(INDEX($X$2:$X$1001,MATCH(ROWS($V$2:V433),$V$2:$V$1001,0),0), INDEX($AC$1004:$AS$1004,1,MATCH(COLUMNS($AC$1006:AR1006),$AC$1006:$AS$1006,0)))),"Fix")))</f>
        <v>0</v>
      </c>
      <c r="R433" s="5">
        <f>IF(OR(INDEX($W$2:$W$1001,MATCH(ROWS($V$2:V433),$V$2:$V$1001,0),1)&gt;=100000,INDEX($AC$1005:$AS$1005,1,MATCH(COLUMNS($AC$1006:AS1006),$AC$1006:$AS$1006,0))&gt;=100000), " ",IF(INDEX($AC$2:$AS$1001,MATCH(ROWS($V$2:V433),$V$2:$V$1001,0),MATCH(COLUMNS($AC$1006:AS1006),$AC$1006:$AS$1006,0)), HYPERLINK("#",""), HYPERLINK(CONCATENATE("#Metadata!", ADDRESS(INDEX($X$2:$X$1001,MATCH(ROWS($V$2:V433),$V$2:$V$1001,0),0), INDEX($AC$1004:$AS$1004,1,MATCH(COLUMNS($AC$1006:AS1006),$AC$1006:$AS$1006,0)))),"Fix")))</f>
        <v>0</v>
      </c>
      <c r="V433">
        <v>0</v>
      </c>
      <c r="W433">
        <v>0</v>
      </c>
      <c r="X433">
        <v>0</v>
      </c>
      <c r="Y433">
        <f>IF(Z433,TRUE,AND(AC433:AS433))</f>
        <v>0</v>
      </c>
      <c r="Z433">
        <f>COUNTBLANK(Metadata!B433:R433)=COLUMNS(Metadata!B433:R433)</f>
        <v>0</v>
      </c>
      <c r="AA433">
        <v>0</v>
      </c>
      <c r="AC433">
        <f>AND(IF(Metadata!B433="",FALSE,TRUE),COUNTIF(Metadata!B:B, Metadata!B433) = 1,NOT(ISERROR(SUMPRODUCT(SEARCH(MID(Metadata!B433,ROW(INDIRECT("1:"&amp;LEN(Metadata!B433))), 1),"0123456789abcdefghijklmnopqrstuvwxyzABCDEFGHIJKLMNOPQRSTUVWXYZ.")))))</f>
        <v>0</v>
      </c>
      <c r="AD433">
        <f>AND(IF(Metadata!C433="",FALSE,TRUE),exact(Metadata!C433,"Host-associated"))</f>
        <v>0</v>
      </c>
      <c r="AE433">
        <f>AND(IF(Metadata!D433="",FALSE,TRUE),OR(exact(Metadata!D433,"Animal"),exact(Metadata!D433,"Fungus"),exact(Metadata!D433,"Plant")))</f>
        <v>0</v>
      </c>
      <c r="AF433">
        <f>AND(IF(Metadata!E433="",FALSE,TRUE),OR(exact(Metadata!E433,"Plant secretion"),exact(Metadata!E433,"Plant rhizosphere"),exact(Metadata!E433,"Plant surface"),exact(Metadata!E433,"Plant corpus"),exact(Metadata!E433,"Fungus surface"),exact(Metadata!E433,"Fungus corpus"),exact(Metadata!E433,"Animal surface"),exact(Metadata!E433,"Animal proximal gut"),exact(Metadata!E433,"Animal corpus"),exact(Metadata!E433,"Animal distal gut"),exact(Metadata!E433,"Animal secretion")))</f>
        <v>0</v>
      </c>
      <c r="AG433">
        <f>OR(AND(IF(Metadata!F433="",FALSE,TRUE),OR(exact(Metadata!F433,"not collected"),exact(Metadata!F433,"not provided"),exact(Metadata!F433,"restricted access"))),AND(IF(Metadata!F433="",FALSE,TRUE),OR(exact(Metadata!F433,"organism-associated habitat"),exact(Metadata!F433,"plant-associated habitat"),exact(Metadata!F433,"animal-associated habitat"),exact(Metadata!F433,"insecta-associated habitat"),exact(Metadata!F433,"mammalia-associated habitat"),exact(Metadata!F433,"human-associated habitat"),exact(Metadata!F433,"livestock-associated habitat"))))</f>
        <v>0</v>
      </c>
      <c r="AH433">
        <f>AND(IF(Metadata!G433="",FALSE,TRUE),exact(Metadata!G433,"host-associated"))</f>
        <v>0</v>
      </c>
      <c r="AI433">
        <f>OR(AND(IF(Metadata!H433="",FALSE,TRUE),OR(exact(Metadata!H433,"not collected"),exact(Metadata!H433,"not provided"))),AND(IF(Metadata!H433="",FALSE,ISNUMBER(VALUE(Metadata!H433))),Metadata!H433&gt;0))</f>
        <v>0</v>
      </c>
      <c r="AJ433">
        <f>AND(IF(Metadata!I433="",FALSE,TRUE),exact(Metadata!I433,"years"))</f>
        <v>0</v>
      </c>
      <c r="AK433">
        <f>IF(Metadata!J433="",FALSE,TRUE)</f>
        <v>0</v>
      </c>
      <c r="AL433">
        <f>OR(AND(IF(Metadata!K433="",FALSE,TRUE),OR(exact(Metadata!K433,"not collected"),exact(Metadata!K433,"not provided"))),AND(IF(Metadata!K433="",FALSE,ISNUMBER(VALUE(Metadata!K433))),Metadata!K433&gt;0))</f>
        <v>0</v>
      </c>
      <c r="AM433">
        <f>AND(IF(Metadata!L433="",FALSE,TRUE),exact(Metadata!L433,"cm"))</f>
        <v>0</v>
      </c>
      <c r="AN433">
        <f>IF(Metadata!M433="",FALSE,TRUE)</f>
        <v>0</v>
      </c>
      <c r="AO433">
        <f>OR(AND(IF(Metadata!N433="",FALSE,TRUE),OR(exact(Metadata!N433,"not applicable"),exact(Metadata!N433,"not collected"),exact(Metadata!N433,"not provided"))),AND(IF(Metadata!N433="",FALSE,IF(ISERROR(INT(Metadata!N433)),FALSE,INT(Metadata!N433)=Metadata!N433)),Metadata!N433&gt;0))</f>
        <v>0</v>
      </c>
      <c r="AP433">
        <f>OR(AND(IF(Metadata!O433="",FALSE,TRUE),OR(exact(Metadata!O433,"not collected"),exact(Metadata!O433,"not provided"))),AND(IF(Metadata!O433="",FALSE,ISNUMBER(VALUE(Metadata!O433))),Metadata!O433&gt;0))</f>
        <v>0</v>
      </c>
      <c r="AQ433">
        <f>AND(IF(Metadata!P433="",FALSE,TRUE),exact(Metadata!P433,"kg"))</f>
        <v>0</v>
      </c>
      <c r="AR433">
        <f>OR(AND(IF(Metadata!Q433="",FALSE,TRUE),OR(exact(Metadata!Q433,"not applicable"),exact(Metadata!Q433,"not collected"),exact(Metadata!Q433,"not provided"),exact(Metadata!Q433,"restricted access"))),IF(Metadata!Q433="",FALSE,IF(ISERROR(INT(Metadata!Q433)),FALSE,INT(Metadata!Q433)=Metadata!Q433)))</f>
        <v>0</v>
      </c>
      <c r="AS433">
        <f>AND(IF(Metadata!R433="",FALSE,TRUE),exact(Metadata!R433,"Not applicable"))</f>
        <v>0</v>
      </c>
    </row>
    <row r="434" spans="1:45">
      <c r="A434" s="4">
        <f>IF(B434=" "," ",HYPERLINK(CONCATENATE("#metadata!",ADDRESS(INDEX($X$2:$X$1001,MATCH(ROWS($V$2:V434),$V$2:$V$1001,0),0),2)),INDEX($AA$2:$AA$1001,MATCH(ROWS($V$2:V434),$V$2:$V$1001,0),0)))</f>
        <v>0</v>
      </c>
      <c r="B434" s="5">
        <f>IF(OR(INDEX($W$2:$W$1001,MATCH(ROWS($V$2:V434),$V$2:$V$1001,0),1)&gt;=100000,INDEX($AC$1005:$AS$1005,1,MATCH(COLUMNS($AC$1006:AC1006),$AC$1006:$AS$1006,0))&gt;=100000), " ",IF(INDEX($AC$2:$AS$1001,MATCH(ROWS($V$2:V434),$V$2:$V$1001,0),MATCH(COLUMNS($AC$1006:AC1006),$AC$1006:$AS$1006,0)), HYPERLINK("#",""), HYPERLINK(CONCATENATE("#Metadata!", ADDRESS(INDEX($X$2:$X$1001,MATCH(ROWS($V$2:V434),$V$2:$V$1001,0),0), INDEX($AC$1004:$AS$1004,1,MATCH(COLUMNS($AC$1006:AC1006),$AC$1006:$AS$1006,0)))),"Fix")))</f>
        <v>0</v>
      </c>
      <c r="C434" s="5">
        <f>IF(OR(INDEX($W$2:$W$1001,MATCH(ROWS($V$2:V434),$V$2:$V$1001,0),1)&gt;=100000,INDEX($AC$1005:$AS$1005,1,MATCH(COLUMNS($AC$1006:AD1006),$AC$1006:$AS$1006,0))&gt;=100000), " ",IF(INDEX($AC$2:$AS$1001,MATCH(ROWS($V$2:V434),$V$2:$V$1001,0),MATCH(COLUMNS($AC$1006:AD1006),$AC$1006:$AS$1006,0)), HYPERLINK("#",""), HYPERLINK(CONCATENATE("#Metadata!", ADDRESS(INDEX($X$2:$X$1001,MATCH(ROWS($V$2:V434),$V$2:$V$1001,0),0), INDEX($AC$1004:$AS$1004,1,MATCH(COLUMNS($AC$1006:AD1006),$AC$1006:$AS$1006,0)))),"Fix")))</f>
        <v>0</v>
      </c>
      <c r="D434" s="5">
        <f>IF(OR(INDEX($W$2:$W$1001,MATCH(ROWS($V$2:V434),$V$2:$V$1001,0),1)&gt;=100000,INDEX($AC$1005:$AS$1005,1,MATCH(COLUMNS($AC$1006:AE1006),$AC$1006:$AS$1006,0))&gt;=100000), " ",IF(INDEX($AC$2:$AS$1001,MATCH(ROWS($V$2:V434),$V$2:$V$1001,0),MATCH(COLUMNS($AC$1006:AE1006),$AC$1006:$AS$1006,0)), HYPERLINK("#",""), HYPERLINK(CONCATENATE("#Metadata!", ADDRESS(INDEX($X$2:$X$1001,MATCH(ROWS($V$2:V434),$V$2:$V$1001,0),0), INDEX($AC$1004:$AS$1004,1,MATCH(COLUMNS($AC$1006:AE1006),$AC$1006:$AS$1006,0)))),"Fix")))</f>
        <v>0</v>
      </c>
      <c r="E434" s="5">
        <f>IF(OR(INDEX($W$2:$W$1001,MATCH(ROWS($V$2:V434),$V$2:$V$1001,0),1)&gt;=100000,INDEX($AC$1005:$AS$1005,1,MATCH(COLUMNS($AC$1006:AF1006),$AC$1006:$AS$1006,0))&gt;=100000), " ",IF(INDEX($AC$2:$AS$1001,MATCH(ROWS($V$2:V434),$V$2:$V$1001,0),MATCH(COLUMNS($AC$1006:AF1006),$AC$1006:$AS$1006,0)), HYPERLINK("#",""), HYPERLINK(CONCATENATE("#Metadata!", ADDRESS(INDEX($X$2:$X$1001,MATCH(ROWS($V$2:V434),$V$2:$V$1001,0),0), INDEX($AC$1004:$AS$1004,1,MATCH(COLUMNS($AC$1006:AF1006),$AC$1006:$AS$1006,0)))),"Fix")))</f>
        <v>0</v>
      </c>
      <c r="F434" s="5">
        <f>IF(OR(INDEX($W$2:$W$1001,MATCH(ROWS($V$2:V434),$V$2:$V$1001,0),1)&gt;=100000,INDEX($AC$1005:$AS$1005,1,MATCH(COLUMNS($AC$1006:AG1006),$AC$1006:$AS$1006,0))&gt;=100000), " ",IF(INDEX($AC$2:$AS$1001,MATCH(ROWS($V$2:V434),$V$2:$V$1001,0),MATCH(COLUMNS($AC$1006:AG1006),$AC$1006:$AS$1006,0)), HYPERLINK("#",""), HYPERLINK(CONCATENATE("#Metadata!", ADDRESS(INDEX($X$2:$X$1001,MATCH(ROWS($V$2:V434),$V$2:$V$1001,0),0), INDEX($AC$1004:$AS$1004,1,MATCH(COLUMNS($AC$1006:AG1006),$AC$1006:$AS$1006,0)))),"Fix")))</f>
        <v>0</v>
      </c>
      <c r="G434" s="5">
        <f>IF(OR(INDEX($W$2:$W$1001,MATCH(ROWS($V$2:V434),$V$2:$V$1001,0),1)&gt;=100000,INDEX($AC$1005:$AS$1005,1,MATCH(COLUMNS($AC$1006:AH1006),$AC$1006:$AS$1006,0))&gt;=100000), " ",IF(INDEX($AC$2:$AS$1001,MATCH(ROWS($V$2:V434),$V$2:$V$1001,0),MATCH(COLUMNS($AC$1006:AH1006),$AC$1006:$AS$1006,0)), HYPERLINK("#",""), HYPERLINK(CONCATENATE("#Metadata!", ADDRESS(INDEX($X$2:$X$1001,MATCH(ROWS($V$2:V434),$V$2:$V$1001,0),0), INDEX($AC$1004:$AS$1004,1,MATCH(COLUMNS($AC$1006:AH1006),$AC$1006:$AS$1006,0)))),"Fix")))</f>
        <v>0</v>
      </c>
      <c r="H434" s="5">
        <f>IF(OR(INDEX($W$2:$W$1001,MATCH(ROWS($V$2:V434),$V$2:$V$1001,0),1)&gt;=100000,INDEX($AC$1005:$AS$1005,1,MATCH(COLUMNS($AC$1006:AI1006),$AC$1006:$AS$1006,0))&gt;=100000), " ",IF(INDEX($AC$2:$AS$1001,MATCH(ROWS($V$2:V434),$V$2:$V$1001,0),MATCH(COLUMNS($AC$1006:AI1006),$AC$1006:$AS$1006,0)), HYPERLINK("#",""), HYPERLINK(CONCATENATE("#Metadata!", ADDRESS(INDEX($X$2:$X$1001,MATCH(ROWS($V$2:V434),$V$2:$V$1001,0),0), INDEX($AC$1004:$AS$1004,1,MATCH(COLUMNS($AC$1006:AI1006),$AC$1006:$AS$1006,0)))),"Fix")))</f>
        <v>0</v>
      </c>
      <c r="I434" s="5">
        <f>IF(OR(INDEX($W$2:$W$1001,MATCH(ROWS($V$2:V434),$V$2:$V$1001,0),1)&gt;=100000,INDEX($AC$1005:$AS$1005,1,MATCH(COLUMNS($AC$1006:AJ1006),$AC$1006:$AS$1006,0))&gt;=100000), " ",IF(INDEX($AC$2:$AS$1001,MATCH(ROWS($V$2:V434),$V$2:$V$1001,0),MATCH(COLUMNS($AC$1006:AJ1006),$AC$1006:$AS$1006,0)), HYPERLINK("#",""), HYPERLINK(CONCATENATE("#Metadata!", ADDRESS(INDEX($X$2:$X$1001,MATCH(ROWS($V$2:V434),$V$2:$V$1001,0),0), INDEX($AC$1004:$AS$1004,1,MATCH(COLUMNS($AC$1006:AJ1006),$AC$1006:$AS$1006,0)))),"Fix")))</f>
        <v>0</v>
      </c>
      <c r="J434" s="5">
        <f>IF(OR(INDEX($W$2:$W$1001,MATCH(ROWS($V$2:V434),$V$2:$V$1001,0),1)&gt;=100000,INDEX($AC$1005:$AS$1005,1,MATCH(COLUMNS($AC$1006:AK1006),$AC$1006:$AS$1006,0))&gt;=100000), " ",IF(INDEX($AC$2:$AS$1001,MATCH(ROWS($V$2:V434),$V$2:$V$1001,0),MATCH(COLUMNS($AC$1006:AK1006),$AC$1006:$AS$1006,0)), HYPERLINK("#",""), HYPERLINK(CONCATENATE("#Metadata!", ADDRESS(INDEX($X$2:$X$1001,MATCH(ROWS($V$2:V434),$V$2:$V$1001,0),0), INDEX($AC$1004:$AS$1004,1,MATCH(COLUMNS($AC$1006:AK1006),$AC$1006:$AS$1006,0)))),"Fix")))</f>
        <v>0</v>
      </c>
      <c r="K434" s="5">
        <f>IF(OR(INDEX($W$2:$W$1001,MATCH(ROWS($V$2:V434),$V$2:$V$1001,0),1)&gt;=100000,INDEX($AC$1005:$AS$1005,1,MATCH(COLUMNS($AC$1006:AL1006),$AC$1006:$AS$1006,0))&gt;=100000), " ",IF(INDEX($AC$2:$AS$1001,MATCH(ROWS($V$2:V434),$V$2:$V$1001,0),MATCH(COLUMNS($AC$1006:AL1006),$AC$1006:$AS$1006,0)), HYPERLINK("#",""), HYPERLINK(CONCATENATE("#Metadata!", ADDRESS(INDEX($X$2:$X$1001,MATCH(ROWS($V$2:V434),$V$2:$V$1001,0),0), INDEX($AC$1004:$AS$1004,1,MATCH(COLUMNS($AC$1006:AL1006),$AC$1006:$AS$1006,0)))),"Fix")))</f>
        <v>0</v>
      </c>
      <c r="L434" s="5">
        <f>IF(OR(INDEX($W$2:$W$1001,MATCH(ROWS($V$2:V434),$V$2:$V$1001,0),1)&gt;=100000,INDEX($AC$1005:$AS$1005,1,MATCH(COLUMNS($AC$1006:AM1006),$AC$1006:$AS$1006,0))&gt;=100000), " ",IF(INDEX($AC$2:$AS$1001,MATCH(ROWS($V$2:V434),$V$2:$V$1001,0),MATCH(COLUMNS($AC$1006:AM1006),$AC$1006:$AS$1006,0)), HYPERLINK("#",""), HYPERLINK(CONCATENATE("#Metadata!", ADDRESS(INDEX($X$2:$X$1001,MATCH(ROWS($V$2:V434),$V$2:$V$1001,0),0), INDEX($AC$1004:$AS$1004,1,MATCH(COLUMNS($AC$1006:AM1006),$AC$1006:$AS$1006,0)))),"Fix")))</f>
        <v>0</v>
      </c>
      <c r="M434" s="5">
        <f>IF(OR(INDEX($W$2:$W$1001,MATCH(ROWS($V$2:V434),$V$2:$V$1001,0),1)&gt;=100000,INDEX($AC$1005:$AS$1005,1,MATCH(COLUMNS($AC$1006:AN1006),$AC$1006:$AS$1006,0))&gt;=100000), " ",IF(INDEX($AC$2:$AS$1001,MATCH(ROWS($V$2:V434),$V$2:$V$1001,0),MATCH(COLUMNS($AC$1006:AN1006),$AC$1006:$AS$1006,0)), HYPERLINK("#",""), HYPERLINK(CONCATENATE("#Metadata!", ADDRESS(INDEX($X$2:$X$1001,MATCH(ROWS($V$2:V434),$V$2:$V$1001,0),0), INDEX($AC$1004:$AS$1004,1,MATCH(COLUMNS($AC$1006:AN1006),$AC$1006:$AS$1006,0)))),"Fix")))</f>
        <v>0</v>
      </c>
      <c r="N434" s="5">
        <f>IF(OR(INDEX($W$2:$W$1001,MATCH(ROWS($V$2:V434),$V$2:$V$1001,0),1)&gt;=100000,INDEX($AC$1005:$AS$1005,1,MATCH(COLUMNS($AC$1006:AO1006),$AC$1006:$AS$1006,0))&gt;=100000), " ",IF(INDEX($AC$2:$AS$1001,MATCH(ROWS($V$2:V434),$V$2:$V$1001,0),MATCH(COLUMNS($AC$1006:AO1006),$AC$1006:$AS$1006,0)), HYPERLINK("#",""), HYPERLINK(CONCATENATE("#Metadata!", ADDRESS(INDEX($X$2:$X$1001,MATCH(ROWS($V$2:V434),$V$2:$V$1001,0),0), INDEX($AC$1004:$AS$1004,1,MATCH(COLUMNS($AC$1006:AO1006),$AC$1006:$AS$1006,0)))),"Fix")))</f>
        <v>0</v>
      </c>
      <c r="O434" s="5">
        <f>IF(OR(INDEX($W$2:$W$1001,MATCH(ROWS($V$2:V434),$V$2:$V$1001,0),1)&gt;=100000,INDEX($AC$1005:$AS$1005,1,MATCH(COLUMNS($AC$1006:AP1006),$AC$1006:$AS$1006,0))&gt;=100000), " ",IF(INDEX($AC$2:$AS$1001,MATCH(ROWS($V$2:V434),$V$2:$V$1001,0),MATCH(COLUMNS($AC$1006:AP1006),$AC$1006:$AS$1006,0)), HYPERLINK("#",""), HYPERLINK(CONCATENATE("#Metadata!", ADDRESS(INDEX($X$2:$X$1001,MATCH(ROWS($V$2:V434),$V$2:$V$1001,0),0), INDEX($AC$1004:$AS$1004,1,MATCH(COLUMNS($AC$1006:AP1006),$AC$1006:$AS$1006,0)))),"Fix")))</f>
        <v>0</v>
      </c>
      <c r="P434" s="5">
        <f>IF(OR(INDEX($W$2:$W$1001,MATCH(ROWS($V$2:V434),$V$2:$V$1001,0),1)&gt;=100000,INDEX($AC$1005:$AS$1005,1,MATCH(COLUMNS($AC$1006:AQ1006),$AC$1006:$AS$1006,0))&gt;=100000), " ",IF(INDEX($AC$2:$AS$1001,MATCH(ROWS($V$2:V434),$V$2:$V$1001,0),MATCH(COLUMNS($AC$1006:AQ1006),$AC$1006:$AS$1006,0)), HYPERLINK("#",""), HYPERLINK(CONCATENATE("#Metadata!", ADDRESS(INDEX($X$2:$X$1001,MATCH(ROWS($V$2:V434),$V$2:$V$1001,0),0), INDEX($AC$1004:$AS$1004,1,MATCH(COLUMNS($AC$1006:AQ1006),$AC$1006:$AS$1006,0)))),"Fix")))</f>
        <v>0</v>
      </c>
      <c r="Q434" s="5">
        <f>IF(OR(INDEX($W$2:$W$1001,MATCH(ROWS($V$2:V434),$V$2:$V$1001,0),1)&gt;=100000,INDEX($AC$1005:$AS$1005,1,MATCH(COLUMNS($AC$1006:AR1006),$AC$1006:$AS$1006,0))&gt;=100000), " ",IF(INDEX($AC$2:$AS$1001,MATCH(ROWS($V$2:V434),$V$2:$V$1001,0),MATCH(COLUMNS($AC$1006:AR1006),$AC$1006:$AS$1006,0)), HYPERLINK("#",""), HYPERLINK(CONCATENATE("#Metadata!", ADDRESS(INDEX($X$2:$X$1001,MATCH(ROWS($V$2:V434),$V$2:$V$1001,0),0), INDEX($AC$1004:$AS$1004,1,MATCH(COLUMNS($AC$1006:AR1006),$AC$1006:$AS$1006,0)))),"Fix")))</f>
        <v>0</v>
      </c>
      <c r="R434" s="5">
        <f>IF(OR(INDEX($W$2:$W$1001,MATCH(ROWS($V$2:V434),$V$2:$V$1001,0),1)&gt;=100000,INDEX($AC$1005:$AS$1005,1,MATCH(COLUMNS($AC$1006:AS1006),$AC$1006:$AS$1006,0))&gt;=100000), " ",IF(INDEX($AC$2:$AS$1001,MATCH(ROWS($V$2:V434),$V$2:$V$1001,0),MATCH(COLUMNS($AC$1006:AS1006),$AC$1006:$AS$1006,0)), HYPERLINK("#",""), HYPERLINK(CONCATENATE("#Metadata!", ADDRESS(INDEX($X$2:$X$1001,MATCH(ROWS($V$2:V434),$V$2:$V$1001,0),0), INDEX($AC$1004:$AS$1004,1,MATCH(COLUMNS($AC$1006:AS1006),$AC$1006:$AS$1006,0)))),"Fix")))</f>
        <v>0</v>
      </c>
      <c r="V434">
        <v>0</v>
      </c>
      <c r="W434">
        <v>0</v>
      </c>
      <c r="X434">
        <v>0</v>
      </c>
      <c r="Y434">
        <f>IF(Z434,TRUE,AND(AC434:AS434))</f>
        <v>0</v>
      </c>
      <c r="Z434">
        <f>COUNTBLANK(Metadata!B434:R434)=COLUMNS(Metadata!B434:R434)</f>
        <v>0</v>
      </c>
      <c r="AA434">
        <v>0</v>
      </c>
      <c r="AC434">
        <f>AND(IF(Metadata!B434="",FALSE,TRUE),COUNTIF(Metadata!B:B, Metadata!B434) = 1,NOT(ISERROR(SUMPRODUCT(SEARCH(MID(Metadata!B434,ROW(INDIRECT("1:"&amp;LEN(Metadata!B434))), 1),"0123456789abcdefghijklmnopqrstuvwxyzABCDEFGHIJKLMNOPQRSTUVWXYZ.")))))</f>
        <v>0</v>
      </c>
      <c r="AD434">
        <f>AND(IF(Metadata!C434="",FALSE,TRUE),exact(Metadata!C434,"Host-associated"))</f>
        <v>0</v>
      </c>
      <c r="AE434">
        <f>AND(IF(Metadata!D434="",FALSE,TRUE),OR(exact(Metadata!D434,"Animal"),exact(Metadata!D434,"Fungus"),exact(Metadata!D434,"Plant")))</f>
        <v>0</v>
      </c>
      <c r="AF434">
        <f>AND(IF(Metadata!E434="",FALSE,TRUE),OR(exact(Metadata!E434,"Plant secretion"),exact(Metadata!E434,"Plant rhizosphere"),exact(Metadata!E434,"Plant surface"),exact(Metadata!E434,"Plant corpus"),exact(Metadata!E434,"Fungus surface"),exact(Metadata!E434,"Fungus corpus"),exact(Metadata!E434,"Animal surface"),exact(Metadata!E434,"Animal proximal gut"),exact(Metadata!E434,"Animal corpus"),exact(Metadata!E434,"Animal distal gut"),exact(Metadata!E434,"Animal secretion")))</f>
        <v>0</v>
      </c>
      <c r="AG434">
        <f>OR(AND(IF(Metadata!F434="",FALSE,TRUE),OR(exact(Metadata!F434,"not collected"),exact(Metadata!F434,"not provided"),exact(Metadata!F434,"restricted access"))),AND(IF(Metadata!F434="",FALSE,TRUE),OR(exact(Metadata!F434,"organism-associated habitat"),exact(Metadata!F434,"plant-associated habitat"),exact(Metadata!F434,"animal-associated habitat"),exact(Metadata!F434,"insecta-associated habitat"),exact(Metadata!F434,"mammalia-associated habitat"),exact(Metadata!F434,"human-associated habitat"),exact(Metadata!F434,"livestock-associated habitat"))))</f>
        <v>0</v>
      </c>
      <c r="AH434">
        <f>AND(IF(Metadata!G434="",FALSE,TRUE),exact(Metadata!G434,"host-associated"))</f>
        <v>0</v>
      </c>
      <c r="AI434">
        <f>OR(AND(IF(Metadata!H434="",FALSE,TRUE),OR(exact(Metadata!H434,"not collected"),exact(Metadata!H434,"not provided"))),AND(IF(Metadata!H434="",FALSE,ISNUMBER(VALUE(Metadata!H434))),Metadata!H434&gt;0))</f>
        <v>0</v>
      </c>
      <c r="AJ434">
        <f>AND(IF(Metadata!I434="",FALSE,TRUE),exact(Metadata!I434,"years"))</f>
        <v>0</v>
      </c>
      <c r="AK434">
        <f>IF(Metadata!J434="",FALSE,TRUE)</f>
        <v>0</v>
      </c>
      <c r="AL434">
        <f>OR(AND(IF(Metadata!K434="",FALSE,TRUE),OR(exact(Metadata!K434,"not collected"),exact(Metadata!K434,"not provided"))),AND(IF(Metadata!K434="",FALSE,ISNUMBER(VALUE(Metadata!K434))),Metadata!K434&gt;0))</f>
        <v>0</v>
      </c>
      <c r="AM434">
        <f>AND(IF(Metadata!L434="",FALSE,TRUE),exact(Metadata!L434,"cm"))</f>
        <v>0</v>
      </c>
      <c r="AN434">
        <f>IF(Metadata!M434="",FALSE,TRUE)</f>
        <v>0</v>
      </c>
      <c r="AO434">
        <f>OR(AND(IF(Metadata!N434="",FALSE,TRUE),OR(exact(Metadata!N434,"not applicable"),exact(Metadata!N434,"not collected"),exact(Metadata!N434,"not provided"))),AND(IF(Metadata!N434="",FALSE,IF(ISERROR(INT(Metadata!N434)),FALSE,INT(Metadata!N434)=Metadata!N434)),Metadata!N434&gt;0))</f>
        <v>0</v>
      </c>
      <c r="AP434">
        <f>OR(AND(IF(Metadata!O434="",FALSE,TRUE),OR(exact(Metadata!O434,"not collected"),exact(Metadata!O434,"not provided"))),AND(IF(Metadata!O434="",FALSE,ISNUMBER(VALUE(Metadata!O434))),Metadata!O434&gt;0))</f>
        <v>0</v>
      </c>
      <c r="AQ434">
        <f>AND(IF(Metadata!P434="",FALSE,TRUE),exact(Metadata!P434,"kg"))</f>
        <v>0</v>
      </c>
      <c r="AR434">
        <f>OR(AND(IF(Metadata!Q434="",FALSE,TRUE),OR(exact(Metadata!Q434,"not applicable"),exact(Metadata!Q434,"not collected"),exact(Metadata!Q434,"not provided"),exact(Metadata!Q434,"restricted access"))),IF(Metadata!Q434="",FALSE,IF(ISERROR(INT(Metadata!Q434)),FALSE,INT(Metadata!Q434)=Metadata!Q434)))</f>
        <v>0</v>
      </c>
      <c r="AS434">
        <f>AND(IF(Metadata!R434="",FALSE,TRUE),exact(Metadata!R434,"Not applicable"))</f>
        <v>0</v>
      </c>
    </row>
    <row r="435" spans="1:45">
      <c r="A435" s="4">
        <f>IF(B435=" "," ",HYPERLINK(CONCATENATE("#metadata!",ADDRESS(INDEX($X$2:$X$1001,MATCH(ROWS($V$2:V435),$V$2:$V$1001,0),0),2)),INDEX($AA$2:$AA$1001,MATCH(ROWS($V$2:V435),$V$2:$V$1001,0),0)))</f>
        <v>0</v>
      </c>
      <c r="B435" s="5">
        <f>IF(OR(INDEX($W$2:$W$1001,MATCH(ROWS($V$2:V435),$V$2:$V$1001,0),1)&gt;=100000,INDEX($AC$1005:$AS$1005,1,MATCH(COLUMNS($AC$1006:AC1006),$AC$1006:$AS$1006,0))&gt;=100000), " ",IF(INDEX($AC$2:$AS$1001,MATCH(ROWS($V$2:V435),$V$2:$V$1001,0),MATCH(COLUMNS($AC$1006:AC1006),$AC$1006:$AS$1006,0)), HYPERLINK("#",""), HYPERLINK(CONCATENATE("#Metadata!", ADDRESS(INDEX($X$2:$X$1001,MATCH(ROWS($V$2:V435),$V$2:$V$1001,0),0), INDEX($AC$1004:$AS$1004,1,MATCH(COLUMNS($AC$1006:AC1006),$AC$1006:$AS$1006,0)))),"Fix")))</f>
        <v>0</v>
      </c>
      <c r="C435" s="5">
        <f>IF(OR(INDEX($W$2:$W$1001,MATCH(ROWS($V$2:V435),$V$2:$V$1001,0),1)&gt;=100000,INDEX($AC$1005:$AS$1005,1,MATCH(COLUMNS($AC$1006:AD1006),$AC$1006:$AS$1006,0))&gt;=100000), " ",IF(INDEX($AC$2:$AS$1001,MATCH(ROWS($V$2:V435),$V$2:$V$1001,0),MATCH(COLUMNS($AC$1006:AD1006),$AC$1006:$AS$1006,0)), HYPERLINK("#",""), HYPERLINK(CONCATENATE("#Metadata!", ADDRESS(INDEX($X$2:$X$1001,MATCH(ROWS($V$2:V435),$V$2:$V$1001,0),0), INDEX($AC$1004:$AS$1004,1,MATCH(COLUMNS($AC$1006:AD1006),$AC$1006:$AS$1006,0)))),"Fix")))</f>
        <v>0</v>
      </c>
      <c r="D435" s="5">
        <f>IF(OR(INDEX($W$2:$W$1001,MATCH(ROWS($V$2:V435),$V$2:$V$1001,0),1)&gt;=100000,INDEX($AC$1005:$AS$1005,1,MATCH(COLUMNS($AC$1006:AE1006),$AC$1006:$AS$1006,0))&gt;=100000), " ",IF(INDEX($AC$2:$AS$1001,MATCH(ROWS($V$2:V435),$V$2:$V$1001,0),MATCH(COLUMNS($AC$1006:AE1006),$AC$1006:$AS$1006,0)), HYPERLINK("#",""), HYPERLINK(CONCATENATE("#Metadata!", ADDRESS(INDEX($X$2:$X$1001,MATCH(ROWS($V$2:V435),$V$2:$V$1001,0),0), INDEX($AC$1004:$AS$1004,1,MATCH(COLUMNS($AC$1006:AE1006),$AC$1006:$AS$1006,0)))),"Fix")))</f>
        <v>0</v>
      </c>
      <c r="E435" s="5">
        <f>IF(OR(INDEX($W$2:$W$1001,MATCH(ROWS($V$2:V435),$V$2:$V$1001,0),1)&gt;=100000,INDEX($AC$1005:$AS$1005,1,MATCH(COLUMNS($AC$1006:AF1006),$AC$1006:$AS$1006,0))&gt;=100000), " ",IF(INDEX($AC$2:$AS$1001,MATCH(ROWS($V$2:V435),$V$2:$V$1001,0),MATCH(COLUMNS($AC$1006:AF1006),$AC$1006:$AS$1006,0)), HYPERLINK("#",""), HYPERLINK(CONCATENATE("#Metadata!", ADDRESS(INDEX($X$2:$X$1001,MATCH(ROWS($V$2:V435),$V$2:$V$1001,0),0), INDEX($AC$1004:$AS$1004,1,MATCH(COLUMNS($AC$1006:AF1006),$AC$1006:$AS$1006,0)))),"Fix")))</f>
        <v>0</v>
      </c>
      <c r="F435" s="5">
        <f>IF(OR(INDEX($W$2:$W$1001,MATCH(ROWS($V$2:V435),$V$2:$V$1001,0),1)&gt;=100000,INDEX($AC$1005:$AS$1005,1,MATCH(COLUMNS($AC$1006:AG1006),$AC$1006:$AS$1006,0))&gt;=100000), " ",IF(INDEX($AC$2:$AS$1001,MATCH(ROWS($V$2:V435),$V$2:$V$1001,0),MATCH(COLUMNS($AC$1006:AG1006),$AC$1006:$AS$1006,0)), HYPERLINK("#",""), HYPERLINK(CONCATENATE("#Metadata!", ADDRESS(INDEX($X$2:$X$1001,MATCH(ROWS($V$2:V435),$V$2:$V$1001,0),0), INDEX($AC$1004:$AS$1004,1,MATCH(COLUMNS($AC$1006:AG1006),$AC$1006:$AS$1006,0)))),"Fix")))</f>
        <v>0</v>
      </c>
      <c r="G435" s="5">
        <f>IF(OR(INDEX($W$2:$W$1001,MATCH(ROWS($V$2:V435),$V$2:$V$1001,0),1)&gt;=100000,INDEX($AC$1005:$AS$1005,1,MATCH(COLUMNS($AC$1006:AH1006),$AC$1006:$AS$1006,0))&gt;=100000), " ",IF(INDEX($AC$2:$AS$1001,MATCH(ROWS($V$2:V435),$V$2:$V$1001,0),MATCH(COLUMNS($AC$1006:AH1006),$AC$1006:$AS$1006,0)), HYPERLINK("#",""), HYPERLINK(CONCATENATE("#Metadata!", ADDRESS(INDEX($X$2:$X$1001,MATCH(ROWS($V$2:V435),$V$2:$V$1001,0),0), INDEX($AC$1004:$AS$1004,1,MATCH(COLUMNS($AC$1006:AH1006),$AC$1006:$AS$1006,0)))),"Fix")))</f>
        <v>0</v>
      </c>
      <c r="H435" s="5">
        <f>IF(OR(INDEX($W$2:$W$1001,MATCH(ROWS($V$2:V435),$V$2:$V$1001,0),1)&gt;=100000,INDEX($AC$1005:$AS$1005,1,MATCH(COLUMNS($AC$1006:AI1006),$AC$1006:$AS$1006,0))&gt;=100000), " ",IF(INDEX($AC$2:$AS$1001,MATCH(ROWS($V$2:V435),$V$2:$V$1001,0),MATCH(COLUMNS($AC$1006:AI1006),$AC$1006:$AS$1006,0)), HYPERLINK("#",""), HYPERLINK(CONCATENATE("#Metadata!", ADDRESS(INDEX($X$2:$X$1001,MATCH(ROWS($V$2:V435),$V$2:$V$1001,0),0), INDEX($AC$1004:$AS$1004,1,MATCH(COLUMNS($AC$1006:AI1006),$AC$1006:$AS$1006,0)))),"Fix")))</f>
        <v>0</v>
      </c>
      <c r="I435" s="5">
        <f>IF(OR(INDEX($W$2:$W$1001,MATCH(ROWS($V$2:V435),$V$2:$V$1001,0),1)&gt;=100000,INDEX($AC$1005:$AS$1005,1,MATCH(COLUMNS($AC$1006:AJ1006),$AC$1006:$AS$1006,0))&gt;=100000), " ",IF(INDEX($AC$2:$AS$1001,MATCH(ROWS($V$2:V435),$V$2:$V$1001,0),MATCH(COLUMNS($AC$1006:AJ1006),$AC$1006:$AS$1006,0)), HYPERLINK("#",""), HYPERLINK(CONCATENATE("#Metadata!", ADDRESS(INDEX($X$2:$X$1001,MATCH(ROWS($V$2:V435),$V$2:$V$1001,0),0), INDEX($AC$1004:$AS$1004,1,MATCH(COLUMNS($AC$1006:AJ1006),$AC$1006:$AS$1006,0)))),"Fix")))</f>
        <v>0</v>
      </c>
      <c r="J435" s="5">
        <f>IF(OR(INDEX($W$2:$W$1001,MATCH(ROWS($V$2:V435),$V$2:$V$1001,0),1)&gt;=100000,INDEX($AC$1005:$AS$1005,1,MATCH(COLUMNS($AC$1006:AK1006),$AC$1006:$AS$1006,0))&gt;=100000), " ",IF(INDEX($AC$2:$AS$1001,MATCH(ROWS($V$2:V435),$V$2:$V$1001,0),MATCH(COLUMNS($AC$1006:AK1006),$AC$1006:$AS$1006,0)), HYPERLINK("#",""), HYPERLINK(CONCATENATE("#Metadata!", ADDRESS(INDEX($X$2:$X$1001,MATCH(ROWS($V$2:V435),$V$2:$V$1001,0),0), INDEX($AC$1004:$AS$1004,1,MATCH(COLUMNS($AC$1006:AK1006),$AC$1006:$AS$1006,0)))),"Fix")))</f>
        <v>0</v>
      </c>
      <c r="K435" s="5">
        <f>IF(OR(INDEX($W$2:$W$1001,MATCH(ROWS($V$2:V435),$V$2:$V$1001,0),1)&gt;=100000,INDEX($AC$1005:$AS$1005,1,MATCH(COLUMNS($AC$1006:AL1006),$AC$1006:$AS$1006,0))&gt;=100000), " ",IF(INDEX($AC$2:$AS$1001,MATCH(ROWS($V$2:V435),$V$2:$V$1001,0),MATCH(COLUMNS($AC$1006:AL1006),$AC$1006:$AS$1006,0)), HYPERLINK("#",""), HYPERLINK(CONCATENATE("#Metadata!", ADDRESS(INDEX($X$2:$X$1001,MATCH(ROWS($V$2:V435),$V$2:$V$1001,0),0), INDEX($AC$1004:$AS$1004,1,MATCH(COLUMNS($AC$1006:AL1006),$AC$1006:$AS$1006,0)))),"Fix")))</f>
        <v>0</v>
      </c>
      <c r="L435" s="5">
        <f>IF(OR(INDEX($W$2:$W$1001,MATCH(ROWS($V$2:V435),$V$2:$V$1001,0),1)&gt;=100000,INDEX($AC$1005:$AS$1005,1,MATCH(COLUMNS($AC$1006:AM1006),$AC$1006:$AS$1006,0))&gt;=100000), " ",IF(INDEX($AC$2:$AS$1001,MATCH(ROWS($V$2:V435),$V$2:$V$1001,0),MATCH(COLUMNS($AC$1006:AM1006),$AC$1006:$AS$1006,0)), HYPERLINK("#",""), HYPERLINK(CONCATENATE("#Metadata!", ADDRESS(INDEX($X$2:$X$1001,MATCH(ROWS($V$2:V435),$V$2:$V$1001,0),0), INDEX($AC$1004:$AS$1004,1,MATCH(COLUMNS($AC$1006:AM1006),$AC$1006:$AS$1006,0)))),"Fix")))</f>
        <v>0</v>
      </c>
      <c r="M435" s="5">
        <f>IF(OR(INDEX($W$2:$W$1001,MATCH(ROWS($V$2:V435),$V$2:$V$1001,0),1)&gt;=100000,INDEX($AC$1005:$AS$1005,1,MATCH(COLUMNS($AC$1006:AN1006),$AC$1006:$AS$1006,0))&gt;=100000), " ",IF(INDEX($AC$2:$AS$1001,MATCH(ROWS($V$2:V435),$V$2:$V$1001,0),MATCH(COLUMNS($AC$1006:AN1006),$AC$1006:$AS$1006,0)), HYPERLINK("#",""), HYPERLINK(CONCATENATE("#Metadata!", ADDRESS(INDEX($X$2:$X$1001,MATCH(ROWS($V$2:V435),$V$2:$V$1001,0),0), INDEX($AC$1004:$AS$1004,1,MATCH(COLUMNS($AC$1006:AN1006),$AC$1006:$AS$1006,0)))),"Fix")))</f>
        <v>0</v>
      </c>
      <c r="N435" s="5">
        <f>IF(OR(INDEX($W$2:$W$1001,MATCH(ROWS($V$2:V435),$V$2:$V$1001,0),1)&gt;=100000,INDEX($AC$1005:$AS$1005,1,MATCH(COLUMNS($AC$1006:AO1006),$AC$1006:$AS$1006,0))&gt;=100000), " ",IF(INDEX($AC$2:$AS$1001,MATCH(ROWS($V$2:V435),$V$2:$V$1001,0),MATCH(COLUMNS($AC$1006:AO1006),$AC$1006:$AS$1006,0)), HYPERLINK("#",""), HYPERLINK(CONCATENATE("#Metadata!", ADDRESS(INDEX($X$2:$X$1001,MATCH(ROWS($V$2:V435),$V$2:$V$1001,0),0), INDEX($AC$1004:$AS$1004,1,MATCH(COLUMNS($AC$1006:AO1006),$AC$1006:$AS$1006,0)))),"Fix")))</f>
        <v>0</v>
      </c>
      <c r="O435" s="5">
        <f>IF(OR(INDEX($W$2:$W$1001,MATCH(ROWS($V$2:V435),$V$2:$V$1001,0),1)&gt;=100000,INDEX($AC$1005:$AS$1005,1,MATCH(COLUMNS($AC$1006:AP1006),$AC$1006:$AS$1006,0))&gt;=100000), " ",IF(INDEX($AC$2:$AS$1001,MATCH(ROWS($V$2:V435),$V$2:$V$1001,0),MATCH(COLUMNS($AC$1006:AP1006),$AC$1006:$AS$1006,0)), HYPERLINK("#",""), HYPERLINK(CONCATENATE("#Metadata!", ADDRESS(INDEX($X$2:$X$1001,MATCH(ROWS($V$2:V435),$V$2:$V$1001,0),0), INDEX($AC$1004:$AS$1004,1,MATCH(COLUMNS($AC$1006:AP1006),$AC$1006:$AS$1006,0)))),"Fix")))</f>
        <v>0</v>
      </c>
      <c r="P435" s="5">
        <f>IF(OR(INDEX($W$2:$W$1001,MATCH(ROWS($V$2:V435),$V$2:$V$1001,0),1)&gt;=100000,INDEX($AC$1005:$AS$1005,1,MATCH(COLUMNS($AC$1006:AQ1006),$AC$1006:$AS$1006,0))&gt;=100000), " ",IF(INDEX($AC$2:$AS$1001,MATCH(ROWS($V$2:V435),$V$2:$V$1001,0),MATCH(COLUMNS($AC$1006:AQ1006),$AC$1006:$AS$1006,0)), HYPERLINK("#",""), HYPERLINK(CONCATENATE("#Metadata!", ADDRESS(INDEX($X$2:$X$1001,MATCH(ROWS($V$2:V435),$V$2:$V$1001,0),0), INDEX($AC$1004:$AS$1004,1,MATCH(COLUMNS($AC$1006:AQ1006),$AC$1006:$AS$1006,0)))),"Fix")))</f>
        <v>0</v>
      </c>
      <c r="Q435" s="5">
        <f>IF(OR(INDEX($W$2:$W$1001,MATCH(ROWS($V$2:V435),$V$2:$V$1001,0),1)&gt;=100000,INDEX($AC$1005:$AS$1005,1,MATCH(COLUMNS($AC$1006:AR1006),$AC$1006:$AS$1006,0))&gt;=100000), " ",IF(INDEX($AC$2:$AS$1001,MATCH(ROWS($V$2:V435),$V$2:$V$1001,0),MATCH(COLUMNS($AC$1006:AR1006),$AC$1006:$AS$1006,0)), HYPERLINK("#",""), HYPERLINK(CONCATENATE("#Metadata!", ADDRESS(INDEX($X$2:$X$1001,MATCH(ROWS($V$2:V435),$V$2:$V$1001,0),0), INDEX($AC$1004:$AS$1004,1,MATCH(COLUMNS($AC$1006:AR1006),$AC$1006:$AS$1006,0)))),"Fix")))</f>
        <v>0</v>
      </c>
      <c r="R435" s="5">
        <f>IF(OR(INDEX($W$2:$W$1001,MATCH(ROWS($V$2:V435),$V$2:$V$1001,0),1)&gt;=100000,INDEX($AC$1005:$AS$1005,1,MATCH(COLUMNS($AC$1006:AS1006),$AC$1006:$AS$1006,0))&gt;=100000), " ",IF(INDEX($AC$2:$AS$1001,MATCH(ROWS($V$2:V435),$V$2:$V$1001,0),MATCH(COLUMNS($AC$1006:AS1006),$AC$1006:$AS$1006,0)), HYPERLINK("#",""), HYPERLINK(CONCATENATE("#Metadata!", ADDRESS(INDEX($X$2:$X$1001,MATCH(ROWS($V$2:V435),$V$2:$V$1001,0),0), INDEX($AC$1004:$AS$1004,1,MATCH(COLUMNS($AC$1006:AS1006),$AC$1006:$AS$1006,0)))),"Fix")))</f>
        <v>0</v>
      </c>
      <c r="V435">
        <v>0</v>
      </c>
      <c r="W435">
        <v>0</v>
      </c>
      <c r="X435">
        <v>0</v>
      </c>
      <c r="Y435">
        <f>IF(Z435,TRUE,AND(AC435:AS435))</f>
        <v>0</v>
      </c>
      <c r="Z435">
        <f>COUNTBLANK(Metadata!B435:R435)=COLUMNS(Metadata!B435:R435)</f>
        <v>0</v>
      </c>
      <c r="AA435">
        <v>0</v>
      </c>
      <c r="AC435">
        <f>AND(IF(Metadata!B435="",FALSE,TRUE),COUNTIF(Metadata!B:B, Metadata!B435) = 1,NOT(ISERROR(SUMPRODUCT(SEARCH(MID(Metadata!B435,ROW(INDIRECT("1:"&amp;LEN(Metadata!B435))), 1),"0123456789abcdefghijklmnopqrstuvwxyzABCDEFGHIJKLMNOPQRSTUVWXYZ.")))))</f>
        <v>0</v>
      </c>
      <c r="AD435">
        <f>AND(IF(Metadata!C435="",FALSE,TRUE),exact(Metadata!C435,"Host-associated"))</f>
        <v>0</v>
      </c>
      <c r="AE435">
        <f>AND(IF(Metadata!D435="",FALSE,TRUE),OR(exact(Metadata!D435,"Animal"),exact(Metadata!D435,"Fungus"),exact(Metadata!D435,"Plant")))</f>
        <v>0</v>
      </c>
      <c r="AF435">
        <f>AND(IF(Metadata!E435="",FALSE,TRUE),OR(exact(Metadata!E435,"Plant secretion"),exact(Metadata!E435,"Plant rhizosphere"),exact(Metadata!E435,"Plant surface"),exact(Metadata!E435,"Plant corpus"),exact(Metadata!E435,"Fungus surface"),exact(Metadata!E435,"Fungus corpus"),exact(Metadata!E435,"Animal surface"),exact(Metadata!E435,"Animal proximal gut"),exact(Metadata!E435,"Animal corpus"),exact(Metadata!E435,"Animal distal gut"),exact(Metadata!E435,"Animal secretion")))</f>
        <v>0</v>
      </c>
      <c r="AG435">
        <f>OR(AND(IF(Metadata!F435="",FALSE,TRUE),OR(exact(Metadata!F435,"not collected"),exact(Metadata!F435,"not provided"),exact(Metadata!F435,"restricted access"))),AND(IF(Metadata!F435="",FALSE,TRUE),OR(exact(Metadata!F435,"organism-associated habitat"),exact(Metadata!F435,"plant-associated habitat"),exact(Metadata!F435,"animal-associated habitat"),exact(Metadata!F435,"insecta-associated habitat"),exact(Metadata!F435,"mammalia-associated habitat"),exact(Metadata!F435,"human-associated habitat"),exact(Metadata!F435,"livestock-associated habitat"))))</f>
        <v>0</v>
      </c>
      <c r="AH435">
        <f>AND(IF(Metadata!G435="",FALSE,TRUE),exact(Metadata!G435,"host-associated"))</f>
        <v>0</v>
      </c>
      <c r="AI435">
        <f>OR(AND(IF(Metadata!H435="",FALSE,TRUE),OR(exact(Metadata!H435,"not collected"),exact(Metadata!H435,"not provided"))),AND(IF(Metadata!H435="",FALSE,ISNUMBER(VALUE(Metadata!H435))),Metadata!H435&gt;0))</f>
        <v>0</v>
      </c>
      <c r="AJ435">
        <f>AND(IF(Metadata!I435="",FALSE,TRUE),exact(Metadata!I435,"years"))</f>
        <v>0</v>
      </c>
      <c r="AK435">
        <f>IF(Metadata!J435="",FALSE,TRUE)</f>
        <v>0</v>
      </c>
      <c r="AL435">
        <f>OR(AND(IF(Metadata!K435="",FALSE,TRUE),OR(exact(Metadata!K435,"not collected"),exact(Metadata!K435,"not provided"))),AND(IF(Metadata!K435="",FALSE,ISNUMBER(VALUE(Metadata!K435))),Metadata!K435&gt;0))</f>
        <v>0</v>
      </c>
      <c r="AM435">
        <f>AND(IF(Metadata!L435="",FALSE,TRUE),exact(Metadata!L435,"cm"))</f>
        <v>0</v>
      </c>
      <c r="AN435">
        <f>IF(Metadata!M435="",FALSE,TRUE)</f>
        <v>0</v>
      </c>
      <c r="AO435">
        <f>OR(AND(IF(Metadata!N435="",FALSE,TRUE),OR(exact(Metadata!N435,"not applicable"),exact(Metadata!N435,"not collected"),exact(Metadata!N435,"not provided"))),AND(IF(Metadata!N435="",FALSE,IF(ISERROR(INT(Metadata!N435)),FALSE,INT(Metadata!N435)=Metadata!N435)),Metadata!N435&gt;0))</f>
        <v>0</v>
      </c>
      <c r="AP435">
        <f>OR(AND(IF(Metadata!O435="",FALSE,TRUE),OR(exact(Metadata!O435,"not collected"),exact(Metadata!O435,"not provided"))),AND(IF(Metadata!O435="",FALSE,ISNUMBER(VALUE(Metadata!O435))),Metadata!O435&gt;0))</f>
        <v>0</v>
      </c>
      <c r="AQ435">
        <f>AND(IF(Metadata!P435="",FALSE,TRUE),exact(Metadata!P435,"kg"))</f>
        <v>0</v>
      </c>
      <c r="AR435">
        <f>OR(AND(IF(Metadata!Q435="",FALSE,TRUE),OR(exact(Metadata!Q435,"not applicable"),exact(Metadata!Q435,"not collected"),exact(Metadata!Q435,"not provided"),exact(Metadata!Q435,"restricted access"))),IF(Metadata!Q435="",FALSE,IF(ISERROR(INT(Metadata!Q435)),FALSE,INT(Metadata!Q435)=Metadata!Q435)))</f>
        <v>0</v>
      </c>
      <c r="AS435">
        <f>AND(IF(Metadata!R435="",FALSE,TRUE),exact(Metadata!R435,"Not applicable"))</f>
        <v>0</v>
      </c>
    </row>
    <row r="436" spans="1:45">
      <c r="A436" s="4">
        <f>IF(B436=" "," ",HYPERLINK(CONCATENATE("#metadata!",ADDRESS(INDEX($X$2:$X$1001,MATCH(ROWS($V$2:V436),$V$2:$V$1001,0),0),2)),INDEX($AA$2:$AA$1001,MATCH(ROWS($V$2:V436),$V$2:$V$1001,0),0)))</f>
        <v>0</v>
      </c>
      <c r="B436" s="5">
        <f>IF(OR(INDEX($W$2:$W$1001,MATCH(ROWS($V$2:V436),$V$2:$V$1001,0),1)&gt;=100000,INDEX($AC$1005:$AS$1005,1,MATCH(COLUMNS($AC$1006:AC1006),$AC$1006:$AS$1006,0))&gt;=100000), " ",IF(INDEX($AC$2:$AS$1001,MATCH(ROWS($V$2:V436),$V$2:$V$1001,0),MATCH(COLUMNS($AC$1006:AC1006),$AC$1006:$AS$1006,0)), HYPERLINK("#",""), HYPERLINK(CONCATENATE("#Metadata!", ADDRESS(INDEX($X$2:$X$1001,MATCH(ROWS($V$2:V436),$V$2:$V$1001,0),0), INDEX($AC$1004:$AS$1004,1,MATCH(COLUMNS($AC$1006:AC1006),$AC$1006:$AS$1006,0)))),"Fix")))</f>
        <v>0</v>
      </c>
      <c r="C436" s="5">
        <f>IF(OR(INDEX($W$2:$W$1001,MATCH(ROWS($V$2:V436),$V$2:$V$1001,0),1)&gt;=100000,INDEX($AC$1005:$AS$1005,1,MATCH(COLUMNS($AC$1006:AD1006),$AC$1006:$AS$1006,0))&gt;=100000), " ",IF(INDEX($AC$2:$AS$1001,MATCH(ROWS($V$2:V436),$V$2:$V$1001,0),MATCH(COLUMNS($AC$1006:AD1006),$AC$1006:$AS$1006,0)), HYPERLINK("#",""), HYPERLINK(CONCATENATE("#Metadata!", ADDRESS(INDEX($X$2:$X$1001,MATCH(ROWS($V$2:V436),$V$2:$V$1001,0),0), INDEX($AC$1004:$AS$1004,1,MATCH(COLUMNS($AC$1006:AD1006),$AC$1006:$AS$1006,0)))),"Fix")))</f>
        <v>0</v>
      </c>
      <c r="D436" s="5">
        <f>IF(OR(INDEX($W$2:$W$1001,MATCH(ROWS($V$2:V436),$V$2:$V$1001,0),1)&gt;=100000,INDEX($AC$1005:$AS$1005,1,MATCH(COLUMNS($AC$1006:AE1006),$AC$1006:$AS$1006,0))&gt;=100000), " ",IF(INDEX($AC$2:$AS$1001,MATCH(ROWS($V$2:V436),$V$2:$V$1001,0),MATCH(COLUMNS($AC$1006:AE1006),$AC$1006:$AS$1006,0)), HYPERLINK("#",""), HYPERLINK(CONCATENATE("#Metadata!", ADDRESS(INDEX($X$2:$X$1001,MATCH(ROWS($V$2:V436),$V$2:$V$1001,0),0), INDEX($AC$1004:$AS$1004,1,MATCH(COLUMNS($AC$1006:AE1006),$AC$1006:$AS$1006,0)))),"Fix")))</f>
        <v>0</v>
      </c>
      <c r="E436" s="5">
        <f>IF(OR(INDEX($W$2:$W$1001,MATCH(ROWS($V$2:V436),$V$2:$V$1001,0),1)&gt;=100000,INDEX($AC$1005:$AS$1005,1,MATCH(COLUMNS($AC$1006:AF1006),$AC$1006:$AS$1006,0))&gt;=100000), " ",IF(INDEX($AC$2:$AS$1001,MATCH(ROWS($V$2:V436),$V$2:$V$1001,0),MATCH(COLUMNS($AC$1006:AF1006),$AC$1006:$AS$1006,0)), HYPERLINK("#",""), HYPERLINK(CONCATENATE("#Metadata!", ADDRESS(INDEX($X$2:$X$1001,MATCH(ROWS($V$2:V436),$V$2:$V$1001,0),0), INDEX($AC$1004:$AS$1004,1,MATCH(COLUMNS($AC$1006:AF1006),$AC$1006:$AS$1006,0)))),"Fix")))</f>
        <v>0</v>
      </c>
      <c r="F436" s="5">
        <f>IF(OR(INDEX($W$2:$W$1001,MATCH(ROWS($V$2:V436),$V$2:$V$1001,0),1)&gt;=100000,INDEX($AC$1005:$AS$1005,1,MATCH(COLUMNS($AC$1006:AG1006),$AC$1006:$AS$1006,0))&gt;=100000), " ",IF(INDEX($AC$2:$AS$1001,MATCH(ROWS($V$2:V436),$V$2:$V$1001,0),MATCH(COLUMNS($AC$1006:AG1006),$AC$1006:$AS$1006,0)), HYPERLINK("#",""), HYPERLINK(CONCATENATE("#Metadata!", ADDRESS(INDEX($X$2:$X$1001,MATCH(ROWS($V$2:V436),$V$2:$V$1001,0),0), INDEX($AC$1004:$AS$1004,1,MATCH(COLUMNS($AC$1006:AG1006),$AC$1006:$AS$1006,0)))),"Fix")))</f>
        <v>0</v>
      </c>
      <c r="G436" s="5">
        <f>IF(OR(INDEX($W$2:$W$1001,MATCH(ROWS($V$2:V436),$V$2:$V$1001,0),1)&gt;=100000,INDEX($AC$1005:$AS$1005,1,MATCH(COLUMNS($AC$1006:AH1006),$AC$1006:$AS$1006,0))&gt;=100000), " ",IF(INDEX($AC$2:$AS$1001,MATCH(ROWS($V$2:V436),$V$2:$V$1001,0),MATCH(COLUMNS($AC$1006:AH1006),$AC$1006:$AS$1006,0)), HYPERLINK("#",""), HYPERLINK(CONCATENATE("#Metadata!", ADDRESS(INDEX($X$2:$X$1001,MATCH(ROWS($V$2:V436),$V$2:$V$1001,0),0), INDEX($AC$1004:$AS$1004,1,MATCH(COLUMNS($AC$1006:AH1006),$AC$1006:$AS$1006,0)))),"Fix")))</f>
        <v>0</v>
      </c>
      <c r="H436" s="5">
        <f>IF(OR(INDEX($W$2:$W$1001,MATCH(ROWS($V$2:V436),$V$2:$V$1001,0),1)&gt;=100000,INDEX($AC$1005:$AS$1005,1,MATCH(COLUMNS($AC$1006:AI1006),$AC$1006:$AS$1006,0))&gt;=100000), " ",IF(INDEX($AC$2:$AS$1001,MATCH(ROWS($V$2:V436),$V$2:$V$1001,0),MATCH(COLUMNS($AC$1006:AI1006),$AC$1006:$AS$1006,0)), HYPERLINK("#",""), HYPERLINK(CONCATENATE("#Metadata!", ADDRESS(INDEX($X$2:$X$1001,MATCH(ROWS($V$2:V436),$V$2:$V$1001,0),0), INDEX($AC$1004:$AS$1004,1,MATCH(COLUMNS($AC$1006:AI1006),$AC$1006:$AS$1006,0)))),"Fix")))</f>
        <v>0</v>
      </c>
      <c r="I436" s="5">
        <f>IF(OR(INDEX($W$2:$W$1001,MATCH(ROWS($V$2:V436),$V$2:$V$1001,0),1)&gt;=100000,INDEX($AC$1005:$AS$1005,1,MATCH(COLUMNS($AC$1006:AJ1006),$AC$1006:$AS$1006,0))&gt;=100000), " ",IF(INDEX($AC$2:$AS$1001,MATCH(ROWS($V$2:V436),$V$2:$V$1001,0),MATCH(COLUMNS($AC$1006:AJ1006),$AC$1006:$AS$1006,0)), HYPERLINK("#",""), HYPERLINK(CONCATENATE("#Metadata!", ADDRESS(INDEX($X$2:$X$1001,MATCH(ROWS($V$2:V436),$V$2:$V$1001,0),0), INDEX($AC$1004:$AS$1004,1,MATCH(COLUMNS($AC$1006:AJ1006),$AC$1006:$AS$1006,0)))),"Fix")))</f>
        <v>0</v>
      </c>
      <c r="J436" s="5">
        <f>IF(OR(INDEX($W$2:$W$1001,MATCH(ROWS($V$2:V436),$V$2:$V$1001,0),1)&gt;=100000,INDEX($AC$1005:$AS$1005,1,MATCH(COLUMNS($AC$1006:AK1006),$AC$1006:$AS$1006,0))&gt;=100000), " ",IF(INDEX($AC$2:$AS$1001,MATCH(ROWS($V$2:V436),$V$2:$V$1001,0),MATCH(COLUMNS($AC$1006:AK1006),$AC$1006:$AS$1006,0)), HYPERLINK("#",""), HYPERLINK(CONCATENATE("#Metadata!", ADDRESS(INDEX($X$2:$X$1001,MATCH(ROWS($V$2:V436),$V$2:$V$1001,0),0), INDEX($AC$1004:$AS$1004,1,MATCH(COLUMNS($AC$1006:AK1006),$AC$1006:$AS$1006,0)))),"Fix")))</f>
        <v>0</v>
      </c>
      <c r="K436" s="5">
        <f>IF(OR(INDEX($W$2:$W$1001,MATCH(ROWS($V$2:V436),$V$2:$V$1001,0),1)&gt;=100000,INDEX($AC$1005:$AS$1005,1,MATCH(COLUMNS($AC$1006:AL1006),$AC$1006:$AS$1006,0))&gt;=100000), " ",IF(INDEX($AC$2:$AS$1001,MATCH(ROWS($V$2:V436),$V$2:$V$1001,0),MATCH(COLUMNS($AC$1006:AL1006),$AC$1006:$AS$1006,0)), HYPERLINK("#",""), HYPERLINK(CONCATENATE("#Metadata!", ADDRESS(INDEX($X$2:$X$1001,MATCH(ROWS($V$2:V436),$V$2:$V$1001,0),0), INDEX($AC$1004:$AS$1004,1,MATCH(COLUMNS($AC$1006:AL1006),$AC$1006:$AS$1006,0)))),"Fix")))</f>
        <v>0</v>
      </c>
      <c r="L436" s="5">
        <f>IF(OR(INDEX($W$2:$W$1001,MATCH(ROWS($V$2:V436),$V$2:$V$1001,0),1)&gt;=100000,INDEX($AC$1005:$AS$1005,1,MATCH(COLUMNS($AC$1006:AM1006),$AC$1006:$AS$1006,0))&gt;=100000), " ",IF(INDEX($AC$2:$AS$1001,MATCH(ROWS($V$2:V436),$V$2:$V$1001,0),MATCH(COLUMNS($AC$1006:AM1006),$AC$1006:$AS$1006,0)), HYPERLINK("#",""), HYPERLINK(CONCATENATE("#Metadata!", ADDRESS(INDEX($X$2:$X$1001,MATCH(ROWS($V$2:V436),$V$2:$V$1001,0),0), INDEX($AC$1004:$AS$1004,1,MATCH(COLUMNS($AC$1006:AM1006),$AC$1006:$AS$1006,0)))),"Fix")))</f>
        <v>0</v>
      </c>
      <c r="M436" s="5">
        <f>IF(OR(INDEX($W$2:$W$1001,MATCH(ROWS($V$2:V436),$V$2:$V$1001,0),1)&gt;=100000,INDEX($AC$1005:$AS$1005,1,MATCH(COLUMNS($AC$1006:AN1006),$AC$1006:$AS$1006,0))&gt;=100000), " ",IF(INDEX($AC$2:$AS$1001,MATCH(ROWS($V$2:V436),$V$2:$V$1001,0),MATCH(COLUMNS($AC$1006:AN1006),$AC$1006:$AS$1006,0)), HYPERLINK("#",""), HYPERLINK(CONCATENATE("#Metadata!", ADDRESS(INDEX($X$2:$X$1001,MATCH(ROWS($V$2:V436),$V$2:$V$1001,0),0), INDEX($AC$1004:$AS$1004,1,MATCH(COLUMNS($AC$1006:AN1006),$AC$1006:$AS$1006,0)))),"Fix")))</f>
        <v>0</v>
      </c>
      <c r="N436" s="5">
        <f>IF(OR(INDEX($W$2:$W$1001,MATCH(ROWS($V$2:V436),$V$2:$V$1001,0),1)&gt;=100000,INDEX($AC$1005:$AS$1005,1,MATCH(COLUMNS($AC$1006:AO1006),$AC$1006:$AS$1006,0))&gt;=100000), " ",IF(INDEX($AC$2:$AS$1001,MATCH(ROWS($V$2:V436),$V$2:$V$1001,0),MATCH(COLUMNS($AC$1006:AO1006),$AC$1006:$AS$1006,0)), HYPERLINK("#",""), HYPERLINK(CONCATENATE("#Metadata!", ADDRESS(INDEX($X$2:$X$1001,MATCH(ROWS($V$2:V436),$V$2:$V$1001,0),0), INDEX($AC$1004:$AS$1004,1,MATCH(COLUMNS($AC$1006:AO1006),$AC$1006:$AS$1006,0)))),"Fix")))</f>
        <v>0</v>
      </c>
      <c r="O436" s="5">
        <f>IF(OR(INDEX($W$2:$W$1001,MATCH(ROWS($V$2:V436),$V$2:$V$1001,0),1)&gt;=100000,INDEX($AC$1005:$AS$1005,1,MATCH(COLUMNS($AC$1006:AP1006),$AC$1006:$AS$1006,0))&gt;=100000), " ",IF(INDEX($AC$2:$AS$1001,MATCH(ROWS($V$2:V436),$V$2:$V$1001,0),MATCH(COLUMNS($AC$1006:AP1006),$AC$1006:$AS$1006,0)), HYPERLINK("#",""), HYPERLINK(CONCATENATE("#Metadata!", ADDRESS(INDEX($X$2:$X$1001,MATCH(ROWS($V$2:V436),$V$2:$V$1001,0),0), INDEX($AC$1004:$AS$1004,1,MATCH(COLUMNS($AC$1006:AP1006),$AC$1006:$AS$1006,0)))),"Fix")))</f>
        <v>0</v>
      </c>
      <c r="P436" s="5">
        <f>IF(OR(INDEX($W$2:$W$1001,MATCH(ROWS($V$2:V436),$V$2:$V$1001,0),1)&gt;=100000,INDEX($AC$1005:$AS$1005,1,MATCH(COLUMNS($AC$1006:AQ1006),$AC$1006:$AS$1006,0))&gt;=100000), " ",IF(INDEX($AC$2:$AS$1001,MATCH(ROWS($V$2:V436),$V$2:$V$1001,0),MATCH(COLUMNS($AC$1006:AQ1006),$AC$1006:$AS$1006,0)), HYPERLINK("#",""), HYPERLINK(CONCATENATE("#Metadata!", ADDRESS(INDEX($X$2:$X$1001,MATCH(ROWS($V$2:V436),$V$2:$V$1001,0),0), INDEX($AC$1004:$AS$1004,1,MATCH(COLUMNS($AC$1006:AQ1006),$AC$1006:$AS$1006,0)))),"Fix")))</f>
        <v>0</v>
      </c>
      <c r="Q436" s="5">
        <f>IF(OR(INDEX($W$2:$W$1001,MATCH(ROWS($V$2:V436),$V$2:$V$1001,0),1)&gt;=100000,INDEX($AC$1005:$AS$1005,1,MATCH(COLUMNS($AC$1006:AR1006),$AC$1006:$AS$1006,0))&gt;=100000), " ",IF(INDEX($AC$2:$AS$1001,MATCH(ROWS($V$2:V436),$V$2:$V$1001,0),MATCH(COLUMNS($AC$1006:AR1006),$AC$1006:$AS$1006,0)), HYPERLINK("#",""), HYPERLINK(CONCATENATE("#Metadata!", ADDRESS(INDEX($X$2:$X$1001,MATCH(ROWS($V$2:V436),$V$2:$V$1001,0),0), INDEX($AC$1004:$AS$1004,1,MATCH(COLUMNS($AC$1006:AR1006),$AC$1006:$AS$1006,0)))),"Fix")))</f>
        <v>0</v>
      </c>
      <c r="R436" s="5">
        <f>IF(OR(INDEX($W$2:$W$1001,MATCH(ROWS($V$2:V436),$V$2:$V$1001,0),1)&gt;=100000,INDEX($AC$1005:$AS$1005,1,MATCH(COLUMNS($AC$1006:AS1006),$AC$1006:$AS$1006,0))&gt;=100000), " ",IF(INDEX($AC$2:$AS$1001,MATCH(ROWS($V$2:V436),$V$2:$V$1001,0),MATCH(COLUMNS($AC$1006:AS1006),$AC$1006:$AS$1006,0)), HYPERLINK("#",""), HYPERLINK(CONCATENATE("#Metadata!", ADDRESS(INDEX($X$2:$X$1001,MATCH(ROWS($V$2:V436),$V$2:$V$1001,0),0), INDEX($AC$1004:$AS$1004,1,MATCH(COLUMNS($AC$1006:AS1006),$AC$1006:$AS$1006,0)))),"Fix")))</f>
        <v>0</v>
      </c>
      <c r="V436">
        <v>0</v>
      </c>
      <c r="W436">
        <v>0</v>
      </c>
      <c r="X436">
        <v>0</v>
      </c>
      <c r="Y436">
        <f>IF(Z436,TRUE,AND(AC436:AS436))</f>
        <v>0</v>
      </c>
      <c r="Z436">
        <f>COUNTBLANK(Metadata!B436:R436)=COLUMNS(Metadata!B436:R436)</f>
        <v>0</v>
      </c>
      <c r="AA436">
        <v>0</v>
      </c>
      <c r="AC436">
        <f>AND(IF(Metadata!B436="",FALSE,TRUE),COUNTIF(Metadata!B:B, Metadata!B436) = 1,NOT(ISERROR(SUMPRODUCT(SEARCH(MID(Metadata!B436,ROW(INDIRECT("1:"&amp;LEN(Metadata!B436))), 1),"0123456789abcdefghijklmnopqrstuvwxyzABCDEFGHIJKLMNOPQRSTUVWXYZ.")))))</f>
        <v>0</v>
      </c>
      <c r="AD436">
        <f>AND(IF(Metadata!C436="",FALSE,TRUE),exact(Metadata!C436,"Host-associated"))</f>
        <v>0</v>
      </c>
      <c r="AE436">
        <f>AND(IF(Metadata!D436="",FALSE,TRUE),OR(exact(Metadata!D436,"Animal"),exact(Metadata!D436,"Fungus"),exact(Metadata!D436,"Plant")))</f>
        <v>0</v>
      </c>
      <c r="AF436">
        <f>AND(IF(Metadata!E436="",FALSE,TRUE),OR(exact(Metadata!E436,"Plant secretion"),exact(Metadata!E436,"Plant rhizosphere"),exact(Metadata!E436,"Plant surface"),exact(Metadata!E436,"Plant corpus"),exact(Metadata!E436,"Fungus surface"),exact(Metadata!E436,"Fungus corpus"),exact(Metadata!E436,"Animal surface"),exact(Metadata!E436,"Animal proximal gut"),exact(Metadata!E436,"Animal corpus"),exact(Metadata!E436,"Animal distal gut"),exact(Metadata!E436,"Animal secretion")))</f>
        <v>0</v>
      </c>
      <c r="AG436">
        <f>OR(AND(IF(Metadata!F436="",FALSE,TRUE),OR(exact(Metadata!F436,"not collected"),exact(Metadata!F436,"not provided"),exact(Metadata!F436,"restricted access"))),AND(IF(Metadata!F436="",FALSE,TRUE),OR(exact(Metadata!F436,"organism-associated habitat"),exact(Metadata!F436,"plant-associated habitat"),exact(Metadata!F436,"animal-associated habitat"),exact(Metadata!F436,"insecta-associated habitat"),exact(Metadata!F436,"mammalia-associated habitat"),exact(Metadata!F436,"human-associated habitat"),exact(Metadata!F436,"livestock-associated habitat"))))</f>
        <v>0</v>
      </c>
      <c r="AH436">
        <f>AND(IF(Metadata!G436="",FALSE,TRUE),exact(Metadata!G436,"host-associated"))</f>
        <v>0</v>
      </c>
      <c r="AI436">
        <f>OR(AND(IF(Metadata!H436="",FALSE,TRUE),OR(exact(Metadata!H436,"not collected"),exact(Metadata!H436,"not provided"))),AND(IF(Metadata!H436="",FALSE,ISNUMBER(VALUE(Metadata!H436))),Metadata!H436&gt;0))</f>
        <v>0</v>
      </c>
      <c r="AJ436">
        <f>AND(IF(Metadata!I436="",FALSE,TRUE),exact(Metadata!I436,"years"))</f>
        <v>0</v>
      </c>
      <c r="AK436">
        <f>IF(Metadata!J436="",FALSE,TRUE)</f>
        <v>0</v>
      </c>
      <c r="AL436">
        <f>OR(AND(IF(Metadata!K436="",FALSE,TRUE),OR(exact(Metadata!K436,"not collected"),exact(Metadata!K436,"not provided"))),AND(IF(Metadata!K436="",FALSE,ISNUMBER(VALUE(Metadata!K436))),Metadata!K436&gt;0))</f>
        <v>0</v>
      </c>
      <c r="AM436">
        <f>AND(IF(Metadata!L436="",FALSE,TRUE),exact(Metadata!L436,"cm"))</f>
        <v>0</v>
      </c>
      <c r="AN436">
        <f>IF(Metadata!M436="",FALSE,TRUE)</f>
        <v>0</v>
      </c>
      <c r="AO436">
        <f>OR(AND(IF(Metadata!N436="",FALSE,TRUE),OR(exact(Metadata!N436,"not applicable"),exact(Metadata!N436,"not collected"),exact(Metadata!N436,"not provided"))),AND(IF(Metadata!N436="",FALSE,IF(ISERROR(INT(Metadata!N436)),FALSE,INT(Metadata!N436)=Metadata!N436)),Metadata!N436&gt;0))</f>
        <v>0</v>
      </c>
      <c r="AP436">
        <f>OR(AND(IF(Metadata!O436="",FALSE,TRUE),OR(exact(Metadata!O436,"not collected"),exact(Metadata!O436,"not provided"))),AND(IF(Metadata!O436="",FALSE,ISNUMBER(VALUE(Metadata!O436))),Metadata!O436&gt;0))</f>
        <v>0</v>
      </c>
      <c r="AQ436">
        <f>AND(IF(Metadata!P436="",FALSE,TRUE),exact(Metadata!P436,"kg"))</f>
        <v>0</v>
      </c>
      <c r="AR436">
        <f>OR(AND(IF(Metadata!Q436="",FALSE,TRUE),OR(exact(Metadata!Q436,"not applicable"),exact(Metadata!Q436,"not collected"),exact(Metadata!Q436,"not provided"),exact(Metadata!Q436,"restricted access"))),IF(Metadata!Q436="",FALSE,IF(ISERROR(INT(Metadata!Q436)),FALSE,INT(Metadata!Q436)=Metadata!Q436)))</f>
        <v>0</v>
      </c>
      <c r="AS436">
        <f>AND(IF(Metadata!R436="",FALSE,TRUE),exact(Metadata!R436,"Not applicable"))</f>
        <v>0</v>
      </c>
    </row>
    <row r="437" spans="1:45">
      <c r="A437" s="4">
        <f>IF(B437=" "," ",HYPERLINK(CONCATENATE("#metadata!",ADDRESS(INDEX($X$2:$X$1001,MATCH(ROWS($V$2:V437),$V$2:$V$1001,0),0),2)),INDEX($AA$2:$AA$1001,MATCH(ROWS($V$2:V437),$V$2:$V$1001,0),0)))</f>
        <v>0</v>
      </c>
      <c r="B437" s="5">
        <f>IF(OR(INDEX($W$2:$W$1001,MATCH(ROWS($V$2:V437),$V$2:$V$1001,0),1)&gt;=100000,INDEX($AC$1005:$AS$1005,1,MATCH(COLUMNS($AC$1006:AC1006),$AC$1006:$AS$1006,0))&gt;=100000), " ",IF(INDEX($AC$2:$AS$1001,MATCH(ROWS($V$2:V437),$V$2:$V$1001,0),MATCH(COLUMNS($AC$1006:AC1006),$AC$1006:$AS$1006,0)), HYPERLINK("#",""), HYPERLINK(CONCATENATE("#Metadata!", ADDRESS(INDEX($X$2:$X$1001,MATCH(ROWS($V$2:V437),$V$2:$V$1001,0),0), INDEX($AC$1004:$AS$1004,1,MATCH(COLUMNS($AC$1006:AC1006),$AC$1006:$AS$1006,0)))),"Fix")))</f>
        <v>0</v>
      </c>
      <c r="C437" s="5">
        <f>IF(OR(INDEX($W$2:$W$1001,MATCH(ROWS($V$2:V437),$V$2:$V$1001,0),1)&gt;=100000,INDEX($AC$1005:$AS$1005,1,MATCH(COLUMNS($AC$1006:AD1006),$AC$1006:$AS$1006,0))&gt;=100000), " ",IF(INDEX($AC$2:$AS$1001,MATCH(ROWS($V$2:V437),$V$2:$V$1001,0),MATCH(COLUMNS($AC$1006:AD1006),$AC$1006:$AS$1006,0)), HYPERLINK("#",""), HYPERLINK(CONCATENATE("#Metadata!", ADDRESS(INDEX($X$2:$X$1001,MATCH(ROWS($V$2:V437),$V$2:$V$1001,0),0), INDEX($AC$1004:$AS$1004,1,MATCH(COLUMNS($AC$1006:AD1006),$AC$1006:$AS$1006,0)))),"Fix")))</f>
        <v>0</v>
      </c>
      <c r="D437" s="5">
        <f>IF(OR(INDEX($W$2:$W$1001,MATCH(ROWS($V$2:V437),$V$2:$V$1001,0),1)&gt;=100000,INDEX($AC$1005:$AS$1005,1,MATCH(COLUMNS($AC$1006:AE1006),$AC$1006:$AS$1006,0))&gt;=100000), " ",IF(INDEX($AC$2:$AS$1001,MATCH(ROWS($V$2:V437),$V$2:$V$1001,0),MATCH(COLUMNS($AC$1006:AE1006),$AC$1006:$AS$1006,0)), HYPERLINK("#",""), HYPERLINK(CONCATENATE("#Metadata!", ADDRESS(INDEX($X$2:$X$1001,MATCH(ROWS($V$2:V437),$V$2:$V$1001,0),0), INDEX($AC$1004:$AS$1004,1,MATCH(COLUMNS($AC$1006:AE1006),$AC$1006:$AS$1006,0)))),"Fix")))</f>
        <v>0</v>
      </c>
      <c r="E437" s="5">
        <f>IF(OR(INDEX($W$2:$W$1001,MATCH(ROWS($V$2:V437),$V$2:$V$1001,0),1)&gt;=100000,INDEX($AC$1005:$AS$1005,1,MATCH(COLUMNS($AC$1006:AF1006),$AC$1006:$AS$1006,0))&gt;=100000), " ",IF(INDEX($AC$2:$AS$1001,MATCH(ROWS($V$2:V437),$V$2:$V$1001,0),MATCH(COLUMNS($AC$1006:AF1006),$AC$1006:$AS$1006,0)), HYPERLINK("#",""), HYPERLINK(CONCATENATE("#Metadata!", ADDRESS(INDEX($X$2:$X$1001,MATCH(ROWS($V$2:V437),$V$2:$V$1001,0),0), INDEX($AC$1004:$AS$1004,1,MATCH(COLUMNS($AC$1006:AF1006),$AC$1006:$AS$1006,0)))),"Fix")))</f>
        <v>0</v>
      </c>
      <c r="F437" s="5">
        <f>IF(OR(INDEX($W$2:$W$1001,MATCH(ROWS($V$2:V437),$V$2:$V$1001,0),1)&gt;=100000,INDEX($AC$1005:$AS$1005,1,MATCH(COLUMNS($AC$1006:AG1006),$AC$1006:$AS$1006,0))&gt;=100000), " ",IF(INDEX($AC$2:$AS$1001,MATCH(ROWS($V$2:V437),$V$2:$V$1001,0),MATCH(COLUMNS($AC$1006:AG1006),$AC$1006:$AS$1006,0)), HYPERLINK("#",""), HYPERLINK(CONCATENATE("#Metadata!", ADDRESS(INDEX($X$2:$X$1001,MATCH(ROWS($V$2:V437),$V$2:$V$1001,0),0), INDEX($AC$1004:$AS$1004,1,MATCH(COLUMNS($AC$1006:AG1006),$AC$1006:$AS$1006,0)))),"Fix")))</f>
        <v>0</v>
      </c>
      <c r="G437" s="5">
        <f>IF(OR(INDEX($W$2:$W$1001,MATCH(ROWS($V$2:V437),$V$2:$V$1001,0),1)&gt;=100000,INDEX($AC$1005:$AS$1005,1,MATCH(COLUMNS($AC$1006:AH1006),$AC$1006:$AS$1006,0))&gt;=100000), " ",IF(INDEX($AC$2:$AS$1001,MATCH(ROWS($V$2:V437),$V$2:$V$1001,0),MATCH(COLUMNS($AC$1006:AH1006),$AC$1006:$AS$1006,0)), HYPERLINK("#",""), HYPERLINK(CONCATENATE("#Metadata!", ADDRESS(INDEX($X$2:$X$1001,MATCH(ROWS($V$2:V437),$V$2:$V$1001,0),0), INDEX($AC$1004:$AS$1004,1,MATCH(COLUMNS($AC$1006:AH1006),$AC$1006:$AS$1006,0)))),"Fix")))</f>
        <v>0</v>
      </c>
      <c r="H437" s="5">
        <f>IF(OR(INDEX($W$2:$W$1001,MATCH(ROWS($V$2:V437),$V$2:$V$1001,0),1)&gt;=100000,INDEX($AC$1005:$AS$1005,1,MATCH(COLUMNS($AC$1006:AI1006),$AC$1006:$AS$1006,0))&gt;=100000), " ",IF(INDEX($AC$2:$AS$1001,MATCH(ROWS($V$2:V437),$V$2:$V$1001,0),MATCH(COLUMNS($AC$1006:AI1006),$AC$1006:$AS$1006,0)), HYPERLINK("#",""), HYPERLINK(CONCATENATE("#Metadata!", ADDRESS(INDEX($X$2:$X$1001,MATCH(ROWS($V$2:V437),$V$2:$V$1001,0),0), INDEX($AC$1004:$AS$1004,1,MATCH(COLUMNS($AC$1006:AI1006),$AC$1006:$AS$1006,0)))),"Fix")))</f>
        <v>0</v>
      </c>
      <c r="I437" s="5">
        <f>IF(OR(INDEX($W$2:$W$1001,MATCH(ROWS($V$2:V437),$V$2:$V$1001,0),1)&gt;=100000,INDEX($AC$1005:$AS$1005,1,MATCH(COLUMNS($AC$1006:AJ1006),$AC$1006:$AS$1006,0))&gt;=100000), " ",IF(INDEX($AC$2:$AS$1001,MATCH(ROWS($V$2:V437),$V$2:$V$1001,0),MATCH(COLUMNS($AC$1006:AJ1006),$AC$1006:$AS$1006,0)), HYPERLINK("#",""), HYPERLINK(CONCATENATE("#Metadata!", ADDRESS(INDEX($X$2:$X$1001,MATCH(ROWS($V$2:V437),$V$2:$V$1001,0),0), INDEX($AC$1004:$AS$1004,1,MATCH(COLUMNS($AC$1006:AJ1006),$AC$1006:$AS$1006,0)))),"Fix")))</f>
        <v>0</v>
      </c>
      <c r="J437" s="5">
        <f>IF(OR(INDEX($W$2:$W$1001,MATCH(ROWS($V$2:V437),$V$2:$V$1001,0),1)&gt;=100000,INDEX($AC$1005:$AS$1005,1,MATCH(COLUMNS($AC$1006:AK1006),$AC$1006:$AS$1006,0))&gt;=100000), " ",IF(INDEX($AC$2:$AS$1001,MATCH(ROWS($V$2:V437),$V$2:$V$1001,0),MATCH(COLUMNS($AC$1006:AK1006),$AC$1006:$AS$1006,0)), HYPERLINK("#",""), HYPERLINK(CONCATENATE("#Metadata!", ADDRESS(INDEX($X$2:$X$1001,MATCH(ROWS($V$2:V437),$V$2:$V$1001,0),0), INDEX($AC$1004:$AS$1004,1,MATCH(COLUMNS($AC$1006:AK1006),$AC$1006:$AS$1006,0)))),"Fix")))</f>
        <v>0</v>
      </c>
      <c r="K437" s="5">
        <f>IF(OR(INDEX($W$2:$W$1001,MATCH(ROWS($V$2:V437),$V$2:$V$1001,0),1)&gt;=100000,INDEX($AC$1005:$AS$1005,1,MATCH(COLUMNS($AC$1006:AL1006),$AC$1006:$AS$1006,0))&gt;=100000), " ",IF(INDEX($AC$2:$AS$1001,MATCH(ROWS($V$2:V437),$V$2:$V$1001,0),MATCH(COLUMNS($AC$1006:AL1006),$AC$1006:$AS$1006,0)), HYPERLINK("#",""), HYPERLINK(CONCATENATE("#Metadata!", ADDRESS(INDEX($X$2:$X$1001,MATCH(ROWS($V$2:V437),$V$2:$V$1001,0),0), INDEX($AC$1004:$AS$1004,1,MATCH(COLUMNS($AC$1006:AL1006),$AC$1006:$AS$1006,0)))),"Fix")))</f>
        <v>0</v>
      </c>
      <c r="L437" s="5">
        <f>IF(OR(INDEX($W$2:$W$1001,MATCH(ROWS($V$2:V437),$V$2:$V$1001,0),1)&gt;=100000,INDEX($AC$1005:$AS$1005,1,MATCH(COLUMNS($AC$1006:AM1006),$AC$1006:$AS$1006,0))&gt;=100000), " ",IF(INDEX($AC$2:$AS$1001,MATCH(ROWS($V$2:V437),$V$2:$V$1001,0),MATCH(COLUMNS($AC$1006:AM1006),$AC$1006:$AS$1006,0)), HYPERLINK("#",""), HYPERLINK(CONCATENATE("#Metadata!", ADDRESS(INDEX($X$2:$X$1001,MATCH(ROWS($V$2:V437),$V$2:$V$1001,0),0), INDEX($AC$1004:$AS$1004,1,MATCH(COLUMNS($AC$1006:AM1006),$AC$1006:$AS$1006,0)))),"Fix")))</f>
        <v>0</v>
      </c>
      <c r="M437" s="5">
        <f>IF(OR(INDEX($W$2:$W$1001,MATCH(ROWS($V$2:V437),$V$2:$V$1001,0),1)&gt;=100000,INDEX($AC$1005:$AS$1005,1,MATCH(COLUMNS($AC$1006:AN1006),$AC$1006:$AS$1006,0))&gt;=100000), " ",IF(INDEX($AC$2:$AS$1001,MATCH(ROWS($V$2:V437),$V$2:$V$1001,0),MATCH(COLUMNS($AC$1006:AN1006),$AC$1006:$AS$1006,0)), HYPERLINK("#",""), HYPERLINK(CONCATENATE("#Metadata!", ADDRESS(INDEX($X$2:$X$1001,MATCH(ROWS($V$2:V437),$V$2:$V$1001,0),0), INDEX($AC$1004:$AS$1004,1,MATCH(COLUMNS($AC$1006:AN1006),$AC$1006:$AS$1006,0)))),"Fix")))</f>
        <v>0</v>
      </c>
      <c r="N437" s="5">
        <f>IF(OR(INDEX($W$2:$W$1001,MATCH(ROWS($V$2:V437),$V$2:$V$1001,0),1)&gt;=100000,INDEX($AC$1005:$AS$1005,1,MATCH(COLUMNS($AC$1006:AO1006),$AC$1006:$AS$1006,0))&gt;=100000), " ",IF(INDEX($AC$2:$AS$1001,MATCH(ROWS($V$2:V437),$V$2:$V$1001,0),MATCH(COLUMNS($AC$1006:AO1006),$AC$1006:$AS$1006,0)), HYPERLINK("#",""), HYPERLINK(CONCATENATE("#Metadata!", ADDRESS(INDEX($X$2:$X$1001,MATCH(ROWS($V$2:V437),$V$2:$V$1001,0),0), INDEX($AC$1004:$AS$1004,1,MATCH(COLUMNS($AC$1006:AO1006),$AC$1006:$AS$1006,0)))),"Fix")))</f>
        <v>0</v>
      </c>
      <c r="O437" s="5">
        <f>IF(OR(INDEX($W$2:$W$1001,MATCH(ROWS($V$2:V437),$V$2:$V$1001,0),1)&gt;=100000,INDEX($AC$1005:$AS$1005,1,MATCH(COLUMNS($AC$1006:AP1006),$AC$1006:$AS$1006,0))&gt;=100000), " ",IF(INDEX($AC$2:$AS$1001,MATCH(ROWS($V$2:V437),$V$2:$V$1001,0),MATCH(COLUMNS($AC$1006:AP1006),$AC$1006:$AS$1006,0)), HYPERLINK("#",""), HYPERLINK(CONCATENATE("#Metadata!", ADDRESS(INDEX($X$2:$X$1001,MATCH(ROWS($V$2:V437),$V$2:$V$1001,0),0), INDEX($AC$1004:$AS$1004,1,MATCH(COLUMNS($AC$1006:AP1006),$AC$1006:$AS$1006,0)))),"Fix")))</f>
        <v>0</v>
      </c>
      <c r="P437" s="5">
        <f>IF(OR(INDEX($W$2:$W$1001,MATCH(ROWS($V$2:V437),$V$2:$V$1001,0),1)&gt;=100000,INDEX($AC$1005:$AS$1005,1,MATCH(COLUMNS($AC$1006:AQ1006),$AC$1006:$AS$1006,0))&gt;=100000), " ",IF(INDEX($AC$2:$AS$1001,MATCH(ROWS($V$2:V437),$V$2:$V$1001,0),MATCH(COLUMNS($AC$1006:AQ1006),$AC$1006:$AS$1006,0)), HYPERLINK("#",""), HYPERLINK(CONCATENATE("#Metadata!", ADDRESS(INDEX($X$2:$X$1001,MATCH(ROWS($V$2:V437),$V$2:$V$1001,0),0), INDEX($AC$1004:$AS$1004,1,MATCH(COLUMNS($AC$1006:AQ1006),$AC$1006:$AS$1006,0)))),"Fix")))</f>
        <v>0</v>
      </c>
      <c r="Q437" s="5">
        <f>IF(OR(INDEX($W$2:$W$1001,MATCH(ROWS($V$2:V437),$V$2:$V$1001,0),1)&gt;=100000,INDEX($AC$1005:$AS$1005,1,MATCH(COLUMNS($AC$1006:AR1006),$AC$1006:$AS$1006,0))&gt;=100000), " ",IF(INDEX($AC$2:$AS$1001,MATCH(ROWS($V$2:V437),$V$2:$V$1001,0),MATCH(COLUMNS($AC$1006:AR1006),$AC$1006:$AS$1006,0)), HYPERLINK("#",""), HYPERLINK(CONCATENATE("#Metadata!", ADDRESS(INDEX($X$2:$X$1001,MATCH(ROWS($V$2:V437),$V$2:$V$1001,0),0), INDEX($AC$1004:$AS$1004,1,MATCH(COLUMNS($AC$1006:AR1006),$AC$1006:$AS$1006,0)))),"Fix")))</f>
        <v>0</v>
      </c>
      <c r="R437" s="5">
        <f>IF(OR(INDEX($W$2:$W$1001,MATCH(ROWS($V$2:V437),$V$2:$V$1001,0),1)&gt;=100000,INDEX($AC$1005:$AS$1005,1,MATCH(COLUMNS($AC$1006:AS1006),$AC$1006:$AS$1006,0))&gt;=100000), " ",IF(INDEX($AC$2:$AS$1001,MATCH(ROWS($V$2:V437),$V$2:$V$1001,0),MATCH(COLUMNS($AC$1006:AS1006),$AC$1006:$AS$1006,0)), HYPERLINK("#",""), HYPERLINK(CONCATENATE("#Metadata!", ADDRESS(INDEX($X$2:$X$1001,MATCH(ROWS($V$2:V437),$V$2:$V$1001,0),0), INDEX($AC$1004:$AS$1004,1,MATCH(COLUMNS($AC$1006:AS1006),$AC$1006:$AS$1006,0)))),"Fix")))</f>
        <v>0</v>
      </c>
      <c r="V437">
        <v>0</v>
      </c>
      <c r="W437">
        <v>0</v>
      </c>
      <c r="X437">
        <v>0</v>
      </c>
      <c r="Y437">
        <f>IF(Z437,TRUE,AND(AC437:AS437))</f>
        <v>0</v>
      </c>
      <c r="Z437">
        <f>COUNTBLANK(Metadata!B437:R437)=COLUMNS(Metadata!B437:R437)</f>
        <v>0</v>
      </c>
      <c r="AA437">
        <v>0</v>
      </c>
      <c r="AC437">
        <f>AND(IF(Metadata!B437="",FALSE,TRUE),COUNTIF(Metadata!B:B, Metadata!B437) = 1,NOT(ISERROR(SUMPRODUCT(SEARCH(MID(Metadata!B437,ROW(INDIRECT("1:"&amp;LEN(Metadata!B437))), 1),"0123456789abcdefghijklmnopqrstuvwxyzABCDEFGHIJKLMNOPQRSTUVWXYZ.")))))</f>
        <v>0</v>
      </c>
      <c r="AD437">
        <f>AND(IF(Metadata!C437="",FALSE,TRUE),exact(Metadata!C437,"Host-associated"))</f>
        <v>0</v>
      </c>
      <c r="AE437">
        <f>AND(IF(Metadata!D437="",FALSE,TRUE),OR(exact(Metadata!D437,"Animal"),exact(Metadata!D437,"Fungus"),exact(Metadata!D437,"Plant")))</f>
        <v>0</v>
      </c>
      <c r="AF437">
        <f>AND(IF(Metadata!E437="",FALSE,TRUE),OR(exact(Metadata!E437,"Plant secretion"),exact(Metadata!E437,"Plant rhizosphere"),exact(Metadata!E437,"Plant surface"),exact(Metadata!E437,"Plant corpus"),exact(Metadata!E437,"Fungus surface"),exact(Metadata!E437,"Fungus corpus"),exact(Metadata!E437,"Animal surface"),exact(Metadata!E437,"Animal proximal gut"),exact(Metadata!E437,"Animal corpus"),exact(Metadata!E437,"Animal distal gut"),exact(Metadata!E437,"Animal secretion")))</f>
        <v>0</v>
      </c>
      <c r="AG437">
        <f>OR(AND(IF(Metadata!F437="",FALSE,TRUE),OR(exact(Metadata!F437,"not collected"),exact(Metadata!F437,"not provided"),exact(Metadata!F437,"restricted access"))),AND(IF(Metadata!F437="",FALSE,TRUE),OR(exact(Metadata!F437,"organism-associated habitat"),exact(Metadata!F437,"plant-associated habitat"),exact(Metadata!F437,"animal-associated habitat"),exact(Metadata!F437,"insecta-associated habitat"),exact(Metadata!F437,"mammalia-associated habitat"),exact(Metadata!F437,"human-associated habitat"),exact(Metadata!F437,"livestock-associated habitat"))))</f>
        <v>0</v>
      </c>
      <c r="AH437">
        <f>AND(IF(Metadata!G437="",FALSE,TRUE),exact(Metadata!G437,"host-associated"))</f>
        <v>0</v>
      </c>
      <c r="AI437">
        <f>OR(AND(IF(Metadata!H437="",FALSE,TRUE),OR(exact(Metadata!H437,"not collected"),exact(Metadata!H437,"not provided"))),AND(IF(Metadata!H437="",FALSE,ISNUMBER(VALUE(Metadata!H437))),Metadata!H437&gt;0))</f>
        <v>0</v>
      </c>
      <c r="AJ437">
        <f>AND(IF(Metadata!I437="",FALSE,TRUE),exact(Metadata!I437,"years"))</f>
        <v>0</v>
      </c>
      <c r="AK437">
        <f>IF(Metadata!J437="",FALSE,TRUE)</f>
        <v>0</v>
      </c>
      <c r="AL437">
        <f>OR(AND(IF(Metadata!K437="",FALSE,TRUE),OR(exact(Metadata!K437,"not collected"),exact(Metadata!K437,"not provided"))),AND(IF(Metadata!K437="",FALSE,ISNUMBER(VALUE(Metadata!K437))),Metadata!K437&gt;0))</f>
        <v>0</v>
      </c>
      <c r="AM437">
        <f>AND(IF(Metadata!L437="",FALSE,TRUE),exact(Metadata!L437,"cm"))</f>
        <v>0</v>
      </c>
      <c r="AN437">
        <f>IF(Metadata!M437="",FALSE,TRUE)</f>
        <v>0</v>
      </c>
      <c r="AO437">
        <f>OR(AND(IF(Metadata!N437="",FALSE,TRUE),OR(exact(Metadata!N437,"not applicable"),exact(Metadata!N437,"not collected"),exact(Metadata!N437,"not provided"))),AND(IF(Metadata!N437="",FALSE,IF(ISERROR(INT(Metadata!N437)),FALSE,INT(Metadata!N437)=Metadata!N437)),Metadata!N437&gt;0))</f>
        <v>0</v>
      </c>
      <c r="AP437">
        <f>OR(AND(IF(Metadata!O437="",FALSE,TRUE),OR(exact(Metadata!O437,"not collected"),exact(Metadata!O437,"not provided"))),AND(IF(Metadata!O437="",FALSE,ISNUMBER(VALUE(Metadata!O437))),Metadata!O437&gt;0))</f>
        <v>0</v>
      </c>
      <c r="AQ437">
        <f>AND(IF(Metadata!P437="",FALSE,TRUE),exact(Metadata!P437,"kg"))</f>
        <v>0</v>
      </c>
      <c r="AR437">
        <f>OR(AND(IF(Metadata!Q437="",FALSE,TRUE),OR(exact(Metadata!Q437,"not applicable"),exact(Metadata!Q437,"not collected"),exact(Metadata!Q437,"not provided"),exact(Metadata!Q437,"restricted access"))),IF(Metadata!Q437="",FALSE,IF(ISERROR(INT(Metadata!Q437)),FALSE,INT(Metadata!Q437)=Metadata!Q437)))</f>
        <v>0</v>
      </c>
      <c r="AS437">
        <f>AND(IF(Metadata!R437="",FALSE,TRUE),exact(Metadata!R437,"Not applicable"))</f>
        <v>0</v>
      </c>
    </row>
    <row r="438" spans="1:45">
      <c r="A438" s="4">
        <f>IF(B438=" "," ",HYPERLINK(CONCATENATE("#metadata!",ADDRESS(INDEX($X$2:$X$1001,MATCH(ROWS($V$2:V438),$V$2:$V$1001,0),0),2)),INDEX($AA$2:$AA$1001,MATCH(ROWS($V$2:V438),$V$2:$V$1001,0),0)))</f>
        <v>0</v>
      </c>
      <c r="B438" s="5">
        <f>IF(OR(INDEX($W$2:$W$1001,MATCH(ROWS($V$2:V438),$V$2:$V$1001,0),1)&gt;=100000,INDEX($AC$1005:$AS$1005,1,MATCH(COLUMNS($AC$1006:AC1006),$AC$1006:$AS$1006,0))&gt;=100000), " ",IF(INDEX($AC$2:$AS$1001,MATCH(ROWS($V$2:V438),$V$2:$V$1001,0),MATCH(COLUMNS($AC$1006:AC1006),$AC$1006:$AS$1006,0)), HYPERLINK("#",""), HYPERLINK(CONCATENATE("#Metadata!", ADDRESS(INDEX($X$2:$X$1001,MATCH(ROWS($V$2:V438),$V$2:$V$1001,0),0), INDEX($AC$1004:$AS$1004,1,MATCH(COLUMNS($AC$1006:AC1006),$AC$1006:$AS$1006,0)))),"Fix")))</f>
        <v>0</v>
      </c>
      <c r="C438" s="5">
        <f>IF(OR(INDEX($W$2:$W$1001,MATCH(ROWS($V$2:V438),$V$2:$V$1001,0),1)&gt;=100000,INDEX($AC$1005:$AS$1005,1,MATCH(COLUMNS($AC$1006:AD1006),$AC$1006:$AS$1006,0))&gt;=100000), " ",IF(INDEX($AC$2:$AS$1001,MATCH(ROWS($V$2:V438),$V$2:$V$1001,0),MATCH(COLUMNS($AC$1006:AD1006),$AC$1006:$AS$1006,0)), HYPERLINK("#",""), HYPERLINK(CONCATENATE("#Metadata!", ADDRESS(INDEX($X$2:$X$1001,MATCH(ROWS($V$2:V438),$V$2:$V$1001,0),0), INDEX($AC$1004:$AS$1004,1,MATCH(COLUMNS($AC$1006:AD1006),$AC$1006:$AS$1006,0)))),"Fix")))</f>
        <v>0</v>
      </c>
      <c r="D438" s="5">
        <f>IF(OR(INDEX($W$2:$W$1001,MATCH(ROWS($V$2:V438),$V$2:$V$1001,0),1)&gt;=100000,INDEX($AC$1005:$AS$1005,1,MATCH(COLUMNS($AC$1006:AE1006),$AC$1006:$AS$1006,0))&gt;=100000), " ",IF(INDEX($AC$2:$AS$1001,MATCH(ROWS($V$2:V438),$V$2:$V$1001,0),MATCH(COLUMNS($AC$1006:AE1006),$AC$1006:$AS$1006,0)), HYPERLINK("#",""), HYPERLINK(CONCATENATE("#Metadata!", ADDRESS(INDEX($X$2:$X$1001,MATCH(ROWS($V$2:V438),$V$2:$V$1001,0),0), INDEX($AC$1004:$AS$1004,1,MATCH(COLUMNS($AC$1006:AE1006),$AC$1006:$AS$1006,0)))),"Fix")))</f>
        <v>0</v>
      </c>
      <c r="E438" s="5">
        <f>IF(OR(INDEX($W$2:$W$1001,MATCH(ROWS($V$2:V438),$V$2:$V$1001,0),1)&gt;=100000,INDEX($AC$1005:$AS$1005,1,MATCH(COLUMNS($AC$1006:AF1006),$AC$1006:$AS$1006,0))&gt;=100000), " ",IF(INDEX($AC$2:$AS$1001,MATCH(ROWS($V$2:V438),$V$2:$V$1001,0),MATCH(COLUMNS($AC$1006:AF1006),$AC$1006:$AS$1006,0)), HYPERLINK("#",""), HYPERLINK(CONCATENATE("#Metadata!", ADDRESS(INDEX($X$2:$X$1001,MATCH(ROWS($V$2:V438),$V$2:$V$1001,0),0), INDEX($AC$1004:$AS$1004,1,MATCH(COLUMNS($AC$1006:AF1006),$AC$1006:$AS$1006,0)))),"Fix")))</f>
        <v>0</v>
      </c>
      <c r="F438" s="5">
        <f>IF(OR(INDEX($W$2:$W$1001,MATCH(ROWS($V$2:V438),$V$2:$V$1001,0),1)&gt;=100000,INDEX($AC$1005:$AS$1005,1,MATCH(COLUMNS($AC$1006:AG1006),$AC$1006:$AS$1006,0))&gt;=100000), " ",IF(INDEX($AC$2:$AS$1001,MATCH(ROWS($V$2:V438),$V$2:$V$1001,0),MATCH(COLUMNS($AC$1006:AG1006),$AC$1006:$AS$1006,0)), HYPERLINK("#",""), HYPERLINK(CONCATENATE("#Metadata!", ADDRESS(INDEX($X$2:$X$1001,MATCH(ROWS($V$2:V438),$V$2:$V$1001,0),0), INDEX($AC$1004:$AS$1004,1,MATCH(COLUMNS($AC$1006:AG1006),$AC$1006:$AS$1006,0)))),"Fix")))</f>
        <v>0</v>
      </c>
      <c r="G438" s="5">
        <f>IF(OR(INDEX($W$2:$W$1001,MATCH(ROWS($V$2:V438),$V$2:$V$1001,0),1)&gt;=100000,INDEX($AC$1005:$AS$1005,1,MATCH(COLUMNS($AC$1006:AH1006),$AC$1006:$AS$1006,0))&gt;=100000), " ",IF(INDEX($AC$2:$AS$1001,MATCH(ROWS($V$2:V438),$V$2:$V$1001,0),MATCH(COLUMNS($AC$1006:AH1006),$AC$1006:$AS$1006,0)), HYPERLINK("#",""), HYPERLINK(CONCATENATE("#Metadata!", ADDRESS(INDEX($X$2:$X$1001,MATCH(ROWS($V$2:V438),$V$2:$V$1001,0),0), INDEX($AC$1004:$AS$1004,1,MATCH(COLUMNS($AC$1006:AH1006),$AC$1006:$AS$1006,0)))),"Fix")))</f>
        <v>0</v>
      </c>
      <c r="H438" s="5">
        <f>IF(OR(INDEX($W$2:$W$1001,MATCH(ROWS($V$2:V438),$V$2:$V$1001,0),1)&gt;=100000,INDEX($AC$1005:$AS$1005,1,MATCH(COLUMNS($AC$1006:AI1006),$AC$1006:$AS$1006,0))&gt;=100000), " ",IF(INDEX($AC$2:$AS$1001,MATCH(ROWS($V$2:V438),$V$2:$V$1001,0),MATCH(COLUMNS($AC$1006:AI1006),$AC$1006:$AS$1006,0)), HYPERLINK("#",""), HYPERLINK(CONCATENATE("#Metadata!", ADDRESS(INDEX($X$2:$X$1001,MATCH(ROWS($V$2:V438),$V$2:$V$1001,0),0), INDEX($AC$1004:$AS$1004,1,MATCH(COLUMNS($AC$1006:AI1006),$AC$1006:$AS$1006,0)))),"Fix")))</f>
        <v>0</v>
      </c>
      <c r="I438" s="5">
        <f>IF(OR(INDEX($W$2:$W$1001,MATCH(ROWS($V$2:V438),$V$2:$V$1001,0),1)&gt;=100000,INDEX($AC$1005:$AS$1005,1,MATCH(COLUMNS($AC$1006:AJ1006),$AC$1006:$AS$1006,0))&gt;=100000), " ",IF(INDEX($AC$2:$AS$1001,MATCH(ROWS($V$2:V438),$V$2:$V$1001,0),MATCH(COLUMNS($AC$1006:AJ1006),$AC$1006:$AS$1006,0)), HYPERLINK("#",""), HYPERLINK(CONCATENATE("#Metadata!", ADDRESS(INDEX($X$2:$X$1001,MATCH(ROWS($V$2:V438),$V$2:$V$1001,0),0), INDEX($AC$1004:$AS$1004,1,MATCH(COLUMNS($AC$1006:AJ1006),$AC$1006:$AS$1006,0)))),"Fix")))</f>
        <v>0</v>
      </c>
      <c r="J438" s="5">
        <f>IF(OR(INDEX($W$2:$W$1001,MATCH(ROWS($V$2:V438),$V$2:$V$1001,0),1)&gt;=100000,INDEX($AC$1005:$AS$1005,1,MATCH(COLUMNS($AC$1006:AK1006),$AC$1006:$AS$1006,0))&gt;=100000), " ",IF(INDEX($AC$2:$AS$1001,MATCH(ROWS($V$2:V438),$V$2:$V$1001,0),MATCH(COLUMNS($AC$1006:AK1006),$AC$1006:$AS$1006,0)), HYPERLINK("#",""), HYPERLINK(CONCATENATE("#Metadata!", ADDRESS(INDEX($X$2:$X$1001,MATCH(ROWS($V$2:V438),$V$2:$V$1001,0),0), INDEX($AC$1004:$AS$1004,1,MATCH(COLUMNS($AC$1006:AK1006),$AC$1006:$AS$1006,0)))),"Fix")))</f>
        <v>0</v>
      </c>
      <c r="K438" s="5">
        <f>IF(OR(INDEX($W$2:$W$1001,MATCH(ROWS($V$2:V438),$V$2:$V$1001,0),1)&gt;=100000,INDEX($AC$1005:$AS$1005,1,MATCH(COLUMNS($AC$1006:AL1006),$AC$1006:$AS$1006,0))&gt;=100000), " ",IF(INDEX($AC$2:$AS$1001,MATCH(ROWS($V$2:V438),$V$2:$V$1001,0),MATCH(COLUMNS($AC$1006:AL1006),$AC$1006:$AS$1006,0)), HYPERLINK("#",""), HYPERLINK(CONCATENATE("#Metadata!", ADDRESS(INDEX($X$2:$X$1001,MATCH(ROWS($V$2:V438),$V$2:$V$1001,0),0), INDEX($AC$1004:$AS$1004,1,MATCH(COLUMNS($AC$1006:AL1006),$AC$1006:$AS$1006,0)))),"Fix")))</f>
        <v>0</v>
      </c>
      <c r="L438" s="5">
        <f>IF(OR(INDEX($W$2:$W$1001,MATCH(ROWS($V$2:V438),$V$2:$V$1001,0),1)&gt;=100000,INDEX($AC$1005:$AS$1005,1,MATCH(COLUMNS($AC$1006:AM1006),$AC$1006:$AS$1006,0))&gt;=100000), " ",IF(INDEX($AC$2:$AS$1001,MATCH(ROWS($V$2:V438),$V$2:$V$1001,0),MATCH(COLUMNS($AC$1006:AM1006),$AC$1006:$AS$1006,0)), HYPERLINK("#",""), HYPERLINK(CONCATENATE("#Metadata!", ADDRESS(INDEX($X$2:$X$1001,MATCH(ROWS($V$2:V438),$V$2:$V$1001,0),0), INDEX($AC$1004:$AS$1004,1,MATCH(COLUMNS($AC$1006:AM1006),$AC$1006:$AS$1006,0)))),"Fix")))</f>
        <v>0</v>
      </c>
      <c r="M438" s="5">
        <f>IF(OR(INDEX($W$2:$W$1001,MATCH(ROWS($V$2:V438),$V$2:$V$1001,0),1)&gt;=100000,INDEX($AC$1005:$AS$1005,1,MATCH(COLUMNS($AC$1006:AN1006),$AC$1006:$AS$1006,0))&gt;=100000), " ",IF(INDEX($AC$2:$AS$1001,MATCH(ROWS($V$2:V438),$V$2:$V$1001,0),MATCH(COLUMNS($AC$1006:AN1006),$AC$1006:$AS$1006,0)), HYPERLINK("#",""), HYPERLINK(CONCATENATE("#Metadata!", ADDRESS(INDEX($X$2:$X$1001,MATCH(ROWS($V$2:V438),$V$2:$V$1001,0),0), INDEX($AC$1004:$AS$1004,1,MATCH(COLUMNS($AC$1006:AN1006),$AC$1006:$AS$1006,0)))),"Fix")))</f>
        <v>0</v>
      </c>
      <c r="N438" s="5">
        <f>IF(OR(INDEX($W$2:$W$1001,MATCH(ROWS($V$2:V438),$V$2:$V$1001,0),1)&gt;=100000,INDEX($AC$1005:$AS$1005,1,MATCH(COLUMNS($AC$1006:AO1006),$AC$1006:$AS$1006,0))&gt;=100000), " ",IF(INDEX($AC$2:$AS$1001,MATCH(ROWS($V$2:V438),$V$2:$V$1001,0),MATCH(COLUMNS($AC$1006:AO1006),$AC$1006:$AS$1006,0)), HYPERLINK("#",""), HYPERLINK(CONCATENATE("#Metadata!", ADDRESS(INDEX($X$2:$X$1001,MATCH(ROWS($V$2:V438),$V$2:$V$1001,0),0), INDEX($AC$1004:$AS$1004,1,MATCH(COLUMNS($AC$1006:AO1006),$AC$1006:$AS$1006,0)))),"Fix")))</f>
        <v>0</v>
      </c>
      <c r="O438" s="5">
        <f>IF(OR(INDEX($W$2:$W$1001,MATCH(ROWS($V$2:V438),$V$2:$V$1001,0),1)&gt;=100000,INDEX($AC$1005:$AS$1005,1,MATCH(COLUMNS($AC$1006:AP1006),$AC$1006:$AS$1006,0))&gt;=100000), " ",IF(INDEX($AC$2:$AS$1001,MATCH(ROWS($V$2:V438),$V$2:$V$1001,0),MATCH(COLUMNS($AC$1006:AP1006),$AC$1006:$AS$1006,0)), HYPERLINK("#",""), HYPERLINK(CONCATENATE("#Metadata!", ADDRESS(INDEX($X$2:$X$1001,MATCH(ROWS($V$2:V438),$V$2:$V$1001,0),0), INDEX($AC$1004:$AS$1004,1,MATCH(COLUMNS($AC$1006:AP1006),$AC$1006:$AS$1006,0)))),"Fix")))</f>
        <v>0</v>
      </c>
      <c r="P438" s="5">
        <f>IF(OR(INDEX($W$2:$W$1001,MATCH(ROWS($V$2:V438),$V$2:$V$1001,0),1)&gt;=100000,INDEX($AC$1005:$AS$1005,1,MATCH(COLUMNS($AC$1006:AQ1006),$AC$1006:$AS$1006,0))&gt;=100000), " ",IF(INDEX($AC$2:$AS$1001,MATCH(ROWS($V$2:V438),$V$2:$V$1001,0),MATCH(COLUMNS($AC$1006:AQ1006),$AC$1006:$AS$1006,0)), HYPERLINK("#",""), HYPERLINK(CONCATENATE("#Metadata!", ADDRESS(INDEX($X$2:$X$1001,MATCH(ROWS($V$2:V438),$V$2:$V$1001,0),0), INDEX($AC$1004:$AS$1004,1,MATCH(COLUMNS($AC$1006:AQ1006),$AC$1006:$AS$1006,0)))),"Fix")))</f>
        <v>0</v>
      </c>
      <c r="Q438" s="5">
        <f>IF(OR(INDEX($W$2:$W$1001,MATCH(ROWS($V$2:V438),$V$2:$V$1001,0),1)&gt;=100000,INDEX($AC$1005:$AS$1005,1,MATCH(COLUMNS($AC$1006:AR1006),$AC$1006:$AS$1006,0))&gt;=100000), " ",IF(INDEX($AC$2:$AS$1001,MATCH(ROWS($V$2:V438),$V$2:$V$1001,0),MATCH(COLUMNS($AC$1006:AR1006),$AC$1006:$AS$1006,0)), HYPERLINK("#",""), HYPERLINK(CONCATENATE("#Metadata!", ADDRESS(INDEX($X$2:$X$1001,MATCH(ROWS($V$2:V438),$V$2:$V$1001,0),0), INDEX($AC$1004:$AS$1004,1,MATCH(COLUMNS($AC$1006:AR1006),$AC$1006:$AS$1006,0)))),"Fix")))</f>
        <v>0</v>
      </c>
      <c r="R438" s="5">
        <f>IF(OR(INDEX($W$2:$W$1001,MATCH(ROWS($V$2:V438),$V$2:$V$1001,0),1)&gt;=100000,INDEX($AC$1005:$AS$1005,1,MATCH(COLUMNS($AC$1006:AS1006),$AC$1006:$AS$1006,0))&gt;=100000), " ",IF(INDEX($AC$2:$AS$1001,MATCH(ROWS($V$2:V438),$V$2:$V$1001,0),MATCH(COLUMNS($AC$1006:AS1006),$AC$1006:$AS$1006,0)), HYPERLINK("#",""), HYPERLINK(CONCATENATE("#Metadata!", ADDRESS(INDEX($X$2:$X$1001,MATCH(ROWS($V$2:V438),$V$2:$V$1001,0),0), INDEX($AC$1004:$AS$1004,1,MATCH(COLUMNS($AC$1006:AS1006),$AC$1006:$AS$1006,0)))),"Fix")))</f>
        <v>0</v>
      </c>
      <c r="V438">
        <v>0</v>
      </c>
      <c r="W438">
        <v>0</v>
      </c>
      <c r="X438">
        <v>0</v>
      </c>
      <c r="Y438">
        <f>IF(Z438,TRUE,AND(AC438:AS438))</f>
        <v>0</v>
      </c>
      <c r="Z438">
        <f>COUNTBLANK(Metadata!B438:R438)=COLUMNS(Metadata!B438:R438)</f>
        <v>0</v>
      </c>
      <c r="AA438">
        <v>0</v>
      </c>
      <c r="AC438">
        <f>AND(IF(Metadata!B438="",FALSE,TRUE),COUNTIF(Metadata!B:B, Metadata!B438) = 1,NOT(ISERROR(SUMPRODUCT(SEARCH(MID(Metadata!B438,ROW(INDIRECT("1:"&amp;LEN(Metadata!B438))), 1),"0123456789abcdefghijklmnopqrstuvwxyzABCDEFGHIJKLMNOPQRSTUVWXYZ.")))))</f>
        <v>0</v>
      </c>
      <c r="AD438">
        <f>AND(IF(Metadata!C438="",FALSE,TRUE),exact(Metadata!C438,"Host-associated"))</f>
        <v>0</v>
      </c>
      <c r="AE438">
        <f>AND(IF(Metadata!D438="",FALSE,TRUE),OR(exact(Metadata!D438,"Animal"),exact(Metadata!D438,"Fungus"),exact(Metadata!D438,"Plant")))</f>
        <v>0</v>
      </c>
      <c r="AF438">
        <f>AND(IF(Metadata!E438="",FALSE,TRUE),OR(exact(Metadata!E438,"Plant secretion"),exact(Metadata!E438,"Plant rhizosphere"),exact(Metadata!E438,"Plant surface"),exact(Metadata!E438,"Plant corpus"),exact(Metadata!E438,"Fungus surface"),exact(Metadata!E438,"Fungus corpus"),exact(Metadata!E438,"Animal surface"),exact(Metadata!E438,"Animal proximal gut"),exact(Metadata!E438,"Animal corpus"),exact(Metadata!E438,"Animal distal gut"),exact(Metadata!E438,"Animal secretion")))</f>
        <v>0</v>
      </c>
      <c r="AG438">
        <f>OR(AND(IF(Metadata!F438="",FALSE,TRUE),OR(exact(Metadata!F438,"not collected"),exact(Metadata!F438,"not provided"),exact(Metadata!F438,"restricted access"))),AND(IF(Metadata!F438="",FALSE,TRUE),OR(exact(Metadata!F438,"organism-associated habitat"),exact(Metadata!F438,"plant-associated habitat"),exact(Metadata!F438,"animal-associated habitat"),exact(Metadata!F438,"insecta-associated habitat"),exact(Metadata!F438,"mammalia-associated habitat"),exact(Metadata!F438,"human-associated habitat"),exact(Metadata!F438,"livestock-associated habitat"))))</f>
        <v>0</v>
      </c>
      <c r="AH438">
        <f>AND(IF(Metadata!G438="",FALSE,TRUE),exact(Metadata!G438,"host-associated"))</f>
        <v>0</v>
      </c>
      <c r="AI438">
        <f>OR(AND(IF(Metadata!H438="",FALSE,TRUE),OR(exact(Metadata!H438,"not collected"),exact(Metadata!H438,"not provided"))),AND(IF(Metadata!H438="",FALSE,ISNUMBER(VALUE(Metadata!H438))),Metadata!H438&gt;0))</f>
        <v>0</v>
      </c>
      <c r="AJ438">
        <f>AND(IF(Metadata!I438="",FALSE,TRUE),exact(Metadata!I438,"years"))</f>
        <v>0</v>
      </c>
      <c r="AK438">
        <f>IF(Metadata!J438="",FALSE,TRUE)</f>
        <v>0</v>
      </c>
      <c r="AL438">
        <f>OR(AND(IF(Metadata!K438="",FALSE,TRUE),OR(exact(Metadata!K438,"not collected"),exact(Metadata!K438,"not provided"))),AND(IF(Metadata!K438="",FALSE,ISNUMBER(VALUE(Metadata!K438))),Metadata!K438&gt;0))</f>
        <v>0</v>
      </c>
      <c r="AM438">
        <f>AND(IF(Metadata!L438="",FALSE,TRUE),exact(Metadata!L438,"cm"))</f>
        <v>0</v>
      </c>
      <c r="AN438">
        <f>IF(Metadata!M438="",FALSE,TRUE)</f>
        <v>0</v>
      </c>
      <c r="AO438">
        <f>OR(AND(IF(Metadata!N438="",FALSE,TRUE),OR(exact(Metadata!N438,"not applicable"),exact(Metadata!N438,"not collected"),exact(Metadata!N438,"not provided"))),AND(IF(Metadata!N438="",FALSE,IF(ISERROR(INT(Metadata!N438)),FALSE,INT(Metadata!N438)=Metadata!N438)),Metadata!N438&gt;0))</f>
        <v>0</v>
      </c>
      <c r="AP438">
        <f>OR(AND(IF(Metadata!O438="",FALSE,TRUE),OR(exact(Metadata!O438,"not collected"),exact(Metadata!O438,"not provided"))),AND(IF(Metadata!O438="",FALSE,ISNUMBER(VALUE(Metadata!O438))),Metadata!O438&gt;0))</f>
        <v>0</v>
      </c>
      <c r="AQ438">
        <f>AND(IF(Metadata!P438="",FALSE,TRUE),exact(Metadata!P438,"kg"))</f>
        <v>0</v>
      </c>
      <c r="AR438">
        <f>OR(AND(IF(Metadata!Q438="",FALSE,TRUE),OR(exact(Metadata!Q438,"not applicable"),exact(Metadata!Q438,"not collected"),exact(Metadata!Q438,"not provided"),exact(Metadata!Q438,"restricted access"))),IF(Metadata!Q438="",FALSE,IF(ISERROR(INT(Metadata!Q438)),FALSE,INT(Metadata!Q438)=Metadata!Q438)))</f>
        <v>0</v>
      </c>
      <c r="AS438">
        <f>AND(IF(Metadata!R438="",FALSE,TRUE),exact(Metadata!R438,"Not applicable"))</f>
        <v>0</v>
      </c>
    </row>
    <row r="439" spans="1:45">
      <c r="A439" s="4">
        <f>IF(B439=" "," ",HYPERLINK(CONCATENATE("#metadata!",ADDRESS(INDEX($X$2:$X$1001,MATCH(ROWS($V$2:V439),$V$2:$V$1001,0),0),2)),INDEX($AA$2:$AA$1001,MATCH(ROWS($V$2:V439),$V$2:$V$1001,0),0)))</f>
        <v>0</v>
      </c>
      <c r="B439" s="5">
        <f>IF(OR(INDEX($W$2:$W$1001,MATCH(ROWS($V$2:V439),$V$2:$V$1001,0),1)&gt;=100000,INDEX($AC$1005:$AS$1005,1,MATCH(COLUMNS($AC$1006:AC1006),$AC$1006:$AS$1006,0))&gt;=100000), " ",IF(INDEX($AC$2:$AS$1001,MATCH(ROWS($V$2:V439),$V$2:$V$1001,0),MATCH(COLUMNS($AC$1006:AC1006),$AC$1006:$AS$1006,0)), HYPERLINK("#",""), HYPERLINK(CONCATENATE("#Metadata!", ADDRESS(INDEX($X$2:$X$1001,MATCH(ROWS($V$2:V439),$V$2:$V$1001,0),0), INDEX($AC$1004:$AS$1004,1,MATCH(COLUMNS($AC$1006:AC1006),$AC$1006:$AS$1006,0)))),"Fix")))</f>
        <v>0</v>
      </c>
      <c r="C439" s="5">
        <f>IF(OR(INDEX($W$2:$W$1001,MATCH(ROWS($V$2:V439),$V$2:$V$1001,0),1)&gt;=100000,INDEX($AC$1005:$AS$1005,1,MATCH(COLUMNS($AC$1006:AD1006),$AC$1006:$AS$1006,0))&gt;=100000), " ",IF(INDEX($AC$2:$AS$1001,MATCH(ROWS($V$2:V439),$V$2:$V$1001,0),MATCH(COLUMNS($AC$1006:AD1006),$AC$1006:$AS$1006,0)), HYPERLINK("#",""), HYPERLINK(CONCATENATE("#Metadata!", ADDRESS(INDEX($X$2:$X$1001,MATCH(ROWS($V$2:V439),$V$2:$V$1001,0),0), INDEX($AC$1004:$AS$1004,1,MATCH(COLUMNS($AC$1006:AD1006),$AC$1006:$AS$1006,0)))),"Fix")))</f>
        <v>0</v>
      </c>
      <c r="D439" s="5">
        <f>IF(OR(INDEX($W$2:$W$1001,MATCH(ROWS($V$2:V439),$V$2:$V$1001,0),1)&gt;=100000,INDEX($AC$1005:$AS$1005,1,MATCH(COLUMNS($AC$1006:AE1006),$AC$1006:$AS$1006,0))&gt;=100000), " ",IF(INDEX($AC$2:$AS$1001,MATCH(ROWS($V$2:V439),$V$2:$V$1001,0),MATCH(COLUMNS($AC$1006:AE1006),$AC$1006:$AS$1006,0)), HYPERLINK("#",""), HYPERLINK(CONCATENATE("#Metadata!", ADDRESS(INDEX($X$2:$X$1001,MATCH(ROWS($V$2:V439),$V$2:$V$1001,0),0), INDEX($AC$1004:$AS$1004,1,MATCH(COLUMNS($AC$1006:AE1006),$AC$1006:$AS$1006,0)))),"Fix")))</f>
        <v>0</v>
      </c>
      <c r="E439" s="5">
        <f>IF(OR(INDEX($W$2:$W$1001,MATCH(ROWS($V$2:V439),$V$2:$V$1001,0),1)&gt;=100000,INDEX($AC$1005:$AS$1005,1,MATCH(COLUMNS($AC$1006:AF1006),$AC$1006:$AS$1006,0))&gt;=100000), " ",IF(INDEX($AC$2:$AS$1001,MATCH(ROWS($V$2:V439),$V$2:$V$1001,0),MATCH(COLUMNS($AC$1006:AF1006),$AC$1006:$AS$1006,0)), HYPERLINK("#",""), HYPERLINK(CONCATENATE("#Metadata!", ADDRESS(INDEX($X$2:$X$1001,MATCH(ROWS($V$2:V439),$V$2:$V$1001,0),0), INDEX($AC$1004:$AS$1004,1,MATCH(COLUMNS($AC$1006:AF1006),$AC$1006:$AS$1006,0)))),"Fix")))</f>
        <v>0</v>
      </c>
      <c r="F439" s="5">
        <f>IF(OR(INDEX($W$2:$W$1001,MATCH(ROWS($V$2:V439),$V$2:$V$1001,0),1)&gt;=100000,INDEX($AC$1005:$AS$1005,1,MATCH(COLUMNS($AC$1006:AG1006),$AC$1006:$AS$1006,0))&gt;=100000), " ",IF(INDEX($AC$2:$AS$1001,MATCH(ROWS($V$2:V439),$V$2:$V$1001,0),MATCH(COLUMNS($AC$1006:AG1006),$AC$1006:$AS$1006,0)), HYPERLINK("#",""), HYPERLINK(CONCATENATE("#Metadata!", ADDRESS(INDEX($X$2:$X$1001,MATCH(ROWS($V$2:V439),$V$2:$V$1001,0),0), INDEX($AC$1004:$AS$1004,1,MATCH(COLUMNS($AC$1006:AG1006),$AC$1006:$AS$1006,0)))),"Fix")))</f>
        <v>0</v>
      </c>
      <c r="G439" s="5">
        <f>IF(OR(INDEX($W$2:$W$1001,MATCH(ROWS($V$2:V439),$V$2:$V$1001,0),1)&gt;=100000,INDEX($AC$1005:$AS$1005,1,MATCH(COLUMNS($AC$1006:AH1006),$AC$1006:$AS$1006,0))&gt;=100000), " ",IF(INDEX($AC$2:$AS$1001,MATCH(ROWS($V$2:V439),$V$2:$V$1001,0),MATCH(COLUMNS($AC$1006:AH1006),$AC$1006:$AS$1006,0)), HYPERLINK("#",""), HYPERLINK(CONCATENATE("#Metadata!", ADDRESS(INDEX($X$2:$X$1001,MATCH(ROWS($V$2:V439),$V$2:$V$1001,0),0), INDEX($AC$1004:$AS$1004,1,MATCH(COLUMNS($AC$1006:AH1006),$AC$1006:$AS$1006,0)))),"Fix")))</f>
        <v>0</v>
      </c>
      <c r="H439" s="5">
        <f>IF(OR(INDEX($W$2:$W$1001,MATCH(ROWS($V$2:V439),$V$2:$V$1001,0),1)&gt;=100000,INDEX($AC$1005:$AS$1005,1,MATCH(COLUMNS($AC$1006:AI1006),$AC$1006:$AS$1006,0))&gt;=100000), " ",IF(INDEX($AC$2:$AS$1001,MATCH(ROWS($V$2:V439),$V$2:$V$1001,0),MATCH(COLUMNS($AC$1006:AI1006),$AC$1006:$AS$1006,0)), HYPERLINK("#",""), HYPERLINK(CONCATENATE("#Metadata!", ADDRESS(INDEX($X$2:$X$1001,MATCH(ROWS($V$2:V439),$V$2:$V$1001,0),0), INDEX($AC$1004:$AS$1004,1,MATCH(COLUMNS($AC$1006:AI1006),$AC$1006:$AS$1006,0)))),"Fix")))</f>
        <v>0</v>
      </c>
      <c r="I439" s="5">
        <f>IF(OR(INDEX($W$2:$W$1001,MATCH(ROWS($V$2:V439),$V$2:$V$1001,0),1)&gt;=100000,INDEX($AC$1005:$AS$1005,1,MATCH(COLUMNS($AC$1006:AJ1006),$AC$1006:$AS$1006,0))&gt;=100000), " ",IF(INDEX($AC$2:$AS$1001,MATCH(ROWS($V$2:V439),$V$2:$V$1001,0),MATCH(COLUMNS($AC$1006:AJ1006),$AC$1006:$AS$1006,0)), HYPERLINK("#",""), HYPERLINK(CONCATENATE("#Metadata!", ADDRESS(INDEX($X$2:$X$1001,MATCH(ROWS($V$2:V439),$V$2:$V$1001,0),0), INDEX($AC$1004:$AS$1004,1,MATCH(COLUMNS($AC$1006:AJ1006),$AC$1006:$AS$1006,0)))),"Fix")))</f>
        <v>0</v>
      </c>
      <c r="J439" s="5">
        <f>IF(OR(INDEX($W$2:$W$1001,MATCH(ROWS($V$2:V439),$V$2:$V$1001,0),1)&gt;=100000,INDEX($AC$1005:$AS$1005,1,MATCH(COLUMNS($AC$1006:AK1006),$AC$1006:$AS$1006,0))&gt;=100000), " ",IF(INDEX($AC$2:$AS$1001,MATCH(ROWS($V$2:V439),$V$2:$V$1001,0),MATCH(COLUMNS($AC$1006:AK1006),$AC$1006:$AS$1006,0)), HYPERLINK("#",""), HYPERLINK(CONCATENATE("#Metadata!", ADDRESS(INDEX($X$2:$X$1001,MATCH(ROWS($V$2:V439),$V$2:$V$1001,0),0), INDEX($AC$1004:$AS$1004,1,MATCH(COLUMNS($AC$1006:AK1006),$AC$1006:$AS$1006,0)))),"Fix")))</f>
        <v>0</v>
      </c>
      <c r="K439" s="5">
        <f>IF(OR(INDEX($W$2:$W$1001,MATCH(ROWS($V$2:V439),$V$2:$V$1001,0),1)&gt;=100000,INDEX($AC$1005:$AS$1005,1,MATCH(COLUMNS($AC$1006:AL1006),$AC$1006:$AS$1006,0))&gt;=100000), " ",IF(INDEX($AC$2:$AS$1001,MATCH(ROWS($V$2:V439),$V$2:$V$1001,0),MATCH(COLUMNS($AC$1006:AL1006),$AC$1006:$AS$1006,0)), HYPERLINK("#",""), HYPERLINK(CONCATENATE("#Metadata!", ADDRESS(INDEX($X$2:$X$1001,MATCH(ROWS($V$2:V439),$V$2:$V$1001,0),0), INDEX($AC$1004:$AS$1004,1,MATCH(COLUMNS($AC$1006:AL1006),$AC$1006:$AS$1006,0)))),"Fix")))</f>
        <v>0</v>
      </c>
      <c r="L439" s="5">
        <f>IF(OR(INDEX($W$2:$W$1001,MATCH(ROWS($V$2:V439),$V$2:$V$1001,0),1)&gt;=100000,INDEX($AC$1005:$AS$1005,1,MATCH(COLUMNS($AC$1006:AM1006),$AC$1006:$AS$1006,0))&gt;=100000), " ",IF(INDEX($AC$2:$AS$1001,MATCH(ROWS($V$2:V439),$V$2:$V$1001,0),MATCH(COLUMNS($AC$1006:AM1006),$AC$1006:$AS$1006,0)), HYPERLINK("#",""), HYPERLINK(CONCATENATE("#Metadata!", ADDRESS(INDEX($X$2:$X$1001,MATCH(ROWS($V$2:V439),$V$2:$V$1001,0),0), INDEX($AC$1004:$AS$1004,1,MATCH(COLUMNS($AC$1006:AM1006),$AC$1006:$AS$1006,0)))),"Fix")))</f>
        <v>0</v>
      </c>
      <c r="M439" s="5">
        <f>IF(OR(INDEX($W$2:$W$1001,MATCH(ROWS($V$2:V439),$V$2:$V$1001,0),1)&gt;=100000,INDEX($AC$1005:$AS$1005,1,MATCH(COLUMNS($AC$1006:AN1006),$AC$1006:$AS$1006,0))&gt;=100000), " ",IF(INDEX($AC$2:$AS$1001,MATCH(ROWS($V$2:V439),$V$2:$V$1001,0),MATCH(COLUMNS($AC$1006:AN1006),$AC$1006:$AS$1006,0)), HYPERLINK("#",""), HYPERLINK(CONCATENATE("#Metadata!", ADDRESS(INDEX($X$2:$X$1001,MATCH(ROWS($V$2:V439),$V$2:$V$1001,0),0), INDEX($AC$1004:$AS$1004,1,MATCH(COLUMNS($AC$1006:AN1006),$AC$1006:$AS$1006,0)))),"Fix")))</f>
        <v>0</v>
      </c>
      <c r="N439" s="5">
        <f>IF(OR(INDEX($W$2:$W$1001,MATCH(ROWS($V$2:V439),$V$2:$V$1001,0),1)&gt;=100000,INDEX($AC$1005:$AS$1005,1,MATCH(COLUMNS($AC$1006:AO1006),$AC$1006:$AS$1006,0))&gt;=100000), " ",IF(INDEX($AC$2:$AS$1001,MATCH(ROWS($V$2:V439),$V$2:$V$1001,0),MATCH(COLUMNS($AC$1006:AO1006),$AC$1006:$AS$1006,0)), HYPERLINK("#",""), HYPERLINK(CONCATENATE("#Metadata!", ADDRESS(INDEX($X$2:$X$1001,MATCH(ROWS($V$2:V439),$V$2:$V$1001,0),0), INDEX($AC$1004:$AS$1004,1,MATCH(COLUMNS($AC$1006:AO1006),$AC$1006:$AS$1006,0)))),"Fix")))</f>
        <v>0</v>
      </c>
      <c r="O439" s="5">
        <f>IF(OR(INDEX($W$2:$W$1001,MATCH(ROWS($V$2:V439),$V$2:$V$1001,0),1)&gt;=100000,INDEX($AC$1005:$AS$1005,1,MATCH(COLUMNS($AC$1006:AP1006),$AC$1006:$AS$1006,0))&gt;=100000), " ",IF(INDEX($AC$2:$AS$1001,MATCH(ROWS($V$2:V439),$V$2:$V$1001,0),MATCH(COLUMNS($AC$1006:AP1006),$AC$1006:$AS$1006,0)), HYPERLINK("#",""), HYPERLINK(CONCATENATE("#Metadata!", ADDRESS(INDEX($X$2:$X$1001,MATCH(ROWS($V$2:V439),$V$2:$V$1001,0),0), INDEX($AC$1004:$AS$1004,1,MATCH(COLUMNS($AC$1006:AP1006),$AC$1006:$AS$1006,0)))),"Fix")))</f>
        <v>0</v>
      </c>
      <c r="P439" s="5">
        <f>IF(OR(INDEX($W$2:$W$1001,MATCH(ROWS($V$2:V439),$V$2:$V$1001,0),1)&gt;=100000,INDEX($AC$1005:$AS$1005,1,MATCH(COLUMNS($AC$1006:AQ1006),$AC$1006:$AS$1006,0))&gt;=100000), " ",IF(INDEX($AC$2:$AS$1001,MATCH(ROWS($V$2:V439),$V$2:$V$1001,0),MATCH(COLUMNS($AC$1006:AQ1006),$AC$1006:$AS$1006,0)), HYPERLINK("#",""), HYPERLINK(CONCATENATE("#Metadata!", ADDRESS(INDEX($X$2:$X$1001,MATCH(ROWS($V$2:V439),$V$2:$V$1001,0),0), INDEX($AC$1004:$AS$1004,1,MATCH(COLUMNS($AC$1006:AQ1006),$AC$1006:$AS$1006,0)))),"Fix")))</f>
        <v>0</v>
      </c>
      <c r="Q439" s="5">
        <f>IF(OR(INDEX($W$2:$W$1001,MATCH(ROWS($V$2:V439),$V$2:$V$1001,0),1)&gt;=100000,INDEX($AC$1005:$AS$1005,1,MATCH(COLUMNS($AC$1006:AR1006),$AC$1006:$AS$1006,0))&gt;=100000), " ",IF(INDEX($AC$2:$AS$1001,MATCH(ROWS($V$2:V439),$V$2:$V$1001,0),MATCH(COLUMNS($AC$1006:AR1006),$AC$1006:$AS$1006,0)), HYPERLINK("#",""), HYPERLINK(CONCATENATE("#Metadata!", ADDRESS(INDEX($X$2:$X$1001,MATCH(ROWS($V$2:V439),$V$2:$V$1001,0),0), INDEX($AC$1004:$AS$1004,1,MATCH(COLUMNS($AC$1006:AR1006),$AC$1006:$AS$1006,0)))),"Fix")))</f>
        <v>0</v>
      </c>
      <c r="R439" s="5">
        <f>IF(OR(INDEX($W$2:$W$1001,MATCH(ROWS($V$2:V439),$V$2:$V$1001,0),1)&gt;=100000,INDEX($AC$1005:$AS$1005,1,MATCH(COLUMNS($AC$1006:AS1006),$AC$1006:$AS$1006,0))&gt;=100000), " ",IF(INDEX($AC$2:$AS$1001,MATCH(ROWS($V$2:V439),$V$2:$V$1001,0),MATCH(COLUMNS($AC$1006:AS1006),$AC$1006:$AS$1006,0)), HYPERLINK("#",""), HYPERLINK(CONCATENATE("#Metadata!", ADDRESS(INDEX($X$2:$X$1001,MATCH(ROWS($V$2:V439),$V$2:$V$1001,0),0), INDEX($AC$1004:$AS$1004,1,MATCH(COLUMNS($AC$1006:AS1006),$AC$1006:$AS$1006,0)))),"Fix")))</f>
        <v>0</v>
      </c>
      <c r="V439">
        <v>0</v>
      </c>
      <c r="W439">
        <v>0</v>
      </c>
      <c r="X439">
        <v>0</v>
      </c>
      <c r="Y439">
        <f>IF(Z439,TRUE,AND(AC439:AS439))</f>
        <v>0</v>
      </c>
      <c r="Z439">
        <f>COUNTBLANK(Metadata!B439:R439)=COLUMNS(Metadata!B439:R439)</f>
        <v>0</v>
      </c>
      <c r="AA439">
        <v>0</v>
      </c>
      <c r="AC439">
        <f>AND(IF(Metadata!B439="",FALSE,TRUE),COUNTIF(Metadata!B:B, Metadata!B439) = 1,NOT(ISERROR(SUMPRODUCT(SEARCH(MID(Metadata!B439,ROW(INDIRECT("1:"&amp;LEN(Metadata!B439))), 1),"0123456789abcdefghijklmnopqrstuvwxyzABCDEFGHIJKLMNOPQRSTUVWXYZ.")))))</f>
        <v>0</v>
      </c>
      <c r="AD439">
        <f>AND(IF(Metadata!C439="",FALSE,TRUE),exact(Metadata!C439,"Host-associated"))</f>
        <v>0</v>
      </c>
      <c r="AE439">
        <f>AND(IF(Metadata!D439="",FALSE,TRUE),OR(exact(Metadata!D439,"Animal"),exact(Metadata!D439,"Fungus"),exact(Metadata!D439,"Plant")))</f>
        <v>0</v>
      </c>
      <c r="AF439">
        <f>AND(IF(Metadata!E439="",FALSE,TRUE),OR(exact(Metadata!E439,"Plant secretion"),exact(Metadata!E439,"Plant rhizosphere"),exact(Metadata!E439,"Plant surface"),exact(Metadata!E439,"Plant corpus"),exact(Metadata!E439,"Fungus surface"),exact(Metadata!E439,"Fungus corpus"),exact(Metadata!E439,"Animal surface"),exact(Metadata!E439,"Animal proximal gut"),exact(Metadata!E439,"Animal corpus"),exact(Metadata!E439,"Animal distal gut"),exact(Metadata!E439,"Animal secretion")))</f>
        <v>0</v>
      </c>
      <c r="AG439">
        <f>OR(AND(IF(Metadata!F439="",FALSE,TRUE),OR(exact(Metadata!F439,"not collected"),exact(Metadata!F439,"not provided"),exact(Metadata!F439,"restricted access"))),AND(IF(Metadata!F439="",FALSE,TRUE),OR(exact(Metadata!F439,"organism-associated habitat"),exact(Metadata!F439,"plant-associated habitat"),exact(Metadata!F439,"animal-associated habitat"),exact(Metadata!F439,"insecta-associated habitat"),exact(Metadata!F439,"mammalia-associated habitat"),exact(Metadata!F439,"human-associated habitat"),exact(Metadata!F439,"livestock-associated habitat"))))</f>
        <v>0</v>
      </c>
      <c r="AH439">
        <f>AND(IF(Metadata!G439="",FALSE,TRUE),exact(Metadata!G439,"host-associated"))</f>
        <v>0</v>
      </c>
      <c r="AI439">
        <f>OR(AND(IF(Metadata!H439="",FALSE,TRUE),OR(exact(Metadata!H439,"not collected"),exact(Metadata!H439,"not provided"))),AND(IF(Metadata!H439="",FALSE,ISNUMBER(VALUE(Metadata!H439))),Metadata!H439&gt;0))</f>
        <v>0</v>
      </c>
      <c r="AJ439">
        <f>AND(IF(Metadata!I439="",FALSE,TRUE),exact(Metadata!I439,"years"))</f>
        <v>0</v>
      </c>
      <c r="AK439">
        <f>IF(Metadata!J439="",FALSE,TRUE)</f>
        <v>0</v>
      </c>
      <c r="AL439">
        <f>OR(AND(IF(Metadata!K439="",FALSE,TRUE),OR(exact(Metadata!K439,"not collected"),exact(Metadata!K439,"not provided"))),AND(IF(Metadata!K439="",FALSE,ISNUMBER(VALUE(Metadata!K439))),Metadata!K439&gt;0))</f>
        <v>0</v>
      </c>
      <c r="AM439">
        <f>AND(IF(Metadata!L439="",FALSE,TRUE),exact(Metadata!L439,"cm"))</f>
        <v>0</v>
      </c>
      <c r="AN439">
        <f>IF(Metadata!M439="",FALSE,TRUE)</f>
        <v>0</v>
      </c>
      <c r="AO439">
        <f>OR(AND(IF(Metadata!N439="",FALSE,TRUE),OR(exact(Metadata!N439,"not applicable"),exact(Metadata!N439,"not collected"),exact(Metadata!N439,"not provided"))),AND(IF(Metadata!N439="",FALSE,IF(ISERROR(INT(Metadata!N439)),FALSE,INT(Metadata!N439)=Metadata!N439)),Metadata!N439&gt;0))</f>
        <v>0</v>
      </c>
      <c r="AP439">
        <f>OR(AND(IF(Metadata!O439="",FALSE,TRUE),OR(exact(Metadata!O439,"not collected"),exact(Metadata!O439,"not provided"))),AND(IF(Metadata!O439="",FALSE,ISNUMBER(VALUE(Metadata!O439))),Metadata!O439&gt;0))</f>
        <v>0</v>
      </c>
      <c r="AQ439">
        <f>AND(IF(Metadata!P439="",FALSE,TRUE),exact(Metadata!P439,"kg"))</f>
        <v>0</v>
      </c>
      <c r="AR439">
        <f>OR(AND(IF(Metadata!Q439="",FALSE,TRUE),OR(exact(Metadata!Q439,"not applicable"),exact(Metadata!Q439,"not collected"),exact(Metadata!Q439,"not provided"),exact(Metadata!Q439,"restricted access"))),IF(Metadata!Q439="",FALSE,IF(ISERROR(INT(Metadata!Q439)),FALSE,INT(Metadata!Q439)=Metadata!Q439)))</f>
        <v>0</v>
      </c>
      <c r="AS439">
        <f>AND(IF(Metadata!R439="",FALSE,TRUE),exact(Metadata!R439,"Not applicable"))</f>
        <v>0</v>
      </c>
    </row>
    <row r="440" spans="1:45">
      <c r="A440" s="4">
        <f>IF(B440=" "," ",HYPERLINK(CONCATENATE("#metadata!",ADDRESS(INDEX($X$2:$X$1001,MATCH(ROWS($V$2:V440),$V$2:$V$1001,0),0),2)),INDEX($AA$2:$AA$1001,MATCH(ROWS($V$2:V440),$V$2:$V$1001,0),0)))</f>
        <v>0</v>
      </c>
      <c r="B440" s="5">
        <f>IF(OR(INDEX($W$2:$W$1001,MATCH(ROWS($V$2:V440),$V$2:$V$1001,0),1)&gt;=100000,INDEX($AC$1005:$AS$1005,1,MATCH(COLUMNS($AC$1006:AC1006),$AC$1006:$AS$1006,0))&gt;=100000), " ",IF(INDEX($AC$2:$AS$1001,MATCH(ROWS($V$2:V440),$V$2:$V$1001,0),MATCH(COLUMNS($AC$1006:AC1006),$AC$1006:$AS$1006,0)), HYPERLINK("#",""), HYPERLINK(CONCATENATE("#Metadata!", ADDRESS(INDEX($X$2:$X$1001,MATCH(ROWS($V$2:V440),$V$2:$V$1001,0),0), INDEX($AC$1004:$AS$1004,1,MATCH(COLUMNS($AC$1006:AC1006),$AC$1006:$AS$1006,0)))),"Fix")))</f>
        <v>0</v>
      </c>
      <c r="C440" s="5">
        <f>IF(OR(INDEX($W$2:$W$1001,MATCH(ROWS($V$2:V440),$V$2:$V$1001,0),1)&gt;=100000,INDEX($AC$1005:$AS$1005,1,MATCH(COLUMNS($AC$1006:AD1006),$AC$1006:$AS$1006,0))&gt;=100000), " ",IF(INDEX($AC$2:$AS$1001,MATCH(ROWS($V$2:V440),$V$2:$V$1001,0),MATCH(COLUMNS($AC$1006:AD1006),$AC$1006:$AS$1006,0)), HYPERLINK("#",""), HYPERLINK(CONCATENATE("#Metadata!", ADDRESS(INDEX($X$2:$X$1001,MATCH(ROWS($V$2:V440),$V$2:$V$1001,0),0), INDEX($AC$1004:$AS$1004,1,MATCH(COLUMNS($AC$1006:AD1006),$AC$1006:$AS$1006,0)))),"Fix")))</f>
        <v>0</v>
      </c>
      <c r="D440" s="5">
        <f>IF(OR(INDEX($W$2:$W$1001,MATCH(ROWS($V$2:V440),$V$2:$V$1001,0),1)&gt;=100000,INDEX($AC$1005:$AS$1005,1,MATCH(COLUMNS($AC$1006:AE1006),$AC$1006:$AS$1006,0))&gt;=100000), " ",IF(INDEX($AC$2:$AS$1001,MATCH(ROWS($V$2:V440),$V$2:$V$1001,0),MATCH(COLUMNS($AC$1006:AE1006),$AC$1006:$AS$1006,0)), HYPERLINK("#",""), HYPERLINK(CONCATENATE("#Metadata!", ADDRESS(INDEX($X$2:$X$1001,MATCH(ROWS($V$2:V440),$V$2:$V$1001,0),0), INDEX($AC$1004:$AS$1004,1,MATCH(COLUMNS($AC$1006:AE1006),$AC$1006:$AS$1006,0)))),"Fix")))</f>
        <v>0</v>
      </c>
      <c r="E440" s="5">
        <f>IF(OR(INDEX($W$2:$W$1001,MATCH(ROWS($V$2:V440),$V$2:$V$1001,0),1)&gt;=100000,INDEX($AC$1005:$AS$1005,1,MATCH(COLUMNS($AC$1006:AF1006),$AC$1006:$AS$1006,0))&gt;=100000), " ",IF(INDEX($AC$2:$AS$1001,MATCH(ROWS($V$2:V440),$V$2:$V$1001,0),MATCH(COLUMNS($AC$1006:AF1006),$AC$1006:$AS$1006,0)), HYPERLINK("#",""), HYPERLINK(CONCATENATE("#Metadata!", ADDRESS(INDEX($X$2:$X$1001,MATCH(ROWS($V$2:V440),$V$2:$V$1001,0),0), INDEX($AC$1004:$AS$1004,1,MATCH(COLUMNS($AC$1006:AF1006),$AC$1006:$AS$1006,0)))),"Fix")))</f>
        <v>0</v>
      </c>
      <c r="F440" s="5">
        <f>IF(OR(INDEX($W$2:$W$1001,MATCH(ROWS($V$2:V440),$V$2:$V$1001,0),1)&gt;=100000,INDEX($AC$1005:$AS$1005,1,MATCH(COLUMNS($AC$1006:AG1006),$AC$1006:$AS$1006,0))&gt;=100000), " ",IF(INDEX($AC$2:$AS$1001,MATCH(ROWS($V$2:V440),$V$2:$V$1001,0),MATCH(COLUMNS($AC$1006:AG1006),$AC$1006:$AS$1006,0)), HYPERLINK("#",""), HYPERLINK(CONCATENATE("#Metadata!", ADDRESS(INDEX($X$2:$X$1001,MATCH(ROWS($V$2:V440),$V$2:$V$1001,0),0), INDEX($AC$1004:$AS$1004,1,MATCH(COLUMNS($AC$1006:AG1006),$AC$1006:$AS$1006,0)))),"Fix")))</f>
        <v>0</v>
      </c>
      <c r="G440" s="5">
        <f>IF(OR(INDEX($W$2:$W$1001,MATCH(ROWS($V$2:V440),$V$2:$V$1001,0),1)&gt;=100000,INDEX($AC$1005:$AS$1005,1,MATCH(COLUMNS($AC$1006:AH1006),$AC$1006:$AS$1006,0))&gt;=100000), " ",IF(INDEX($AC$2:$AS$1001,MATCH(ROWS($V$2:V440),$V$2:$V$1001,0),MATCH(COLUMNS($AC$1006:AH1006),$AC$1006:$AS$1006,0)), HYPERLINK("#",""), HYPERLINK(CONCATENATE("#Metadata!", ADDRESS(INDEX($X$2:$X$1001,MATCH(ROWS($V$2:V440),$V$2:$V$1001,0),0), INDEX($AC$1004:$AS$1004,1,MATCH(COLUMNS($AC$1006:AH1006),$AC$1006:$AS$1006,0)))),"Fix")))</f>
        <v>0</v>
      </c>
      <c r="H440" s="5">
        <f>IF(OR(INDEX($W$2:$W$1001,MATCH(ROWS($V$2:V440),$V$2:$V$1001,0),1)&gt;=100000,INDEX($AC$1005:$AS$1005,1,MATCH(COLUMNS($AC$1006:AI1006),$AC$1006:$AS$1006,0))&gt;=100000), " ",IF(INDEX($AC$2:$AS$1001,MATCH(ROWS($V$2:V440),$V$2:$V$1001,0),MATCH(COLUMNS($AC$1006:AI1006),$AC$1006:$AS$1006,0)), HYPERLINK("#",""), HYPERLINK(CONCATENATE("#Metadata!", ADDRESS(INDEX($X$2:$X$1001,MATCH(ROWS($V$2:V440),$V$2:$V$1001,0),0), INDEX($AC$1004:$AS$1004,1,MATCH(COLUMNS($AC$1006:AI1006),$AC$1006:$AS$1006,0)))),"Fix")))</f>
        <v>0</v>
      </c>
      <c r="I440" s="5">
        <f>IF(OR(INDEX($W$2:$W$1001,MATCH(ROWS($V$2:V440),$V$2:$V$1001,0),1)&gt;=100000,INDEX($AC$1005:$AS$1005,1,MATCH(COLUMNS($AC$1006:AJ1006),$AC$1006:$AS$1006,0))&gt;=100000), " ",IF(INDEX($AC$2:$AS$1001,MATCH(ROWS($V$2:V440),$V$2:$V$1001,0),MATCH(COLUMNS($AC$1006:AJ1006),$AC$1006:$AS$1006,0)), HYPERLINK("#",""), HYPERLINK(CONCATENATE("#Metadata!", ADDRESS(INDEX($X$2:$X$1001,MATCH(ROWS($V$2:V440),$V$2:$V$1001,0),0), INDEX($AC$1004:$AS$1004,1,MATCH(COLUMNS($AC$1006:AJ1006),$AC$1006:$AS$1006,0)))),"Fix")))</f>
        <v>0</v>
      </c>
      <c r="J440" s="5">
        <f>IF(OR(INDEX($W$2:$W$1001,MATCH(ROWS($V$2:V440),$V$2:$V$1001,0),1)&gt;=100000,INDEX($AC$1005:$AS$1005,1,MATCH(COLUMNS($AC$1006:AK1006),$AC$1006:$AS$1006,0))&gt;=100000), " ",IF(INDEX($AC$2:$AS$1001,MATCH(ROWS($V$2:V440),$V$2:$V$1001,0),MATCH(COLUMNS($AC$1006:AK1006),$AC$1006:$AS$1006,0)), HYPERLINK("#",""), HYPERLINK(CONCATENATE("#Metadata!", ADDRESS(INDEX($X$2:$X$1001,MATCH(ROWS($V$2:V440),$V$2:$V$1001,0),0), INDEX($AC$1004:$AS$1004,1,MATCH(COLUMNS($AC$1006:AK1006),$AC$1006:$AS$1006,0)))),"Fix")))</f>
        <v>0</v>
      </c>
      <c r="K440" s="5">
        <f>IF(OR(INDEX($W$2:$W$1001,MATCH(ROWS($V$2:V440),$V$2:$V$1001,0),1)&gt;=100000,INDEX($AC$1005:$AS$1005,1,MATCH(COLUMNS($AC$1006:AL1006),$AC$1006:$AS$1006,0))&gt;=100000), " ",IF(INDEX($AC$2:$AS$1001,MATCH(ROWS($V$2:V440),$V$2:$V$1001,0),MATCH(COLUMNS($AC$1006:AL1006),$AC$1006:$AS$1006,0)), HYPERLINK("#",""), HYPERLINK(CONCATENATE("#Metadata!", ADDRESS(INDEX($X$2:$X$1001,MATCH(ROWS($V$2:V440),$V$2:$V$1001,0),0), INDEX($AC$1004:$AS$1004,1,MATCH(COLUMNS($AC$1006:AL1006),$AC$1006:$AS$1006,0)))),"Fix")))</f>
        <v>0</v>
      </c>
      <c r="L440" s="5">
        <f>IF(OR(INDEX($W$2:$W$1001,MATCH(ROWS($V$2:V440),$V$2:$V$1001,0),1)&gt;=100000,INDEX($AC$1005:$AS$1005,1,MATCH(COLUMNS($AC$1006:AM1006),$AC$1006:$AS$1006,0))&gt;=100000), " ",IF(INDEX($AC$2:$AS$1001,MATCH(ROWS($V$2:V440),$V$2:$V$1001,0),MATCH(COLUMNS($AC$1006:AM1006),$AC$1006:$AS$1006,0)), HYPERLINK("#",""), HYPERLINK(CONCATENATE("#Metadata!", ADDRESS(INDEX($X$2:$X$1001,MATCH(ROWS($V$2:V440),$V$2:$V$1001,0),0), INDEX($AC$1004:$AS$1004,1,MATCH(COLUMNS($AC$1006:AM1006),$AC$1006:$AS$1006,0)))),"Fix")))</f>
        <v>0</v>
      </c>
      <c r="M440" s="5">
        <f>IF(OR(INDEX($W$2:$W$1001,MATCH(ROWS($V$2:V440),$V$2:$V$1001,0),1)&gt;=100000,INDEX($AC$1005:$AS$1005,1,MATCH(COLUMNS($AC$1006:AN1006),$AC$1006:$AS$1006,0))&gt;=100000), " ",IF(INDEX($AC$2:$AS$1001,MATCH(ROWS($V$2:V440),$V$2:$V$1001,0),MATCH(COLUMNS($AC$1006:AN1006),$AC$1006:$AS$1006,0)), HYPERLINK("#",""), HYPERLINK(CONCATENATE("#Metadata!", ADDRESS(INDEX($X$2:$X$1001,MATCH(ROWS($V$2:V440),$V$2:$V$1001,0),0), INDEX($AC$1004:$AS$1004,1,MATCH(COLUMNS($AC$1006:AN1006),$AC$1006:$AS$1006,0)))),"Fix")))</f>
        <v>0</v>
      </c>
      <c r="N440" s="5">
        <f>IF(OR(INDEX($W$2:$W$1001,MATCH(ROWS($V$2:V440),$V$2:$V$1001,0),1)&gt;=100000,INDEX($AC$1005:$AS$1005,1,MATCH(COLUMNS($AC$1006:AO1006),$AC$1006:$AS$1006,0))&gt;=100000), " ",IF(INDEX($AC$2:$AS$1001,MATCH(ROWS($V$2:V440),$V$2:$V$1001,0),MATCH(COLUMNS($AC$1006:AO1006),$AC$1006:$AS$1006,0)), HYPERLINK("#",""), HYPERLINK(CONCATENATE("#Metadata!", ADDRESS(INDEX($X$2:$X$1001,MATCH(ROWS($V$2:V440),$V$2:$V$1001,0),0), INDEX($AC$1004:$AS$1004,1,MATCH(COLUMNS($AC$1006:AO1006),$AC$1006:$AS$1006,0)))),"Fix")))</f>
        <v>0</v>
      </c>
      <c r="O440" s="5">
        <f>IF(OR(INDEX($W$2:$W$1001,MATCH(ROWS($V$2:V440),$V$2:$V$1001,0),1)&gt;=100000,INDEX($AC$1005:$AS$1005,1,MATCH(COLUMNS($AC$1006:AP1006),$AC$1006:$AS$1006,0))&gt;=100000), " ",IF(INDEX($AC$2:$AS$1001,MATCH(ROWS($V$2:V440),$V$2:$V$1001,0),MATCH(COLUMNS($AC$1006:AP1006),$AC$1006:$AS$1006,0)), HYPERLINK("#",""), HYPERLINK(CONCATENATE("#Metadata!", ADDRESS(INDEX($X$2:$X$1001,MATCH(ROWS($V$2:V440),$V$2:$V$1001,0),0), INDEX($AC$1004:$AS$1004,1,MATCH(COLUMNS($AC$1006:AP1006),$AC$1006:$AS$1006,0)))),"Fix")))</f>
        <v>0</v>
      </c>
      <c r="P440" s="5">
        <f>IF(OR(INDEX($W$2:$W$1001,MATCH(ROWS($V$2:V440),$V$2:$V$1001,0),1)&gt;=100000,INDEX($AC$1005:$AS$1005,1,MATCH(COLUMNS($AC$1006:AQ1006),$AC$1006:$AS$1006,0))&gt;=100000), " ",IF(INDEX($AC$2:$AS$1001,MATCH(ROWS($V$2:V440),$V$2:$V$1001,0),MATCH(COLUMNS($AC$1006:AQ1006),$AC$1006:$AS$1006,0)), HYPERLINK("#",""), HYPERLINK(CONCATENATE("#Metadata!", ADDRESS(INDEX($X$2:$X$1001,MATCH(ROWS($V$2:V440),$V$2:$V$1001,0),0), INDEX($AC$1004:$AS$1004,1,MATCH(COLUMNS($AC$1006:AQ1006),$AC$1006:$AS$1006,0)))),"Fix")))</f>
        <v>0</v>
      </c>
      <c r="Q440" s="5">
        <f>IF(OR(INDEX($W$2:$W$1001,MATCH(ROWS($V$2:V440),$V$2:$V$1001,0),1)&gt;=100000,INDEX($AC$1005:$AS$1005,1,MATCH(COLUMNS($AC$1006:AR1006),$AC$1006:$AS$1006,0))&gt;=100000), " ",IF(INDEX($AC$2:$AS$1001,MATCH(ROWS($V$2:V440),$V$2:$V$1001,0),MATCH(COLUMNS($AC$1006:AR1006),$AC$1006:$AS$1006,0)), HYPERLINK("#",""), HYPERLINK(CONCATENATE("#Metadata!", ADDRESS(INDEX($X$2:$X$1001,MATCH(ROWS($V$2:V440),$V$2:$V$1001,0),0), INDEX($AC$1004:$AS$1004,1,MATCH(COLUMNS($AC$1006:AR1006),$AC$1006:$AS$1006,0)))),"Fix")))</f>
        <v>0</v>
      </c>
      <c r="R440" s="5">
        <f>IF(OR(INDEX($W$2:$W$1001,MATCH(ROWS($V$2:V440),$V$2:$V$1001,0),1)&gt;=100000,INDEX($AC$1005:$AS$1005,1,MATCH(COLUMNS($AC$1006:AS1006),$AC$1006:$AS$1006,0))&gt;=100000), " ",IF(INDEX($AC$2:$AS$1001,MATCH(ROWS($V$2:V440),$V$2:$V$1001,0),MATCH(COLUMNS($AC$1006:AS1006),$AC$1006:$AS$1006,0)), HYPERLINK("#",""), HYPERLINK(CONCATENATE("#Metadata!", ADDRESS(INDEX($X$2:$X$1001,MATCH(ROWS($V$2:V440),$V$2:$V$1001,0),0), INDEX($AC$1004:$AS$1004,1,MATCH(COLUMNS($AC$1006:AS1006),$AC$1006:$AS$1006,0)))),"Fix")))</f>
        <v>0</v>
      </c>
      <c r="V440">
        <v>0</v>
      </c>
      <c r="W440">
        <v>0</v>
      </c>
      <c r="X440">
        <v>0</v>
      </c>
      <c r="Y440">
        <f>IF(Z440,TRUE,AND(AC440:AS440))</f>
        <v>0</v>
      </c>
      <c r="Z440">
        <f>COUNTBLANK(Metadata!B440:R440)=COLUMNS(Metadata!B440:R440)</f>
        <v>0</v>
      </c>
      <c r="AA440">
        <v>0</v>
      </c>
      <c r="AC440">
        <f>AND(IF(Metadata!B440="",FALSE,TRUE),COUNTIF(Metadata!B:B, Metadata!B440) = 1,NOT(ISERROR(SUMPRODUCT(SEARCH(MID(Metadata!B440,ROW(INDIRECT("1:"&amp;LEN(Metadata!B440))), 1),"0123456789abcdefghijklmnopqrstuvwxyzABCDEFGHIJKLMNOPQRSTUVWXYZ.")))))</f>
        <v>0</v>
      </c>
      <c r="AD440">
        <f>AND(IF(Metadata!C440="",FALSE,TRUE),exact(Metadata!C440,"Host-associated"))</f>
        <v>0</v>
      </c>
      <c r="AE440">
        <f>AND(IF(Metadata!D440="",FALSE,TRUE),OR(exact(Metadata!D440,"Animal"),exact(Metadata!D440,"Fungus"),exact(Metadata!D440,"Plant")))</f>
        <v>0</v>
      </c>
      <c r="AF440">
        <f>AND(IF(Metadata!E440="",FALSE,TRUE),OR(exact(Metadata!E440,"Plant secretion"),exact(Metadata!E440,"Plant rhizosphere"),exact(Metadata!E440,"Plant surface"),exact(Metadata!E440,"Plant corpus"),exact(Metadata!E440,"Fungus surface"),exact(Metadata!E440,"Fungus corpus"),exact(Metadata!E440,"Animal surface"),exact(Metadata!E440,"Animal proximal gut"),exact(Metadata!E440,"Animal corpus"),exact(Metadata!E440,"Animal distal gut"),exact(Metadata!E440,"Animal secretion")))</f>
        <v>0</v>
      </c>
      <c r="AG440">
        <f>OR(AND(IF(Metadata!F440="",FALSE,TRUE),OR(exact(Metadata!F440,"not collected"),exact(Metadata!F440,"not provided"),exact(Metadata!F440,"restricted access"))),AND(IF(Metadata!F440="",FALSE,TRUE),OR(exact(Metadata!F440,"organism-associated habitat"),exact(Metadata!F440,"plant-associated habitat"),exact(Metadata!F440,"animal-associated habitat"),exact(Metadata!F440,"insecta-associated habitat"),exact(Metadata!F440,"mammalia-associated habitat"),exact(Metadata!F440,"human-associated habitat"),exact(Metadata!F440,"livestock-associated habitat"))))</f>
        <v>0</v>
      </c>
      <c r="AH440">
        <f>AND(IF(Metadata!G440="",FALSE,TRUE),exact(Metadata!G440,"host-associated"))</f>
        <v>0</v>
      </c>
      <c r="AI440">
        <f>OR(AND(IF(Metadata!H440="",FALSE,TRUE),OR(exact(Metadata!H440,"not collected"),exact(Metadata!H440,"not provided"))),AND(IF(Metadata!H440="",FALSE,ISNUMBER(VALUE(Metadata!H440))),Metadata!H440&gt;0))</f>
        <v>0</v>
      </c>
      <c r="AJ440">
        <f>AND(IF(Metadata!I440="",FALSE,TRUE),exact(Metadata!I440,"years"))</f>
        <v>0</v>
      </c>
      <c r="AK440">
        <f>IF(Metadata!J440="",FALSE,TRUE)</f>
        <v>0</v>
      </c>
      <c r="AL440">
        <f>OR(AND(IF(Metadata!K440="",FALSE,TRUE),OR(exact(Metadata!K440,"not collected"),exact(Metadata!K440,"not provided"))),AND(IF(Metadata!K440="",FALSE,ISNUMBER(VALUE(Metadata!K440))),Metadata!K440&gt;0))</f>
        <v>0</v>
      </c>
      <c r="AM440">
        <f>AND(IF(Metadata!L440="",FALSE,TRUE),exact(Metadata!L440,"cm"))</f>
        <v>0</v>
      </c>
      <c r="AN440">
        <f>IF(Metadata!M440="",FALSE,TRUE)</f>
        <v>0</v>
      </c>
      <c r="AO440">
        <f>OR(AND(IF(Metadata!N440="",FALSE,TRUE),OR(exact(Metadata!N440,"not applicable"),exact(Metadata!N440,"not collected"),exact(Metadata!N440,"not provided"))),AND(IF(Metadata!N440="",FALSE,IF(ISERROR(INT(Metadata!N440)),FALSE,INT(Metadata!N440)=Metadata!N440)),Metadata!N440&gt;0))</f>
        <v>0</v>
      </c>
      <c r="AP440">
        <f>OR(AND(IF(Metadata!O440="",FALSE,TRUE),OR(exact(Metadata!O440,"not collected"),exact(Metadata!O440,"not provided"))),AND(IF(Metadata!O440="",FALSE,ISNUMBER(VALUE(Metadata!O440))),Metadata!O440&gt;0))</f>
        <v>0</v>
      </c>
      <c r="AQ440">
        <f>AND(IF(Metadata!P440="",FALSE,TRUE),exact(Metadata!P440,"kg"))</f>
        <v>0</v>
      </c>
      <c r="AR440">
        <f>OR(AND(IF(Metadata!Q440="",FALSE,TRUE),OR(exact(Metadata!Q440,"not applicable"),exact(Metadata!Q440,"not collected"),exact(Metadata!Q440,"not provided"),exact(Metadata!Q440,"restricted access"))),IF(Metadata!Q440="",FALSE,IF(ISERROR(INT(Metadata!Q440)),FALSE,INT(Metadata!Q440)=Metadata!Q440)))</f>
        <v>0</v>
      </c>
      <c r="AS440">
        <f>AND(IF(Metadata!R440="",FALSE,TRUE),exact(Metadata!R440,"Not applicable"))</f>
        <v>0</v>
      </c>
    </row>
    <row r="441" spans="1:45">
      <c r="A441" s="4">
        <f>IF(B441=" "," ",HYPERLINK(CONCATENATE("#metadata!",ADDRESS(INDEX($X$2:$X$1001,MATCH(ROWS($V$2:V441),$V$2:$V$1001,0),0),2)),INDEX($AA$2:$AA$1001,MATCH(ROWS($V$2:V441),$V$2:$V$1001,0),0)))</f>
        <v>0</v>
      </c>
      <c r="B441" s="5">
        <f>IF(OR(INDEX($W$2:$W$1001,MATCH(ROWS($V$2:V441),$V$2:$V$1001,0),1)&gt;=100000,INDEX($AC$1005:$AS$1005,1,MATCH(COLUMNS($AC$1006:AC1006),$AC$1006:$AS$1006,0))&gt;=100000), " ",IF(INDEX($AC$2:$AS$1001,MATCH(ROWS($V$2:V441),$V$2:$V$1001,0),MATCH(COLUMNS($AC$1006:AC1006),$AC$1006:$AS$1006,0)), HYPERLINK("#",""), HYPERLINK(CONCATENATE("#Metadata!", ADDRESS(INDEX($X$2:$X$1001,MATCH(ROWS($V$2:V441),$V$2:$V$1001,0),0), INDEX($AC$1004:$AS$1004,1,MATCH(COLUMNS($AC$1006:AC1006),$AC$1006:$AS$1006,0)))),"Fix")))</f>
        <v>0</v>
      </c>
      <c r="C441" s="5">
        <f>IF(OR(INDEX($W$2:$W$1001,MATCH(ROWS($V$2:V441),$V$2:$V$1001,0),1)&gt;=100000,INDEX($AC$1005:$AS$1005,1,MATCH(COLUMNS($AC$1006:AD1006),$AC$1006:$AS$1006,0))&gt;=100000), " ",IF(INDEX($AC$2:$AS$1001,MATCH(ROWS($V$2:V441),$V$2:$V$1001,0),MATCH(COLUMNS($AC$1006:AD1006),$AC$1006:$AS$1006,0)), HYPERLINK("#",""), HYPERLINK(CONCATENATE("#Metadata!", ADDRESS(INDEX($X$2:$X$1001,MATCH(ROWS($V$2:V441),$V$2:$V$1001,0),0), INDEX($AC$1004:$AS$1004,1,MATCH(COLUMNS($AC$1006:AD1006),$AC$1006:$AS$1006,0)))),"Fix")))</f>
        <v>0</v>
      </c>
      <c r="D441" s="5">
        <f>IF(OR(INDEX($W$2:$W$1001,MATCH(ROWS($V$2:V441),$V$2:$V$1001,0),1)&gt;=100000,INDEX($AC$1005:$AS$1005,1,MATCH(COLUMNS($AC$1006:AE1006),$AC$1006:$AS$1006,0))&gt;=100000), " ",IF(INDEX($AC$2:$AS$1001,MATCH(ROWS($V$2:V441),$V$2:$V$1001,0),MATCH(COLUMNS($AC$1006:AE1006),$AC$1006:$AS$1006,0)), HYPERLINK("#",""), HYPERLINK(CONCATENATE("#Metadata!", ADDRESS(INDEX($X$2:$X$1001,MATCH(ROWS($V$2:V441),$V$2:$V$1001,0),0), INDEX($AC$1004:$AS$1004,1,MATCH(COLUMNS($AC$1006:AE1006),$AC$1006:$AS$1006,0)))),"Fix")))</f>
        <v>0</v>
      </c>
      <c r="E441" s="5">
        <f>IF(OR(INDEX($W$2:$W$1001,MATCH(ROWS($V$2:V441),$V$2:$V$1001,0),1)&gt;=100000,INDEX($AC$1005:$AS$1005,1,MATCH(COLUMNS($AC$1006:AF1006),$AC$1006:$AS$1006,0))&gt;=100000), " ",IF(INDEX($AC$2:$AS$1001,MATCH(ROWS($V$2:V441),$V$2:$V$1001,0),MATCH(COLUMNS($AC$1006:AF1006),$AC$1006:$AS$1006,0)), HYPERLINK("#",""), HYPERLINK(CONCATENATE("#Metadata!", ADDRESS(INDEX($X$2:$X$1001,MATCH(ROWS($V$2:V441),$V$2:$V$1001,0),0), INDEX($AC$1004:$AS$1004,1,MATCH(COLUMNS($AC$1006:AF1006),$AC$1006:$AS$1006,0)))),"Fix")))</f>
        <v>0</v>
      </c>
      <c r="F441" s="5">
        <f>IF(OR(INDEX($W$2:$W$1001,MATCH(ROWS($V$2:V441),$V$2:$V$1001,0),1)&gt;=100000,INDEX($AC$1005:$AS$1005,1,MATCH(COLUMNS($AC$1006:AG1006),$AC$1006:$AS$1006,0))&gt;=100000), " ",IF(INDEX($AC$2:$AS$1001,MATCH(ROWS($V$2:V441),$V$2:$V$1001,0),MATCH(COLUMNS($AC$1006:AG1006),$AC$1006:$AS$1006,0)), HYPERLINK("#",""), HYPERLINK(CONCATENATE("#Metadata!", ADDRESS(INDEX($X$2:$X$1001,MATCH(ROWS($V$2:V441),$V$2:$V$1001,0),0), INDEX($AC$1004:$AS$1004,1,MATCH(COLUMNS($AC$1006:AG1006),$AC$1006:$AS$1006,0)))),"Fix")))</f>
        <v>0</v>
      </c>
      <c r="G441" s="5">
        <f>IF(OR(INDEX($W$2:$W$1001,MATCH(ROWS($V$2:V441),$V$2:$V$1001,0),1)&gt;=100000,INDEX($AC$1005:$AS$1005,1,MATCH(COLUMNS($AC$1006:AH1006),$AC$1006:$AS$1006,0))&gt;=100000), " ",IF(INDEX($AC$2:$AS$1001,MATCH(ROWS($V$2:V441),$V$2:$V$1001,0),MATCH(COLUMNS($AC$1006:AH1006),$AC$1006:$AS$1006,0)), HYPERLINK("#",""), HYPERLINK(CONCATENATE("#Metadata!", ADDRESS(INDEX($X$2:$X$1001,MATCH(ROWS($V$2:V441),$V$2:$V$1001,0),0), INDEX($AC$1004:$AS$1004,1,MATCH(COLUMNS($AC$1006:AH1006),$AC$1006:$AS$1006,0)))),"Fix")))</f>
        <v>0</v>
      </c>
      <c r="H441" s="5">
        <f>IF(OR(INDEX($W$2:$W$1001,MATCH(ROWS($V$2:V441),$V$2:$V$1001,0),1)&gt;=100000,INDEX($AC$1005:$AS$1005,1,MATCH(COLUMNS($AC$1006:AI1006),$AC$1006:$AS$1006,0))&gt;=100000), " ",IF(INDEX($AC$2:$AS$1001,MATCH(ROWS($V$2:V441),$V$2:$V$1001,0),MATCH(COLUMNS($AC$1006:AI1006),$AC$1006:$AS$1006,0)), HYPERLINK("#",""), HYPERLINK(CONCATENATE("#Metadata!", ADDRESS(INDEX($X$2:$X$1001,MATCH(ROWS($V$2:V441),$V$2:$V$1001,0),0), INDEX($AC$1004:$AS$1004,1,MATCH(COLUMNS($AC$1006:AI1006),$AC$1006:$AS$1006,0)))),"Fix")))</f>
        <v>0</v>
      </c>
      <c r="I441" s="5">
        <f>IF(OR(INDEX($W$2:$W$1001,MATCH(ROWS($V$2:V441),$V$2:$V$1001,0),1)&gt;=100000,INDEX($AC$1005:$AS$1005,1,MATCH(COLUMNS($AC$1006:AJ1006),$AC$1006:$AS$1006,0))&gt;=100000), " ",IF(INDEX($AC$2:$AS$1001,MATCH(ROWS($V$2:V441),$V$2:$V$1001,0),MATCH(COLUMNS($AC$1006:AJ1006),$AC$1006:$AS$1006,0)), HYPERLINK("#",""), HYPERLINK(CONCATENATE("#Metadata!", ADDRESS(INDEX($X$2:$X$1001,MATCH(ROWS($V$2:V441),$V$2:$V$1001,0),0), INDEX($AC$1004:$AS$1004,1,MATCH(COLUMNS($AC$1006:AJ1006),$AC$1006:$AS$1006,0)))),"Fix")))</f>
        <v>0</v>
      </c>
      <c r="J441" s="5">
        <f>IF(OR(INDEX($W$2:$W$1001,MATCH(ROWS($V$2:V441),$V$2:$V$1001,0),1)&gt;=100000,INDEX($AC$1005:$AS$1005,1,MATCH(COLUMNS($AC$1006:AK1006),$AC$1006:$AS$1006,0))&gt;=100000), " ",IF(INDEX($AC$2:$AS$1001,MATCH(ROWS($V$2:V441),$V$2:$V$1001,0),MATCH(COLUMNS($AC$1006:AK1006),$AC$1006:$AS$1006,0)), HYPERLINK("#",""), HYPERLINK(CONCATENATE("#Metadata!", ADDRESS(INDEX($X$2:$X$1001,MATCH(ROWS($V$2:V441),$V$2:$V$1001,0),0), INDEX($AC$1004:$AS$1004,1,MATCH(COLUMNS($AC$1006:AK1006),$AC$1006:$AS$1006,0)))),"Fix")))</f>
        <v>0</v>
      </c>
      <c r="K441" s="5">
        <f>IF(OR(INDEX($W$2:$W$1001,MATCH(ROWS($V$2:V441),$V$2:$V$1001,0),1)&gt;=100000,INDEX($AC$1005:$AS$1005,1,MATCH(COLUMNS($AC$1006:AL1006),$AC$1006:$AS$1006,0))&gt;=100000), " ",IF(INDEX($AC$2:$AS$1001,MATCH(ROWS($V$2:V441),$V$2:$V$1001,0),MATCH(COLUMNS($AC$1006:AL1006),$AC$1006:$AS$1006,0)), HYPERLINK("#",""), HYPERLINK(CONCATENATE("#Metadata!", ADDRESS(INDEX($X$2:$X$1001,MATCH(ROWS($V$2:V441),$V$2:$V$1001,0),0), INDEX($AC$1004:$AS$1004,1,MATCH(COLUMNS($AC$1006:AL1006),$AC$1006:$AS$1006,0)))),"Fix")))</f>
        <v>0</v>
      </c>
      <c r="L441" s="5">
        <f>IF(OR(INDEX($W$2:$W$1001,MATCH(ROWS($V$2:V441),$V$2:$V$1001,0),1)&gt;=100000,INDEX($AC$1005:$AS$1005,1,MATCH(COLUMNS($AC$1006:AM1006),$AC$1006:$AS$1006,0))&gt;=100000), " ",IF(INDEX($AC$2:$AS$1001,MATCH(ROWS($V$2:V441),$V$2:$V$1001,0),MATCH(COLUMNS($AC$1006:AM1006),$AC$1006:$AS$1006,0)), HYPERLINK("#",""), HYPERLINK(CONCATENATE("#Metadata!", ADDRESS(INDEX($X$2:$X$1001,MATCH(ROWS($V$2:V441),$V$2:$V$1001,0),0), INDEX($AC$1004:$AS$1004,1,MATCH(COLUMNS($AC$1006:AM1006),$AC$1006:$AS$1006,0)))),"Fix")))</f>
        <v>0</v>
      </c>
      <c r="M441" s="5">
        <f>IF(OR(INDEX($W$2:$W$1001,MATCH(ROWS($V$2:V441),$V$2:$V$1001,0),1)&gt;=100000,INDEX($AC$1005:$AS$1005,1,MATCH(COLUMNS($AC$1006:AN1006),$AC$1006:$AS$1006,0))&gt;=100000), " ",IF(INDEX($AC$2:$AS$1001,MATCH(ROWS($V$2:V441),$V$2:$V$1001,0),MATCH(COLUMNS($AC$1006:AN1006),$AC$1006:$AS$1006,0)), HYPERLINK("#",""), HYPERLINK(CONCATENATE("#Metadata!", ADDRESS(INDEX($X$2:$X$1001,MATCH(ROWS($V$2:V441),$V$2:$V$1001,0),0), INDEX($AC$1004:$AS$1004,1,MATCH(COLUMNS($AC$1006:AN1006),$AC$1006:$AS$1006,0)))),"Fix")))</f>
        <v>0</v>
      </c>
      <c r="N441" s="5">
        <f>IF(OR(INDEX($W$2:$W$1001,MATCH(ROWS($V$2:V441),$V$2:$V$1001,0),1)&gt;=100000,INDEX($AC$1005:$AS$1005,1,MATCH(COLUMNS($AC$1006:AO1006),$AC$1006:$AS$1006,0))&gt;=100000), " ",IF(INDEX($AC$2:$AS$1001,MATCH(ROWS($V$2:V441),$V$2:$V$1001,0),MATCH(COLUMNS($AC$1006:AO1006),$AC$1006:$AS$1006,0)), HYPERLINK("#",""), HYPERLINK(CONCATENATE("#Metadata!", ADDRESS(INDEX($X$2:$X$1001,MATCH(ROWS($V$2:V441),$V$2:$V$1001,0),0), INDEX($AC$1004:$AS$1004,1,MATCH(COLUMNS($AC$1006:AO1006),$AC$1006:$AS$1006,0)))),"Fix")))</f>
        <v>0</v>
      </c>
      <c r="O441" s="5">
        <f>IF(OR(INDEX($W$2:$W$1001,MATCH(ROWS($V$2:V441),$V$2:$V$1001,0),1)&gt;=100000,INDEX($AC$1005:$AS$1005,1,MATCH(COLUMNS($AC$1006:AP1006),$AC$1006:$AS$1006,0))&gt;=100000), " ",IF(INDEX($AC$2:$AS$1001,MATCH(ROWS($V$2:V441),$V$2:$V$1001,0),MATCH(COLUMNS($AC$1006:AP1006),$AC$1006:$AS$1006,0)), HYPERLINK("#",""), HYPERLINK(CONCATENATE("#Metadata!", ADDRESS(INDEX($X$2:$X$1001,MATCH(ROWS($V$2:V441),$V$2:$V$1001,0),0), INDEX($AC$1004:$AS$1004,1,MATCH(COLUMNS($AC$1006:AP1006),$AC$1006:$AS$1006,0)))),"Fix")))</f>
        <v>0</v>
      </c>
      <c r="P441" s="5">
        <f>IF(OR(INDEX($W$2:$W$1001,MATCH(ROWS($V$2:V441),$V$2:$V$1001,0),1)&gt;=100000,INDEX($AC$1005:$AS$1005,1,MATCH(COLUMNS($AC$1006:AQ1006),$AC$1006:$AS$1006,0))&gt;=100000), " ",IF(INDEX($AC$2:$AS$1001,MATCH(ROWS($V$2:V441),$V$2:$V$1001,0),MATCH(COLUMNS($AC$1006:AQ1006),$AC$1006:$AS$1006,0)), HYPERLINK("#",""), HYPERLINK(CONCATENATE("#Metadata!", ADDRESS(INDEX($X$2:$X$1001,MATCH(ROWS($V$2:V441),$V$2:$V$1001,0),0), INDEX($AC$1004:$AS$1004,1,MATCH(COLUMNS($AC$1006:AQ1006),$AC$1006:$AS$1006,0)))),"Fix")))</f>
        <v>0</v>
      </c>
      <c r="Q441" s="5">
        <f>IF(OR(INDEX($W$2:$W$1001,MATCH(ROWS($V$2:V441),$V$2:$V$1001,0),1)&gt;=100000,INDEX($AC$1005:$AS$1005,1,MATCH(COLUMNS($AC$1006:AR1006),$AC$1006:$AS$1006,0))&gt;=100000), " ",IF(INDEX($AC$2:$AS$1001,MATCH(ROWS($V$2:V441),$V$2:$V$1001,0),MATCH(COLUMNS($AC$1006:AR1006),$AC$1006:$AS$1006,0)), HYPERLINK("#",""), HYPERLINK(CONCATENATE("#Metadata!", ADDRESS(INDEX($X$2:$X$1001,MATCH(ROWS($V$2:V441),$V$2:$V$1001,0),0), INDEX($AC$1004:$AS$1004,1,MATCH(COLUMNS($AC$1006:AR1006),$AC$1006:$AS$1006,0)))),"Fix")))</f>
        <v>0</v>
      </c>
      <c r="R441" s="5">
        <f>IF(OR(INDEX($W$2:$W$1001,MATCH(ROWS($V$2:V441),$V$2:$V$1001,0),1)&gt;=100000,INDEX($AC$1005:$AS$1005,1,MATCH(COLUMNS($AC$1006:AS1006),$AC$1006:$AS$1006,0))&gt;=100000), " ",IF(INDEX($AC$2:$AS$1001,MATCH(ROWS($V$2:V441),$V$2:$V$1001,0),MATCH(COLUMNS($AC$1006:AS1006),$AC$1006:$AS$1006,0)), HYPERLINK("#",""), HYPERLINK(CONCATENATE("#Metadata!", ADDRESS(INDEX($X$2:$X$1001,MATCH(ROWS($V$2:V441),$V$2:$V$1001,0),0), INDEX($AC$1004:$AS$1004,1,MATCH(COLUMNS($AC$1006:AS1006),$AC$1006:$AS$1006,0)))),"Fix")))</f>
        <v>0</v>
      </c>
      <c r="V441">
        <v>0</v>
      </c>
      <c r="W441">
        <v>0</v>
      </c>
      <c r="X441">
        <v>0</v>
      </c>
      <c r="Y441">
        <f>IF(Z441,TRUE,AND(AC441:AS441))</f>
        <v>0</v>
      </c>
      <c r="Z441">
        <f>COUNTBLANK(Metadata!B441:R441)=COLUMNS(Metadata!B441:R441)</f>
        <v>0</v>
      </c>
      <c r="AA441">
        <v>0</v>
      </c>
      <c r="AC441">
        <f>AND(IF(Metadata!B441="",FALSE,TRUE),COUNTIF(Metadata!B:B, Metadata!B441) = 1,NOT(ISERROR(SUMPRODUCT(SEARCH(MID(Metadata!B441,ROW(INDIRECT("1:"&amp;LEN(Metadata!B441))), 1),"0123456789abcdefghijklmnopqrstuvwxyzABCDEFGHIJKLMNOPQRSTUVWXYZ.")))))</f>
        <v>0</v>
      </c>
      <c r="AD441">
        <f>AND(IF(Metadata!C441="",FALSE,TRUE),exact(Metadata!C441,"Host-associated"))</f>
        <v>0</v>
      </c>
      <c r="AE441">
        <f>AND(IF(Metadata!D441="",FALSE,TRUE),OR(exact(Metadata!D441,"Animal"),exact(Metadata!D441,"Fungus"),exact(Metadata!D441,"Plant")))</f>
        <v>0</v>
      </c>
      <c r="AF441">
        <f>AND(IF(Metadata!E441="",FALSE,TRUE),OR(exact(Metadata!E441,"Plant secretion"),exact(Metadata!E441,"Plant rhizosphere"),exact(Metadata!E441,"Plant surface"),exact(Metadata!E441,"Plant corpus"),exact(Metadata!E441,"Fungus surface"),exact(Metadata!E441,"Fungus corpus"),exact(Metadata!E441,"Animal surface"),exact(Metadata!E441,"Animal proximal gut"),exact(Metadata!E441,"Animal corpus"),exact(Metadata!E441,"Animal distal gut"),exact(Metadata!E441,"Animal secretion")))</f>
        <v>0</v>
      </c>
      <c r="AG441">
        <f>OR(AND(IF(Metadata!F441="",FALSE,TRUE),OR(exact(Metadata!F441,"not collected"),exact(Metadata!F441,"not provided"),exact(Metadata!F441,"restricted access"))),AND(IF(Metadata!F441="",FALSE,TRUE),OR(exact(Metadata!F441,"organism-associated habitat"),exact(Metadata!F441,"plant-associated habitat"),exact(Metadata!F441,"animal-associated habitat"),exact(Metadata!F441,"insecta-associated habitat"),exact(Metadata!F441,"mammalia-associated habitat"),exact(Metadata!F441,"human-associated habitat"),exact(Metadata!F441,"livestock-associated habitat"))))</f>
        <v>0</v>
      </c>
      <c r="AH441">
        <f>AND(IF(Metadata!G441="",FALSE,TRUE),exact(Metadata!G441,"host-associated"))</f>
        <v>0</v>
      </c>
      <c r="AI441">
        <f>OR(AND(IF(Metadata!H441="",FALSE,TRUE),OR(exact(Metadata!H441,"not collected"),exact(Metadata!H441,"not provided"))),AND(IF(Metadata!H441="",FALSE,ISNUMBER(VALUE(Metadata!H441))),Metadata!H441&gt;0))</f>
        <v>0</v>
      </c>
      <c r="AJ441">
        <f>AND(IF(Metadata!I441="",FALSE,TRUE),exact(Metadata!I441,"years"))</f>
        <v>0</v>
      </c>
      <c r="AK441">
        <f>IF(Metadata!J441="",FALSE,TRUE)</f>
        <v>0</v>
      </c>
      <c r="AL441">
        <f>OR(AND(IF(Metadata!K441="",FALSE,TRUE),OR(exact(Metadata!K441,"not collected"),exact(Metadata!K441,"not provided"))),AND(IF(Metadata!K441="",FALSE,ISNUMBER(VALUE(Metadata!K441))),Metadata!K441&gt;0))</f>
        <v>0</v>
      </c>
      <c r="AM441">
        <f>AND(IF(Metadata!L441="",FALSE,TRUE),exact(Metadata!L441,"cm"))</f>
        <v>0</v>
      </c>
      <c r="AN441">
        <f>IF(Metadata!M441="",FALSE,TRUE)</f>
        <v>0</v>
      </c>
      <c r="AO441">
        <f>OR(AND(IF(Metadata!N441="",FALSE,TRUE),OR(exact(Metadata!N441,"not applicable"),exact(Metadata!N441,"not collected"),exact(Metadata!N441,"not provided"))),AND(IF(Metadata!N441="",FALSE,IF(ISERROR(INT(Metadata!N441)),FALSE,INT(Metadata!N441)=Metadata!N441)),Metadata!N441&gt;0))</f>
        <v>0</v>
      </c>
      <c r="AP441">
        <f>OR(AND(IF(Metadata!O441="",FALSE,TRUE),OR(exact(Metadata!O441,"not collected"),exact(Metadata!O441,"not provided"))),AND(IF(Metadata!O441="",FALSE,ISNUMBER(VALUE(Metadata!O441))),Metadata!O441&gt;0))</f>
        <v>0</v>
      </c>
      <c r="AQ441">
        <f>AND(IF(Metadata!P441="",FALSE,TRUE),exact(Metadata!P441,"kg"))</f>
        <v>0</v>
      </c>
      <c r="AR441">
        <f>OR(AND(IF(Metadata!Q441="",FALSE,TRUE),OR(exact(Metadata!Q441,"not applicable"),exact(Metadata!Q441,"not collected"),exact(Metadata!Q441,"not provided"),exact(Metadata!Q441,"restricted access"))),IF(Metadata!Q441="",FALSE,IF(ISERROR(INT(Metadata!Q441)),FALSE,INT(Metadata!Q441)=Metadata!Q441)))</f>
        <v>0</v>
      </c>
      <c r="AS441">
        <f>AND(IF(Metadata!R441="",FALSE,TRUE),exact(Metadata!R441,"Not applicable"))</f>
        <v>0</v>
      </c>
    </row>
    <row r="442" spans="1:45">
      <c r="A442" s="4">
        <f>IF(B442=" "," ",HYPERLINK(CONCATENATE("#metadata!",ADDRESS(INDEX($X$2:$X$1001,MATCH(ROWS($V$2:V442),$V$2:$V$1001,0),0),2)),INDEX($AA$2:$AA$1001,MATCH(ROWS($V$2:V442),$V$2:$V$1001,0),0)))</f>
        <v>0</v>
      </c>
      <c r="B442" s="5">
        <f>IF(OR(INDEX($W$2:$W$1001,MATCH(ROWS($V$2:V442),$V$2:$V$1001,0),1)&gt;=100000,INDEX($AC$1005:$AS$1005,1,MATCH(COLUMNS($AC$1006:AC1006),$AC$1006:$AS$1006,0))&gt;=100000), " ",IF(INDEX($AC$2:$AS$1001,MATCH(ROWS($V$2:V442),$V$2:$V$1001,0),MATCH(COLUMNS($AC$1006:AC1006),$AC$1006:$AS$1006,0)), HYPERLINK("#",""), HYPERLINK(CONCATENATE("#Metadata!", ADDRESS(INDEX($X$2:$X$1001,MATCH(ROWS($V$2:V442),$V$2:$V$1001,0),0), INDEX($AC$1004:$AS$1004,1,MATCH(COLUMNS($AC$1006:AC1006),$AC$1006:$AS$1006,0)))),"Fix")))</f>
        <v>0</v>
      </c>
      <c r="C442" s="5">
        <f>IF(OR(INDEX($W$2:$W$1001,MATCH(ROWS($V$2:V442),$V$2:$V$1001,0),1)&gt;=100000,INDEX($AC$1005:$AS$1005,1,MATCH(COLUMNS($AC$1006:AD1006),$AC$1006:$AS$1006,0))&gt;=100000), " ",IF(INDEX($AC$2:$AS$1001,MATCH(ROWS($V$2:V442),$V$2:$V$1001,0),MATCH(COLUMNS($AC$1006:AD1006),$AC$1006:$AS$1006,0)), HYPERLINK("#",""), HYPERLINK(CONCATENATE("#Metadata!", ADDRESS(INDEX($X$2:$X$1001,MATCH(ROWS($V$2:V442),$V$2:$V$1001,0),0), INDEX($AC$1004:$AS$1004,1,MATCH(COLUMNS($AC$1006:AD1006),$AC$1006:$AS$1006,0)))),"Fix")))</f>
        <v>0</v>
      </c>
      <c r="D442" s="5">
        <f>IF(OR(INDEX($W$2:$W$1001,MATCH(ROWS($V$2:V442),$V$2:$V$1001,0),1)&gt;=100000,INDEX($AC$1005:$AS$1005,1,MATCH(COLUMNS($AC$1006:AE1006),$AC$1006:$AS$1006,0))&gt;=100000), " ",IF(INDEX($AC$2:$AS$1001,MATCH(ROWS($V$2:V442),$V$2:$V$1001,0),MATCH(COLUMNS($AC$1006:AE1006),$AC$1006:$AS$1006,0)), HYPERLINK("#",""), HYPERLINK(CONCATENATE("#Metadata!", ADDRESS(INDEX($X$2:$X$1001,MATCH(ROWS($V$2:V442),$V$2:$V$1001,0),0), INDEX($AC$1004:$AS$1004,1,MATCH(COLUMNS($AC$1006:AE1006),$AC$1006:$AS$1006,0)))),"Fix")))</f>
        <v>0</v>
      </c>
      <c r="E442" s="5">
        <f>IF(OR(INDEX($W$2:$W$1001,MATCH(ROWS($V$2:V442),$V$2:$V$1001,0),1)&gt;=100000,INDEX($AC$1005:$AS$1005,1,MATCH(COLUMNS($AC$1006:AF1006),$AC$1006:$AS$1006,0))&gt;=100000), " ",IF(INDEX($AC$2:$AS$1001,MATCH(ROWS($V$2:V442),$V$2:$V$1001,0),MATCH(COLUMNS($AC$1006:AF1006),$AC$1006:$AS$1006,0)), HYPERLINK("#",""), HYPERLINK(CONCATENATE("#Metadata!", ADDRESS(INDEX($X$2:$X$1001,MATCH(ROWS($V$2:V442),$V$2:$V$1001,0),0), INDEX($AC$1004:$AS$1004,1,MATCH(COLUMNS($AC$1006:AF1006),$AC$1006:$AS$1006,0)))),"Fix")))</f>
        <v>0</v>
      </c>
      <c r="F442" s="5">
        <f>IF(OR(INDEX($W$2:$W$1001,MATCH(ROWS($V$2:V442),$V$2:$V$1001,0),1)&gt;=100000,INDEX($AC$1005:$AS$1005,1,MATCH(COLUMNS($AC$1006:AG1006),$AC$1006:$AS$1006,0))&gt;=100000), " ",IF(INDEX($AC$2:$AS$1001,MATCH(ROWS($V$2:V442),$V$2:$V$1001,0),MATCH(COLUMNS($AC$1006:AG1006),$AC$1006:$AS$1006,0)), HYPERLINK("#",""), HYPERLINK(CONCATENATE("#Metadata!", ADDRESS(INDEX($X$2:$X$1001,MATCH(ROWS($V$2:V442),$V$2:$V$1001,0),0), INDEX($AC$1004:$AS$1004,1,MATCH(COLUMNS($AC$1006:AG1006),$AC$1006:$AS$1006,0)))),"Fix")))</f>
        <v>0</v>
      </c>
      <c r="G442" s="5">
        <f>IF(OR(INDEX($W$2:$W$1001,MATCH(ROWS($V$2:V442),$V$2:$V$1001,0),1)&gt;=100000,INDEX($AC$1005:$AS$1005,1,MATCH(COLUMNS($AC$1006:AH1006),$AC$1006:$AS$1006,0))&gt;=100000), " ",IF(INDEX($AC$2:$AS$1001,MATCH(ROWS($V$2:V442),$V$2:$V$1001,0),MATCH(COLUMNS($AC$1006:AH1006),$AC$1006:$AS$1006,0)), HYPERLINK("#",""), HYPERLINK(CONCATENATE("#Metadata!", ADDRESS(INDEX($X$2:$X$1001,MATCH(ROWS($V$2:V442),$V$2:$V$1001,0),0), INDEX($AC$1004:$AS$1004,1,MATCH(COLUMNS($AC$1006:AH1006),$AC$1006:$AS$1006,0)))),"Fix")))</f>
        <v>0</v>
      </c>
      <c r="H442" s="5">
        <f>IF(OR(INDEX($W$2:$W$1001,MATCH(ROWS($V$2:V442),$V$2:$V$1001,0),1)&gt;=100000,INDEX($AC$1005:$AS$1005,1,MATCH(COLUMNS($AC$1006:AI1006),$AC$1006:$AS$1006,0))&gt;=100000), " ",IF(INDEX($AC$2:$AS$1001,MATCH(ROWS($V$2:V442),$V$2:$V$1001,0),MATCH(COLUMNS($AC$1006:AI1006),$AC$1006:$AS$1006,0)), HYPERLINK("#",""), HYPERLINK(CONCATENATE("#Metadata!", ADDRESS(INDEX($X$2:$X$1001,MATCH(ROWS($V$2:V442),$V$2:$V$1001,0),0), INDEX($AC$1004:$AS$1004,1,MATCH(COLUMNS($AC$1006:AI1006),$AC$1006:$AS$1006,0)))),"Fix")))</f>
        <v>0</v>
      </c>
      <c r="I442" s="5">
        <f>IF(OR(INDEX($W$2:$W$1001,MATCH(ROWS($V$2:V442),$V$2:$V$1001,0),1)&gt;=100000,INDEX($AC$1005:$AS$1005,1,MATCH(COLUMNS($AC$1006:AJ1006),$AC$1006:$AS$1006,0))&gt;=100000), " ",IF(INDEX($AC$2:$AS$1001,MATCH(ROWS($V$2:V442),$V$2:$V$1001,0),MATCH(COLUMNS($AC$1006:AJ1006),$AC$1006:$AS$1006,0)), HYPERLINK("#",""), HYPERLINK(CONCATENATE("#Metadata!", ADDRESS(INDEX($X$2:$X$1001,MATCH(ROWS($V$2:V442),$V$2:$V$1001,0),0), INDEX($AC$1004:$AS$1004,1,MATCH(COLUMNS($AC$1006:AJ1006),$AC$1006:$AS$1006,0)))),"Fix")))</f>
        <v>0</v>
      </c>
      <c r="J442" s="5">
        <f>IF(OR(INDEX($W$2:$W$1001,MATCH(ROWS($V$2:V442),$V$2:$V$1001,0),1)&gt;=100000,INDEX($AC$1005:$AS$1005,1,MATCH(COLUMNS($AC$1006:AK1006),$AC$1006:$AS$1006,0))&gt;=100000), " ",IF(INDEX($AC$2:$AS$1001,MATCH(ROWS($V$2:V442),$V$2:$V$1001,0),MATCH(COLUMNS($AC$1006:AK1006),$AC$1006:$AS$1006,0)), HYPERLINK("#",""), HYPERLINK(CONCATENATE("#Metadata!", ADDRESS(INDEX($X$2:$X$1001,MATCH(ROWS($V$2:V442),$V$2:$V$1001,0),0), INDEX($AC$1004:$AS$1004,1,MATCH(COLUMNS($AC$1006:AK1006),$AC$1006:$AS$1006,0)))),"Fix")))</f>
        <v>0</v>
      </c>
      <c r="K442" s="5">
        <f>IF(OR(INDEX($W$2:$W$1001,MATCH(ROWS($V$2:V442),$V$2:$V$1001,0),1)&gt;=100000,INDEX($AC$1005:$AS$1005,1,MATCH(COLUMNS($AC$1006:AL1006),$AC$1006:$AS$1006,0))&gt;=100000), " ",IF(INDEX($AC$2:$AS$1001,MATCH(ROWS($V$2:V442),$V$2:$V$1001,0),MATCH(COLUMNS($AC$1006:AL1006),$AC$1006:$AS$1006,0)), HYPERLINK("#",""), HYPERLINK(CONCATENATE("#Metadata!", ADDRESS(INDEX($X$2:$X$1001,MATCH(ROWS($V$2:V442),$V$2:$V$1001,0),0), INDEX($AC$1004:$AS$1004,1,MATCH(COLUMNS($AC$1006:AL1006),$AC$1006:$AS$1006,0)))),"Fix")))</f>
        <v>0</v>
      </c>
      <c r="L442" s="5">
        <f>IF(OR(INDEX($W$2:$W$1001,MATCH(ROWS($V$2:V442),$V$2:$V$1001,0),1)&gt;=100000,INDEX($AC$1005:$AS$1005,1,MATCH(COLUMNS($AC$1006:AM1006),$AC$1006:$AS$1006,0))&gt;=100000), " ",IF(INDEX($AC$2:$AS$1001,MATCH(ROWS($V$2:V442),$V$2:$V$1001,0),MATCH(COLUMNS($AC$1006:AM1006),$AC$1006:$AS$1006,0)), HYPERLINK("#",""), HYPERLINK(CONCATENATE("#Metadata!", ADDRESS(INDEX($X$2:$X$1001,MATCH(ROWS($V$2:V442),$V$2:$V$1001,0),0), INDEX($AC$1004:$AS$1004,1,MATCH(COLUMNS($AC$1006:AM1006),$AC$1006:$AS$1006,0)))),"Fix")))</f>
        <v>0</v>
      </c>
      <c r="M442" s="5">
        <f>IF(OR(INDEX($W$2:$W$1001,MATCH(ROWS($V$2:V442),$V$2:$V$1001,0),1)&gt;=100000,INDEX($AC$1005:$AS$1005,1,MATCH(COLUMNS($AC$1006:AN1006),$AC$1006:$AS$1006,0))&gt;=100000), " ",IF(INDEX($AC$2:$AS$1001,MATCH(ROWS($V$2:V442),$V$2:$V$1001,0),MATCH(COLUMNS($AC$1006:AN1006),$AC$1006:$AS$1006,0)), HYPERLINK("#",""), HYPERLINK(CONCATENATE("#Metadata!", ADDRESS(INDEX($X$2:$X$1001,MATCH(ROWS($V$2:V442),$V$2:$V$1001,0),0), INDEX($AC$1004:$AS$1004,1,MATCH(COLUMNS($AC$1006:AN1006),$AC$1006:$AS$1006,0)))),"Fix")))</f>
        <v>0</v>
      </c>
      <c r="N442" s="5">
        <f>IF(OR(INDEX($W$2:$W$1001,MATCH(ROWS($V$2:V442),$V$2:$V$1001,0),1)&gt;=100000,INDEX($AC$1005:$AS$1005,1,MATCH(COLUMNS($AC$1006:AO1006),$AC$1006:$AS$1006,0))&gt;=100000), " ",IF(INDEX($AC$2:$AS$1001,MATCH(ROWS($V$2:V442),$V$2:$V$1001,0),MATCH(COLUMNS($AC$1006:AO1006),$AC$1006:$AS$1006,0)), HYPERLINK("#",""), HYPERLINK(CONCATENATE("#Metadata!", ADDRESS(INDEX($X$2:$X$1001,MATCH(ROWS($V$2:V442),$V$2:$V$1001,0),0), INDEX($AC$1004:$AS$1004,1,MATCH(COLUMNS($AC$1006:AO1006),$AC$1006:$AS$1006,0)))),"Fix")))</f>
        <v>0</v>
      </c>
      <c r="O442" s="5">
        <f>IF(OR(INDEX($W$2:$W$1001,MATCH(ROWS($V$2:V442),$V$2:$V$1001,0),1)&gt;=100000,INDEX($AC$1005:$AS$1005,1,MATCH(COLUMNS($AC$1006:AP1006),$AC$1006:$AS$1006,0))&gt;=100000), " ",IF(INDEX($AC$2:$AS$1001,MATCH(ROWS($V$2:V442),$V$2:$V$1001,0),MATCH(COLUMNS($AC$1006:AP1006),$AC$1006:$AS$1006,0)), HYPERLINK("#",""), HYPERLINK(CONCATENATE("#Metadata!", ADDRESS(INDEX($X$2:$X$1001,MATCH(ROWS($V$2:V442),$V$2:$V$1001,0),0), INDEX($AC$1004:$AS$1004,1,MATCH(COLUMNS($AC$1006:AP1006),$AC$1006:$AS$1006,0)))),"Fix")))</f>
        <v>0</v>
      </c>
      <c r="P442" s="5">
        <f>IF(OR(INDEX($W$2:$W$1001,MATCH(ROWS($V$2:V442),$V$2:$V$1001,0),1)&gt;=100000,INDEX($AC$1005:$AS$1005,1,MATCH(COLUMNS($AC$1006:AQ1006),$AC$1006:$AS$1006,0))&gt;=100000), " ",IF(INDEX($AC$2:$AS$1001,MATCH(ROWS($V$2:V442),$V$2:$V$1001,0),MATCH(COLUMNS($AC$1006:AQ1006),$AC$1006:$AS$1006,0)), HYPERLINK("#",""), HYPERLINK(CONCATENATE("#Metadata!", ADDRESS(INDEX($X$2:$X$1001,MATCH(ROWS($V$2:V442),$V$2:$V$1001,0),0), INDEX($AC$1004:$AS$1004,1,MATCH(COLUMNS($AC$1006:AQ1006),$AC$1006:$AS$1006,0)))),"Fix")))</f>
        <v>0</v>
      </c>
      <c r="Q442" s="5">
        <f>IF(OR(INDEX($W$2:$W$1001,MATCH(ROWS($V$2:V442),$V$2:$V$1001,0),1)&gt;=100000,INDEX($AC$1005:$AS$1005,1,MATCH(COLUMNS($AC$1006:AR1006),$AC$1006:$AS$1006,0))&gt;=100000), " ",IF(INDEX($AC$2:$AS$1001,MATCH(ROWS($V$2:V442),$V$2:$V$1001,0),MATCH(COLUMNS($AC$1006:AR1006),$AC$1006:$AS$1006,0)), HYPERLINK("#",""), HYPERLINK(CONCATENATE("#Metadata!", ADDRESS(INDEX($X$2:$X$1001,MATCH(ROWS($V$2:V442),$V$2:$V$1001,0),0), INDEX($AC$1004:$AS$1004,1,MATCH(COLUMNS($AC$1006:AR1006),$AC$1006:$AS$1006,0)))),"Fix")))</f>
        <v>0</v>
      </c>
      <c r="R442" s="5">
        <f>IF(OR(INDEX($W$2:$W$1001,MATCH(ROWS($V$2:V442),$V$2:$V$1001,0),1)&gt;=100000,INDEX($AC$1005:$AS$1005,1,MATCH(COLUMNS($AC$1006:AS1006),$AC$1006:$AS$1006,0))&gt;=100000), " ",IF(INDEX($AC$2:$AS$1001,MATCH(ROWS($V$2:V442),$V$2:$V$1001,0),MATCH(COLUMNS($AC$1006:AS1006),$AC$1006:$AS$1006,0)), HYPERLINK("#",""), HYPERLINK(CONCATENATE("#Metadata!", ADDRESS(INDEX($X$2:$X$1001,MATCH(ROWS($V$2:V442),$V$2:$V$1001,0),0), INDEX($AC$1004:$AS$1004,1,MATCH(COLUMNS($AC$1006:AS1006),$AC$1006:$AS$1006,0)))),"Fix")))</f>
        <v>0</v>
      </c>
      <c r="V442">
        <v>0</v>
      </c>
      <c r="W442">
        <v>0</v>
      </c>
      <c r="X442">
        <v>0</v>
      </c>
      <c r="Y442">
        <f>IF(Z442,TRUE,AND(AC442:AS442))</f>
        <v>0</v>
      </c>
      <c r="Z442">
        <f>COUNTBLANK(Metadata!B442:R442)=COLUMNS(Metadata!B442:R442)</f>
        <v>0</v>
      </c>
      <c r="AA442">
        <v>0</v>
      </c>
      <c r="AC442">
        <f>AND(IF(Metadata!B442="",FALSE,TRUE),COUNTIF(Metadata!B:B, Metadata!B442) = 1,NOT(ISERROR(SUMPRODUCT(SEARCH(MID(Metadata!B442,ROW(INDIRECT("1:"&amp;LEN(Metadata!B442))), 1),"0123456789abcdefghijklmnopqrstuvwxyzABCDEFGHIJKLMNOPQRSTUVWXYZ.")))))</f>
        <v>0</v>
      </c>
      <c r="AD442">
        <f>AND(IF(Metadata!C442="",FALSE,TRUE),exact(Metadata!C442,"Host-associated"))</f>
        <v>0</v>
      </c>
      <c r="AE442">
        <f>AND(IF(Metadata!D442="",FALSE,TRUE),OR(exact(Metadata!D442,"Animal"),exact(Metadata!D442,"Fungus"),exact(Metadata!D442,"Plant")))</f>
        <v>0</v>
      </c>
      <c r="AF442">
        <f>AND(IF(Metadata!E442="",FALSE,TRUE),OR(exact(Metadata!E442,"Plant secretion"),exact(Metadata!E442,"Plant rhizosphere"),exact(Metadata!E442,"Plant surface"),exact(Metadata!E442,"Plant corpus"),exact(Metadata!E442,"Fungus surface"),exact(Metadata!E442,"Fungus corpus"),exact(Metadata!E442,"Animal surface"),exact(Metadata!E442,"Animal proximal gut"),exact(Metadata!E442,"Animal corpus"),exact(Metadata!E442,"Animal distal gut"),exact(Metadata!E442,"Animal secretion")))</f>
        <v>0</v>
      </c>
      <c r="AG442">
        <f>OR(AND(IF(Metadata!F442="",FALSE,TRUE),OR(exact(Metadata!F442,"not collected"),exact(Metadata!F442,"not provided"),exact(Metadata!F442,"restricted access"))),AND(IF(Metadata!F442="",FALSE,TRUE),OR(exact(Metadata!F442,"organism-associated habitat"),exact(Metadata!F442,"plant-associated habitat"),exact(Metadata!F442,"animal-associated habitat"),exact(Metadata!F442,"insecta-associated habitat"),exact(Metadata!F442,"mammalia-associated habitat"),exact(Metadata!F442,"human-associated habitat"),exact(Metadata!F442,"livestock-associated habitat"))))</f>
        <v>0</v>
      </c>
      <c r="AH442">
        <f>AND(IF(Metadata!G442="",FALSE,TRUE),exact(Metadata!G442,"host-associated"))</f>
        <v>0</v>
      </c>
      <c r="AI442">
        <f>OR(AND(IF(Metadata!H442="",FALSE,TRUE),OR(exact(Metadata!H442,"not collected"),exact(Metadata!H442,"not provided"))),AND(IF(Metadata!H442="",FALSE,ISNUMBER(VALUE(Metadata!H442))),Metadata!H442&gt;0))</f>
        <v>0</v>
      </c>
      <c r="AJ442">
        <f>AND(IF(Metadata!I442="",FALSE,TRUE),exact(Metadata!I442,"years"))</f>
        <v>0</v>
      </c>
      <c r="AK442">
        <f>IF(Metadata!J442="",FALSE,TRUE)</f>
        <v>0</v>
      </c>
      <c r="AL442">
        <f>OR(AND(IF(Metadata!K442="",FALSE,TRUE),OR(exact(Metadata!K442,"not collected"),exact(Metadata!K442,"not provided"))),AND(IF(Metadata!K442="",FALSE,ISNUMBER(VALUE(Metadata!K442))),Metadata!K442&gt;0))</f>
        <v>0</v>
      </c>
      <c r="AM442">
        <f>AND(IF(Metadata!L442="",FALSE,TRUE),exact(Metadata!L442,"cm"))</f>
        <v>0</v>
      </c>
      <c r="AN442">
        <f>IF(Metadata!M442="",FALSE,TRUE)</f>
        <v>0</v>
      </c>
      <c r="AO442">
        <f>OR(AND(IF(Metadata!N442="",FALSE,TRUE),OR(exact(Metadata!N442,"not applicable"),exact(Metadata!N442,"not collected"),exact(Metadata!N442,"not provided"))),AND(IF(Metadata!N442="",FALSE,IF(ISERROR(INT(Metadata!N442)),FALSE,INT(Metadata!N442)=Metadata!N442)),Metadata!N442&gt;0))</f>
        <v>0</v>
      </c>
      <c r="AP442">
        <f>OR(AND(IF(Metadata!O442="",FALSE,TRUE),OR(exact(Metadata!O442,"not collected"),exact(Metadata!O442,"not provided"))),AND(IF(Metadata!O442="",FALSE,ISNUMBER(VALUE(Metadata!O442))),Metadata!O442&gt;0))</f>
        <v>0</v>
      </c>
      <c r="AQ442">
        <f>AND(IF(Metadata!P442="",FALSE,TRUE),exact(Metadata!P442,"kg"))</f>
        <v>0</v>
      </c>
      <c r="AR442">
        <f>OR(AND(IF(Metadata!Q442="",FALSE,TRUE),OR(exact(Metadata!Q442,"not applicable"),exact(Metadata!Q442,"not collected"),exact(Metadata!Q442,"not provided"),exact(Metadata!Q442,"restricted access"))),IF(Metadata!Q442="",FALSE,IF(ISERROR(INT(Metadata!Q442)),FALSE,INT(Metadata!Q442)=Metadata!Q442)))</f>
        <v>0</v>
      </c>
      <c r="AS442">
        <f>AND(IF(Metadata!R442="",FALSE,TRUE),exact(Metadata!R442,"Not applicable"))</f>
        <v>0</v>
      </c>
    </row>
    <row r="443" spans="1:45">
      <c r="A443" s="4">
        <f>IF(B443=" "," ",HYPERLINK(CONCATENATE("#metadata!",ADDRESS(INDEX($X$2:$X$1001,MATCH(ROWS($V$2:V443),$V$2:$V$1001,0),0),2)),INDEX($AA$2:$AA$1001,MATCH(ROWS($V$2:V443),$V$2:$V$1001,0),0)))</f>
        <v>0</v>
      </c>
      <c r="B443" s="5">
        <f>IF(OR(INDEX($W$2:$W$1001,MATCH(ROWS($V$2:V443),$V$2:$V$1001,0),1)&gt;=100000,INDEX($AC$1005:$AS$1005,1,MATCH(COLUMNS($AC$1006:AC1006),$AC$1006:$AS$1006,0))&gt;=100000), " ",IF(INDEX($AC$2:$AS$1001,MATCH(ROWS($V$2:V443),$V$2:$V$1001,0),MATCH(COLUMNS($AC$1006:AC1006),$AC$1006:$AS$1006,0)), HYPERLINK("#",""), HYPERLINK(CONCATENATE("#Metadata!", ADDRESS(INDEX($X$2:$X$1001,MATCH(ROWS($V$2:V443),$V$2:$V$1001,0),0), INDEX($AC$1004:$AS$1004,1,MATCH(COLUMNS($AC$1006:AC1006),$AC$1006:$AS$1006,0)))),"Fix")))</f>
        <v>0</v>
      </c>
      <c r="C443" s="5">
        <f>IF(OR(INDEX($W$2:$W$1001,MATCH(ROWS($V$2:V443),$V$2:$V$1001,0),1)&gt;=100000,INDEX($AC$1005:$AS$1005,1,MATCH(COLUMNS($AC$1006:AD1006),$AC$1006:$AS$1006,0))&gt;=100000), " ",IF(INDEX($AC$2:$AS$1001,MATCH(ROWS($V$2:V443),$V$2:$V$1001,0),MATCH(COLUMNS($AC$1006:AD1006),$AC$1006:$AS$1006,0)), HYPERLINK("#",""), HYPERLINK(CONCATENATE("#Metadata!", ADDRESS(INDEX($X$2:$X$1001,MATCH(ROWS($V$2:V443),$V$2:$V$1001,0),0), INDEX($AC$1004:$AS$1004,1,MATCH(COLUMNS($AC$1006:AD1006),$AC$1006:$AS$1006,0)))),"Fix")))</f>
        <v>0</v>
      </c>
      <c r="D443" s="5">
        <f>IF(OR(INDEX($W$2:$W$1001,MATCH(ROWS($V$2:V443),$V$2:$V$1001,0),1)&gt;=100000,INDEX($AC$1005:$AS$1005,1,MATCH(COLUMNS($AC$1006:AE1006),$AC$1006:$AS$1006,0))&gt;=100000), " ",IF(INDEX($AC$2:$AS$1001,MATCH(ROWS($V$2:V443),$V$2:$V$1001,0),MATCH(COLUMNS($AC$1006:AE1006),$AC$1006:$AS$1006,0)), HYPERLINK("#",""), HYPERLINK(CONCATENATE("#Metadata!", ADDRESS(INDEX($X$2:$X$1001,MATCH(ROWS($V$2:V443),$V$2:$V$1001,0),0), INDEX($AC$1004:$AS$1004,1,MATCH(COLUMNS($AC$1006:AE1006),$AC$1006:$AS$1006,0)))),"Fix")))</f>
        <v>0</v>
      </c>
      <c r="E443" s="5">
        <f>IF(OR(INDEX($W$2:$W$1001,MATCH(ROWS($V$2:V443),$V$2:$V$1001,0),1)&gt;=100000,INDEX($AC$1005:$AS$1005,1,MATCH(COLUMNS($AC$1006:AF1006),$AC$1006:$AS$1006,0))&gt;=100000), " ",IF(INDEX($AC$2:$AS$1001,MATCH(ROWS($V$2:V443),$V$2:$V$1001,0),MATCH(COLUMNS($AC$1006:AF1006),$AC$1006:$AS$1006,0)), HYPERLINK("#",""), HYPERLINK(CONCATENATE("#Metadata!", ADDRESS(INDEX($X$2:$X$1001,MATCH(ROWS($V$2:V443),$V$2:$V$1001,0),0), INDEX($AC$1004:$AS$1004,1,MATCH(COLUMNS($AC$1006:AF1006),$AC$1006:$AS$1006,0)))),"Fix")))</f>
        <v>0</v>
      </c>
      <c r="F443" s="5">
        <f>IF(OR(INDEX($W$2:$W$1001,MATCH(ROWS($V$2:V443),$V$2:$V$1001,0),1)&gt;=100000,INDEX($AC$1005:$AS$1005,1,MATCH(COLUMNS($AC$1006:AG1006),$AC$1006:$AS$1006,0))&gt;=100000), " ",IF(INDEX($AC$2:$AS$1001,MATCH(ROWS($V$2:V443),$V$2:$V$1001,0),MATCH(COLUMNS($AC$1006:AG1006),$AC$1006:$AS$1006,0)), HYPERLINK("#",""), HYPERLINK(CONCATENATE("#Metadata!", ADDRESS(INDEX($X$2:$X$1001,MATCH(ROWS($V$2:V443),$V$2:$V$1001,0),0), INDEX($AC$1004:$AS$1004,1,MATCH(COLUMNS($AC$1006:AG1006),$AC$1006:$AS$1006,0)))),"Fix")))</f>
        <v>0</v>
      </c>
      <c r="G443" s="5">
        <f>IF(OR(INDEX($W$2:$W$1001,MATCH(ROWS($V$2:V443),$V$2:$V$1001,0),1)&gt;=100000,INDEX($AC$1005:$AS$1005,1,MATCH(COLUMNS($AC$1006:AH1006),$AC$1006:$AS$1006,0))&gt;=100000), " ",IF(INDEX($AC$2:$AS$1001,MATCH(ROWS($V$2:V443),$V$2:$V$1001,0),MATCH(COLUMNS($AC$1006:AH1006),$AC$1006:$AS$1006,0)), HYPERLINK("#",""), HYPERLINK(CONCATENATE("#Metadata!", ADDRESS(INDEX($X$2:$X$1001,MATCH(ROWS($V$2:V443),$V$2:$V$1001,0),0), INDEX($AC$1004:$AS$1004,1,MATCH(COLUMNS($AC$1006:AH1006),$AC$1006:$AS$1006,0)))),"Fix")))</f>
        <v>0</v>
      </c>
      <c r="H443" s="5">
        <f>IF(OR(INDEX($W$2:$W$1001,MATCH(ROWS($V$2:V443),$V$2:$V$1001,0),1)&gt;=100000,INDEX($AC$1005:$AS$1005,1,MATCH(COLUMNS($AC$1006:AI1006),$AC$1006:$AS$1006,0))&gt;=100000), " ",IF(INDEX($AC$2:$AS$1001,MATCH(ROWS($V$2:V443),$V$2:$V$1001,0),MATCH(COLUMNS($AC$1006:AI1006),$AC$1006:$AS$1006,0)), HYPERLINK("#",""), HYPERLINK(CONCATENATE("#Metadata!", ADDRESS(INDEX($X$2:$X$1001,MATCH(ROWS($V$2:V443),$V$2:$V$1001,0),0), INDEX($AC$1004:$AS$1004,1,MATCH(COLUMNS($AC$1006:AI1006),$AC$1006:$AS$1006,0)))),"Fix")))</f>
        <v>0</v>
      </c>
      <c r="I443" s="5">
        <f>IF(OR(INDEX($W$2:$W$1001,MATCH(ROWS($V$2:V443),$V$2:$V$1001,0),1)&gt;=100000,INDEX($AC$1005:$AS$1005,1,MATCH(COLUMNS($AC$1006:AJ1006),$AC$1006:$AS$1006,0))&gt;=100000), " ",IF(INDEX($AC$2:$AS$1001,MATCH(ROWS($V$2:V443),$V$2:$V$1001,0),MATCH(COLUMNS($AC$1006:AJ1006),$AC$1006:$AS$1006,0)), HYPERLINK("#",""), HYPERLINK(CONCATENATE("#Metadata!", ADDRESS(INDEX($X$2:$X$1001,MATCH(ROWS($V$2:V443),$V$2:$V$1001,0),0), INDEX($AC$1004:$AS$1004,1,MATCH(COLUMNS($AC$1006:AJ1006),$AC$1006:$AS$1006,0)))),"Fix")))</f>
        <v>0</v>
      </c>
      <c r="J443" s="5">
        <f>IF(OR(INDEX($W$2:$W$1001,MATCH(ROWS($V$2:V443),$V$2:$V$1001,0),1)&gt;=100000,INDEX($AC$1005:$AS$1005,1,MATCH(COLUMNS($AC$1006:AK1006),$AC$1006:$AS$1006,0))&gt;=100000), " ",IF(INDEX($AC$2:$AS$1001,MATCH(ROWS($V$2:V443),$V$2:$V$1001,0),MATCH(COLUMNS($AC$1006:AK1006),$AC$1006:$AS$1006,0)), HYPERLINK("#",""), HYPERLINK(CONCATENATE("#Metadata!", ADDRESS(INDEX($X$2:$X$1001,MATCH(ROWS($V$2:V443),$V$2:$V$1001,0),0), INDEX($AC$1004:$AS$1004,1,MATCH(COLUMNS($AC$1006:AK1006),$AC$1006:$AS$1006,0)))),"Fix")))</f>
        <v>0</v>
      </c>
      <c r="K443" s="5">
        <f>IF(OR(INDEX($W$2:$W$1001,MATCH(ROWS($V$2:V443),$V$2:$V$1001,0),1)&gt;=100000,INDEX($AC$1005:$AS$1005,1,MATCH(COLUMNS($AC$1006:AL1006),$AC$1006:$AS$1006,0))&gt;=100000), " ",IF(INDEX($AC$2:$AS$1001,MATCH(ROWS($V$2:V443),$V$2:$V$1001,0),MATCH(COLUMNS($AC$1006:AL1006),$AC$1006:$AS$1006,0)), HYPERLINK("#",""), HYPERLINK(CONCATENATE("#Metadata!", ADDRESS(INDEX($X$2:$X$1001,MATCH(ROWS($V$2:V443),$V$2:$V$1001,0),0), INDEX($AC$1004:$AS$1004,1,MATCH(COLUMNS($AC$1006:AL1006),$AC$1006:$AS$1006,0)))),"Fix")))</f>
        <v>0</v>
      </c>
      <c r="L443" s="5">
        <f>IF(OR(INDEX($W$2:$W$1001,MATCH(ROWS($V$2:V443),$V$2:$V$1001,0),1)&gt;=100000,INDEX($AC$1005:$AS$1005,1,MATCH(COLUMNS($AC$1006:AM1006),$AC$1006:$AS$1006,0))&gt;=100000), " ",IF(INDEX($AC$2:$AS$1001,MATCH(ROWS($V$2:V443),$V$2:$V$1001,0),MATCH(COLUMNS($AC$1006:AM1006),$AC$1006:$AS$1006,0)), HYPERLINK("#",""), HYPERLINK(CONCATENATE("#Metadata!", ADDRESS(INDEX($X$2:$X$1001,MATCH(ROWS($V$2:V443),$V$2:$V$1001,0),0), INDEX($AC$1004:$AS$1004,1,MATCH(COLUMNS($AC$1006:AM1006),$AC$1006:$AS$1006,0)))),"Fix")))</f>
        <v>0</v>
      </c>
      <c r="M443" s="5">
        <f>IF(OR(INDEX($W$2:$W$1001,MATCH(ROWS($V$2:V443),$V$2:$V$1001,0),1)&gt;=100000,INDEX($AC$1005:$AS$1005,1,MATCH(COLUMNS($AC$1006:AN1006),$AC$1006:$AS$1006,0))&gt;=100000), " ",IF(INDEX($AC$2:$AS$1001,MATCH(ROWS($V$2:V443),$V$2:$V$1001,0),MATCH(COLUMNS($AC$1006:AN1006),$AC$1006:$AS$1006,0)), HYPERLINK("#",""), HYPERLINK(CONCATENATE("#Metadata!", ADDRESS(INDEX($X$2:$X$1001,MATCH(ROWS($V$2:V443),$V$2:$V$1001,0),0), INDEX($AC$1004:$AS$1004,1,MATCH(COLUMNS($AC$1006:AN1006),$AC$1006:$AS$1006,0)))),"Fix")))</f>
        <v>0</v>
      </c>
      <c r="N443" s="5">
        <f>IF(OR(INDEX($W$2:$W$1001,MATCH(ROWS($V$2:V443),$V$2:$V$1001,0),1)&gt;=100000,INDEX($AC$1005:$AS$1005,1,MATCH(COLUMNS($AC$1006:AO1006),$AC$1006:$AS$1006,0))&gt;=100000), " ",IF(INDEX($AC$2:$AS$1001,MATCH(ROWS($V$2:V443),$V$2:$V$1001,0),MATCH(COLUMNS($AC$1006:AO1006),$AC$1006:$AS$1006,0)), HYPERLINK("#",""), HYPERLINK(CONCATENATE("#Metadata!", ADDRESS(INDEX($X$2:$X$1001,MATCH(ROWS($V$2:V443),$V$2:$V$1001,0),0), INDEX($AC$1004:$AS$1004,1,MATCH(COLUMNS($AC$1006:AO1006),$AC$1006:$AS$1006,0)))),"Fix")))</f>
        <v>0</v>
      </c>
      <c r="O443" s="5">
        <f>IF(OR(INDEX($W$2:$W$1001,MATCH(ROWS($V$2:V443),$V$2:$V$1001,0),1)&gt;=100000,INDEX($AC$1005:$AS$1005,1,MATCH(COLUMNS($AC$1006:AP1006),$AC$1006:$AS$1006,0))&gt;=100000), " ",IF(INDEX($AC$2:$AS$1001,MATCH(ROWS($V$2:V443),$V$2:$V$1001,0),MATCH(COLUMNS($AC$1006:AP1006),$AC$1006:$AS$1006,0)), HYPERLINK("#",""), HYPERLINK(CONCATENATE("#Metadata!", ADDRESS(INDEX($X$2:$X$1001,MATCH(ROWS($V$2:V443),$V$2:$V$1001,0),0), INDEX($AC$1004:$AS$1004,1,MATCH(COLUMNS($AC$1006:AP1006),$AC$1006:$AS$1006,0)))),"Fix")))</f>
        <v>0</v>
      </c>
      <c r="P443" s="5">
        <f>IF(OR(INDEX($W$2:$W$1001,MATCH(ROWS($V$2:V443),$V$2:$V$1001,0),1)&gt;=100000,INDEX($AC$1005:$AS$1005,1,MATCH(COLUMNS($AC$1006:AQ1006),$AC$1006:$AS$1006,0))&gt;=100000), " ",IF(INDEX($AC$2:$AS$1001,MATCH(ROWS($V$2:V443),$V$2:$V$1001,0),MATCH(COLUMNS($AC$1006:AQ1006),$AC$1006:$AS$1006,0)), HYPERLINK("#",""), HYPERLINK(CONCATENATE("#Metadata!", ADDRESS(INDEX($X$2:$X$1001,MATCH(ROWS($V$2:V443),$V$2:$V$1001,0),0), INDEX($AC$1004:$AS$1004,1,MATCH(COLUMNS($AC$1006:AQ1006),$AC$1006:$AS$1006,0)))),"Fix")))</f>
        <v>0</v>
      </c>
      <c r="Q443" s="5">
        <f>IF(OR(INDEX($W$2:$W$1001,MATCH(ROWS($V$2:V443),$V$2:$V$1001,0),1)&gt;=100000,INDEX($AC$1005:$AS$1005,1,MATCH(COLUMNS($AC$1006:AR1006),$AC$1006:$AS$1006,0))&gt;=100000), " ",IF(INDEX($AC$2:$AS$1001,MATCH(ROWS($V$2:V443),$V$2:$V$1001,0),MATCH(COLUMNS($AC$1006:AR1006),$AC$1006:$AS$1006,0)), HYPERLINK("#",""), HYPERLINK(CONCATENATE("#Metadata!", ADDRESS(INDEX($X$2:$X$1001,MATCH(ROWS($V$2:V443),$V$2:$V$1001,0),0), INDEX($AC$1004:$AS$1004,1,MATCH(COLUMNS($AC$1006:AR1006),$AC$1006:$AS$1006,0)))),"Fix")))</f>
        <v>0</v>
      </c>
      <c r="R443" s="5">
        <f>IF(OR(INDEX($W$2:$W$1001,MATCH(ROWS($V$2:V443),$V$2:$V$1001,0),1)&gt;=100000,INDEX($AC$1005:$AS$1005,1,MATCH(COLUMNS($AC$1006:AS1006),$AC$1006:$AS$1006,0))&gt;=100000), " ",IF(INDEX($AC$2:$AS$1001,MATCH(ROWS($V$2:V443),$V$2:$V$1001,0),MATCH(COLUMNS($AC$1006:AS1006),$AC$1006:$AS$1006,0)), HYPERLINK("#",""), HYPERLINK(CONCATENATE("#Metadata!", ADDRESS(INDEX($X$2:$X$1001,MATCH(ROWS($V$2:V443),$V$2:$V$1001,0),0), INDEX($AC$1004:$AS$1004,1,MATCH(COLUMNS($AC$1006:AS1006),$AC$1006:$AS$1006,0)))),"Fix")))</f>
        <v>0</v>
      </c>
      <c r="V443">
        <v>0</v>
      </c>
      <c r="W443">
        <v>0</v>
      </c>
      <c r="X443">
        <v>0</v>
      </c>
      <c r="Y443">
        <f>IF(Z443,TRUE,AND(AC443:AS443))</f>
        <v>0</v>
      </c>
      <c r="Z443">
        <f>COUNTBLANK(Metadata!B443:R443)=COLUMNS(Metadata!B443:R443)</f>
        <v>0</v>
      </c>
      <c r="AA443">
        <v>0</v>
      </c>
      <c r="AC443">
        <f>AND(IF(Metadata!B443="",FALSE,TRUE),COUNTIF(Metadata!B:B, Metadata!B443) = 1,NOT(ISERROR(SUMPRODUCT(SEARCH(MID(Metadata!B443,ROW(INDIRECT("1:"&amp;LEN(Metadata!B443))), 1),"0123456789abcdefghijklmnopqrstuvwxyzABCDEFGHIJKLMNOPQRSTUVWXYZ.")))))</f>
        <v>0</v>
      </c>
      <c r="AD443">
        <f>AND(IF(Metadata!C443="",FALSE,TRUE),exact(Metadata!C443,"Host-associated"))</f>
        <v>0</v>
      </c>
      <c r="AE443">
        <f>AND(IF(Metadata!D443="",FALSE,TRUE),OR(exact(Metadata!D443,"Animal"),exact(Metadata!D443,"Fungus"),exact(Metadata!D443,"Plant")))</f>
        <v>0</v>
      </c>
      <c r="AF443">
        <f>AND(IF(Metadata!E443="",FALSE,TRUE),OR(exact(Metadata!E443,"Plant secretion"),exact(Metadata!E443,"Plant rhizosphere"),exact(Metadata!E443,"Plant surface"),exact(Metadata!E443,"Plant corpus"),exact(Metadata!E443,"Fungus surface"),exact(Metadata!E443,"Fungus corpus"),exact(Metadata!E443,"Animal surface"),exact(Metadata!E443,"Animal proximal gut"),exact(Metadata!E443,"Animal corpus"),exact(Metadata!E443,"Animal distal gut"),exact(Metadata!E443,"Animal secretion")))</f>
        <v>0</v>
      </c>
      <c r="AG443">
        <f>OR(AND(IF(Metadata!F443="",FALSE,TRUE),OR(exact(Metadata!F443,"not collected"),exact(Metadata!F443,"not provided"),exact(Metadata!F443,"restricted access"))),AND(IF(Metadata!F443="",FALSE,TRUE),OR(exact(Metadata!F443,"organism-associated habitat"),exact(Metadata!F443,"plant-associated habitat"),exact(Metadata!F443,"animal-associated habitat"),exact(Metadata!F443,"insecta-associated habitat"),exact(Metadata!F443,"mammalia-associated habitat"),exact(Metadata!F443,"human-associated habitat"),exact(Metadata!F443,"livestock-associated habitat"))))</f>
        <v>0</v>
      </c>
      <c r="AH443">
        <f>AND(IF(Metadata!G443="",FALSE,TRUE),exact(Metadata!G443,"host-associated"))</f>
        <v>0</v>
      </c>
      <c r="AI443">
        <f>OR(AND(IF(Metadata!H443="",FALSE,TRUE),OR(exact(Metadata!H443,"not collected"),exact(Metadata!H443,"not provided"))),AND(IF(Metadata!H443="",FALSE,ISNUMBER(VALUE(Metadata!H443))),Metadata!H443&gt;0))</f>
        <v>0</v>
      </c>
      <c r="AJ443">
        <f>AND(IF(Metadata!I443="",FALSE,TRUE),exact(Metadata!I443,"years"))</f>
        <v>0</v>
      </c>
      <c r="AK443">
        <f>IF(Metadata!J443="",FALSE,TRUE)</f>
        <v>0</v>
      </c>
      <c r="AL443">
        <f>OR(AND(IF(Metadata!K443="",FALSE,TRUE),OR(exact(Metadata!K443,"not collected"),exact(Metadata!K443,"not provided"))),AND(IF(Metadata!K443="",FALSE,ISNUMBER(VALUE(Metadata!K443))),Metadata!K443&gt;0))</f>
        <v>0</v>
      </c>
      <c r="AM443">
        <f>AND(IF(Metadata!L443="",FALSE,TRUE),exact(Metadata!L443,"cm"))</f>
        <v>0</v>
      </c>
      <c r="AN443">
        <f>IF(Metadata!M443="",FALSE,TRUE)</f>
        <v>0</v>
      </c>
      <c r="AO443">
        <f>OR(AND(IF(Metadata!N443="",FALSE,TRUE),OR(exact(Metadata!N443,"not applicable"),exact(Metadata!N443,"not collected"),exact(Metadata!N443,"not provided"))),AND(IF(Metadata!N443="",FALSE,IF(ISERROR(INT(Metadata!N443)),FALSE,INT(Metadata!N443)=Metadata!N443)),Metadata!N443&gt;0))</f>
        <v>0</v>
      </c>
      <c r="AP443">
        <f>OR(AND(IF(Metadata!O443="",FALSE,TRUE),OR(exact(Metadata!O443,"not collected"),exact(Metadata!O443,"not provided"))),AND(IF(Metadata!O443="",FALSE,ISNUMBER(VALUE(Metadata!O443))),Metadata!O443&gt;0))</f>
        <v>0</v>
      </c>
      <c r="AQ443">
        <f>AND(IF(Metadata!P443="",FALSE,TRUE),exact(Metadata!P443,"kg"))</f>
        <v>0</v>
      </c>
      <c r="AR443">
        <f>OR(AND(IF(Metadata!Q443="",FALSE,TRUE),OR(exact(Metadata!Q443,"not applicable"),exact(Metadata!Q443,"not collected"),exact(Metadata!Q443,"not provided"),exact(Metadata!Q443,"restricted access"))),IF(Metadata!Q443="",FALSE,IF(ISERROR(INT(Metadata!Q443)),FALSE,INT(Metadata!Q443)=Metadata!Q443)))</f>
        <v>0</v>
      </c>
      <c r="AS443">
        <f>AND(IF(Metadata!R443="",FALSE,TRUE),exact(Metadata!R443,"Not applicable"))</f>
        <v>0</v>
      </c>
    </row>
    <row r="444" spans="1:45">
      <c r="A444" s="4">
        <f>IF(B444=" "," ",HYPERLINK(CONCATENATE("#metadata!",ADDRESS(INDEX($X$2:$X$1001,MATCH(ROWS($V$2:V444),$V$2:$V$1001,0),0),2)),INDEX($AA$2:$AA$1001,MATCH(ROWS($V$2:V444),$V$2:$V$1001,0),0)))</f>
        <v>0</v>
      </c>
      <c r="B444" s="5">
        <f>IF(OR(INDEX($W$2:$W$1001,MATCH(ROWS($V$2:V444),$V$2:$V$1001,0),1)&gt;=100000,INDEX($AC$1005:$AS$1005,1,MATCH(COLUMNS($AC$1006:AC1006),$AC$1006:$AS$1006,0))&gt;=100000), " ",IF(INDEX($AC$2:$AS$1001,MATCH(ROWS($V$2:V444),$V$2:$V$1001,0),MATCH(COLUMNS($AC$1006:AC1006),$AC$1006:$AS$1006,0)), HYPERLINK("#",""), HYPERLINK(CONCATENATE("#Metadata!", ADDRESS(INDEX($X$2:$X$1001,MATCH(ROWS($V$2:V444),$V$2:$V$1001,0),0), INDEX($AC$1004:$AS$1004,1,MATCH(COLUMNS($AC$1006:AC1006),$AC$1006:$AS$1006,0)))),"Fix")))</f>
        <v>0</v>
      </c>
      <c r="C444" s="5">
        <f>IF(OR(INDEX($W$2:$W$1001,MATCH(ROWS($V$2:V444),$V$2:$V$1001,0),1)&gt;=100000,INDEX($AC$1005:$AS$1005,1,MATCH(COLUMNS($AC$1006:AD1006),$AC$1006:$AS$1006,0))&gt;=100000), " ",IF(INDEX($AC$2:$AS$1001,MATCH(ROWS($V$2:V444),$V$2:$V$1001,0),MATCH(COLUMNS($AC$1006:AD1006),$AC$1006:$AS$1006,0)), HYPERLINK("#",""), HYPERLINK(CONCATENATE("#Metadata!", ADDRESS(INDEX($X$2:$X$1001,MATCH(ROWS($V$2:V444),$V$2:$V$1001,0),0), INDEX($AC$1004:$AS$1004,1,MATCH(COLUMNS($AC$1006:AD1006),$AC$1006:$AS$1006,0)))),"Fix")))</f>
        <v>0</v>
      </c>
      <c r="D444" s="5">
        <f>IF(OR(INDEX($W$2:$W$1001,MATCH(ROWS($V$2:V444),$V$2:$V$1001,0),1)&gt;=100000,INDEX($AC$1005:$AS$1005,1,MATCH(COLUMNS($AC$1006:AE1006),$AC$1006:$AS$1006,0))&gt;=100000), " ",IF(INDEX($AC$2:$AS$1001,MATCH(ROWS($V$2:V444),$V$2:$V$1001,0),MATCH(COLUMNS($AC$1006:AE1006),$AC$1006:$AS$1006,0)), HYPERLINK("#",""), HYPERLINK(CONCATENATE("#Metadata!", ADDRESS(INDEX($X$2:$X$1001,MATCH(ROWS($V$2:V444),$V$2:$V$1001,0),0), INDEX($AC$1004:$AS$1004,1,MATCH(COLUMNS($AC$1006:AE1006),$AC$1006:$AS$1006,0)))),"Fix")))</f>
        <v>0</v>
      </c>
      <c r="E444" s="5">
        <f>IF(OR(INDEX($W$2:$W$1001,MATCH(ROWS($V$2:V444),$V$2:$V$1001,0),1)&gt;=100000,INDEX($AC$1005:$AS$1005,1,MATCH(COLUMNS($AC$1006:AF1006),$AC$1006:$AS$1006,0))&gt;=100000), " ",IF(INDEX($AC$2:$AS$1001,MATCH(ROWS($V$2:V444),$V$2:$V$1001,0),MATCH(COLUMNS($AC$1006:AF1006),$AC$1006:$AS$1006,0)), HYPERLINK("#",""), HYPERLINK(CONCATENATE("#Metadata!", ADDRESS(INDEX($X$2:$X$1001,MATCH(ROWS($V$2:V444),$V$2:$V$1001,0),0), INDEX($AC$1004:$AS$1004,1,MATCH(COLUMNS($AC$1006:AF1006),$AC$1006:$AS$1006,0)))),"Fix")))</f>
        <v>0</v>
      </c>
      <c r="F444" s="5">
        <f>IF(OR(INDEX($W$2:$W$1001,MATCH(ROWS($V$2:V444),$V$2:$V$1001,0),1)&gt;=100000,INDEX($AC$1005:$AS$1005,1,MATCH(COLUMNS($AC$1006:AG1006),$AC$1006:$AS$1006,0))&gt;=100000), " ",IF(INDEX($AC$2:$AS$1001,MATCH(ROWS($V$2:V444),$V$2:$V$1001,0),MATCH(COLUMNS($AC$1006:AG1006),$AC$1006:$AS$1006,0)), HYPERLINK("#",""), HYPERLINK(CONCATENATE("#Metadata!", ADDRESS(INDEX($X$2:$X$1001,MATCH(ROWS($V$2:V444),$V$2:$V$1001,0),0), INDEX($AC$1004:$AS$1004,1,MATCH(COLUMNS($AC$1006:AG1006),$AC$1006:$AS$1006,0)))),"Fix")))</f>
        <v>0</v>
      </c>
      <c r="G444" s="5">
        <f>IF(OR(INDEX($W$2:$W$1001,MATCH(ROWS($V$2:V444),$V$2:$V$1001,0),1)&gt;=100000,INDEX($AC$1005:$AS$1005,1,MATCH(COLUMNS($AC$1006:AH1006),$AC$1006:$AS$1006,0))&gt;=100000), " ",IF(INDEX($AC$2:$AS$1001,MATCH(ROWS($V$2:V444),$V$2:$V$1001,0),MATCH(COLUMNS($AC$1006:AH1006),$AC$1006:$AS$1006,0)), HYPERLINK("#",""), HYPERLINK(CONCATENATE("#Metadata!", ADDRESS(INDEX($X$2:$X$1001,MATCH(ROWS($V$2:V444),$V$2:$V$1001,0),0), INDEX($AC$1004:$AS$1004,1,MATCH(COLUMNS($AC$1006:AH1006),$AC$1006:$AS$1006,0)))),"Fix")))</f>
        <v>0</v>
      </c>
      <c r="H444" s="5">
        <f>IF(OR(INDEX($W$2:$W$1001,MATCH(ROWS($V$2:V444),$V$2:$V$1001,0),1)&gt;=100000,INDEX($AC$1005:$AS$1005,1,MATCH(COLUMNS($AC$1006:AI1006),$AC$1006:$AS$1006,0))&gt;=100000), " ",IF(INDEX($AC$2:$AS$1001,MATCH(ROWS($V$2:V444),$V$2:$V$1001,0),MATCH(COLUMNS($AC$1006:AI1006),$AC$1006:$AS$1006,0)), HYPERLINK("#",""), HYPERLINK(CONCATENATE("#Metadata!", ADDRESS(INDEX($X$2:$X$1001,MATCH(ROWS($V$2:V444),$V$2:$V$1001,0),0), INDEX($AC$1004:$AS$1004,1,MATCH(COLUMNS($AC$1006:AI1006),$AC$1006:$AS$1006,0)))),"Fix")))</f>
        <v>0</v>
      </c>
      <c r="I444" s="5">
        <f>IF(OR(INDEX($W$2:$W$1001,MATCH(ROWS($V$2:V444),$V$2:$V$1001,0),1)&gt;=100000,INDEX($AC$1005:$AS$1005,1,MATCH(COLUMNS($AC$1006:AJ1006),$AC$1006:$AS$1006,0))&gt;=100000), " ",IF(INDEX($AC$2:$AS$1001,MATCH(ROWS($V$2:V444),$V$2:$V$1001,0),MATCH(COLUMNS($AC$1006:AJ1006),$AC$1006:$AS$1006,0)), HYPERLINK("#",""), HYPERLINK(CONCATENATE("#Metadata!", ADDRESS(INDEX($X$2:$X$1001,MATCH(ROWS($V$2:V444),$V$2:$V$1001,0),0), INDEX($AC$1004:$AS$1004,1,MATCH(COLUMNS($AC$1006:AJ1006),$AC$1006:$AS$1006,0)))),"Fix")))</f>
        <v>0</v>
      </c>
      <c r="J444" s="5">
        <f>IF(OR(INDEX($W$2:$W$1001,MATCH(ROWS($V$2:V444),$V$2:$V$1001,0),1)&gt;=100000,INDEX($AC$1005:$AS$1005,1,MATCH(COLUMNS($AC$1006:AK1006),$AC$1006:$AS$1006,0))&gt;=100000), " ",IF(INDEX($AC$2:$AS$1001,MATCH(ROWS($V$2:V444),$V$2:$V$1001,0),MATCH(COLUMNS($AC$1006:AK1006),$AC$1006:$AS$1006,0)), HYPERLINK("#",""), HYPERLINK(CONCATENATE("#Metadata!", ADDRESS(INDEX($X$2:$X$1001,MATCH(ROWS($V$2:V444),$V$2:$V$1001,0),0), INDEX($AC$1004:$AS$1004,1,MATCH(COLUMNS($AC$1006:AK1006),$AC$1006:$AS$1006,0)))),"Fix")))</f>
        <v>0</v>
      </c>
      <c r="K444" s="5">
        <f>IF(OR(INDEX($W$2:$W$1001,MATCH(ROWS($V$2:V444),$V$2:$V$1001,0),1)&gt;=100000,INDEX($AC$1005:$AS$1005,1,MATCH(COLUMNS($AC$1006:AL1006),$AC$1006:$AS$1006,0))&gt;=100000), " ",IF(INDEX($AC$2:$AS$1001,MATCH(ROWS($V$2:V444),$V$2:$V$1001,0),MATCH(COLUMNS($AC$1006:AL1006),$AC$1006:$AS$1006,0)), HYPERLINK("#",""), HYPERLINK(CONCATENATE("#Metadata!", ADDRESS(INDEX($X$2:$X$1001,MATCH(ROWS($V$2:V444),$V$2:$V$1001,0),0), INDEX($AC$1004:$AS$1004,1,MATCH(COLUMNS($AC$1006:AL1006),$AC$1006:$AS$1006,0)))),"Fix")))</f>
        <v>0</v>
      </c>
      <c r="L444" s="5">
        <f>IF(OR(INDEX($W$2:$W$1001,MATCH(ROWS($V$2:V444),$V$2:$V$1001,0),1)&gt;=100000,INDEX($AC$1005:$AS$1005,1,MATCH(COLUMNS($AC$1006:AM1006),$AC$1006:$AS$1006,0))&gt;=100000), " ",IF(INDEX($AC$2:$AS$1001,MATCH(ROWS($V$2:V444),$V$2:$V$1001,0),MATCH(COLUMNS($AC$1006:AM1006),$AC$1006:$AS$1006,0)), HYPERLINK("#",""), HYPERLINK(CONCATENATE("#Metadata!", ADDRESS(INDEX($X$2:$X$1001,MATCH(ROWS($V$2:V444),$V$2:$V$1001,0),0), INDEX($AC$1004:$AS$1004,1,MATCH(COLUMNS($AC$1006:AM1006),$AC$1006:$AS$1006,0)))),"Fix")))</f>
        <v>0</v>
      </c>
      <c r="M444" s="5">
        <f>IF(OR(INDEX($W$2:$W$1001,MATCH(ROWS($V$2:V444),$V$2:$V$1001,0),1)&gt;=100000,INDEX($AC$1005:$AS$1005,1,MATCH(COLUMNS($AC$1006:AN1006),$AC$1006:$AS$1006,0))&gt;=100000), " ",IF(INDEX($AC$2:$AS$1001,MATCH(ROWS($V$2:V444),$V$2:$V$1001,0),MATCH(COLUMNS($AC$1006:AN1006),$AC$1006:$AS$1006,0)), HYPERLINK("#",""), HYPERLINK(CONCATENATE("#Metadata!", ADDRESS(INDEX($X$2:$X$1001,MATCH(ROWS($V$2:V444),$V$2:$V$1001,0),0), INDEX($AC$1004:$AS$1004,1,MATCH(COLUMNS($AC$1006:AN1006),$AC$1006:$AS$1006,0)))),"Fix")))</f>
        <v>0</v>
      </c>
      <c r="N444" s="5">
        <f>IF(OR(INDEX($W$2:$W$1001,MATCH(ROWS($V$2:V444),$V$2:$V$1001,0),1)&gt;=100000,INDEX($AC$1005:$AS$1005,1,MATCH(COLUMNS($AC$1006:AO1006),$AC$1006:$AS$1006,0))&gt;=100000), " ",IF(INDEX($AC$2:$AS$1001,MATCH(ROWS($V$2:V444),$V$2:$V$1001,0),MATCH(COLUMNS($AC$1006:AO1006),$AC$1006:$AS$1006,0)), HYPERLINK("#",""), HYPERLINK(CONCATENATE("#Metadata!", ADDRESS(INDEX($X$2:$X$1001,MATCH(ROWS($V$2:V444),$V$2:$V$1001,0),0), INDEX($AC$1004:$AS$1004,1,MATCH(COLUMNS($AC$1006:AO1006),$AC$1006:$AS$1006,0)))),"Fix")))</f>
        <v>0</v>
      </c>
      <c r="O444" s="5">
        <f>IF(OR(INDEX($W$2:$W$1001,MATCH(ROWS($V$2:V444),$V$2:$V$1001,0),1)&gt;=100000,INDEX($AC$1005:$AS$1005,1,MATCH(COLUMNS($AC$1006:AP1006),$AC$1006:$AS$1006,0))&gt;=100000), " ",IF(INDEX($AC$2:$AS$1001,MATCH(ROWS($V$2:V444),$V$2:$V$1001,0),MATCH(COLUMNS($AC$1006:AP1006),$AC$1006:$AS$1006,0)), HYPERLINK("#",""), HYPERLINK(CONCATENATE("#Metadata!", ADDRESS(INDEX($X$2:$X$1001,MATCH(ROWS($V$2:V444),$V$2:$V$1001,0),0), INDEX($AC$1004:$AS$1004,1,MATCH(COLUMNS($AC$1006:AP1006),$AC$1006:$AS$1006,0)))),"Fix")))</f>
        <v>0</v>
      </c>
      <c r="P444" s="5">
        <f>IF(OR(INDEX($W$2:$W$1001,MATCH(ROWS($V$2:V444),$V$2:$V$1001,0),1)&gt;=100000,INDEX($AC$1005:$AS$1005,1,MATCH(COLUMNS($AC$1006:AQ1006),$AC$1006:$AS$1006,0))&gt;=100000), " ",IF(INDEX($AC$2:$AS$1001,MATCH(ROWS($V$2:V444),$V$2:$V$1001,0),MATCH(COLUMNS($AC$1006:AQ1006),$AC$1006:$AS$1006,0)), HYPERLINK("#",""), HYPERLINK(CONCATENATE("#Metadata!", ADDRESS(INDEX($X$2:$X$1001,MATCH(ROWS($V$2:V444),$V$2:$V$1001,0),0), INDEX($AC$1004:$AS$1004,1,MATCH(COLUMNS($AC$1006:AQ1006),$AC$1006:$AS$1006,0)))),"Fix")))</f>
        <v>0</v>
      </c>
      <c r="Q444" s="5">
        <f>IF(OR(INDEX($W$2:$W$1001,MATCH(ROWS($V$2:V444),$V$2:$V$1001,0),1)&gt;=100000,INDEX($AC$1005:$AS$1005,1,MATCH(COLUMNS($AC$1006:AR1006),$AC$1006:$AS$1006,0))&gt;=100000), " ",IF(INDEX($AC$2:$AS$1001,MATCH(ROWS($V$2:V444),$V$2:$V$1001,0),MATCH(COLUMNS($AC$1006:AR1006),$AC$1006:$AS$1006,0)), HYPERLINK("#",""), HYPERLINK(CONCATENATE("#Metadata!", ADDRESS(INDEX($X$2:$X$1001,MATCH(ROWS($V$2:V444),$V$2:$V$1001,0),0), INDEX($AC$1004:$AS$1004,1,MATCH(COLUMNS($AC$1006:AR1006),$AC$1006:$AS$1006,0)))),"Fix")))</f>
        <v>0</v>
      </c>
      <c r="R444" s="5">
        <f>IF(OR(INDEX($W$2:$W$1001,MATCH(ROWS($V$2:V444),$V$2:$V$1001,0),1)&gt;=100000,INDEX($AC$1005:$AS$1005,1,MATCH(COLUMNS($AC$1006:AS1006),$AC$1006:$AS$1006,0))&gt;=100000), " ",IF(INDEX($AC$2:$AS$1001,MATCH(ROWS($V$2:V444),$V$2:$V$1001,0),MATCH(COLUMNS($AC$1006:AS1006),$AC$1006:$AS$1006,0)), HYPERLINK("#",""), HYPERLINK(CONCATENATE("#Metadata!", ADDRESS(INDEX($X$2:$X$1001,MATCH(ROWS($V$2:V444),$V$2:$V$1001,0),0), INDEX($AC$1004:$AS$1004,1,MATCH(COLUMNS($AC$1006:AS1006),$AC$1006:$AS$1006,0)))),"Fix")))</f>
        <v>0</v>
      </c>
      <c r="V444">
        <v>0</v>
      </c>
      <c r="W444">
        <v>0</v>
      </c>
      <c r="X444">
        <v>0</v>
      </c>
      <c r="Y444">
        <f>IF(Z444,TRUE,AND(AC444:AS444))</f>
        <v>0</v>
      </c>
      <c r="Z444">
        <f>COUNTBLANK(Metadata!B444:R444)=COLUMNS(Metadata!B444:R444)</f>
        <v>0</v>
      </c>
      <c r="AA444">
        <v>0</v>
      </c>
      <c r="AC444">
        <f>AND(IF(Metadata!B444="",FALSE,TRUE),COUNTIF(Metadata!B:B, Metadata!B444) = 1,NOT(ISERROR(SUMPRODUCT(SEARCH(MID(Metadata!B444,ROW(INDIRECT("1:"&amp;LEN(Metadata!B444))), 1),"0123456789abcdefghijklmnopqrstuvwxyzABCDEFGHIJKLMNOPQRSTUVWXYZ.")))))</f>
        <v>0</v>
      </c>
      <c r="AD444">
        <f>AND(IF(Metadata!C444="",FALSE,TRUE),exact(Metadata!C444,"Host-associated"))</f>
        <v>0</v>
      </c>
      <c r="AE444">
        <f>AND(IF(Metadata!D444="",FALSE,TRUE),OR(exact(Metadata!D444,"Animal"),exact(Metadata!D444,"Fungus"),exact(Metadata!D444,"Plant")))</f>
        <v>0</v>
      </c>
      <c r="AF444">
        <f>AND(IF(Metadata!E444="",FALSE,TRUE),OR(exact(Metadata!E444,"Plant secretion"),exact(Metadata!E444,"Plant rhizosphere"),exact(Metadata!E444,"Plant surface"),exact(Metadata!E444,"Plant corpus"),exact(Metadata!E444,"Fungus surface"),exact(Metadata!E444,"Fungus corpus"),exact(Metadata!E444,"Animal surface"),exact(Metadata!E444,"Animal proximal gut"),exact(Metadata!E444,"Animal corpus"),exact(Metadata!E444,"Animal distal gut"),exact(Metadata!E444,"Animal secretion")))</f>
        <v>0</v>
      </c>
      <c r="AG444">
        <f>OR(AND(IF(Metadata!F444="",FALSE,TRUE),OR(exact(Metadata!F444,"not collected"),exact(Metadata!F444,"not provided"),exact(Metadata!F444,"restricted access"))),AND(IF(Metadata!F444="",FALSE,TRUE),OR(exact(Metadata!F444,"organism-associated habitat"),exact(Metadata!F444,"plant-associated habitat"),exact(Metadata!F444,"animal-associated habitat"),exact(Metadata!F444,"insecta-associated habitat"),exact(Metadata!F444,"mammalia-associated habitat"),exact(Metadata!F444,"human-associated habitat"),exact(Metadata!F444,"livestock-associated habitat"))))</f>
        <v>0</v>
      </c>
      <c r="AH444">
        <f>AND(IF(Metadata!G444="",FALSE,TRUE),exact(Metadata!G444,"host-associated"))</f>
        <v>0</v>
      </c>
      <c r="AI444">
        <f>OR(AND(IF(Metadata!H444="",FALSE,TRUE),OR(exact(Metadata!H444,"not collected"),exact(Metadata!H444,"not provided"))),AND(IF(Metadata!H444="",FALSE,ISNUMBER(VALUE(Metadata!H444))),Metadata!H444&gt;0))</f>
        <v>0</v>
      </c>
      <c r="AJ444">
        <f>AND(IF(Metadata!I444="",FALSE,TRUE),exact(Metadata!I444,"years"))</f>
        <v>0</v>
      </c>
      <c r="AK444">
        <f>IF(Metadata!J444="",FALSE,TRUE)</f>
        <v>0</v>
      </c>
      <c r="AL444">
        <f>OR(AND(IF(Metadata!K444="",FALSE,TRUE),OR(exact(Metadata!K444,"not collected"),exact(Metadata!K444,"not provided"))),AND(IF(Metadata!K444="",FALSE,ISNUMBER(VALUE(Metadata!K444))),Metadata!K444&gt;0))</f>
        <v>0</v>
      </c>
      <c r="AM444">
        <f>AND(IF(Metadata!L444="",FALSE,TRUE),exact(Metadata!L444,"cm"))</f>
        <v>0</v>
      </c>
      <c r="AN444">
        <f>IF(Metadata!M444="",FALSE,TRUE)</f>
        <v>0</v>
      </c>
      <c r="AO444">
        <f>OR(AND(IF(Metadata!N444="",FALSE,TRUE),OR(exact(Metadata!N444,"not applicable"),exact(Metadata!N444,"not collected"),exact(Metadata!N444,"not provided"))),AND(IF(Metadata!N444="",FALSE,IF(ISERROR(INT(Metadata!N444)),FALSE,INT(Metadata!N444)=Metadata!N444)),Metadata!N444&gt;0))</f>
        <v>0</v>
      </c>
      <c r="AP444">
        <f>OR(AND(IF(Metadata!O444="",FALSE,TRUE),OR(exact(Metadata!O444,"not collected"),exact(Metadata!O444,"not provided"))),AND(IF(Metadata!O444="",FALSE,ISNUMBER(VALUE(Metadata!O444))),Metadata!O444&gt;0))</f>
        <v>0</v>
      </c>
      <c r="AQ444">
        <f>AND(IF(Metadata!P444="",FALSE,TRUE),exact(Metadata!P444,"kg"))</f>
        <v>0</v>
      </c>
      <c r="AR444">
        <f>OR(AND(IF(Metadata!Q444="",FALSE,TRUE),OR(exact(Metadata!Q444,"not applicable"),exact(Metadata!Q444,"not collected"),exact(Metadata!Q444,"not provided"),exact(Metadata!Q444,"restricted access"))),IF(Metadata!Q444="",FALSE,IF(ISERROR(INT(Metadata!Q444)),FALSE,INT(Metadata!Q444)=Metadata!Q444)))</f>
        <v>0</v>
      </c>
      <c r="AS444">
        <f>AND(IF(Metadata!R444="",FALSE,TRUE),exact(Metadata!R444,"Not applicable"))</f>
        <v>0</v>
      </c>
    </row>
    <row r="445" spans="1:45">
      <c r="A445" s="4">
        <f>IF(B445=" "," ",HYPERLINK(CONCATENATE("#metadata!",ADDRESS(INDEX($X$2:$X$1001,MATCH(ROWS($V$2:V445),$V$2:$V$1001,0),0),2)),INDEX($AA$2:$AA$1001,MATCH(ROWS($V$2:V445),$V$2:$V$1001,0),0)))</f>
        <v>0</v>
      </c>
      <c r="B445" s="5">
        <f>IF(OR(INDEX($W$2:$W$1001,MATCH(ROWS($V$2:V445),$V$2:$V$1001,0),1)&gt;=100000,INDEX($AC$1005:$AS$1005,1,MATCH(COLUMNS($AC$1006:AC1006),$AC$1006:$AS$1006,0))&gt;=100000), " ",IF(INDEX($AC$2:$AS$1001,MATCH(ROWS($V$2:V445),$V$2:$V$1001,0),MATCH(COLUMNS($AC$1006:AC1006),$AC$1006:$AS$1006,0)), HYPERLINK("#",""), HYPERLINK(CONCATENATE("#Metadata!", ADDRESS(INDEX($X$2:$X$1001,MATCH(ROWS($V$2:V445),$V$2:$V$1001,0),0), INDEX($AC$1004:$AS$1004,1,MATCH(COLUMNS($AC$1006:AC1006),$AC$1006:$AS$1006,0)))),"Fix")))</f>
        <v>0</v>
      </c>
      <c r="C445" s="5">
        <f>IF(OR(INDEX($W$2:$W$1001,MATCH(ROWS($V$2:V445),$V$2:$V$1001,0),1)&gt;=100000,INDEX($AC$1005:$AS$1005,1,MATCH(COLUMNS($AC$1006:AD1006),$AC$1006:$AS$1006,0))&gt;=100000), " ",IF(INDEX($AC$2:$AS$1001,MATCH(ROWS($V$2:V445),$V$2:$V$1001,0),MATCH(COLUMNS($AC$1006:AD1006),$AC$1006:$AS$1006,0)), HYPERLINK("#",""), HYPERLINK(CONCATENATE("#Metadata!", ADDRESS(INDEX($X$2:$X$1001,MATCH(ROWS($V$2:V445),$V$2:$V$1001,0),0), INDEX($AC$1004:$AS$1004,1,MATCH(COLUMNS($AC$1006:AD1006),$AC$1006:$AS$1006,0)))),"Fix")))</f>
        <v>0</v>
      </c>
      <c r="D445" s="5">
        <f>IF(OR(INDEX($W$2:$W$1001,MATCH(ROWS($V$2:V445),$V$2:$V$1001,0),1)&gt;=100000,INDEX($AC$1005:$AS$1005,1,MATCH(COLUMNS($AC$1006:AE1006),$AC$1006:$AS$1006,0))&gt;=100000), " ",IF(INDEX($AC$2:$AS$1001,MATCH(ROWS($V$2:V445),$V$2:$V$1001,0),MATCH(COLUMNS($AC$1006:AE1006),$AC$1006:$AS$1006,0)), HYPERLINK("#",""), HYPERLINK(CONCATENATE("#Metadata!", ADDRESS(INDEX($X$2:$X$1001,MATCH(ROWS($V$2:V445),$V$2:$V$1001,0),0), INDEX($AC$1004:$AS$1004,1,MATCH(COLUMNS($AC$1006:AE1006),$AC$1006:$AS$1006,0)))),"Fix")))</f>
        <v>0</v>
      </c>
      <c r="E445" s="5">
        <f>IF(OR(INDEX($W$2:$W$1001,MATCH(ROWS($V$2:V445),$V$2:$V$1001,0),1)&gt;=100000,INDEX($AC$1005:$AS$1005,1,MATCH(COLUMNS($AC$1006:AF1006),$AC$1006:$AS$1006,0))&gt;=100000), " ",IF(INDEX($AC$2:$AS$1001,MATCH(ROWS($V$2:V445),$V$2:$V$1001,0),MATCH(COLUMNS($AC$1006:AF1006),$AC$1006:$AS$1006,0)), HYPERLINK("#",""), HYPERLINK(CONCATENATE("#Metadata!", ADDRESS(INDEX($X$2:$X$1001,MATCH(ROWS($V$2:V445),$V$2:$V$1001,0),0), INDEX($AC$1004:$AS$1004,1,MATCH(COLUMNS($AC$1006:AF1006),$AC$1006:$AS$1006,0)))),"Fix")))</f>
        <v>0</v>
      </c>
      <c r="F445" s="5">
        <f>IF(OR(INDEX($W$2:$W$1001,MATCH(ROWS($V$2:V445),$V$2:$V$1001,0),1)&gt;=100000,INDEX($AC$1005:$AS$1005,1,MATCH(COLUMNS($AC$1006:AG1006),$AC$1006:$AS$1006,0))&gt;=100000), " ",IF(INDEX($AC$2:$AS$1001,MATCH(ROWS($V$2:V445),$V$2:$V$1001,0),MATCH(COLUMNS($AC$1006:AG1006),$AC$1006:$AS$1006,0)), HYPERLINK("#",""), HYPERLINK(CONCATENATE("#Metadata!", ADDRESS(INDEX($X$2:$X$1001,MATCH(ROWS($V$2:V445),$V$2:$V$1001,0),0), INDEX($AC$1004:$AS$1004,1,MATCH(COLUMNS($AC$1006:AG1006),$AC$1006:$AS$1006,0)))),"Fix")))</f>
        <v>0</v>
      </c>
      <c r="G445" s="5">
        <f>IF(OR(INDEX($W$2:$W$1001,MATCH(ROWS($V$2:V445),$V$2:$V$1001,0),1)&gt;=100000,INDEX($AC$1005:$AS$1005,1,MATCH(COLUMNS($AC$1006:AH1006),$AC$1006:$AS$1006,0))&gt;=100000), " ",IF(INDEX($AC$2:$AS$1001,MATCH(ROWS($V$2:V445),$V$2:$V$1001,0),MATCH(COLUMNS($AC$1006:AH1006),$AC$1006:$AS$1006,0)), HYPERLINK("#",""), HYPERLINK(CONCATENATE("#Metadata!", ADDRESS(INDEX($X$2:$X$1001,MATCH(ROWS($V$2:V445),$V$2:$V$1001,0),0), INDEX($AC$1004:$AS$1004,1,MATCH(COLUMNS($AC$1006:AH1006),$AC$1006:$AS$1006,0)))),"Fix")))</f>
        <v>0</v>
      </c>
      <c r="H445" s="5">
        <f>IF(OR(INDEX($W$2:$W$1001,MATCH(ROWS($V$2:V445),$V$2:$V$1001,0),1)&gt;=100000,INDEX($AC$1005:$AS$1005,1,MATCH(COLUMNS($AC$1006:AI1006),$AC$1006:$AS$1006,0))&gt;=100000), " ",IF(INDEX($AC$2:$AS$1001,MATCH(ROWS($V$2:V445),$V$2:$V$1001,0),MATCH(COLUMNS($AC$1006:AI1006),$AC$1006:$AS$1006,0)), HYPERLINK("#",""), HYPERLINK(CONCATENATE("#Metadata!", ADDRESS(INDEX($X$2:$X$1001,MATCH(ROWS($V$2:V445),$V$2:$V$1001,0),0), INDEX($AC$1004:$AS$1004,1,MATCH(COLUMNS($AC$1006:AI1006),$AC$1006:$AS$1006,0)))),"Fix")))</f>
        <v>0</v>
      </c>
      <c r="I445" s="5">
        <f>IF(OR(INDEX($W$2:$W$1001,MATCH(ROWS($V$2:V445),$V$2:$V$1001,0),1)&gt;=100000,INDEX($AC$1005:$AS$1005,1,MATCH(COLUMNS($AC$1006:AJ1006),$AC$1006:$AS$1006,0))&gt;=100000), " ",IF(INDEX($AC$2:$AS$1001,MATCH(ROWS($V$2:V445),$V$2:$V$1001,0),MATCH(COLUMNS($AC$1006:AJ1006),$AC$1006:$AS$1006,0)), HYPERLINK("#",""), HYPERLINK(CONCATENATE("#Metadata!", ADDRESS(INDEX($X$2:$X$1001,MATCH(ROWS($V$2:V445),$V$2:$V$1001,0),0), INDEX($AC$1004:$AS$1004,1,MATCH(COLUMNS($AC$1006:AJ1006),$AC$1006:$AS$1006,0)))),"Fix")))</f>
        <v>0</v>
      </c>
      <c r="J445" s="5">
        <f>IF(OR(INDEX($W$2:$W$1001,MATCH(ROWS($V$2:V445),$V$2:$V$1001,0),1)&gt;=100000,INDEX($AC$1005:$AS$1005,1,MATCH(COLUMNS($AC$1006:AK1006),$AC$1006:$AS$1006,0))&gt;=100000), " ",IF(INDEX($AC$2:$AS$1001,MATCH(ROWS($V$2:V445),$V$2:$V$1001,0),MATCH(COLUMNS($AC$1006:AK1006),$AC$1006:$AS$1006,0)), HYPERLINK("#",""), HYPERLINK(CONCATENATE("#Metadata!", ADDRESS(INDEX($X$2:$X$1001,MATCH(ROWS($V$2:V445),$V$2:$V$1001,0),0), INDEX($AC$1004:$AS$1004,1,MATCH(COLUMNS($AC$1006:AK1006),$AC$1006:$AS$1006,0)))),"Fix")))</f>
        <v>0</v>
      </c>
      <c r="K445" s="5">
        <f>IF(OR(INDEX($W$2:$W$1001,MATCH(ROWS($V$2:V445),$V$2:$V$1001,0),1)&gt;=100000,INDEX($AC$1005:$AS$1005,1,MATCH(COLUMNS($AC$1006:AL1006),$AC$1006:$AS$1006,0))&gt;=100000), " ",IF(INDEX($AC$2:$AS$1001,MATCH(ROWS($V$2:V445),$V$2:$V$1001,0),MATCH(COLUMNS($AC$1006:AL1006),$AC$1006:$AS$1006,0)), HYPERLINK("#",""), HYPERLINK(CONCATENATE("#Metadata!", ADDRESS(INDEX($X$2:$X$1001,MATCH(ROWS($V$2:V445),$V$2:$V$1001,0),0), INDEX($AC$1004:$AS$1004,1,MATCH(COLUMNS($AC$1006:AL1006),$AC$1006:$AS$1006,0)))),"Fix")))</f>
        <v>0</v>
      </c>
      <c r="L445" s="5">
        <f>IF(OR(INDEX($W$2:$W$1001,MATCH(ROWS($V$2:V445),$V$2:$V$1001,0),1)&gt;=100000,INDEX($AC$1005:$AS$1005,1,MATCH(COLUMNS($AC$1006:AM1006),$AC$1006:$AS$1006,0))&gt;=100000), " ",IF(INDEX($AC$2:$AS$1001,MATCH(ROWS($V$2:V445),$V$2:$V$1001,0),MATCH(COLUMNS($AC$1006:AM1006),$AC$1006:$AS$1006,0)), HYPERLINK("#",""), HYPERLINK(CONCATENATE("#Metadata!", ADDRESS(INDEX($X$2:$X$1001,MATCH(ROWS($V$2:V445),$V$2:$V$1001,0),0), INDEX($AC$1004:$AS$1004,1,MATCH(COLUMNS($AC$1006:AM1006),$AC$1006:$AS$1006,0)))),"Fix")))</f>
        <v>0</v>
      </c>
      <c r="M445" s="5">
        <f>IF(OR(INDEX($W$2:$W$1001,MATCH(ROWS($V$2:V445),$V$2:$V$1001,0),1)&gt;=100000,INDEX($AC$1005:$AS$1005,1,MATCH(COLUMNS($AC$1006:AN1006),$AC$1006:$AS$1006,0))&gt;=100000), " ",IF(INDEX($AC$2:$AS$1001,MATCH(ROWS($V$2:V445),$V$2:$V$1001,0),MATCH(COLUMNS($AC$1006:AN1006),$AC$1006:$AS$1006,0)), HYPERLINK("#",""), HYPERLINK(CONCATENATE("#Metadata!", ADDRESS(INDEX($X$2:$X$1001,MATCH(ROWS($V$2:V445),$V$2:$V$1001,0),0), INDEX($AC$1004:$AS$1004,1,MATCH(COLUMNS($AC$1006:AN1006),$AC$1006:$AS$1006,0)))),"Fix")))</f>
        <v>0</v>
      </c>
      <c r="N445" s="5">
        <f>IF(OR(INDEX($W$2:$W$1001,MATCH(ROWS($V$2:V445),$V$2:$V$1001,0),1)&gt;=100000,INDEX($AC$1005:$AS$1005,1,MATCH(COLUMNS($AC$1006:AO1006),$AC$1006:$AS$1006,0))&gt;=100000), " ",IF(INDEX($AC$2:$AS$1001,MATCH(ROWS($V$2:V445),$V$2:$V$1001,0),MATCH(COLUMNS($AC$1006:AO1006),$AC$1006:$AS$1006,0)), HYPERLINK("#",""), HYPERLINK(CONCATENATE("#Metadata!", ADDRESS(INDEX($X$2:$X$1001,MATCH(ROWS($V$2:V445),$V$2:$V$1001,0),0), INDEX($AC$1004:$AS$1004,1,MATCH(COLUMNS($AC$1006:AO1006),$AC$1006:$AS$1006,0)))),"Fix")))</f>
        <v>0</v>
      </c>
      <c r="O445" s="5">
        <f>IF(OR(INDEX($W$2:$W$1001,MATCH(ROWS($V$2:V445),$V$2:$V$1001,0),1)&gt;=100000,INDEX($AC$1005:$AS$1005,1,MATCH(COLUMNS($AC$1006:AP1006),$AC$1006:$AS$1006,0))&gt;=100000), " ",IF(INDEX($AC$2:$AS$1001,MATCH(ROWS($V$2:V445),$V$2:$V$1001,0),MATCH(COLUMNS($AC$1006:AP1006),$AC$1006:$AS$1006,0)), HYPERLINK("#",""), HYPERLINK(CONCATENATE("#Metadata!", ADDRESS(INDEX($X$2:$X$1001,MATCH(ROWS($V$2:V445),$V$2:$V$1001,0),0), INDEX($AC$1004:$AS$1004,1,MATCH(COLUMNS($AC$1006:AP1006),$AC$1006:$AS$1006,0)))),"Fix")))</f>
        <v>0</v>
      </c>
      <c r="P445" s="5">
        <f>IF(OR(INDEX($W$2:$W$1001,MATCH(ROWS($V$2:V445),$V$2:$V$1001,0),1)&gt;=100000,INDEX($AC$1005:$AS$1005,1,MATCH(COLUMNS($AC$1006:AQ1006),$AC$1006:$AS$1006,0))&gt;=100000), " ",IF(INDEX($AC$2:$AS$1001,MATCH(ROWS($V$2:V445),$V$2:$V$1001,0),MATCH(COLUMNS($AC$1006:AQ1006),$AC$1006:$AS$1006,0)), HYPERLINK("#",""), HYPERLINK(CONCATENATE("#Metadata!", ADDRESS(INDEX($X$2:$X$1001,MATCH(ROWS($V$2:V445),$V$2:$V$1001,0),0), INDEX($AC$1004:$AS$1004,1,MATCH(COLUMNS($AC$1006:AQ1006),$AC$1006:$AS$1006,0)))),"Fix")))</f>
        <v>0</v>
      </c>
      <c r="Q445" s="5">
        <f>IF(OR(INDEX($W$2:$W$1001,MATCH(ROWS($V$2:V445),$V$2:$V$1001,0),1)&gt;=100000,INDEX($AC$1005:$AS$1005,1,MATCH(COLUMNS($AC$1006:AR1006),$AC$1006:$AS$1006,0))&gt;=100000), " ",IF(INDEX($AC$2:$AS$1001,MATCH(ROWS($V$2:V445),$V$2:$V$1001,0),MATCH(COLUMNS($AC$1006:AR1006),$AC$1006:$AS$1006,0)), HYPERLINK("#",""), HYPERLINK(CONCATENATE("#Metadata!", ADDRESS(INDEX($X$2:$X$1001,MATCH(ROWS($V$2:V445),$V$2:$V$1001,0),0), INDEX($AC$1004:$AS$1004,1,MATCH(COLUMNS($AC$1006:AR1006),$AC$1006:$AS$1006,0)))),"Fix")))</f>
        <v>0</v>
      </c>
      <c r="R445" s="5">
        <f>IF(OR(INDEX($W$2:$W$1001,MATCH(ROWS($V$2:V445),$V$2:$V$1001,0),1)&gt;=100000,INDEX($AC$1005:$AS$1005,1,MATCH(COLUMNS($AC$1006:AS1006),$AC$1006:$AS$1006,0))&gt;=100000), " ",IF(INDEX($AC$2:$AS$1001,MATCH(ROWS($V$2:V445),$V$2:$V$1001,0),MATCH(COLUMNS($AC$1006:AS1006),$AC$1006:$AS$1006,0)), HYPERLINK("#",""), HYPERLINK(CONCATENATE("#Metadata!", ADDRESS(INDEX($X$2:$X$1001,MATCH(ROWS($V$2:V445),$V$2:$V$1001,0),0), INDEX($AC$1004:$AS$1004,1,MATCH(COLUMNS($AC$1006:AS1006),$AC$1006:$AS$1006,0)))),"Fix")))</f>
        <v>0</v>
      </c>
      <c r="V445">
        <v>0</v>
      </c>
      <c r="W445">
        <v>0</v>
      </c>
      <c r="X445">
        <v>0</v>
      </c>
      <c r="Y445">
        <f>IF(Z445,TRUE,AND(AC445:AS445))</f>
        <v>0</v>
      </c>
      <c r="Z445">
        <f>COUNTBLANK(Metadata!B445:R445)=COLUMNS(Metadata!B445:R445)</f>
        <v>0</v>
      </c>
      <c r="AA445">
        <v>0</v>
      </c>
      <c r="AC445">
        <f>AND(IF(Metadata!B445="",FALSE,TRUE),COUNTIF(Metadata!B:B, Metadata!B445) = 1,NOT(ISERROR(SUMPRODUCT(SEARCH(MID(Metadata!B445,ROW(INDIRECT("1:"&amp;LEN(Metadata!B445))), 1),"0123456789abcdefghijklmnopqrstuvwxyzABCDEFGHIJKLMNOPQRSTUVWXYZ.")))))</f>
        <v>0</v>
      </c>
      <c r="AD445">
        <f>AND(IF(Metadata!C445="",FALSE,TRUE),exact(Metadata!C445,"Host-associated"))</f>
        <v>0</v>
      </c>
      <c r="AE445">
        <f>AND(IF(Metadata!D445="",FALSE,TRUE),OR(exact(Metadata!D445,"Animal"),exact(Metadata!D445,"Fungus"),exact(Metadata!D445,"Plant")))</f>
        <v>0</v>
      </c>
      <c r="AF445">
        <f>AND(IF(Metadata!E445="",FALSE,TRUE),OR(exact(Metadata!E445,"Plant secretion"),exact(Metadata!E445,"Plant rhizosphere"),exact(Metadata!E445,"Plant surface"),exact(Metadata!E445,"Plant corpus"),exact(Metadata!E445,"Fungus surface"),exact(Metadata!E445,"Fungus corpus"),exact(Metadata!E445,"Animal surface"),exact(Metadata!E445,"Animal proximal gut"),exact(Metadata!E445,"Animal corpus"),exact(Metadata!E445,"Animal distal gut"),exact(Metadata!E445,"Animal secretion")))</f>
        <v>0</v>
      </c>
      <c r="AG445">
        <f>OR(AND(IF(Metadata!F445="",FALSE,TRUE),OR(exact(Metadata!F445,"not collected"),exact(Metadata!F445,"not provided"),exact(Metadata!F445,"restricted access"))),AND(IF(Metadata!F445="",FALSE,TRUE),OR(exact(Metadata!F445,"organism-associated habitat"),exact(Metadata!F445,"plant-associated habitat"),exact(Metadata!F445,"animal-associated habitat"),exact(Metadata!F445,"insecta-associated habitat"),exact(Metadata!F445,"mammalia-associated habitat"),exact(Metadata!F445,"human-associated habitat"),exact(Metadata!F445,"livestock-associated habitat"))))</f>
        <v>0</v>
      </c>
      <c r="AH445">
        <f>AND(IF(Metadata!G445="",FALSE,TRUE),exact(Metadata!G445,"host-associated"))</f>
        <v>0</v>
      </c>
      <c r="AI445">
        <f>OR(AND(IF(Metadata!H445="",FALSE,TRUE),OR(exact(Metadata!H445,"not collected"),exact(Metadata!H445,"not provided"))),AND(IF(Metadata!H445="",FALSE,ISNUMBER(VALUE(Metadata!H445))),Metadata!H445&gt;0))</f>
        <v>0</v>
      </c>
      <c r="AJ445">
        <f>AND(IF(Metadata!I445="",FALSE,TRUE),exact(Metadata!I445,"years"))</f>
        <v>0</v>
      </c>
      <c r="AK445">
        <f>IF(Metadata!J445="",FALSE,TRUE)</f>
        <v>0</v>
      </c>
      <c r="AL445">
        <f>OR(AND(IF(Metadata!K445="",FALSE,TRUE),OR(exact(Metadata!K445,"not collected"),exact(Metadata!K445,"not provided"))),AND(IF(Metadata!K445="",FALSE,ISNUMBER(VALUE(Metadata!K445))),Metadata!K445&gt;0))</f>
        <v>0</v>
      </c>
      <c r="AM445">
        <f>AND(IF(Metadata!L445="",FALSE,TRUE),exact(Metadata!L445,"cm"))</f>
        <v>0</v>
      </c>
      <c r="AN445">
        <f>IF(Metadata!M445="",FALSE,TRUE)</f>
        <v>0</v>
      </c>
      <c r="AO445">
        <f>OR(AND(IF(Metadata!N445="",FALSE,TRUE),OR(exact(Metadata!N445,"not applicable"),exact(Metadata!N445,"not collected"),exact(Metadata!N445,"not provided"))),AND(IF(Metadata!N445="",FALSE,IF(ISERROR(INT(Metadata!N445)),FALSE,INT(Metadata!N445)=Metadata!N445)),Metadata!N445&gt;0))</f>
        <v>0</v>
      </c>
      <c r="AP445">
        <f>OR(AND(IF(Metadata!O445="",FALSE,TRUE),OR(exact(Metadata!O445,"not collected"),exact(Metadata!O445,"not provided"))),AND(IF(Metadata!O445="",FALSE,ISNUMBER(VALUE(Metadata!O445))),Metadata!O445&gt;0))</f>
        <v>0</v>
      </c>
      <c r="AQ445">
        <f>AND(IF(Metadata!P445="",FALSE,TRUE),exact(Metadata!P445,"kg"))</f>
        <v>0</v>
      </c>
      <c r="AR445">
        <f>OR(AND(IF(Metadata!Q445="",FALSE,TRUE),OR(exact(Metadata!Q445,"not applicable"),exact(Metadata!Q445,"not collected"),exact(Metadata!Q445,"not provided"),exact(Metadata!Q445,"restricted access"))),IF(Metadata!Q445="",FALSE,IF(ISERROR(INT(Metadata!Q445)),FALSE,INT(Metadata!Q445)=Metadata!Q445)))</f>
        <v>0</v>
      </c>
      <c r="AS445">
        <f>AND(IF(Metadata!R445="",FALSE,TRUE),exact(Metadata!R445,"Not applicable"))</f>
        <v>0</v>
      </c>
    </row>
    <row r="446" spans="1:45">
      <c r="A446" s="4">
        <f>IF(B446=" "," ",HYPERLINK(CONCATENATE("#metadata!",ADDRESS(INDEX($X$2:$X$1001,MATCH(ROWS($V$2:V446),$V$2:$V$1001,0),0),2)),INDEX($AA$2:$AA$1001,MATCH(ROWS($V$2:V446),$V$2:$V$1001,0),0)))</f>
        <v>0</v>
      </c>
      <c r="B446" s="5">
        <f>IF(OR(INDEX($W$2:$W$1001,MATCH(ROWS($V$2:V446),$V$2:$V$1001,0),1)&gt;=100000,INDEX($AC$1005:$AS$1005,1,MATCH(COLUMNS($AC$1006:AC1006),$AC$1006:$AS$1006,0))&gt;=100000), " ",IF(INDEX($AC$2:$AS$1001,MATCH(ROWS($V$2:V446),$V$2:$V$1001,0),MATCH(COLUMNS($AC$1006:AC1006),$AC$1006:$AS$1006,0)), HYPERLINK("#",""), HYPERLINK(CONCATENATE("#Metadata!", ADDRESS(INDEX($X$2:$X$1001,MATCH(ROWS($V$2:V446),$V$2:$V$1001,0),0), INDEX($AC$1004:$AS$1004,1,MATCH(COLUMNS($AC$1006:AC1006),$AC$1006:$AS$1006,0)))),"Fix")))</f>
        <v>0</v>
      </c>
      <c r="C446" s="5">
        <f>IF(OR(INDEX($W$2:$W$1001,MATCH(ROWS($V$2:V446),$V$2:$V$1001,0),1)&gt;=100000,INDEX($AC$1005:$AS$1005,1,MATCH(COLUMNS($AC$1006:AD1006),$AC$1006:$AS$1006,0))&gt;=100000), " ",IF(INDEX($AC$2:$AS$1001,MATCH(ROWS($V$2:V446),$V$2:$V$1001,0),MATCH(COLUMNS($AC$1006:AD1006),$AC$1006:$AS$1006,0)), HYPERLINK("#",""), HYPERLINK(CONCATENATE("#Metadata!", ADDRESS(INDEX($X$2:$X$1001,MATCH(ROWS($V$2:V446),$V$2:$V$1001,0),0), INDEX($AC$1004:$AS$1004,1,MATCH(COLUMNS($AC$1006:AD1006),$AC$1006:$AS$1006,0)))),"Fix")))</f>
        <v>0</v>
      </c>
      <c r="D446" s="5">
        <f>IF(OR(INDEX($W$2:$W$1001,MATCH(ROWS($V$2:V446),$V$2:$V$1001,0),1)&gt;=100000,INDEX($AC$1005:$AS$1005,1,MATCH(COLUMNS($AC$1006:AE1006),$AC$1006:$AS$1006,0))&gt;=100000), " ",IF(INDEX($AC$2:$AS$1001,MATCH(ROWS($V$2:V446),$V$2:$V$1001,0),MATCH(COLUMNS($AC$1006:AE1006),$AC$1006:$AS$1006,0)), HYPERLINK("#",""), HYPERLINK(CONCATENATE("#Metadata!", ADDRESS(INDEX($X$2:$X$1001,MATCH(ROWS($V$2:V446),$V$2:$V$1001,0),0), INDEX($AC$1004:$AS$1004,1,MATCH(COLUMNS($AC$1006:AE1006),$AC$1006:$AS$1006,0)))),"Fix")))</f>
        <v>0</v>
      </c>
      <c r="E446" s="5">
        <f>IF(OR(INDEX($W$2:$W$1001,MATCH(ROWS($V$2:V446),$V$2:$V$1001,0),1)&gt;=100000,INDEX($AC$1005:$AS$1005,1,MATCH(COLUMNS($AC$1006:AF1006),$AC$1006:$AS$1006,0))&gt;=100000), " ",IF(INDEX($AC$2:$AS$1001,MATCH(ROWS($V$2:V446),$V$2:$V$1001,0),MATCH(COLUMNS($AC$1006:AF1006),$AC$1006:$AS$1006,0)), HYPERLINK("#",""), HYPERLINK(CONCATENATE("#Metadata!", ADDRESS(INDEX($X$2:$X$1001,MATCH(ROWS($V$2:V446),$V$2:$V$1001,0),0), INDEX($AC$1004:$AS$1004,1,MATCH(COLUMNS($AC$1006:AF1006),$AC$1006:$AS$1006,0)))),"Fix")))</f>
        <v>0</v>
      </c>
      <c r="F446" s="5">
        <f>IF(OR(INDEX($W$2:$W$1001,MATCH(ROWS($V$2:V446),$V$2:$V$1001,0),1)&gt;=100000,INDEX($AC$1005:$AS$1005,1,MATCH(COLUMNS($AC$1006:AG1006),$AC$1006:$AS$1006,0))&gt;=100000), " ",IF(INDEX($AC$2:$AS$1001,MATCH(ROWS($V$2:V446),$V$2:$V$1001,0),MATCH(COLUMNS($AC$1006:AG1006),$AC$1006:$AS$1006,0)), HYPERLINK("#",""), HYPERLINK(CONCATENATE("#Metadata!", ADDRESS(INDEX($X$2:$X$1001,MATCH(ROWS($V$2:V446),$V$2:$V$1001,0),0), INDEX($AC$1004:$AS$1004,1,MATCH(COLUMNS($AC$1006:AG1006),$AC$1006:$AS$1006,0)))),"Fix")))</f>
        <v>0</v>
      </c>
      <c r="G446" s="5">
        <f>IF(OR(INDEX($W$2:$W$1001,MATCH(ROWS($V$2:V446),$V$2:$V$1001,0),1)&gt;=100000,INDEX($AC$1005:$AS$1005,1,MATCH(COLUMNS($AC$1006:AH1006),$AC$1006:$AS$1006,0))&gt;=100000), " ",IF(INDEX($AC$2:$AS$1001,MATCH(ROWS($V$2:V446),$V$2:$V$1001,0),MATCH(COLUMNS($AC$1006:AH1006),$AC$1006:$AS$1006,0)), HYPERLINK("#",""), HYPERLINK(CONCATENATE("#Metadata!", ADDRESS(INDEX($X$2:$X$1001,MATCH(ROWS($V$2:V446),$V$2:$V$1001,0),0), INDEX($AC$1004:$AS$1004,1,MATCH(COLUMNS($AC$1006:AH1006),$AC$1006:$AS$1006,0)))),"Fix")))</f>
        <v>0</v>
      </c>
      <c r="H446" s="5">
        <f>IF(OR(INDEX($W$2:$W$1001,MATCH(ROWS($V$2:V446),$V$2:$V$1001,0),1)&gt;=100000,INDEX($AC$1005:$AS$1005,1,MATCH(COLUMNS($AC$1006:AI1006),$AC$1006:$AS$1006,0))&gt;=100000), " ",IF(INDEX($AC$2:$AS$1001,MATCH(ROWS($V$2:V446),$V$2:$V$1001,0),MATCH(COLUMNS($AC$1006:AI1006),$AC$1006:$AS$1006,0)), HYPERLINK("#",""), HYPERLINK(CONCATENATE("#Metadata!", ADDRESS(INDEX($X$2:$X$1001,MATCH(ROWS($V$2:V446),$V$2:$V$1001,0),0), INDEX($AC$1004:$AS$1004,1,MATCH(COLUMNS($AC$1006:AI1006),$AC$1006:$AS$1006,0)))),"Fix")))</f>
        <v>0</v>
      </c>
      <c r="I446" s="5">
        <f>IF(OR(INDEX($W$2:$W$1001,MATCH(ROWS($V$2:V446),$V$2:$V$1001,0),1)&gt;=100000,INDEX($AC$1005:$AS$1005,1,MATCH(COLUMNS($AC$1006:AJ1006),$AC$1006:$AS$1006,0))&gt;=100000), " ",IF(INDEX($AC$2:$AS$1001,MATCH(ROWS($V$2:V446),$V$2:$V$1001,0),MATCH(COLUMNS($AC$1006:AJ1006),$AC$1006:$AS$1006,0)), HYPERLINK("#",""), HYPERLINK(CONCATENATE("#Metadata!", ADDRESS(INDEX($X$2:$X$1001,MATCH(ROWS($V$2:V446),$V$2:$V$1001,0),0), INDEX($AC$1004:$AS$1004,1,MATCH(COLUMNS($AC$1006:AJ1006),$AC$1006:$AS$1006,0)))),"Fix")))</f>
        <v>0</v>
      </c>
      <c r="J446" s="5">
        <f>IF(OR(INDEX($W$2:$W$1001,MATCH(ROWS($V$2:V446),$V$2:$V$1001,0),1)&gt;=100000,INDEX($AC$1005:$AS$1005,1,MATCH(COLUMNS($AC$1006:AK1006),$AC$1006:$AS$1006,0))&gt;=100000), " ",IF(INDEX($AC$2:$AS$1001,MATCH(ROWS($V$2:V446),$V$2:$V$1001,0),MATCH(COLUMNS($AC$1006:AK1006),$AC$1006:$AS$1006,0)), HYPERLINK("#",""), HYPERLINK(CONCATENATE("#Metadata!", ADDRESS(INDEX($X$2:$X$1001,MATCH(ROWS($V$2:V446),$V$2:$V$1001,0),0), INDEX($AC$1004:$AS$1004,1,MATCH(COLUMNS($AC$1006:AK1006),$AC$1006:$AS$1006,0)))),"Fix")))</f>
        <v>0</v>
      </c>
      <c r="K446" s="5">
        <f>IF(OR(INDEX($W$2:$W$1001,MATCH(ROWS($V$2:V446),$V$2:$V$1001,0),1)&gt;=100000,INDEX($AC$1005:$AS$1005,1,MATCH(COLUMNS($AC$1006:AL1006),$AC$1006:$AS$1006,0))&gt;=100000), " ",IF(INDEX($AC$2:$AS$1001,MATCH(ROWS($V$2:V446),$V$2:$V$1001,0),MATCH(COLUMNS($AC$1006:AL1006),$AC$1006:$AS$1006,0)), HYPERLINK("#",""), HYPERLINK(CONCATENATE("#Metadata!", ADDRESS(INDEX($X$2:$X$1001,MATCH(ROWS($V$2:V446),$V$2:$V$1001,0),0), INDEX($AC$1004:$AS$1004,1,MATCH(COLUMNS($AC$1006:AL1006),$AC$1006:$AS$1006,0)))),"Fix")))</f>
        <v>0</v>
      </c>
      <c r="L446" s="5">
        <f>IF(OR(INDEX($W$2:$W$1001,MATCH(ROWS($V$2:V446),$V$2:$V$1001,0),1)&gt;=100000,INDEX($AC$1005:$AS$1005,1,MATCH(COLUMNS($AC$1006:AM1006),$AC$1006:$AS$1006,0))&gt;=100000), " ",IF(INDEX($AC$2:$AS$1001,MATCH(ROWS($V$2:V446),$V$2:$V$1001,0),MATCH(COLUMNS($AC$1006:AM1006),$AC$1006:$AS$1006,0)), HYPERLINK("#",""), HYPERLINK(CONCATENATE("#Metadata!", ADDRESS(INDEX($X$2:$X$1001,MATCH(ROWS($V$2:V446),$V$2:$V$1001,0),0), INDEX($AC$1004:$AS$1004,1,MATCH(COLUMNS($AC$1006:AM1006),$AC$1006:$AS$1006,0)))),"Fix")))</f>
        <v>0</v>
      </c>
      <c r="M446" s="5">
        <f>IF(OR(INDEX($W$2:$W$1001,MATCH(ROWS($V$2:V446),$V$2:$V$1001,0),1)&gt;=100000,INDEX($AC$1005:$AS$1005,1,MATCH(COLUMNS($AC$1006:AN1006),$AC$1006:$AS$1006,0))&gt;=100000), " ",IF(INDEX($AC$2:$AS$1001,MATCH(ROWS($V$2:V446),$V$2:$V$1001,0),MATCH(COLUMNS($AC$1006:AN1006),$AC$1006:$AS$1006,0)), HYPERLINK("#",""), HYPERLINK(CONCATENATE("#Metadata!", ADDRESS(INDEX($X$2:$X$1001,MATCH(ROWS($V$2:V446),$V$2:$V$1001,0),0), INDEX($AC$1004:$AS$1004,1,MATCH(COLUMNS($AC$1006:AN1006),$AC$1006:$AS$1006,0)))),"Fix")))</f>
        <v>0</v>
      </c>
      <c r="N446" s="5">
        <f>IF(OR(INDEX($W$2:$W$1001,MATCH(ROWS($V$2:V446),$V$2:$V$1001,0),1)&gt;=100000,INDEX($AC$1005:$AS$1005,1,MATCH(COLUMNS($AC$1006:AO1006),$AC$1006:$AS$1006,0))&gt;=100000), " ",IF(INDEX($AC$2:$AS$1001,MATCH(ROWS($V$2:V446),$V$2:$V$1001,0),MATCH(COLUMNS($AC$1006:AO1006),$AC$1006:$AS$1006,0)), HYPERLINK("#",""), HYPERLINK(CONCATENATE("#Metadata!", ADDRESS(INDEX($X$2:$X$1001,MATCH(ROWS($V$2:V446),$V$2:$V$1001,0),0), INDEX($AC$1004:$AS$1004,1,MATCH(COLUMNS($AC$1006:AO1006),$AC$1006:$AS$1006,0)))),"Fix")))</f>
        <v>0</v>
      </c>
      <c r="O446" s="5">
        <f>IF(OR(INDEX($W$2:$W$1001,MATCH(ROWS($V$2:V446),$V$2:$V$1001,0),1)&gt;=100000,INDEX($AC$1005:$AS$1005,1,MATCH(COLUMNS($AC$1006:AP1006),$AC$1006:$AS$1006,0))&gt;=100000), " ",IF(INDEX($AC$2:$AS$1001,MATCH(ROWS($V$2:V446),$V$2:$V$1001,0),MATCH(COLUMNS($AC$1006:AP1006),$AC$1006:$AS$1006,0)), HYPERLINK("#",""), HYPERLINK(CONCATENATE("#Metadata!", ADDRESS(INDEX($X$2:$X$1001,MATCH(ROWS($V$2:V446),$V$2:$V$1001,0),0), INDEX($AC$1004:$AS$1004,1,MATCH(COLUMNS($AC$1006:AP1006),$AC$1006:$AS$1006,0)))),"Fix")))</f>
        <v>0</v>
      </c>
      <c r="P446" s="5">
        <f>IF(OR(INDEX($W$2:$W$1001,MATCH(ROWS($V$2:V446),$V$2:$V$1001,0),1)&gt;=100000,INDEX($AC$1005:$AS$1005,1,MATCH(COLUMNS($AC$1006:AQ1006),$AC$1006:$AS$1006,0))&gt;=100000), " ",IF(INDEX($AC$2:$AS$1001,MATCH(ROWS($V$2:V446),$V$2:$V$1001,0),MATCH(COLUMNS($AC$1006:AQ1006),$AC$1006:$AS$1006,0)), HYPERLINK("#",""), HYPERLINK(CONCATENATE("#Metadata!", ADDRESS(INDEX($X$2:$X$1001,MATCH(ROWS($V$2:V446),$V$2:$V$1001,0),0), INDEX($AC$1004:$AS$1004,1,MATCH(COLUMNS($AC$1006:AQ1006),$AC$1006:$AS$1006,0)))),"Fix")))</f>
        <v>0</v>
      </c>
      <c r="Q446" s="5">
        <f>IF(OR(INDEX($W$2:$W$1001,MATCH(ROWS($V$2:V446),$V$2:$V$1001,0),1)&gt;=100000,INDEX($AC$1005:$AS$1005,1,MATCH(COLUMNS($AC$1006:AR1006),$AC$1006:$AS$1006,0))&gt;=100000), " ",IF(INDEX($AC$2:$AS$1001,MATCH(ROWS($V$2:V446),$V$2:$V$1001,0),MATCH(COLUMNS($AC$1006:AR1006),$AC$1006:$AS$1006,0)), HYPERLINK("#",""), HYPERLINK(CONCATENATE("#Metadata!", ADDRESS(INDEX($X$2:$X$1001,MATCH(ROWS($V$2:V446),$V$2:$V$1001,0),0), INDEX($AC$1004:$AS$1004,1,MATCH(COLUMNS($AC$1006:AR1006),$AC$1006:$AS$1006,0)))),"Fix")))</f>
        <v>0</v>
      </c>
      <c r="R446" s="5">
        <f>IF(OR(INDEX($W$2:$W$1001,MATCH(ROWS($V$2:V446),$V$2:$V$1001,0),1)&gt;=100000,INDEX($AC$1005:$AS$1005,1,MATCH(COLUMNS($AC$1006:AS1006),$AC$1006:$AS$1006,0))&gt;=100000), " ",IF(INDEX($AC$2:$AS$1001,MATCH(ROWS($V$2:V446),$V$2:$V$1001,0),MATCH(COLUMNS($AC$1006:AS1006),$AC$1006:$AS$1006,0)), HYPERLINK("#",""), HYPERLINK(CONCATENATE("#Metadata!", ADDRESS(INDEX($X$2:$X$1001,MATCH(ROWS($V$2:V446),$V$2:$V$1001,0),0), INDEX($AC$1004:$AS$1004,1,MATCH(COLUMNS($AC$1006:AS1006),$AC$1006:$AS$1006,0)))),"Fix")))</f>
        <v>0</v>
      </c>
      <c r="V446">
        <v>0</v>
      </c>
      <c r="W446">
        <v>0</v>
      </c>
      <c r="X446">
        <v>0</v>
      </c>
      <c r="Y446">
        <f>IF(Z446,TRUE,AND(AC446:AS446))</f>
        <v>0</v>
      </c>
      <c r="Z446">
        <f>COUNTBLANK(Metadata!B446:R446)=COLUMNS(Metadata!B446:R446)</f>
        <v>0</v>
      </c>
      <c r="AA446">
        <v>0</v>
      </c>
      <c r="AC446">
        <f>AND(IF(Metadata!B446="",FALSE,TRUE),COUNTIF(Metadata!B:B, Metadata!B446) = 1,NOT(ISERROR(SUMPRODUCT(SEARCH(MID(Metadata!B446,ROW(INDIRECT("1:"&amp;LEN(Metadata!B446))), 1),"0123456789abcdefghijklmnopqrstuvwxyzABCDEFGHIJKLMNOPQRSTUVWXYZ.")))))</f>
        <v>0</v>
      </c>
      <c r="AD446">
        <f>AND(IF(Metadata!C446="",FALSE,TRUE),exact(Metadata!C446,"Host-associated"))</f>
        <v>0</v>
      </c>
      <c r="AE446">
        <f>AND(IF(Metadata!D446="",FALSE,TRUE),OR(exact(Metadata!D446,"Animal"),exact(Metadata!D446,"Fungus"),exact(Metadata!D446,"Plant")))</f>
        <v>0</v>
      </c>
      <c r="AF446">
        <f>AND(IF(Metadata!E446="",FALSE,TRUE),OR(exact(Metadata!E446,"Plant secretion"),exact(Metadata!E446,"Plant rhizosphere"),exact(Metadata!E446,"Plant surface"),exact(Metadata!E446,"Plant corpus"),exact(Metadata!E446,"Fungus surface"),exact(Metadata!E446,"Fungus corpus"),exact(Metadata!E446,"Animal surface"),exact(Metadata!E446,"Animal proximal gut"),exact(Metadata!E446,"Animal corpus"),exact(Metadata!E446,"Animal distal gut"),exact(Metadata!E446,"Animal secretion")))</f>
        <v>0</v>
      </c>
      <c r="AG446">
        <f>OR(AND(IF(Metadata!F446="",FALSE,TRUE),OR(exact(Metadata!F446,"not collected"),exact(Metadata!F446,"not provided"),exact(Metadata!F446,"restricted access"))),AND(IF(Metadata!F446="",FALSE,TRUE),OR(exact(Metadata!F446,"organism-associated habitat"),exact(Metadata!F446,"plant-associated habitat"),exact(Metadata!F446,"animal-associated habitat"),exact(Metadata!F446,"insecta-associated habitat"),exact(Metadata!F446,"mammalia-associated habitat"),exact(Metadata!F446,"human-associated habitat"),exact(Metadata!F446,"livestock-associated habitat"))))</f>
        <v>0</v>
      </c>
      <c r="AH446">
        <f>AND(IF(Metadata!G446="",FALSE,TRUE),exact(Metadata!G446,"host-associated"))</f>
        <v>0</v>
      </c>
      <c r="AI446">
        <f>OR(AND(IF(Metadata!H446="",FALSE,TRUE),OR(exact(Metadata!H446,"not collected"),exact(Metadata!H446,"not provided"))),AND(IF(Metadata!H446="",FALSE,ISNUMBER(VALUE(Metadata!H446))),Metadata!H446&gt;0))</f>
        <v>0</v>
      </c>
      <c r="AJ446">
        <f>AND(IF(Metadata!I446="",FALSE,TRUE),exact(Metadata!I446,"years"))</f>
        <v>0</v>
      </c>
      <c r="AK446">
        <f>IF(Metadata!J446="",FALSE,TRUE)</f>
        <v>0</v>
      </c>
      <c r="AL446">
        <f>OR(AND(IF(Metadata!K446="",FALSE,TRUE),OR(exact(Metadata!K446,"not collected"),exact(Metadata!K446,"not provided"))),AND(IF(Metadata!K446="",FALSE,ISNUMBER(VALUE(Metadata!K446))),Metadata!K446&gt;0))</f>
        <v>0</v>
      </c>
      <c r="AM446">
        <f>AND(IF(Metadata!L446="",FALSE,TRUE),exact(Metadata!L446,"cm"))</f>
        <v>0</v>
      </c>
      <c r="AN446">
        <f>IF(Metadata!M446="",FALSE,TRUE)</f>
        <v>0</v>
      </c>
      <c r="AO446">
        <f>OR(AND(IF(Metadata!N446="",FALSE,TRUE),OR(exact(Metadata!N446,"not applicable"),exact(Metadata!N446,"not collected"),exact(Metadata!N446,"not provided"))),AND(IF(Metadata!N446="",FALSE,IF(ISERROR(INT(Metadata!N446)),FALSE,INT(Metadata!N446)=Metadata!N446)),Metadata!N446&gt;0))</f>
        <v>0</v>
      </c>
      <c r="AP446">
        <f>OR(AND(IF(Metadata!O446="",FALSE,TRUE),OR(exact(Metadata!O446,"not collected"),exact(Metadata!O446,"not provided"))),AND(IF(Metadata!O446="",FALSE,ISNUMBER(VALUE(Metadata!O446))),Metadata!O446&gt;0))</f>
        <v>0</v>
      </c>
      <c r="AQ446">
        <f>AND(IF(Metadata!P446="",FALSE,TRUE),exact(Metadata!P446,"kg"))</f>
        <v>0</v>
      </c>
      <c r="AR446">
        <f>OR(AND(IF(Metadata!Q446="",FALSE,TRUE),OR(exact(Metadata!Q446,"not applicable"),exact(Metadata!Q446,"not collected"),exact(Metadata!Q446,"not provided"),exact(Metadata!Q446,"restricted access"))),IF(Metadata!Q446="",FALSE,IF(ISERROR(INT(Metadata!Q446)),FALSE,INT(Metadata!Q446)=Metadata!Q446)))</f>
        <v>0</v>
      </c>
      <c r="AS446">
        <f>AND(IF(Metadata!R446="",FALSE,TRUE),exact(Metadata!R446,"Not applicable"))</f>
        <v>0</v>
      </c>
    </row>
    <row r="447" spans="1:45">
      <c r="A447" s="4">
        <f>IF(B447=" "," ",HYPERLINK(CONCATENATE("#metadata!",ADDRESS(INDEX($X$2:$X$1001,MATCH(ROWS($V$2:V447),$V$2:$V$1001,0),0),2)),INDEX($AA$2:$AA$1001,MATCH(ROWS($V$2:V447),$V$2:$V$1001,0),0)))</f>
        <v>0</v>
      </c>
      <c r="B447" s="5">
        <f>IF(OR(INDEX($W$2:$W$1001,MATCH(ROWS($V$2:V447),$V$2:$V$1001,0),1)&gt;=100000,INDEX($AC$1005:$AS$1005,1,MATCH(COLUMNS($AC$1006:AC1006),$AC$1006:$AS$1006,0))&gt;=100000), " ",IF(INDEX($AC$2:$AS$1001,MATCH(ROWS($V$2:V447),$V$2:$V$1001,0),MATCH(COLUMNS($AC$1006:AC1006),$AC$1006:$AS$1006,0)), HYPERLINK("#",""), HYPERLINK(CONCATENATE("#Metadata!", ADDRESS(INDEX($X$2:$X$1001,MATCH(ROWS($V$2:V447),$V$2:$V$1001,0),0), INDEX($AC$1004:$AS$1004,1,MATCH(COLUMNS($AC$1006:AC1006),$AC$1006:$AS$1006,0)))),"Fix")))</f>
        <v>0</v>
      </c>
      <c r="C447" s="5">
        <f>IF(OR(INDEX($W$2:$W$1001,MATCH(ROWS($V$2:V447),$V$2:$V$1001,0),1)&gt;=100000,INDEX($AC$1005:$AS$1005,1,MATCH(COLUMNS($AC$1006:AD1006),$AC$1006:$AS$1006,0))&gt;=100000), " ",IF(INDEX($AC$2:$AS$1001,MATCH(ROWS($V$2:V447),$V$2:$V$1001,0),MATCH(COLUMNS($AC$1006:AD1006),$AC$1006:$AS$1006,0)), HYPERLINK("#",""), HYPERLINK(CONCATENATE("#Metadata!", ADDRESS(INDEX($X$2:$X$1001,MATCH(ROWS($V$2:V447),$V$2:$V$1001,0),0), INDEX($AC$1004:$AS$1004,1,MATCH(COLUMNS($AC$1006:AD1006),$AC$1006:$AS$1006,0)))),"Fix")))</f>
        <v>0</v>
      </c>
      <c r="D447" s="5">
        <f>IF(OR(INDEX($W$2:$W$1001,MATCH(ROWS($V$2:V447),$V$2:$V$1001,0),1)&gt;=100000,INDEX($AC$1005:$AS$1005,1,MATCH(COLUMNS($AC$1006:AE1006),$AC$1006:$AS$1006,0))&gt;=100000), " ",IF(INDEX($AC$2:$AS$1001,MATCH(ROWS($V$2:V447),$V$2:$V$1001,0),MATCH(COLUMNS($AC$1006:AE1006),$AC$1006:$AS$1006,0)), HYPERLINK("#",""), HYPERLINK(CONCATENATE("#Metadata!", ADDRESS(INDEX($X$2:$X$1001,MATCH(ROWS($V$2:V447),$V$2:$V$1001,0),0), INDEX($AC$1004:$AS$1004,1,MATCH(COLUMNS($AC$1006:AE1006),$AC$1006:$AS$1006,0)))),"Fix")))</f>
        <v>0</v>
      </c>
      <c r="E447" s="5">
        <f>IF(OR(INDEX($W$2:$W$1001,MATCH(ROWS($V$2:V447),$V$2:$V$1001,0),1)&gt;=100000,INDEX($AC$1005:$AS$1005,1,MATCH(COLUMNS($AC$1006:AF1006),$AC$1006:$AS$1006,0))&gt;=100000), " ",IF(INDEX($AC$2:$AS$1001,MATCH(ROWS($V$2:V447),$V$2:$V$1001,0),MATCH(COLUMNS($AC$1006:AF1006),$AC$1006:$AS$1006,0)), HYPERLINK("#",""), HYPERLINK(CONCATENATE("#Metadata!", ADDRESS(INDEX($X$2:$X$1001,MATCH(ROWS($V$2:V447),$V$2:$V$1001,0),0), INDEX($AC$1004:$AS$1004,1,MATCH(COLUMNS($AC$1006:AF1006),$AC$1006:$AS$1006,0)))),"Fix")))</f>
        <v>0</v>
      </c>
      <c r="F447" s="5">
        <f>IF(OR(INDEX($W$2:$W$1001,MATCH(ROWS($V$2:V447),$V$2:$V$1001,0),1)&gt;=100000,INDEX($AC$1005:$AS$1005,1,MATCH(COLUMNS($AC$1006:AG1006),$AC$1006:$AS$1006,0))&gt;=100000), " ",IF(INDEX($AC$2:$AS$1001,MATCH(ROWS($V$2:V447),$V$2:$V$1001,0),MATCH(COLUMNS($AC$1006:AG1006),$AC$1006:$AS$1006,0)), HYPERLINK("#",""), HYPERLINK(CONCATENATE("#Metadata!", ADDRESS(INDEX($X$2:$X$1001,MATCH(ROWS($V$2:V447),$V$2:$V$1001,0),0), INDEX($AC$1004:$AS$1004,1,MATCH(COLUMNS($AC$1006:AG1006),$AC$1006:$AS$1006,0)))),"Fix")))</f>
        <v>0</v>
      </c>
      <c r="G447" s="5">
        <f>IF(OR(INDEX($W$2:$W$1001,MATCH(ROWS($V$2:V447),$V$2:$V$1001,0),1)&gt;=100000,INDEX($AC$1005:$AS$1005,1,MATCH(COLUMNS($AC$1006:AH1006),$AC$1006:$AS$1006,0))&gt;=100000), " ",IF(INDEX($AC$2:$AS$1001,MATCH(ROWS($V$2:V447),$V$2:$V$1001,0),MATCH(COLUMNS($AC$1006:AH1006),$AC$1006:$AS$1006,0)), HYPERLINK("#",""), HYPERLINK(CONCATENATE("#Metadata!", ADDRESS(INDEX($X$2:$X$1001,MATCH(ROWS($V$2:V447),$V$2:$V$1001,0),0), INDEX($AC$1004:$AS$1004,1,MATCH(COLUMNS($AC$1006:AH1006),$AC$1006:$AS$1006,0)))),"Fix")))</f>
        <v>0</v>
      </c>
      <c r="H447" s="5">
        <f>IF(OR(INDEX($W$2:$W$1001,MATCH(ROWS($V$2:V447),$V$2:$V$1001,0),1)&gt;=100000,INDEX($AC$1005:$AS$1005,1,MATCH(COLUMNS($AC$1006:AI1006),$AC$1006:$AS$1006,0))&gt;=100000), " ",IF(INDEX($AC$2:$AS$1001,MATCH(ROWS($V$2:V447),$V$2:$V$1001,0),MATCH(COLUMNS($AC$1006:AI1006),$AC$1006:$AS$1006,0)), HYPERLINK("#",""), HYPERLINK(CONCATENATE("#Metadata!", ADDRESS(INDEX($X$2:$X$1001,MATCH(ROWS($V$2:V447),$V$2:$V$1001,0),0), INDEX($AC$1004:$AS$1004,1,MATCH(COLUMNS($AC$1006:AI1006),$AC$1006:$AS$1006,0)))),"Fix")))</f>
        <v>0</v>
      </c>
      <c r="I447" s="5">
        <f>IF(OR(INDEX($W$2:$W$1001,MATCH(ROWS($V$2:V447),$V$2:$V$1001,0),1)&gt;=100000,INDEX($AC$1005:$AS$1005,1,MATCH(COLUMNS($AC$1006:AJ1006),$AC$1006:$AS$1006,0))&gt;=100000), " ",IF(INDEX($AC$2:$AS$1001,MATCH(ROWS($V$2:V447),$V$2:$V$1001,0),MATCH(COLUMNS($AC$1006:AJ1006),$AC$1006:$AS$1006,0)), HYPERLINK("#",""), HYPERLINK(CONCATENATE("#Metadata!", ADDRESS(INDEX($X$2:$X$1001,MATCH(ROWS($V$2:V447),$V$2:$V$1001,0),0), INDEX($AC$1004:$AS$1004,1,MATCH(COLUMNS($AC$1006:AJ1006),$AC$1006:$AS$1006,0)))),"Fix")))</f>
        <v>0</v>
      </c>
      <c r="J447" s="5">
        <f>IF(OR(INDEX($W$2:$W$1001,MATCH(ROWS($V$2:V447),$V$2:$V$1001,0),1)&gt;=100000,INDEX($AC$1005:$AS$1005,1,MATCH(COLUMNS($AC$1006:AK1006),$AC$1006:$AS$1006,0))&gt;=100000), " ",IF(INDEX($AC$2:$AS$1001,MATCH(ROWS($V$2:V447),$V$2:$V$1001,0),MATCH(COLUMNS($AC$1006:AK1006),$AC$1006:$AS$1006,0)), HYPERLINK("#",""), HYPERLINK(CONCATENATE("#Metadata!", ADDRESS(INDEX($X$2:$X$1001,MATCH(ROWS($V$2:V447),$V$2:$V$1001,0),0), INDEX($AC$1004:$AS$1004,1,MATCH(COLUMNS($AC$1006:AK1006),$AC$1006:$AS$1006,0)))),"Fix")))</f>
        <v>0</v>
      </c>
      <c r="K447" s="5">
        <f>IF(OR(INDEX($W$2:$W$1001,MATCH(ROWS($V$2:V447),$V$2:$V$1001,0),1)&gt;=100000,INDEX($AC$1005:$AS$1005,1,MATCH(COLUMNS($AC$1006:AL1006),$AC$1006:$AS$1006,0))&gt;=100000), " ",IF(INDEX($AC$2:$AS$1001,MATCH(ROWS($V$2:V447),$V$2:$V$1001,0),MATCH(COLUMNS($AC$1006:AL1006),$AC$1006:$AS$1006,0)), HYPERLINK("#",""), HYPERLINK(CONCATENATE("#Metadata!", ADDRESS(INDEX($X$2:$X$1001,MATCH(ROWS($V$2:V447),$V$2:$V$1001,0),0), INDEX($AC$1004:$AS$1004,1,MATCH(COLUMNS($AC$1006:AL1006),$AC$1006:$AS$1006,0)))),"Fix")))</f>
        <v>0</v>
      </c>
      <c r="L447" s="5">
        <f>IF(OR(INDEX($W$2:$W$1001,MATCH(ROWS($V$2:V447),$V$2:$V$1001,0),1)&gt;=100000,INDEX($AC$1005:$AS$1005,1,MATCH(COLUMNS($AC$1006:AM1006),$AC$1006:$AS$1006,0))&gt;=100000), " ",IF(INDEX($AC$2:$AS$1001,MATCH(ROWS($V$2:V447),$V$2:$V$1001,0),MATCH(COLUMNS($AC$1006:AM1006),$AC$1006:$AS$1006,0)), HYPERLINK("#",""), HYPERLINK(CONCATENATE("#Metadata!", ADDRESS(INDEX($X$2:$X$1001,MATCH(ROWS($V$2:V447),$V$2:$V$1001,0),0), INDEX($AC$1004:$AS$1004,1,MATCH(COLUMNS($AC$1006:AM1006),$AC$1006:$AS$1006,0)))),"Fix")))</f>
        <v>0</v>
      </c>
      <c r="M447" s="5">
        <f>IF(OR(INDEX($W$2:$W$1001,MATCH(ROWS($V$2:V447),$V$2:$V$1001,0),1)&gt;=100000,INDEX($AC$1005:$AS$1005,1,MATCH(COLUMNS($AC$1006:AN1006),$AC$1006:$AS$1006,0))&gt;=100000), " ",IF(INDEX($AC$2:$AS$1001,MATCH(ROWS($V$2:V447),$V$2:$V$1001,0),MATCH(COLUMNS($AC$1006:AN1006),$AC$1006:$AS$1006,0)), HYPERLINK("#",""), HYPERLINK(CONCATENATE("#Metadata!", ADDRESS(INDEX($X$2:$X$1001,MATCH(ROWS($V$2:V447),$V$2:$V$1001,0),0), INDEX($AC$1004:$AS$1004,1,MATCH(COLUMNS($AC$1006:AN1006),$AC$1006:$AS$1006,0)))),"Fix")))</f>
        <v>0</v>
      </c>
      <c r="N447" s="5">
        <f>IF(OR(INDEX($W$2:$W$1001,MATCH(ROWS($V$2:V447),$V$2:$V$1001,0),1)&gt;=100000,INDEX($AC$1005:$AS$1005,1,MATCH(COLUMNS($AC$1006:AO1006),$AC$1006:$AS$1006,0))&gt;=100000), " ",IF(INDEX($AC$2:$AS$1001,MATCH(ROWS($V$2:V447),$V$2:$V$1001,0),MATCH(COLUMNS($AC$1006:AO1006),$AC$1006:$AS$1006,0)), HYPERLINK("#",""), HYPERLINK(CONCATENATE("#Metadata!", ADDRESS(INDEX($X$2:$X$1001,MATCH(ROWS($V$2:V447),$V$2:$V$1001,0),0), INDEX($AC$1004:$AS$1004,1,MATCH(COLUMNS($AC$1006:AO1006),$AC$1006:$AS$1006,0)))),"Fix")))</f>
        <v>0</v>
      </c>
      <c r="O447" s="5">
        <f>IF(OR(INDEX($W$2:$W$1001,MATCH(ROWS($V$2:V447),$V$2:$V$1001,0),1)&gt;=100000,INDEX($AC$1005:$AS$1005,1,MATCH(COLUMNS($AC$1006:AP1006),$AC$1006:$AS$1006,0))&gt;=100000), " ",IF(INDEX($AC$2:$AS$1001,MATCH(ROWS($V$2:V447),$V$2:$V$1001,0),MATCH(COLUMNS($AC$1006:AP1006),$AC$1006:$AS$1006,0)), HYPERLINK("#",""), HYPERLINK(CONCATENATE("#Metadata!", ADDRESS(INDEX($X$2:$X$1001,MATCH(ROWS($V$2:V447),$V$2:$V$1001,0),0), INDEX($AC$1004:$AS$1004,1,MATCH(COLUMNS($AC$1006:AP1006),$AC$1006:$AS$1006,0)))),"Fix")))</f>
        <v>0</v>
      </c>
      <c r="P447" s="5">
        <f>IF(OR(INDEX($W$2:$W$1001,MATCH(ROWS($V$2:V447),$V$2:$V$1001,0),1)&gt;=100000,INDEX($AC$1005:$AS$1005,1,MATCH(COLUMNS($AC$1006:AQ1006),$AC$1006:$AS$1006,0))&gt;=100000), " ",IF(INDEX($AC$2:$AS$1001,MATCH(ROWS($V$2:V447),$V$2:$V$1001,0),MATCH(COLUMNS($AC$1006:AQ1006),$AC$1006:$AS$1006,0)), HYPERLINK("#",""), HYPERLINK(CONCATENATE("#Metadata!", ADDRESS(INDEX($X$2:$X$1001,MATCH(ROWS($V$2:V447),$V$2:$V$1001,0),0), INDEX($AC$1004:$AS$1004,1,MATCH(COLUMNS($AC$1006:AQ1006),$AC$1006:$AS$1006,0)))),"Fix")))</f>
        <v>0</v>
      </c>
      <c r="Q447" s="5">
        <f>IF(OR(INDEX($W$2:$W$1001,MATCH(ROWS($V$2:V447),$V$2:$V$1001,0),1)&gt;=100000,INDEX($AC$1005:$AS$1005,1,MATCH(COLUMNS($AC$1006:AR1006),$AC$1006:$AS$1006,0))&gt;=100000), " ",IF(INDEX($AC$2:$AS$1001,MATCH(ROWS($V$2:V447),$V$2:$V$1001,0),MATCH(COLUMNS($AC$1006:AR1006),$AC$1006:$AS$1006,0)), HYPERLINK("#",""), HYPERLINK(CONCATENATE("#Metadata!", ADDRESS(INDEX($X$2:$X$1001,MATCH(ROWS($V$2:V447),$V$2:$V$1001,0),0), INDEX($AC$1004:$AS$1004,1,MATCH(COLUMNS($AC$1006:AR1006),$AC$1006:$AS$1006,0)))),"Fix")))</f>
        <v>0</v>
      </c>
      <c r="R447" s="5">
        <f>IF(OR(INDEX($W$2:$W$1001,MATCH(ROWS($V$2:V447),$V$2:$V$1001,0),1)&gt;=100000,INDEX($AC$1005:$AS$1005,1,MATCH(COLUMNS($AC$1006:AS1006),$AC$1006:$AS$1006,0))&gt;=100000), " ",IF(INDEX($AC$2:$AS$1001,MATCH(ROWS($V$2:V447),$V$2:$V$1001,0),MATCH(COLUMNS($AC$1006:AS1006),$AC$1006:$AS$1006,0)), HYPERLINK("#",""), HYPERLINK(CONCATENATE("#Metadata!", ADDRESS(INDEX($X$2:$X$1001,MATCH(ROWS($V$2:V447),$V$2:$V$1001,0),0), INDEX($AC$1004:$AS$1004,1,MATCH(COLUMNS($AC$1006:AS1006),$AC$1006:$AS$1006,0)))),"Fix")))</f>
        <v>0</v>
      </c>
      <c r="V447">
        <v>0</v>
      </c>
      <c r="W447">
        <v>0</v>
      </c>
      <c r="X447">
        <v>0</v>
      </c>
      <c r="Y447">
        <f>IF(Z447,TRUE,AND(AC447:AS447))</f>
        <v>0</v>
      </c>
      <c r="Z447">
        <f>COUNTBLANK(Metadata!B447:R447)=COLUMNS(Metadata!B447:R447)</f>
        <v>0</v>
      </c>
      <c r="AA447">
        <v>0</v>
      </c>
      <c r="AC447">
        <f>AND(IF(Metadata!B447="",FALSE,TRUE),COUNTIF(Metadata!B:B, Metadata!B447) = 1,NOT(ISERROR(SUMPRODUCT(SEARCH(MID(Metadata!B447,ROW(INDIRECT("1:"&amp;LEN(Metadata!B447))), 1),"0123456789abcdefghijklmnopqrstuvwxyzABCDEFGHIJKLMNOPQRSTUVWXYZ.")))))</f>
        <v>0</v>
      </c>
      <c r="AD447">
        <f>AND(IF(Metadata!C447="",FALSE,TRUE),exact(Metadata!C447,"Host-associated"))</f>
        <v>0</v>
      </c>
      <c r="AE447">
        <f>AND(IF(Metadata!D447="",FALSE,TRUE),OR(exact(Metadata!D447,"Animal"),exact(Metadata!D447,"Fungus"),exact(Metadata!D447,"Plant")))</f>
        <v>0</v>
      </c>
      <c r="AF447">
        <f>AND(IF(Metadata!E447="",FALSE,TRUE),OR(exact(Metadata!E447,"Plant secretion"),exact(Metadata!E447,"Plant rhizosphere"),exact(Metadata!E447,"Plant surface"),exact(Metadata!E447,"Plant corpus"),exact(Metadata!E447,"Fungus surface"),exact(Metadata!E447,"Fungus corpus"),exact(Metadata!E447,"Animal surface"),exact(Metadata!E447,"Animal proximal gut"),exact(Metadata!E447,"Animal corpus"),exact(Metadata!E447,"Animal distal gut"),exact(Metadata!E447,"Animal secretion")))</f>
        <v>0</v>
      </c>
      <c r="AG447">
        <f>OR(AND(IF(Metadata!F447="",FALSE,TRUE),OR(exact(Metadata!F447,"not collected"),exact(Metadata!F447,"not provided"),exact(Metadata!F447,"restricted access"))),AND(IF(Metadata!F447="",FALSE,TRUE),OR(exact(Metadata!F447,"organism-associated habitat"),exact(Metadata!F447,"plant-associated habitat"),exact(Metadata!F447,"animal-associated habitat"),exact(Metadata!F447,"insecta-associated habitat"),exact(Metadata!F447,"mammalia-associated habitat"),exact(Metadata!F447,"human-associated habitat"),exact(Metadata!F447,"livestock-associated habitat"))))</f>
        <v>0</v>
      </c>
      <c r="AH447">
        <f>AND(IF(Metadata!G447="",FALSE,TRUE),exact(Metadata!G447,"host-associated"))</f>
        <v>0</v>
      </c>
      <c r="AI447">
        <f>OR(AND(IF(Metadata!H447="",FALSE,TRUE),OR(exact(Metadata!H447,"not collected"),exact(Metadata!H447,"not provided"))),AND(IF(Metadata!H447="",FALSE,ISNUMBER(VALUE(Metadata!H447))),Metadata!H447&gt;0))</f>
        <v>0</v>
      </c>
      <c r="AJ447">
        <f>AND(IF(Metadata!I447="",FALSE,TRUE),exact(Metadata!I447,"years"))</f>
        <v>0</v>
      </c>
      <c r="AK447">
        <f>IF(Metadata!J447="",FALSE,TRUE)</f>
        <v>0</v>
      </c>
      <c r="AL447">
        <f>OR(AND(IF(Metadata!K447="",FALSE,TRUE),OR(exact(Metadata!K447,"not collected"),exact(Metadata!K447,"not provided"))),AND(IF(Metadata!K447="",FALSE,ISNUMBER(VALUE(Metadata!K447))),Metadata!K447&gt;0))</f>
        <v>0</v>
      </c>
      <c r="AM447">
        <f>AND(IF(Metadata!L447="",FALSE,TRUE),exact(Metadata!L447,"cm"))</f>
        <v>0</v>
      </c>
      <c r="AN447">
        <f>IF(Metadata!M447="",FALSE,TRUE)</f>
        <v>0</v>
      </c>
      <c r="AO447">
        <f>OR(AND(IF(Metadata!N447="",FALSE,TRUE),OR(exact(Metadata!N447,"not applicable"),exact(Metadata!N447,"not collected"),exact(Metadata!N447,"not provided"))),AND(IF(Metadata!N447="",FALSE,IF(ISERROR(INT(Metadata!N447)),FALSE,INT(Metadata!N447)=Metadata!N447)),Metadata!N447&gt;0))</f>
        <v>0</v>
      </c>
      <c r="AP447">
        <f>OR(AND(IF(Metadata!O447="",FALSE,TRUE),OR(exact(Metadata!O447,"not collected"),exact(Metadata!O447,"not provided"))),AND(IF(Metadata!O447="",FALSE,ISNUMBER(VALUE(Metadata!O447))),Metadata!O447&gt;0))</f>
        <v>0</v>
      </c>
      <c r="AQ447">
        <f>AND(IF(Metadata!P447="",FALSE,TRUE),exact(Metadata!P447,"kg"))</f>
        <v>0</v>
      </c>
      <c r="AR447">
        <f>OR(AND(IF(Metadata!Q447="",FALSE,TRUE),OR(exact(Metadata!Q447,"not applicable"),exact(Metadata!Q447,"not collected"),exact(Metadata!Q447,"not provided"),exact(Metadata!Q447,"restricted access"))),IF(Metadata!Q447="",FALSE,IF(ISERROR(INT(Metadata!Q447)),FALSE,INT(Metadata!Q447)=Metadata!Q447)))</f>
        <v>0</v>
      </c>
      <c r="AS447">
        <f>AND(IF(Metadata!R447="",FALSE,TRUE),exact(Metadata!R447,"Not applicable"))</f>
        <v>0</v>
      </c>
    </row>
    <row r="448" spans="1:45">
      <c r="A448" s="4">
        <f>IF(B448=" "," ",HYPERLINK(CONCATENATE("#metadata!",ADDRESS(INDEX($X$2:$X$1001,MATCH(ROWS($V$2:V448),$V$2:$V$1001,0),0),2)),INDEX($AA$2:$AA$1001,MATCH(ROWS($V$2:V448),$V$2:$V$1001,0),0)))</f>
        <v>0</v>
      </c>
      <c r="B448" s="5">
        <f>IF(OR(INDEX($W$2:$W$1001,MATCH(ROWS($V$2:V448),$V$2:$V$1001,0),1)&gt;=100000,INDEX($AC$1005:$AS$1005,1,MATCH(COLUMNS($AC$1006:AC1006),$AC$1006:$AS$1006,0))&gt;=100000), " ",IF(INDEX($AC$2:$AS$1001,MATCH(ROWS($V$2:V448),$V$2:$V$1001,0),MATCH(COLUMNS($AC$1006:AC1006),$AC$1006:$AS$1006,0)), HYPERLINK("#",""), HYPERLINK(CONCATENATE("#Metadata!", ADDRESS(INDEX($X$2:$X$1001,MATCH(ROWS($V$2:V448),$V$2:$V$1001,0),0), INDEX($AC$1004:$AS$1004,1,MATCH(COLUMNS($AC$1006:AC1006),$AC$1006:$AS$1006,0)))),"Fix")))</f>
        <v>0</v>
      </c>
      <c r="C448" s="5">
        <f>IF(OR(INDEX($W$2:$W$1001,MATCH(ROWS($V$2:V448),$V$2:$V$1001,0),1)&gt;=100000,INDEX($AC$1005:$AS$1005,1,MATCH(COLUMNS($AC$1006:AD1006),$AC$1006:$AS$1006,0))&gt;=100000), " ",IF(INDEX($AC$2:$AS$1001,MATCH(ROWS($V$2:V448),$V$2:$V$1001,0),MATCH(COLUMNS($AC$1006:AD1006),$AC$1006:$AS$1006,0)), HYPERLINK("#",""), HYPERLINK(CONCATENATE("#Metadata!", ADDRESS(INDEX($X$2:$X$1001,MATCH(ROWS($V$2:V448),$V$2:$V$1001,0),0), INDEX($AC$1004:$AS$1004,1,MATCH(COLUMNS($AC$1006:AD1006),$AC$1006:$AS$1006,0)))),"Fix")))</f>
        <v>0</v>
      </c>
      <c r="D448" s="5">
        <f>IF(OR(INDEX($W$2:$W$1001,MATCH(ROWS($V$2:V448),$V$2:$V$1001,0),1)&gt;=100000,INDEX($AC$1005:$AS$1005,1,MATCH(COLUMNS($AC$1006:AE1006),$AC$1006:$AS$1006,0))&gt;=100000), " ",IF(INDEX($AC$2:$AS$1001,MATCH(ROWS($V$2:V448),$V$2:$V$1001,0),MATCH(COLUMNS($AC$1006:AE1006),$AC$1006:$AS$1006,0)), HYPERLINK("#",""), HYPERLINK(CONCATENATE("#Metadata!", ADDRESS(INDEX($X$2:$X$1001,MATCH(ROWS($V$2:V448),$V$2:$V$1001,0),0), INDEX($AC$1004:$AS$1004,1,MATCH(COLUMNS($AC$1006:AE1006),$AC$1006:$AS$1006,0)))),"Fix")))</f>
        <v>0</v>
      </c>
      <c r="E448" s="5">
        <f>IF(OR(INDEX($W$2:$W$1001,MATCH(ROWS($V$2:V448),$V$2:$V$1001,0),1)&gt;=100000,INDEX($AC$1005:$AS$1005,1,MATCH(COLUMNS($AC$1006:AF1006),$AC$1006:$AS$1006,0))&gt;=100000), " ",IF(INDEX($AC$2:$AS$1001,MATCH(ROWS($V$2:V448),$V$2:$V$1001,0),MATCH(COLUMNS($AC$1006:AF1006),$AC$1006:$AS$1006,0)), HYPERLINK("#",""), HYPERLINK(CONCATENATE("#Metadata!", ADDRESS(INDEX($X$2:$X$1001,MATCH(ROWS($V$2:V448),$V$2:$V$1001,0),0), INDEX($AC$1004:$AS$1004,1,MATCH(COLUMNS($AC$1006:AF1006),$AC$1006:$AS$1006,0)))),"Fix")))</f>
        <v>0</v>
      </c>
      <c r="F448" s="5">
        <f>IF(OR(INDEX($W$2:$W$1001,MATCH(ROWS($V$2:V448),$V$2:$V$1001,0),1)&gt;=100000,INDEX($AC$1005:$AS$1005,1,MATCH(COLUMNS($AC$1006:AG1006),$AC$1006:$AS$1006,0))&gt;=100000), " ",IF(INDEX($AC$2:$AS$1001,MATCH(ROWS($V$2:V448),$V$2:$V$1001,0),MATCH(COLUMNS($AC$1006:AG1006),$AC$1006:$AS$1006,0)), HYPERLINK("#",""), HYPERLINK(CONCATENATE("#Metadata!", ADDRESS(INDEX($X$2:$X$1001,MATCH(ROWS($V$2:V448),$V$2:$V$1001,0),0), INDEX($AC$1004:$AS$1004,1,MATCH(COLUMNS($AC$1006:AG1006),$AC$1006:$AS$1006,0)))),"Fix")))</f>
        <v>0</v>
      </c>
      <c r="G448" s="5">
        <f>IF(OR(INDEX($W$2:$W$1001,MATCH(ROWS($V$2:V448),$V$2:$V$1001,0),1)&gt;=100000,INDEX($AC$1005:$AS$1005,1,MATCH(COLUMNS($AC$1006:AH1006),$AC$1006:$AS$1006,0))&gt;=100000), " ",IF(INDEX($AC$2:$AS$1001,MATCH(ROWS($V$2:V448),$V$2:$V$1001,0),MATCH(COLUMNS($AC$1006:AH1006),$AC$1006:$AS$1006,0)), HYPERLINK("#",""), HYPERLINK(CONCATENATE("#Metadata!", ADDRESS(INDEX($X$2:$X$1001,MATCH(ROWS($V$2:V448),$V$2:$V$1001,0),0), INDEX($AC$1004:$AS$1004,1,MATCH(COLUMNS($AC$1006:AH1006),$AC$1006:$AS$1006,0)))),"Fix")))</f>
        <v>0</v>
      </c>
      <c r="H448" s="5">
        <f>IF(OR(INDEX($W$2:$W$1001,MATCH(ROWS($V$2:V448),$V$2:$V$1001,0),1)&gt;=100000,INDEX($AC$1005:$AS$1005,1,MATCH(COLUMNS($AC$1006:AI1006),$AC$1006:$AS$1006,0))&gt;=100000), " ",IF(INDEX($AC$2:$AS$1001,MATCH(ROWS($V$2:V448),$V$2:$V$1001,0),MATCH(COLUMNS($AC$1006:AI1006),$AC$1006:$AS$1006,0)), HYPERLINK("#",""), HYPERLINK(CONCATENATE("#Metadata!", ADDRESS(INDEX($X$2:$X$1001,MATCH(ROWS($V$2:V448),$V$2:$V$1001,0),0), INDEX($AC$1004:$AS$1004,1,MATCH(COLUMNS($AC$1006:AI1006),$AC$1006:$AS$1006,0)))),"Fix")))</f>
        <v>0</v>
      </c>
      <c r="I448" s="5">
        <f>IF(OR(INDEX($W$2:$W$1001,MATCH(ROWS($V$2:V448),$V$2:$V$1001,0),1)&gt;=100000,INDEX($AC$1005:$AS$1005,1,MATCH(COLUMNS($AC$1006:AJ1006),$AC$1006:$AS$1006,0))&gt;=100000), " ",IF(INDEX($AC$2:$AS$1001,MATCH(ROWS($V$2:V448),$V$2:$V$1001,0),MATCH(COLUMNS($AC$1006:AJ1006),$AC$1006:$AS$1006,0)), HYPERLINK("#",""), HYPERLINK(CONCATENATE("#Metadata!", ADDRESS(INDEX($X$2:$X$1001,MATCH(ROWS($V$2:V448),$V$2:$V$1001,0),0), INDEX($AC$1004:$AS$1004,1,MATCH(COLUMNS($AC$1006:AJ1006),$AC$1006:$AS$1006,0)))),"Fix")))</f>
        <v>0</v>
      </c>
      <c r="J448" s="5">
        <f>IF(OR(INDEX($W$2:$W$1001,MATCH(ROWS($V$2:V448),$V$2:$V$1001,0),1)&gt;=100000,INDEX($AC$1005:$AS$1005,1,MATCH(COLUMNS($AC$1006:AK1006),$AC$1006:$AS$1006,0))&gt;=100000), " ",IF(INDEX($AC$2:$AS$1001,MATCH(ROWS($V$2:V448),$V$2:$V$1001,0),MATCH(COLUMNS($AC$1006:AK1006),$AC$1006:$AS$1006,0)), HYPERLINK("#",""), HYPERLINK(CONCATENATE("#Metadata!", ADDRESS(INDEX($X$2:$X$1001,MATCH(ROWS($V$2:V448),$V$2:$V$1001,0),0), INDEX($AC$1004:$AS$1004,1,MATCH(COLUMNS($AC$1006:AK1006),$AC$1006:$AS$1006,0)))),"Fix")))</f>
        <v>0</v>
      </c>
      <c r="K448" s="5">
        <f>IF(OR(INDEX($W$2:$W$1001,MATCH(ROWS($V$2:V448),$V$2:$V$1001,0),1)&gt;=100000,INDEX($AC$1005:$AS$1005,1,MATCH(COLUMNS($AC$1006:AL1006),$AC$1006:$AS$1006,0))&gt;=100000), " ",IF(INDEX($AC$2:$AS$1001,MATCH(ROWS($V$2:V448),$V$2:$V$1001,0),MATCH(COLUMNS($AC$1006:AL1006),$AC$1006:$AS$1006,0)), HYPERLINK("#",""), HYPERLINK(CONCATENATE("#Metadata!", ADDRESS(INDEX($X$2:$X$1001,MATCH(ROWS($V$2:V448),$V$2:$V$1001,0),0), INDEX($AC$1004:$AS$1004,1,MATCH(COLUMNS($AC$1006:AL1006),$AC$1006:$AS$1006,0)))),"Fix")))</f>
        <v>0</v>
      </c>
      <c r="L448" s="5">
        <f>IF(OR(INDEX($W$2:$W$1001,MATCH(ROWS($V$2:V448),$V$2:$V$1001,0),1)&gt;=100000,INDEX($AC$1005:$AS$1005,1,MATCH(COLUMNS($AC$1006:AM1006),$AC$1006:$AS$1006,0))&gt;=100000), " ",IF(INDEX($AC$2:$AS$1001,MATCH(ROWS($V$2:V448),$V$2:$V$1001,0),MATCH(COLUMNS($AC$1006:AM1006),$AC$1006:$AS$1006,0)), HYPERLINK("#",""), HYPERLINK(CONCATENATE("#Metadata!", ADDRESS(INDEX($X$2:$X$1001,MATCH(ROWS($V$2:V448),$V$2:$V$1001,0),0), INDEX($AC$1004:$AS$1004,1,MATCH(COLUMNS($AC$1006:AM1006),$AC$1006:$AS$1006,0)))),"Fix")))</f>
        <v>0</v>
      </c>
      <c r="M448" s="5">
        <f>IF(OR(INDEX($W$2:$W$1001,MATCH(ROWS($V$2:V448),$V$2:$V$1001,0),1)&gt;=100000,INDEX($AC$1005:$AS$1005,1,MATCH(COLUMNS($AC$1006:AN1006),$AC$1006:$AS$1006,0))&gt;=100000), " ",IF(INDEX($AC$2:$AS$1001,MATCH(ROWS($V$2:V448),$V$2:$V$1001,0),MATCH(COLUMNS($AC$1006:AN1006),$AC$1006:$AS$1006,0)), HYPERLINK("#",""), HYPERLINK(CONCATENATE("#Metadata!", ADDRESS(INDEX($X$2:$X$1001,MATCH(ROWS($V$2:V448),$V$2:$V$1001,0),0), INDEX($AC$1004:$AS$1004,1,MATCH(COLUMNS($AC$1006:AN1006),$AC$1006:$AS$1006,0)))),"Fix")))</f>
        <v>0</v>
      </c>
      <c r="N448" s="5">
        <f>IF(OR(INDEX($W$2:$W$1001,MATCH(ROWS($V$2:V448),$V$2:$V$1001,0),1)&gt;=100000,INDEX($AC$1005:$AS$1005,1,MATCH(COLUMNS($AC$1006:AO1006),$AC$1006:$AS$1006,0))&gt;=100000), " ",IF(INDEX($AC$2:$AS$1001,MATCH(ROWS($V$2:V448),$V$2:$V$1001,0),MATCH(COLUMNS($AC$1006:AO1006),$AC$1006:$AS$1006,0)), HYPERLINK("#",""), HYPERLINK(CONCATENATE("#Metadata!", ADDRESS(INDEX($X$2:$X$1001,MATCH(ROWS($V$2:V448),$V$2:$V$1001,0),0), INDEX($AC$1004:$AS$1004,1,MATCH(COLUMNS($AC$1006:AO1006),$AC$1006:$AS$1006,0)))),"Fix")))</f>
        <v>0</v>
      </c>
      <c r="O448" s="5">
        <f>IF(OR(INDEX($W$2:$W$1001,MATCH(ROWS($V$2:V448),$V$2:$V$1001,0),1)&gt;=100000,INDEX($AC$1005:$AS$1005,1,MATCH(COLUMNS($AC$1006:AP1006),$AC$1006:$AS$1006,0))&gt;=100000), " ",IF(INDEX($AC$2:$AS$1001,MATCH(ROWS($V$2:V448),$V$2:$V$1001,0),MATCH(COLUMNS($AC$1006:AP1006),$AC$1006:$AS$1006,0)), HYPERLINK("#",""), HYPERLINK(CONCATENATE("#Metadata!", ADDRESS(INDEX($X$2:$X$1001,MATCH(ROWS($V$2:V448),$V$2:$V$1001,0),0), INDEX($AC$1004:$AS$1004,1,MATCH(COLUMNS($AC$1006:AP1006),$AC$1006:$AS$1006,0)))),"Fix")))</f>
        <v>0</v>
      </c>
      <c r="P448" s="5">
        <f>IF(OR(INDEX($W$2:$W$1001,MATCH(ROWS($V$2:V448),$V$2:$V$1001,0),1)&gt;=100000,INDEX($AC$1005:$AS$1005,1,MATCH(COLUMNS($AC$1006:AQ1006),$AC$1006:$AS$1006,0))&gt;=100000), " ",IF(INDEX($AC$2:$AS$1001,MATCH(ROWS($V$2:V448),$V$2:$V$1001,0),MATCH(COLUMNS($AC$1006:AQ1006),$AC$1006:$AS$1006,0)), HYPERLINK("#",""), HYPERLINK(CONCATENATE("#Metadata!", ADDRESS(INDEX($X$2:$X$1001,MATCH(ROWS($V$2:V448),$V$2:$V$1001,0),0), INDEX($AC$1004:$AS$1004,1,MATCH(COLUMNS($AC$1006:AQ1006),$AC$1006:$AS$1006,0)))),"Fix")))</f>
        <v>0</v>
      </c>
      <c r="Q448" s="5">
        <f>IF(OR(INDEX($W$2:$W$1001,MATCH(ROWS($V$2:V448),$V$2:$V$1001,0),1)&gt;=100000,INDEX($AC$1005:$AS$1005,1,MATCH(COLUMNS($AC$1006:AR1006),$AC$1006:$AS$1006,0))&gt;=100000), " ",IF(INDEX($AC$2:$AS$1001,MATCH(ROWS($V$2:V448),$V$2:$V$1001,0),MATCH(COLUMNS($AC$1006:AR1006),$AC$1006:$AS$1006,0)), HYPERLINK("#",""), HYPERLINK(CONCATENATE("#Metadata!", ADDRESS(INDEX($X$2:$X$1001,MATCH(ROWS($V$2:V448),$V$2:$V$1001,0),0), INDEX($AC$1004:$AS$1004,1,MATCH(COLUMNS($AC$1006:AR1006),$AC$1006:$AS$1006,0)))),"Fix")))</f>
        <v>0</v>
      </c>
      <c r="R448" s="5">
        <f>IF(OR(INDEX($W$2:$W$1001,MATCH(ROWS($V$2:V448),$V$2:$V$1001,0),1)&gt;=100000,INDEX($AC$1005:$AS$1005,1,MATCH(COLUMNS($AC$1006:AS1006),$AC$1006:$AS$1006,0))&gt;=100000), " ",IF(INDEX($AC$2:$AS$1001,MATCH(ROWS($V$2:V448),$V$2:$V$1001,0),MATCH(COLUMNS($AC$1006:AS1006),$AC$1006:$AS$1006,0)), HYPERLINK("#",""), HYPERLINK(CONCATENATE("#Metadata!", ADDRESS(INDEX($X$2:$X$1001,MATCH(ROWS($V$2:V448),$V$2:$V$1001,0),0), INDEX($AC$1004:$AS$1004,1,MATCH(COLUMNS($AC$1006:AS1006),$AC$1006:$AS$1006,0)))),"Fix")))</f>
        <v>0</v>
      </c>
      <c r="V448">
        <v>0</v>
      </c>
      <c r="W448">
        <v>0</v>
      </c>
      <c r="X448">
        <v>0</v>
      </c>
      <c r="Y448">
        <f>IF(Z448,TRUE,AND(AC448:AS448))</f>
        <v>0</v>
      </c>
      <c r="Z448">
        <f>COUNTBLANK(Metadata!B448:R448)=COLUMNS(Metadata!B448:R448)</f>
        <v>0</v>
      </c>
      <c r="AA448">
        <v>0</v>
      </c>
      <c r="AC448">
        <f>AND(IF(Metadata!B448="",FALSE,TRUE),COUNTIF(Metadata!B:B, Metadata!B448) = 1,NOT(ISERROR(SUMPRODUCT(SEARCH(MID(Metadata!B448,ROW(INDIRECT("1:"&amp;LEN(Metadata!B448))), 1),"0123456789abcdefghijklmnopqrstuvwxyzABCDEFGHIJKLMNOPQRSTUVWXYZ.")))))</f>
        <v>0</v>
      </c>
      <c r="AD448">
        <f>AND(IF(Metadata!C448="",FALSE,TRUE),exact(Metadata!C448,"Host-associated"))</f>
        <v>0</v>
      </c>
      <c r="AE448">
        <f>AND(IF(Metadata!D448="",FALSE,TRUE),OR(exact(Metadata!D448,"Animal"),exact(Metadata!D448,"Fungus"),exact(Metadata!D448,"Plant")))</f>
        <v>0</v>
      </c>
      <c r="AF448">
        <f>AND(IF(Metadata!E448="",FALSE,TRUE),OR(exact(Metadata!E448,"Plant secretion"),exact(Metadata!E448,"Plant rhizosphere"),exact(Metadata!E448,"Plant surface"),exact(Metadata!E448,"Plant corpus"),exact(Metadata!E448,"Fungus surface"),exact(Metadata!E448,"Fungus corpus"),exact(Metadata!E448,"Animal surface"),exact(Metadata!E448,"Animal proximal gut"),exact(Metadata!E448,"Animal corpus"),exact(Metadata!E448,"Animal distal gut"),exact(Metadata!E448,"Animal secretion")))</f>
        <v>0</v>
      </c>
      <c r="AG448">
        <f>OR(AND(IF(Metadata!F448="",FALSE,TRUE),OR(exact(Metadata!F448,"not collected"),exact(Metadata!F448,"not provided"),exact(Metadata!F448,"restricted access"))),AND(IF(Metadata!F448="",FALSE,TRUE),OR(exact(Metadata!F448,"organism-associated habitat"),exact(Metadata!F448,"plant-associated habitat"),exact(Metadata!F448,"animal-associated habitat"),exact(Metadata!F448,"insecta-associated habitat"),exact(Metadata!F448,"mammalia-associated habitat"),exact(Metadata!F448,"human-associated habitat"),exact(Metadata!F448,"livestock-associated habitat"))))</f>
        <v>0</v>
      </c>
      <c r="AH448">
        <f>AND(IF(Metadata!G448="",FALSE,TRUE),exact(Metadata!G448,"host-associated"))</f>
        <v>0</v>
      </c>
      <c r="AI448">
        <f>OR(AND(IF(Metadata!H448="",FALSE,TRUE),OR(exact(Metadata!H448,"not collected"),exact(Metadata!H448,"not provided"))),AND(IF(Metadata!H448="",FALSE,ISNUMBER(VALUE(Metadata!H448))),Metadata!H448&gt;0))</f>
        <v>0</v>
      </c>
      <c r="AJ448">
        <f>AND(IF(Metadata!I448="",FALSE,TRUE),exact(Metadata!I448,"years"))</f>
        <v>0</v>
      </c>
      <c r="AK448">
        <f>IF(Metadata!J448="",FALSE,TRUE)</f>
        <v>0</v>
      </c>
      <c r="AL448">
        <f>OR(AND(IF(Metadata!K448="",FALSE,TRUE),OR(exact(Metadata!K448,"not collected"),exact(Metadata!K448,"not provided"))),AND(IF(Metadata!K448="",FALSE,ISNUMBER(VALUE(Metadata!K448))),Metadata!K448&gt;0))</f>
        <v>0</v>
      </c>
      <c r="AM448">
        <f>AND(IF(Metadata!L448="",FALSE,TRUE),exact(Metadata!L448,"cm"))</f>
        <v>0</v>
      </c>
      <c r="AN448">
        <f>IF(Metadata!M448="",FALSE,TRUE)</f>
        <v>0</v>
      </c>
      <c r="AO448">
        <f>OR(AND(IF(Metadata!N448="",FALSE,TRUE),OR(exact(Metadata!N448,"not applicable"),exact(Metadata!N448,"not collected"),exact(Metadata!N448,"not provided"))),AND(IF(Metadata!N448="",FALSE,IF(ISERROR(INT(Metadata!N448)),FALSE,INT(Metadata!N448)=Metadata!N448)),Metadata!N448&gt;0))</f>
        <v>0</v>
      </c>
      <c r="AP448">
        <f>OR(AND(IF(Metadata!O448="",FALSE,TRUE),OR(exact(Metadata!O448,"not collected"),exact(Metadata!O448,"not provided"))),AND(IF(Metadata!O448="",FALSE,ISNUMBER(VALUE(Metadata!O448))),Metadata!O448&gt;0))</f>
        <v>0</v>
      </c>
      <c r="AQ448">
        <f>AND(IF(Metadata!P448="",FALSE,TRUE),exact(Metadata!P448,"kg"))</f>
        <v>0</v>
      </c>
      <c r="AR448">
        <f>OR(AND(IF(Metadata!Q448="",FALSE,TRUE),OR(exact(Metadata!Q448,"not applicable"),exact(Metadata!Q448,"not collected"),exact(Metadata!Q448,"not provided"),exact(Metadata!Q448,"restricted access"))),IF(Metadata!Q448="",FALSE,IF(ISERROR(INT(Metadata!Q448)),FALSE,INT(Metadata!Q448)=Metadata!Q448)))</f>
        <v>0</v>
      </c>
      <c r="AS448">
        <f>AND(IF(Metadata!R448="",FALSE,TRUE),exact(Metadata!R448,"Not applicable"))</f>
        <v>0</v>
      </c>
    </row>
    <row r="449" spans="1:45">
      <c r="A449" s="4">
        <f>IF(B449=" "," ",HYPERLINK(CONCATENATE("#metadata!",ADDRESS(INDEX($X$2:$X$1001,MATCH(ROWS($V$2:V449),$V$2:$V$1001,0),0),2)),INDEX($AA$2:$AA$1001,MATCH(ROWS($V$2:V449),$V$2:$V$1001,0),0)))</f>
        <v>0</v>
      </c>
      <c r="B449" s="5">
        <f>IF(OR(INDEX($W$2:$W$1001,MATCH(ROWS($V$2:V449),$V$2:$V$1001,0),1)&gt;=100000,INDEX($AC$1005:$AS$1005,1,MATCH(COLUMNS($AC$1006:AC1006),$AC$1006:$AS$1006,0))&gt;=100000), " ",IF(INDEX($AC$2:$AS$1001,MATCH(ROWS($V$2:V449),$V$2:$V$1001,0),MATCH(COLUMNS($AC$1006:AC1006),$AC$1006:$AS$1006,0)), HYPERLINK("#",""), HYPERLINK(CONCATENATE("#Metadata!", ADDRESS(INDEX($X$2:$X$1001,MATCH(ROWS($V$2:V449),$V$2:$V$1001,0),0), INDEX($AC$1004:$AS$1004,1,MATCH(COLUMNS($AC$1006:AC1006),$AC$1006:$AS$1006,0)))),"Fix")))</f>
        <v>0</v>
      </c>
      <c r="C449" s="5">
        <f>IF(OR(INDEX($W$2:$W$1001,MATCH(ROWS($V$2:V449),$V$2:$V$1001,0),1)&gt;=100000,INDEX($AC$1005:$AS$1005,1,MATCH(COLUMNS($AC$1006:AD1006),$AC$1006:$AS$1006,0))&gt;=100000), " ",IF(INDEX($AC$2:$AS$1001,MATCH(ROWS($V$2:V449),$V$2:$V$1001,0),MATCH(COLUMNS($AC$1006:AD1006),$AC$1006:$AS$1006,0)), HYPERLINK("#",""), HYPERLINK(CONCATENATE("#Metadata!", ADDRESS(INDEX($X$2:$X$1001,MATCH(ROWS($V$2:V449),$V$2:$V$1001,0),0), INDEX($AC$1004:$AS$1004,1,MATCH(COLUMNS($AC$1006:AD1006),$AC$1006:$AS$1006,0)))),"Fix")))</f>
        <v>0</v>
      </c>
      <c r="D449" s="5">
        <f>IF(OR(INDEX($W$2:$W$1001,MATCH(ROWS($V$2:V449),$V$2:$V$1001,0),1)&gt;=100000,INDEX($AC$1005:$AS$1005,1,MATCH(COLUMNS($AC$1006:AE1006),$AC$1006:$AS$1006,0))&gt;=100000), " ",IF(INDEX($AC$2:$AS$1001,MATCH(ROWS($V$2:V449),$V$2:$V$1001,0),MATCH(COLUMNS($AC$1006:AE1006),$AC$1006:$AS$1006,0)), HYPERLINK("#",""), HYPERLINK(CONCATENATE("#Metadata!", ADDRESS(INDEX($X$2:$X$1001,MATCH(ROWS($V$2:V449),$V$2:$V$1001,0),0), INDEX($AC$1004:$AS$1004,1,MATCH(COLUMNS($AC$1006:AE1006),$AC$1006:$AS$1006,0)))),"Fix")))</f>
        <v>0</v>
      </c>
      <c r="E449" s="5">
        <f>IF(OR(INDEX($W$2:$W$1001,MATCH(ROWS($V$2:V449),$V$2:$V$1001,0),1)&gt;=100000,INDEX($AC$1005:$AS$1005,1,MATCH(COLUMNS($AC$1006:AF1006),$AC$1006:$AS$1006,0))&gt;=100000), " ",IF(INDEX($AC$2:$AS$1001,MATCH(ROWS($V$2:V449),$V$2:$V$1001,0),MATCH(COLUMNS($AC$1006:AF1006),$AC$1006:$AS$1006,0)), HYPERLINK("#",""), HYPERLINK(CONCATENATE("#Metadata!", ADDRESS(INDEX($X$2:$X$1001,MATCH(ROWS($V$2:V449),$V$2:$V$1001,0),0), INDEX($AC$1004:$AS$1004,1,MATCH(COLUMNS($AC$1006:AF1006),$AC$1006:$AS$1006,0)))),"Fix")))</f>
        <v>0</v>
      </c>
      <c r="F449" s="5">
        <f>IF(OR(INDEX($W$2:$W$1001,MATCH(ROWS($V$2:V449),$V$2:$V$1001,0),1)&gt;=100000,INDEX($AC$1005:$AS$1005,1,MATCH(COLUMNS($AC$1006:AG1006),$AC$1006:$AS$1006,0))&gt;=100000), " ",IF(INDEX($AC$2:$AS$1001,MATCH(ROWS($V$2:V449),$V$2:$V$1001,0),MATCH(COLUMNS($AC$1006:AG1006),$AC$1006:$AS$1006,0)), HYPERLINK("#",""), HYPERLINK(CONCATENATE("#Metadata!", ADDRESS(INDEX($X$2:$X$1001,MATCH(ROWS($V$2:V449),$V$2:$V$1001,0),0), INDEX($AC$1004:$AS$1004,1,MATCH(COLUMNS($AC$1006:AG1006),$AC$1006:$AS$1006,0)))),"Fix")))</f>
        <v>0</v>
      </c>
      <c r="G449" s="5">
        <f>IF(OR(INDEX($W$2:$W$1001,MATCH(ROWS($V$2:V449),$V$2:$V$1001,0),1)&gt;=100000,INDEX($AC$1005:$AS$1005,1,MATCH(COLUMNS($AC$1006:AH1006),$AC$1006:$AS$1006,0))&gt;=100000), " ",IF(INDEX($AC$2:$AS$1001,MATCH(ROWS($V$2:V449),$V$2:$V$1001,0),MATCH(COLUMNS($AC$1006:AH1006),$AC$1006:$AS$1006,0)), HYPERLINK("#",""), HYPERLINK(CONCATENATE("#Metadata!", ADDRESS(INDEX($X$2:$X$1001,MATCH(ROWS($V$2:V449),$V$2:$V$1001,0),0), INDEX($AC$1004:$AS$1004,1,MATCH(COLUMNS($AC$1006:AH1006),$AC$1006:$AS$1006,0)))),"Fix")))</f>
        <v>0</v>
      </c>
      <c r="H449" s="5">
        <f>IF(OR(INDEX($W$2:$W$1001,MATCH(ROWS($V$2:V449),$V$2:$V$1001,0),1)&gt;=100000,INDEX($AC$1005:$AS$1005,1,MATCH(COLUMNS($AC$1006:AI1006),$AC$1006:$AS$1006,0))&gt;=100000), " ",IF(INDEX($AC$2:$AS$1001,MATCH(ROWS($V$2:V449),$V$2:$V$1001,0),MATCH(COLUMNS($AC$1006:AI1006),$AC$1006:$AS$1006,0)), HYPERLINK("#",""), HYPERLINK(CONCATENATE("#Metadata!", ADDRESS(INDEX($X$2:$X$1001,MATCH(ROWS($V$2:V449),$V$2:$V$1001,0),0), INDEX($AC$1004:$AS$1004,1,MATCH(COLUMNS($AC$1006:AI1006),$AC$1006:$AS$1006,0)))),"Fix")))</f>
        <v>0</v>
      </c>
      <c r="I449" s="5">
        <f>IF(OR(INDEX($W$2:$W$1001,MATCH(ROWS($V$2:V449),$V$2:$V$1001,0),1)&gt;=100000,INDEX($AC$1005:$AS$1005,1,MATCH(COLUMNS($AC$1006:AJ1006),$AC$1006:$AS$1006,0))&gt;=100000), " ",IF(INDEX($AC$2:$AS$1001,MATCH(ROWS($V$2:V449),$V$2:$V$1001,0),MATCH(COLUMNS($AC$1006:AJ1006),$AC$1006:$AS$1006,0)), HYPERLINK("#",""), HYPERLINK(CONCATENATE("#Metadata!", ADDRESS(INDEX($X$2:$X$1001,MATCH(ROWS($V$2:V449),$V$2:$V$1001,0),0), INDEX($AC$1004:$AS$1004,1,MATCH(COLUMNS($AC$1006:AJ1006),$AC$1006:$AS$1006,0)))),"Fix")))</f>
        <v>0</v>
      </c>
      <c r="J449" s="5">
        <f>IF(OR(INDEX($W$2:$W$1001,MATCH(ROWS($V$2:V449),$V$2:$V$1001,0),1)&gt;=100000,INDEX($AC$1005:$AS$1005,1,MATCH(COLUMNS($AC$1006:AK1006),$AC$1006:$AS$1006,0))&gt;=100000), " ",IF(INDEX($AC$2:$AS$1001,MATCH(ROWS($V$2:V449),$V$2:$V$1001,0),MATCH(COLUMNS($AC$1006:AK1006),$AC$1006:$AS$1006,0)), HYPERLINK("#",""), HYPERLINK(CONCATENATE("#Metadata!", ADDRESS(INDEX($X$2:$X$1001,MATCH(ROWS($V$2:V449),$V$2:$V$1001,0),0), INDEX($AC$1004:$AS$1004,1,MATCH(COLUMNS($AC$1006:AK1006),$AC$1006:$AS$1006,0)))),"Fix")))</f>
        <v>0</v>
      </c>
      <c r="K449" s="5">
        <f>IF(OR(INDEX($W$2:$W$1001,MATCH(ROWS($V$2:V449),$V$2:$V$1001,0),1)&gt;=100000,INDEX($AC$1005:$AS$1005,1,MATCH(COLUMNS($AC$1006:AL1006),$AC$1006:$AS$1006,0))&gt;=100000), " ",IF(INDEX($AC$2:$AS$1001,MATCH(ROWS($V$2:V449),$V$2:$V$1001,0),MATCH(COLUMNS($AC$1006:AL1006),$AC$1006:$AS$1006,0)), HYPERLINK("#",""), HYPERLINK(CONCATENATE("#Metadata!", ADDRESS(INDEX($X$2:$X$1001,MATCH(ROWS($V$2:V449),$V$2:$V$1001,0),0), INDEX($AC$1004:$AS$1004,1,MATCH(COLUMNS($AC$1006:AL1006),$AC$1006:$AS$1006,0)))),"Fix")))</f>
        <v>0</v>
      </c>
      <c r="L449" s="5">
        <f>IF(OR(INDEX($W$2:$W$1001,MATCH(ROWS($V$2:V449),$V$2:$V$1001,0),1)&gt;=100000,INDEX($AC$1005:$AS$1005,1,MATCH(COLUMNS($AC$1006:AM1006),$AC$1006:$AS$1006,0))&gt;=100000), " ",IF(INDEX($AC$2:$AS$1001,MATCH(ROWS($V$2:V449),$V$2:$V$1001,0),MATCH(COLUMNS($AC$1006:AM1006),$AC$1006:$AS$1006,0)), HYPERLINK("#",""), HYPERLINK(CONCATENATE("#Metadata!", ADDRESS(INDEX($X$2:$X$1001,MATCH(ROWS($V$2:V449),$V$2:$V$1001,0),0), INDEX($AC$1004:$AS$1004,1,MATCH(COLUMNS($AC$1006:AM1006),$AC$1006:$AS$1006,0)))),"Fix")))</f>
        <v>0</v>
      </c>
      <c r="M449" s="5">
        <f>IF(OR(INDEX($W$2:$W$1001,MATCH(ROWS($V$2:V449),$V$2:$V$1001,0),1)&gt;=100000,INDEX($AC$1005:$AS$1005,1,MATCH(COLUMNS($AC$1006:AN1006),$AC$1006:$AS$1006,0))&gt;=100000), " ",IF(INDEX($AC$2:$AS$1001,MATCH(ROWS($V$2:V449),$V$2:$V$1001,0),MATCH(COLUMNS($AC$1006:AN1006),$AC$1006:$AS$1006,0)), HYPERLINK("#",""), HYPERLINK(CONCATENATE("#Metadata!", ADDRESS(INDEX($X$2:$X$1001,MATCH(ROWS($V$2:V449),$V$2:$V$1001,0),0), INDEX($AC$1004:$AS$1004,1,MATCH(COLUMNS($AC$1006:AN1006),$AC$1006:$AS$1006,0)))),"Fix")))</f>
        <v>0</v>
      </c>
      <c r="N449" s="5">
        <f>IF(OR(INDEX($W$2:$W$1001,MATCH(ROWS($V$2:V449),$V$2:$V$1001,0),1)&gt;=100000,INDEX($AC$1005:$AS$1005,1,MATCH(COLUMNS($AC$1006:AO1006),$AC$1006:$AS$1006,0))&gt;=100000), " ",IF(INDEX($AC$2:$AS$1001,MATCH(ROWS($V$2:V449),$V$2:$V$1001,0),MATCH(COLUMNS($AC$1006:AO1006),$AC$1006:$AS$1006,0)), HYPERLINK("#",""), HYPERLINK(CONCATENATE("#Metadata!", ADDRESS(INDEX($X$2:$X$1001,MATCH(ROWS($V$2:V449),$V$2:$V$1001,0),0), INDEX($AC$1004:$AS$1004,1,MATCH(COLUMNS($AC$1006:AO1006),$AC$1006:$AS$1006,0)))),"Fix")))</f>
        <v>0</v>
      </c>
      <c r="O449" s="5">
        <f>IF(OR(INDEX($W$2:$W$1001,MATCH(ROWS($V$2:V449),$V$2:$V$1001,0),1)&gt;=100000,INDEX($AC$1005:$AS$1005,1,MATCH(COLUMNS($AC$1006:AP1006),$AC$1006:$AS$1006,0))&gt;=100000), " ",IF(INDEX($AC$2:$AS$1001,MATCH(ROWS($V$2:V449),$V$2:$V$1001,0),MATCH(COLUMNS($AC$1006:AP1006),$AC$1006:$AS$1006,0)), HYPERLINK("#",""), HYPERLINK(CONCATENATE("#Metadata!", ADDRESS(INDEX($X$2:$X$1001,MATCH(ROWS($V$2:V449),$V$2:$V$1001,0),0), INDEX($AC$1004:$AS$1004,1,MATCH(COLUMNS($AC$1006:AP1006),$AC$1006:$AS$1006,0)))),"Fix")))</f>
        <v>0</v>
      </c>
      <c r="P449" s="5">
        <f>IF(OR(INDEX($W$2:$W$1001,MATCH(ROWS($V$2:V449),$V$2:$V$1001,0),1)&gt;=100000,INDEX($AC$1005:$AS$1005,1,MATCH(COLUMNS($AC$1006:AQ1006),$AC$1006:$AS$1006,0))&gt;=100000), " ",IF(INDEX($AC$2:$AS$1001,MATCH(ROWS($V$2:V449),$V$2:$V$1001,0),MATCH(COLUMNS($AC$1006:AQ1006),$AC$1006:$AS$1006,0)), HYPERLINK("#",""), HYPERLINK(CONCATENATE("#Metadata!", ADDRESS(INDEX($X$2:$X$1001,MATCH(ROWS($V$2:V449),$V$2:$V$1001,0),0), INDEX($AC$1004:$AS$1004,1,MATCH(COLUMNS($AC$1006:AQ1006),$AC$1006:$AS$1006,0)))),"Fix")))</f>
        <v>0</v>
      </c>
      <c r="Q449" s="5">
        <f>IF(OR(INDEX($W$2:$W$1001,MATCH(ROWS($V$2:V449),$V$2:$V$1001,0),1)&gt;=100000,INDEX($AC$1005:$AS$1005,1,MATCH(COLUMNS($AC$1006:AR1006),$AC$1006:$AS$1006,0))&gt;=100000), " ",IF(INDEX($AC$2:$AS$1001,MATCH(ROWS($V$2:V449),$V$2:$V$1001,0),MATCH(COLUMNS($AC$1006:AR1006),$AC$1006:$AS$1006,0)), HYPERLINK("#",""), HYPERLINK(CONCATENATE("#Metadata!", ADDRESS(INDEX($X$2:$X$1001,MATCH(ROWS($V$2:V449),$V$2:$V$1001,0),0), INDEX($AC$1004:$AS$1004,1,MATCH(COLUMNS($AC$1006:AR1006),$AC$1006:$AS$1006,0)))),"Fix")))</f>
        <v>0</v>
      </c>
      <c r="R449" s="5">
        <f>IF(OR(INDEX($W$2:$W$1001,MATCH(ROWS($V$2:V449),$V$2:$V$1001,0),1)&gt;=100000,INDEX($AC$1005:$AS$1005,1,MATCH(COLUMNS($AC$1006:AS1006),$AC$1006:$AS$1006,0))&gt;=100000), " ",IF(INDEX($AC$2:$AS$1001,MATCH(ROWS($V$2:V449),$V$2:$V$1001,0),MATCH(COLUMNS($AC$1006:AS1006),$AC$1006:$AS$1006,0)), HYPERLINK("#",""), HYPERLINK(CONCATENATE("#Metadata!", ADDRESS(INDEX($X$2:$X$1001,MATCH(ROWS($V$2:V449),$V$2:$V$1001,0),0), INDEX($AC$1004:$AS$1004,1,MATCH(COLUMNS($AC$1006:AS1006),$AC$1006:$AS$1006,0)))),"Fix")))</f>
        <v>0</v>
      </c>
      <c r="V449">
        <v>0</v>
      </c>
      <c r="W449">
        <v>0</v>
      </c>
      <c r="X449">
        <v>0</v>
      </c>
      <c r="Y449">
        <f>IF(Z449,TRUE,AND(AC449:AS449))</f>
        <v>0</v>
      </c>
      <c r="Z449">
        <f>COUNTBLANK(Metadata!B449:R449)=COLUMNS(Metadata!B449:R449)</f>
        <v>0</v>
      </c>
      <c r="AA449">
        <v>0</v>
      </c>
      <c r="AC449">
        <f>AND(IF(Metadata!B449="",FALSE,TRUE),COUNTIF(Metadata!B:B, Metadata!B449) = 1,NOT(ISERROR(SUMPRODUCT(SEARCH(MID(Metadata!B449,ROW(INDIRECT("1:"&amp;LEN(Metadata!B449))), 1),"0123456789abcdefghijklmnopqrstuvwxyzABCDEFGHIJKLMNOPQRSTUVWXYZ.")))))</f>
        <v>0</v>
      </c>
      <c r="AD449">
        <f>AND(IF(Metadata!C449="",FALSE,TRUE),exact(Metadata!C449,"Host-associated"))</f>
        <v>0</v>
      </c>
      <c r="AE449">
        <f>AND(IF(Metadata!D449="",FALSE,TRUE),OR(exact(Metadata!D449,"Animal"),exact(Metadata!D449,"Fungus"),exact(Metadata!D449,"Plant")))</f>
        <v>0</v>
      </c>
      <c r="AF449">
        <f>AND(IF(Metadata!E449="",FALSE,TRUE),OR(exact(Metadata!E449,"Plant secretion"),exact(Metadata!E449,"Plant rhizosphere"),exact(Metadata!E449,"Plant surface"),exact(Metadata!E449,"Plant corpus"),exact(Metadata!E449,"Fungus surface"),exact(Metadata!E449,"Fungus corpus"),exact(Metadata!E449,"Animal surface"),exact(Metadata!E449,"Animal proximal gut"),exact(Metadata!E449,"Animal corpus"),exact(Metadata!E449,"Animal distal gut"),exact(Metadata!E449,"Animal secretion")))</f>
        <v>0</v>
      </c>
      <c r="AG449">
        <f>OR(AND(IF(Metadata!F449="",FALSE,TRUE),OR(exact(Metadata!F449,"not collected"),exact(Metadata!F449,"not provided"),exact(Metadata!F449,"restricted access"))),AND(IF(Metadata!F449="",FALSE,TRUE),OR(exact(Metadata!F449,"organism-associated habitat"),exact(Metadata!F449,"plant-associated habitat"),exact(Metadata!F449,"animal-associated habitat"),exact(Metadata!F449,"insecta-associated habitat"),exact(Metadata!F449,"mammalia-associated habitat"),exact(Metadata!F449,"human-associated habitat"),exact(Metadata!F449,"livestock-associated habitat"))))</f>
        <v>0</v>
      </c>
      <c r="AH449">
        <f>AND(IF(Metadata!G449="",FALSE,TRUE),exact(Metadata!G449,"host-associated"))</f>
        <v>0</v>
      </c>
      <c r="AI449">
        <f>OR(AND(IF(Metadata!H449="",FALSE,TRUE),OR(exact(Metadata!H449,"not collected"),exact(Metadata!H449,"not provided"))),AND(IF(Metadata!H449="",FALSE,ISNUMBER(VALUE(Metadata!H449))),Metadata!H449&gt;0))</f>
        <v>0</v>
      </c>
      <c r="AJ449">
        <f>AND(IF(Metadata!I449="",FALSE,TRUE),exact(Metadata!I449,"years"))</f>
        <v>0</v>
      </c>
      <c r="AK449">
        <f>IF(Metadata!J449="",FALSE,TRUE)</f>
        <v>0</v>
      </c>
      <c r="AL449">
        <f>OR(AND(IF(Metadata!K449="",FALSE,TRUE),OR(exact(Metadata!K449,"not collected"),exact(Metadata!K449,"not provided"))),AND(IF(Metadata!K449="",FALSE,ISNUMBER(VALUE(Metadata!K449))),Metadata!K449&gt;0))</f>
        <v>0</v>
      </c>
      <c r="AM449">
        <f>AND(IF(Metadata!L449="",FALSE,TRUE),exact(Metadata!L449,"cm"))</f>
        <v>0</v>
      </c>
      <c r="AN449">
        <f>IF(Metadata!M449="",FALSE,TRUE)</f>
        <v>0</v>
      </c>
      <c r="AO449">
        <f>OR(AND(IF(Metadata!N449="",FALSE,TRUE),OR(exact(Metadata!N449,"not applicable"),exact(Metadata!N449,"not collected"),exact(Metadata!N449,"not provided"))),AND(IF(Metadata!N449="",FALSE,IF(ISERROR(INT(Metadata!N449)),FALSE,INT(Metadata!N449)=Metadata!N449)),Metadata!N449&gt;0))</f>
        <v>0</v>
      </c>
      <c r="AP449">
        <f>OR(AND(IF(Metadata!O449="",FALSE,TRUE),OR(exact(Metadata!O449,"not collected"),exact(Metadata!O449,"not provided"))),AND(IF(Metadata!O449="",FALSE,ISNUMBER(VALUE(Metadata!O449))),Metadata!O449&gt;0))</f>
        <v>0</v>
      </c>
      <c r="AQ449">
        <f>AND(IF(Metadata!P449="",FALSE,TRUE),exact(Metadata!P449,"kg"))</f>
        <v>0</v>
      </c>
      <c r="AR449">
        <f>OR(AND(IF(Metadata!Q449="",FALSE,TRUE),OR(exact(Metadata!Q449,"not applicable"),exact(Metadata!Q449,"not collected"),exact(Metadata!Q449,"not provided"),exact(Metadata!Q449,"restricted access"))),IF(Metadata!Q449="",FALSE,IF(ISERROR(INT(Metadata!Q449)),FALSE,INT(Metadata!Q449)=Metadata!Q449)))</f>
        <v>0</v>
      </c>
      <c r="AS449">
        <f>AND(IF(Metadata!R449="",FALSE,TRUE),exact(Metadata!R449,"Not applicable"))</f>
        <v>0</v>
      </c>
    </row>
    <row r="450" spans="1:45">
      <c r="A450" s="4">
        <f>IF(B450=" "," ",HYPERLINK(CONCATENATE("#metadata!",ADDRESS(INDEX($X$2:$X$1001,MATCH(ROWS($V$2:V450),$V$2:$V$1001,0),0),2)),INDEX($AA$2:$AA$1001,MATCH(ROWS($V$2:V450),$V$2:$V$1001,0),0)))</f>
        <v>0</v>
      </c>
      <c r="B450" s="5">
        <f>IF(OR(INDEX($W$2:$W$1001,MATCH(ROWS($V$2:V450),$V$2:$V$1001,0),1)&gt;=100000,INDEX($AC$1005:$AS$1005,1,MATCH(COLUMNS($AC$1006:AC1006),$AC$1006:$AS$1006,0))&gt;=100000), " ",IF(INDEX($AC$2:$AS$1001,MATCH(ROWS($V$2:V450),$V$2:$V$1001,0),MATCH(COLUMNS($AC$1006:AC1006),$AC$1006:$AS$1006,0)), HYPERLINK("#",""), HYPERLINK(CONCATENATE("#Metadata!", ADDRESS(INDEX($X$2:$X$1001,MATCH(ROWS($V$2:V450),$V$2:$V$1001,0),0), INDEX($AC$1004:$AS$1004,1,MATCH(COLUMNS($AC$1006:AC1006),$AC$1006:$AS$1006,0)))),"Fix")))</f>
        <v>0</v>
      </c>
      <c r="C450" s="5">
        <f>IF(OR(INDEX($W$2:$W$1001,MATCH(ROWS($V$2:V450),$V$2:$V$1001,0),1)&gt;=100000,INDEX($AC$1005:$AS$1005,1,MATCH(COLUMNS($AC$1006:AD1006),$AC$1006:$AS$1006,0))&gt;=100000), " ",IF(INDEX($AC$2:$AS$1001,MATCH(ROWS($V$2:V450),$V$2:$V$1001,0),MATCH(COLUMNS($AC$1006:AD1006),$AC$1006:$AS$1006,0)), HYPERLINK("#",""), HYPERLINK(CONCATENATE("#Metadata!", ADDRESS(INDEX($X$2:$X$1001,MATCH(ROWS($V$2:V450),$V$2:$V$1001,0),0), INDEX($AC$1004:$AS$1004,1,MATCH(COLUMNS($AC$1006:AD1006),$AC$1006:$AS$1006,0)))),"Fix")))</f>
        <v>0</v>
      </c>
      <c r="D450" s="5">
        <f>IF(OR(INDEX($W$2:$W$1001,MATCH(ROWS($V$2:V450),$V$2:$V$1001,0),1)&gt;=100000,INDEX($AC$1005:$AS$1005,1,MATCH(COLUMNS($AC$1006:AE1006),$AC$1006:$AS$1006,0))&gt;=100000), " ",IF(INDEX($AC$2:$AS$1001,MATCH(ROWS($V$2:V450),$V$2:$V$1001,0),MATCH(COLUMNS($AC$1006:AE1006),$AC$1006:$AS$1006,0)), HYPERLINK("#",""), HYPERLINK(CONCATENATE("#Metadata!", ADDRESS(INDEX($X$2:$X$1001,MATCH(ROWS($V$2:V450),$V$2:$V$1001,0),0), INDEX($AC$1004:$AS$1004,1,MATCH(COLUMNS($AC$1006:AE1006),$AC$1006:$AS$1006,0)))),"Fix")))</f>
        <v>0</v>
      </c>
      <c r="E450" s="5">
        <f>IF(OR(INDEX($W$2:$W$1001,MATCH(ROWS($V$2:V450),$V$2:$V$1001,0),1)&gt;=100000,INDEX($AC$1005:$AS$1005,1,MATCH(COLUMNS($AC$1006:AF1006),$AC$1006:$AS$1006,0))&gt;=100000), " ",IF(INDEX($AC$2:$AS$1001,MATCH(ROWS($V$2:V450),$V$2:$V$1001,0),MATCH(COLUMNS($AC$1006:AF1006),$AC$1006:$AS$1006,0)), HYPERLINK("#",""), HYPERLINK(CONCATENATE("#Metadata!", ADDRESS(INDEX($X$2:$X$1001,MATCH(ROWS($V$2:V450),$V$2:$V$1001,0),0), INDEX($AC$1004:$AS$1004,1,MATCH(COLUMNS($AC$1006:AF1006),$AC$1006:$AS$1006,0)))),"Fix")))</f>
        <v>0</v>
      </c>
      <c r="F450" s="5">
        <f>IF(OR(INDEX($W$2:$W$1001,MATCH(ROWS($V$2:V450),$V$2:$V$1001,0),1)&gt;=100000,INDEX($AC$1005:$AS$1005,1,MATCH(COLUMNS($AC$1006:AG1006),$AC$1006:$AS$1006,0))&gt;=100000), " ",IF(INDEX($AC$2:$AS$1001,MATCH(ROWS($V$2:V450),$V$2:$V$1001,0),MATCH(COLUMNS($AC$1006:AG1006),$AC$1006:$AS$1006,0)), HYPERLINK("#",""), HYPERLINK(CONCATENATE("#Metadata!", ADDRESS(INDEX($X$2:$X$1001,MATCH(ROWS($V$2:V450),$V$2:$V$1001,0),0), INDEX($AC$1004:$AS$1004,1,MATCH(COLUMNS($AC$1006:AG1006),$AC$1006:$AS$1006,0)))),"Fix")))</f>
        <v>0</v>
      </c>
      <c r="G450" s="5">
        <f>IF(OR(INDEX($W$2:$W$1001,MATCH(ROWS($V$2:V450),$V$2:$V$1001,0),1)&gt;=100000,INDEX($AC$1005:$AS$1005,1,MATCH(COLUMNS($AC$1006:AH1006),$AC$1006:$AS$1006,0))&gt;=100000), " ",IF(INDEX($AC$2:$AS$1001,MATCH(ROWS($V$2:V450),$V$2:$V$1001,0),MATCH(COLUMNS($AC$1006:AH1006),$AC$1006:$AS$1006,0)), HYPERLINK("#",""), HYPERLINK(CONCATENATE("#Metadata!", ADDRESS(INDEX($X$2:$X$1001,MATCH(ROWS($V$2:V450),$V$2:$V$1001,0),0), INDEX($AC$1004:$AS$1004,1,MATCH(COLUMNS($AC$1006:AH1006),$AC$1006:$AS$1006,0)))),"Fix")))</f>
        <v>0</v>
      </c>
      <c r="H450" s="5">
        <f>IF(OR(INDEX($W$2:$W$1001,MATCH(ROWS($V$2:V450),$V$2:$V$1001,0),1)&gt;=100000,INDEX($AC$1005:$AS$1005,1,MATCH(COLUMNS($AC$1006:AI1006),$AC$1006:$AS$1006,0))&gt;=100000), " ",IF(INDEX($AC$2:$AS$1001,MATCH(ROWS($V$2:V450),$V$2:$V$1001,0),MATCH(COLUMNS($AC$1006:AI1006),$AC$1006:$AS$1006,0)), HYPERLINK("#",""), HYPERLINK(CONCATENATE("#Metadata!", ADDRESS(INDEX($X$2:$X$1001,MATCH(ROWS($V$2:V450),$V$2:$V$1001,0),0), INDEX($AC$1004:$AS$1004,1,MATCH(COLUMNS($AC$1006:AI1006),$AC$1006:$AS$1006,0)))),"Fix")))</f>
        <v>0</v>
      </c>
      <c r="I450" s="5">
        <f>IF(OR(INDEX($W$2:$W$1001,MATCH(ROWS($V$2:V450),$V$2:$V$1001,0),1)&gt;=100000,INDEX($AC$1005:$AS$1005,1,MATCH(COLUMNS($AC$1006:AJ1006),$AC$1006:$AS$1006,0))&gt;=100000), " ",IF(INDEX($AC$2:$AS$1001,MATCH(ROWS($V$2:V450),$V$2:$V$1001,0),MATCH(COLUMNS($AC$1006:AJ1006),$AC$1006:$AS$1006,0)), HYPERLINK("#",""), HYPERLINK(CONCATENATE("#Metadata!", ADDRESS(INDEX($X$2:$X$1001,MATCH(ROWS($V$2:V450),$V$2:$V$1001,0),0), INDEX($AC$1004:$AS$1004,1,MATCH(COLUMNS($AC$1006:AJ1006),$AC$1006:$AS$1006,0)))),"Fix")))</f>
        <v>0</v>
      </c>
      <c r="J450" s="5">
        <f>IF(OR(INDEX($W$2:$W$1001,MATCH(ROWS($V$2:V450),$V$2:$V$1001,0),1)&gt;=100000,INDEX($AC$1005:$AS$1005,1,MATCH(COLUMNS($AC$1006:AK1006),$AC$1006:$AS$1006,0))&gt;=100000), " ",IF(INDEX($AC$2:$AS$1001,MATCH(ROWS($V$2:V450),$V$2:$V$1001,0),MATCH(COLUMNS($AC$1006:AK1006),$AC$1006:$AS$1006,0)), HYPERLINK("#",""), HYPERLINK(CONCATENATE("#Metadata!", ADDRESS(INDEX($X$2:$X$1001,MATCH(ROWS($V$2:V450),$V$2:$V$1001,0),0), INDEX($AC$1004:$AS$1004,1,MATCH(COLUMNS($AC$1006:AK1006),$AC$1006:$AS$1006,0)))),"Fix")))</f>
        <v>0</v>
      </c>
      <c r="K450" s="5">
        <f>IF(OR(INDEX($W$2:$W$1001,MATCH(ROWS($V$2:V450),$V$2:$V$1001,0),1)&gt;=100000,INDEX($AC$1005:$AS$1005,1,MATCH(COLUMNS($AC$1006:AL1006),$AC$1006:$AS$1006,0))&gt;=100000), " ",IF(INDEX($AC$2:$AS$1001,MATCH(ROWS($V$2:V450),$V$2:$V$1001,0),MATCH(COLUMNS($AC$1006:AL1006),$AC$1006:$AS$1006,0)), HYPERLINK("#",""), HYPERLINK(CONCATENATE("#Metadata!", ADDRESS(INDEX($X$2:$X$1001,MATCH(ROWS($V$2:V450),$V$2:$V$1001,0),0), INDEX($AC$1004:$AS$1004,1,MATCH(COLUMNS($AC$1006:AL1006),$AC$1006:$AS$1006,0)))),"Fix")))</f>
        <v>0</v>
      </c>
      <c r="L450" s="5">
        <f>IF(OR(INDEX($W$2:$W$1001,MATCH(ROWS($V$2:V450),$V$2:$V$1001,0),1)&gt;=100000,INDEX($AC$1005:$AS$1005,1,MATCH(COLUMNS($AC$1006:AM1006),$AC$1006:$AS$1006,0))&gt;=100000), " ",IF(INDEX($AC$2:$AS$1001,MATCH(ROWS($V$2:V450),$V$2:$V$1001,0),MATCH(COLUMNS($AC$1006:AM1006),$AC$1006:$AS$1006,0)), HYPERLINK("#",""), HYPERLINK(CONCATENATE("#Metadata!", ADDRESS(INDEX($X$2:$X$1001,MATCH(ROWS($V$2:V450),$V$2:$V$1001,0),0), INDEX($AC$1004:$AS$1004,1,MATCH(COLUMNS($AC$1006:AM1006),$AC$1006:$AS$1006,0)))),"Fix")))</f>
        <v>0</v>
      </c>
      <c r="M450" s="5">
        <f>IF(OR(INDEX($W$2:$W$1001,MATCH(ROWS($V$2:V450),$V$2:$V$1001,0),1)&gt;=100000,INDEX($AC$1005:$AS$1005,1,MATCH(COLUMNS($AC$1006:AN1006),$AC$1006:$AS$1006,0))&gt;=100000), " ",IF(INDEX($AC$2:$AS$1001,MATCH(ROWS($V$2:V450),$V$2:$V$1001,0),MATCH(COLUMNS($AC$1006:AN1006),$AC$1006:$AS$1006,0)), HYPERLINK("#",""), HYPERLINK(CONCATENATE("#Metadata!", ADDRESS(INDEX($X$2:$X$1001,MATCH(ROWS($V$2:V450),$V$2:$V$1001,0),0), INDEX($AC$1004:$AS$1004,1,MATCH(COLUMNS($AC$1006:AN1006),$AC$1006:$AS$1006,0)))),"Fix")))</f>
        <v>0</v>
      </c>
      <c r="N450" s="5">
        <f>IF(OR(INDEX($W$2:$W$1001,MATCH(ROWS($V$2:V450),$V$2:$V$1001,0),1)&gt;=100000,INDEX($AC$1005:$AS$1005,1,MATCH(COLUMNS($AC$1006:AO1006),$AC$1006:$AS$1006,0))&gt;=100000), " ",IF(INDEX($AC$2:$AS$1001,MATCH(ROWS($V$2:V450),$V$2:$V$1001,0),MATCH(COLUMNS($AC$1006:AO1006),$AC$1006:$AS$1006,0)), HYPERLINK("#",""), HYPERLINK(CONCATENATE("#Metadata!", ADDRESS(INDEX($X$2:$X$1001,MATCH(ROWS($V$2:V450),$V$2:$V$1001,0),0), INDEX($AC$1004:$AS$1004,1,MATCH(COLUMNS($AC$1006:AO1006),$AC$1006:$AS$1006,0)))),"Fix")))</f>
        <v>0</v>
      </c>
      <c r="O450" s="5">
        <f>IF(OR(INDEX($W$2:$W$1001,MATCH(ROWS($V$2:V450),$V$2:$V$1001,0),1)&gt;=100000,INDEX($AC$1005:$AS$1005,1,MATCH(COLUMNS($AC$1006:AP1006),$AC$1006:$AS$1006,0))&gt;=100000), " ",IF(INDEX($AC$2:$AS$1001,MATCH(ROWS($V$2:V450),$V$2:$V$1001,0),MATCH(COLUMNS($AC$1006:AP1006),$AC$1006:$AS$1006,0)), HYPERLINK("#",""), HYPERLINK(CONCATENATE("#Metadata!", ADDRESS(INDEX($X$2:$X$1001,MATCH(ROWS($V$2:V450),$V$2:$V$1001,0),0), INDEX($AC$1004:$AS$1004,1,MATCH(COLUMNS($AC$1006:AP1006),$AC$1006:$AS$1006,0)))),"Fix")))</f>
        <v>0</v>
      </c>
      <c r="P450" s="5">
        <f>IF(OR(INDEX($W$2:$W$1001,MATCH(ROWS($V$2:V450),$V$2:$V$1001,0),1)&gt;=100000,INDEX($AC$1005:$AS$1005,1,MATCH(COLUMNS($AC$1006:AQ1006),$AC$1006:$AS$1006,0))&gt;=100000), " ",IF(INDEX($AC$2:$AS$1001,MATCH(ROWS($V$2:V450),$V$2:$V$1001,0),MATCH(COLUMNS($AC$1006:AQ1006),$AC$1006:$AS$1006,0)), HYPERLINK("#",""), HYPERLINK(CONCATENATE("#Metadata!", ADDRESS(INDEX($X$2:$X$1001,MATCH(ROWS($V$2:V450),$V$2:$V$1001,0),0), INDEX($AC$1004:$AS$1004,1,MATCH(COLUMNS($AC$1006:AQ1006),$AC$1006:$AS$1006,0)))),"Fix")))</f>
        <v>0</v>
      </c>
      <c r="Q450" s="5">
        <f>IF(OR(INDEX($W$2:$W$1001,MATCH(ROWS($V$2:V450),$V$2:$V$1001,0),1)&gt;=100000,INDEX($AC$1005:$AS$1005,1,MATCH(COLUMNS($AC$1006:AR1006),$AC$1006:$AS$1006,0))&gt;=100000), " ",IF(INDEX($AC$2:$AS$1001,MATCH(ROWS($V$2:V450),$V$2:$V$1001,0),MATCH(COLUMNS($AC$1006:AR1006),$AC$1006:$AS$1006,0)), HYPERLINK("#",""), HYPERLINK(CONCATENATE("#Metadata!", ADDRESS(INDEX($X$2:$X$1001,MATCH(ROWS($V$2:V450),$V$2:$V$1001,0),0), INDEX($AC$1004:$AS$1004,1,MATCH(COLUMNS($AC$1006:AR1006),$AC$1006:$AS$1006,0)))),"Fix")))</f>
        <v>0</v>
      </c>
      <c r="R450" s="5">
        <f>IF(OR(INDEX($W$2:$W$1001,MATCH(ROWS($V$2:V450),$V$2:$V$1001,0),1)&gt;=100000,INDEX($AC$1005:$AS$1005,1,MATCH(COLUMNS($AC$1006:AS1006),$AC$1006:$AS$1006,0))&gt;=100000), " ",IF(INDEX($AC$2:$AS$1001,MATCH(ROWS($V$2:V450),$V$2:$V$1001,0),MATCH(COLUMNS($AC$1006:AS1006),$AC$1006:$AS$1006,0)), HYPERLINK("#",""), HYPERLINK(CONCATENATE("#Metadata!", ADDRESS(INDEX($X$2:$X$1001,MATCH(ROWS($V$2:V450),$V$2:$V$1001,0),0), INDEX($AC$1004:$AS$1004,1,MATCH(COLUMNS($AC$1006:AS1006),$AC$1006:$AS$1006,0)))),"Fix")))</f>
        <v>0</v>
      </c>
      <c r="V450">
        <v>0</v>
      </c>
      <c r="W450">
        <v>0</v>
      </c>
      <c r="X450">
        <v>0</v>
      </c>
      <c r="Y450">
        <f>IF(Z450,TRUE,AND(AC450:AS450))</f>
        <v>0</v>
      </c>
      <c r="Z450">
        <f>COUNTBLANK(Metadata!B450:R450)=COLUMNS(Metadata!B450:R450)</f>
        <v>0</v>
      </c>
      <c r="AA450">
        <v>0</v>
      </c>
      <c r="AC450">
        <f>AND(IF(Metadata!B450="",FALSE,TRUE),COUNTIF(Metadata!B:B, Metadata!B450) = 1,NOT(ISERROR(SUMPRODUCT(SEARCH(MID(Metadata!B450,ROW(INDIRECT("1:"&amp;LEN(Metadata!B450))), 1),"0123456789abcdefghijklmnopqrstuvwxyzABCDEFGHIJKLMNOPQRSTUVWXYZ.")))))</f>
        <v>0</v>
      </c>
      <c r="AD450">
        <f>AND(IF(Metadata!C450="",FALSE,TRUE),exact(Metadata!C450,"Host-associated"))</f>
        <v>0</v>
      </c>
      <c r="AE450">
        <f>AND(IF(Metadata!D450="",FALSE,TRUE),OR(exact(Metadata!D450,"Animal"),exact(Metadata!D450,"Fungus"),exact(Metadata!D450,"Plant")))</f>
        <v>0</v>
      </c>
      <c r="AF450">
        <f>AND(IF(Metadata!E450="",FALSE,TRUE),OR(exact(Metadata!E450,"Plant secretion"),exact(Metadata!E450,"Plant rhizosphere"),exact(Metadata!E450,"Plant surface"),exact(Metadata!E450,"Plant corpus"),exact(Metadata!E450,"Fungus surface"),exact(Metadata!E450,"Fungus corpus"),exact(Metadata!E450,"Animal surface"),exact(Metadata!E450,"Animal proximal gut"),exact(Metadata!E450,"Animal corpus"),exact(Metadata!E450,"Animal distal gut"),exact(Metadata!E450,"Animal secretion")))</f>
        <v>0</v>
      </c>
      <c r="AG450">
        <f>OR(AND(IF(Metadata!F450="",FALSE,TRUE),OR(exact(Metadata!F450,"not collected"),exact(Metadata!F450,"not provided"),exact(Metadata!F450,"restricted access"))),AND(IF(Metadata!F450="",FALSE,TRUE),OR(exact(Metadata!F450,"organism-associated habitat"),exact(Metadata!F450,"plant-associated habitat"),exact(Metadata!F450,"animal-associated habitat"),exact(Metadata!F450,"insecta-associated habitat"),exact(Metadata!F450,"mammalia-associated habitat"),exact(Metadata!F450,"human-associated habitat"),exact(Metadata!F450,"livestock-associated habitat"))))</f>
        <v>0</v>
      </c>
      <c r="AH450">
        <f>AND(IF(Metadata!G450="",FALSE,TRUE),exact(Metadata!G450,"host-associated"))</f>
        <v>0</v>
      </c>
      <c r="AI450">
        <f>OR(AND(IF(Metadata!H450="",FALSE,TRUE),OR(exact(Metadata!H450,"not collected"),exact(Metadata!H450,"not provided"))),AND(IF(Metadata!H450="",FALSE,ISNUMBER(VALUE(Metadata!H450))),Metadata!H450&gt;0))</f>
        <v>0</v>
      </c>
      <c r="AJ450">
        <f>AND(IF(Metadata!I450="",FALSE,TRUE),exact(Metadata!I450,"years"))</f>
        <v>0</v>
      </c>
      <c r="AK450">
        <f>IF(Metadata!J450="",FALSE,TRUE)</f>
        <v>0</v>
      </c>
      <c r="AL450">
        <f>OR(AND(IF(Metadata!K450="",FALSE,TRUE),OR(exact(Metadata!K450,"not collected"),exact(Metadata!K450,"not provided"))),AND(IF(Metadata!K450="",FALSE,ISNUMBER(VALUE(Metadata!K450))),Metadata!K450&gt;0))</f>
        <v>0</v>
      </c>
      <c r="AM450">
        <f>AND(IF(Metadata!L450="",FALSE,TRUE),exact(Metadata!L450,"cm"))</f>
        <v>0</v>
      </c>
      <c r="AN450">
        <f>IF(Metadata!M450="",FALSE,TRUE)</f>
        <v>0</v>
      </c>
      <c r="AO450">
        <f>OR(AND(IF(Metadata!N450="",FALSE,TRUE),OR(exact(Metadata!N450,"not applicable"),exact(Metadata!N450,"not collected"),exact(Metadata!N450,"not provided"))),AND(IF(Metadata!N450="",FALSE,IF(ISERROR(INT(Metadata!N450)),FALSE,INT(Metadata!N450)=Metadata!N450)),Metadata!N450&gt;0))</f>
        <v>0</v>
      </c>
      <c r="AP450">
        <f>OR(AND(IF(Metadata!O450="",FALSE,TRUE),OR(exact(Metadata!O450,"not collected"),exact(Metadata!O450,"not provided"))),AND(IF(Metadata!O450="",FALSE,ISNUMBER(VALUE(Metadata!O450))),Metadata!O450&gt;0))</f>
        <v>0</v>
      </c>
      <c r="AQ450">
        <f>AND(IF(Metadata!P450="",FALSE,TRUE),exact(Metadata!P450,"kg"))</f>
        <v>0</v>
      </c>
      <c r="AR450">
        <f>OR(AND(IF(Metadata!Q450="",FALSE,TRUE),OR(exact(Metadata!Q450,"not applicable"),exact(Metadata!Q450,"not collected"),exact(Metadata!Q450,"not provided"),exact(Metadata!Q450,"restricted access"))),IF(Metadata!Q450="",FALSE,IF(ISERROR(INT(Metadata!Q450)),FALSE,INT(Metadata!Q450)=Metadata!Q450)))</f>
        <v>0</v>
      </c>
      <c r="AS450">
        <f>AND(IF(Metadata!R450="",FALSE,TRUE),exact(Metadata!R450,"Not applicable"))</f>
        <v>0</v>
      </c>
    </row>
    <row r="451" spans="1:45">
      <c r="A451" s="4">
        <f>IF(B451=" "," ",HYPERLINK(CONCATENATE("#metadata!",ADDRESS(INDEX($X$2:$X$1001,MATCH(ROWS($V$2:V451),$V$2:$V$1001,0),0),2)),INDEX($AA$2:$AA$1001,MATCH(ROWS($V$2:V451),$V$2:$V$1001,0),0)))</f>
        <v>0</v>
      </c>
      <c r="B451" s="5">
        <f>IF(OR(INDEX($W$2:$W$1001,MATCH(ROWS($V$2:V451),$V$2:$V$1001,0),1)&gt;=100000,INDEX($AC$1005:$AS$1005,1,MATCH(COLUMNS($AC$1006:AC1006),$AC$1006:$AS$1006,0))&gt;=100000), " ",IF(INDEX($AC$2:$AS$1001,MATCH(ROWS($V$2:V451),$V$2:$V$1001,0),MATCH(COLUMNS($AC$1006:AC1006),$AC$1006:$AS$1006,0)), HYPERLINK("#",""), HYPERLINK(CONCATENATE("#Metadata!", ADDRESS(INDEX($X$2:$X$1001,MATCH(ROWS($V$2:V451),$V$2:$V$1001,0),0), INDEX($AC$1004:$AS$1004,1,MATCH(COLUMNS($AC$1006:AC1006),$AC$1006:$AS$1006,0)))),"Fix")))</f>
        <v>0</v>
      </c>
      <c r="C451" s="5">
        <f>IF(OR(INDEX($W$2:$W$1001,MATCH(ROWS($V$2:V451),$V$2:$V$1001,0),1)&gt;=100000,INDEX($AC$1005:$AS$1005,1,MATCH(COLUMNS($AC$1006:AD1006),$AC$1006:$AS$1006,0))&gt;=100000), " ",IF(INDEX($AC$2:$AS$1001,MATCH(ROWS($V$2:V451),$V$2:$V$1001,0),MATCH(COLUMNS($AC$1006:AD1006),$AC$1006:$AS$1006,0)), HYPERLINK("#",""), HYPERLINK(CONCATENATE("#Metadata!", ADDRESS(INDEX($X$2:$X$1001,MATCH(ROWS($V$2:V451),$V$2:$V$1001,0),0), INDEX($AC$1004:$AS$1004,1,MATCH(COLUMNS($AC$1006:AD1006),$AC$1006:$AS$1006,0)))),"Fix")))</f>
        <v>0</v>
      </c>
      <c r="D451" s="5">
        <f>IF(OR(INDEX($W$2:$W$1001,MATCH(ROWS($V$2:V451),$V$2:$V$1001,0),1)&gt;=100000,INDEX($AC$1005:$AS$1005,1,MATCH(COLUMNS($AC$1006:AE1006),$AC$1006:$AS$1006,0))&gt;=100000), " ",IF(INDEX($AC$2:$AS$1001,MATCH(ROWS($V$2:V451),$V$2:$V$1001,0),MATCH(COLUMNS($AC$1006:AE1006),$AC$1006:$AS$1006,0)), HYPERLINK("#",""), HYPERLINK(CONCATENATE("#Metadata!", ADDRESS(INDEX($X$2:$X$1001,MATCH(ROWS($V$2:V451),$V$2:$V$1001,0),0), INDEX($AC$1004:$AS$1004,1,MATCH(COLUMNS($AC$1006:AE1006),$AC$1006:$AS$1006,0)))),"Fix")))</f>
        <v>0</v>
      </c>
      <c r="E451" s="5">
        <f>IF(OR(INDEX($W$2:$W$1001,MATCH(ROWS($V$2:V451),$V$2:$V$1001,0),1)&gt;=100000,INDEX($AC$1005:$AS$1005,1,MATCH(COLUMNS($AC$1006:AF1006),$AC$1006:$AS$1006,0))&gt;=100000), " ",IF(INDEX($AC$2:$AS$1001,MATCH(ROWS($V$2:V451),$V$2:$V$1001,0),MATCH(COLUMNS($AC$1006:AF1006),$AC$1006:$AS$1006,0)), HYPERLINK("#",""), HYPERLINK(CONCATENATE("#Metadata!", ADDRESS(INDEX($X$2:$X$1001,MATCH(ROWS($V$2:V451),$V$2:$V$1001,0),0), INDEX($AC$1004:$AS$1004,1,MATCH(COLUMNS($AC$1006:AF1006),$AC$1006:$AS$1006,0)))),"Fix")))</f>
        <v>0</v>
      </c>
      <c r="F451" s="5">
        <f>IF(OR(INDEX($W$2:$W$1001,MATCH(ROWS($V$2:V451),$V$2:$V$1001,0),1)&gt;=100000,INDEX($AC$1005:$AS$1005,1,MATCH(COLUMNS($AC$1006:AG1006),$AC$1006:$AS$1006,0))&gt;=100000), " ",IF(INDEX($AC$2:$AS$1001,MATCH(ROWS($V$2:V451),$V$2:$V$1001,0),MATCH(COLUMNS($AC$1006:AG1006),$AC$1006:$AS$1006,0)), HYPERLINK("#",""), HYPERLINK(CONCATENATE("#Metadata!", ADDRESS(INDEX($X$2:$X$1001,MATCH(ROWS($V$2:V451),$V$2:$V$1001,0),0), INDEX($AC$1004:$AS$1004,1,MATCH(COLUMNS($AC$1006:AG1006),$AC$1006:$AS$1006,0)))),"Fix")))</f>
        <v>0</v>
      </c>
      <c r="G451" s="5">
        <f>IF(OR(INDEX($W$2:$W$1001,MATCH(ROWS($V$2:V451),$V$2:$V$1001,0),1)&gt;=100000,INDEX($AC$1005:$AS$1005,1,MATCH(COLUMNS($AC$1006:AH1006),$AC$1006:$AS$1006,0))&gt;=100000), " ",IF(INDEX($AC$2:$AS$1001,MATCH(ROWS($V$2:V451),$V$2:$V$1001,0),MATCH(COLUMNS($AC$1006:AH1006),$AC$1006:$AS$1006,0)), HYPERLINK("#",""), HYPERLINK(CONCATENATE("#Metadata!", ADDRESS(INDEX($X$2:$X$1001,MATCH(ROWS($V$2:V451),$V$2:$V$1001,0),0), INDEX($AC$1004:$AS$1004,1,MATCH(COLUMNS($AC$1006:AH1006),$AC$1006:$AS$1006,0)))),"Fix")))</f>
        <v>0</v>
      </c>
      <c r="H451" s="5">
        <f>IF(OR(INDEX($W$2:$W$1001,MATCH(ROWS($V$2:V451),$V$2:$V$1001,0),1)&gt;=100000,INDEX($AC$1005:$AS$1005,1,MATCH(COLUMNS($AC$1006:AI1006),$AC$1006:$AS$1006,0))&gt;=100000), " ",IF(INDEX($AC$2:$AS$1001,MATCH(ROWS($V$2:V451),$V$2:$V$1001,0),MATCH(COLUMNS($AC$1006:AI1006),$AC$1006:$AS$1006,0)), HYPERLINK("#",""), HYPERLINK(CONCATENATE("#Metadata!", ADDRESS(INDEX($X$2:$X$1001,MATCH(ROWS($V$2:V451),$V$2:$V$1001,0),0), INDEX($AC$1004:$AS$1004,1,MATCH(COLUMNS($AC$1006:AI1006),$AC$1006:$AS$1006,0)))),"Fix")))</f>
        <v>0</v>
      </c>
      <c r="I451" s="5">
        <f>IF(OR(INDEX($W$2:$W$1001,MATCH(ROWS($V$2:V451),$V$2:$V$1001,0),1)&gt;=100000,INDEX($AC$1005:$AS$1005,1,MATCH(COLUMNS($AC$1006:AJ1006),$AC$1006:$AS$1006,0))&gt;=100000), " ",IF(INDEX($AC$2:$AS$1001,MATCH(ROWS($V$2:V451),$V$2:$V$1001,0),MATCH(COLUMNS($AC$1006:AJ1006),$AC$1006:$AS$1006,0)), HYPERLINK("#",""), HYPERLINK(CONCATENATE("#Metadata!", ADDRESS(INDEX($X$2:$X$1001,MATCH(ROWS($V$2:V451),$V$2:$V$1001,0),0), INDEX($AC$1004:$AS$1004,1,MATCH(COLUMNS($AC$1006:AJ1006),$AC$1006:$AS$1006,0)))),"Fix")))</f>
        <v>0</v>
      </c>
      <c r="J451" s="5">
        <f>IF(OR(INDEX($W$2:$W$1001,MATCH(ROWS($V$2:V451),$V$2:$V$1001,0),1)&gt;=100000,INDEX($AC$1005:$AS$1005,1,MATCH(COLUMNS($AC$1006:AK1006),$AC$1006:$AS$1006,0))&gt;=100000), " ",IF(INDEX($AC$2:$AS$1001,MATCH(ROWS($V$2:V451),$V$2:$V$1001,0),MATCH(COLUMNS($AC$1006:AK1006),$AC$1006:$AS$1006,0)), HYPERLINK("#",""), HYPERLINK(CONCATENATE("#Metadata!", ADDRESS(INDEX($X$2:$X$1001,MATCH(ROWS($V$2:V451),$V$2:$V$1001,0),0), INDEX($AC$1004:$AS$1004,1,MATCH(COLUMNS($AC$1006:AK1006),$AC$1006:$AS$1006,0)))),"Fix")))</f>
        <v>0</v>
      </c>
      <c r="K451" s="5">
        <f>IF(OR(INDEX($W$2:$W$1001,MATCH(ROWS($V$2:V451),$V$2:$V$1001,0),1)&gt;=100000,INDEX($AC$1005:$AS$1005,1,MATCH(COLUMNS($AC$1006:AL1006),$AC$1006:$AS$1006,0))&gt;=100000), " ",IF(INDEX($AC$2:$AS$1001,MATCH(ROWS($V$2:V451),$V$2:$V$1001,0),MATCH(COLUMNS($AC$1006:AL1006),$AC$1006:$AS$1006,0)), HYPERLINK("#",""), HYPERLINK(CONCATENATE("#Metadata!", ADDRESS(INDEX($X$2:$X$1001,MATCH(ROWS($V$2:V451),$V$2:$V$1001,0),0), INDEX($AC$1004:$AS$1004,1,MATCH(COLUMNS($AC$1006:AL1006),$AC$1006:$AS$1006,0)))),"Fix")))</f>
        <v>0</v>
      </c>
      <c r="L451" s="5">
        <f>IF(OR(INDEX($W$2:$W$1001,MATCH(ROWS($V$2:V451),$V$2:$V$1001,0),1)&gt;=100000,INDEX($AC$1005:$AS$1005,1,MATCH(COLUMNS($AC$1006:AM1006),$AC$1006:$AS$1006,0))&gt;=100000), " ",IF(INDEX($AC$2:$AS$1001,MATCH(ROWS($V$2:V451),$V$2:$V$1001,0),MATCH(COLUMNS($AC$1006:AM1006),$AC$1006:$AS$1006,0)), HYPERLINK("#",""), HYPERLINK(CONCATENATE("#Metadata!", ADDRESS(INDEX($X$2:$X$1001,MATCH(ROWS($V$2:V451),$V$2:$V$1001,0),0), INDEX($AC$1004:$AS$1004,1,MATCH(COLUMNS($AC$1006:AM1006),$AC$1006:$AS$1006,0)))),"Fix")))</f>
        <v>0</v>
      </c>
      <c r="M451" s="5">
        <f>IF(OR(INDEX($W$2:$W$1001,MATCH(ROWS($V$2:V451),$V$2:$V$1001,0),1)&gt;=100000,INDEX($AC$1005:$AS$1005,1,MATCH(COLUMNS($AC$1006:AN1006),$AC$1006:$AS$1006,0))&gt;=100000), " ",IF(INDEX($AC$2:$AS$1001,MATCH(ROWS($V$2:V451),$V$2:$V$1001,0),MATCH(COLUMNS($AC$1006:AN1006),$AC$1006:$AS$1006,0)), HYPERLINK("#",""), HYPERLINK(CONCATENATE("#Metadata!", ADDRESS(INDEX($X$2:$X$1001,MATCH(ROWS($V$2:V451),$V$2:$V$1001,0),0), INDEX($AC$1004:$AS$1004,1,MATCH(COLUMNS($AC$1006:AN1006),$AC$1006:$AS$1006,0)))),"Fix")))</f>
        <v>0</v>
      </c>
      <c r="N451" s="5">
        <f>IF(OR(INDEX($W$2:$W$1001,MATCH(ROWS($V$2:V451),$V$2:$V$1001,0),1)&gt;=100000,INDEX($AC$1005:$AS$1005,1,MATCH(COLUMNS($AC$1006:AO1006),$AC$1006:$AS$1006,0))&gt;=100000), " ",IF(INDEX($AC$2:$AS$1001,MATCH(ROWS($V$2:V451),$V$2:$V$1001,0),MATCH(COLUMNS($AC$1006:AO1006),$AC$1006:$AS$1006,0)), HYPERLINK("#",""), HYPERLINK(CONCATENATE("#Metadata!", ADDRESS(INDEX($X$2:$X$1001,MATCH(ROWS($V$2:V451),$V$2:$V$1001,0),0), INDEX($AC$1004:$AS$1004,1,MATCH(COLUMNS($AC$1006:AO1006),$AC$1006:$AS$1006,0)))),"Fix")))</f>
        <v>0</v>
      </c>
      <c r="O451" s="5">
        <f>IF(OR(INDEX($W$2:$W$1001,MATCH(ROWS($V$2:V451),$V$2:$V$1001,0),1)&gt;=100000,INDEX($AC$1005:$AS$1005,1,MATCH(COLUMNS($AC$1006:AP1006),$AC$1006:$AS$1006,0))&gt;=100000), " ",IF(INDEX($AC$2:$AS$1001,MATCH(ROWS($V$2:V451),$V$2:$V$1001,0),MATCH(COLUMNS($AC$1006:AP1006),$AC$1006:$AS$1006,0)), HYPERLINK("#",""), HYPERLINK(CONCATENATE("#Metadata!", ADDRESS(INDEX($X$2:$X$1001,MATCH(ROWS($V$2:V451),$V$2:$V$1001,0),0), INDEX($AC$1004:$AS$1004,1,MATCH(COLUMNS($AC$1006:AP1006),$AC$1006:$AS$1006,0)))),"Fix")))</f>
        <v>0</v>
      </c>
      <c r="P451" s="5">
        <f>IF(OR(INDEX($W$2:$W$1001,MATCH(ROWS($V$2:V451),$V$2:$V$1001,0),1)&gt;=100000,INDEX($AC$1005:$AS$1005,1,MATCH(COLUMNS($AC$1006:AQ1006),$AC$1006:$AS$1006,0))&gt;=100000), " ",IF(INDEX($AC$2:$AS$1001,MATCH(ROWS($V$2:V451),$V$2:$V$1001,0),MATCH(COLUMNS($AC$1006:AQ1006),$AC$1006:$AS$1006,0)), HYPERLINK("#",""), HYPERLINK(CONCATENATE("#Metadata!", ADDRESS(INDEX($X$2:$X$1001,MATCH(ROWS($V$2:V451),$V$2:$V$1001,0),0), INDEX($AC$1004:$AS$1004,1,MATCH(COLUMNS($AC$1006:AQ1006),$AC$1006:$AS$1006,0)))),"Fix")))</f>
        <v>0</v>
      </c>
      <c r="Q451" s="5">
        <f>IF(OR(INDEX($W$2:$W$1001,MATCH(ROWS($V$2:V451),$V$2:$V$1001,0),1)&gt;=100000,INDEX($AC$1005:$AS$1005,1,MATCH(COLUMNS($AC$1006:AR1006),$AC$1006:$AS$1006,0))&gt;=100000), " ",IF(INDEX($AC$2:$AS$1001,MATCH(ROWS($V$2:V451),$V$2:$V$1001,0),MATCH(COLUMNS($AC$1006:AR1006),$AC$1006:$AS$1006,0)), HYPERLINK("#",""), HYPERLINK(CONCATENATE("#Metadata!", ADDRESS(INDEX($X$2:$X$1001,MATCH(ROWS($V$2:V451),$V$2:$V$1001,0),0), INDEX($AC$1004:$AS$1004,1,MATCH(COLUMNS($AC$1006:AR1006),$AC$1006:$AS$1006,0)))),"Fix")))</f>
        <v>0</v>
      </c>
      <c r="R451" s="5">
        <f>IF(OR(INDEX($W$2:$W$1001,MATCH(ROWS($V$2:V451),$V$2:$V$1001,0),1)&gt;=100000,INDEX($AC$1005:$AS$1005,1,MATCH(COLUMNS($AC$1006:AS1006),$AC$1006:$AS$1006,0))&gt;=100000), " ",IF(INDEX($AC$2:$AS$1001,MATCH(ROWS($V$2:V451),$V$2:$V$1001,0),MATCH(COLUMNS($AC$1006:AS1006),$AC$1006:$AS$1006,0)), HYPERLINK("#",""), HYPERLINK(CONCATENATE("#Metadata!", ADDRESS(INDEX($X$2:$X$1001,MATCH(ROWS($V$2:V451),$V$2:$V$1001,0),0), INDEX($AC$1004:$AS$1004,1,MATCH(COLUMNS($AC$1006:AS1006),$AC$1006:$AS$1006,0)))),"Fix")))</f>
        <v>0</v>
      </c>
      <c r="V451">
        <v>0</v>
      </c>
      <c r="W451">
        <v>0</v>
      </c>
      <c r="X451">
        <v>0</v>
      </c>
      <c r="Y451">
        <f>IF(Z451,TRUE,AND(AC451:AS451))</f>
        <v>0</v>
      </c>
      <c r="Z451">
        <f>COUNTBLANK(Metadata!B451:R451)=COLUMNS(Metadata!B451:R451)</f>
        <v>0</v>
      </c>
      <c r="AA451">
        <v>0</v>
      </c>
      <c r="AC451">
        <f>AND(IF(Metadata!B451="",FALSE,TRUE),COUNTIF(Metadata!B:B, Metadata!B451) = 1,NOT(ISERROR(SUMPRODUCT(SEARCH(MID(Metadata!B451,ROW(INDIRECT("1:"&amp;LEN(Metadata!B451))), 1),"0123456789abcdefghijklmnopqrstuvwxyzABCDEFGHIJKLMNOPQRSTUVWXYZ.")))))</f>
        <v>0</v>
      </c>
      <c r="AD451">
        <f>AND(IF(Metadata!C451="",FALSE,TRUE),exact(Metadata!C451,"Host-associated"))</f>
        <v>0</v>
      </c>
      <c r="AE451">
        <f>AND(IF(Metadata!D451="",FALSE,TRUE),OR(exact(Metadata!D451,"Animal"),exact(Metadata!D451,"Fungus"),exact(Metadata!D451,"Plant")))</f>
        <v>0</v>
      </c>
      <c r="AF451">
        <f>AND(IF(Metadata!E451="",FALSE,TRUE),OR(exact(Metadata!E451,"Plant secretion"),exact(Metadata!E451,"Plant rhizosphere"),exact(Metadata!E451,"Plant surface"),exact(Metadata!E451,"Plant corpus"),exact(Metadata!E451,"Fungus surface"),exact(Metadata!E451,"Fungus corpus"),exact(Metadata!E451,"Animal surface"),exact(Metadata!E451,"Animal proximal gut"),exact(Metadata!E451,"Animal corpus"),exact(Metadata!E451,"Animal distal gut"),exact(Metadata!E451,"Animal secretion")))</f>
        <v>0</v>
      </c>
      <c r="AG451">
        <f>OR(AND(IF(Metadata!F451="",FALSE,TRUE),OR(exact(Metadata!F451,"not collected"),exact(Metadata!F451,"not provided"),exact(Metadata!F451,"restricted access"))),AND(IF(Metadata!F451="",FALSE,TRUE),OR(exact(Metadata!F451,"organism-associated habitat"),exact(Metadata!F451,"plant-associated habitat"),exact(Metadata!F451,"animal-associated habitat"),exact(Metadata!F451,"insecta-associated habitat"),exact(Metadata!F451,"mammalia-associated habitat"),exact(Metadata!F451,"human-associated habitat"),exact(Metadata!F451,"livestock-associated habitat"))))</f>
        <v>0</v>
      </c>
      <c r="AH451">
        <f>AND(IF(Metadata!G451="",FALSE,TRUE),exact(Metadata!G451,"host-associated"))</f>
        <v>0</v>
      </c>
      <c r="AI451">
        <f>OR(AND(IF(Metadata!H451="",FALSE,TRUE),OR(exact(Metadata!H451,"not collected"),exact(Metadata!H451,"not provided"))),AND(IF(Metadata!H451="",FALSE,ISNUMBER(VALUE(Metadata!H451))),Metadata!H451&gt;0))</f>
        <v>0</v>
      </c>
      <c r="AJ451">
        <f>AND(IF(Metadata!I451="",FALSE,TRUE),exact(Metadata!I451,"years"))</f>
        <v>0</v>
      </c>
      <c r="AK451">
        <f>IF(Metadata!J451="",FALSE,TRUE)</f>
        <v>0</v>
      </c>
      <c r="AL451">
        <f>OR(AND(IF(Metadata!K451="",FALSE,TRUE),OR(exact(Metadata!K451,"not collected"),exact(Metadata!K451,"not provided"))),AND(IF(Metadata!K451="",FALSE,ISNUMBER(VALUE(Metadata!K451))),Metadata!K451&gt;0))</f>
        <v>0</v>
      </c>
      <c r="AM451">
        <f>AND(IF(Metadata!L451="",FALSE,TRUE),exact(Metadata!L451,"cm"))</f>
        <v>0</v>
      </c>
      <c r="AN451">
        <f>IF(Metadata!M451="",FALSE,TRUE)</f>
        <v>0</v>
      </c>
      <c r="AO451">
        <f>OR(AND(IF(Metadata!N451="",FALSE,TRUE),OR(exact(Metadata!N451,"not applicable"),exact(Metadata!N451,"not collected"),exact(Metadata!N451,"not provided"))),AND(IF(Metadata!N451="",FALSE,IF(ISERROR(INT(Metadata!N451)),FALSE,INT(Metadata!N451)=Metadata!N451)),Metadata!N451&gt;0))</f>
        <v>0</v>
      </c>
      <c r="AP451">
        <f>OR(AND(IF(Metadata!O451="",FALSE,TRUE),OR(exact(Metadata!O451,"not collected"),exact(Metadata!O451,"not provided"))),AND(IF(Metadata!O451="",FALSE,ISNUMBER(VALUE(Metadata!O451))),Metadata!O451&gt;0))</f>
        <v>0</v>
      </c>
      <c r="AQ451">
        <f>AND(IF(Metadata!P451="",FALSE,TRUE),exact(Metadata!P451,"kg"))</f>
        <v>0</v>
      </c>
      <c r="AR451">
        <f>OR(AND(IF(Metadata!Q451="",FALSE,TRUE),OR(exact(Metadata!Q451,"not applicable"),exact(Metadata!Q451,"not collected"),exact(Metadata!Q451,"not provided"),exact(Metadata!Q451,"restricted access"))),IF(Metadata!Q451="",FALSE,IF(ISERROR(INT(Metadata!Q451)),FALSE,INT(Metadata!Q451)=Metadata!Q451)))</f>
        <v>0</v>
      </c>
      <c r="AS451">
        <f>AND(IF(Metadata!R451="",FALSE,TRUE),exact(Metadata!R451,"Not applicable"))</f>
        <v>0</v>
      </c>
    </row>
    <row r="452" spans="1:45">
      <c r="A452" s="4">
        <f>IF(B452=" "," ",HYPERLINK(CONCATENATE("#metadata!",ADDRESS(INDEX($X$2:$X$1001,MATCH(ROWS($V$2:V452),$V$2:$V$1001,0),0),2)),INDEX($AA$2:$AA$1001,MATCH(ROWS($V$2:V452),$V$2:$V$1001,0),0)))</f>
        <v>0</v>
      </c>
      <c r="B452" s="5">
        <f>IF(OR(INDEX($W$2:$W$1001,MATCH(ROWS($V$2:V452),$V$2:$V$1001,0),1)&gt;=100000,INDEX($AC$1005:$AS$1005,1,MATCH(COLUMNS($AC$1006:AC1006),$AC$1006:$AS$1006,0))&gt;=100000), " ",IF(INDEX($AC$2:$AS$1001,MATCH(ROWS($V$2:V452),$V$2:$V$1001,0),MATCH(COLUMNS($AC$1006:AC1006),$AC$1006:$AS$1006,0)), HYPERLINK("#",""), HYPERLINK(CONCATENATE("#Metadata!", ADDRESS(INDEX($X$2:$X$1001,MATCH(ROWS($V$2:V452),$V$2:$V$1001,0),0), INDEX($AC$1004:$AS$1004,1,MATCH(COLUMNS($AC$1006:AC1006),$AC$1006:$AS$1006,0)))),"Fix")))</f>
        <v>0</v>
      </c>
      <c r="C452" s="5">
        <f>IF(OR(INDEX($W$2:$W$1001,MATCH(ROWS($V$2:V452),$V$2:$V$1001,0),1)&gt;=100000,INDEX($AC$1005:$AS$1005,1,MATCH(COLUMNS($AC$1006:AD1006),$AC$1006:$AS$1006,0))&gt;=100000), " ",IF(INDEX($AC$2:$AS$1001,MATCH(ROWS($V$2:V452),$V$2:$V$1001,0),MATCH(COLUMNS($AC$1006:AD1006),$AC$1006:$AS$1006,0)), HYPERLINK("#",""), HYPERLINK(CONCATENATE("#Metadata!", ADDRESS(INDEX($X$2:$X$1001,MATCH(ROWS($V$2:V452),$V$2:$V$1001,0),0), INDEX($AC$1004:$AS$1004,1,MATCH(COLUMNS($AC$1006:AD1006),$AC$1006:$AS$1006,0)))),"Fix")))</f>
        <v>0</v>
      </c>
      <c r="D452" s="5">
        <f>IF(OR(INDEX($W$2:$W$1001,MATCH(ROWS($V$2:V452),$V$2:$V$1001,0),1)&gt;=100000,INDEX($AC$1005:$AS$1005,1,MATCH(COLUMNS($AC$1006:AE1006),$AC$1006:$AS$1006,0))&gt;=100000), " ",IF(INDEX($AC$2:$AS$1001,MATCH(ROWS($V$2:V452),$V$2:$V$1001,0),MATCH(COLUMNS($AC$1006:AE1006),$AC$1006:$AS$1006,0)), HYPERLINK("#",""), HYPERLINK(CONCATENATE("#Metadata!", ADDRESS(INDEX($X$2:$X$1001,MATCH(ROWS($V$2:V452),$V$2:$V$1001,0),0), INDEX($AC$1004:$AS$1004,1,MATCH(COLUMNS($AC$1006:AE1006),$AC$1006:$AS$1006,0)))),"Fix")))</f>
        <v>0</v>
      </c>
      <c r="E452" s="5">
        <f>IF(OR(INDEX($W$2:$W$1001,MATCH(ROWS($V$2:V452),$V$2:$V$1001,0),1)&gt;=100000,INDEX($AC$1005:$AS$1005,1,MATCH(COLUMNS($AC$1006:AF1006),$AC$1006:$AS$1006,0))&gt;=100000), " ",IF(INDEX($AC$2:$AS$1001,MATCH(ROWS($V$2:V452),$V$2:$V$1001,0),MATCH(COLUMNS($AC$1006:AF1006),$AC$1006:$AS$1006,0)), HYPERLINK("#",""), HYPERLINK(CONCATENATE("#Metadata!", ADDRESS(INDEX($X$2:$X$1001,MATCH(ROWS($V$2:V452),$V$2:$V$1001,0),0), INDEX($AC$1004:$AS$1004,1,MATCH(COLUMNS($AC$1006:AF1006),$AC$1006:$AS$1006,0)))),"Fix")))</f>
        <v>0</v>
      </c>
      <c r="F452" s="5">
        <f>IF(OR(INDEX($W$2:$W$1001,MATCH(ROWS($V$2:V452),$V$2:$V$1001,0),1)&gt;=100000,INDEX($AC$1005:$AS$1005,1,MATCH(COLUMNS($AC$1006:AG1006),$AC$1006:$AS$1006,0))&gt;=100000), " ",IF(INDEX($AC$2:$AS$1001,MATCH(ROWS($V$2:V452),$V$2:$V$1001,0),MATCH(COLUMNS($AC$1006:AG1006),$AC$1006:$AS$1006,0)), HYPERLINK("#",""), HYPERLINK(CONCATENATE("#Metadata!", ADDRESS(INDEX($X$2:$X$1001,MATCH(ROWS($V$2:V452),$V$2:$V$1001,0),0), INDEX($AC$1004:$AS$1004,1,MATCH(COLUMNS($AC$1006:AG1006),$AC$1006:$AS$1006,0)))),"Fix")))</f>
        <v>0</v>
      </c>
      <c r="G452" s="5">
        <f>IF(OR(INDEX($W$2:$W$1001,MATCH(ROWS($V$2:V452),$V$2:$V$1001,0),1)&gt;=100000,INDEX($AC$1005:$AS$1005,1,MATCH(COLUMNS($AC$1006:AH1006),$AC$1006:$AS$1006,0))&gt;=100000), " ",IF(INDEX($AC$2:$AS$1001,MATCH(ROWS($V$2:V452),$V$2:$V$1001,0),MATCH(COLUMNS($AC$1006:AH1006),$AC$1006:$AS$1006,0)), HYPERLINK("#",""), HYPERLINK(CONCATENATE("#Metadata!", ADDRESS(INDEX($X$2:$X$1001,MATCH(ROWS($V$2:V452),$V$2:$V$1001,0),0), INDEX($AC$1004:$AS$1004,1,MATCH(COLUMNS($AC$1006:AH1006),$AC$1006:$AS$1006,0)))),"Fix")))</f>
        <v>0</v>
      </c>
      <c r="H452" s="5">
        <f>IF(OR(INDEX($W$2:$W$1001,MATCH(ROWS($V$2:V452),$V$2:$V$1001,0),1)&gt;=100000,INDEX($AC$1005:$AS$1005,1,MATCH(COLUMNS($AC$1006:AI1006),$AC$1006:$AS$1006,0))&gt;=100000), " ",IF(INDEX($AC$2:$AS$1001,MATCH(ROWS($V$2:V452),$V$2:$V$1001,0),MATCH(COLUMNS($AC$1006:AI1006),$AC$1006:$AS$1006,0)), HYPERLINK("#",""), HYPERLINK(CONCATENATE("#Metadata!", ADDRESS(INDEX($X$2:$X$1001,MATCH(ROWS($V$2:V452),$V$2:$V$1001,0),0), INDEX($AC$1004:$AS$1004,1,MATCH(COLUMNS($AC$1006:AI1006),$AC$1006:$AS$1006,0)))),"Fix")))</f>
        <v>0</v>
      </c>
      <c r="I452" s="5">
        <f>IF(OR(INDEX($W$2:$W$1001,MATCH(ROWS($V$2:V452),$V$2:$V$1001,0),1)&gt;=100000,INDEX($AC$1005:$AS$1005,1,MATCH(COLUMNS($AC$1006:AJ1006),$AC$1006:$AS$1006,0))&gt;=100000), " ",IF(INDEX($AC$2:$AS$1001,MATCH(ROWS($V$2:V452),$V$2:$V$1001,0),MATCH(COLUMNS($AC$1006:AJ1006),$AC$1006:$AS$1006,0)), HYPERLINK("#",""), HYPERLINK(CONCATENATE("#Metadata!", ADDRESS(INDEX($X$2:$X$1001,MATCH(ROWS($V$2:V452),$V$2:$V$1001,0),0), INDEX($AC$1004:$AS$1004,1,MATCH(COLUMNS($AC$1006:AJ1006),$AC$1006:$AS$1006,0)))),"Fix")))</f>
        <v>0</v>
      </c>
      <c r="J452" s="5">
        <f>IF(OR(INDEX($W$2:$W$1001,MATCH(ROWS($V$2:V452),$V$2:$V$1001,0),1)&gt;=100000,INDEX($AC$1005:$AS$1005,1,MATCH(COLUMNS($AC$1006:AK1006),$AC$1006:$AS$1006,0))&gt;=100000), " ",IF(INDEX($AC$2:$AS$1001,MATCH(ROWS($V$2:V452),$V$2:$V$1001,0),MATCH(COLUMNS($AC$1006:AK1006),$AC$1006:$AS$1006,0)), HYPERLINK("#",""), HYPERLINK(CONCATENATE("#Metadata!", ADDRESS(INDEX($X$2:$X$1001,MATCH(ROWS($V$2:V452),$V$2:$V$1001,0),0), INDEX($AC$1004:$AS$1004,1,MATCH(COLUMNS($AC$1006:AK1006),$AC$1006:$AS$1006,0)))),"Fix")))</f>
        <v>0</v>
      </c>
      <c r="K452" s="5">
        <f>IF(OR(INDEX($W$2:$W$1001,MATCH(ROWS($V$2:V452),$V$2:$V$1001,0),1)&gt;=100000,INDEX($AC$1005:$AS$1005,1,MATCH(COLUMNS($AC$1006:AL1006),$AC$1006:$AS$1006,0))&gt;=100000), " ",IF(INDEX($AC$2:$AS$1001,MATCH(ROWS($V$2:V452),$V$2:$V$1001,0),MATCH(COLUMNS($AC$1006:AL1006),$AC$1006:$AS$1006,0)), HYPERLINK("#",""), HYPERLINK(CONCATENATE("#Metadata!", ADDRESS(INDEX($X$2:$X$1001,MATCH(ROWS($V$2:V452),$V$2:$V$1001,0),0), INDEX($AC$1004:$AS$1004,1,MATCH(COLUMNS($AC$1006:AL1006),$AC$1006:$AS$1006,0)))),"Fix")))</f>
        <v>0</v>
      </c>
      <c r="L452" s="5">
        <f>IF(OR(INDEX($W$2:$W$1001,MATCH(ROWS($V$2:V452),$V$2:$V$1001,0),1)&gt;=100000,INDEX($AC$1005:$AS$1005,1,MATCH(COLUMNS($AC$1006:AM1006),$AC$1006:$AS$1006,0))&gt;=100000), " ",IF(INDEX($AC$2:$AS$1001,MATCH(ROWS($V$2:V452),$V$2:$V$1001,0),MATCH(COLUMNS($AC$1006:AM1006),$AC$1006:$AS$1006,0)), HYPERLINK("#",""), HYPERLINK(CONCATENATE("#Metadata!", ADDRESS(INDEX($X$2:$X$1001,MATCH(ROWS($V$2:V452),$V$2:$V$1001,0),0), INDEX($AC$1004:$AS$1004,1,MATCH(COLUMNS($AC$1006:AM1006),$AC$1006:$AS$1006,0)))),"Fix")))</f>
        <v>0</v>
      </c>
      <c r="M452" s="5">
        <f>IF(OR(INDEX($W$2:$W$1001,MATCH(ROWS($V$2:V452),$V$2:$V$1001,0),1)&gt;=100000,INDEX($AC$1005:$AS$1005,1,MATCH(COLUMNS($AC$1006:AN1006),$AC$1006:$AS$1006,0))&gt;=100000), " ",IF(INDEX($AC$2:$AS$1001,MATCH(ROWS($V$2:V452),$V$2:$V$1001,0),MATCH(COLUMNS($AC$1006:AN1006),$AC$1006:$AS$1006,0)), HYPERLINK("#",""), HYPERLINK(CONCATENATE("#Metadata!", ADDRESS(INDEX($X$2:$X$1001,MATCH(ROWS($V$2:V452),$V$2:$V$1001,0),0), INDEX($AC$1004:$AS$1004,1,MATCH(COLUMNS($AC$1006:AN1006),$AC$1006:$AS$1006,0)))),"Fix")))</f>
        <v>0</v>
      </c>
      <c r="N452" s="5">
        <f>IF(OR(INDEX($W$2:$W$1001,MATCH(ROWS($V$2:V452),$V$2:$V$1001,0),1)&gt;=100000,INDEX($AC$1005:$AS$1005,1,MATCH(COLUMNS($AC$1006:AO1006),$AC$1006:$AS$1006,0))&gt;=100000), " ",IF(INDEX($AC$2:$AS$1001,MATCH(ROWS($V$2:V452),$V$2:$V$1001,0),MATCH(COLUMNS($AC$1006:AO1006),$AC$1006:$AS$1006,0)), HYPERLINK("#",""), HYPERLINK(CONCATENATE("#Metadata!", ADDRESS(INDEX($X$2:$X$1001,MATCH(ROWS($V$2:V452),$V$2:$V$1001,0),0), INDEX($AC$1004:$AS$1004,1,MATCH(COLUMNS($AC$1006:AO1006),$AC$1006:$AS$1006,0)))),"Fix")))</f>
        <v>0</v>
      </c>
      <c r="O452" s="5">
        <f>IF(OR(INDEX($W$2:$W$1001,MATCH(ROWS($V$2:V452),$V$2:$V$1001,0),1)&gt;=100000,INDEX($AC$1005:$AS$1005,1,MATCH(COLUMNS($AC$1006:AP1006),$AC$1006:$AS$1006,0))&gt;=100000), " ",IF(INDEX($AC$2:$AS$1001,MATCH(ROWS($V$2:V452),$V$2:$V$1001,0),MATCH(COLUMNS($AC$1006:AP1006),$AC$1006:$AS$1006,0)), HYPERLINK("#",""), HYPERLINK(CONCATENATE("#Metadata!", ADDRESS(INDEX($X$2:$X$1001,MATCH(ROWS($V$2:V452),$V$2:$V$1001,0),0), INDEX($AC$1004:$AS$1004,1,MATCH(COLUMNS($AC$1006:AP1006),$AC$1006:$AS$1006,0)))),"Fix")))</f>
        <v>0</v>
      </c>
      <c r="P452" s="5">
        <f>IF(OR(INDEX($W$2:$W$1001,MATCH(ROWS($V$2:V452),$V$2:$V$1001,0),1)&gt;=100000,INDEX($AC$1005:$AS$1005,1,MATCH(COLUMNS($AC$1006:AQ1006),$AC$1006:$AS$1006,0))&gt;=100000), " ",IF(INDEX($AC$2:$AS$1001,MATCH(ROWS($V$2:V452),$V$2:$V$1001,0),MATCH(COLUMNS($AC$1006:AQ1006),$AC$1006:$AS$1006,0)), HYPERLINK("#",""), HYPERLINK(CONCATENATE("#Metadata!", ADDRESS(INDEX($X$2:$X$1001,MATCH(ROWS($V$2:V452),$V$2:$V$1001,0),0), INDEX($AC$1004:$AS$1004,1,MATCH(COLUMNS($AC$1006:AQ1006),$AC$1006:$AS$1006,0)))),"Fix")))</f>
        <v>0</v>
      </c>
      <c r="Q452" s="5">
        <f>IF(OR(INDEX($W$2:$W$1001,MATCH(ROWS($V$2:V452),$V$2:$V$1001,0),1)&gt;=100000,INDEX($AC$1005:$AS$1005,1,MATCH(COLUMNS($AC$1006:AR1006),$AC$1006:$AS$1006,0))&gt;=100000), " ",IF(INDEX($AC$2:$AS$1001,MATCH(ROWS($V$2:V452),$V$2:$V$1001,0),MATCH(COLUMNS($AC$1006:AR1006),$AC$1006:$AS$1006,0)), HYPERLINK("#",""), HYPERLINK(CONCATENATE("#Metadata!", ADDRESS(INDEX($X$2:$X$1001,MATCH(ROWS($V$2:V452),$V$2:$V$1001,0),0), INDEX($AC$1004:$AS$1004,1,MATCH(COLUMNS($AC$1006:AR1006),$AC$1006:$AS$1006,0)))),"Fix")))</f>
        <v>0</v>
      </c>
      <c r="R452" s="5">
        <f>IF(OR(INDEX($W$2:$W$1001,MATCH(ROWS($V$2:V452),$V$2:$V$1001,0),1)&gt;=100000,INDEX($AC$1005:$AS$1005,1,MATCH(COLUMNS($AC$1006:AS1006),$AC$1006:$AS$1006,0))&gt;=100000), " ",IF(INDEX($AC$2:$AS$1001,MATCH(ROWS($V$2:V452),$V$2:$V$1001,0),MATCH(COLUMNS($AC$1006:AS1006),$AC$1006:$AS$1006,0)), HYPERLINK("#",""), HYPERLINK(CONCATENATE("#Metadata!", ADDRESS(INDEX($X$2:$X$1001,MATCH(ROWS($V$2:V452),$V$2:$V$1001,0),0), INDEX($AC$1004:$AS$1004,1,MATCH(COLUMNS($AC$1006:AS1006),$AC$1006:$AS$1006,0)))),"Fix")))</f>
        <v>0</v>
      </c>
      <c r="V452">
        <v>0</v>
      </c>
      <c r="W452">
        <v>0</v>
      </c>
      <c r="X452">
        <v>0</v>
      </c>
      <c r="Y452">
        <f>IF(Z452,TRUE,AND(AC452:AS452))</f>
        <v>0</v>
      </c>
      <c r="Z452">
        <f>COUNTBLANK(Metadata!B452:R452)=COLUMNS(Metadata!B452:R452)</f>
        <v>0</v>
      </c>
      <c r="AA452">
        <v>0</v>
      </c>
      <c r="AC452">
        <f>AND(IF(Metadata!B452="",FALSE,TRUE),COUNTIF(Metadata!B:B, Metadata!B452) = 1,NOT(ISERROR(SUMPRODUCT(SEARCH(MID(Metadata!B452,ROW(INDIRECT("1:"&amp;LEN(Metadata!B452))), 1),"0123456789abcdefghijklmnopqrstuvwxyzABCDEFGHIJKLMNOPQRSTUVWXYZ.")))))</f>
        <v>0</v>
      </c>
      <c r="AD452">
        <f>AND(IF(Metadata!C452="",FALSE,TRUE),exact(Metadata!C452,"Host-associated"))</f>
        <v>0</v>
      </c>
      <c r="AE452">
        <f>AND(IF(Metadata!D452="",FALSE,TRUE),OR(exact(Metadata!D452,"Animal"),exact(Metadata!D452,"Fungus"),exact(Metadata!D452,"Plant")))</f>
        <v>0</v>
      </c>
      <c r="AF452">
        <f>AND(IF(Metadata!E452="",FALSE,TRUE),OR(exact(Metadata!E452,"Plant secretion"),exact(Metadata!E452,"Plant rhizosphere"),exact(Metadata!E452,"Plant surface"),exact(Metadata!E452,"Plant corpus"),exact(Metadata!E452,"Fungus surface"),exact(Metadata!E452,"Fungus corpus"),exact(Metadata!E452,"Animal surface"),exact(Metadata!E452,"Animal proximal gut"),exact(Metadata!E452,"Animal corpus"),exact(Metadata!E452,"Animal distal gut"),exact(Metadata!E452,"Animal secretion")))</f>
        <v>0</v>
      </c>
      <c r="AG452">
        <f>OR(AND(IF(Metadata!F452="",FALSE,TRUE),OR(exact(Metadata!F452,"not collected"),exact(Metadata!F452,"not provided"),exact(Metadata!F452,"restricted access"))),AND(IF(Metadata!F452="",FALSE,TRUE),OR(exact(Metadata!F452,"organism-associated habitat"),exact(Metadata!F452,"plant-associated habitat"),exact(Metadata!F452,"animal-associated habitat"),exact(Metadata!F452,"insecta-associated habitat"),exact(Metadata!F452,"mammalia-associated habitat"),exact(Metadata!F452,"human-associated habitat"),exact(Metadata!F452,"livestock-associated habitat"))))</f>
        <v>0</v>
      </c>
      <c r="AH452">
        <f>AND(IF(Metadata!G452="",FALSE,TRUE),exact(Metadata!G452,"host-associated"))</f>
        <v>0</v>
      </c>
      <c r="AI452">
        <f>OR(AND(IF(Metadata!H452="",FALSE,TRUE),OR(exact(Metadata!H452,"not collected"),exact(Metadata!H452,"not provided"))),AND(IF(Metadata!H452="",FALSE,ISNUMBER(VALUE(Metadata!H452))),Metadata!H452&gt;0))</f>
        <v>0</v>
      </c>
      <c r="AJ452">
        <f>AND(IF(Metadata!I452="",FALSE,TRUE),exact(Metadata!I452,"years"))</f>
        <v>0</v>
      </c>
      <c r="AK452">
        <f>IF(Metadata!J452="",FALSE,TRUE)</f>
        <v>0</v>
      </c>
      <c r="AL452">
        <f>OR(AND(IF(Metadata!K452="",FALSE,TRUE),OR(exact(Metadata!K452,"not collected"),exact(Metadata!K452,"not provided"))),AND(IF(Metadata!K452="",FALSE,ISNUMBER(VALUE(Metadata!K452))),Metadata!K452&gt;0))</f>
        <v>0</v>
      </c>
      <c r="AM452">
        <f>AND(IF(Metadata!L452="",FALSE,TRUE),exact(Metadata!L452,"cm"))</f>
        <v>0</v>
      </c>
      <c r="AN452">
        <f>IF(Metadata!M452="",FALSE,TRUE)</f>
        <v>0</v>
      </c>
      <c r="AO452">
        <f>OR(AND(IF(Metadata!N452="",FALSE,TRUE),OR(exact(Metadata!N452,"not applicable"),exact(Metadata!N452,"not collected"),exact(Metadata!N452,"not provided"))),AND(IF(Metadata!N452="",FALSE,IF(ISERROR(INT(Metadata!N452)),FALSE,INT(Metadata!N452)=Metadata!N452)),Metadata!N452&gt;0))</f>
        <v>0</v>
      </c>
      <c r="AP452">
        <f>OR(AND(IF(Metadata!O452="",FALSE,TRUE),OR(exact(Metadata!O452,"not collected"),exact(Metadata!O452,"not provided"))),AND(IF(Metadata!O452="",FALSE,ISNUMBER(VALUE(Metadata!O452))),Metadata!O452&gt;0))</f>
        <v>0</v>
      </c>
      <c r="AQ452">
        <f>AND(IF(Metadata!P452="",FALSE,TRUE),exact(Metadata!P452,"kg"))</f>
        <v>0</v>
      </c>
      <c r="AR452">
        <f>OR(AND(IF(Metadata!Q452="",FALSE,TRUE),OR(exact(Metadata!Q452,"not applicable"),exact(Metadata!Q452,"not collected"),exact(Metadata!Q452,"not provided"),exact(Metadata!Q452,"restricted access"))),IF(Metadata!Q452="",FALSE,IF(ISERROR(INT(Metadata!Q452)),FALSE,INT(Metadata!Q452)=Metadata!Q452)))</f>
        <v>0</v>
      </c>
      <c r="AS452">
        <f>AND(IF(Metadata!R452="",FALSE,TRUE),exact(Metadata!R452,"Not applicable"))</f>
        <v>0</v>
      </c>
    </row>
    <row r="453" spans="1:45">
      <c r="A453" s="4">
        <f>IF(B453=" "," ",HYPERLINK(CONCATENATE("#metadata!",ADDRESS(INDEX($X$2:$X$1001,MATCH(ROWS($V$2:V453),$V$2:$V$1001,0),0),2)),INDEX($AA$2:$AA$1001,MATCH(ROWS($V$2:V453),$V$2:$V$1001,0),0)))</f>
        <v>0</v>
      </c>
      <c r="B453" s="5">
        <f>IF(OR(INDEX($W$2:$W$1001,MATCH(ROWS($V$2:V453),$V$2:$V$1001,0),1)&gt;=100000,INDEX($AC$1005:$AS$1005,1,MATCH(COLUMNS($AC$1006:AC1006),$AC$1006:$AS$1006,0))&gt;=100000), " ",IF(INDEX($AC$2:$AS$1001,MATCH(ROWS($V$2:V453),$V$2:$V$1001,0),MATCH(COLUMNS($AC$1006:AC1006),$AC$1006:$AS$1006,0)), HYPERLINK("#",""), HYPERLINK(CONCATENATE("#Metadata!", ADDRESS(INDEX($X$2:$X$1001,MATCH(ROWS($V$2:V453),$V$2:$V$1001,0),0), INDEX($AC$1004:$AS$1004,1,MATCH(COLUMNS($AC$1006:AC1006),$AC$1006:$AS$1006,0)))),"Fix")))</f>
        <v>0</v>
      </c>
      <c r="C453" s="5">
        <f>IF(OR(INDEX($W$2:$W$1001,MATCH(ROWS($V$2:V453),$V$2:$V$1001,0),1)&gt;=100000,INDEX($AC$1005:$AS$1005,1,MATCH(COLUMNS($AC$1006:AD1006),$AC$1006:$AS$1006,0))&gt;=100000), " ",IF(INDEX($AC$2:$AS$1001,MATCH(ROWS($V$2:V453),$V$2:$V$1001,0),MATCH(COLUMNS($AC$1006:AD1006),$AC$1006:$AS$1006,0)), HYPERLINK("#",""), HYPERLINK(CONCATENATE("#Metadata!", ADDRESS(INDEX($X$2:$X$1001,MATCH(ROWS($V$2:V453),$V$2:$V$1001,0),0), INDEX($AC$1004:$AS$1004,1,MATCH(COLUMNS($AC$1006:AD1006),$AC$1006:$AS$1006,0)))),"Fix")))</f>
        <v>0</v>
      </c>
      <c r="D453" s="5">
        <f>IF(OR(INDEX($W$2:$W$1001,MATCH(ROWS($V$2:V453),$V$2:$V$1001,0),1)&gt;=100000,INDEX($AC$1005:$AS$1005,1,MATCH(COLUMNS($AC$1006:AE1006),$AC$1006:$AS$1006,0))&gt;=100000), " ",IF(INDEX($AC$2:$AS$1001,MATCH(ROWS($V$2:V453),$V$2:$V$1001,0),MATCH(COLUMNS($AC$1006:AE1006),$AC$1006:$AS$1006,0)), HYPERLINK("#",""), HYPERLINK(CONCATENATE("#Metadata!", ADDRESS(INDEX($X$2:$X$1001,MATCH(ROWS($V$2:V453),$V$2:$V$1001,0),0), INDEX($AC$1004:$AS$1004,1,MATCH(COLUMNS($AC$1006:AE1006),$AC$1006:$AS$1006,0)))),"Fix")))</f>
        <v>0</v>
      </c>
      <c r="E453" s="5">
        <f>IF(OR(INDEX($W$2:$W$1001,MATCH(ROWS($V$2:V453),$V$2:$V$1001,0),1)&gt;=100000,INDEX($AC$1005:$AS$1005,1,MATCH(COLUMNS($AC$1006:AF1006),$AC$1006:$AS$1006,0))&gt;=100000), " ",IF(INDEX($AC$2:$AS$1001,MATCH(ROWS($V$2:V453),$V$2:$V$1001,0),MATCH(COLUMNS($AC$1006:AF1006),$AC$1006:$AS$1006,0)), HYPERLINK("#",""), HYPERLINK(CONCATENATE("#Metadata!", ADDRESS(INDEX($X$2:$X$1001,MATCH(ROWS($V$2:V453),$V$2:$V$1001,0),0), INDEX($AC$1004:$AS$1004,1,MATCH(COLUMNS($AC$1006:AF1006),$AC$1006:$AS$1006,0)))),"Fix")))</f>
        <v>0</v>
      </c>
      <c r="F453" s="5">
        <f>IF(OR(INDEX($W$2:$W$1001,MATCH(ROWS($V$2:V453),$V$2:$V$1001,0),1)&gt;=100000,INDEX($AC$1005:$AS$1005,1,MATCH(COLUMNS($AC$1006:AG1006),$AC$1006:$AS$1006,0))&gt;=100000), " ",IF(INDEX($AC$2:$AS$1001,MATCH(ROWS($V$2:V453),$V$2:$V$1001,0),MATCH(COLUMNS($AC$1006:AG1006),$AC$1006:$AS$1006,0)), HYPERLINK("#",""), HYPERLINK(CONCATENATE("#Metadata!", ADDRESS(INDEX($X$2:$X$1001,MATCH(ROWS($V$2:V453),$V$2:$V$1001,0),0), INDEX($AC$1004:$AS$1004,1,MATCH(COLUMNS($AC$1006:AG1006),$AC$1006:$AS$1006,0)))),"Fix")))</f>
        <v>0</v>
      </c>
      <c r="G453" s="5">
        <f>IF(OR(INDEX($W$2:$W$1001,MATCH(ROWS($V$2:V453),$V$2:$V$1001,0),1)&gt;=100000,INDEX($AC$1005:$AS$1005,1,MATCH(COLUMNS($AC$1006:AH1006),$AC$1006:$AS$1006,0))&gt;=100000), " ",IF(INDEX($AC$2:$AS$1001,MATCH(ROWS($V$2:V453),$V$2:$V$1001,0),MATCH(COLUMNS($AC$1006:AH1006),$AC$1006:$AS$1006,0)), HYPERLINK("#",""), HYPERLINK(CONCATENATE("#Metadata!", ADDRESS(INDEX($X$2:$X$1001,MATCH(ROWS($V$2:V453),$V$2:$V$1001,0),0), INDEX($AC$1004:$AS$1004,1,MATCH(COLUMNS($AC$1006:AH1006),$AC$1006:$AS$1006,0)))),"Fix")))</f>
        <v>0</v>
      </c>
      <c r="H453" s="5">
        <f>IF(OR(INDEX($W$2:$W$1001,MATCH(ROWS($V$2:V453),$V$2:$V$1001,0),1)&gt;=100000,INDEX($AC$1005:$AS$1005,1,MATCH(COLUMNS($AC$1006:AI1006),$AC$1006:$AS$1006,0))&gt;=100000), " ",IF(INDEX($AC$2:$AS$1001,MATCH(ROWS($V$2:V453),$V$2:$V$1001,0),MATCH(COLUMNS($AC$1006:AI1006),$AC$1006:$AS$1006,0)), HYPERLINK("#",""), HYPERLINK(CONCATENATE("#Metadata!", ADDRESS(INDEX($X$2:$X$1001,MATCH(ROWS($V$2:V453),$V$2:$V$1001,0),0), INDEX($AC$1004:$AS$1004,1,MATCH(COLUMNS($AC$1006:AI1006),$AC$1006:$AS$1006,0)))),"Fix")))</f>
        <v>0</v>
      </c>
      <c r="I453" s="5">
        <f>IF(OR(INDEX($W$2:$W$1001,MATCH(ROWS($V$2:V453),$V$2:$V$1001,0),1)&gt;=100000,INDEX($AC$1005:$AS$1005,1,MATCH(COLUMNS($AC$1006:AJ1006),$AC$1006:$AS$1006,0))&gt;=100000), " ",IF(INDEX($AC$2:$AS$1001,MATCH(ROWS($V$2:V453),$V$2:$V$1001,0),MATCH(COLUMNS($AC$1006:AJ1006),$AC$1006:$AS$1006,0)), HYPERLINK("#",""), HYPERLINK(CONCATENATE("#Metadata!", ADDRESS(INDEX($X$2:$X$1001,MATCH(ROWS($V$2:V453),$V$2:$V$1001,0),0), INDEX($AC$1004:$AS$1004,1,MATCH(COLUMNS($AC$1006:AJ1006),$AC$1006:$AS$1006,0)))),"Fix")))</f>
        <v>0</v>
      </c>
      <c r="J453" s="5">
        <f>IF(OR(INDEX($W$2:$W$1001,MATCH(ROWS($V$2:V453),$V$2:$V$1001,0),1)&gt;=100000,INDEX($AC$1005:$AS$1005,1,MATCH(COLUMNS($AC$1006:AK1006),$AC$1006:$AS$1006,0))&gt;=100000), " ",IF(INDEX($AC$2:$AS$1001,MATCH(ROWS($V$2:V453),$V$2:$V$1001,0),MATCH(COLUMNS($AC$1006:AK1006),$AC$1006:$AS$1006,0)), HYPERLINK("#",""), HYPERLINK(CONCATENATE("#Metadata!", ADDRESS(INDEX($X$2:$X$1001,MATCH(ROWS($V$2:V453),$V$2:$V$1001,0),0), INDEX($AC$1004:$AS$1004,1,MATCH(COLUMNS($AC$1006:AK1006),$AC$1006:$AS$1006,0)))),"Fix")))</f>
        <v>0</v>
      </c>
      <c r="K453" s="5">
        <f>IF(OR(INDEX($W$2:$W$1001,MATCH(ROWS($V$2:V453),$V$2:$V$1001,0),1)&gt;=100000,INDEX($AC$1005:$AS$1005,1,MATCH(COLUMNS($AC$1006:AL1006),$AC$1006:$AS$1006,0))&gt;=100000), " ",IF(INDEX($AC$2:$AS$1001,MATCH(ROWS($V$2:V453),$V$2:$V$1001,0),MATCH(COLUMNS($AC$1006:AL1006),$AC$1006:$AS$1006,0)), HYPERLINK("#",""), HYPERLINK(CONCATENATE("#Metadata!", ADDRESS(INDEX($X$2:$X$1001,MATCH(ROWS($V$2:V453),$V$2:$V$1001,0),0), INDEX($AC$1004:$AS$1004,1,MATCH(COLUMNS($AC$1006:AL1006),$AC$1006:$AS$1006,0)))),"Fix")))</f>
        <v>0</v>
      </c>
      <c r="L453" s="5">
        <f>IF(OR(INDEX($W$2:$W$1001,MATCH(ROWS($V$2:V453),$V$2:$V$1001,0),1)&gt;=100000,INDEX($AC$1005:$AS$1005,1,MATCH(COLUMNS($AC$1006:AM1006),$AC$1006:$AS$1006,0))&gt;=100000), " ",IF(INDEX($AC$2:$AS$1001,MATCH(ROWS($V$2:V453),$V$2:$V$1001,0),MATCH(COLUMNS($AC$1006:AM1006),$AC$1006:$AS$1006,0)), HYPERLINK("#",""), HYPERLINK(CONCATENATE("#Metadata!", ADDRESS(INDEX($X$2:$X$1001,MATCH(ROWS($V$2:V453),$V$2:$V$1001,0),0), INDEX($AC$1004:$AS$1004,1,MATCH(COLUMNS($AC$1006:AM1006),$AC$1006:$AS$1006,0)))),"Fix")))</f>
        <v>0</v>
      </c>
      <c r="M453" s="5">
        <f>IF(OR(INDEX($W$2:$W$1001,MATCH(ROWS($V$2:V453),$V$2:$V$1001,0),1)&gt;=100000,INDEX($AC$1005:$AS$1005,1,MATCH(COLUMNS($AC$1006:AN1006),$AC$1006:$AS$1006,0))&gt;=100000), " ",IF(INDEX($AC$2:$AS$1001,MATCH(ROWS($V$2:V453),$V$2:$V$1001,0),MATCH(COLUMNS($AC$1006:AN1006),$AC$1006:$AS$1006,0)), HYPERLINK("#",""), HYPERLINK(CONCATENATE("#Metadata!", ADDRESS(INDEX($X$2:$X$1001,MATCH(ROWS($V$2:V453),$V$2:$V$1001,0),0), INDEX($AC$1004:$AS$1004,1,MATCH(COLUMNS($AC$1006:AN1006),$AC$1006:$AS$1006,0)))),"Fix")))</f>
        <v>0</v>
      </c>
      <c r="N453" s="5">
        <f>IF(OR(INDEX($W$2:$W$1001,MATCH(ROWS($V$2:V453),$V$2:$V$1001,0),1)&gt;=100000,INDEX($AC$1005:$AS$1005,1,MATCH(COLUMNS($AC$1006:AO1006),$AC$1006:$AS$1006,0))&gt;=100000), " ",IF(INDEX($AC$2:$AS$1001,MATCH(ROWS($V$2:V453),$V$2:$V$1001,0),MATCH(COLUMNS($AC$1006:AO1006),$AC$1006:$AS$1006,0)), HYPERLINK("#",""), HYPERLINK(CONCATENATE("#Metadata!", ADDRESS(INDEX($X$2:$X$1001,MATCH(ROWS($V$2:V453),$V$2:$V$1001,0),0), INDEX($AC$1004:$AS$1004,1,MATCH(COLUMNS($AC$1006:AO1006),$AC$1006:$AS$1006,0)))),"Fix")))</f>
        <v>0</v>
      </c>
      <c r="O453" s="5">
        <f>IF(OR(INDEX($W$2:$W$1001,MATCH(ROWS($V$2:V453),$V$2:$V$1001,0),1)&gt;=100000,INDEX($AC$1005:$AS$1005,1,MATCH(COLUMNS($AC$1006:AP1006),$AC$1006:$AS$1006,0))&gt;=100000), " ",IF(INDEX($AC$2:$AS$1001,MATCH(ROWS($V$2:V453),$V$2:$V$1001,0),MATCH(COLUMNS($AC$1006:AP1006),$AC$1006:$AS$1006,0)), HYPERLINK("#",""), HYPERLINK(CONCATENATE("#Metadata!", ADDRESS(INDEX($X$2:$X$1001,MATCH(ROWS($V$2:V453),$V$2:$V$1001,0),0), INDEX($AC$1004:$AS$1004,1,MATCH(COLUMNS($AC$1006:AP1006),$AC$1006:$AS$1006,0)))),"Fix")))</f>
        <v>0</v>
      </c>
      <c r="P453" s="5">
        <f>IF(OR(INDEX($W$2:$W$1001,MATCH(ROWS($V$2:V453),$V$2:$V$1001,0),1)&gt;=100000,INDEX($AC$1005:$AS$1005,1,MATCH(COLUMNS($AC$1006:AQ1006),$AC$1006:$AS$1006,0))&gt;=100000), " ",IF(INDEX($AC$2:$AS$1001,MATCH(ROWS($V$2:V453),$V$2:$V$1001,0),MATCH(COLUMNS($AC$1006:AQ1006),$AC$1006:$AS$1006,0)), HYPERLINK("#",""), HYPERLINK(CONCATENATE("#Metadata!", ADDRESS(INDEX($X$2:$X$1001,MATCH(ROWS($V$2:V453),$V$2:$V$1001,0),0), INDEX($AC$1004:$AS$1004,1,MATCH(COLUMNS($AC$1006:AQ1006),$AC$1006:$AS$1006,0)))),"Fix")))</f>
        <v>0</v>
      </c>
      <c r="Q453" s="5">
        <f>IF(OR(INDEX($W$2:$W$1001,MATCH(ROWS($V$2:V453),$V$2:$V$1001,0),1)&gt;=100000,INDEX($AC$1005:$AS$1005,1,MATCH(COLUMNS($AC$1006:AR1006),$AC$1006:$AS$1006,0))&gt;=100000), " ",IF(INDEX($AC$2:$AS$1001,MATCH(ROWS($V$2:V453),$V$2:$V$1001,0),MATCH(COLUMNS($AC$1006:AR1006),$AC$1006:$AS$1006,0)), HYPERLINK("#",""), HYPERLINK(CONCATENATE("#Metadata!", ADDRESS(INDEX($X$2:$X$1001,MATCH(ROWS($V$2:V453),$V$2:$V$1001,0),0), INDEX($AC$1004:$AS$1004,1,MATCH(COLUMNS($AC$1006:AR1006),$AC$1006:$AS$1006,0)))),"Fix")))</f>
        <v>0</v>
      </c>
      <c r="R453" s="5">
        <f>IF(OR(INDEX($W$2:$W$1001,MATCH(ROWS($V$2:V453),$V$2:$V$1001,0),1)&gt;=100000,INDEX($AC$1005:$AS$1005,1,MATCH(COLUMNS($AC$1006:AS1006),$AC$1006:$AS$1006,0))&gt;=100000), " ",IF(INDEX($AC$2:$AS$1001,MATCH(ROWS($V$2:V453),$V$2:$V$1001,0),MATCH(COLUMNS($AC$1006:AS1006),$AC$1006:$AS$1006,0)), HYPERLINK("#",""), HYPERLINK(CONCATENATE("#Metadata!", ADDRESS(INDEX($X$2:$X$1001,MATCH(ROWS($V$2:V453),$V$2:$V$1001,0),0), INDEX($AC$1004:$AS$1004,1,MATCH(COLUMNS($AC$1006:AS1006),$AC$1006:$AS$1006,0)))),"Fix")))</f>
        <v>0</v>
      </c>
      <c r="V453">
        <v>0</v>
      </c>
      <c r="W453">
        <v>0</v>
      </c>
      <c r="X453">
        <v>0</v>
      </c>
      <c r="Y453">
        <f>IF(Z453,TRUE,AND(AC453:AS453))</f>
        <v>0</v>
      </c>
      <c r="Z453">
        <f>COUNTBLANK(Metadata!B453:R453)=COLUMNS(Metadata!B453:R453)</f>
        <v>0</v>
      </c>
      <c r="AA453">
        <v>0</v>
      </c>
      <c r="AC453">
        <f>AND(IF(Metadata!B453="",FALSE,TRUE),COUNTIF(Metadata!B:B, Metadata!B453) = 1,NOT(ISERROR(SUMPRODUCT(SEARCH(MID(Metadata!B453,ROW(INDIRECT("1:"&amp;LEN(Metadata!B453))), 1),"0123456789abcdefghijklmnopqrstuvwxyzABCDEFGHIJKLMNOPQRSTUVWXYZ.")))))</f>
        <v>0</v>
      </c>
      <c r="AD453">
        <f>AND(IF(Metadata!C453="",FALSE,TRUE),exact(Metadata!C453,"Host-associated"))</f>
        <v>0</v>
      </c>
      <c r="AE453">
        <f>AND(IF(Metadata!D453="",FALSE,TRUE),OR(exact(Metadata!D453,"Animal"),exact(Metadata!D453,"Fungus"),exact(Metadata!D453,"Plant")))</f>
        <v>0</v>
      </c>
      <c r="AF453">
        <f>AND(IF(Metadata!E453="",FALSE,TRUE),OR(exact(Metadata!E453,"Plant secretion"),exact(Metadata!E453,"Plant rhizosphere"),exact(Metadata!E453,"Plant surface"),exact(Metadata!E453,"Plant corpus"),exact(Metadata!E453,"Fungus surface"),exact(Metadata!E453,"Fungus corpus"),exact(Metadata!E453,"Animal surface"),exact(Metadata!E453,"Animal proximal gut"),exact(Metadata!E453,"Animal corpus"),exact(Metadata!E453,"Animal distal gut"),exact(Metadata!E453,"Animal secretion")))</f>
        <v>0</v>
      </c>
      <c r="AG453">
        <f>OR(AND(IF(Metadata!F453="",FALSE,TRUE),OR(exact(Metadata!F453,"not collected"),exact(Metadata!F453,"not provided"),exact(Metadata!F453,"restricted access"))),AND(IF(Metadata!F453="",FALSE,TRUE),OR(exact(Metadata!F453,"organism-associated habitat"),exact(Metadata!F453,"plant-associated habitat"),exact(Metadata!F453,"animal-associated habitat"),exact(Metadata!F453,"insecta-associated habitat"),exact(Metadata!F453,"mammalia-associated habitat"),exact(Metadata!F453,"human-associated habitat"),exact(Metadata!F453,"livestock-associated habitat"))))</f>
        <v>0</v>
      </c>
      <c r="AH453">
        <f>AND(IF(Metadata!G453="",FALSE,TRUE),exact(Metadata!G453,"host-associated"))</f>
        <v>0</v>
      </c>
      <c r="AI453">
        <f>OR(AND(IF(Metadata!H453="",FALSE,TRUE),OR(exact(Metadata!H453,"not collected"),exact(Metadata!H453,"not provided"))),AND(IF(Metadata!H453="",FALSE,ISNUMBER(VALUE(Metadata!H453))),Metadata!H453&gt;0))</f>
        <v>0</v>
      </c>
      <c r="AJ453">
        <f>AND(IF(Metadata!I453="",FALSE,TRUE),exact(Metadata!I453,"years"))</f>
        <v>0</v>
      </c>
      <c r="AK453">
        <f>IF(Metadata!J453="",FALSE,TRUE)</f>
        <v>0</v>
      </c>
      <c r="AL453">
        <f>OR(AND(IF(Metadata!K453="",FALSE,TRUE),OR(exact(Metadata!K453,"not collected"),exact(Metadata!K453,"not provided"))),AND(IF(Metadata!K453="",FALSE,ISNUMBER(VALUE(Metadata!K453))),Metadata!K453&gt;0))</f>
        <v>0</v>
      </c>
      <c r="AM453">
        <f>AND(IF(Metadata!L453="",FALSE,TRUE),exact(Metadata!L453,"cm"))</f>
        <v>0</v>
      </c>
      <c r="AN453">
        <f>IF(Metadata!M453="",FALSE,TRUE)</f>
        <v>0</v>
      </c>
      <c r="AO453">
        <f>OR(AND(IF(Metadata!N453="",FALSE,TRUE),OR(exact(Metadata!N453,"not applicable"),exact(Metadata!N453,"not collected"),exact(Metadata!N453,"not provided"))),AND(IF(Metadata!N453="",FALSE,IF(ISERROR(INT(Metadata!N453)),FALSE,INT(Metadata!N453)=Metadata!N453)),Metadata!N453&gt;0))</f>
        <v>0</v>
      </c>
      <c r="AP453">
        <f>OR(AND(IF(Metadata!O453="",FALSE,TRUE),OR(exact(Metadata!O453,"not collected"),exact(Metadata!O453,"not provided"))),AND(IF(Metadata!O453="",FALSE,ISNUMBER(VALUE(Metadata!O453))),Metadata!O453&gt;0))</f>
        <v>0</v>
      </c>
      <c r="AQ453">
        <f>AND(IF(Metadata!P453="",FALSE,TRUE),exact(Metadata!P453,"kg"))</f>
        <v>0</v>
      </c>
      <c r="AR453">
        <f>OR(AND(IF(Metadata!Q453="",FALSE,TRUE),OR(exact(Metadata!Q453,"not applicable"),exact(Metadata!Q453,"not collected"),exact(Metadata!Q453,"not provided"),exact(Metadata!Q453,"restricted access"))),IF(Metadata!Q453="",FALSE,IF(ISERROR(INT(Metadata!Q453)),FALSE,INT(Metadata!Q453)=Metadata!Q453)))</f>
        <v>0</v>
      </c>
      <c r="AS453">
        <f>AND(IF(Metadata!R453="",FALSE,TRUE),exact(Metadata!R453,"Not applicable"))</f>
        <v>0</v>
      </c>
    </row>
    <row r="454" spans="1:45">
      <c r="A454" s="4">
        <f>IF(B454=" "," ",HYPERLINK(CONCATENATE("#metadata!",ADDRESS(INDEX($X$2:$X$1001,MATCH(ROWS($V$2:V454),$V$2:$V$1001,0),0),2)),INDEX($AA$2:$AA$1001,MATCH(ROWS($V$2:V454),$V$2:$V$1001,0),0)))</f>
        <v>0</v>
      </c>
      <c r="B454" s="5">
        <f>IF(OR(INDEX($W$2:$W$1001,MATCH(ROWS($V$2:V454),$V$2:$V$1001,0),1)&gt;=100000,INDEX($AC$1005:$AS$1005,1,MATCH(COLUMNS($AC$1006:AC1006),$AC$1006:$AS$1006,0))&gt;=100000), " ",IF(INDEX($AC$2:$AS$1001,MATCH(ROWS($V$2:V454),$V$2:$V$1001,0),MATCH(COLUMNS($AC$1006:AC1006),$AC$1006:$AS$1006,0)), HYPERLINK("#",""), HYPERLINK(CONCATENATE("#Metadata!", ADDRESS(INDEX($X$2:$X$1001,MATCH(ROWS($V$2:V454),$V$2:$V$1001,0),0), INDEX($AC$1004:$AS$1004,1,MATCH(COLUMNS($AC$1006:AC1006),$AC$1006:$AS$1006,0)))),"Fix")))</f>
        <v>0</v>
      </c>
      <c r="C454" s="5">
        <f>IF(OR(INDEX($W$2:$W$1001,MATCH(ROWS($V$2:V454),$V$2:$V$1001,0),1)&gt;=100000,INDEX($AC$1005:$AS$1005,1,MATCH(COLUMNS($AC$1006:AD1006),$AC$1006:$AS$1006,0))&gt;=100000), " ",IF(INDEX($AC$2:$AS$1001,MATCH(ROWS($V$2:V454),$V$2:$V$1001,0),MATCH(COLUMNS($AC$1006:AD1006),$AC$1006:$AS$1006,0)), HYPERLINK("#",""), HYPERLINK(CONCATENATE("#Metadata!", ADDRESS(INDEX($X$2:$X$1001,MATCH(ROWS($V$2:V454),$V$2:$V$1001,0),0), INDEX($AC$1004:$AS$1004,1,MATCH(COLUMNS($AC$1006:AD1006),$AC$1006:$AS$1006,0)))),"Fix")))</f>
        <v>0</v>
      </c>
      <c r="D454" s="5">
        <f>IF(OR(INDEX($W$2:$W$1001,MATCH(ROWS($V$2:V454),$V$2:$V$1001,0),1)&gt;=100000,INDEX($AC$1005:$AS$1005,1,MATCH(COLUMNS($AC$1006:AE1006),$AC$1006:$AS$1006,0))&gt;=100000), " ",IF(INDEX($AC$2:$AS$1001,MATCH(ROWS($V$2:V454),$V$2:$V$1001,0),MATCH(COLUMNS($AC$1006:AE1006),$AC$1006:$AS$1006,0)), HYPERLINK("#",""), HYPERLINK(CONCATENATE("#Metadata!", ADDRESS(INDEX($X$2:$X$1001,MATCH(ROWS($V$2:V454),$V$2:$V$1001,0),0), INDEX($AC$1004:$AS$1004,1,MATCH(COLUMNS($AC$1006:AE1006),$AC$1006:$AS$1006,0)))),"Fix")))</f>
        <v>0</v>
      </c>
      <c r="E454" s="5">
        <f>IF(OR(INDEX($W$2:$W$1001,MATCH(ROWS($V$2:V454),$V$2:$V$1001,0),1)&gt;=100000,INDEX($AC$1005:$AS$1005,1,MATCH(COLUMNS($AC$1006:AF1006),$AC$1006:$AS$1006,0))&gt;=100000), " ",IF(INDEX($AC$2:$AS$1001,MATCH(ROWS($V$2:V454),$V$2:$V$1001,0),MATCH(COLUMNS($AC$1006:AF1006),$AC$1006:$AS$1006,0)), HYPERLINK("#",""), HYPERLINK(CONCATENATE("#Metadata!", ADDRESS(INDEX($X$2:$X$1001,MATCH(ROWS($V$2:V454),$V$2:$V$1001,0),0), INDEX($AC$1004:$AS$1004,1,MATCH(COLUMNS($AC$1006:AF1006),$AC$1006:$AS$1006,0)))),"Fix")))</f>
        <v>0</v>
      </c>
      <c r="F454" s="5">
        <f>IF(OR(INDEX($W$2:$W$1001,MATCH(ROWS($V$2:V454),$V$2:$V$1001,0),1)&gt;=100000,INDEX($AC$1005:$AS$1005,1,MATCH(COLUMNS($AC$1006:AG1006),$AC$1006:$AS$1006,0))&gt;=100000), " ",IF(INDEX($AC$2:$AS$1001,MATCH(ROWS($V$2:V454),$V$2:$V$1001,0),MATCH(COLUMNS($AC$1006:AG1006),$AC$1006:$AS$1006,0)), HYPERLINK("#",""), HYPERLINK(CONCATENATE("#Metadata!", ADDRESS(INDEX($X$2:$X$1001,MATCH(ROWS($V$2:V454),$V$2:$V$1001,0),0), INDEX($AC$1004:$AS$1004,1,MATCH(COLUMNS($AC$1006:AG1006),$AC$1006:$AS$1006,0)))),"Fix")))</f>
        <v>0</v>
      </c>
      <c r="G454" s="5">
        <f>IF(OR(INDEX($W$2:$W$1001,MATCH(ROWS($V$2:V454),$V$2:$V$1001,0),1)&gt;=100000,INDEX($AC$1005:$AS$1005,1,MATCH(COLUMNS($AC$1006:AH1006),$AC$1006:$AS$1006,0))&gt;=100000), " ",IF(INDEX($AC$2:$AS$1001,MATCH(ROWS($V$2:V454),$V$2:$V$1001,0),MATCH(COLUMNS($AC$1006:AH1006),$AC$1006:$AS$1006,0)), HYPERLINK("#",""), HYPERLINK(CONCATENATE("#Metadata!", ADDRESS(INDEX($X$2:$X$1001,MATCH(ROWS($V$2:V454),$V$2:$V$1001,0),0), INDEX($AC$1004:$AS$1004,1,MATCH(COLUMNS($AC$1006:AH1006),$AC$1006:$AS$1006,0)))),"Fix")))</f>
        <v>0</v>
      </c>
      <c r="H454" s="5">
        <f>IF(OR(INDEX($W$2:$W$1001,MATCH(ROWS($V$2:V454),$V$2:$V$1001,0),1)&gt;=100000,INDEX($AC$1005:$AS$1005,1,MATCH(COLUMNS($AC$1006:AI1006),$AC$1006:$AS$1006,0))&gt;=100000), " ",IF(INDEX($AC$2:$AS$1001,MATCH(ROWS($V$2:V454),$V$2:$V$1001,0),MATCH(COLUMNS($AC$1006:AI1006),$AC$1006:$AS$1006,0)), HYPERLINK("#",""), HYPERLINK(CONCATENATE("#Metadata!", ADDRESS(INDEX($X$2:$X$1001,MATCH(ROWS($V$2:V454),$V$2:$V$1001,0),0), INDEX($AC$1004:$AS$1004,1,MATCH(COLUMNS($AC$1006:AI1006),$AC$1006:$AS$1006,0)))),"Fix")))</f>
        <v>0</v>
      </c>
      <c r="I454" s="5">
        <f>IF(OR(INDEX($W$2:$W$1001,MATCH(ROWS($V$2:V454),$V$2:$V$1001,0),1)&gt;=100000,INDEX($AC$1005:$AS$1005,1,MATCH(COLUMNS($AC$1006:AJ1006),$AC$1006:$AS$1006,0))&gt;=100000), " ",IF(INDEX($AC$2:$AS$1001,MATCH(ROWS($V$2:V454),$V$2:$V$1001,0),MATCH(COLUMNS($AC$1006:AJ1006),$AC$1006:$AS$1006,0)), HYPERLINK("#",""), HYPERLINK(CONCATENATE("#Metadata!", ADDRESS(INDEX($X$2:$X$1001,MATCH(ROWS($V$2:V454),$V$2:$V$1001,0),0), INDEX($AC$1004:$AS$1004,1,MATCH(COLUMNS($AC$1006:AJ1006),$AC$1006:$AS$1006,0)))),"Fix")))</f>
        <v>0</v>
      </c>
      <c r="J454" s="5">
        <f>IF(OR(INDEX($W$2:$W$1001,MATCH(ROWS($V$2:V454),$V$2:$V$1001,0),1)&gt;=100000,INDEX($AC$1005:$AS$1005,1,MATCH(COLUMNS($AC$1006:AK1006),$AC$1006:$AS$1006,0))&gt;=100000), " ",IF(INDEX($AC$2:$AS$1001,MATCH(ROWS($V$2:V454),$V$2:$V$1001,0),MATCH(COLUMNS($AC$1006:AK1006),$AC$1006:$AS$1006,0)), HYPERLINK("#",""), HYPERLINK(CONCATENATE("#Metadata!", ADDRESS(INDEX($X$2:$X$1001,MATCH(ROWS($V$2:V454),$V$2:$V$1001,0),0), INDEX($AC$1004:$AS$1004,1,MATCH(COLUMNS($AC$1006:AK1006),$AC$1006:$AS$1006,0)))),"Fix")))</f>
        <v>0</v>
      </c>
      <c r="K454" s="5">
        <f>IF(OR(INDEX($W$2:$W$1001,MATCH(ROWS($V$2:V454),$V$2:$V$1001,0),1)&gt;=100000,INDEX($AC$1005:$AS$1005,1,MATCH(COLUMNS($AC$1006:AL1006),$AC$1006:$AS$1006,0))&gt;=100000), " ",IF(INDEX($AC$2:$AS$1001,MATCH(ROWS($V$2:V454),$V$2:$V$1001,0),MATCH(COLUMNS($AC$1006:AL1006),$AC$1006:$AS$1006,0)), HYPERLINK("#",""), HYPERLINK(CONCATENATE("#Metadata!", ADDRESS(INDEX($X$2:$X$1001,MATCH(ROWS($V$2:V454),$V$2:$V$1001,0),0), INDEX($AC$1004:$AS$1004,1,MATCH(COLUMNS($AC$1006:AL1006),$AC$1006:$AS$1006,0)))),"Fix")))</f>
        <v>0</v>
      </c>
      <c r="L454" s="5">
        <f>IF(OR(INDEX($W$2:$W$1001,MATCH(ROWS($V$2:V454),$V$2:$V$1001,0),1)&gt;=100000,INDEX($AC$1005:$AS$1005,1,MATCH(COLUMNS($AC$1006:AM1006),$AC$1006:$AS$1006,0))&gt;=100000), " ",IF(INDEX($AC$2:$AS$1001,MATCH(ROWS($V$2:V454),$V$2:$V$1001,0),MATCH(COLUMNS($AC$1006:AM1006),$AC$1006:$AS$1006,0)), HYPERLINK("#",""), HYPERLINK(CONCATENATE("#Metadata!", ADDRESS(INDEX($X$2:$X$1001,MATCH(ROWS($V$2:V454),$V$2:$V$1001,0),0), INDEX($AC$1004:$AS$1004,1,MATCH(COLUMNS($AC$1006:AM1006),$AC$1006:$AS$1006,0)))),"Fix")))</f>
        <v>0</v>
      </c>
      <c r="M454" s="5">
        <f>IF(OR(INDEX($W$2:$W$1001,MATCH(ROWS($V$2:V454),$V$2:$V$1001,0),1)&gt;=100000,INDEX($AC$1005:$AS$1005,1,MATCH(COLUMNS($AC$1006:AN1006),$AC$1006:$AS$1006,0))&gt;=100000), " ",IF(INDEX($AC$2:$AS$1001,MATCH(ROWS($V$2:V454),$V$2:$V$1001,0),MATCH(COLUMNS($AC$1006:AN1006),$AC$1006:$AS$1006,0)), HYPERLINK("#",""), HYPERLINK(CONCATENATE("#Metadata!", ADDRESS(INDEX($X$2:$X$1001,MATCH(ROWS($V$2:V454),$V$2:$V$1001,0),0), INDEX($AC$1004:$AS$1004,1,MATCH(COLUMNS($AC$1006:AN1006),$AC$1006:$AS$1006,0)))),"Fix")))</f>
        <v>0</v>
      </c>
      <c r="N454" s="5">
        <f>IF(OR(INDEX($W$2:$W$1001,MATCH(ROWS($V$2:V454),$V$2:$V$1001,0),1)&gt;=100000,INDEX($AC$1005:$AS$1005,1,MATCH(COLUMNS($AC$1006:AO1006),$AC$1006:$AS$1006,0))&gt;=100000), " ",IF(INDEX($AC$2:$AS$1001,MATCH(ROWS($V$2:V454),$V$2:$V$1001,0),MATCH(COLUMNS($AC$1006:AO1006),$AC$1006:$AS$1006,0)), HYPERLINK("#",""), HYPERLINK(CONCATENATE("#Metadata!", ADDRESS(INDEX($X$2:$X$1001,MATCH(ROWS($V$2:V454),$V$2:$V$1001,0),0), INDEX($AC$1004:$AS$1004,1,MATCH(COLUMNS($AC$1006:AO1006),$AC$1006:$AS$1006,0)))),"Fix")))</f>
        <v>0</v>
      </c>
      <c r="O454" s="5">
        <f>IF(OR(INDEX($W$2:$W$1001,MATCH(ROWS($V$2:V454),$V$2:$V$1001,0),1)&gt;=100000,INDEX($AC$1005:$AS$1005,1,MATCH(COLUMNS($AC$1006:AP1006),$AC$1006:$AS$1006,0))&gt;=100000), " ",IF(INDEX($AC$2:$AS$1001,MATCH(ROWS($V$2:V454),$V$2:$V$1001,0),MATCH(COLUMNS($AC$1006:AP1006),$AC$1006:$AS$1006,0)), HYPERLINK("#",""), HYPERLINK(CONCATENATE("#Metadata!", ADDRESS(INDEX($X$2:$X$1001,MATCH(ROWS($V$2:V454),$V$2:$V$1001,0),0), INDEX($AC$1004:$AS$1004,1,MATCH(COLUMNS($AC$1006:AP1006),$AC$1006:$AS$1006,0)))),"Fix")))</f>
        <v>0</v>
      </c>
      <c r="P454" s="5">
        <f>IF(OR(INDEX($W$2:$W$1001,MATCH(ROWS($V$2:V454),$V$2:$V$1001,0),1)&gt;=100000,INDEX($AC$1005:$AS$1005,1,MATCH(COLUMNS($AC$1006:AQ1006),$AC$1006:$AS$1006,0))&gt;=100000), " ",IF(INDEX($AC$2:$AS$1001,MATCH(ROWS($V$2:V454),$V$2:$V$1001,0),MATCH(COLUMNS($AC$1006:AQ1006),$AC$1006:$AS$1006,0)), HYPERLINK("#",""), HYPERLINK(CONCATENATE("#Metadata!", ADDRESS(INDEX($X$2:$X$1001,MATCH(ROWS($V$2:V454),$V$2:$V$1001,0),0), INDEX($AC$1004:$AS$1004,1,MATCH(COLUMNS($AC$1006:AQ1006),$AC$1006:$AS$1006,0)))),"Fix")))</f>
        <v>0</v>
      </c>
      <c r="Q454" s="5">
        <f>IF(OR(INDEX($W$2:$W$1001,MATCH(ROWS($V$2:V454),$V$2:$V$1001,0),1)&gt;=100000,INDEX($AC$1005:$AS$1005,1,MATCH(COLUMNS($AC$1006:AR1006),$AC$1006:$AS$1006,0))&gt;=100000), " ",IF(INDEX($AC$2:$AS$1001,MATCH(ROWS($V$2:V454),$V$2:$V$1001,0),MATCH(COLUMNS($AC$1006:AR1006),$AC$1006:$AS$1006,0)), HYPERLINK("#",""), HYPERLINK(CONCATENATE("#Metadata!", ADDRESS(INDEX($X$2:$X$1001,MATCH(ROWS($V$2:V454),$V$2:$V$1001,0),0), INDEX($AC$1004:$AS$1004,1,MATCH(COLUMNS($AC$1006:AR1006),$AC$1006:$AS$1006,0)))),"Fix")))</f>
        <v>0</v>
      </c>
      <c r="R454" s="5">
        <f>IF(OR(INDEX($W$2:$W$1001,MATCH(ROWS($V$2:V454),$V$2:$V$1001,0),1)&gt;=100000,INDEX($AC$1005:$AS$1005,1,MATCH(COLUMNS($AC$1006:AS1006),$AC$1006:$AS$1006,0))&gt;=100000), " ",IF(INDEX($AC$2:$AS$1001,MATCH(ROWS($V$2:V454),$V$2:$V$1001,0),MATCH(COLUMNS($AC$1006:AS1006),$AC$1006:$AS$1006,0)), HYPERLINK("#",""), HYPERLINK(CONCATENATE("#Metadata!", ADDRESS(INDEX($X$2:$X$1001,MATCH(ROWS($V$2:V454),$V$2:$V$1001,0),0), INDEX($AC$1004:$AS$1004,1,MATCH(COLUMNS($AC$1006:AS1006),$AC$1006:$AS$1006,0)))),"Fix")))</f>
        <v>0</v>
      </c>
      <c r="V454">
        <v>0</v>
      </c>
      <c r="W454">
        <v>0</v>
      </c>
      <c r="X454">
        <v>0</v>
      </c>
      <c r="Y454">
        <f>IF(Z454,TRUE,AND(AC454:AS454))</f>
        <v>0</v>
      </c>
      <c r="Z454">
        <f>COUNTBLANK(Metadata!B454:R454)=COLUMNS(Metadata!B454:R454)</f>
        <v>0</v>
      </c>
      <c r="AA454">
        <v>0</v>
      </c>
      <c r="AC454">
        <f>AND(IF(Metadata!B454="",FALSE,TRUE),COUNTIF(Metadata!B:B, Metadata!B454) = 1,NOT(ISERROR(SUMPRODUCT(SEARCH(MID(Metadata!B454,ROW(INDIRECT("1:"&amp;LEN(Metadata!B454))), 1),"0123456789abcdefghijklmnopqrstuvwxyzABCDEFGHIJKLMNOPQRSTUVWXYZ.")))))</f>
        <v>0</v>
      </c>
      <c r="AD454">
        <f>AND(IF(Metadata!C454="",FALSE,TRUE),exact(Metadata!C454,"Host-associated"))</f>
        <v>0</v>
      </c>
      <c r="AE454">
        <f>AND(IF(Metadata!D454="",FALSE,TRUE),OR(exact(Metadata!D454,"Animal"),exact(Metadata!D454,"Fungus"),exact(Metadata!D454,"Plant")))</f>
        <v>0</v>
      </c>
      <c r="AF454">
        <f>AND(IF(Metadata!E454="",FALSE,TRUE),OR(exact(Metadata!E454,"Plant secretion"),exact(Metadata!E454,"Plant rhizosphere"),exact(Metadata!E454,"Plant surface"),exact(Metadata!E454,"Plant corpus"),exact(Metadata!E454,"Fungus surface"),exact(Metadata!E454,"Fungus corpus"),exact(Metadata!E454,"Animal surface"),exact(Metadata!E454,"Animal proximal gut"),exact(Metadata!E454,"Animal corpus"),exact(Metadata!E454,"Animal distal gut"),exact(Metadata!E454,"Animal secretion")))</f>
        <v>0</v>
      </c>
      <c r="AG454">
        <f>OR(AND(IF(Metadata!F454="",FALSE,TRUE),OR(exact(Metadata!F454,"not collected"),exact(Metadata!F454,"not provided"),exact(Metadata!F454,"restricted access"))),AND(IF(Metadata!F454="",FALSE,TRUE),OR(exact(Metadata!F454,"organism-associated habitat"),exact(Metadata!F454,"plant-associated habitat"),exact(Metadata!F454,"animal-associated habitat"),exact(Metadata!F454,"insecta-associated habitat"),exact(Metadata!F454,"mammalia-associated habitat"),exact(Metadata!F454,"human-associated habitat"),exact(Metadata!F454,"livestock-associated habitat"))))</f>
        <v>0</v>
      </c>
      <c r="AH454">
        <f>AND(IF(Metadata!G454="",FALSE,TRUE),exact(Metadata!G454,"host-associated"))</f>
        <v>0</v>
      </c>
      <c r="AI454">
        <f>OR(AND(IF(Metadata!H454="",FALSE,TRUE),OR(exact(Metadata!H454,"not collected"),exact(Metadata!H454,"not provided"))),AND(IF(Metadata!H454="",FALSE,ISNUMBER(VALUE(Metadata!H454))),Metadata!H454&gt;0))</f>
        <v>0</v>
      </c>
      <c r="AJ454">
        <f>AND(IF(Metadata!I454="",FALSE,TRUE),exact(Metadata!I454,"years"))</f>
        <v>0</v>
      </c>
      <c r="AK454">
        <f>IF(Metadata!J454="",FALSE,TRUE)</f>
        <v>0</v>
      </c>
      <c r="AL454">
        <f>OR(AND(IF(Metadata!K454="",FALSE,TRUE),OR(exact(Metadata!K454,"not collected"),exact(Metadata!K454,"not provided"))),AND(IF(Metadata!K454="",FALSE,ISNUMBER(VALUE(Metadata!K454))),Metadata!K454&gt;0))</f>
        <v>0</v>
      </c>
      <c r="AM454">
        <f>AND(IF(Metadata!L454="",FALSE,TRUE),exact(Metadata!L454,"cm"))</f>
        <v>0</v>
      </c>
      <c r="AN454">
        <f>IF(Metadata!M454="",FALSE,TRUE)</f>
        <v>0</v>
      </c>
      <c r="AO454">
        <f>OR(AND(IF(Metadata!N454="",FALSE,TRUE),OR(exact(Metadata!N454,"not applicable"),exact(Metadata!N454,"not collected"),exact(Metadata!N454,"not provided"))),AND(IF(Metadata!N454="",FALSE,IF(ISERROR(INT(Metadata!N454)),FALSE,INT(Metadata!N454)=Metadata!N454)),Metadata!N454&gt;0))</f>
        <v>0</v>
      </c>
      <c r="AP454">
        <f>OR(AND(IF(Metadata!O454="",FALSE,TRUE),OR(exact(Metadata!O454,"not collected"),exact(Metadata!O454,"not provided"))),AND(IF(Metadata!O454="",FALSE,ISNUMBER(VALUE(Metadata!O454))),Metadata!O454&gt;0))</f>
        <v>0</v>
      </c>
      <c r="AQ454">
        <f>AND(IF(Metadata!P454="",FALSE,TRUE),exact(Metadata!P454,"kg"))</f>
        <v>0</v>
      </c>
      <c r="AR454">
        <f>OR(AND(IF(Metadata!Q454="",FALSE,TRUE),OR(exact(Metadata!Q454,"not applicable"),exact(Metadata!Q454,"not collected"),exact(Metadata!Q454,"not provided"),exact(Metadata!Q454,"restricted access"))),IF(Metadata!Q454="",FALSE,IF(ISERROR(INT(Metadata!Q454)),FALSE,INT(Metadata!Q454)=Metadata!Q454)))</f>
        <v>0</v>
      </c>
      <c r="AS454">
        <f>AND(IF(Metadata!R454="",FALSE,TRUE),exact(Metadata!R454,"Not applicable"))</f>
        <v>0</v>
      </c>
    </row>
    <row r="455" spans="1:45">
      <c r="A455" s="4">
        <f>IF(B455=" "," ",HYPERLINK(CONCATENATE("#metadata!",ADDRESS(INDEX($X$2:$X$1001,MATCH(ROWS($V$2:V455),$V$2:$V$1001,0),0),2)),INDEX($AA$2:$AA$1001,MATCH(ROWS($V$2:V455),$V$2:$V$1001,0),0)))</f>
        <v>0</v>
      </c>
      <c r="B455" s="5">
        <f>IF(OR(INDEX($W$2:$W$1001,MATCH(ROWS($V$2:V455),$V$2:$V$1001,0),1)&gt;=100000,INDEX($AC$1005:$AS$1005,1,MATCH(COLUMNS($AC$1006:AC1006),$AC$1006:$AS$1006,0))&gt;=100000), " ",IF(INDEX($AC$2:$AS$1001,MATCH(ROWS($V$2:V455),$V$2:$V$1001,0),MATCH(COLUMNS($AC$1006:AC1006),$AC$1006:$AS$1006,0)), HYPERLINK("#",""), HYPERLINK(CONCATENATE("#Metadata!", ADDRESS(INDEX($X$2:$X$1001,MATCH(ROWS($V$2:V455),$V$2:$V$1001,0),0), INDEX($AC$1004:$AS$1004,1,MATCH(COLUMNS($AC$1006:AC1006),$AC$1006:$AS$1006,0)))),"Fix")))</f>
        <v>0</v>
      </c>
      <c r="C455" s="5">
        <f>IF(OR(INDEX($W$2:$W$1001,MATCH(ROWS($V$2:V455),$V$2:$V$1001,0),1)&gt;=100000,INDEX($AC$1005:$AS$1005,1,MATCH(COLUMNS($AC$1006:AD1006),$AC$1006:$AS$1006,0))&gt;=100000), " ",IF(INDEX($AC$2:$AS$1001,MATCH(ROWS($V$2:V455),$V$2:$V$1001,0),MATCH(COLUMNS($AC$1006:AD1006),$AC$1006:$AS$1006,0)), HYPERLINK("#",""), HYPERLINK(CONCATENATE("#Metadata!", ADDRESS(INDEX($X$2:$X$1001,MATCH(ROWS($V$2:V455),$V$2:$V$1001,0),0), INDEX($AC$1004:$AS$1004,1,MATCH(COLUMNS($AC$1006:AD1006),$AC$1006:$AS$1006,0)))),"Fix")))</f>
        <v>0</v>
      </c>
      <c r="D455" s="5">
        <f>IF(OR(INDEX($W$2:$W$1001,MATCH(ROWS($V$2:V455),$V$2:$V$1001,0),1)&gt;=100000,INDEX($AC$1005:$AS$1005,1,MATCH(COLUMNS($AC$1006:AE1006),$AC$1006:$AS$1006,0))&gt;=100000), " ",IF(INDEX($AC$2:$AS$1001,MATCH(ROWS($V$2:V455),$V$2:$V$1001,0),MATCH(COLUMNS($AC$1006:AE1006),$AC$1006:$AS$1006,0)), HYPERLINK("#",""), HYPERLINK(CONCATENATE("#Metadata!", ADDRESS(INDEX($X$2:$X$1001,MATCH(ROWS($V$2:V455),$V$2:$V$1001,0),0), INDEX($AC$1004:$AS$1004,1,MATCH(COLUMNS($AC$1006:AE1006),$AC$1006:$AS$1006,0)))),"Fix")))</f>
        <v>0</v>
      </c>
      <c r="E455" s="5">
        <f>IF(OR(INDEX($W$2:$W$1001,MATCH(ROWS($V$2:V455),$V$2:$V$1001,0),1)&gt;=100000,INDEX($AC$1005:$AS$1005,1,MATCH(COLUMNS($AC$1006:AF1006),$AC$1006:$AS$1006,0))&gt;=100000), " ",IF(INDEX($AC$2:$AS$1001,MATCH(ROWS($V$2:V455),$V$2:$V$1001,0),MATCH(COLUMNS($AC$1006:AF1006),$AC$1006:$AS$1006,0)), HYPERLINK("#",""), HYPERLINK(CONCATENATE("#Metadata!", ADDRESS(INDEX($X$2:$X$1001,MATCH(ROWS($V$2:V455),$V$2:$V$1001,0),0), INDEX($AC$1004:$AS$1004,1,MATCH(COLUMNS($AC$1006:AF1006),$AC$1006:$AS$1006,0)))),"Fix")))</f>
        <v>0</v>
      </c>
      <c r="F455" s="5">
        <f>IF(OR(INDEX($W$2:$W$1001,MATCH(ROWS($V$2:V455),$V$2:$V$1001,0),1)&gt;=100000,INDEX($AC$1005:$AS$1005,1,MATCH(COLUMNS($AC$1006:AG1006),$AC$1006:$AS$1006,0))&gt;=100000), " ",IF(INDEX($AC$2:$AS$1001,MATCH(ROWS($V$2:V455),$V$2:$V$1001,0),MATCH(COLUMNS($AC$1006:AG1006),$AC$1006:$AS$1006,0)), HYPERLINK("#",""), HYPERLINK(CONCATENATE("#Metadata!", ADDRESS(INDEX($X$2:$X$1001,MATCH(ROWS($V$2:V455),$V$2:$V$1001,0),0), INDEX($AC$1004:$AS$1004,1,MATCH(COLUMNS($AC$1006:AG1006),$AC$1006:$AS$1006,0)))),"Fix")))</f>
        <v>0</v>
      </c>
      <c r="G455" s="5">
        <f>IF(OR(INDEX($W$2:$W$1001,MATCH(ROWS($V$2:V455),$V$2:$V$1001,0),1)&gt;=100000,INDEX($AC$1005:$AS$1005,1,MATCH(COLUMNS($AC$1006:AH1006),$AC$1006:$AS$1006,0))&gt;=100000), " ",IF(INDEX($AC$2:$AS$1001,MATCH(ROWS($V$2:V455),$V$2:$V$1001,0),MATCH(COLUMNS($AC$1006:AH1006),$AC$1006:$AS$1006,0)), HYPERLINK("#",""), HYPERLINK(CONCATENATE("#Metadata!", ADDRESS(INDEX($X$2:$X$1001,MATCH(ROWS($V$2:V455),$V$2:$V$1001,0),0), INDEX($AC$1004:$AS$1004,1,MATCH(COLUMNS($AC$1006:AH1006),$AC$1006:$AS$1006,0)))),"Fix")))</f>
        <v>0</v>
      </c>
      <c r="H455" s="5">
        <f>IF(OR(INDEX($W$2:$W$1001,MATCH(ROWS($V$2:V455),$V$2:$V$1001,0),1)&gt;=100000,INDEX($AC$1005:$AS$1005,1,MATCH(COLUMNS($AC$1006:AI1006),$AC$1006:$AS$1006,0))&gt;=100000), " ",IF(INDEX($AC$2:$AS$1001,MATCH(ROWS($V$2:V455),$V$2:$V$1001,0),MATCH(COLUMNS($AC$1006:AI1006),$AC$1006:$AS$1006,0)), HYPERLINK("#",""), HYPERLINK(CONCATENATE("#Metadata!", ADDRESS(INDEX($X$2:$X$1001,MATCH(ROWS($V$2:V455),$V$2:$V$1001,0),0), INDEX($AC$1004:$AS$1004,1,MATCH(COLUMNS($AC$1006:AI1006),$AC$1006:$AS$1006,0)))),"Fix")))</f>
        <v>0</v>
      </c>
      <c r="I455" s="5">
        <f>IF(OR(INDEX($W$2:$W$1001,MATCH(ROWS($V$2:V455),$V$2:$V$1001,0),1)&gt;=100000,INDEX($AC$1005:$AS$1005,1,MATCH(COLUMNS($AC$1006:AJ1006),$AC$1006:$AS$1006,0))&gt;=100000), " ",IF(INDEX($AC$2:$AS$1001,MATCH(ROWS($V$2:V455),$V$2:$V$1001,0),MATCH(COLUMNS($AC$1006:AJ1006),$AC$1006:$AS$1006,0)), HYPERLINK("#",""), HYPERLINK(CONCATENATE("#Metadata!", ADDRESS(INDEX($X$2:$X$1001,MATCH(ROWS($V$2:V455),$V$2:$V$1001,0),0), INDEX($AC$1004:$AS$1004,1,MATCH(COLUMNS($AC$1006:AJ1006),$AC$1006:$AS$1006,0)))),"Fix")))</f>
        <v>0</v>
      </c>
      <c r="J455" s="5">
        <f>IF(OR(INDEX($W$2:$W$1001,MATCH(ROWS($V$2:V455),$V$2:$V$1001,0),1)&gt;=100000,INDEX($AC$1005:$AS$1005,1,MATCH(COLUMNS($AC$1006:AK1006),$AC$1006:$AS$1006,0))&gt;=100000), " ",IF(INDEX($AC$2:$AS$1001,MATCH(ROWS($V$2:V455),$V$2:$V$1001,0),MATCH(COLUMNS($AC$1006:AK1006),$AC$1006:$AS$1006,0)), HYPERLINK("#",""), HYPERLINK(CONCATENATE("#Metadata!", ADDRESS(INDEX($X$2:$X$1001,MATCH(ROWS($V$2:V455),$V$2:$V$1001,0),0), INDEX($AC$1004:$AS$1004,1,MATCH(COLUMNS($AC$1006:AK1006),$AC$1006:$AS$1006,0)))),"Fix")))</f>
        <v>0</v>
      </c>
      <c r="K455" s="5">
        <f>IF(OR(INDEX($W$2:$W$1001,MATCH(ROWS($V$2:V455),$V$2:$V$1001,0),1)&gt;=100000,INDEX($AC$1005:$AS$1005,1,MATCH(COLUMNS($AC$1006:AL1006),$AC$1006:$AS$1006,0))&gt;=100000), " ",IF(INDEX($AC$2:$AS$1001,MATCH(ROWS($V$2:V455),$V$2:$V$1001,0),MATCH(COLUMNS($AC$1006:AL1006),$AC$1006:$AS$1006,0)), HYPERLINK("#",""), HYPERLINK(CONCATENATE("#Metadata!", ADDRESS(INDEX($X$2:$X$1001,MATCH(ROWS($V$2:V455),$V$2:$V$1001,0),0), INDEX($AC$1004:$AS$1004,1,MATCH(COLUMNS($AC$1006:AL1006),$AC$1006:$AS$1006,0)))),"Fix")))</f>
        <v>0</v>
      </c>
      <c r="L455" s="5">
        <f>IF(OR(INDEX($W$2:$W$1001,MATCH(ROWS($V$2:V455),$V$2:$V$1001,0),1)&gt;=100000,INDEX($AC$1005:$AS$1005,1,MATCH(COLUMNS($AC$1006:AM1006),$AC$1006:$AS$1006,0))&gt;=100000), " ",IF(INDEX($AC$2:$AS$1001,MATCH(ROWS($V$2:V455),$V$2:$V$1001,0),MATCH(COLUMNS($AC$1006:AM1006),$AC$1006:$AS$1006,0)), HYPERLINK("#",""), HYPERLINK(CONCATENATE("#Metadata!", ADDRESS(INDEX($X$2:$X$1001,MATCH(ROWS($V$2:V455),$V$2:$V$1001,0),0), INDEX($AC$1004:$AS$1004,1,MATCH(COLUMNS($AC$1006:AM1006),$AC$1006:$AS$1006,0)))),"Fix")))</f>
        <v>0</v>
      </c>
      <c r="M455" s="5">
        <f>IF(OR(INDEX($W$2:$W$1001,MATCH(ROWS($V$2:V455),$V$2:$V$1001,0),1)&gt;=100000,INDEX($AC$1005:$AS$1005,1,MATCH(COLUMNS($AC$1006:AN1006),$AC$1006:$AS$1006,0))&gt;=100000), " ",IF(INDEX($AC$2:$AS$1001,MATCH(ROWS($V$2:V455),$V$2:$V$1001,0),MATCH(COLUMNS($AC$1006:AN1006),$AC$1006:$AS$1006,0)), HYPERLINK("#",""), HYPERLINK(CONCATENATE("#Metadata!", ADDRESS(INDEX($X$2:$X$1001,MATCH(ROWS($V$2:V455),$V$2:$V$1001,0),0), INDEX($AC$1004:$AS$1004,1,MATCH(COLUMNS($AC$1006:AN1006),$AC$1006:$AS$1006,0)))),"Fix")))</f>
        <v>0</v>
      </c>
      <c r="N455" s="5">
        <f>IF(OR(INDEX($W$2:$W$1001,MATCH(ROWS($V$2:V455),$V$2:$V$1001,0),1)&gt;=100000,INDEX($AC$1005:$AS$1005,1,MATCH(COLUMNS($AC$1006:AO1006),$AC$1006:$AS$1006,0))&gt;=100000), " ",IF(INDEX($AC$2:$AS$1001,MATCH(ROWS($V$2:V455),$V$2:$V$1001,0),MATCH(COLUMNS($AC$1006:AO1006),$AC$1006:$AS$1006,0)), HYPERLINK("#",""), HYPERLINK(CONCATENATE("#Metadata!", ADDRESS(INDEX($X$2:$X$1001,MATCH(ROWS($V$2:V455),$V$2:$V$1001,0),0), INDEX($AC$1004:$AS$1004,1,MATCH(COLUMNS($AC$1006:AO1006),$AC$1006:$AS$1006,0)))),"Fix")))</f>
        <v>0</v>
      </c>
      <c r="O455" s="5">
        <f>IF(OR(INDEX($W$2:$W$1001,MATCH(ROWS($V$2:V455),$V$2:$V$1001,0),1)&gt;=100000,INDEX($AC$1005:$AS$1005,1,MATCH(COLUMNS($AC$1006:AP1006),$AC$1006:$AS$1006,0))&gt;=100000), " ",IF(INDEX($AC$2:$AS$1001,MATCH(ROWS($V$2:V455),$V$2:$V$1001,0),MATCH(COLUMNS($AC$1006:AP1006),$AC$1006:$AS$1006,0)), HYPERLINK("#",""), HYPERLINK(CONCATENATE("#Metadata!", ADDRESS(INDEX($X$2:$X$1001,MATCH(ROWS($V$2:V455),$V$2:$V$1001,0),0), INDEX($AC$1004:$AS$1004,1,MATCH(COLUMNS($AC$1006:AP1006),$AC$1006:$AS$1006,0)))),"Fix")))</f>
        <v>0</v>
      </c>
      <c r="P455" s="5">
        <f>IF(OR(INDEX($W$2:$W$1001,MATCH(ROWS($V$2:V455),$V$2:$V$1001,0),1)&gt;=100000,INDEX($AC$1005:$AS$1005,1,MATCH(COLUMNS($AC$1006:AQ1006),$AC$1006:$AS$1006,0))&gt;=100000), " ",IF(INDEX($AC$2:$AS$1001,MATCH(ROWS($V$2:V455),$V$2:$V$1001,0),MATCH(COLUMNS($AC$1006:AQ1006),$AC$1006:$AS$1006,0)), HYPERLINK("#",""), HYPERLINK(CONCATENATE("#Metadata!", ADDRESS(INDEX($X$2:$X$1001,MATCH(ROWS($V$2:V455),$V$2:$V$1001,0),0), INDEX($AC$1004:$AS$1004,1,MATCH(COLUMNS($AC$1006:AQ1006),$AC$1006:$AS$1006,0)))),"Fix")))</f>
        <v>0</v>
      </c>
      <c r="Q455" s="5">
        <f>IF(OR(INDEX($W$2:$W$1001,MATCH(ROWS($V$2:V455),$V$2:$V$1001,0),1)&gt;=100000,INDEX($AC$1005:$AS$1005,1,MATCH(COLUMNS($AC$1006:AR1006),$AC$1006:$AS$1006,0))&gt;=100000), " ",IF(INDEX($AC$2:$AS$1001,MATCH(ROWS($V$2:V455),$V$2:$V$1001,0),MATCH(COLUMNS($AC$1006:AR1006),$AC$1006:$AS$1006,0)), HYPERLINK("#",""), HYPERLINK(CONCATENATE("#Metadata!", ADDRESS(INDEX($X$2:$X$1001,MATCH(ROWS($V$2:V455),$V$2:$V$1001,0),0), INDEX($AC$1004:$AS$1004,1,MATCH(COLUMNS($AC$1006:AR1006),$AC$1006:$AS$1006,0)))),"Fix")))</f>
        <v>0</v>
      </c>
      <c r="R455" s="5">
        <f>IF(OR(INDEX($W$2:$W$1001,MATCH(ROWS($V$2:V455),$V$2:$V$1001,0),1)&gt;=100000,INDEX($AC$1005:$AS$1005,1,MATCH(COLUMNS($AC$1006:AS1006),$AC$1006:$AS$1006,0))&gt;=100000), " ",IF(INDEX($AC$2:$AS$1001,MATCH(ROWS($V$2:V455),$V$2:$V$1001,0),MATCH(COLUMNS($AC$1006:AS1006),$AC$1006:$AS$1006,0)), HYPERLINK("#",""), HYPERLINK(CONCATENATE("#Metadata!", ADDRESS(INDEX($X$2:$X$1001,MATCH(ROWS($V$2:V455),$V$2:$V$1001,0),0), INDEX($AC$1004:$AS$1004,1,MATCH(COLUMNS($AC$1006:AS1006),$AC$1006:$AS$1006,0)))),"Fix")))</f>
        <v>0</v>
      </c>
      <c r="V455">
        <v>0</v>
      </c>
      <c r="W455">
        <v>0</v>
      </c>
      <c r="X455">
        <v>0</v>
      </c>
      <c r="Y455">
        <f>IF(Z455,TRUE,AND(AC455:AS455))</f>
        <v>0</v>
      </c>
      <c r="Z455">
        <f>COUNTBLANK(Metadata!B455:R455)=COLUMNS(Metadata!B455:R455)</f>
        <v>0</v>
      </c>
      <c r="AA455">
        <v>0</v>
      </c>
      <c r="AC455">
        <f>AND(IF(Metadata!B455="",FALSE,TRUE),COUNTIF(Metadata!B:B, Metadata!B455) = 1,NOT(ISERROR(SUMPRODUCT(SEARCH(MID(Metadata!B455,ROW(INDIRECT("1:"&amp;LEN(Metadata!B455))), 1),"0123456789abcdefghijklmnopqrstuvwxyzABCDEFGHIJKLMNOPQRSTUVWXYZ.")))))</f>
        <v>0</v>
      </c>
      <c r="AD455">
        <f>AND(IF(Metadata!C455="",FALSE,TRUE),exact(Metadata!C455,"Host-associated"))</f>
        <v>0</v>
      </c>
      <c r="AE455">
        <f>AND(IF(Metadata!D455="",FALSE,TRUE),OR(exact(Metadata!D455,"Animal"),exact(Metadata!D455,"Fungus"),exact(Metadata!D455,"Plant")))</f>
        <v>0</v>
      </c>
      <c r="AF455">
        <f>AND(IF(Metadata!E455="",FALSE,TRUE),OR(exact(Metadata!E455,"Plant secretion"),exact(Metadata!E455,"Plant rhizosphere"),exact(Metadata!E455,"Plant surface"),exact(Metadata!E455,"Plant corpus"),exact(Metadata!E455,"Fungus surface"),exact(Metadata!E455,"Fungus corpus"),exact(Metadata!E455,"Animal surface"),exact(Metadata!E455,"Animal proximal gut"),exact(Metadata!E455,"Animal corpus"),exact(Metadata!E455,"Animal distal gut"),exact(Metadata!E455,"Animal secretion")))</f>
        <v>0</v>
      </c>
      <c r="AG455">
        <f>OR(AND(IF(Metadata!F455="",FALSE,TRUE),OR(exact(Metadata!F455,"not collected"),exact(Metadata!F455,"not provided"),exact(Metadata!F455,"restricted access"))),AND(IF(Metadata!F455="",FALSE,TRUE),OR(exact(Metadata!F455,"organism-associated habitat"),exact(Metadata!F455,"plant-associated habitat"),exact(Metadata!F455,"animal-associated habitat"),exact(Metadata!F455,"insecta-associated habitat"),exact(Metadata!F455,"mammalia-associated habitat"),exact(Metadata!F455,"human-associated habitat"),exact(Metadata!F455,"livestock-associated habitat"))))</f>
        <v>0</v>
      </c>
      <c r="AH455">
        <f>AND(IF(Metadata!G455="",FALSE,TRUE),exact(Metadata!G455,"host-associated"))</f>
        <v>0</v>
      </c>
      <c r="AI455">
        <f>OR(AND(IF(Metadata!H455="",FALSE,TRUE),OR(exact(Metadata!H455,"not collected"),exact(Metadata!H455,"not provided"))),AND(IF(Metadata!H455="",FALSE,ISNUMBER(VALUE(Metadata!H455))),Metadata!H455&gt;0))</f>
        <v>0</v>
      </c>
      <c r="AJ455">
        <f>AND(IF(Metadata!I455="",FALSE,TRUE),exact(Metadata!I455,"years"))</f>
        <v>0</v>
      </c>
      <c r="AK455">
        <f>IF(Metadata!J455="",FALSE,TRUE)</f>
        <v>0</v>
      </c>
      <c r="AL455">
        <f>OR(AND(IF(Metadata!K455="",FALSE,TRUE),OR(exact(Metadata!K455,"not collected"),exact(Metadata!K455,"not provided"))),AND(IF(Metadata!K455="",FALSE,ISNUMBER(VALUE(Metadata!K455))),Metadata!K455&gt;0))</f>
        <v>0</v>
      </c>
      <c r="AM455">
        <f>AND(IF(Metadata!L455="",FALSE,TRUE),exact(Metadata!L455,"cm"))</f>
        <v>0</v>
      </c>
      <c r="AN455">
        <f>IF(Metadata!M455="",FALSE,TRUE)</f>
        <v>0</v>
      </c>
      <c r="AO455">
        <f>OR(AND(IF(Metadata!N455="",FALSE,TRUE),OR(exact(Metadata!N455,"not applicable"),exact(Metadata!N455,"not collected"),exact(Metadata!N455,"not provided"))),AND(IF(Metadata!N455="",FALSE,IF(ISERROR(INT(Metadata!N455)),FALSE,INT(Metadata!N455)=Metadata!N455)),Metadata!N455&gt;0))</f>
        <v>0</v>
      </c>
      <c r="AP455">
        <f>OR(AND(IF(Metadata!O455="",FALSE,TRUE),OR(exact(Metadata!O455,"not collected"),exact(Metadata!O455,"not provided"))),AND(IF(Metadata!O455="",FALSE,ISNUMBER(VALUE(Metadata!O455))),Metadata!O455&gt;0))</f>
        <v>0</v>
      </c>
      <c r="AQ455">
        <f>AND(IF(Metadata!P455="",FALSE,TRUE),exact(Metadata!P455,"kg"))</f>
        <v>0</v>
      </c>
      <c r="AR455">
        <f>OR(AND(IF(Metadata!Q455="",FALSE,TRUE),OR(exact(Metadata!Q455,"not applicable"),exact(Metadata!Q455,"not collected"),exact(Metadata!Q455,"not provided"),exact(Metadata!Q455,"restricted access"))),IF(Metadata!Q455="",FALSE,IF(ISERROR(INT(Metadata!Q455)),FALSE,INT(Metadata!Q455)=Metadata!Q455)))</f>
        <v>0</v>
      </c>
      <c r="AS455">
        <f>AND(IF(Metadata!R455="",FALSE,TRUE),exact(Metadata!R455,"Not applicable"))</f>
        <v>0</v>
      </c>
    </row>
    <row r="456" spans="1:45">
      <c r="A456" s="4">
        <f>IF(B456=" "," ",HYPERLINK(CONCATENATE("#metadata!",ADDRESS(INDEX($X$2:$X$1001,MATCH(ROWS($V$2:V456),$V$2:$V$1001,0),0),2)),INDEX($AA$2:$AA$1001,MATCH(ROWS($V$2:V456),$V$2:$V$1001,0),0)))</f>
        <v>0</v>
      </c>
      <c r="B456" s="5">
        <f>IF(OR(INDEX($W$2:$W$1001,MATCH(ROWS($V$2:V456),$V$2:$V$1001,0),1)&gt;=100000,INDEX($AC$1005:$AS$1005,1,MATCH(COLUMNS($AC$1006:AC1006),$AC$1006:$AS$1006,0))&gt;=100000), " ",IF(INDEX($AC$2:$AS$1001,MATCH(ROWS($V$2:V456),$V$2:$V$1001,0),MATCH(COLUMNS($AC$1006:AC1006),$AC$1006:$AS$1006,0)), HYPERLINK("#",""), HYPERLINK(CONCATENATE("#Metadata!", ADDRESS(INDEX($X$2:$X$1001,MATCH(ROWS($V$2:V456),$V$2:$V$1001,0),0), INDEX($AC$1004:$AS$1004,1,MATCH(COLUMNS($AC$1006:AC1006),$AC$1006:$AS$1006,0)))),"Fix")))</f>
        <v>0</v>
      </c>
      <c r="C456" s="5">
        <f>IF(OR(INDEX($W$2:$W$1001,MATCH(ROWS($V$2:V456),$V$2:$V$1001,0),1)&gt;=100000,INDEX($AC$1005:$AS$1005,1,MATCH(COLUMNS($AC$1006:AD1006),$AC$1006:$AS$1006,0))&gt;=100000), " ",IF(INDEX($AC$2:$AS$1001,MATCH(ROWS($V$2:V456),$V$2:$V$1001,0),MATCH(COLUMNS($AC$1006:AD1006),$AC$1006:$AS$1006,0)), HYPERLINK("#",""), HYPERLINK(CONCATENATE("#Metadata!", ADDRESS(INDEX($X$2:$X$1001,MATCH(ROWS($V$2:V456),$V$2:$V$1001,0),0), INDEX($AC$1004:$AS$1004,1,MATCH(COLUMNS($AC$1006:AD1006),$AC$1006:$AS$1006,0)))),"Fix")))</f>
        <v>0</v>
      </c>
      <c r="D456" s="5">
        <f>IF(OR(INDEX($W$2:$W$1001,MATCH(ROWS($V$2:V456),$V$2:$V$1001,0),1)&gt;=100000,INDEX($AC$1005:$AS$1005,1,MATCH(COLUMNS($AC$1006:AE1006),$AC$1006:$AS$1006,0))&gt;=100000), " ",IF(INDEX($AC$2:$AS$1001,MATCH(ROWS($V$2:V456),$V$2:$V$1001,0),MATCH(COLUMNS($AC$1006:AE1006),$AC$1006:$AS$1006,0)), HYPERLINK("#",""), HYPERLINK(CONCATENATE("#Metadata!", ADDRESS(INDEX($X$2:$X$1001,MATCH(ROWS($V$2:V456),$V$2:$V$1001,0),0), INDEX($AC$1004:$AS$1004,1,MATCH(COLUMNS($AC$1006:AE1006),$AC$1006:$AS$1006,0)))),"Fix")))</f>
        <v>0</v>
      </c>
      <c r="E456" s="5">
        <f>IF(OR(INDEX($W$2:$W$1001,MATCH(ROWS($V$2:V456),$V$2:$V$1001,0),1)&gt;=100000,INDEX($AC$1005:$AS$1005,1,MATCH(COLUMNS($AC$1006:AF1006),$AC$1006:$AS$1006,0))&gt;=100000), " ",IF(INDEX($AC$2:$AS$1001,MATCH(ROWS($V$2:V456),$V$2:$V$1001,0),MATCH(COLUMNS($AC$1006:AF1006),$AC$1006:$AS$1006,0)), HYPERLINK("#",""), HYPERLINK(CONCATENATE("#Metadata!", ADDRESS(INDEX($X$2:$X$1001,MATCH(ROWS($V$2:V456),$V$2:$V$1001,0),0), INDEX($AC$1004:$AS$1004,1,MATCH(COLUMNS($AC$1006:AF1006),$AC$1006:$AS$1006,0)))),"Fix")))</f>
        <v>0</v>
      </c>
      <c r="F456" s="5">
        <f>IF(OR(INDEX($W$2:$W$1001,MATCH(ROWS($V$2:V456),$V$2:$V$1001,0),1)&gt;=100000,INDEX($AC$1005:$AS$1005,1,MATCH(COLUMNS($AC$1006:AG1006),$AC$1006:$AS$1006,0))&gt;=100000), " ",IF(INDEX($AC$2:$AS$1001,MATCH(ROWS($V$2:V456),$V$2:$V$1001,0),MATCH(COLUMNS($AC$1006:AG1006),$AC$1006:$AS$1006,0)), HYPERLINK("#",""), HYPERLINK(CONCATENATE("#Metadata!", ADDRESS(INDEX($X$2:$X$1001,MATCH(ROWS($V$2:V456),$V$2:$V$1001,0),0), INDEX($AC$1004:$AS$1004,1,MATCH(COLUMNS($AC$1006:AG1006),$AC$1006:$AS$1006,0)))),"Fix")))</f>
        <v>0</v>
      </c>
      <c r="G456" s="5">
        <f>IF(OR(INDEX($W$2:$W$1001,MATCH(ROWS($V$2:V456),$V$2:$V$1001,0),1)&gt;=100000,INDEX($AC$1005:$AS$1005,1,MATCH(COLUMNS($AC$1006:AH1006),$AC$1006:$AS$1006,0))&gt;=100000), " ",IF(INDEX($AC$2:$AS$1001,MATCH(ROWS($V$2:V456),$V$2:$V$1001,0),MATCH(COLUMNS($AC$1006:AH1006),$AC$1006:$AS$1006,0)), HYPERLINK("#",""), HYPERLINK(CONCATENATE("#Metadata!", ADDRESS(INDEX($X$2:$X$1001,MATCH(ROWS($V$2:V456),$V$2:$V$1001,0),0), INDEX($AC$1004:$AS$1004,1,MATCH(COLUMNS($AC$1006:AH1006),$AC$1006:$AS$1006,0)))),"Fix")))</f>
        <v>0</v>
      </c>
      <c r="H456" s="5">
        <f>IF(OR(INDEX($W$2:$W$1001,MATCH(ROWS($V$2:V456),$V$2:$V$1001,0),1)&gt;=100000,INDEX($AC$1005:$AS$1005,1,MATCH(COLUMNS($AC$1006:AI1006),$AC$1006:$AS$1006,0))&gt;=100000), " ",IF(INDEX($AC$2:$AS$1001,MATCH(ROWS($V$2:V456),$V$2:$V$1001,0),MATCH(COLUMNS($AC$1006:AI1006),$AC$1006:$AS$1006,0)), HYPERLINK("#",""), HYPERLINK(CONCATENATE("#Metadata!", ADDRESS(INDEX($X$2:$X$1001,MATCH(ROWS($V$2:V456),$V$2:$V$1001,0),0), INDEX($AC$1004:$AS$1004,1,MATCH(COLUMNS($AC$1006:AI1006),$AC$1006:$AS$1006,0)))),"Fix")))</f>
        <v>0</v>
      </c>
      <c r="I456" s="5">
        <f>IF(OR(INDEX($W$2:$W$1001,MATCH(ROWS($V$2:V456),$V$2:$V$1001,0),1)&gt;=100000,INDEX($AC$1005:$AS$1005,1,MATCH(COLUMNS($AC$1006:AJ1006),$AC$1006:$AS$1006,0))&gt;=100000), " ",IF(INDEX($AC$2:$AS$1001,MATCH(ROWS($V$2:V456),$V$2:$V$1001,0),MATCH(COLUMNS($AC$1006:AJ1006),$AC$1006:$AS$1006,0)), HYPERLINK("#",""), HYPERLINK(CONCATENATE("#Metadata!", ADDRESS(INDEX($X$2:$X$1001,MATCH(ROWS($V$2:V456),$V$2:$V$1001,0),0), INDEX($AC$1004:$AS$1004,1,MATCH(COLUMNS($AC$1006:AJ1006),$AC$1006:$AS$1006,0)))),"Fix")))</f>
        <v>0</v>
      </c>
      <c r="J456" s="5">
        <f>IF(OR(INDEX($W$2:$W$1001,MATCH(ROWS($V$2:V456),$V$2:$V$1001,0),1)&gt;=100000,INDEX($AC$1005:$AS$1005,1,MATCH(COLUMNS($AC$1006:AK1006),$AC$1006:$AS$1006,0))&gt;=100000), " ",IF(INDEX($AC$2:$AS$1001,MATCH(ROWS($V$2:V456),$V$2:$V$1001,0),MATCH(COLUMNS($AC$1006:AK1006),$AC$1006:$AS$1006,0)), HYPERLINK("#",""), HYPERLINK(CONCATENATE("#Metadata!", ADDRESS(INDEX($X$2:$X$1001,MATCH(ROWS($V$2:V456),$V$2:$V$1001,0),0), INDEX($AC$1004:$AS$1004,1,MATCH(COLUMNS($AC$1006:AK1006),$AC$1006:$AS$1006,0)))),"Fix")))</f>
        <v>0</v>
      </c>
      <c r="K456" s="5">
        <f>IF(OR(INDEX($W$2:$W$1001,MATCH(ROWS($V$2:V456),$V$2:$V$1001,0),1)&gt;=100000,INDEX($AC$1005:$AS$1005,1,MATCH(COLUMNS($AC$1006:AL1006),$AC$1006:$AS$1006,0))&gt;=100000), " ",IF(INDEX($AC$2:$AS$1001,MATCH(ROWS($V$2:V456),$V$2:$V$1001,0),MATCH(COLUMNS($AC$1006:AL1006),$AC$1006:$AS$1006,0)), HYPERLINK("#",""), HYPERLINK(CONCATENATE("#Metadata!", ADDRESS(INDEX($X$2:$X$1001,MATCH(ROWS($V$2:V456),$V$2:$V$1001,0),0), INDEX($AC$1004:$AS$1004,1,MATCH(COLUMNS($AC$1006:AL1006),$AC$1006:$AS$1006,0)))),"Fix")))</f>
        <v>0</v>
      </c>
      <c r="L456" s="5">
        <f>IF(OR(INDEX($W$2:$W$1001,MATCH(ROWS($V$2:V456),$V$2:$V$1001,0),1)&gt;=100000,INDEX($AC$1005:$AS$1005,1,MATCH(COLUMNS($AC$1006:AM1006),$AC$1006:$AS$1006,0))&gt;=100000), " ",IF(INDEX($AC$2:$AS$1001,MATCH(ROWS($V$2:V456),$V$2:$V$1001,0),MATCH(COLUMNS($AC$1006:AM1006),$AC$1006:$AS$1006,0)), HYPERLINK("#",""), HYPERLINK(CONCATENATE("#Metadata!", ADDRESS(INDEX($X$2:$X$1001,MATCH(ROWS($V$2:V456),$V$2:$V$1001,0),0), INDEX($AC$1004:$AS$1004,1,MATCH(COLUMNS($AC$1006:AM1006),$AC$1006:$AS$1006,0)))),"Fix")))</f>
        <v>0</v>
      </c>
      <c r="M456" s="5">
        <f>IF(OR(INDEX($W$2:$W$1001,MATCH(ROWS($V$2:V456),$V$2:$V$1001,0),1)&gt;=100000,INDEX($AC$1005:$AS$1005,1,MATCH(COLUMNS($AC$1006:AN1006),$AC$1006:$AS$1006,0))&gt;=100000), " ",IF(INDEX($AC$2:$AS$1001,MATCH(ROWS($V$2:V456),$V$2:$V$1001,0),MATCH(COLUMNS($AC$1006:AN1006),$AC$1006:$AS$1006,0)), HYPERLINK("#",""), HYPERLINK(CONCATENATE("#Metadata!", ADDRESS(INDEX($X$2:$X$1001,MATCH(ROWS($V$2:V456),$V$2:$V$1001,0),0), INDEX($AC$1004:$AS$1004,1,MATCH(COLUMNS($AC$1006:AN1006),$AC$1006:$AS$1006,0)))),"Fix")))</f>
        <v>0</v>
      </c>
      <c r="N456" s="5">
        <f>IF(OR(INDEX($W$2:$W$1001,MATCH(ROWS($V$2:V456),$V$2:$V$1001,0),1)&gt;=100000,INDEX($AC$1005:$AS$1005,1,MATCH(COLUMNS($AC$1006:AO1006),$AC$1006:$AS$1006,0))&gt;=100000), " ",IF(INDEX($AC$2:$AS$1001,MATCH(ROWS($V$2:V456),$V$2:$V$1001,0),MATCH(COLUMNS($AC$1006:AO1006),$AC$1006:$AS$1006,0)), HYPERLINK("#",""), HYPERLINK(CONCATENATE("#Metadata!", ADDRESS(INDEX($X$2:$X$1001,MATCH(ROWS($V$2:V456),$V$2:$V$1001,0),0), INDEX($AC$1004:$AS$1004,1,MATCH(COLUMNS($AC$1006:AO1006),$AC$1006:$AS$1006,0)))),"Fix")))</f>
        <v>0</v>
      </c>
      <c r="O456" s="5">
        <f>IF(OR(INDEX($W$2:$W$1001,MATCH(ROWS($V$2:V456),$V$2:$V$1001,0),1)&gt;=100000,INDEX($AC$1005:$AS$1005,1,MATCH(COLUMNS($AC$1006:AP1006),$AC$1006:$AS$1006,0))&gt;=100000), " ",IF(INDEX($AC$2:$AS$1001,MATCH(ROWS($V$2:V456),$V$2:$V$1001,0),MATCH(COLUMNS($AC$1006:AP1006),$AC$1006:$AS$1006,0)), HYPERLINK("#",""), HYPERLINK(CONCATENATE("#Metadata!", ADDRESS(INDEX($X$2:$X$1001,MATCH(ROWS($V$2:V456),$V$2:$V$1001,0),0), INDEX($AC$1004:$AS$1004,1,MATCH(COLUMNS($AC$1006:AP1006),$AC$1006:$AS$1006,0)))),"Fix")))</f>
        <v>0</v>
      </c>
      <c r="P456" s="5">
        <f>IF(OR(INDEX($W$2:$W$1001,MATCH(ROWS($V$2:V456),$V$2:$V$1001,0),1)&gt;=100000,INDEX($AC$1005:$AS$1005,1,MATCH(COLUMNS($AC$1006:AQ1006),$AC$1006:$AS$1006,0))&gt;=100000), " ",IF(INDEX($AC$2:$AS$1001,MATCH(ROWS($V$2:V456),$V$2:$V$1001,0),MATCH(COLUMNS($AC$1006:AQ1006),$AC$1006:$AS$1006,0)), HYPERLINK("#",""), HYPERLINK(CONCATENATE("#Metadata!", ADDRESS(INDEX($X$2:$X$1001,MATCH(ROWS($V$2:V456),$V$2:$V$1001,0),0), INDEX($AC$1004:$AS$1004,1,MATCH(COLUMNS($AC$1006:AQ1006),$AC$1006:$AS$1006,0)))),"Fix")))</f>
        <v>0</v>
      </c>
      <c r="Q456" s="5">
        <f>IF(OR(INDEX($W$2:$W$1001,MATCH(ROWS($V$2:V456),$V$2:$V$1001,0),1)&gt;=100000,INDEX($AC$1005:$AS$1005,1,MATCH(COLUMNS($AC$1006:AR1006),$AC$1006:$AS$1006,0))&gt;=100000), " ",IF(INDEX($AC$2:$AS$1001,MATCH(ROWS($V$2:V456),$V$2:$V$1001,0),MATCH(COLUMNS($AC$1006:AR1006),$AC$1006:$AS$1006,0)), HYPERLINK("#",""), HYPERLINK(CONCATENATE("#Metadata!", ADDRESS(INDEX($X$2:$X$1001,MATCH(ROWS($V$2:V456),$V$2:$V$1001,0),0), INDEX($AC$1004:$AS$1004,1,MATCH(COLUMNS($AC$1006:AR1006),$AC$1006:$AS$1006,0)))),"Fix")))</f>
        <v>0</v>
      </c>
      <c r="R456" s="5">
        <f>IF(OR(INDEX($W$2:$W$1001,MATCH(ROWS($V$2:V456),$V$2:$V$1001,0),1)&gt;=100000,INDEX($AC$1005:$AS$1005,1,MATCH(COLUMNS($AC$1006:AS1006),$AC$1006:$AS$1006,0))&gt;=100000), " ",IF(INDEX($AC$2:$AS$1001,MATCH(ROWS($V$2:V456),$V$2:$V$1001,0),MATCH(COLUMNS($AC$1006:AS1006),$AC$1006:$AS$1006,0)), HYPERLINK("#",""), HYPERLINK(CONCATENATE("#Metadata!", ADDRESS(INDEX($X$2:$X$1001,MATCH(ROWS($V$2:V456),$V$2:$V$1001,0),0), INDEX($AC$1004:$AS$1004,1,MATCH(COLUMNS($AC$1006:AS1006),$AC$1006:$AS$1006,0)))),"Fix")))</f>
        <v>0</v>
      </c>
      <c r="V456">
        <v>0</v>
      </c>
      <c r="W456">
        <v>0</v>
      </c>
      <c r="X456">
        <v>0</v>
      </c>
      <c r="Y456">
        <f>IF(Z456,TRUE,AND(AC456:AS456))</f>
        <v>0</v>
      </c>
      <c r="Z456">
        <f>COUNTBLANK(Metadata!B456:R456)=COLUMNS(Metadata!B456:R456)</f>
        <v>0</v>
      </c>
      <c r="AA456">
        <v>0</v>
      </c>
      <c r="AC456">
        <f>AND(IF(Metadata!B456="",FALSE,TRUE),COUNTIF(Metadata!B:B, Metadata!B456) = 1,NOT(ISERROR(SUMPRODUCT(SEARCH(MID(Metadata!B456,ROW(INDIRECT("1:"&amp;LEN(Metadata!B456))), 1),"0123456789abcdefghijklmnopqrstuvwxyzABCDEFGHIJKLMNOPQRSTUVWXYZ.")))))</f>
        <v>0</v>
      </c>
      <c r="AD456">
        <f>AND(IF(Metadata!C456="",FALSE,TRUE),exact(Metadata!C456,"Host-associated"))</f>
        <v>0</v>
      </c>
      <c r="AE456">
        <f>AND(IF(Metadata!D456="",FALSE,TRUE),OR(exact(Metadata!D456,"Animal"),exact(Metadata!D456,"Fungus"),exact(Metadata!D456,"Plant")))</f>
        <v>0</v>
      </c>
      <c r="AF456">
        <f>AND(IF(Metadata!E456="",FALSE,TRUE),OR(exact(Metadata!E456,"Plant secretion"),exact(Metadata!E456,"Plant rhizosphere"),exact(Metadata!E456,"Plant surface"),exact(Metadata!E456,"Plant corpus"),exact(Metadata!E456,"Fungus surface"),exact(Metadata!E456,"Fungus corpus"),exact(Metadata!E456,"Animal surface"),exact(Metadata!E456,"Animal proximal gut"),exact(Metadata!E456,"Animal corpus"),exact(Metadata!E456,"Animal distal gut"),exact(Metadata!E456,"Animal secretion")))</f>
        <v>0</v>
      </c>
      <c r="AG456">
        <f>OR(AND(IF(Metadata!F456="",FALSE,TRUE),OR(exact(Metadata!F456,"not collected"),exact(Metadata!F456,"not provided"),exact(Metadata!F456,"restricted access"))),AND(IF(Metadata!F456="",FALSE,TRUE),OR(exact(Metadata!F456,"organism-associated habitat"),exact(Metadata!F456,"plant-associated habitat"),exact(Metadata!F456,"animal-associated habitat"),exact(Metadata!F456,"insecta-associated habitat"),exact(Metadata!F456,"mammalia-associated habitat"),exact(Metadata!F456,"human-associated habitat"),exact(Metadata!F456,"livestock-associated habitat"))))</f>
        <v>0</v>
      </c>
      <c r="AH456">
        <f>AND(IF(Metadata!G456="",FALSE,TRUE),exact(Metadata!G456,"host-associated"))</f>
        <v>0</v>
      </c>
      <c r="AI456">
        <f>OR(AND(IF(Metadata!H456="",FALSE,TRUE),OR(exact(Metadata!H456,"not collected"),exact(Metadata!H456,"not provided"))),AND(IF(Metadata!H456="",FALSE,ISNUMBER(VALUE(Metadata!H456))),Metadata!H456&gt;0))</f>
        <v>0</v>
      </c>
      <c r="AJ456">
        <f>AND(IF(Metadata!I456="",FALSE,TRUE),exact(Metadata!I456,"years"))</f>
        <v>0</v>
      </c>
      <c r="AK456">
        <f>IF(Metadata!J456="",FALSE,TRUE)</f>
        <v>0</v>
      </c>
      <c r="AL456">
        <f>OR(AND(IF(Metadata!K456="",FALSE,TRUE),OR(exact(Metadata!K456,"not collected"),exact(Metadata!K456,"not provided"))),AND(IF(Metadata!K456="",FALSE,ISNUMBER(VALUE(Metadata!K456))),Metadata!K456&gt;0))</f>
        <v>0</v>
      </c>
      <c r="AM456">
        <f>AND(IF(Metadata!L456="",FALSE,TRUE),exact(Metadata!L456,"cm"))</f>
        <v>0</v>
      </c>
      <c r="AN456">
        <f>IF(Metadata!M456="",FALSE,TRUE)</f>
        <v>0</v>
      </c>
      <c r="AO456">
        <f>OR(AND(IF(Metadata!N456="",FALSE,TRUE),OR(exact(Metadata!N456,"not applicable"),exact(Metadata!N456,"not collected"),exact(Metadata!N456,"not provided"))),AND(IF(Metadata!N456="",FALSE,IF(ISERROR(INT(Metadata!N456)),FALSE,INT(Metadata!N456)=Metadata!N456)),Metadata!N456&gt;0))</f>
        <v>0</v>
      </c>
      <c r="AP456">
        <f>OR(AND(IF(Metadata!O456="",FALSE,TRUE),OR(exact(Metadata!O456,"not collected"),exact(Metadata!O456,"not provided"))),AND(IF(Metadata!O456="",FALSE,ISNUMBER(VALUE(Metadata!O456))),Metadata!O456&gt;0))</f>
        <v>0</v>
      </c>
      <c r="AQ456">
        <f>AND(IF(Metadata!P456="",FALSE,TRUE),exact(Metadata!P456,"kg"))</f>
        <v>0</v>
      </c>
      <c r="AR456">
        <f>OR(AND(IF(Metadata!Q456="",FALSE,TRUE),OR(exact(Metadata!Q456,"not applicable"),exact(Metadata!Q456,"not collected"),exact(Metadata!Q456,"not provided"),exact(Metadata!Q456,"restricted access"))),IF(Metadata!Q456="",FALSE,IF(ISERROR(INT(Metadata!Q456)),FALSE,INT(Metadata!Q456)=Metadata!Q456)))</f>
        <v>0</v>
      </c>
      <c r="AS456">
        <f>AND(IF(Metadata!R456="",FALSE,TRUE),exact(Metadata!R456,"Not applicable"))</f>
        <v>0</v>
      </c>
    </row>
    <row r="457" spans="1:45">
      <c r="A457" s="4">
        <f>IF(B457=" "," ",HYPERLINK(CONCATENATE("#metadata!",ADDRESS(INDEX($X$2:$X$1001,MATCH(ROWS($V$2:V457),$V$2:$V$1001,0),0),2)),INDEX($AA$2:$AA$1001,MATCH(ROWS($V$2:V457),$V$2:$V$1001,0),0)))</f>
        <v>0</v>
      </c>
      <c r="B457" s="5">
        <f>IF(OR(INDEX($W$2:$W$1001,MATCH(ROWS($V$2:V457),$V$2:$V$1001,0),1)&gt;=100000,INDEX($AC$1005:$AS$1005,1,MATCH(COLUMNS($AC$1006:AC1006),$AC$1006:$AS$1006,0))&gt;=100000), " ",IF(INDEX($AC$2:$AS$1001,MATCH(ROWS($V$2:V457),$V$2:$V$1001,0),MATCH(COLUMNS($AC$1006:AC1006),$AC$1006:$AS$1006,0)), HYPERLINK("#",""), HYPERLINK(CONCATENATE("#Metadata!", ADDRESS(INDEX($X$2:$X$1001,MATCH(ROWS($V$2:V457),$V$2:$V$1001,0),0), INDEX($AC$1004:$AS$1004,1,MATCH(COLUMNS($AC$1006:AC1006),$AC$1006:$AS$1006,0)))),"Fix")))</f>
        <v>0</v>
      </c>
      <c r="C457" s="5">
        <f>IF(OR(INDEX($W$2:$W$1001,MATCH(ROWS($V$2:V457),$V$2:$V$1001,0),1)&gt;=100000,INDEX($AC$1005:$AS$1005,1,MATCH(COLUMNS($AC$1006:AD1006),$AC$1006:$AS$1006,0))&gt;=100000), " ",IF(INDEX($AC$2:$AS$1001,MATCH(ROWS($V$2:V457),$V$2:$V$1001,0),MATCH(COLUMNS($AC$1006:AD1006),$AC$1006:$AS$1006,0)), HYPERLINK("#",""), HYPERLINK(CONCATENATE("#Metadata!", ADDRESS(INDEX($X$2:$X$1001,MATCH(ROWS($V$2:V457),$V$2:$V$1001,0),0), INDEX($AC$1004:$AS$1004,1,MATCH(COLUMNS($AC$1006:AD1006),$AC$1006:$AS$1006,0)))),"Fix")))</f>
        <v>0</v>
      </c>
      <c r="D457" s="5">
        <f>IF(OR(INDEX($W$2:$W$1001,MATCH(ROWS($V$2:V457),$V$2:$V$1001,0),1)&gt;=100000,INDEX($AC$1005:$AS$1005,1,MATCH(COLUMNS($AC$1006:AE1006),$AC$1006:$AS$1006,0))&gt;=100000), " ",IF(INDEX($AC$2:$AS$1001,MATCH(ROWS($V$2:V457),$V$2:$V$1001,0),MATCH(COLUMNS($AC$1006:AE1006),$AC$1006:$AS$1006,0)), HYPERLINK("#",""), HYPERLINK(CONCATENATE("#Metadata!", ADDRESS(INDEX($X$2:$X$1001,MATCH(ROWS($V$2:V457),$V$2:$V$1001,0),0), INDEX($AC$1004:$AS$1004,1,MATCH(COLUMNS($AC$1006:AE1006),$AC$1006:$AS$1006,0)))),"Fix")))</f>
        <v>0</v>
      </c>
      <c r="E457" s="5">
        <f>IF(OR(INDEX($W$2:$W$1001,MATCH(ROWS($V$2:V457),$V$2:$V$1001,0),1)&gt;=100000,INDEX($AC$1005:$AS$1005,1,MATCH(COLUMNS($AC$1006:AF1006),$AC$1006:$AS$1006,0))&gt;=100000), " ",IF(INDEX($AC$2:$AS$1001,MATCH(ROWS($V$2:V457),$V$2:$V$1001,0),MATCH(COLUMNS($AC$1006:AF1006),$AC$1006:$AS$1006,0)), HYPERLINK("#",""), HYPERLINK(CONCATENATE("#Metadata!", ADDRESS(INDEX($X$2:$X$1001,MATCH(ROWS($V$2:V457),$V$2:$V$1001,0),0), INDEX($AC$1004:$AS$1004,1,MATCH(COLUMNS($AC$1006:AF1006),$AC$1006:$AS$1006,0)))),"Fix")))</f>
        <v>0</v>
      </c>
      <c r="F457" s="5">
        <f>IF(OR(INDEX($W$2:$W$1001,MATCH(ROWS($V$2:V457),$V$2:$V$1001,0),1)&gt;=100000,INDEX($AC$1005:$AS$1005,1,MATCH(COLUMNS($AC$1006:AG1006),$AC$1006:$AS$1006,0))&gt;=100000), " ",IF(INDEX($AC$2:$AS$1001,MATCH(ROWS($V$2:V457),$V$2:$V$1001,0),MATCH(COLUMNS($AC$1006:AG1006),$AC$1006:$AS$1006,0)), HYPERLINK("#",""), HYPERLINK(CONCATENATE("#Metadata!", ADDRESS(INDEX($X$2:$X$1001,MATCH(ROWS($V$2:V457),$V$2:$V$1001,0),0), INDEX($AC$1004:$AS$1004,1,MATCH(COLUMNS($AC$1006:AG1006),$AC$1006:$AS$1006,0)))),"Fix")))</f>
        <v>0</v>
      </c>
      <c r="G457" s="5">
        <f>IF(OR(INDEX($W$2:$W$1001,MATCH(ROWS($V$2:V457),$V$2:$V$1001,0),1)&gt;=100000,INDEX($AC$1005:$AS$1005,1,MATCH(COLUMNS($AC$1006:AH1006),$AC$1006:$AS$1006,0))&gt;=100000), " ",IF(INDEX($AC$2:$AS$1001,MATCH(ROWS($V$2:V457),$V$2:$V$1001,0),MATCH(COLUMNS($AC$1006:AH1006),$AC$1006:$AS$1006,0)), HYPERLINK("#",""), HYPERLINK(CONCATENATE("#Metadata!", ADDRESS(INDEX($X$2:$X$1001,MATCH(ROWS($V$2:V457),$V$2:$V$1001,0),0), INDEX($AC$1004:$AS$1004,1,MATCH(COLUMNS($AC$1006:AH1006),$AC$1006:$AS$1006,0)))),"Fix")))</f>
        <v>0</v>
      </c>
      <c r="H457" s="5">
        <f>IF(OR(INDEX($W$2:$W$1001,MATCH(ROWS($V$2:V457),$V$2:$V$1001,0),1)&gt;=100000,INDEX($AC$1005:$AS$1005,1,MATCH(COLUMNS($AC$1006:AI1006),$AC$1006:$AS$1006,0))&gt;=100000), " ",IF(INDEX($AC$2:$AS$1001,MATCH(ROWS($V$2:V457),$V$2:$V$1001,0),MATCH(COLUMNS($AC$1006:AI1006),$AC$1006:$AS$1006,0)), HYPERLINK("#",""), HYPERLINK(CONCATENATE("#Metadata!", ADDRESS(INDEX($X$2:$X$1001,MATCH(ROWS($V$2:V457),$V$2:$V$1001,0),0), INDEX($AC$1004:$AS$1004,1,MATCH(COLUMNS($AC$1006:AI1006),$AC$1006:$AS$1006,0)))),"Fix")))</f>
        <v>0</v>
      </c>
      <c r="I457" s="5">
        <f>IF(OR(INDEX($W$2:$W$1001,MATCH(ROWS($V$2:V457),$V$2:$V$1001,0),1)&gt;=100000,INDEX($AC$1005:$AS$1005,1,MATCH(COLUMNS($AC$1006:AJ1006),$AC$1006:$AS$1006,0))&gt;=100000), " ",IF(INDEX($AC$2:$AS$1001,MATCH(ROWS($V$2:V457),$V$2:$V$1001,0),MATCH(COLUMNS($AC$1006:AJ1006),$AC$1006:$AS$1006,0)), HYPERLINK("#",""), HYPERLINK(CONCATENATE("#Metadata!", ADDRESS(INDEX($X$2:$X$1001,MATCH(ROWS($V$2:V457),$V$2:$V$1001,0),0), INDEX($AC$1004:$AS$1004,1,MATCH(COLUMNS($AC$1006:AJ1006),$AC$1006:$AS$1006,0)))),"Fix")))</f>
        <v>0</v>
      </c>
      <c r="J457" s="5">
        <f>IF(OR(INDEX($W$2:$W$1001,MATCH(ROWS($V$2:V457),$V$2:$V$1001,0),1)&gt;=100000,INDEX($AC$1005:$AS$1005,1,MATCH(COLUMNS($AC$1006:AK1006),$AC$1006:$AS$1006,0))&gt;=100000), " ",IF(INDEX($AC$2:$AS$1001,MATCH(ROWS($V$2:V457),$V$2:$V$1001,0),MATCH(COLUMNS($AC$1006:AK1006),$AC$1006:$AS$1006,0)), HYPERLINK("#",""), HYPERLINK(CONCATENATE("#Metadata!", ADDRESS(INDEX($X$2:$X$1001,MATCH(ROWS($V$2:V457),$V$2:$V$1001,0),0), INDEX($AC$1004:$AS$1004,1,MATCH(COLUMNS($AC$1006:AK1006),$AC$1006:$AS$1006,0)))),"Fix")))</f>
        <v>0</v>
      </c>
      <c r="K457" s="5">
        <f>IF(OR(INDEX($W$2:$W$1001,MATCH(ROWS($V$2:V457),$V$2:$V$1001,0),1)&gt;=100000,INDEX($AC$1005:$AS$1005,1,MATCH(COLUMNS($AC$1006:AL1006),$AC$1006:$AS$1006,0))&gt;=100000), " ",IF(INDEX($AC$2:$AS$1001,MATCH(ROWS($V$2:V457),$V$2:$V$1001,0),MATCH(COLUMNS($AC$1006:AL1006),$AC$1006:$AS$1006,0)), HYPERLINK("#",""), HYPERLINK(CONCATENATE("#Metadata!", ADDRESS(INDEX($X$2:$X$1001,MATCH(ROWS($V$2:V457),$V$2:$V$1001,0),0), INDEX($AC$1004:$AS$1004,1,MATCH(COLUMNS($AC$1006:AL1006),$AC$1006:$AS$1006,0)))),"Fix")))</f>
        <v>0</v>
      </c>
      <c r="L457" s="5">
        <f>IF(OR(INDEX($W$2:$W$1001,MATCH(ROWS($V$2:V457),$V$2:$V$1001,0),1)&gt;=100000,INDEX($AC$1005:$AS$1005,1,MATCH(COLUMNS($AC$1006:AM1006),$AC$1006:$AS$1006,0))&gt;=100000), " ",IF(INDEX($AC$2:$AS$1001,MATCH(ROWS($V$2:V457),$V$2:$V$1001,0),MATCH(COLUMNS($AC$1006:AM1006),$AC$1006:$AS$1006,0)), HYPERLINK("#",""), HYPERLINK(CONCATENATE("#Metadata!", ADDRESS(INDEX($X$2:$X$1001,MATCH(ROWS($V$2:V457),$V$2:$V$1001,0),0), INDEX($AC$1004:$AS$1004,1,MATCH(COLUMNS($AC$1006:AM1006),$AC$1006:$AS$1006,0)))),"Fix")))</f>
        <v>0</v>
      </c>
      <c r="M457" s="5">
        <f>IF(OR(INDEX($W$2:$W$1001,MATCH(ROWS($V$2:V457),$V$2:$V$1001,0),1)&gt;=100000,INDEX($AC$1005:$AS$1005,1,MATCH(COLUMNS($AC$1006:AN1006),$AC$1006:$AS$1006,0))&gt;=100000), " ",IF(INDEX($AC$2:$AS$1001,MATCH(ROWS($V$2:V457),$V$2:$V$1001,0),MATCH(COLUMNS($AC$1006:AN1006),$AC$1006:$AS$1006,0)), HYPERLINK("#",""), HYPERLINK(CONCATENATE("#Metadata!", ADDRESS(INDEX($X$2:$X$1001,MATCH(ROWS($V$2:V457),$V$2:$V$1001,0),0), INDEX($AC$1004:$AS$1004,1,MATCH(COLUMNS($AC$1006:AN1006),$AC$1006:$AS$1006,0)))),"Fix")))</f>
        <v>0</v>
      </c>
      <c r="N457" s="5">
        <f>IF(OR(INDEX($W$2:$W$1001,MATCH(ROWS($V$2:V457),$V$2:$V$1001,0),1)&gt;=100000,INDEX($AC$1005:$AS$1005,1,MATCH(COLUMNS($AC$1006:AO1006),$AC$1006:$AS$1006,0))&gt;=100000), " ",IF(INDEX($AC$2:$AS$1001,MATCH(ROWS($V$2:V457),$V$2:$V$1001,0),MATCH(COLUMNS($AC$1006:AO1006),$AC$1006:$AS$1006,0)), HYPERLINK("#",""), HYPERLINK(CONCATENATE("#Metadata!", ADDRESS(INDEX($X$2:$X$1001,MATCH(ROWS($V$2:V457),$V$2:$V$1001,0),0), INDEX($AC$1004:$AS$1004,1,MATCH(COLUMNS($AC$1006:AO1006),$AC$1006:$AS$1006,0)))),"Fix")))</f>
        <v>0</v>
      </c>
      <c r="O457" s="5">
        <f>IF(OR(INDEX($W$2:$W$1001,MATCH(ROWS($V$2:V457),$V$2:$V$1001,0),1)&gt;=100000,INDEX($AC$1005:$AS$1005,1,MATCH(COLUMNS($AC$1006:AP1006),$AC$1006:$AS$1006,0))&gt;=100000), " ",IF(INDEX($AC$2:$AS$1001,MATCH(ROWS($V$2:V457),$V$2:$V$1001,0),MATCH(COLUMNS($AC$1006:AP1006),$AC$1006:$AS$1006,0)), HYPERLINK("#",""), HYPERLINK(CONCATENATE("#Metadata!", ADDRESS(INDEX($X$2:$X$1001,MATCH(ROWS($V$2:V457),$V$2:$V$1001,0),0), INDEX($AC$1004:$AS$1004,1,MATCH(COLUMNS($AC$1006:AP1006),$AC$1006:$AS$1006,0)))),"Fix")))</f>
        <v>0</v>
      </c>
      <c r="P457" s="5">
        <f>IF(OR(INDEX($W$2:$W$1001,MATCH(ROWS($V$2:V457),$V$2:$V$1001,0),1)&gt;=100000,INDEX($AC$1005:$AS$1005,1,MATCH(COLUMNS($AC$1006:AQ1006),$AC$1006:$AS$1006,0))&gt;=100000), " ",IF(INDEX($AC$2:$AS$1001,MATCH(ROWS($V$2:V457),$V$2:$V$1001,0),MATCH(COLUMNS($AC$1006:AQ1006),$AC$1006:$AS$1006,0)), HYPERLINK("#",""), HYPERLINK(CONCATENATE("#Metadata!", ADDRESS(INDEX($X$2:$X$1001,MATCH(ROWS($V$2:V457),$V$2:$V$1001,0),0), INDEX($AC$1004:$AS$1004,1,MATCH(COLUMNS($AC$1006:AQ1006),$AC$1006:$AS$1006,0)))),"Fix")))</f>
        <v>0</v>
      </c>
      <c r="Q457" s="5">
        <f>IF(OR(INDEX($W$2:$W$1001,MATCH(ROWS($V$2:V457),$V$2:$V$1001,0),1)&gt;=100000,INDEX($AC$1005:$AS$1005,1,MATCH(COLUMNS($AC$1006:AR1006),$AC$1006:$AS$1006,0))&gt;=100000), " ",IF(INDEX($AC$2:$AS$1001,MATCH(ROWS($V$2:V457),$V$2:$V$1001,0),MATCH(COLUMNS($AC$1006:AR1006),$AC$1006:$AS$1006,0)), HYPERLINK("#",""), HYPERLINK(CONCATENATE("#Metadata!", ADDRESS(INDEX($X$2:$X$1001,MATCH(ROWS($V$2:V457),$V$2:$V$1001,0),0), INDEX($AC$1004:$AS$1004,1,MATCH(COLUMNS($AC$1006:AR1006),$AC$1006:$AS$1006,0)))),"Fix")))</f>
        <v>0</v>
      </c>
      <c r="R457" s="5">
        <f>IF(OR(INDEX($W$2:$W$1001,MATCH(ROWS($V$2:V457),$V$2:$V$1001,0),1)&gt;=100000,INDEX($AC$1005:$AS$1005,1,MATCH(COLUMNS($AC$1006:AS1006),$AC$1006:$AS$1006,0))&gt;=100000), " ",IF(INDEX($AC$2:$AS$1001,MATCH(ROWS($V$2:V457),$V$2:$V$1001,0),MATCH(COLUMNS($AC$1006:AS1006),$AC$1006:$AS$1006,0)), HYPERLINK("#",""), HYPERLINK(CONCATENATE("#Metadata!", ADDRESS(INDEX($X$2:$X$1001,MATCH(ROWS($V$2:V457),$V$2:$V$1001,0),0), INDEX($AC$1004:$AS$1004,1,MATCH(COLUMNS($AC$1006:AS1006),$AC$1006:$AS$1006,0)))),"Fix")))</f>
        <v>0</v>
      </c>
      <c r="V457">
        <v>0</v>
      </c>
      <c r="W457">
        <v>0</v>
      </c>
      <c r="X457">
        <v>0</v>
      </c>
      <c r="Y457">
        <f>IF(Z457,TRUE,AND(AC457:AS457))</f>
        <v>0</v>
      </c>
      <c r="Z457">
        <f>COUNTBLANK(Metadata!B457:R457)=COLUMNS(Metadata!B457:R457)</f>
        <v>0</v>
      </c>
      <c r="AA457">
        <v>0</v>
      </c>
      <c r="AC457">
        <f>AND(IF(Metadata!B457="",FALSE,TRUE),COUNTIF(Metadata!B:B, Metadata!B457) = 1,NOT(ISERROR(SUMPRODUCT(SEARCH(MID(Metadata!B457,ROW(INDIRECT("1:"&amp;LEN(Metadata!B457))), 1),"0123456789abcdefghijklmnopqrstuvwxyzABCDEFGHIJKLMNOPQRSTUVWXYZ.")))))</f>
        <v>0</v>
      </c>
      <c r="AD457">
        <f>AND(IF(Metadata!C457="",FALSE,TRUE),exact(Metadata!C457,"Host-associated"))</f>
        <v>0</v>
      </c>
      <c r="AE457">
        <f>AND(IF(Metadata!D457="",FALSE,TRUE),OR(exact(Metadata!D457,"Animal"),exact(Metadata!D457,"Fungus"),exact(Metadata!D457,"Plant")))</f>
        <v>0</v>
      </c>
      <c r="AF457">
        <f>AND(IF(Metadata!E457="",FALSE,TRUE),OR(exact(Metadata!E457,"Plant secretion"),exact(Metadata!E457,"Plant rhizosphere"),exact(Metadata!E457,"Plant surface"),exact(Metadata!E457,"Plant corpus"),exact(Metadata!E457,"Fungus surface"),exact(Metadata!E457,"Fungus corpus"),exact(Metadata!E457,"Animal surface"),exact(Metadata!E457,"Animal proximal gut"),exact(Metadata!E457,"Animal corpus"),exact(Metadata!E457,"Animal distal gut"),exact(Metadata!E457,"Animal secretion")))</f>
        <v>0</v>
      </c>
      <c r="AG457">
        <f>OR(AND(IF(Metadata!F457="",FALSE,TRUE),OR(exact(Metadata!F457,"not collected"),exact(Metadata!F457,"not provided"),exact(Metadata!F457,"restricted access"))),AND(IF(Metadata!F457="",FALSE,TRUE),OR(exact(Metadata!F457,"organism-associated habitat"),exact(Metadata!F457,"plant-associated habitat"),exact(Metadata!F457,"animal-associated habitat"),exact(Metadata!F457,"insecta-associated habitat"),exact(Metadata!F457,"mammalia-associated habitat"),exact(Metadata!F457,"human-associated habitat"),exact(Metadata!F457,"livestock-associated habitat"))))</f>
        <v>0</v>
      </c>
      <c r="AH457">
        <f>AND(IF(Metadata!G457="",FALSE,TRUE),exact(Metadata!G457,"host-associated"))</f>
        <v>0</v>
      </c>
      <c r="AI457">
        <f>OR(AND(IF(Metadata!H457="",FALSE,TRUE),OR(exact(Metadata!H457,"not collected"),exact(Metadata!H457,"not provided"))),AND(IF(Metadata!H457="",FALSE,ISNUMBER(VALUE(Metadata!H457))),Metadata!H457&gt;0))</f>
        <v>0</v>
      </c>
      <c r="AJ457">
        <f>AND(IF(Metadata!I457="",FALSE,TRUE),exact(Metadata!I457,"years"))</f>
        <v>0</v>
      </c>
      <c r="AK457">
        <f>IF(Metadata!J457="",FALSE,TRUE)</f>
        <v>0</v>
      </c>
      <c r="AL457">
        <f>OR(AND(IF(Metadata!K457="",FALSE,TRUE),OR(exact(Metadata!K457,"not collected"),exact(Metadata!K457,"not provided"))),AND(IF(Metadata!K457="",FALSE,ISNUMBER(VALUE(Metadata!K457))),Metadata!K457&gt;0))</f>
        <v>0</v>
      </c>
      <c r="AM457">
        <f>AND(IF(Metadata!L457="",FALSE,TRUE),exact(Metadata!L457,"cm"))</f>
        <v>0</v>
      </c>
      <c r="AN457">
        <f>IF(Metadata!M457="",FALSE,TRUE)</f>
        <v>0</v>
      </c>
      <c r="AO457">
        <f>OR(AND(IF(Metadata!N457="",FALSE,TRUE),OR(exact(Metadata!N457,"not applicable"),exact(Metadata!N457,"not collected"),exact(Metadata!N457,"not provided"))),AND(IF(Metadata!N457="",FALSE,IF(ISERROR(INT(Metadata!N457)),FALSE,INT(Metadata!N457)=Metadata!N457)),Metadata!N457&gt;0))</f>
        <v>0</v>
      </c>
      <c r="AP457">
        <f>OR(AND(IF(Metadata!O457="",FALSE,TRUE),OR(exact(Metadata!O457,"not collected"),exact(Metadata!O457,"not provided"))),AND(IF(Metadata!O457="",FALSE,ISNUMBER(VALUE(Metadata!O457))),Metadata!O457&gt;0))</f>
        <v>0</v>
      </c>
      <c r="AQ457">
        <f>AND(IF(Metadata!P457="",FALSE,TRUE),exact(Metadata!P457,"kg"))</f>
        <v>0</v>
      </c>
      <c r="AR457">
        <f>OR(AND(IF(Metadata!Q457="",FALSE,TRUE),OR(exact(Metadata!Q457,"not applicable"),exact(Metadata!Q457,"not collected"),exact(Metadata!Q457,"not provided"),exact(Metadata!Q457,"restricted access"))),IF(Metadata!Q457="",FALSE,IF(ISERROR(INT(Metadata!Q457)),FALSE,INT(Metadata!Q457)=Metadata!Q457)))</f>
        <v>0</v>
      </c>
      <c r="AS457">
        <f>AND(IF(Metadata!R457="",FALSE,TRUE),exact(Metadata!R457,"Not applicable"))</f>
        <v>0</v>
      </c>
    </row>
    <row r="458" spans="1:45">
      <c r="A458" s="4">
        <f>IF(B458=" "," ",HYPERLINK(CONCATENATE("#metadata!",ADDRESS(INDEX($X$2:$X$1001,MATCH(ROWS($V$2:V458),$V$2:$V$1001,0),0),2)),INDEX($AA$2:$AA$1001,MATCH(ROWS($V$2:V458),$V$2:$V$1001,0),0)))</f>
        <v>0</v>
      </c>
      <c r="B458" s="5">
        <f>IF(OR(INDEX($W$2:$W$1001,MATCH(ROWS($V$2:V458),$V$2:$V$1001,0),1)&gt;=100000,INDEX($AC$1005:$AS$1005,1,MATCH(COLUMNS($AC$1006:AC1006),$AC$1006:$AS$1006,0))&gt;=100000), " ",IF(INDEX($AC$2:$AS$1001,MATCH(ROWS($V$2:V458),$V$2:$V$1001,0),MATCH(COLUMNS($AC$1006:AC1006),$AC$1006:$AS$1006,0)), HYPERLINK("#",""), HYPERLINK(CONCATENATE("#Metadata!", ADDRESS(INDEX($X$2:$X$1001,MATCH(ROWS($V$2:V458),$V$2:$V$1001,0),0), INDEX($AC$1004:$AS$1004,1,MATCH(COLUMNS($AC$1006:AC1006),$AC$1006:$AS$1006,0)))),"Fix")))</f>
        <v>0</v>
      </c>
      <c r="C458" s="5">
        <f>IF(OR(INDEX($W$2:$W$1001,MATCH(ROWS($V$2:V458),$V$2:$V$1001,0),1)&gt;=100000,INDEX($AC$1005:$AS$1005,1,MATCH(COLUMNS($AC$1006:AD1006),$AC$1006:$AS$1006,0))&gt;=100000), " ",IF(INDEX($AC$2:$AS$1001,MATCH(ROWS($V$2:V458),$V$2:$V$1001,0),MATCH(COLUMNS($AC$1006:AD1006),$AC$1006:$AS$1006,0)), HYPERLINK("#",""), HYPERLINK(CONCATENATE("#Metadata!", ADDRESS(INDEX($X$2:$X$1001,MATCH(ROWS($V$2:V458),$V$2:$V$1001,0),0), INDEX($AC$1004:$AS$1004,1,MATCH(COLUMNS($AC$1006:AD1006),$AC$1006:$AS$1006,0)))),"Fix")))</f>
        <v>0</v>
      </c>
      <c r="D458" s="5">
        <f>IF(OR(INDEX($W$2:$W$1001,MATCH(ROWS($V$2:V458),$V$2:$V$1001,0),1)&gt;=100000,INDEX($AC$1005:$AS$1005,1,MATCH(COLUMNS($AC$1006:AE1006),$AC$1006:$AS$1006,0))&gt;=100000), " ",IF(INDEX($AC$2:$AS$1001,MATCH(ROWS($V$2:V458),$V$2:$V$1001,0),MATCH(COLUMNS($AC$1006:AE1006),$AC$1006:$AS$1006,0)), HYPERLINK("#",""), HYPERLINK(CONCATENATE("#Metadata!", ADDRESS(INDEX($X$2:$X$1001,MATCH(ROWS($V$2:V458),$V$2:$V$1001,0),0), INDEX($AC$1004:$AS$1004,1,MATCH(COLUMNS($AC$1006:AE1006),$AC$1006:$AS$1006,0)))),"Fix")))</f>
        <v>0</v>
      </c>
      <c r="E458" s="5">
        <f>IF(OR(INDEX($W$2:$W$1001,MATCH(ROWS($V$2:V458),$V$2:$V$1001,0),1)&gt;=100000,INDEX($AC$1005:$AS$1005,1,MATCH(COLUMNS($AC$1006:AF1006),$AC$1006:$AS$1006,0))&gt;=100000), " ",IF(INDEX($AC$2:$AS$1001,MATCH(ROWS($V$2:V458),$V$2:$V$1001,0),MATCH(COLUMNS($AC$1006:AF1006),$AC$1006:$AS$1006,0)), HYPERLINK("#",""), HYPERLINK(CONCATENATE("#Metadata!", ADDRESS(INDEX($X$2:$X$1001,MATCH(ROWS($V$2:V458),$V$2:$V$1001,0),0), INDEX($AC$1004:$AS$1004,1,MATCH(COLUMNS($AC$1006:AF1006),$AC$1006:$AS$1006,0)))),"Fix")))</f>
        <v>0</v>
      </c>
      <c r="F458" s="5">
        <f>IF(OR(INDEX($W$2:$W$1001,MATCH(ROWS($V$2:V458),$V$2:$V$1001,0),1)&gt;=100000,INDEX($AC$1005:$AS$1005,1,MATCH(COLUMNS($AC$1006:AG1006),$AC$1006:$AS$1006,0))&gt;=100000), " ",IF(INDEX($AC$2:$AS$1001,MATCH(ROWS($V$2:V458),$V$2:$V$1001,0),MATCH(COLUMNS($AC$1006:AG1006),$AC$1006:$AS$1006,0)), HYPERLINK("#",""), HYPERLINK(CONCATENATE("#Metadata!", ADDRESS(INDEX($X$2:$X$1001,MATCH(ROWS($V$2:V458),$V$2:$V$1001,0),0), INDEX($AC$1004:$AS$1004,1,MATCH(COLUMNS($AC$1006:AG1006),$AC$1006:$AS$1006,0)))),"Fix")))</f>
        <v>0</v>
      </c>
      <c r="G458" s="5">
        <f>IF(OR(INDEX($W$2:$W$1001,MATCH(ROWS($V$2:V458),$V$2:$V$1001,0),1)&gt;=100000,INDEX($AC$1005:$AS$1005,1,MATCH(COLUMNS($AC$1006:AH1006),$AC$1006:$AS$1006,0))&gt;=100000), " ",IF(INDEX($AC$2:$AS$1001,MATCH(ROWS($V$2:V458),$V$2:$V$1001,0),MATCH(COLUMNS($AC$1006:AH1006),$AC$1006:$AS$1006,0)), HYPERLINK("#",""), HYPERLINK(CONCATENATE("#Metadata!", ADDRESS(INDEX($X$2:$X$1001,MATCH(ROWS($V$2:V458),$V$2:$V$1001,0),0), INDEX($AC$1004:$AS$1004,1,MATCH(COLUMNS($AC$1006:AH1006),$AC$1006:$AS$1006,0)))),"Fix")))</f>
        <v>0</v>
      </c>
      <c r="H458" s="5">
        <f>IF(OR(INDEX($W$2:$W$1001,MATCH(ROWS($V$2:V458),$V$2:$V$1001,0),1)&gt;=100000,INDEX($AC$1005:$AS$1005,1,MATCH(COLUMNS($AC$1006:AI1006),$AC$1006:$AS$1006,0))&gt;=100000), " ",IF(INDEX($AC$2:$AS$1001,MATCH(ROWS($V$2:V458),$V$2:$V$1001,0),MATCH(COLUMNS($AC$1006:AI1006),$AC$1006:$AS$1006,0)), HYPERLINK("#",""), HYPERLINK(CONCATENATE("#Metadata!", ADDRESS(INDEX($X$2:$X$1001,MATCH(ROWS($V$2:V458),$V$2:$V$1001,0),0), INDEX($AC$1004:$AS$1004,1,MATCH(COLUMNS($AC$1006:AI1006),$AC$1006:$AS$1006,0)))),"Fix")))</f>
        <v>0</v>
      </c>
      <c r="I458" s="5">
        <f>IF(OR(INDEX($W$2:$W$1001,MATCH(ROWS($V$2:V458),$V$2:$V$1001,0),1)&gt;=100000,INDEX($AC$1005:$AS$1005,1,MATCH(COLUMNS($AC$1006:AJ1006),$AC$1006:$AS$1006,0))&gt;=100000), " ",IF(INDEX($AC$2:$AS$1001,MATCH(ROWS($V$2:V458),$V$2:$V$1001,0),MATCH(COLUMNS($AC$1006:AJ1006),$AC$1006:$AS$1006,0)), HYPERLINK("#",""), HYPERLINK(CONCATENATE("#Metadata!", ADDRESS(INDEX($X$2:$X$1001,MATCH(ROWS($V$2:V458),$V$2:$V$1001,0),0), INDEX($AC$1004:$AS$1004,1,MATCH(COLUMNS($AC$1006:AJ1006),$AC$1006:$AS$1006,0)))),"Fix")))</f>
        <v>0</v>
      </c>
      <c r="J458" s="5">
        <f>IF(OR(INDEX($W$2:$W$1001,MATCH(ROWS($V$2:V458),$V$2:$V$1001,0),1)&gt;=100000,INDEX($AC$1005:$AS$1005,1,MATCH(COLUMNS($AC$1006:AK1006),$AC$1006:$AS$1006,0))&gt;=100000), " ",IF(INDEX($AC$2:$AS$1001,MATCH(ROWS($V$2:V458),$V$2:$V$1001,0),MATCH(COLUMNS($AC$1006:AK1006),$AC$1006:$AS$1006,0)), HYPERLINK("#",""), HYPERLINK(CONCATENATE("#Metadata!", ADDRESS(INDEX($X$2:$X$1001,MATCH(ROWS($V$2:V458),$V$2:$V$1001,0),0), INDEX($AC$1004:$AS$1004,1,MATCH(COLUMNS($AC$1006:AK1006),$AC$1006:$AS$1006,0)))),"Fix")))</f>
        <v>0</v>
      </c>
      <c r="K458" s="5">
        <f>IF(OR(INDEX($W$2:$W$1001,MATCH(ROWS($V$2:V458),$V$2:$V$1001,0),1)&gt;=100000,INDEX($AC$1005:$AS$1005,1,MATCH(COLUMNS($AC$1006:AL1006),$AC$1006:$AS$1006,0))&gt;=100000), " ",IF(INDEX($AC$2:$AS$1001,MATCH(ROWS($V$2:V458),$V$2:$V$1001,0),MATCH(COLUMNS($AC$1006:AL1006),$AC$1006:$AS$1006,0)), HYPERLINK("#",""), HYPERLINK(CONCATENATE("#Metadata!", ADDRESS(INDEX($X$2:$X$1001,MATCH(ROWS($V$2:V458),$V$2:$V$1001,0),0), INDEX($AC$1004:$AS$1004,1,MATCH(COLUMNS($AC$1006:AL1006),$AC$1006:$AS$1006,0)))),"Fix")))</f>
        <v>0</v>
      </c>
      <c r="L458" s="5">
        <f>IF(OR(INDEX($W$2:$W$1001,MATCH(ROWS($V$2:V458),$V$2:$V$1001,0),1)&gt;=100000,INDEX($AC$1005:$AS$1005,1,MATCH(COLUMNS($AC$1006:AM1006),$AC$1006:$AS$1006,0))&gt;=100000), " ",IF(INDEX($AC$2:$AS$1001,MATCH(ROWS($V$2:V458),$V$2:$V$1001,0),MATCH(COLUMNS($AC$1006:AM1006),$AC$1006:$AS$1006,0)), HYPERLINK("#",""), HYPERLINK(CONCATENATE("#Metadata!", ADDRESS(INDEX($X$2:$X$1001,MATCH(ROWS($V$2:V458),$V$2:$V$1001,0),0), INDEX($AC$1004:$AS$1004,1,MATCH(COLUMNS($AC$1006:AM1006),$AC$1006:$AS$1006,0)))),"Fix")))</f>
        <v>0</v>
      </c>
      <c r="M458" s="5">
        <f>IF(OR(INDEX($W$2:$W$1001,MATCH(ROWS($V$2:V458),$V$2:$V$1001,0),1)&gt;=100000,INDEX($AC$1005:$AS$1005,1,MATCH(COLUMNS($AC$1006:AN1006),$AC$1006:$AS$1006,0))&gt;=100000), " ",IF(INDEX($AC$2:$AS$1001,MATCH(ROWS($V$2:V458),$V$2:$V$1001,0),MATCH(COLUMNS($AC$1006:AN1006),$AC$1006:$AS$1006,0)), HYPERLINK("#",""), HYPERLINK(CONCATENATE("#Metadata!", ADDRESS(INDEX($X$2:$X$1001,MATCH(ROWS($V$2:V458),$V$2:$V$1001,0),0), INDEX($AC$1004:$AS$1004,1,MATCH(COLUMNS($AC$1006:AN1006),$AC$1006:$AS$1006,0)))),"Fix")))</f>
        <v>0</v>
      </c>
      <c r="N458" s="5">
        <f>IF(OR(INDEX($W$2:$W$1001,MATCH(ROWS($V$2:V458),$V$2:$V$1001,0),1)&gt;=100000,INDEX($AC$1005:$AS$1005,1,MATCH(COLUMNS($AC$1006:AO1006),$AC$1006:$AS$1006,0))&gt;=100000), " ",IF(INDEX($AC$2:$AS$1001,MATCH(ROWS($V$2:V458),$V$2:$V$1001,0),MATCH(COLUMNS($AC$1006:AO1006),$AC$1006:$AS$1006,0)), HYPERLINK("#",""), HYPERLINK(CONCATENATE("#Metadata!", ADDRESS(INDEX($X$2:$X$1001,MATCH(ROWS($V$2:V458),$V$2:$V$1001,0),0), INDEX($AC$1004:$AS$1004,1,MATCH(COLUMNS($AC$1006:AO1006),$AC$1006:$AS$1006,0)))),"Fix")))</f>
        <v>0</v>
      </c>
      <c r="O458" s="5">
        <f>IF(OR(INDEX($W$2:$W$1001,MATCH(ROWS($V$2:V458),$V$2:$V$1001,0),1)&gt;=100000,INDEX($AC$1005:$AS$1005,1,MATCH(COLUMNS($AC$1006:AP1006),$AC$1006:$AS$1006,0))&gt;=100000), " ",IF(INDEX($AC$2:$AS$1001,MATCH(ROWS($V$2:V458),$V$2:$V$1001,0),MATCH(COLUMNS($AC$1006:AP1006),$AC$1006:$AS$1006,0)), HYPERLINK("#",""), HYPERLINK(CONCATENATE("#Metadata!", ADDRESS(INDEX($X$2:$X$1001,MATCH(ROWS($V$2:V458),$V$2:$V$1001,0),0), INDEX($AC$1004:$AS$1004,1,MATCH(COLUMNS($AC$1006:AP1006),$AC$1006:$AS$1006,0)))),"Fix")))</f>
        <v>0</v>
      </c>
      <c r="P458" s="5">
        <f>IF(OR(INDEX($W$2:$W$1001,MATCH(ROWS($V$2:V458),$V$2:$V$1001,0),1)&gt;=100000,INDEX($AC$1005:$AS$1005,1,MATCH(COLUMNS($AC$1006:AQ1006),$AC$1006:$AS$1006,0))&gt;=100000), " ",IF(INDEX($AC$2:$AS$1001,MATCH(ROWS($V$2:V458),$V$2:$V$1001,0),MATCH(COLUMNS($AC$1006:AQ1006),$AC$1006:$AS$1006,0)), HYPERLINK("#",""), HYPERLINK(CONCATENATE("#Metadata!", ADDRESS(INDEX($X$2:$X$1001,MATCH(ROWS($V$2:V458),$V$2:$V$1001,0),0), INDEX($AC$1004:$AS$1004,1,MATCH(COLUMNS($AC$1006:AQ1006),$AC$1006:$AS$1006,0)))),"Fix")))</f>
        <v>0</v>
      </c>
      <c r="Q458" s="5">
        <f>IF(OR(INDEX($W$2:$W$1001,MATCH(ROWS($V$2:V458),$V$2:$V$1001,0),1)&gt;=100000,INDEX($AC$1005:$AS$1005,1,MATCH(COLUMNS($AC$1006:AR1006),$AC$1006:$AS$1006,0))&gt;=100000), " ",IF(INDEX($AC$2:$AS$1001,MATCH(ROWS($V$2:V458),$V$2:$V$1001,0),MATCH(COLUMNS($AC$1006:AR1006),$AC$1006:$AS$1006,0)), HYPERLINK("#",""), HYPERLINK(CONCATENATE("#Metadata!", ADDRESS(INDEX($X$2:$X$1001,MATCH(ROWS($V$2:V458),$V$2:$V$1001,0),0), INDEX($AC$1004:$AS$1004,1,MATCH(COLUMNS($AC$1006:AR1006),$AC$1006:$AS$1006,0)))),"Fix")))</f>
        <v>0</v>
      </c>
      <c r="R458" s="5">
        <f>IF(OR(INDEX($W$2:$W$1001,MATCH(ROWS($V$2:V458),$V$2:$V$1001,0),1)&gt;=100000,INDEX($AC$1005:$AS$1005,1,MATCH(COLUMNS($AC$1006:AS1006),$AC$1006:$AS$1006,0))&gt;=100000), " ",IF(INDEX($AC$2:$AS$1001,MATCH(ROWS($V$2:V458),$V$2:$V$1001,0),MATCH(COLUMNS($AC$1006:AS1006),$AC$1006:$AS$1006,0)), HYPERLINK("#",""), HYPERLINK(CONCATENATE("#Metadata!", ADDRESS(INDEX($X$2:$X$1001,MATCH(ROWS($V$2:V458),$V$2:$V$1001,0),0), INDEX($AC$1004:$AS$1004,1,MATCH(COLUMNS($AC$1006:AS1006),$AC$1006:$AS$1006,0)))),"Fix")))</f>
        <v>0</v>
      </c>
      <c r="V458">
        <v>0</v>
      </c>
      <c r="W458">
        <v>0</v>
      </c>
      <c r="X458">
        <v>0</v>
      </c>
      <c r="Y458">
        <f>IF(Z458,TRUE,AND(AC458:AS458))</f>
        <v>0</v>
      </c>
      <c r="Z458">
        <f>COUNTBLANK(Metadata!B458:R458)=COLUMNS(Metadata!B458:R458)</f>
        <v>0</v>
      </c>
      <c r="AA458">
        <v>0</v>
      </c>
      <c r="AC458">
        <f>AND(IF(Metadata!B458="",FALSE,TRUE),COUNTIF(Metadata!B:B, Metadata!B458) = 1,NOT(ISERROR(SUMPRODUCT(SEARCH(MID(Metadata!B458,ROW(INDIRECT("1:"&amp;LEN(Metadata!B458))), 1),"0123456789abcdefghijklmnopqrstuvwxyzABCDEFGHIJKLMNOPQRSTUVWXYZ.")))))</f>
        <v>0</v>
      </c>
      <c r="AD458">
        <f>AND(IF(Metadata!C458="",FALSE,TRUE),exact(Metadata!C458,"Host-associated"))</f>
        <v>0</v>
      </c>
      <c r="AE458">
        <f>AND(IF(Metadata!D458="",FALSE,TRUE),OR(exact(Metadata!D458,"Animal"),exact(Metadata!D458,"Fungus"),exact(Metadata!D458,"Plant")))</f>
        <v>0</v>
      </c>
      <c r="AF458">
        <f>AND(IF(Metadata!E458="",FALSE,TRUE),OR(exact(Metadata!E458,"Plant secretion"),exact(Metadata!E458,"Plant rhizosphere"),exact(Metadata!E458,"Plant surface"),exact(Metadata!E458,"Plant corpus"),exact(Metadata!E458,"Fungus surface"),exact(Metadata!E458,"Fungus corpus"),exact(Metadata!E458,"Animal surface"),exact(Metadata!E458,"Animal proximal gut"),exact(Metadata!E458,"Animal corpus"),exact(Metadata!E458,"Animal distal gut"),exact(Metadata!E458,"Animal secretion")))</f>
        <v>0</v>
      </c>
      <c r="AG458">
        <f>OR(AND(IF(Metadata!F458="",FALSE,TRUE),OR(exact(Metadata!F458,"not collected"),exact(Metadata!F458,"not provided"),exact(Metadata!F458,"restricted access"))),AND(IF(Metadata!F458="",FALSE,TRUE),OR(exact(Metadata!F458,"organism-associated habitat"),exact(Metadata!F458,"plant-associated habitat"),exact(Metadata!F458,"animal-associated habitat"),exact(Metadata!F458,"insecta-associated habitat"),exact(Metadata!F458,"mammalia-associated habitat"),exact(Metadata!F458,"human-associated habitat"),exact(Metadata!F458,"livestock-associated habitat"))))</f>
        <v>0</v>
      </c>
      <c r="AH458">
        <f>AND(IF(Metadata!G458="",FALSE,TRUE),exact(Metadata!G458,"host-associated"))</f>
        <v>0</v>
      </c>
      <c r="AI458">
        <f>OR(AND(IF(Metadata!H458="",FALSE,TRUE),OR(exact(Metadata!H458,"not collected"),exact(Metadata!H458,"not provided"))),AND(IF(Metadata!H458="",FALSE,ISNUMBER(VALUE(Metadata!H458))),Metadata!H458&gt;0))</f>
        <v>0</v>
      </c>
      <c r="AJ458">
        <f>AND(IF(Metadata!I458="",FALSE,TRUE),exact(Metadata!I458,"years"))</f>
        <v>0</v>
      </c>
      <c r="AK458">
        <f>IF(Metadata!J458="",FALSE,TRUE)</f>
        <v>0</v>
      </c>
      <c r="AL458">
        <f>OR(AND(IF(Metadata!K458="",FALSE,TRUE),OR(exact(Metadata!K458,"not collected"),exact(Metadata!K458,"not provided"))),AND(IF(Metadata!K458="",FALSE,ISNUMBER(VALUE(Metadata!K458))),Metadata!K458&gt;0))</f>
        <v>0</v>
      </c>
      <c r="AM458">
        <f>AND(IF(Metadata!L458="",FALSE,TRUE),exact(Metadata!L458,"cm"))</f>
        <v>0</v>
      </c>
      <c r="AN458">
        <f>IF(Metadata!M458="",FALSE,TRUE)</f>
        <v>0</v>
      </c>
      <c r="AO458">
        <f>OR(AND(IF(Metadata!N458="",FALSE,TRUE),OR(exact(Metadata!N458,"not applicable"),exact(Metadata!N458,"not collected"),exact(Metadata!N458,"not provided"))),AND(IF(Metadata!N458="",FALSE,IF(ISERROR(INT(Metadata!N458)),FALSE,INT(Metadata!N458)=Metadata!N458)),Metadata!N458&gt;0))</f>
        <v>0</v>
      </c>
      <c r="AP458">
        <f>OR(AND(IF(Metadata!O458="",FALSE,TRUE),OR(exact(Metadata!O458,"not collected"),exact(Metadata!O458,"not provided"))),AND(IF(Metadata!O458="",FALSE,ISNUMBER(VALUE(Metadata!O458))),Metadata!O458&gt;0))</f>
        <v>0</v>
      </c>
      <c r="AQ458">
        <f>AND(IF(Metadata!P458="",FALSE,TRUE),exact(Metadata!P458,"kg"))</f>
        <v>0</v>
      </c>
      <c r="AR458">
        <f>OR(AND(IF(Metadata!Q458="",FALSE,TRUE),OR(exact(Metadata!Q458,"not applicable"),exact(Metadata!Q458,"not collected"),exact(Metadata!Q458,"not provided"),exact(Metadata!Q458,"restricted access"))),IF(Metadata!Q458="",FALSE,IF(ISERROR(INT(Metadata!Q458)),FALSE,INT(Metadata!Q458)=Metadata!Q458)))</f>
        <v>0</v>
      </c>
      <c r="AS458">
        <f>AND(IF(Metadata!R458="",FALSE,TRUE),exact(Metadata!R458,"Not applicable"))</f>
        <v>0</v>
      </c>
    </row>
    <row r="459" spans="1:45">
      <c r="A459" s="4">
        <f>IF(B459=" "," ",HYPERLINK(CONCATENATE("#metadata!",ADDRESS(INDEX($X$2:$X$1001,MATCH(ROWS($V$2:V459),$V$2:$V$1001,0),0),2)),INDEX($AA$2:$AA$1001,MATCH(ROWS($V$2:V459),$V$2:$V$1001,0),0)))</f>
        <v>0</v>
      </c>
      <c r="B459" s="5">
        <f>IF(OR(INDEX($W$2:$W$1001,MATCH(ROWS($V$2:V459),$V$2:$V$1001,0),1)&gt;=100000,INDEX($AC$1005:$AS$1005,1,MATCH(COLUMNS($AC$1006:AC1006),$AC$1006:$AS$1006,0))&gt;=100000), " ",IF(INDEX($AC$2:$AS$1001,MATCH(ROWS($V$2:V459),$V$2:$V$1001,0),MATCH(COLUMNS($AC$1006:AC1006),$AC$1006:$AS$1006,0)), HYPERLINK("#",""), HYPERLINK(CONCATENATE("#Metadata!", ADDRESS(INDEX($X$2:$X$1001,MATCH(ROWS($V$2:V459),$V$2:$V$1001,0),0), INDEX($AC$1004:$AS$1004,1,MATCH(COLUMNS($AC$1006:AC1006),$AC$1006:$AS$1006,0)))),"Fix")))</f>
        <v>0</v>
      </c>
      <c r="C459" s="5">
        <f>IF(OR(INDEX($W$2:$W$1001,MATCH(ROWS($V$2:V459),$V$2:$V$1001,0),1)&gt;=100000,INDEX($AC$1005:$AS$1005,1,MATCH(COLUMNS($AC$1006:AD1006),$AC$1006:$AS$1006,0))&gt;=100000), " ",IF(INDEX($AC$2:$AS$1001,MATCH(ROWS($V$2:V459),$V$2:$V$1001,0),MATCH(COLUMNS($AC$1006:AD1006),$AC$1006:$AS$1006,0)), HYPERLINK("#",""), HYPERLINK(CONCATENATE("#Metadata!", ADDRESS(INDEX($X$2:$X$1001,MATCH(ROWS($V$2:V459),$V$2:$V$1001,0),0), INDEX($AC$1004:$AS$1004,1,MATCH(COLUMNS($AC$1006:AD1006),$AC$1006:$AS$1006,0)))),"Fix")))</f>
        <v>0</v>
      </c>
      <c r="D459" s="5">
        <f>IF(OR(INDEX($W$2:$W$1001,MATCH(ROWS($V$2:V459),$V$2:$V$1001,0),1)&gt;=100000,INDEX($AC$1005:$AS$1005,1,MATCH(COLUMNS($AC$1006:AE1006),$AC$1006:$AS$1006,0))&gt;=100000), " ",IF(INDEX($AC$2:$AS$1001,MATCH(ROWS($V$2:V459),$V$2:$V$1001,0),MATCH(COLUMNS($AC$1006:AE1006),$AC$1006:$AS$1006,0)), HYPERLINK("#",""), HYPERLINK(CONCATENATE("#Metadata!", ADDRESS(INDEX($X$2:$X$1001,MATCH(ROWS($V$2:V459),$V$2:$V$1001,0),0), INDEX($AC$1004:$AS$1004,1,MATCH(COLUMNS($AC$1006:AE1006),$AC$1006:$AS$1006,0)))),"Fix")))</f>
        <v>0</v>
      </c>
      <c r="E459" s="5">
        <f>IF(OR(INDEX($W$2:$W$1001,MATCH(ROWS($V$2:V459),$V$2:$V$1001,0),1)&gt;=100000,INDEX($AC$1005:$AS$1005,1,MATCH(COLUMNS($AC$1006:AF1006),$AC$1006:$AS$1006,0))&gt;=100000), " ",IF(INDEX($AC$2:$AS$1001,MATCH(ROWS($V$2:V459),$V$2:$V$1001,0),MATCH(COLUMNS($AC$1006:AF1006),$AC$1006:$AS$1006,0)), HYPERLINK("#",""), HYPERLINK(CONCATENATE("#Metadata!", ADDRESS(INDEX($X$2:$X$1001,MATCH(ROWS($V$2:V459),$V$2:$V$1001,0),0), INDEX($AC$1004:$AS$1004,1,MATCH(COLUMNS($AC$1006:AF1006),$AC$1006:$AS$1006,0)))),"Fix")))</f>
        <v>0</v>
      </c>
      <c r="F459" s="5">
        <f>IF(OR(INDEX($W$2:$W$1001,MATCH(ROWS($V$2:V459),$V$2:$V$1001,0),1)&gt;=100000,INDEX($AC$1005:$AS$1005,1,MATCH(COLUMNS($AC$1006:AG1006),$AC$1006:$AS$1006,0))&gt;=100000), " ",IF(INDEX($AC$2:$AS$1001,MATCH(ROWS($V$2:V459),$V$2:$V$1001,0),MATCH(COLUMNS($AC$1006:AG1006),$AC$1006:$AS$1006,0)), HYPERLINK("#",""), HYPERLINK(CONCATENATE("#Metadata!", ADDRESS(INDEX($X$2:$X$1001,MATCH(ROWS($V$2:V459),$V$2:$V$1001,0),0), INDEX($AC$1004:$AS$1004,1,MATCH(COLUMNS($AC$1006:AG1006),$AC$1006:$AS$1006,0)))),"Fix")))</f>
        <v>0</v>
      </c>
      <c r="G459" s="5">
        <f>IF(OR(INDEX($W$2:$W$1001,MATCH(ROWS($V$2:V459),$V$2:$V$1001,0),1)&gt;=100000,INDEX($AC$1005:$AS$1005,1,MATCH(COLUMNS($AC$1006:AH1006),$AC$1006:$AS$1006,0))&gt;=100000), " ",IF(INDEX($AC$2:$AS$1001,MATCH(ROWS($V$2:V459),$V$2:$V$1001,0),MATCH(COLUMNS($AC$1006:AH1006),$AC$1006:$AS$1006,0)), HYPERLINK("#",""), HYPERLINK(CONCATENATE("#Metadata!", ADDRESS(INDEX($X$2:$X$1001,MATCH(ROWS($V$2:V459),$V$2:$V$1001,0),0), INDEX($AC$1004:$AS$1004,1,MATCH(COLUMNS($AC$1006:AH1006),$AC$1006:$AS$1006,0)))),"Fix")))</f>
        <v>0</v>
      </c>
      <c r="H459" s="5">
        <f>IF(OR(INDEX($W$2:$W$1001,MATCH(ROWS($V$2:V459),$V$2:$V$1001,0),1)&gt;=100000,INDEX($AC$1005:$AS$1005,1,MATCH(COLUMNS($AC$1006:AI1006),$AC$1006:$AS$1006,0))&gt;=100000), " ",IF(INDEX($AC$2:$AS$1001,MATCH(ROWS($V$2:V459),$V$2:$V$1001,0),MATCH(COLUMNS($AC$1006:AI1006),$AC$1006:$AS$1006,0)), HYPERLINK("#",""), HYPERLINK(CONCATENATE("#Metadata!", ADDRESS(INDEX($X$2:$X$1001,MATCH(ROWS($V$2:V459),$V$2:$V$1001,0),0), INDEX($AC$1004:$AS$1004,1,MATCH(COLUMNS($AC$1006:AI1006),$AC$1006:$AS$1006,0)))),"Fix")))</f>
        <v>0</v>
      </c>
      <c r="I459" s="5">
        <f>IF(OR(INDEX($W$2:$W$1001,MATCH(ROWS($V$2:V459),$V$2:$V$1001,0),1)&gt;=100000,INDEX($AC$1005:$AS$1005,1,MATCH(COLUMNS($AC$1006:AJ1006),$AC$1006:$AS$1006,0))&gt;=100000), " ",IF(INDEX($AC$2:$AS$1001,MATCH(ROWS($V$2:V459),$V$2:$V$1001,0),MATCH(COLUMNS($AC$1006:AJ1006),$AC$1006:$AS$1006,0)), HYPERLINK("#",""), HYPERLINK(CONCATENATE("#Metadata!", ADDRESS(INDEX($X$2:$X$1001,MATCH(ROWS($V$2:V459),$V$2:$V$1001,0),0), INDEX($AC$1004:$AS$1004,1,MATCH(COLUMNS($AC$1006:AJ1006),$AC$1006:$AS$1006,0)))),"Fix")))</f>
        <v>0</v>
      </c>
      <c r="J459" s="5">
        <f>IF(OR(INDEX($W$2:$W$1001,MATCH(ROWS($V$2:V459),$V$2:$V$1001,0),1)&gt;=100000,INDEX($AC$1005:$AS$1005,1,MATCH(COLUMNS($AC$1006:AK1006),$AC$1006:$AS$1006,0))&gt;=100000), " ",IF(INDEX($AC$2:$AS$1001,MATCH(ROWS($V$2:V459),$V$2:$V$1001,0),MATCH(COLUMNS($AC$1006:AK1006),$AC$1006:$AS$1006,0)), HYPERLINK("#",""), HYPERLINK(CONCATENATE("#Metadata!", ADDRESS(INDEX($X$2:$X$1001,MATCH(ROWS($V$2:V459),$V$2:$V$1001,0),0), INDEX($AC$1004:$AS$1004,1,MATCH(COLUMNS($AC$1006:AK1006),$AC$1006:$AS$1006,0)))),"Fix")))</f>
        <v>0</v>
      </c>
      <c r="K459" s="5">
        <f>IF(OR(INDEX($W$2:$W$1001,MATCH(ROWS($V$2:V459),$V$2:$V$1001,0),1)&gt;=100000,INDEX($AC$1005:$AS$1005,1,MATCH(COLUMNS($AC$1006:AL1006),$AC$1006:$AS$1006,0))&gt;=100000), " ",IF(INDEX($AC$2:$AS$1001,MATCH(ROWS($V$2:V459),$V$2:$V$1001,0),MATCH(COLUMNS($AC$1006:AL1006),$AC$1006:$AS$1006,0)), HYPERLINK("#",""), HYPERLINK(CONCATENATE("#Metadata!", ADDRESS(INDEX($X$2:$X$1001,MATCH(ROWS($V$2:V459),$V$2:$V$1001,0),0), INDEX($AC$1004:$AS$1004,1,MATCH(COLUMNS($AC$1006:AL1006),$AC$1006:$AS$1006,0)))),"Fix")))</f>
        <v>0</v>
      </c>
      <c r="L459" s="5">
        <f>IF(OR(INDEX($W$2:$W$1001,MATCH(ROWS($V$2:V459),$V$2:$V$1001,0),1)&gt;=100000,INDEX($AC$1005:$AS$1005,1,MATCH(COLUMNS($AC$1006:AM1006),$AC$1006:$AS$1006,0))&gt;=100000), " ",IF(INDEX($AC$2:$AS$1001,MATCH(ROWS($V$2:V459),$V$2:$V$1001,0),MATCH(COLUMNS($AC$1006:AM1006),$AC$1006:$AS$1006,0)), HYPERLINK("#",""), HYPERLINK(CONCATENATE("#Metadata!", ADDRESS(INDEX($X$2:$X$1001,MATCH(ROWS($V$2:V459),$V$2:$V$1001,0),0), INDEX($AC$1004:$AS$1004,1,MATCH(COLUMNS($AC$1006:AM1006),$AC$1006:$AS$1006,0)))),"Fix")))</f>
        <v>0</v>
      </c>
      <c r="M459" s="5">
        <f>IF(OR(INDEX($W$2:$W$1001,MATCH(ROWS($V$2:V459),$V$2:$V$1001,0),1)&gt;=100000,INDEX($AC$1005:$AS$1005,1,MATCH(COLUMNS($AC$1006:AN1006),$AC$1006:$AS$1006,0))&gt;=100000), " ",IF(INDEX($AC$2:$AS$1001,MATCH(ROWS($V$2:V459),$V$2:$V$1001,0),MATCH(COLUMNS($AC$1006:AN1006),$AC$1006:$AS$1006,0)), HYPERLINK("#",""), HYPERLINK(CONCATENATE("#Metadata!", ADDRESS(INDEX($X$2:$X$1001,MATCH(ROWS($V$2:V459),$V$2:$V$1001,0),0), INDEX($AC$1004:$AS$1004,1,MATCH(COLUMNS($AC$1006:AN1006),$AC$1006:$AS$1006,0)))),"Fix")))</f>
        <v>0</v>
      </c>
      <c r="N459" s="5">
        <f>IF(OR(INDEX($W$2:$W$1001,MATCH(ROWS($V$2:V459),$V$2:$V$1001,0),1)&gt;=100000,INDEX($AC$1005:$AS$1005,1,MATCH(COLUMNS($AC$1006:AO1006),$AC$1006:$AS$1006,0))&gt;=100000), " ",IF(INDEX($AC$2:$AS$1001,MATCH(ROWS($V$2:V459),$V$2:$V$1001,0),MATCH(COLUMNS($AC$1006:AO1006),$AC$1006:$AS$1006,0)), HYPERLINK("#",""), HYPERLINK(CONCATENATE("#Metadata!", ADDRESS(INDEX($X$2:$X$1001,MATCH(ROWS($V$2:V459),$V$2:$V$1001,0),0), INDEX($AC$1004:$AS$1004,1,MATCH(COLUMNS($AC$1006:AO1006),$AC$1006:$AS$1006,0)))),"Fix")))</f>
        <v>0</v>
      </c>
      <c r="O459" s="5">
        <f>IF(OR(INDEX($W$2:$W$1001,MATCH(ROWS($V$2:V459),$V$2:$V$1001,0),1)&gt;=100000,INDEX($AC$1005:$AS$1005,1,MATCH(COLUMNS($AC$1006:AP1006),$AC$1006:$AS$1006,0))&gt;=100000), " ",IF(INDEX($AC$2:$AS$1001,MATCH(ROWS($V$2:V459),$V$2:$V$1001,0),MATCH(COLUMNS($AC$1006:AP1006),$AC$1006:$AS$1006,0)), HYPERLINK("#",""), HYPERLINK(CONCATENATE("#Metadata!", ADDRESS(INDEX($X$2:$X$1001,MATCH(ROWS($V$2:V459),$V$2:$V$1001,0),0), INDEX($AC$1004:$AS$1004,1,MATCH(COLUMNS($AC$1006:AP1006),$AC$1006:$AS$1006,0)))),"Fix")))</f>
        <v>0</v>
      </c>
      <c r="P459" s="5">
        <f>IF(OR(INDEX($W$2:$W$1001,MATCH(ROWS($V$2:V459),$V$2:$V$1001,0),1)&gt;=100000,INDEX($AC$1005:$AS$1005,1,MATCH(COLUMNS($AC$1006:AQ1006),$AC$1006:$AS$1006,0))&gt;=100000), " ",IF(INDEX($AC$2:$AS$1001,MATCH(ROWS($V$2:V459),$V$2:$V$1001,0),MATCH(COLUMNS($AC$1006:AQ1006),$AC$1006:$AS$1006,0)), HYPERLINK("#",""), HYPERLINK(CONCATENATE("#Metadata!", ADDRESS(INDEX($X$2:$X$1001,MATCH(ROWS($V$2:V459),$V$2:$V$1001,0),0), INDEX($AC$1004:$AS$1004,1,MATCH(COLUMNS($AC$1006:AQ1006),$AC$1006:$AS$1006,0)))),"Fix")))</f>
        <v>0</v>
      </c>
      <c r="Q459" s="5">
        <f>IF(OR(INDEX($W$2:$W$1001,MATCH(ROWS($V$2:V459),$V$2:$V$1001,0),1)&gt;=100000,INDEX($AC$1005:$AS$1005,1,MATCH(COLUMNS($AC$1006:AR1006),$AC$1006:$AS$1006,0))&gt;=100000), " ",IF(INDEX($AC$2:$AS$1001,MATCH(ROWS($V$2:V459),$V$2:$V$1001,0),MATCH(COLUMNS($AC$1006:AR1006),$AC$1006:$AS$1006,0)), HYPERLINK("#",""), HYPERLINK(CONCATENATE("#Metadata!", ADDRESS(INDEX($X$2:$X$1001,MATCH(ROWS($V$2:V459),$V$2:$V$1001,0),0), INDEX($AC$1004:$AS$1004,1,MATCH(COLUMNS($AC$1006:AR1006),$AC$1006:$AS$1006,0)))),"Fix")))</f>
        <v>0</v>
      </c>
      <c r="R459" s="5">
        <f>IF(OR(INDEX($W$2:$W$1001,MATCH(ROWS($V$2:V459),$V$2:$V$1001,0),1)&gt;=100000,INDEX($AC$1005:$AS$1005,1,MATCH(COLUMNS($AC$1006:AS1006),$AC$1006:$AS$1006,0))&gt;=100000), " ",IF(INDEX($AC$2:$AS$1001,MATCH(ROWS($V$2:V459),$V$2:$V$1001,0),MATCH(COLUMNS($AC$1006:AS1006),$AC$1006:$AS$1006,0)), HYPERLINK("#",""), HYPERLINK(CONCATENATE("#Metadata!", ADDRESS(INDEX($X$2:$X$1001,MATCH(ROWS($V$2:V459),$V$2:$V$1001,0),0), INDEX($AC$1004:$AS$1004,1,MATCH(COLUMNS($AC$1006:AS1006),$AC$1006:$AS$1006,0)))),"Fix")))</f>
        <v>0</v>
      </c>
      <c r="V459">
        <v>0</v>
      </c>
      <c r="W459">
        <v>0</v>
      </c>
      <c r="X459">
        <v>0</v>
      </c>
      <c r="Y459">
        <f>IF(Z459,TRUE,AND(AC459:AS459))</f>
        <v>0</v>
      </c>
      <c r="Z459">
        <f>COUNTBLANK(Metadata!B459:R459)=COLUMNS(Metadata!B459:R459)</f>
        <v>0</v>
      </c>
      <c r="AA459">
        <v>0</v>
      </c>
      <c r="AC459">
        <f>AND(IF(Metadata!B459="",FALSE,TRUE),COUNTIF(Metadata!B:B, Metadata!B459) = 1,NOT(ISERROR(SUMPRODUCT(SEARCH(MID(Metadata!B459,ROW(INDIRECT("1:"&amp;LEN(Metadata!B459))), 1),"0123456789abcdefghijklmnopqrstuvwxyzABCDEFGHIJKLMNOPQRSTUVWXYZ.")))))</f>
        <v>0</v>
      </c>
      <c r="AD459">
        <f>AND(IF(Metadata!C459="",FALSE,TRUE),exact(Metadata!C459,"Host-associated"))</f>
        <v>0</v>
      </c>
      <c r="AE459">
        <f>AND(IF(Metadata!D459="",FALSE,TRUE),OR(exact(Metadata!D459,"Animal"),exact(Metadata!D459,"Fungus"),exact(Metadata!D459,"Plant")))</f>
        <v>0</v>
      </c>
      <c r="AF459">
        <f>AND(IF(Metadata!E459="",FALSE,TRUE),OR(exact(Metadata!E459,"Plant secretion"),exact(Metadata!E459,"Plant rhizosphere"),exact(Metadata!E459,"Plant surface"),exact(Metadata!E459,"Plant corpus"),exact(Metadata!E459,"Fungus surface"),exact(Metadata!E459,"Fungus corpus"),exact(Metadata!E459,"Animal surface"),exact(Metadata!E459,"Animal proximal gut"),exact(Metadata!E459,"Animal corpus"),exact(Metadata!E459,"Animal distal gut"),exact(Metadata!E459,"Animal secretion")))</f>
        <v>0</v>
      </c>
      <c r="AG459">
        <f>OR(AND(IF(Metadata!F459="",FALSE,TRUE),OR(exact(Metadata!F459,"not collected"),exact(Metadata!F459,"not provided"),exact(Metadata!F459,"restricted access"))),AND(IF(Metadata!F459="",FALSE,TRUE),OR(exact(Metadata!F459,"organism-associated habitat"),exact(Metadata!F459,"plant-associated habitat"),exact(Metadata!F459,"animal-associated habitat"),exact(Metadata!F459,"insecta-associated habitat"),exact(Metadata!F459,"mammalia-associated habitat"),exact(Metadata!F459,"human-associated habitat"),exact(Metadata!F459,"livestock-associated habitat"))))</f>
        <v>0</v>
      </c>
      <c r="AH459">
        <f>AND(IF(Metadata!G459="",FALSE,TRUE),exact(Metadata!G459,"host-associated"))</f>
        <v>0</v>
      </c>
      <c r="AI459">
        <f>OR(AND(IF(Metadata!H459="",FALSE,TRUE),OR(exact(Metadata!H459,"not collected"),exact(Metadata!H459,"not provided"))),AND(IF(Metadata!H459="",FALSE,ISNUMBER(VALUE(Metadata!H459))),Metadata!H459&gt;0))</f>
        <v>0</v>
      </c>
      <c r="AJ459">
        <f>AND(IF(Metadata!I459="",FALSE,TRUE),exact(Metadata!I459,"years"))</f>
        <v>0</v>
      </c>
      <c r="AK459">
        <f>IF(Metadata!J459="",FALSE,TRUE)</f>
        <v>0</v>
      </c>
      <c r="AL459">
        <f>OR(AND(IF(Metadata!K459="",FALSE,TRUE),OR(exact(Metadata!K459,"not collected"),exact(Metadata!K459,"not provided"))),AND(IF(Metadata!K459="",FALSE,ISNUMBER(VALUE(Metadata!K459))),Metadata!K459&gt;0))</f>
        <v>0</v>
      </c>
      <c r="AM459">
        <f>AND(IF(Metadata!L459="",FALSE,TRUE),exact(Metadata!L459,"cm"))</f>
        <v>0</v>
      </c>
      <c r="AN459">
        <f>IF(Metadata!M459="",FALSE,TRUE)</f>
        <v>0</v>
      </c>
      <c r="AO459">
        <f>OR(AND(IF(Metadata!N459="",FALSE,TRUE),OR(exact(Metadata!N459,"not applicable"),exact(Metadata!N459,"not collected"),exact(Metadata!N459,"not provided"))),AND(IF(Metadata!N459="",FALSE,IF(ISERROR(INT(Metadata!N459)),FALSE,INT(Metadata!N459)=Metadata!N459)),Metadata!N459&gt;0))</f>
        <v>0</v>
      </c>
      <c r="AP459">
        <f>OR(AND(IF(Metadata!O459="",FALSE,TRUE),OR(exact(Metadata!O459,"not collected"),exact(Metadata!O459,"not provided"))),AND(IF(Metadata!O459="",FALSE,ISNUMBER(VALUE(Metadata!O459))),Metadata!O459&gt;0))</f>
        <v>0</v>
      </c>
      <c r="AQ459">
        <f>AND(IF(Metadata!P459="",FALSE,TRUE),exact(Metadata!P459,"kg"))</f>
        <v>0</v>
      </c>
      <c r="AR459">
        <f>OR(AND(IF(Metadata!Q459="",FALSE,TRUE),OR(exact(Metadata!Q459,"not applicable"),exact(Metadata!Q459,"not collected"),exact(Metadata!Q459,"not provided"),exact(Metadata!Q459,"restricted access"))),IF(Metadata!Q459="",FALSE,IF(ISERROR(INT(Metadata!Q459)),FALSE,INT(Metadata!Q459)=Metadata!Q459)))</f>
        <v>0</v>
      </c>
      <c r="AS459">
        <f>AND(IF(Metadata!R459="",FALSE,TRUE),exact(Metadata!R459,"Not applicable"))</f>
        <v>0</v>
      </c>
    </row>
    <row r="460" spans="1:45">
      <c r="A460" s="4">
        <f>IF(B460=" "," ",HYPERLINK(CONCATENATE("#metadata!",ADDRESS(INDEX($X$2:$X$1001,MATCH(ROWS($V$2:V460),$V$2:$V$1001,0),0),2)),INDEX($AA$2:$AA$1001,MATCH(ROWS($V$2:V460),$V$2:$V$1001,0),0)))</f>
        <v>0</v>
      </c>
      <c r="B460" s="5">
        <f>IF(OR(INDEX($W$2:$W$1001,MATCH(ROWS($V$2:V460),$V$2:$V$1001,0),1)&gt;=100000,INDEX($AC$1005:$AS$1005,1,MATCH(COLUMNS($AC$1006:AC1006),$AC$1006:$AS$1006,0))&gt;=100000), " ",IF(INDEX($AC$2:$AS$1001,MATCH(ROWS($V$2:V460),$V$2:$V$1001,0),MATCH(COLUMNS($AC$1006:AC1006),$AC$1006:$AS$1006,0)), HYPERLINK("#",""), HYPERLINK(CONCATENATE("#Metadata!", ADDRESS(INDEX($X$2:$X$1001,MATCH(ROWS($V$2:V460),$V$2:$V$1001,0),0), INDEX($AC$1004:$AS$1004,1,MATCH(COLUMNS($AC$1006:AC1006),$AC$1006:$AS$1006,0)))),"Fix")))</f>
        <v>0</v>
      </c>
      <c r="C460" s="5">
        <f>IF(OR(INDEX($W$2:$W$1001,MATCH(ROWS($V$2:V460),$V$2:$V$1001,0),1)&gt;=100000,INDEX($AC$1005:$AS$1005,1,MATCH(COLUMNS($AC$1006:AD1006),$AC$1006:$AS$1006,0))&gt;=100000), " ",IF(INDEX($AC$2:$AS$1001,MATCH(ROWS($V$2:V460),$V$2:$V$1001,0),MATCH(COLUMNS($AC$1006:AD1006),$AC$1006:$AS$1006,0)), HYPERLINK("#",""), HYPERLINK(CONCATENATE("#Metadata!", ADDRESS(INDEX($X$2:$X$1001,MATCH(ROWS($V$2:V460),$V$2:$V$1001,0),0), INDEX($AC$1004:$AS$1004,1,MATCH(COLUMNS($AC$1006:AD1006),$AC$1006:$AS$1006,0)))),"Fix")))</f>
        <v>0</v>
      </c>
      <c r="D460" s="5">
        <f>IF(OR(INDEX($W$2:$W$1001,MATCH(ROWS($V$2:V460),$V$2:$V$1001,0),1)&gt;=100000,INDEX($AC$1005:$AS$1005,1,MATCH(COLUMNS($AC$1006:AE1006),$AC$1006:$AS$1006,0))&gt;=100000), " ",IF(INDEX($AC$2:$AS$1001,MATCH(ROWS($V$2:V460),$V$2:$V$1001,0),MATCH(COLUMNS($AC$1006:AE1006),$AC$1006:$AS$1006,0)), HYPERLINK("#",""), HYPERLINK(CONCATENATE("#Metadata!", ADDRESS(INDEX($X$2:$X$1001,MATCH(ROWS($V$2:V460),$V$2:$V$1001,0),0), INDEX($AC$1004:$AS$1004,1,MATCH(COLUMNS($AC$1006:AE1006),$AC$1006:$AS$1006,0)))),"Fix")))</f>
        <v>0</v>
      </c>
      <c r="E460" s="5">
        <f>IF(OR(INDEX($W$2:$W$1001,MATCH(ROWS($V$2:V460),$V$2:$V$1001,0),1)&gt;=100000,INDEX($AC$1005:$AS$1005,1,MATCH(COLUMNS($AC$1006:AF1006),$AC$1006:$AS$1006,0))&gt;=100000), " ",IF(INDEX($AC$2:$AS$1001,MATCH(ROWS($V$2:V460),$V$2:$V$1001,0),MATCH(COLUMNS($AC$1006:AF1006),$AC$1006:$AS$1006,0)), HYPERLINK("#",""), HYPERLINK(CONCATENATE("#Metadata!", ADDRESS(INDEX($X$2:$X$1001,MATCH(ROWS($V$2:V460),$V$2:$V$1001,0),0), INDEX($AC$1004:$AS$1004,1,MATCH(COLUMNS($AC$1006:AF1006),$AC$1006:$AS$1006,0)))),"Fix")))</f>
        <v>0</v>
      </c>
      <c r="F460" s="5">
        <f>IF(OR(INDEX($W$2:$W$1001,MATCH(ROWS($V$2:V460),$V$2:$V$1001,0),1)&gt;=100000,INDEX($AC$1005:$AS$1005,1,MATCH(COLUMNS($AC$1006:AG1006),$AC$1006:$AS$1006,0))&gt;=100000), " ",IF(INDEX($AC$2:$AS$1001,MATCH(ROWS($V$2:V460),$V$2:$V$1001,0),MATCH(COLUMNS($AC$1006:AG1006),$AC$1006:$AS$1006,0)), HYPERLINK("#",""), HYPERLINK(CONCATENATE("#Metadata!", ADDRESS(INDEX($X$2:$X$1001,MATCH(ROWS($V$2:V460),$V$2:$V$1001,0),0), INDEX($AC$1004:$AS$1004,1,MATCH(COLUMNS($AC$1006:AG1006),$AC$1006:$AS$1006,0)))),"Fix")))</f>
        <v>0</v>
      </c>
      <c r="G460" s="5">
        <f>IF(OR(INDEX($W$2:$W$1001,MATCH(ROWS($V$2:V460),$V$2:$V$1001,0),1)&gt;=100000,INDEX($AC$1005:$AS$1005,1,MATCH(COLUMNS($AC$1006:AH1006),$AC$1006:$AS$1006,0))&gt;=100000), " ",IF(INDEX($AC$2:$AS$1001,MATCH(ROWS($V$2:V460),$V$2:$V$1001,0),MATCH(COLUMNS($AC$1006:AH1006),$AC$1006:$AS$1006,0)), HYPERLINK("#",""), HYPERLINK(CONCATENATE("#Metadata!", ADDRESS(INDEX($X$2:$X$1001,MATCH(ROWS($V$2:V460),$V$2:$V$1001,0),0), INDEX($AC$1004:$AS$1004,1,MATCH(COLUMNS($AC$1006:AH1006),$AC$1006:$AS$1006,0)))),"Fix")))</f>
        <v>0</v>
      </c>
      <c r="H460" s="5">
        <f>IF(OR(INDEX($W$2:$W$1001,MATCH(ROWS($V$2:V460),$V$2:$V$1001,0),1)&gt;=100000,INDEX($AC$1005:$AS$1005,1,MATCH(COLUMNS($AC$1006:AI1006),$AC$1006:$AS$1006,0))&gt;=100000), " ",IF(INDEX($AC$2:$AS$1001,MATCH(ROWS($V$2:V460),$V$2:$V$1001,0),MATCH(COLUMNS($AC$1006:AI1006),$AC$1006:$AS$1006,0)), HYPERLINK("#",""), HYPERLINK(CONCATENATE("#Metadata!", ADDRESS(INDEX($X$2:$X$1001,MATCH(ROWS($V$2:V460),$V$2:$V$1001,0),0), INDEX($AC$1004:$AS$1004,1,MATCH(COLUMNS($AC$1006:AI1006),$AC$1006:$AS$1006,0)))),"Fix")))</f>
        <v>0</v>
      </c>
      <c r="I460" s="5">
        <f>IF(OR(INDEX($W$2:$W$1001,MATCH(ROWS($V$2:V460),$V$2:$V$1001,0),1)&gt;=100000,INDEX($AC$1005:$AS$1005,1,MATCH(COLUMNS($AC$1006:AJ1006),$AC$1006:$AS$1006,0))&gt;=100000), " ",IF(INDEX($AC$2:$AS$1001,MATCH(ROWS($V$2:V460),$V$2:$V$1001,0),MATCH(COLUMNS($AC$1006:AJ1006),$AC$1006:$AS$1006,0)), HYPERLINK("#",""), HYPERLINK(CONCATENATE("#Metadata!", ADDRESS(INDEX($X$2:$X$1001,MATCH(ROWS($V$2:V460),$V$2:$V$1001,0),0), INDEX($AC$1004:$AS$1004,1,MATCH(COLUMNS($AC$1006:AJ1006),$AC$1006:$AS$1006,0)))),"Fix")))</f>
        <v>0</v>
      </c>
      <c r="J460" s="5">
        <f>IF(OR(INDEX($W$2:$W$1001,MATCH(ROWS($V$2:V460),$V$2:$V$1001,0),1)&gt;=100000,INDEX($AC$1005:$AS$1005,1,MATCH(COLUMNS($AC$1006:AK1006),$AC$1006:$AS$1006,0))&gt;=100000), " ",IF(INDEX($AC$2:$AS$1001,MATCH(ROWS($V$2:V460),$V$2:$V$1001,0),MATCH(COLUMNS($AC$1006:AK1006),$AC$1006:$AS$1006,0)), HYPERLINK("#",""), HYPERLINK(CONCATENATE("#Metadata!", ADDRESS(INDEX($X$2:$X$1001,MATCH(ROWS($V$2:V460),$V$2:$V$1001,0),0), INDEX($AC$1004:$AS$1004,1,MATCH(COLUMNS($AC$1006:AK1006),$AC$1006:$AS$1006,0)))),"Fix")))</f>
        <v>0</v>
      </c>
      <c r="K460" s="5">
        <f>IF(OR(INDEX($W$2:$W$1001,MATCH(ROWS($V$2:V460),$V$2:$V$1001,0),1)&gt;=100000,INDEX($AC$1005:$AS$1005,1,MATCH(COLUMNS($AC$1006:AL1006),$AC$1006:$AS$1006,0))&gt;=100000), " ",IF(INDEX($AC$2:$AS$1001,MATCH(ROWS($V$2:V460),$V$2:$V$1001,0),MATCH(COLUMNS($AC$1006:AL1006),$AC$1006:$AS$1006,0)), HYPERLINK("#",""), HYPERLINK(CONCATENATE("#Metadata!", ADDRESS(INDEX($X$2:$X$1001,MATCH(ROWS($V$2:V460),$V$2:$V$1001,0),0), INDEX($AC$1004:$AS$1004,1,MATCH(COLUMNS($AC$1006:AL1006),$AC$1006:$AS$1006,0)))),"Fix")))</f>
        <v>0</v>
      </c>
      <c r="L460" s="5">
        <f>IF(OR(INDEX($W$2:$W$1001,MATCH(ROWS($V$2:V460),$V$2:$V$1001,0),1)&gt;=100000,INDEX($AC$1005:$AS$1005,1,MATCH(COLUMNS($AC$1006:AM1006),$AC$1006:$AS$1006,0))&gt;=100000), " ",IF(INDEX($AC$2:$AS$1001,MATCH(ROWS($V$2:V460),$V$2:$V$1001,0),MATCH(COLUMNS($AC$1006:AM1006),$AC$1006:$AS$1006,0)), HYPERLINK("#",""), HYPERLINK(CONCATENATE("#Metadata!", ADDRESS(INDEX($X$2:$X$1001,MATCH(ROWS($V$2:V460),$V$2:$V$1001,0),0), INDEX($AC$1004:$AS$1004,1,MATCH(COLUMNS($AC$1006:AM1006),$AC$1006:$AS$1006,0)))),"Fix")))</f>
        <v>0</v>
      </c>
      <c r="M460" s="5">
        <f>IF(OR(INDEX($W$2:$W$1001,MATCH(ROWS($V$2:V460),$V$2:$V$1001,0),1)&gt;=100000,INDEX($AC$1005:$AS$1005,1,MATCH(COLUMNS($AC$1006:AN1006),$AC$1006:$AS$1006,0))&gt;=100000), " ",IF(INDEX($AC$2:$AS$1001,MATCH(ROWS($V$2:V460),$V$2:$V$1001,0),MATCH(COLUMNS($AC$1006:AN1006),$AC$1006:$AS$1006,0)), HYPERLINK("#",""), HYPERLINK(CONCATENATE("#Metadata!", ADDRESS(INDEX($X$2:$X$1001,MATCH(ROWS($V$2:V460),$V$2:$V$1001,0),0), INDEX($AC$1004:$AS$1004,1,MATCH(COLUMNS($AC$1006:AN1006),$AC$1006:$AS$1006,0)))),"Fix")))</f>
        <v>0</v>
      </c>
      <c r="N460" s="5">
        <f>IF(OR(INDEX($W$2:$W$1001,MATCH(ROWS($V$2:V460),$V$2:$V$1001,0),1)&gt;=100000,INDEX($AC$1005:$AS$1005,1,MATCH(COLUMNS($AC$1006:AO1006),$AC$1006:$AS$1006,0))&gt;=100000), " ",IF(INDEX($AC$2:$AS$1001,MATCH(ROWS($V$2:V460),$V$2:$V$1001,0),MATCH(COLUMNS($AC$1006:AO1006),$AC$1006:$AS$1006,0)), HYPERLINK("#",""), HYPERLINK(CONCATENATE("#Metadata!", ADDRESS(INDEX($X$2:$X$1001,MATCH(ROWS($V$2:V460),$V$2:$V$1001,0),0), INDEX($AC$1004:$AS$1004,1,MATCH(COLUMNS($AC$1006:AO1006),$AC$1006:$AS$1006,0)))),"Fix")))</f>
        <v>0</v>
      </c>
      <c r="O460" s="5">
        <f>IF(OR(INDEX($W$2:$W$1001,MATCH(ROWS($V$2:V460),$V$2:$V$1001,0),1)&gt;=100000,INDEX($AC$1005:$AS$1005,1,MATCH(COLUMNS($AC$1006:AP1006),$AC$1006:$AS$1006,0))&gt;=100000), " ",IF(INDEX($AC$2:$AS$1001,MATCH(ROWS($V$2:V460),$V$2:$V$1001,0),MATCH(COLUMNS($AC$1006:AP1006),$AC$1006:$AS$1006,0)), HYPERLINK("#",""), HYPERLINK(CONCATENATE("#Metadata!", ADDRESS(INDEX($X$2:$X$1001,MATCH(ROWS($V$2:V460),$V$2:$V$1001,0),0), INDEX($AC$1004:$AS$1004,1,MATCH(COLUMNS($AC$1006:AP1006),$AC$1006:$AS$1006,0)))),"Fix")))</f>
        <v>0</v>
      </c>
      <c r="P460" s="5">
        <f>IF(OR(INDEX($W$2:$W$1001,MATCH(ROWS($V$2:V460),$V$2:$V$1001,0),1)&gt;=100000,INDEX($AC$1005:$AS$1005,1,MATCH(COLUMNS($AC$1006:AQ1006),$AC$1006:$AS$1006,0))&gt;=100000), " ",IF(INDEX($AC$2:$AS$1001,MATCH(ROWS($V$2:V460),$V$2:$V$1001,0),MATCH(COLUMNS($AC$1006:AQ1006),$AC$1006:$AS$1006,0)), HYPERLINK("#",""), HYPERLINK(CONCATENATE("#Metadata!", ADDRESS(INDEX($X$2:$X$1001,MATCH(ROWS($V$2:V460),$V$2:$V$1001,0),0), INDEX($AC$1004:$AS$1004,1,MATCH(COLUMNS($AC$1006:AQ1006),$AC$1006:$AS$1006,0)))),"Fix")))</f>
        <v>0</v>
      </c>
      <c r="Q460" s="5">
        <f>IF(OR(INDEX($W$2:$W$1001,MATCH(ROWS($V$2:V460),$V$2:$V$1001,0),1)&gt;=100000,INDEX($AC$1005:$AS$1005,1,MATCH(COLUMNS($AC$1006:AR1006),$AC$1006:$AS$1006,0))&gt;=100000), " ",IF(INDEX($AC$2:$AS$1001,MATCH(ROWS($V$2:V460),$V$2:$V$1001,0),MATCH(COLUMNS($AC$1006:AR1006),$AC$1006:$AS$1006,0)), HYPERLINK("#",""), HYPERLINK(CONCATENATE("#Metadata!", ADDRESS(INDEX($X$2:$X$1001,MATCH(ROWS($V$2:V460),$V$2:$V$1001,0),0), INDEX($AC$1004:$AS$1004,1,MATCH(COLUMNS($AC$1006:AR1006),$AC$1006:$AS$1006,0)))),"Fix")))</f>
        <v>0</v>
      </c>
      <c r="R460" s="5">
        <f>IF(OR(INDEX($W$2:$W$1001,MATCH(ROWS($V$2:V460),$V$2:$V$1001,0),1)&gt;=100000,INDEX($AC$1005:$AS$1005,1,MATCH(COLUMNS($AC$1006:AS1006),$AC$1006:$AS$1006,0))&gt;=100000), " ",IF(INDEX($AC$2:$AS$1001,MATCH(ROWS($V$2:V460),$V$2:$V$1001,0),MATCH(COLUMNS($AC$1006:AS1006),$AC$1006:$AS$1006,0)), HYPERLINK("#",""), HYPERLINK(CONCATENATE("#Metadata!", ADDRESS(INDEX($X$2:$X$1001,MATCH(ROWS($V$2:V460),$V$2:$V$1001,0),0), INDEX($AC$1004:$AS$1004,1,MATCH(COLUMNS($AC$1006:AS1006),$AC$1006:$AS$1006,0)))),"Fix")))</f>
        <v>0</v>
      </c>
      <c r="V460">
        <v>0</v>
      </c>
      <c r="W460">
        <v>0</v>
      </c>
      <c r="X460">
        <v>0</v>
      </c>
      <c r="Y460">
        <f>IF(Z460,TRUE,AND(AC460:AS460))</f>
        <v>0</v>
      </c>
      <c r="Z460">
        <f>COUNTBLANK(Metadata!B460:R460)=COLUMNS(Metadata!B460:R460)</f>
        <v>0</v>
      </c>
      <c r="AA460">
        <v>0</v>
      </c>
      <c r="AC460">
        <f>AND(IF(Metadata!B460="",FALSE,TRUE),COUNTIF(Metadata!B:B, Metadata!B460) = 1,NOT(ISERROR(SUMPRODUCT(SEARCH(MID(Metadata!B460,ROW(INDIRECT("1:"&amp;LEN(Metadata!B460))), 1),"0123456789abcdefghijklmnopqrstuvwxyzABCDEFGHIJKLMNOPQRSTUVWXYZ.")))))</f>
        <v>0</v>
      </c>
      <c r="AD460">
        <f>AND(IF(Metadata!C460="",FALSE,TRUE),exact(Metadata!C460,"Host-associated"))</f>
        <v>0</v>
      </c>
      <c r="AE460">
        <f>AND(IF(Metadata!D460="",FALSE,TRUE),OR(exact(Metadata!D460,"Animal"),exact(Metadata!D460,"Fungus"),exact(Metadata!D460,"Plant")))</f>
        <v>0</v>
      </c>
      <c r="AF460">
        <f>AND(IF(Metadata!E460="",FALSE,TRUE),OR(exact(Metadata!E460,"Plant secretion"),exact(Metadata!E460,"Plant rhizosphere"),exact(Metadata!E460,"Plant surface"),exact(Metadata!E460,"Plant corpus"),exact(Metadata!E460,"Fungus surface"),exact(Metadata!E460,"Fungus corpus"),exact(Metadata!E460,"Animal surface"),exact(Metadata!E460,"Animal proximal gut"),exact(Metadata!E460,"Animal corpus"),exact(Metadata!E460,"Animal distal gut"),exact(Metadata!E460,"Animal secretion")))</f>
        <v>0</v>
      </c>
      <c r="AG460">
        <f>OR(AND(IF(Metadata!F460="",FALSE,TRUE),OR(exact(Metadata!F460,"not collected"),exact(Metadata!F460,"not provided"),exact(Metadata!F460,"restricted access"))),AND(IF(Metadata!F460="",FALSE,TRUE),OR(exact(Metadata!F460,"organism-associated habitat"),exact(Metadata!F460,"plant-associated habitat"),exact(Metadata!F460,"animal-associated habitat"),exact(Metadata!F460,"insecta-associated habitat"),exact(Metadata!F460,"mammalia-associated habitat"),exact(Metadata!F460,"human-associated habitat"),exact(Metadata!F460,"livestock-associated habitat"))))</f>
        <v>0</v>
      </c>
      <c r="AH460">
        <f>AND(IF(Metadata!G460="",FALSE,TRUE),exact(Metadata!G460,"host-associated"))</f>
        <v>0</v>
      </c>
      <c r="AI460">
        <f>OR(AND(IF(Metadata!H460="",FALSE,TRUE),OR(exact(Metadata!H460,"not collected"),exact(Metadata!H460,"not provided"))),AND(IF(Metadata!H460="",FALSE,ISNUMBER(VALUE(Metadata!H460))),Metadata!H460&gt;0))</f>
        <v>0</v>
      </c>
      <c r="AJ460">
        <f>AND(IF(Metadata!I460="",FALSE,TRUE),exact(Metadata!I460,"years"))</f>
        <v>0</v>
      </c>
      <c r="AK460">
        <f>IF(Metadata!J460="",FALSE,TRUE)</f>
        <v>0</v>
      </c>
      <c r="AL460">
        <f>OR(AND(IF(Metadata!K460="",FALSE,TRUE),OR(exact(Metadata!K460,"not collected"),exact(Metadata!K460,"not provided"))),AND(IF(Metadata!K460="",FALSE,ISNUMBER(VALUE(Metadata!K460))),Metadata!K460&gt;0))</f>
        <v>0</v>
      </c>
      <c r="AM460">
        <f>AND(IF(Metadata!L460="",FALSE,TRUE),exact(Metadata!L460,"cm"))</f>
        <v>0</v>
      </c>
      <c r="AN460">
        <f>IF(Metadata!M460="",FALSE,TRUE)</f>
        <v>0</v>
      </c>
      <c r="AO460">
        <f>OR(AND(IF(Metadata!N460="",FALSE,TRUE),OR(exact(Metadata!N460,"not applicable"),exact(Metadata!N460,"not collected"),exact(Metadata!N460,"not provided"))),AND(IF(Metadata!N460="",FALSE,IF(ISERROR(INT(Metadata!N460)),FALSE,INT(Metadata!N460)=Metadata!N460)),Metadata!N460&gt;0))</f>
        <v>0</v>
      </c>
      <c r="AP460">
        <f>OR(AND(IF(Metadata!O460="",FALSE,TRUE),OR(exact(Metadata!O460,"not collected"),exact(Metadata!O460,"not provided"))),AND(IF(Metadata!O460="",FALSE,ISNUMBER(VALUE(Metadata!O460))),Metadata!O460&gt;0))</f>
        <v>0</v>
      </c>
      <c r="AQ460">
        <f>AND(IF(Metadata!P460="",FALSE,TRUE),exact(Metadata!P460,"kg"))</f>
        <v>0</v>
      </c>
      <c r="AR460">
        <f>OR(AND(IF(Metadata!Q460="",FALSE,TRUE),OR(exact(Metadata!Q460,"not applicable"),exact(Metadata!Q460,"not collected"),exact(Metadata!Q460,"not provided"),exact(Metadata!Q460,"restricted access"))),IF(Metadata!Q460="",FALSE,IF(ISERROR(INT(Metadata!Q460)),FALSE,INT(Metadata!Q460)=Metadata!Q460)))</f>
        <v>0</v>
      </c>
      <c r="AS460">
        <f>AND(IF(Metadata!R460="",FALSE,TRUE),exact(Metadata!R460,"Not applicable"))</f>
        <v>0</v>
      </c>
    </row>
    <row r="461" spans="1:45">
      <c r="A461" s="4">
        <f>IF(B461=" "," ",HYPERLINK(CONCATENATE("#metadata!",ADDRESS(INDEX($X$2:$X$1001,MATCH(ROWS($V$2:V461),$V$2:$V$1001,0),0),2)),INDEX($AA$2:$AA$1001,MATCH(ROWS($V$2:V461),$V$2:$V$1001,0),0)))</f>
        <v>0</v>
      </c>
      <c r="B461" s="5">
        <f>IF(OR(INDEX($W$2:$W$1001,MATCH(ROWS($V$2:V461),$V$2:$V$1001,0),1)&gt;=100000,INDEX($AC$1005:$AS$1005,1,MATCH(COLUMNS($AC$1006:AC1006),$AC$1006:$AS$1006,0))&gt;=100000), " ",IF(INDEX($AC$2:$AS$1001,MATCH(ROWS($V$2:V461),$V$2:$V$1001,0),MATCH(COLUMNS($AC$1006:AC1006),$AC$1006:$AS$1006,0)), HYPERLINK("#",""), HYPERLINK(CONCATENATE("#Metadata!", ADDRESS(INDEX($X$2:$X$1001,MATCH(ROWS($V$2:V461),$V$2:$V$1001,0),0), INDEX($AC$1004:$AS$1004,1,MATCH(COLUMNS($AC$1006:AC1006),$AC$1006:$AS$1006,0)))),"Fix")))</f>
        <v>0</v>
      </c>
      <c r="C461" s="5">
        <f>IF(OR(INDEX($W$2:$W$1001,MATCH(ROWS($V$2:V461),$V$2:$V$1001,0),1)&gt;=100000,INDEX($AC$1005:$AS$1005,1,MATCH(COLUMNS($AC$1006:AD1006),$AC$1006:$AS$1006,0))&gt;=100000), " ",IF(INDEX($AC$2:$AS$1001,MATCH(ROWS($V$2:V461),$V$2:$V$1001,0),MATCH(COLUMNS($AC$1006:AD1006),$AC$1006:$AS$1006,0)), HYPERLINK("#",""), HYPERLINK(CONCATENATE("#Metadata!", ADDRESS(INDEX($X$2:$X$1001,MATCH(ROWS($V$2:V461),$V$2:$V$1001,0),0), INDEX($AC$1004:$AS$1004,1,MATCH(COLUMNS($AC$1006:AD1006),$AC$1006:$AS$1006,0)))),"Fix")))</f>
        <v>0</v>
      </c>
      <c r="D461" s="5">
        <f>IF(OR(INDEX($W$2:$W$1001,MATCH(ROWS($V$2:V461),$V$2:$V$1001,0),1)&gt;=100000,INDEX($AC$1005:$AS$1005,1,MATCH(COLUMNS($AC$1006:AE1006),$AC$1006:$AS$1006,0))&gt;=100000), " ",IF(INDEX($AC$2:$AS$1001,MATCH(ROWS($V$2:V461),$V$2:$V$1001,0),MATCH(COLUMNS($AC$1006:AE1006),$AC$1006:$AS$1006,0)), HYPERLINK("#",""), HYPERLINK(CONCATENATE("#Metadata!", ADDRESS(INDEX($X$2:$X$1001,MATCH(ROWS($V$2:V461),$V$2:$V$1001,0),0), INDEX($AC$1004:$AS$1004,1,MATCH(COLUMNS($AC$1006:AE1006),$AC$1006:$AS$1006,0)))),"Fix")))</f>
        <v>0</v>
      </c>
      <c r="E461" s="5">
        <f>IF(OR(INDEX($W$2:$W$1001,MATCH(ROWS($V$2:V461),$V$2:$V$1001,0),1)&gt;=100000,INDEX($AC$1005:$AS$1005,1,MATCH(COLUMNS($AC$1006:AF1006),$AC$1006:$AS$1006,0))&gt;=100000), " ",IF(INDEX($AC$2:$AS$1001,MATCH(ROWS($V$2:V461),$V$2:$V$1001,0),MATCH(COLUMNS($AC$1006:AF1006),$AC$1006:$AS$1006,0)), HYPERLINK("#",""), HYPERLINK(CONCATENATE("#Metadata!", ADDRESS(INDEX($X$2:$X$1001,MATCH(ROWS($V$2:V461),$V$2:$V$1001,0),0), INDEX($AC$1004:$AS$1004,1,MATCH(COLUMNS($AC$1006:AF1006),$AC$1006:$AS$1006,0)))),"Fix")))</f>
        <v>0</v>
      </c>
      <c r="F461" s="5">
        <f>IF(OR(INDEX($W$2:$W$1001,MATCH(ROWS($V$2:V461),$V$2:$V$1001,0),1)&gt;=100000,INDEX($AC$1005:$AS$1005,1,MATCH(COLUMNS($AC$1006:AG1006),$AC$1006:$AS$1006,0))&gt;=100000), " ",IF(INDEX($AC$2:$AS$1001,MATCH(ROWS($V$2:V461),$V$2:$V$1001,0),MATCH(COLUMNS($AC$1006:AG1006),$AC$1006:$AS$1006,0)), HYPERLINK("#",""), HYPERLINK(CONCATENATE("#Metadata!", ADDRESS(INDEX($X$2:$X$1001,MATCH(ROWS($V$2:V461),$V$2:$V$1001,0),0), INDEX($AC$1004:$AS$1004,1,MATCH(COLUMNS($AC$1006:AG1006),$AC$1006:$AS$1006,0)))),"Fix")))</f>
        <v>0</v>
      </c>
      <c r="G461" s="5">
        <f>IF(OR(INDEX($W$2:$W$1001,MATCH(ROWS($V$2:V461),$V$2:$V$1001,0),1)&gt;=100000,INDEX($AC$1005:$AS$1005,1,MATCH(COLUMNS($AC$1006:AH1006),$AC$1006:$AS$1006,0))&gt;=100000), " ",IF(INDEX($AC$2:$AS$1001,MATCH(ROWS($V$2:V461),$V$2:$V$1001,0),MATCH(COLUMNS($AC$1006:AH1006),$AC$1006:$AS$1006,0)), HYPERLINK("#",""), HYPERLINK(CONCATENATE("#Metadata!", ADDRESS(INDEX($X$2:$X$1001,MATCH(ROWS($V$2:V461),$V$2:$V$1001,0),0), INDEX($AC$1004:$AS$1004,1,MATCH(COLUMNS($AC$1006:AH1006),$AC$1006:$AS$1006,0)))),"Fix")))</f>
        <v>0</v>
      </c>
      <c r="H461" s="5">
        <f>IF(OR(INDEX($W$2:$W$1001,MATCH(ROWS($V$2:V461),$V$2:$V$1001,0),1)&gt;=100000,INDEX($AC$1005:$AS$1005,1,MATCH(COLUMNS($AC$1006:AI1006),$AC$1006:$AS$1006,0))&gt;=100000), " ",IF(INDEX($AC$2:$AS$1001,MATCH(ROWS($V$2:V461),$V$2:$V$1001,0),MATCH(COLUMNS($AC$1006:AI1006),$AC$1006:$AS$1006,0)), HYPERLINK("#",""), HYPERLINK(CONCATENATE("#Metadata!", ADDRESS(INDEX($X$2:$X$1001,MATCH(ROWS($V$2:V461),$V$2:$V$1001,0),0), INDEX($AC$1004:$AS$1004,1,MATCH(COLUMNS($AC$1006:AI1006),$AC$1006:$AS$1006,0)))),"Fix")))</f>
        <v>0</v>
      </c>
      <c r="I461" s="5">
        <f>IF(OR(INDEX($W$2:$W$1001,MATCH(ROWS($V$2:V461),$V$2:$V$1001,0),1)&gt;=100000,INDEX($AC$1005:$AS$1005,1,MATCH(COLUMNS($AC$1006:AJ1006),$AC$1006:$AS$1006,0))&gt;=100000), " ",IF(INDEX($AC$2:$AS$1001,MATCH(ROWS($V$2:V461),$V$2:$V$1001,0),MATCH(COLUMNS($AC$1006:AJ1006),$AC$1006:$AS$1006,0)), HYPERLINK("#",""), HYPERLINK(CONCATENATE("#Metadata!", ADDRESS(INDEX($X$2:$X$1001,MATCH(ROWS($V$2:V461),$V$2:$V$1001,0),0), INDEX($AC$1004:$AS$1004,1,MATCH(COLUMNS($AC$1006:AJ1006),$AC$1006:$AS$1006,0)))),"Fix")))</f>
        <v>0</v>
      </c>
      <c r="J461" s="5">
        <f>IF(OR(INDEX($W$2:$W$1001,MATCH(ROWS($V$2:V461),$V$2:$V$1001,0),1)&gt;=100000,INDEX($AC$1005:$AS$1005,1,MATCH(COLUMNS($AC$1006:AK1006),$AC$1006:$AS$1006,0))&gt;=100000), " ",IF(INDEX($AC$2:$AS$1001,MATCH(ROWS($V$2:V461),$V$2:$V$1001,0),MATCH(COLUMNS($AC$1006:AK1006),$AC$1006:$AS$1006,0)), HYPERLINK("#",""), HYPERLINK(CONCATENATE("#Metadata!", ADDRESS(INDEX($X$2:$X$1001,MATCH(ROWS($V$2:V461),$V$2:$V$1001,0),0), INDEX($AC$1004:$AS$1004,1,MATCH(COLUMNS($AC$1006:AK1006),$AC$1006:$AS$1006,0)))),"Fix")))</f>
        <v>0</v>
      </c>
      <c r="K461" s="5">
        <f>IF(OR(INDEX($W$2:$W$1001,MATCH(ROWS($V$2:V461),$V$2:$V$1001,0),1)&gt;=100000,INDEX($AC$1005:$AS$1005,1,MATCH(COLUMNS($AC$1006:AL1006),$AC$1006:$AS$1006,0))&gt;=100000), " ",IF(INDEX($AC$2:$AS$1001,MATCH(ROWS($V$2:V461),$V$2:$V$1001,0),MATCH(COLUMNS($AC$1006:AL1006),$AC$1006:$AS$1006,0)), HYPERLINK("#",""), HYPERLINK(CONCATENATE("#Metadata!", ADDRESS(INDEX($X$2:$X$1001,MATCH(ROWS($V$2:V461),$V$2:$V$1001,0),0), INDEX($AC$1004:$AS$1004,1,MATCH(COLUMNS($AC$1006:AL1006),$AC$1006:$AS$1006,0)))),"Fix")))</f>
        <v>0</v>
      </c>
      <c r="L461" s="5">
        <f>IF(OR(INDEX($W$2:$W$1001,MATCH(ROWS($V$2:V461),$V$2:$V$1001,0),1)&gt;=100000,INDEX($AC$1005:$AS$1005,1,MATCH(COLUMNS($AC$1006:AM1006),$AC$1006:$AS$1006,0))&gt;=100000), " ",IF(INDEX($AC$2:$AS$1001,MATCH(ROWS($V$2:V461),$V$2:$V$1001,0),MATCH(COLUMNS($AC$1006:AM1006),$AC$1006:$AS$1006,0)), HYPERLINK("#",""), HYPERLINK(CONCATENATE("#Metadata!", ADDRESS(INDEX($X$2:$X$1001,MATCH(ROWS($V$2:V461),$V$2:$V$1001,0),0), INDEX($AC$1004:$AS$1004,1,MATCH(COLUMNS($AC$1006:AM1006),$AC$1006:$AS$1006,0)))),"Fix")))</f>
        <v>0</v>
      </c>
      <c r="M461" s="5">
        <f>IF(OR(INDEX($W$2:$W$1001,MATCH(ROWS($V$2:V461),$V$2:$V$1001,0),1)&gt;=100000,INDEX($AC$1005:$AS$1005,1,MATCH(COLUMNS($AC$1006:AN1006),$AC$1006:$AS$1006,0))&gt;=100000), " ",IF(INDEX($AC$2:$AS$1001,MATCH(ROWS($V$2:V461),$V$2:$V$1001,0),MATCH(COLUMNS($AC$1006:AN1006),$AC$1006:$AS$1006,0)), HYPERLINK("#",""), HYPERLINK(CONCATENATE("#Metadata!", ADDRESS(INDEX($X$2:$X$1001,MATCH(ROWS($V$2:V461),$V$2:$V$1001,0),0), INDEX($AC$1004:$AS$1004,1,MATCH(COLUMNS($AC$1006:AN1006),$AC$1006:$AS$1006,0)))),"Fix")))</f>
        <v>0</v>
      </c>
      <c r="N461" s="5">
        <f>IF(OR(INDEX($W$2:$W$1001,MATCH(ROWS($V$2:V461),$V$2:$V$1001,0),1)&gt;=100000,INDEX($AC$1005:$AS$1005,1,MATCH(COLUMNS($AC$1006:AO1006),$AC$1006:$AS$1006,0))&gt;=100000), " ",IF(INDEX($AC$2:$AS$1001,MATCH(ROWS($V$2:V461),$V$2:$V$1001,0),MATCH(COLUMNS($AC$1006:AO1006),$AC$1006:$AS$1006,0)), HYPERLINK("#",""), HYPERLINK(CONCATENATE("#Metadata!", ADDRESS(INDEX($X$2:$X$1001,MATCH(ROWS($V$2:V461),$V$2:$V$1001,0),0), INDEX($AC$1004:$AS$1004,1,MATCH(COLUMNS($AC$1006:AO1006),$AC$1006:$AS$1006,0)))),"Fix")))</f>
        <v>0</v>
      </c>
      <c r="O461" s="5">
        <f>IF(OR(INDEX($W$2:$W$1001,MATCH(ROWS($V$2:V461),$V$2:$V$1001,0),1)&gt;=100000,INDEX($AC$1005:$AS$1005,1,MATCH(COLUMNS($AC$1006:AP1006),$AC$1006:$AS$1006,0))&gt;=100000), " ",IF(INDEX($AC$2:$AS$1001,MATCH(ROWS($V$2:V461),$V$2:$V$1001,0),MATCH(COLUMNS($AC$1006:AP1006),$AC$1006:$AS$1006,0)), HYPERLINK("#",""), HYPERLINK(CONCATENATE("#Metadata!", ADDRESS(INDEX($X$2:$X$1001,MATCH(ROWS($V$2:V461),$V$2:$V$1001,0),0), INDEX($AC$1004:$AS$1004,1,MATCH(COLUMNS($AC$1006:AP1006),$AC$1006:$AS$1006,0)))),"Fix")))</f>
        <v>0</v>
      </c>
      <c r="P461" s="5">
        <f>IF(OR(INDEX($W$2:$W$1001,MATCH(ROWS($V$2:V461),$V$2:$V$1001,0),1)&gt;=100000,INDEX($AC$1005:$AS$1005,1,MATCH(COLUMNS($AC$1006:AQ1006),$AC$1006:$AS$1006,0))&gt;=100000), " ",IF(INDEX($AC$2:$AS$1001,MATCH(ROWS($V$2:V461),$V$2:$V$1001,0),MATCH(COLUMNS($AC$1006:AQ1006),$AC$1006:$AS$1006,0)), HYPERLINK("#",""), HYPERLINK(CONCATENATE("#Metadata!", ADDRESS(INDEX($X$2:$X$1001,MATCH(ROWS($V$2:V461),$V$2:$V$1001,0),0), INDEX($AC$1004:$AS$1004,1,MATCH(COLUMNS($AC$1006:AQ1006),$AC$1006:$AS$1006,0)))),"Fix")))</f>
        <v>0</v>
      </c>
      <c r="Q461" s="5">
        <f>IF(OR(INDEX($W$2:$W$1001,MATCH(ROWS($V$2:V461),$V$2:$V$1001,0),1)&gt;=100000,INDEX($AC$1005:$AS$1005,1,MATCH(COLUMNS($AC$1006:AR1006),$AC$1006:$AS$1006,0))&gt;=100000), " ",IF(INDEX($AC$2:$AS$1001,MATCH(ROWS($V$2:V461),$V$2:$V$1001,0),MATCH(COLUMNS($AC$1006:AR1006),$AC$1006:$AS$1006,0)), HYPERLINK("#",""), HYPERLINK(CONCATENATE("#Metadata!", ADDRESS(INDEX($X$2:$X$1001,MATCH(ROWS($V$2:V461),$V$2:$V$1001,0),0), INDEX($AC$1004:$AS$1004,1,MATCH(COLUMNS($AC$1006:AR1006),$AC$1006:$AS$1006,0)))),"Fix")))</f>
        <v>0</v>
      </c>
      <c r="R461" s="5">
        <f>IF(OR(INDEX($W$2:$W$1001,MATCH(ROWS($V$2:V461),$V$2:$V$1001,0),1)&gt;=100000,INDEX($AC$1005:$AS$1005,1,MATCH(COLUMNS($AC$1006:AS1006),$AC$1006:$AS$1006,0))&gt;=100000), " ",IF(INDEX($AC$2:$AS$1001,MATCH(ROWS($V$2:V461),$V$2:$V$1001,0),MATCH(COLUMNS($AC$1006:AS1006),$AC$1006:$AS$1006,0)), HYPERLINK("#",""), HYPERLINK(CONCATENATE("#Metadata!", ADDRESS(INDEX($X$2:$X$1001,MATCH(ROWS($V$2:V461),$V$2:$V$1001,0),0), INDEX($AC$1004:$AS$1004,1,MATCH(COLUMNS($AC$1006:AS1006),$AC$1006:$AS$1006,0)))),"Fix")))</f>
        <v>0</v>
      </c>
      <c r="V461">
        <v>0</v>
      </c>
      <c r="W461">
        <v>0</v>
      </c>
      <c r="X461">
        <v>0</v>
      </c>
      <c r="Y461">
        <f>IF(Z461,TRUE,AND(AC461:AS461))</f>
        <v>0</v>
      </c>
      <c r="Z461">
        <f>COUNTBLANK(Metadata!B461:R461)=COLUMNS(Metadata!B461:R461)</f>
        <v>0</v>
      </c>
      <c r="AA461">
        <v>0</v>
      </c>
      <c r="AC461">
        <f>AND(IF(Metadata!B461="",FALSE,TRUE),COUNTIF(Metadata!B:B, Metadata!B461) = 1,NOT(ISERROR(SUMPRODUCT(SEARCH(MID(Metadata!B461,ROW(INDIRECT("1:"&amp;LEN(Metadata!B461))), 1),"0123456789abcdefghijklmnopqrstuvwxyzABCDEFGHIJKLMNOPQRSTUVWXYZ.")))))</f>
        <v>0</v>
      </c>
      <c r="AD461">
        <f>AND(IF(Metadata!C461="",FALSE,TRUE),exact(Metadata!C461,"Host-associated"))</f>
        <v>0</v>
      </c>
      <c r="AE461">
        <f>AND(IF(Metadata!D461="",FALSE,TRUE),OR(exact(Metadata!D461,"Animal"),exact(Metadata!D461,"Fungus"),exact(Metadata!D461,"Plant")))</f>
        <v>0</v>
      </c>
      <c r="AF461">
        <f>AND(IF(Metadata!E461="",FALSE,TRUE),OR(exact(Metadata!E461,"Plant secretion"),exact(Metadata!E461,"Plant rhizosphere"),exact(Metadata!E461,"Plant surface"),exact(Metadata!E461,"Plant corpus"),exact(Metadata!E461,"Fungus surface"),exact(Metadata!E461,"Fungus corpus"),exact(Metadata!E461,"Animal surface"),exact(Metadata!E461,"Animal proximal gut"),exact(Metadata!E461,"Animal corpus"),exact(Metadata!E461,"Animal distal gut"),exact(Metadata!E461,"Animal secretion")))</f>
        <v>0</v>
      </c>
      <c r="AG461">
        <f>OR(AND(IF(Metadata!F461="",FALSE,TRUE),OR(exact(Metadata!F461,"not collected"),exact(Metadata!F461,"not provided"),exact(Metadata!F461,"restricted access"))),AND(IF(Metadata!F461="",FALSE,TRUE),OR(exact(Metadata!F461,"organism-associated habitat"),exact(Metadata!F461,"plant-associated habitat"),exact(Metadata!F461,"animal-associated habitat"),exact(Metadata!F461,"insecta-associated habitat"),exact(Metadata!F461,"mammalia-associated habitat"),exact(Metadata!F461,"human-associated habitat"),exact(Metadata!F461,"livestock-associated habitat"))))</f>
        <v>0</v>
      </c>
      <c r="AH461">
        <f>AND(IF(Metadata!G461="",FALSE,TRUE),exact(Metadata!G461,"host-associated"))</f>
        <v>0</v>
      </c>
      <c r="AI461">
        <f>OR(AND(IF(Metadata!H461="",FALSE,TRUE),OR(exact(Metadata!H461,"not collected"),exact(Metadata!H461,"not provided"))),AND(IF(Metadata!H461="",FALSE,ISNUMBER(VALUE(Metadata!H461))),Metadata!H461&gt;0))</f>
        <v>0</v>
      </c>
      <c r="AJ461">
        <f>AND(IF(Metadata!I461="",FALSE,TRUE),exact(Metadata!I461,"years"))</f>
        <v>0</v>
      </c>
      <c r="AK461">
        <f>IF(Metadata!J461="",FALSE,TRUE)</f>
        <v>0</v>
      </c>
      <c r="AL461">
        <f>OR(AND(IF(Metadata!K461="",FALSE,TRUE),OR(exact(Metadata!K461,"not collected"),exact(Metadata!K461,"not provided"))),AND(IF(Metadata!K461="",FALSE,ISNUMBER(VALUE(Metadata!K461))),Metadata!K461&gt;0))</f>
        <v>0</v>
      </c>
      <c r="AM461">
        <f>AND(IF(Metadata!L461="",FALSE,TRUE),exact(Metadata!L461,"cm"))</f>
        <v>0</v>
      </c>
      <c r="AN461">
        <f>IF(Metadata!M461="",FALSE,TRUE)</f>
        <v>0</v>
      </c>
      <c r="AO461">
        <f>OR(AND(IF(Metadata!N461="",FALSE,TRUE),OR(exact(Metadata!N461,"not applicable"),exact(Metadata!N461,"not collected"),exact(Metadata!N461,"not provided"))),AND(IF(Metadata!N461="",FALSE,IF(ISERROR(INT(Metadata!N461)),FALSE,INT(Metadata!N461)=Metadata!N461)),Metadata!N461&gt;0))</f>
        <v>0</v>
      </c>
      <c r="AP461">
        <f>OR(AND(IF(Metadata!O461="",FALSE,TRUE),OR(exact(Metadata!O461,"not collected"),exact(Metadata!O461,"not provided"))),AND(IF(Metadata!O461="",FALSE,ISNUMBER(VALUE(Metadata!O461))),Metadata!O461&gt;0))</f>
        <v>0</v>
      </c>
      <c r="AQ461">
        <f>AND(IF(Metadata!P461="",FALSE,TRUE),exact(Metadata!P461,"kg"))</f>
        <v>0</v>
      </c>
      <c r="AR461">
        <f>OR(AND(IF(Metadata!Q461="",FALSE,TRUE),OR(exact(Metadata!Q461,"not applicable"),exact(Metadata!Q461,"not collected"),exact(Metadata!Q461,"not provided"),exact(Metadata!Q461,"restricted access"))),IF(Metadata!Q461="",FALSE,IF(ISERROR(INT(Metadata!Q461)),FALSE,INT(Metadata!Q461)=Metadata!Q461)))</f>
        <v>0</v>
      </c>
      <c r="AS461">
        <f>AND(IF(Metadata!R461="",FALSE,TRUE),exact(Metadata!R461,"Not applicable"))</f>
        <v>0</v>
      </c>
    </row>
    <row r="462" spans="1:45">
      <c r="A462" s="4">
        <f>IF(B462=" "," ",HYPERLINK(CONCATENATE("#metadata!",ADDRESS(INDEX($X$2:$X$1001,MATCH(ROWS($V$2:V462),$V$2:$V$1001,0),0),2)),INDEX($AA$2:$AA$1001,MATCH(ROWS($V$2:V462),$V$2:$V$1001,0),0)))</f>
        <v>0</v>
      </c>
      <c r="B462" s="5">
        <f>IF(OR(INDEX($W$2:$W$1001,MATCH(ROWS($V$2:V462),$V$2:$V$1001,0),1)&gt;=100000,INDEX($AC$1005:$AS$1005,1,MATCH(COLUMNS($AC$1006:AC1006),$AC$1006:$AS$1006,0))&gt;=100000), " ",IF(INDEX($AC$2:$AS$1001,MATCH(ROWS($V$2:V462),$V$2:$V$1001,0),MATCH(COLUMNS($AC$1006:AC1006),$AC$1006:$AS$1006,0)), HYPERLINK("#",""), HYPERLINK(CONCATENATE("#Metadata!", ADDRESS(INDEX($X$2:$X$1001,MATCH(ROWS($V$2:V462),$V$2:$V$1001,0),0), INDEX($AC$1004:$AS$1004,1,MATCH(COLUMNS($AC$1006:AC1006),$AC$1006:$AS$1006,0)))),"Fix")))</f>
        <v>0</v>
      </c>
      <c r="C462" s="5">
        <f>IF(OR(INDEX($W$2:$W$1001,MATCH(ROWS($V$2:V462),$V$2:$V$1001,0),1)&gt;=100000,INDEX($AC$1005:$AS$1005,1,MATCH(COLUMNS($AC$1006:AD1006),$AC$1006:$AS$1006,0))&gt;=100000), " ",IF(INDEX($AC$2:$AS$1001,MATCH(ROWS($V$2:V462),$V$2:$V$1001,0),MATCH(COLUMNS($AC$1006:AD1006),$AC$1006:$AS$1006,0)), HYPERLINK("#",""), HYPERLINK(CONCATENATE("#Metadata!", ADDRESS(INDEX($X$2:$X$1001,MATCH(ROWS($V$2:V462),$V$2:$V$1001,0),0), INDEX($AC$1004:$AS$1004,1,MATCH(COLUMNS($AC$1006:AD1006),$AC$1006:$AS$1006,0)))),"Fix")))</f>
        <v>0</v>
      </c>
      <c r="D462" s="5">
        <f>IF(OR(INDEX($W$2:$W$1001,MATCH(ROWS($V$2:V462),$V$2:$V$1001,0),1)&gt;=100000,INDEX($AC$1005:$AS$1005,1,MATCH(COLUMNS($AC$1006:AE1006),$AC$1006:$AS$1006,0))&gt;=100000), " ",IF(INDEX($AC$2:$AS$1001,MATCH(ROWS($V$2:V462),$V$2:$V$1001,0),MATCH(COLUMNS($AC$1006:AE1006),$AC$1006:$AS$1006,0)), HYPERLINK("#",""), HYPERLINK(CONCATENATE("#Metadata!", ADDRESS(INDEX($X$2:$X$1001,MATCH(ROWS($V$2:V462),$V$2:$V$1001,0),0), INDEX($AC$1004:$AS$1004,1,MATCH(COLUMNS($AC$1006:AE1006),$AC$1006:$AS$1006,0)))),"Fix")))</f>
        <v>0</v>
      </c>
      <c r="E462" s="5">
        <f>IF(OR(INDEX($W$2:$W$1001,MATCH(ROWS($V$2:V462),$V$2:$V$1001,0),1)&gt;=100000,INDEX($AC$1005:$AS$1005,1,MATCH(COLUMNS($AC$1006:AF1006),$AC$1006:$AS$1006,0))&gt;=100000), " ",IF(INDEX($AC$2:$AS$1001,MATCH(ROWS($V$2:V462),$V$2:$V$1001,0),MATCH(COLUMNS($AC$1006:AF1006),$AC$1006:$AS$1006,0)), HYPERLINK("#",""), HYPERLINK(CONCATENATE("#Metadata!", ADDRESS(INDEX($X$2:$X$1001,MATCH(ROWS($V$2:V462),$V$2:$V$1001,0),0), INDEX($AC$1004:$AS$1004,1,MATCH(COLUMNS($AC$1006:AF1006),$AC$1006:$AS$1006,0)))),"Fix")))</f>
        <v>0</v>
      </c>
      <c r="F462" s="5">
        <f>IF(OR(INDEX($W$2:$W$1001,MATCH(ROWS($V$2:V462),$V$2:$V$1001,0),1)&gt;=100000,INDEX($AC$1005:$AS$1005,1,MATCH(COLUMNS($AC$1006:AG1006),$AC$1006:$AS$1006,0))&gt;=100000), " ",IF(INDEX($AC$2:$AS$1001,MATCH(ROWS($V$2:V462),$V$2:$V$1001,0),MATCH(COLUMNS($AC$1006:AG1006),$AC$1006:$AS$1006,0)), HYPERLINK("#",""), HYPERLINK(CONCATENATE("#Metadata!", ADDRESS(INDEX($X$2:$X$1001,MATCH(ROWS($V$2:V462),$V$2:$V$1001,0),0), INDEX($AC$1004:$AS$1004,1,MATCH(COLUMNS($AC$1006:AG1006),$AC$1006:$AS$1006,0)))),"Fix")))</f>
        <v>0</v>
      </c>
      <c r="G462" s="5">
        <f>IF(OR(INDEX($W$2:$W$1001,MATCH(ROWS($V$2:V462),$V$2:$V$1001,0),1)&gt;=100000,INDEX($AC$1005:$AS$1005,1,MATCH(COLUMNS($AC$1006:AH1006),$AC$1006:$AS$1006,0))&gt;=100000), " ",IF(INDEX($AC$2:$AS$1001,MATCH(ROWS($V$2:V462),$V$2:$V$1001,0),MATCH(COLUMNS($AC$1006:AH1006),$AC$1006:$AS$1006,0)), HYPERLINK("#",""), HYPERLINK(CONCATENATE("#Metadata!", ADDRESS(INDEX($X$2:$X$1001,MATCH(ROWS($V$2:V462),$V$2:$V$1001,0),0), INDEX($AC$1004:$AS$1004,1,MATCH(COLUMNS($AC$1006:AH1006),$AC$1006:$AS$1006,0)))),"Fix")))</f>
        <v>0</v>
      </c>
      <c r="H462" s="5">
        <f>IF(OR(INDEX($W$2:$W$1001,MATCH(ROWS($V$2:V462),$V$2:$V$1001,0),1)&gt;=100000,INDEX($AC$1005:$AS$1005,1,MATCH(COLUMNS($AC$1006:AI1006),$AC$1006:$AS$1006,0))&gt;=100000), " ",IF(INDEX($AC$2:$AS$1001,MATCH(ROWS($V$2:V462),$V$2:$V$1001,0),MATCH(COLUMNS($AC$1006:AI1006),$AC$1006:$AS$1006,0)), HYPERLINK("#",""), HYPERLINK(CONCATENATE("#Metadata!", ADDRESS(INDEX($X$2:$X$1001,MATCH(ROWS($V$2:V462),$V$2:$V$1001,0),0), INDEX($AC$1004:$AS$1004,1,MATCH(COLUMNS($AC$1006:AI1006),$AC$1006:$AS$1006,0)))),"Fix")))</f>
        <v>0</v>
      </c>
      <c r="I462" s="5">
        <f>IF(OR(INDEX($W$2:$W$1001,MATCH(ROWS($V$2:V462),$V$2:$V$1001,0),1)&gt;=100000,INDEX($AC$1005:$AS$1005,1,MATCH(COLUMNS($AC$1006:AJ1006),$AC$1006:$AS$1006,0))&gt;=100000), " ",IF(INDEX($AC$2:$AS$1001,MATCH(ROWS($V$2:V462),$V$2:$V$1001,0),MATCH(COLUMNS($AC$1006:AJ1006),$AC$1006:$AS$1006,0)), HYPERLINK("#",""), HYPERLINK(CONCATENATE("#Metadata!", ADDRESS(INDEX($X$2:$X$1001,MATCH(ROWS($V$2:V462),$V$2:$V$1001,0),0), INDEX($AC$1004:$AS$1004,1,MATCH(COLUMNS($AC$1006:AJ1006),$AC$1006:$AS$1006,0)))),"Fix")))</f>
        <v>0</v>
      </c>
      <c r="J462" s="5">
        <f>IF(OR(INDEX($W$2:$W$1001,MATCH(ROWS($V$2:V462),$V$2:$V$1001,0),1)&gt;=100000,INDEX($AC$1005:$AS$1005,1,MATCH(COLUMNS($AC$1006:AK1006),$AC$1006:$AS$1006,0))&gt;=100000), " ",IF(INDEX($AC$2:$AS$1001,MATCH(ROWS($V$2:V462),$V$2:$V$1001,0),MATCH(COLUMNS($AC$1006:AK1006),$AC$1006:$AS$1006,0)), HYPERLINK("#",""), HYPERLINK(CONCATENATE("#Metadata!", ADDRESS(INDEX($X$2:$X$1001,MATCH(ROWS($V$2:V462),$V$2:$V$1001,0),0), INDEX($AC$1004:$AS$1004,1,MATCH(COLUMNS($AC$1006:AK1006),$AC$1006:$AS$1006,0)))),"Fix")))</f>
        <v>0</v>
      </c>
      <c r="K462" s="5">
        <f>IF(OR(INDEX($W$2:$W$1001,MATCH(ROWS($V$2:V462),$V$2:$V$1001,0),1)&gt;=100000,INDEX($AC$1005:$AS$1005,1,MATCH(COLUMNS($AC$1006:AL1006),$AC$1006:$AS$1006,0))&gt;=100000), " ",IF(INDEX($AC$2:$AS$1001,MATCH(ROWS($V$2:V462),$V$2:$V$1001,0),MATCH(COLUMNS($AC$1006:AL1006),$AC$1006:$AS$1006,0)), HYPERLINK("#",""), HYPERLINK(CONCATENATE("#Metadata!", ADDRESS(INDEX($X$2:$X$1001,MATCH(ROWS($V$2:V462),$V$2:$V$1001,0),0), INDEX($AC$1004:$AS$1004,1,MATCH(COLUMNS($AC$1006:AL1006),$AC$1006:$AS$1006,0)))),"Fix")))</f>
        <v>0</v>
      </c>
      <c r="L462" s="5">
        <f>IF(OR(INDEX($W$2:$W$1001,MATCH(ROWS($V$2:V462),$V$2:$V$1001,0),1)&gt;=100000,INDEX($AC$1005:$AS$1005,1,MATCH(COLUMNS($AC$1006:AM1006),$AC$1006:$AS$1006,0))&gt;=100000), " ",IF(INDEX($AC$2:$AS$1001,MATCH(ROWS($V$2:V462),$V$2:$V$1001,0),MATCH(COLUMNS($AC$1006:AM1006),$AC$1006:$AS$1006,0)), HYPERLINK("#",""), HYPERLINK(CONCATENATE("#Metadata!", ADDRESS(INDEX($X$2:$X$1001,MATCH(ROWS($V$2:V462),$V$2:$V$1001,0),0), INDEX($AC$1004:$AS$1004,1,MATCH(COLUMNS($AC$1006:AM1006),$AC$1006:$AS$1006,0)))),"Fix")))</f>
        <v>0</v>
      </c>
      <c r="M462" s="5">
        <f>IF(OR(INDEX($W$2:$W$1001,MATCH(ROWS($V$2:V462),$V$2:$V$1001,0),1)&gt;=100000,INDEX($AC$1005:$AS$1005,1,MATCH(COLUMNS($AC$1006:AN1006),$AC$1006:$AS$1006,0))&gt;=100000), " ",IF(INDEX($AC$2:$AS$1001,MATCH(ROWS($V$2:V462),$V$2:$V$1001,0),MATCH(COLUMNS($AC$1006:AN1006),$AC$1006:$AS$1006,0)), HYPERLINK("#",""), HYPERLINK(CONCATENATE("#Metadata!", ADDRESS(INDEX($X$2:$X$1001,MATCH(ROWS($V$2:V462),$V$2:$V$1001,0),0), INDEX($AC$1004:$AS$1004,1,MATCH(COLUMNS($AC$1006:AN1006),$AC$1006:$AS$1006,0)))),"Fix")))</f>
        <v>0</v>
      </c>
      <c r="N462" s="5">
        <f>IF(OR(INDEX($W$2:$W$1001,MATCH(ROWS($V$2:V462),$V$2:$V$1001,0),1)&gt;=100000,INDEX($AC$1005:$AS$1005,1,MATCH(COLUMNS($AC$1006:AO1006),$AC$1006:$AS$1006,0))&gt;=100000), " ",IF(INDEX($AC$2:$AS$1001,MATCH(ROWS($V$2:V462),$V$2:$V$1001,0),MATCH(COLUMNS($AC$1006:AO1006),$AC$1006:$AS$1006,0)), HYPERLINK("#",""), HYPERLINK(CONCATENATE("#Metadata!", ADDRESS(INDEX($X$2:$X$1001,MATCH(ROWS($V$2:V462),$V$2:$V$1001,0),0), INDEX($AC$1004:$AS$1004,1,MATCH(COLUMNS($AC$1006:AO1006),$AC$1006:$AS$1006,0)))),"Fix")))</f>
        <v>0</v>
      </c>
      <c r="O462" s="5">
        <f>IF(OR(INDEX($W$2:$W$1001,MATCH(ROWS($V$2:V462),$V$2:$V$1001,0),1)&gt;=100000,INDEX($AC$1005:$AS$1005,1,MATCH(COLUMNS($AC$1006:AP1006),$AC$1006:$AS$1006,0))&gt;=100000), " ",IF(INDEX($AC$2:$AS$1001,MATCH(ROWS($V$2:V462),$V$2:$V$1001,0),MATCH(COLUMNS($AC$1006:AP1006),$AC$1006:$AS$1006,0)), HYPERLINK("#",""), HYPERLINK(CONCATENATE("#Metadata!", ADDRESS(INDEX($X$2:$X$1001,MATCH(ROWS($V$2:V462),$V$2:$V$1001,0),0), INDEX($AC$1004:$AS$1004,1,MATCH(COLUMNS($AC$1006:AP1006),$AC$1006:$AS$1006,0)))),"Fix")))</f>
        <v>0</v>
      </c>
      <c r="P462" s="5">
        <f>IF(OR(INDEX($W$2:$W$1001,MATCH(ROWS($V$2:V462),$V$2:$V$1001,0),1)&gt;=100000,INDEX($AC$1005:$AS$1005,1,MATCH(COLUMNS($AC$1006:AQ1006),$AC$1006:$AS$1006,0))&gt;=100000), " ",IF(INDEX($AC$2:$AS$1001,MATCH(ROWS($V$2:V462),$V$2:$V$1001,0),MATCH(COLUMNS($AC$1006:AQ1006),$AC$1006:$AS$1006,0)), HYPERLINK("#",""), HYPERLINK(CONCATENATE("#Metadata!", ADDRESS(INDEX($X$2:$X$1001,MATCH(ROWS($V$2:V462),$V$2:$V$1001,0),0), INDEX($AC$1004:$AS$1004,1,MATCH(COLUMNS($AC$1006:AQ1006),$AC$1006:$AS$1006,0)))),"Fix")))</f>
        <v>0</v>
      </c>
      <c r="Q462" s="5">
        <f>IF(OR(INDEX($W$2:$W$1001,MATCH(ROWS($V$2:V462),$V$2:$V$1001,0),1)&gt;=100000,INDEX($AC$1005:$AS$1005,1,MATCH(COLUMNS($AC$1006:AR1006),$AC$1006:$AS$1006,0))&gt;=100000), " ",IF(INDEX($AC$2:$AS$1001,MATCH(ROWS($V$2:V462),$V$2:$V$1001,0),MATCH(COLUMNS($AC$1006:AR1006),$AC$1006:$AS$1006,0)), HYPERLINK("#",""), HYPERLINK(CONCATENATE("#Metadata!", ADDRESS(INDEX($X$2:$X$1001,MATCH(ROWS($V$2:V462),$V$2:$V$1001,0),0), INDEX($AC$1004:$AS$1004,1,MATCH(COLUMNS($AC$1006:AR1006),$AC$1006:$AS$1006,0)))),"Fix")))</f>
        <v>0</v>
      </c>
      <c r="R462" s="5">
        <f>IF(OR(INDEX($W$2:$W$1001,MATCH(ROWS($V$2:V462),$V$2:$V$1001,0),1)&gt;=100000,INDEX($AC$1005:$AS$1005,1,MATCH(COLUMNS($AC$1006:AS1006),$AC$1006:$AS$1006,0))&gt;=100000), " ",IF(INDEX($AC$2:$AS$1001,MATCH(ROWS($V$2:V462),$V$2:$V$1001,0),MATCH(COLUMNS($AC$1006:AS1006),$AC$1006:$AS$1006,0)), HYPERLINK("#",""), HYPERLINK(CONCATENATE("#Metadata!", ADDRESS(INDEX($X$2:$X$1001,MATCH(ROWS($V$2:V462),$V$2:$V$1001,0),0), INDEX($AC$1004:$AS$1004,1,MATCH(COLUMNS($AC$1006:AS1006),$AC$1006:$AS$1006,0)))),"Fix")))</f>
        <v>0</v>
      </c>
      <c r="V462">
        <v>0</v>
      </c>
      <c r="W462">
        <v>0</v>
      </c>
      <c r="X462">
        <v>0</v>
      </c>
      <c r="Y462">
        <f>IF(Z462,TRUE,AND(AC462:AS462))</f>
        <v>0</v>
      </c>
      <c r="Z462">
        <f>COUNTBLANK(Metadata!B462:R462)=COLUMNS(Metadata!B462:R462)</f>
        <v>0</v>
      </c>
      <c r="AA462">
        <v>0</v>
      </c>
      <c r="AC462">
        <f>AND(IF(Metadata!B462="",FALSE,TRUE),COUNTIF(Metadata!B:B, Metadata!B462) = 1,NOT(ISERROR(SUMPRODUCT(SEARCH(MID(Metadata!B462,ROW(INDIRECT("1:"&amp;LEN(Metadata!B462))), 1),"0123456789abcdefghijklmnopqrstuvwxyzABCDEFGHIJKLMNOPQRSTUVWXYZ.")))))</f>
        <v>0</v>
      </c>
      <c r="AD462">
        <f>AND(IF(Metadata!C462="",FALSE,TRUE),exact(Metadata!C462,"Host-associated"))</f>
        <v>0</v>
      </c>
      <c r="AE462">
        <f>AND(IF(Metadata!D462="",FALSE,TRUE),OR(exact(Metadata!D462,"Animal"),exact(Metadata!D462,"Fungus"),exact(Metadata!D462,"Plant")))</f>
        <v>0</v>
      </c>
      <c r="AF462">
        <f>AND(IF(Metadata!E462="",FALSE,TRUE),OR(exact(Metadata!E462,"Plant secretion"),exact(Metadata!E462,"Plant rhizosphere"),exact(Metadata!E462,"Plant surface"),exact(Metadata!E462,"Plant corpus"),exact(Metadata!E462,"Fungus surface"),exact(Metadata!E462,"Fungus corpus"),exact(Metadata!E462,"Animal surface"),exact(Metadata!E462,"Animal proximal gut"),exact(Metadata!E462,"Animal corpus"),exact(Metadata!E462,"Animal distal gut"),exact(Metadata!E462,"Animal secretion")))</f>
        <v>0</v>
      </c>
      <c r="AG462">
        <f>OR(AND(IF(Metadata!F462="",FALSE,TRUE),OR(exact(Metadata!F462,"not collected"),exact(Metadata!F462,"not provided"),exact(Metadata!F462,"restricted access"))),AND(IF(Metadata!F462="",FALSE,TRUE),OR(exact(Metadata!F462,"organism-associated habitat"),exact(Metadata!F462,"plant-associated habitat"),exact(Metadata!F462,"animal-associated habitat"),exact(Metadata!F462,"insecta-associated habitat"),exact(Metadata!F462,"mammalia-associated habitat"),exact(Metadata!F462,"human-associated habitat"),exact(Metadata!F462,"livestock-associated habitat"))))</f>
        <v>0</v>
      </c>
      <c r="AH462">
        <f>AND(IF(Metadata!G462="",FALSE,TRUE),exact(Metadata!G462,"host-associated"))</f>
        <v>0</v>
      </c>
      <c r="AI462">
        <f>OR(AND(IF(Metadata!H462="",FALSE,TRUE),OR(exact(Metadata!H462,"not collected"),exact(Metadata!H462,"not provided"))),AND(IF(Metadata!H462="",FALSE,ISNUMBER(VALUE(Metadata!H462))),Metadata!H462&gt;0))</f>
        <v>0</v>
      </c>
      <c r="AJ462">
        <f>AND(IF(Metadata!I462="",FALSE,TRUE),exact(Metadata!I462,"years"))</f>
        <v>0</v>
      </c>
      <c r="AK462">
        <f>IF(Metadata!J462="",FALSE,TRUE)</f>
        <v>0</v>
      </c>
      <c r="AL462">
        <f>OR(AND(IF(Metadata!K462="",FALSE,TRUE),OR(exact(Metadata!K462,"not collected"),exact(Metadata!K462,"not provided"))),AND(IF(Metadata!K462="",FALSE,ISNUMBER(VALUE(Metadata!K462))),Metadata!K462&gt;0))</f>
        <v>0</v>
      </c>
      <c r="AM462">
        <f>AND(IF(Metadata!L462="",FALSE,TRUE),exact(Metadata!L462,"cm"))</f>
        <v>0</v>
      </c>
      <c r="AN462">
        <f>IF(Metadata!M462="",FALSE,TRUE)</f>
        <v>0</v>
      </c>
      <c r="AO462">
        <f>OR(AND(IF(Metadata!N462="",FALSE,TRUE),OR(exact(Metadata!N462,"not applicable"),exact(Metadata!N462,"not collected"),exact(Metadata!N462,"not provided"))),AND(IF(Metadata!N462="",FALSE,IF(ISERROR(INT(Metadata!N462)),FALSE,INT(Metadata!N462)=Metadata!N462)),Metadata!N462&gt;0))</f>
        <v>0</v>
      </c>
      <c r="AP462">
        <f>OR(AND(IF(Metadata!O462="",FALSE,TRUE),OR(exact(Metadata!O462,"not collected"),exact(Metadata!O462,"not provided"))),AND(IF(Metadata!O462="",FALSE,ISNUMBER(VALUE(Metadata!O462))),Metadata!O462&gt;0))</f>
        <v>0</v>
      </c>
      <c r="AQ462">
        <f>AND(IF(Metadata!P462="",FALSE,TRUE),exact(Metadata!P462,"kg"))</f>
        <v>0</v>
      </c>
      <c r="AR462">
        <f>OR(AND(IF(Metadata!Q462="",FALSE,TRUE),OR(exact(Metadata!Q462,"not applicable"),exact(Metadata!Q462,"not collected"),exact(Metadata!Q462,"not provided"),exact(Metadata!Q462,"restricted access"))),IF(Metadata!Q462="",FALSE,IF(ISERROR(INT(Metadata!Q462)),FALSE,INT(Metadata!Q462)=Metadata!Q462)))</f>
        <v>0</v>
      </c>
      <c r="AS462">
        <f>AND(IF(Metadata!R462="",FALSE,TRUE),exact(Metadata!R462,"Not applicable"))</f>
        <v>0</v>
      </c>
    </row>
    <row r="463" spans="1:45">
      <c r="A463" s="4">
        <f>IF(B463=" "," ",HYPERLINK(CONCATENATE("#metadata!",ADDRESS(INDEX($X$2:$X$1001,MATCH(ROWS($V$2:V463),$V$2:$V$1001,0),0),2)),INDEX($AA$2:$AA$1001,MATCH(ROWS($V$2:V463),$V$2:$V$1001,0),0)))</f>
        <v>0</v>
      </c>
      <c r="B463" s="5">
        <f>IF(OR(INDEX($W$2:$W$1001,MATCH(ROWS($V$2:V463),$V$2:$V$1001,0),1)&gt;=100000,INDEX($AC$1005:$AS$1005,1,MATCH(COLUMNS($AC$1006:AC1006),$AC$1006:$AS$1006,0))&gt;=100000), " ",IF(INDEX($AC$2:$AS$1001,MATCH(ROWS($V$2:V463),$V$2:$V$1001,0),MATCH(COLUMNS($AC$1006:AC1006),$AC$1006:$AS$1006,0)), HYPERLINK("#",""), HYPERLINK(CONCATENATE("#Metadata!", ADDRESS(INDEX($X$2:$X$1001,MATCH(ROWS($V$2:V463),$V$2:$V$1001,0),0), INDEX($AC$1004:$AS$1004,1,MATCH(COLUMNS($AC$1006:AC1006),$AC$1006:$AS$1006,0)))),"Fix")))</f>
        <v>0</v>
      </c>
      <c r="C463" s="5">
        <f>IF(OR(INDEX($W$2:$W$1001,MATCH(ROWS($V$2:V463),$V$2:$V$1001,0),1)&gt;=100000,INDEX($AC$1005:$AS$1005,1,MATCH(COLUMNS($AC$1006:AD1006),$AC$1006:$AS$1006,0))&gt;=100000), " ",IF(INDEX($AC$2:$AS$1001,MATCH(ROWS($V$2:V463),$V$2:$V$1001,0),MATCH(COLUMNS($AC$1006:AD1006),$AC$1006:$AS$1006,0)), HYPERLINK("#",""), HYPERLINK(CONCATENATE("#Metadata!", ADDRESS(INDEX($X$2:$X$1001,MATCH(ROWS($V$2:V463),$V$2:$V$1001,0),0), INDEX($AC$1004:$AS$1004,1,MATCH(COLUMNS($AC$1006:AD1006),$AC$1006:$AS$1006,0)))),"Fix")))</f>
        <v>0</v>
      </c>
      <c r="D463" s="5">
        <f>IF(OR(INDEX($W$2:$W$1001,MATCH(ROWS($V$2:V463),$V$2:$V$1001,0),1)&gt;=100000,INDEX($AC$1005:$AS$1005,1,MATCH(COLUMNS($AC$1006:AE1006),$AC$1006:$AS$1006,0))&gt;=100000), " ",IF(INDEX($AC$2:$AS$1001,MATCH(ROWS($V$2:V463),$V$2:$V$1001,0),MATCH(COLUMNS($AC$1006:AE1006),$AC$1006:$AS$1006,0)), HYPERLINK("#",""), HYPERLINK(CONCATENATE("#Metadata!", ADDRESS(INDEX($X$2:$X$1001,MATCH(ROWS($V$2:V463),$V$2:$V$1001,0),0), INDEX($AC$1004:$AS$1004,1,MATCH(COLUMNS($AC$1006:AE1006),$AC$1006:$AS$1006,0)))),"Fix")))</f>
        <v>0</v>
      </c>
      <c r="E463" s="5">
        <f>IF(OR(INDEX($W$2:$W$1001,MATCH(ROWS($V$2:V463),$V$2:$V$1001,0),1)&gt;=100000,INDEX($AC$1005:$AS$1005,1,MATCH(COLUMNS($AC$1006:AF1006),$AC$1006:$AS$1006,0))&gt;=100000), " ",IF(INDEX($AC$2:$AS$1001,MATCH(ROWS($V$2:V463),$V$2:$V$1001,0),MATCH(COLUMNS($AC$1006:AF1006),$AC$1006:$AS$1006,0)), HYPERLINK("#",""), HYPERLINK(CONCATENATE("#Metadata!", ADDRESS(INDEX($X$2:$X$1001,MATCH(ROWS($V$2:V463),$V$2:$V$1001,0),0), INDEX($AC$1004:$AS$1004,1,MATCH(COLUMNS($AC$1006:AF1006),$AC$1006:$AS$1006,0)))),"Fix")))</f>
        <v>0</v>
      </c>
      <c r="F463" s="5">
        <f>IF(OR(INDEX($W$2:$W$1001,MATCH(ROWS($V$2:V463),$V$2:$V$1001,0),1)&gt;=100000,INDEX($AC$1005:$AS$1005,1,MATCH(COLUMNS($AC$1006:AG1006),$AC$1006:$AS$1006,0))&gt;=100000), " ",IF(INDEX($AC$2:$AS$1001,MATCH(ROWS($V$2:V463),$V$2:$V$1001,0),MATCH(COLUMNS($AC$1006:AG1006),$AC$1006:$AS$1006,0)), HYPERLINK("#",""), HYPERLINK(CONCATENATE("#Metadata!", ADDRESS(INDEX($X$2:$X$1001,MATCH(ROWS($V$2:V463),$V$2:$V$1001,0),0), INDEX($AC$1004:$AS$1004,1,MATCH(COLUMNS($AC$1006:AG1006),$AC$1006:$AS$1006,0)))),"Fix")))</f>
        <v>0</v>
      </c>
      <c r="G463" s="5">
        <f>IF(OR(INDEX($W$2:$W$1001,MATCH(ROWS($V$2:V463),$V$2:$V$1001,0),1)&gt;=100000,INDEX($AC$1005:$AS$1005,1,MATCH(COLUMNS($AC$1006:AH1006),$AC$1006:$AS$1006,0))&gt;=100000), " ",IF(INDEX($AC$2:$AS$1001,MATCH(ROWS($V$2:V463),$V$2:$V$1001,0),MATCH(COLUMNS($AC$1006:AH1006),$AC$1006:$AS$1006,0)), HYPERLINK("#",""), HYPERLINK(CONCATENATE("#Metadata!", ADDRESS(INDEX($X$2:$X$1001,MATCH(ROWS($V$2:V463),$V$2:$V$1001,0),0), INDEX($AC$1004:$AS$1004,1,MATCH(COLUMNS($AC$1006:AH1006),$AC$1006:$AS$1006,0)))),"Fix")))</f>
        <v>0</v>
      </c>
      <c r="H463" s="5">
        <f>IF(OR(INDEX($W$2:$W$1001,MATCH(ROWS($V$2:V463),$V$2:$V$1001,0),1)&gt;=100000,INDEX($AC$1005:$AS$1005,1,MATCH(COLUMNS($AC$1006:AI1006),$AC$1006:$AS$1006,0))&gt;=100000), " ",IF(INDEX($AC$2:$AS$1001,MATCH(ROWS($V$2:V463),$V$2:$V$1001,0),MATCH(COLUMNS($AC$1006:AI1006),$AC$1006:$AS$1006,0)), HYPERLINK("#",""), HYPERLINK(CONCATENATE("#Metadata!", ADDRESS(INDEX($X$2:$X$1001,MATCH(ROWS($V$2:V463),$V$2:$V$1001,0),0), INDEX($AC$1004:$AS$1004,1,MATCH(COLUMNS($AC$1006:AI1006),$AC$1006:$AS$1006,0)))),"Fix")))</f>
        <v>0</v>
      </c>
      <c r="I463" s="5">
        <f>IF(OR(INDEX($W$2:$W$1001,MATCH(ROWS($V$2:V463),$V$2:$V$1001,0),1)&gt;=100000,INDEX($AC$1005:$AS$1005,1,MATCH(COLUMNS($AC$1006:AJ1006),$AC$1006:$AS$1006,0))&gt;=100000), " ",IF(INDEX($AC$2:$AS$1001,MATCH(ROWS($V$2:V463),$V$2:$V$1001,0),MATCH(COLUMNS($AC$1006:AJ1006),$AC$1006:$AS$1006,0)), HYPERLINK("#",""), HYPERLINK(CONCATENATE("#Metadata!", ADDRESS(INDEX($X$2:$X$1001,MATCH(ROWS($V$2:V463),$V$2:$V$1001,0),0), INDEX($AC$1004:$AS$1004,1,MATCH(COLUMNS($AC$1006:AJ1006),$AC$1006:$AS$1006,0)))),"Fix")))</f>
        <v>0</v>
      </c>
      <c r="J463" s="5">
        <f>IF(OR(INDEX($W$2:$W$1001,MATCH(ROWS($V$2:V463),$V$2:$V$1001,0),1)&gt;=100000,INDEX($AC$1005:$AS$1005,1,MATCH(COLUMNS($AC$1006:AK1006),$AC$1006:$AS$1006,0))&gt;=100000), " ",IF(INDEX($AC$2:$AS$1001,MATCH(ROWS($V$2:V463),$V$2:$V$1001,0),MATCH(COLUMNS($AC$1006:AK1006),$AC$1006:$AS$1006,0)), HYPERLINK("#",""), HYPERLINK(CONCATENATE("#Metadata!", ADDRESS(INDEX($X$2:$X$1001,MATCH(ROWS($V$2:V463),$V$2:$V$1001,0),0), INDEX($AC$1004:$AS$1004,1,MATCH(COLUMNS($AC$1006:AK1006),$AC$1006:$AS$1006,0)))),"Fix")))</f>
        <v>0</v>
      </c>
      <c r="K463" s="5">
        <f>IF(OR(INDEX($W$2:$W$1001,MATCH(ROWS($V$2:V463),$V$2:$V$1001,0),1)&gt;=100000,INDEX($AC$1005:$AS$1005,1,MATCH(COLUMNS($AC$1006:AL1006),$AC$1006:$AS$1006,0))&gt;=100000), " ",IF(INDEX($AC$2:$AS$1001,MATCH(ROWS($V$2:V463),$V$2:$V$1001,0),MATCH(COLUMNS($AC$1006:AL1006),$AC$1006:$AS$1006,0)), HYPERLINK("#",""), HYPERLINK(CONCATENATE("#Metadata!", ADDRESS(INDEX($X$2:$X$1001,MATCH(ROWS($V$2:V463),$V$2:$V$1001,0),0), INDEX($AC$1004:$AS$1004,1,MATCH(COLUMNS($AC$1006:AL1006),$AC$1006:$AS$1006,0)))),"Fix")))</f>
        <v>0</v>
      </c>
      <c r="L463" s="5">
        <f>IF(OR(INDEX($W$2:$W$1001,MATCH(ROWS($V$2:V463),$V$2:$V$1001,0),1)&gt;=100000,INDEX($AC$1005:$AS$1005,1,MATCH(COLUMNS($AC$1006:AM1006),$AC$1006:$AS$1006,0))&gt;=100000), " ",IF(INDEX($AC$2:$AS$1001,MATCH(ROWS($V$2:V463),$V$2:$V$1001,0),MATCH(COLUMNS($AC$1006:AM1006),$AC$1006:$AS$1006,0)), HYPERLINK("#",""), HYPERLINK(CONCATENATE("#Metadata!", ADDRESS(INDEX($X$2:$X$1001,MATCH(ROWS($V$2:V463),$V$2:$V$1001,0),0), INDEX($AC$1004:$AS$1004,1,MATCH(COLUMNS($AC$1006:AM1006),$AC$1006:$AS$1006,0)))),"Fix")))</f>
        <v>0</v>
      </c>
      <c r="M463" s="5">
        <f>IF(OR(INDEX($W$2:$W$1001,MATCH(ROWS($V$2:V463),$V$2:$V$1001,0),1)&gt;=100000,INDEX($AC$1005:$AS$1005,1,MATCH(COLUMNS($AC$1006:AN1006),$AC$1006:$AS$1006,0))&gt;=100000), " ",IF(INDEX($AC$2:$AS$1001,MATCH(ROWS($V$2:V463),$V$2:$V$1001,0),MATCH(COLUMNS($AC$1006:AN1006),$AC$1006:$AS$1006,0)), HYPERLINK("#",""), HYPERLINK(CONCATENATE("#Metadata!", ADDRESS(INDEX($X$2:$X$1001,MATCH(ROWS($V$2:V463),$V$2:$V$1001,0),0), INDEX($AC$1004:$AS$1004,1,MATCH(COLUMNS($AC$1006:AN1006),$AC$1006:$AS$1006,0)))),"Fix")))</f>
        <v>0</v>
      </c>
      <c r="N463" s="5">
        <f>IF(OR(INDEX($W$2:$W$1001,MATCH(ROWS($V$2:V463),$V$2:$V$1001,0),1)&gt;=100000,INDEX($AC$1005:$AS$1005,1,MATCH(COLUMNS($AC$1006:AO1006),$AC$1006:$AS$1006,0))&gt;=100000), " ",IF(INDEX($AC$2:$AS$1001,MATCH(ROWS($V$2:V463),$V$2:$V$1001,0),MATCH(COLUMNS($AC$1006:AO1006),$AC$1006:$AS$1006,0)), HYPERLINK("#",""), HYPERLINK(CONCATENATE("#Metadata!", ADDRESS(INDEX($X$2:$X$1001,MATCH(ROWS($V$2:V463),$V$2:$V$1001,0),0), INDEX($AC$1004:$AS$1004,1,MATCH(COLUMNS($AC$1006:AO1006),$AC$1006:$AS$1006,0)))),"Fix")))</f>
        <v>0</v>
      </c>
      <c r="O463" s="5">
        <f>IF(OR(INDEX($W$2:$W$1001,MATCH(ROWS($V$2:V463),$V$2:$V$1001,0),1)&gt;=100000,INDEX($AC$1005:$AS$1005,1,MATCH(COLUMNS($AC$1006:AP1006),$AC$1006:$AS$1006,0))&gt;=100000), " ",IF(INDEX($AC$2:$AS$1001,MATCH(ROWS($V$2:V463),$V$2:$V$1001,0),MATCH(COLUMNS($AC$1006:AP1006),$AC$1006:$AS$1006,0)), HYPERLINK("#",""), HYPERLINK(CONCATENATE("#Metadata!", ADDRESS(INDEX($X$2:$X$1001,MATCH(ROWS($V$2:V463),$V$2:$V$1001,0),0), INDEX($AC$1004:$AS$1004,1,MATCH(COLUMNS($AC$1006:AP1006),$AC$1006:$AS$1006,0)))),"Fix")))</f>
        <v>0</v>
      </c>
      <c r="P463" s="5">
        <f>IF(OR(INDEX($W$2:$W$1001,MATCH(ROWS($V$2:V463),$V$2:$V$1001,0),1)&gt;=100000,INDEX($AC$1005:$AS$1005,1,MATCH(COLUMNS($AC$1006:AQ1006),$AC$1006:$AS$1006,0))&gt;=100000), " ",IF(INDEX($AC$2:$AS$1001,MATCH(ROWS($V$2:V463),$V$2:$V$1001,0),MATCH(COLUMNS($AC$1006:AQ1006),$AC$1006:$AS$1006,0)), HYPERLINK("#",""), HYPERLINK(CONCATENATE("#Metadata!", ADDRESS(INDEX($X$2:$X$1001,MATCH(ROWS($V$2:V463),$V$2:$V$1001,0),0), INDEX($AC$1004:$AS$1004,1,MATCH(COLUMNS($AC$1006:AQ1006),$AC$1006:$AS$1006,0)))),"Fix")))</f>
        <v>0</v>
      </c>
      <c r="Q463" s="5">
        <f>IF(OR(INDEX($W$2:$W$1001,MATCH(ROWS($V$2:V463),$V$2:$V$1001,0),1)&gt;=100000,INDEX($AC$1005:$AS$1005,1,MATCH(COLUMNS($AC$1006:AR1006),$AC$1006:$AS$1006,0))&gt;=100000), " ",IF(INDEX($AC$2:$AS$1001,MATCH(ROWS($V$2:V463),$V$2:$V$1001,0),MATCH(COLUMNS($AC$1006:AR1006),$AC$1006:$AS$1006,0)), HYPERLINK("#",""), HYPERLINK(CONCATENATE("#Metadata!", ADDRESS(INDEX($X$2:$X$1001,MATCH(ROWS($V$2:V463),$V$2:$V$1001,0),0), INDEX($AC$1004:$AS$1004,1,MATCH(COLUMNS($AC$1006:AR1006),$AC$1006:$AS$1006,0)))),"Fix")))</f>
        <v>0</v>
      </c>
      <c r="R463" s="5">
        <f>IF(OR(INDEX($W$2:$W$1001,MATCH(ROWS($V$2:V463),$V$2:$V$1001,0),1)&gt;=100000,INDEX($AC$1005:$AS$1005,1,MATCH(COLUMNS($AC$1006:AS1006),$AC$1006:$AS$1006,0))&gt;=100000), " ",IF(INDEX($AC$2:$AS$1001,MATCH(ROWS($V$2:V463),$V$2:$V$1001,0),MATCH(COLUMNS($AC$1006:AS1006),$AC$1006:$AS$1006,0)), HYPERLINK("#",""), HYPERLINK(CONCATENATE("#Metadata!", ADDRESS(INDEX($X$2:$X$1001,MATCH(ROWS($V$2:V463),$V$2:$V$1001,0),0), INDEX($AC$1004:$AS$1004,1,MATCH(COLUMNS($AC$1006:AS1006),$AC$1006:$AS$1006,0)))),"Fix")))</f>
        <v>0</v>
      </c>
      <c r="V463">
        <v>0</v>
      </c>
      <c r="W463">
        <v>0</v>
      </c>
      <c r="X463">
        <v>0</v>
      </c>
      <c r="Y463">
        <f>IF(Z463,TRUE,AND(AC463:AS463))</f>
        <v>0</v>
      </c>
      <c r="Z463">
        <f>COUNTBLANK(Metadata!B463:R463)=COLUMNS(Metadata!B463:R463)</f>
        <v>0</v>
      </c>
      <c r="AA463">
        <v>0</v>
      </c>
      <c r="AC463">
        <f>AND(IF(Metadata!B463="",FALSE,TRUE),COUNTIF(Metadata!B:B, Metadata!B463) = 1,NOT(ISERROR(SUMPRODUCT(SEARCH(MID(Metadata!B463,ROW(INDIRECT("1:"&amp;LEN(Metadata!B463))), 1),"0123456789abcdefghijklmnopqrstuvwxyzABCDEFGHIJKLMNOPQRSTUVWXYZ.")))))</f>
        <v>0</v>
      </c>
      <c r="AD463">
        <f>AND(IF(Metadata!C463="",FALSE,TRUE),exact(Metadata!C463,"Host-associated"))</f>
        <v>0</v>
      </c>
      <c r="AE463">
        <f>AND(IF(Metadata!D463="",FALSE,TRUE),OR(exact(Metadata!D463,"Animal"),exact(Metadata!D463,"Fungus"),exact(Metadata!D463,"Plant")))</f>
        <v>0</v>
      </c>
      <c r="AF463">
        <f>AND(IF(Metadata!E463="",FALSE,TRUE),OR(exact(Metadata!E463,"Plant secretion"),exact(Metadata!E463,"Plant rhizosphere"),exact(Metadata!E463,"Plant surface"),exact(Metadata!E463,"Plant corpus"),exact(Metadata!E463,"Fungus surface"),exact(Metadata!E463,"Fungus corpus"),exact(Metadata!E463,"Animal surface"),exact(Metadata!E463,"Animal proximal gut"),exact(Metadata!E463,"Animal corpus"),exact(Metadata!E463,"Animal distal gut"),exact(Metadata!E463,"Animal secretion")))</f>
        <v>0</v>
      </c>
      <c r="AG463">
        <f>OR(AND(IF(Metadata!F463="",FALSE,TRUE),OR(exact(Metadata!F463,"not collected"),exact(Metadata!F463,"not provided"),exact(Metadata!F463,"restricted access"))),AND(IF(Metadata!F463="",FALSE,TRUE),OR(exact(Metadata!F463,"organism-associated habitat"),exact(Metadata!F463,"plant-associated habitat"),exact(Metadata!F463,"animal-associated habitat"),exact(Metadata!F463,"insecta-associated habitat"),exact(Metadata!F463,"mammalia-associated habitat"),exact(Metadata!F463,"human-associated habitat"),exact(Metadata!F463,"livestock-associated habitat"))))</f>
        <v>0</v>
      </c>
      <c r="AH463">
        <f>AND(IF(Metadata!G463="",FALSE,TRUE),exact(Metadata!G463,"host-associated"))</f>
        <v>0</v>
      </c>
      <c r="AI463">
        <f>OR(AND(IF(Metadata!H463="",FALSE,TRUE),OR(exact(Metadata!H463,"not collected"),exact(Metadata!H463,"not provided"))),AND(IF(Metadata!H463="",FALSE,ISNUMBER(VALUE(Metadata!H463))),Metadata!H463&gt;0))</f>
        <v>0</v>
      </c>
      <c r="AJ463">
        <f>AND(IF(Metadata!I463="",FALSE,TRUE),exact(Metadata!I463,"years"))</f>
        <v>0</v>
      </c>
      <c r="AK463">
        <f>IF(Metadata!J463="",FALSE,TRUE)</f>
        <v>0</v>
      </c>
      <c r="AL463">
        <f>OR(AND(IF(Metadata!K463="",FALSE,TRUE),OR(exact(Metadata!K463,"not collected"),exact(Metadata!K463,"not provided"))),AND(IF(Metadata!K463="",FALSE,ISNUMBER(VALUE(Metadata!K463))),Metadata!K463&gt;0))</f>
        <v>0</v>
      </c>
      <c r="AM463">
        <f>AND(IF(Metadata!L463="",FALSE,TRUE),exact(Metadata!L463,"cm"))</f>
        <v>0</v>
      </c>
      <c r="AN463">
        <f>IF(Metadata!M463="",FALSE,TRUE)</f>
        <v>0</v>
      </c>
      <c r="AO463">
        <f>OR(AND(IF(Metadata!N463="",FALSE,TRUE),OR(exact(Metadata!N463,"not applicable"),exact(Metadata!N463,"not collected"),exact(Metadata!N463,"not provided"))),AND(IF(Metadata!N463="",FALSE,IF(ISERROR(INT(Metadata!N463)),FALSE,INT(Metadata!N463)=Metadata!N463)),Metadata!N463&gt;0))</f>
        <v>0</v>
      </c>
      <c r="AP463">
        <f>OR(AND(IF(Metadata!O463="",FALSE,TRUE),OR(exact(Metadata!O463,"not collected"),exact(Metadata!O463,"not provided"))),AND(IF(Metadata!O463="",FALSE,ISNUMBER(VALUE(Metadata!O463))),Metadata!O463&gt;0))</f>
        <v>0</v>
      </c>
      <c r="AQ463">
        <f>AND(IF(Metadata!P463="",FALSE,TRUE),exact(Metadata!P463,"kg"))</f>
        <v>0</v>
      </c>
      <c r="AR463">
        <f>OR(AND(IF(Metadata!Q463="",FALSE,TRUE),OR(exact(Metadata!Q463,"not applicable"),exact(Metadata!Q463,"not collected"),exact(Metadata!Q463,"not provided"),exact(Metadata!Q463,"restricted access"))),IF(Metadata!Q463="",FALSE,IF(ISERROR(INT(Metadata!Q463)),FALSE,INT(Metadata!Q463)=Metadata!Q463)))</f>
        <v>0</v>
      </c>
      <c r="AS463">
        <f>AND(IF(Metadata!R463="",FALSE,TRUE),exact(Metadata!R463,"Not applicable"))</f>
        <v>0</v>
      </c>
    </row>
    <row r="464" spans="1:45">
      <c r="A464" s="4">
        <f>IF(B464=" "," ",HYPERLINK(CONCATENATE("#metadata!",ADDRESS(INDEX($X$2:$X$1001,MATCH(ROWS($V$2:V464),$V$2:$V$1001,0),0),2)),INDEX($AA$2:$AA$1001,MATCH(ROWS($V$2:V464),$V$2:$V$1001,0),0)))</f>
        <v>0</v>
      </c>
      <c r="B464" s="5">
        <f>IF(OR(INDEX($W$2:$W$1001,MATCH(ROWS($V$2:V464),$V$2:$V$1001,0),1)&gt;=100000,INDEX($AC$1005:$AS$1005,1,MATCH(COLUMNS($AC$1006:AC1006),$AC$1006:$AS$1006,0))&gt;=100000), " ",IF(INDEX($AC$2:$AS$1001,MATCH(ROWS($V$2:V464),$V$2:$V$1001,0),MATCH(COLUMNS($AC$1006:AC1006),$AC$1006:$AS$1006,0)), HYPERLINK("#",""), HYPERLINK(CONCATENATE("#Metadata!", ADDRESS(INDEX($X$2:$X$1001,MATCH(ROWS($V$2:V464),$V$2:$V$1001,0),0), INDEX($AC$1004:$AS$1004,1,MATCH(COLUMNS($AC$1006:AC1006),$AC$1006:$AS$1006,0)))),"Fix")))</f>
        <v>0</v>
      </c>
      <c r="C464" s="5">
        <f>IF(OR(INDEX($W$2:$W$1001,MATCH(ROWS($V$2:V464),$V$2:$V$1001,0),1)&gt;=100000,INDEX($AC$1005:$AS$1005,1,MATCH(COLUMNS($AC$1006:AD1006),$AC$1006:$AS$1006,0))&gt;=100000), " ",IF(INDEX($AC$2:$AS$1001,MATCH(ROWS($V$2:V464),$V$2:$V$1001,0),MATCH(COLUMNS($AC$1006:AD1006),$AC$1006:$AS$1006,0)), HYPERLINK("#",""), HYPERLINK(CONCATENATE("#Metadata!", ADDRESS(INDEX($X$2:$X$1001,MATCH(ROWS($V$2:V464),$V$2:$V$1001,0),0), INDEX($AC$1004:$AS$1004,1,MATCH(COLUMNS($AC$1006:AD1006),$AC$1006:$AS$1006,0)))),"Fix")))</f>
        <v>0</v>
      </c>
      <c r="D464" s="5">
        <f>IF(OR(INDEX($W$2:$W$1001,MATCH(ROWS($V$2:V464),$V$2:$V$1001,0),1)&gt;=100000,INDEX($AC$1005:$AS$1005,1,MATCH(COLUMNS($AC$1006:AE1006),$AC$1006:$AS$1006,0))&gt;=100000), " ",IF(INDEX($AC$2:$AS$1001,MATCH(ROWS($V$2:V464),$V$2:$V$1001,0),MATCH(COLUMNS($AC$1006:AE1006),$AC$1006:$AS$1006,0)), HYPERLINK("#",""), HYPERLINK(CONCATENATE("#Metadata!", ADDRESS(INDEX($X$2:$X$1001,MATCH(ROWS($V$2:V464),$V$2:$V$1001,0),0), INDEX($AC$1004:$AS$1004,1,MATCH(COLUMNS($AC$1006:AE1006),$AC$1006:$AS$1006,0)))),"Fix")))</f>
        <v>0</v>
      </c>
      <c r="E464" s="5">
        <f>IF(OR(INDEX($W$2:$W$1001,MATCH(ROWS($V$2:V464),$V$2:$V$1001,0),1)&gt;=100000,INDEX($AC$1005:$AS$1005,1,MATCH(COLUMNS($AC$1006:AF1006),$AC$1006:$AS$1006,0))&gt;=100000), " ",IF(INDEX($AC$2:$AS$1001,MATCH(ROWS($V$2:V464),$V$2:$V$1001,0),MATCH(COLUMNS($AC$1006:AF1006),$AC$1006:$AS$1006,0)), HYPERLINK("#",""), HYPERLINK(CONCATENATE("#Metadata!", ADDRESS(INDEX($X$2:$X$1001,MATCH(ROWS($V$2:V464),$V$2:$V$1001,0),0), INDEX($AC$1004:$AS$1004,1,MATCH(COLUMNS($AC$1006:AF1006),$AC$1006:$AS$1006,0)))),"Fix")))</f>
        <v>0</v>
      </c>
      <c r="F464" s="5">
        <f>IF(OR(INDEX($W$2:$W$1001,MATCH(ROWS($V$2:V464),$V$2:$V$1001,0),1)&gt;=100000,INDEX($AC$1005:$AS$1005,1,MATCH(COLUMNS($AC$1006:AG1006),$AC$1006:$AS$1006,0))&gt;=100000), " ",IF(INDEX($AC$2:$AS$1001,MATCH(ROWS($V$2:V464),$V$2:$V$1001,0),MATCH(COLUMNS($AC$1006:AG1006),$AC$1006:$AS$1006,0)), HYPERLINK("#",""), HYPERLINK(CONCATENATE("#Metadata!", ADDRESS(INDEX($X$2:$X$1001,MATCH(ROWS($V$2:V464),$V$2:$V$1001,0),0), INDEX($AC$1004:$AS$1004,1,MATCH(COLUMNS($AC$1006:AG1006),$AC$1006:$AS$1006,0)))),"Fix")))</f>
        <v>0</v>
      </c>
      <c r="G464" s="5">
        <f>IF(OR(INDEX($W$2:$W$1001,MATCH(ROWS($V$2:V464),$V$2:$V$1001,0),1)&gt;=100000,INDEX($AC$1005:$AS$1005,1,MATCH(COLUMNS($AC$1006:AH1006),$AC$1006:$AS$1006,0))&gt;=100000), " ",IF(INDEX($AC$2:$AS$1001,MATCH(ROWS($V$2:V464),$V$2:$V$1001,0),MATCH(COLUMNS($AC$1006:AH1006),$AC$1006:$AS$1006,0)), HYPERLINK("#",""), HYPERLINK(CONCATENATE("#Metadata!", ADDRESS(INDEX($X$2:$X$1001,MATCH(ROWS($V$2:V464),$V$2:$V$1001,0),0), INDEX($AC$1004:$AS$1004,1,MATCH(COLUMNS($AC$1006:AH1006),$AC$1006:$AS$1006,0)))),"Fix")))</f>
        <v>0</v>
      </c>
      <c r="H464" s="5">
        <f>IF(OR(INDEX($W$2:$W$1001,MATCH(ROWS($V$2:V464),$V$2:$V$1001,0),1)&gt;=100000,INDEX($AC$1005:$AS$1005,1,MATCH(COLUMNS($AC$1006:AI1006),$AC$1006:$AS$1006,0))&gt;=100000), " ",IF(INDEX($AC$2:$AS$1001,MATCH(ROWS($V$2:V464),$V$2:$V$1001,0),MATCH(COLUMNS($AC$1006:AI1006),$AC$1006:$AS$1006,0)), HYPERLINK("#",""), HYPERLINK(CONCATENATE("#Metadata!", ADDRESS(INDEX($X$2:$X$1001,MATCH(ROWS($V$2:V464),$V$2:$V$1001,0),0), INDEX($AC$1004:$AS$1004,1,MATCH(COLUMNS($AC$1006:AI1006),$AC$1006:$AS$1006,0)))),"Fix")))</f>
        <v>0</v>
      </c>
      <c r="I464" s="5">
        <f>IF(OR(INDEX($W$2:$W$1001,MATCH(ROWS($V$2:V464),$V$2:$V$1001,0),1)&gt;=100000,INDEX($AC$1005:$AS$1005,1,MATCH(COLUMNS($AC$1006:AJ1006),$AC$1006:$AS$1006,0))&gt;=100000), " ",IF(INDEX($AC$2:$AS$1001,MATCH(ROWS($V$2:V464),$V$2:$V$1001,0),MATCH(COLUMNS($AC$1006:AJ1006),$AC$1006:$AS$1006,0)), HYPERLINK("#",""), HYPERLINK(CONCATENATE("#Metadata!", ADDRESS(INDEX($X$2:$X$1001,MATCH(ROWS($V$2:V464),$V$2:$V$1001,0),0), INDEX($AC$1004:$AS$1004,1,MATCH(COLUMNS($AC$1006:AJ1006),$AC$1006:$AS$1006,0)))),"Fix")))</f>
        <v>0</v>
      </c>
      <c r="J464" s="5">
        <f>IF(OR(INDEX($W$2:$W$1001,MATCH(ROWS($V$2:V464),$V$2:$V$1001,0),1)&gt;=100000,INDEX($AC$1005:$AS$1005,1,MATCH(COLUMNS($AC$1006:AK1006),$AC$1006:$AS$1006,0))&gt;=100000), " ",IF(INDEX($AC$2:$AS$1001,MATCH(ROWS($V$2:V464),$V$2:$V$1001,0),MATCH(COLUMNS($AC$1006:AK1006),$AC$1006:$AS$1006,0)), HYPERLINK("#",""), HYPERLINK(CONCATENATE("#Metadata!", ADDRESS(INDEX($X$2:$X$1001,MATCH(ROWS($V$2:V464),$V$2:$V$1001,0),0), INDEX($AC$1004:$AS$1004,1,MATCH(COLUMNS($AC$1006:AK1006),$AC$1006:$AS$1006,0)))),"Fix")))</f>
        <v>0</v>
      </c>
      <c r="K464" s="5">
        <f>IF(OR(INDEX($W$2:$W$1001,MATCH(ROWS($V$2:V464),$V$2:$V$1001,0),1)&gt;=100000,INDEX($AC$1005:$AS$1005,1,MATCH(COLUMNS($AC$1006:AL1006),$AC$1006:$AS$1006,0))&gt;=100000), " ",IF(INDEX($AC$2:$AS$1001,MATCH(ROWS($V$2:V464),$V$2:$V$1001,0),MATCH(COLUMNS($AC$1006:AL1006),$AC$1006:$AS$1006,0)), HYPERLINK("#",""), HYPERLINK(CONCATENATE("#Metadata!", ADDRESS(INDEX($X$2:$X$1001,MATCH(ROWS($V$2:V464),$V$2:$V$1001,0),0), INDEX($AC$1004:$AS$1004,1,MATCH(COLUMNS($AC$1006:AL1006),$AC$1006:$AS$1006,0)))),"Fix")))</f>
        <v>0</v>
      </c>
      <c r="L464" s="5">
        <f>IF(OR(INDEX($W$2:$W$1001,MATCH(ROWS($V$2:V464),$V$2:$V$1001,0),1)&gt;=100000,INDEX($AC$1005:$AS$1005,1,MATCH(COLUMNS($AC$1006:AM1006),$AC$1006:$AS$1006,0))&gt;=100000), " ",IF(INDEX($AC$2:$AS$1001,MATCH(ROWS($V$2:V464),$V$2:$V$1001,0),MATCH(COLUMNS($AC$1006:AM1006),$AC$1006:$AS$1006,0)), HYPERLINK("#",""), HYPERLINK(CONCATENATE("#Metadata!", ADDRESS(INDEX($X$2:$X$1001,MATCH(ROWS($V$2:V464),$V$2:$V$1001,0),0), INDEX($AC$1004:$AS$1004,1,MATCH(COLUMNS($AC$1006:AM1006),$AC$1006:$AS$1006,0)))),"Fix")))</f>
        <v>0</v>
      </c>
      <c r="M464" s="5">
        <f>IF(OR(INDEX($W$2:$W$1001,MATCH(ROWS($V$2:V464),$V$2:$V$1001,0),1)&gt;=100000,INDEX($AC$1005:$AS$1005,1,MATCH(COLUMNS($AC$1006:AN1006),$AC$1006:$AS$1006,0))&gt;=100000), " ",IF(INDEX($AC$2:$AS$1001,MATCH(ROWS($V$2:V464),$V$2:$V$1001,0),MATCH(COLUMNS($AC$1006:AN1006),$AC$1006:$AS$1006,0)), HYPERLINK("#",""), HYPERLINK(CONCATENATE("#Metadata!", ADDRESS(INDEX($X$2:$X$1001,MATCH(ROWS($V$2:V464),$V$2:$V$1001,0),0), INDEX($AC$1004:$AS$1004,1,MATCH(COLUMNS($AC$1006:AN1006),$AC$1006:$AS$1006,0)))),"Fix")))</f>
        <v>0</v>
      </c>
      <c r="N464" s="5">
        <f>IF(OR(INDEX($W$2:$W$1001,MATCH(ROWS($V$2:V464),$V$2:$V$1001,0),1)&gt;=100000,INDEX($AC$1005:$AS$1005,1,MATCH(COLUMNS($AC$1006:AO1006),$AC$1006:$AS$1006,0))&gt;=100000), " ",IF(INDEX($AC$2:$AS$1001,MATCH(ROWS($V$2:V464),$V$2:$V$1001,0),MATCH(COLUMNS($AC$1006:AO1006),$AC$1006:$AS$1006,0)), HYPERLINK("#",""), HYPERLINK(CONCATENATE("#Metadata!", ADDRESS(INDEX($X$2:$X$1001,MATCH(ROWS($V$2:V464),$V$2:$V$1001,0),0), INDEX($AC$1004:$AS$1004,1,MATCH(COLUMNS($AC$1006:AO1006),$AC$1006:$AS$1006,0)))),"Fix")))</f>
        <v>0</v>
      </c>
      <c r="O464" s="5">
        <f>IF(OR(INDEX($W$2:$W$1001,MATCH(ROWS($V$2:V464),$V$2:$V$1001,0),1)&gt;=100000,INDEX($AC$1005:$AS$1005,1,MATCH(COLUMNS($AC$1006:AP1006),$AC$1006:$AS$1006,0))&gt;=100000), " ",IF(INDEX($AC$2:$AS$1001,MATCH(ROWS($V$2:V464),$V$2:$V$1001,0),MATCH(COLUMNS($AC$1006:AP1006),$AC$1006:$AS$1006,0)), HYPERLINK("#",""), HYPERLINK(CONCATENATE("#Metadata!", ADDRESS(INDEX($X$2:$X$1001,MATCH(ROWS($V$2:V464),$V$2:$V$1001,0),0), INDEX($AC$1004:$AS$1004,1,MATCH(COLUMNS($AC$1006:AP1006),$AC$1006:$AS$1006,0)))),"Fix")))</f>
        <v>0</v>
      </c>
      <c r="P464" s="5">
        <f>IF(OR(INDEX($W$2:$W$1001,MATCH(ROWS($V$2:V464),$V$2:$V$1001,0),1)&gt;=100000,INDEX($AC$1005:$AS$1005,1,MATCH(COLUMNS($AC$1006:AQ1006),$AC$1006:$AS$1006,0))&gt;=100000), " ",IF(INDEX($AC$2:$AS$1001,MATCH(ROWS($V$2:V464),$V$2:$V$1001,0),MATCH(COLUMNS($AC$1006:AQ1006),$AC$1006:$AS$1006,0)), HYPERLINK("#",""), HYPERLINK(CONCATENATE("#Metadata!", ADDRESS(INDEX($X$2:$X$1001,MATCH(ROWS($V$2:V464),$V$2:$V$1001,0),0), INDEX($AC$1004:$AS$1004,1,MATCH(COLUMNS($AC$1006:AQ1006),$AC$1006:$AS$1006,0)))),"Fix")))</f>
        <v>0</v>
      </c>
      <c r="Q464" s="5">
        <f>IF(OR(INDEX($W$2:$W$1001,MATCH(ROWS($V$2:V464),$V$2:$V$1001,0),1)&gt;=100000,INDEX($AC$1005:$AS$1005,1,MATCH(COLUMNS($AC$1006:AR1006),$AC$1006:$AS$1006,0))&gt;=100000), " ",IF(INDEX($AC$2:$AS$1001,MATCH(ROWS($V$2:V464),$V$2:$V$1001,0),MATCH(COLUMNS($AC$1006:AR1006),$AC$1006:$AS$1006,0)), HYPERLINK("#",""), HYPERLINK(CONCATENATE("#Metadata!", ADDRESS(INDEX($X$2:$X$1001,MATCH(ROWS($V$2:V464),$V$2:$V$1001,0),0), INDEX($AC$1004:$AS$1004,1,MATCH(COLUMNS($AC$1006:AR1006),$AC$1006:$AS$1006,0)))),"Fix")))</f>
        <v>0</v>
      </c>
      <c r="R464" s="5">
        <f>IF(OR(INDEX($W$2:$W$1001,MATCH(ROWS($V$2:V464),$V$2:$V$1001,0),1)&gt;=100000,INDEX($AC$1005:$AS$1005,1,MATCH(COLUMNS($AC$1006:AS1006),$AC$1006:$AS$1006,0))&gt;=100000), " ",IF(INDEX($AC$2:$AS$1001,MATCH(ROWS($V$2:V464),$V$2:$V$1001,0),MATCH(COLUMNS($AC$1006:AS1006),$AC$1006:$AS$1006,0)), HYPERLINK("#",""), HYPERLINK(CONCATENATE("#Metadata!", ADDRESS(INDEX($X$2:$X$1001,MATCH(ROWS($V$2:V464),$V$2:$V$1001,0),0), INDEX($AC$1004:$AS$1004,1,MATCH(COLUMNS($AC$1006:AS1006),$AC$1006:$AS$1006,0)))),"Fix")))</f>
        <v>0</v>
      </c>
      <c r="V464">
        <v>0</v>
      </c>
      <c r="W464">
        <v>0</v>
      </c>
      <c r="X464">
        <v>0</v>
      </c>
      <c r="Y464">
        <f>IF(Z464,TRUE,AND(AC464:AS464))</f>
        <v>0</v>
      </c>
      <c r="Z464">
        <f>COUNTBLANK(Metadata!B464:R464)=COLUMNS(Metadata!B464:R464)</f>
        <v>0</v>
      </c>
      <c r="AA464">
        <v>0</v>
      </c>
      <c r="AC464">
        <f>AND(IF(Metadata!B464="",FALSE,TRUE),COUNTIF(Metadata!B:B, Metadata!B464) = 1,NOT(ISERROR(SUMPRODUCT(SEARCH(MID(Metadata!B464,ROW(INDIRECT("1:"&amp;LEN(Metadata!B464))), 1),"0123456789abcdefghijklmnopqrstuvwxyzABCDEFGHIJKLMNOPQRSTUVWXYZ.")))))</f>
        <v>0</v>
      </c>
      <c r="AD464">
        <f>AND(IF(Metadata!C464="",FALSE,TRUE),exact(Metadata!C464,"Host-associated"))</f>
        <v>0</v>
      </c>
      <c r="AE464">
        <f>AND(IF(Metadata!D464="",FALSE,TRUE),OR(exact(Metadata!D464,"Animal"),exact(Metadata!D464,"Fungus"),exact(Metadata!D464,"Plant")))</f>
        <v>0</v>
      </c>
      <c r="AF464">
        <f>AND(IF(Metadata!E464="",FALSE,TRUE),OR(exact(Metadata!E464,"Plant secretion"),exact(Metadata!E464,"Plant rhizosphere"),exact(Metadata!E464,"Plant surface"),exact(Metadata!E464,"Plant corpus"),exact(Metadata!E464,"Fungus surface"),exact(Metadata!E464,"Fungus corpus"),exact(Metadata!E464,"Animal surface"),exact(Metadata!E464,"Animal proximal gut"),exact(Metadata!E464,"Animal corpus"),exact(Metadata!E464,"Animal distal gut"),exact(Metadata!E464,"Animal secretion")))</f>
        <v>0</v>
      </c>
      <c r="AG464">
        <f>OR(AND(IF(Metadata!F464="",FALSE,TRUE),OR(exact(Metadata!F464,"not collected"),exact(Metadata!F464,"not provided"),exact(Metadata!F464,"restricted access"))),AND(IF(Metadata!F464="",FALSE,TRUE),OR(exact(Metadata!F464,"organism-associated habitat"),exact(Metadata!F464,"plant-associated habitat"),exact(Metadata!F464,"animal-associated habitat"),exact(Metadata!F464,"insecta-associated habitat"),exact(Metadata!F464,"mammalia-associated habitat"),exact(Metadata!F464,"human-associated habitat"),exact(Metadata!F464,"livestock-associated habitat"))))</f>
        <v>0</v>
      </c>
      <c r="AH464">
        <f>AND(IF(Metadata!G464="",FALSE,TRUE),exact(Metadata!G464,"host-associated"))</f>
        <v>0</v>
      </c>
      <c r="AI464">
        <f>OR(AND(IF(Metadata!H464="",FALSE,TRUE),OR(exact(Metadata!H464,"not collected"),exact(Metadata!H464,"not provided"))),AND(IF(Metadata!H464="",FALSE,ISNUMBER(VALUE(Metadata!H464))),Metadata!H464&gt;0))</f>
        <v>0</v>
      </c>
      <c r="AJ464">
        <f>AND(IF(Metadata!I464="",FALSE,TRUE),exact(Metadata!I464,"years"))</f>
        <v>0</v>
      </c>
      <c r="AK464">
        <f>IF(Metadata!J464="",FALSE,TRUE)</f>
        <v>0</v>
      </c>
      <c r="AL464">
        <f>OR(AND(IF(Metadata!K464="",FALSE,TRUE),OR(exact(Metadata!K464,"not collected"),exact(Metadata!K464,"not provided"))),AND(IF(Metadata!K464="",FALSE,ISNUMBER(VALUE(Metadata!K464))),Metadata!K464&gt;0))</f>
        <v>0</v>
      </c>
      <c r="AM464">
        <f>AND(IF(Metadata!L464="",FALSE,TRUE),exact(Metadata!L464,"cm"))</f>
        <v>0</v>
      </c>
      <c r="AN464">
        <f>IF(Metadata!M464="",FALSE,TRUE)</f>
        <v>0</v>
      </c>
      <c r="AO464">
        <f>OR(AND(IF(Metadata!N464="",FALSE,TRUE),OR(exact(Metadata!N464,"not applicable"),exact(Metadata!N464,"not collected"),exact(Metadata!N464,"not provided"))),AND(IF(Metadata!N464="",FALSE,IF(ISERROR(INT(Metadata!N464)),FALSE,INT(Metadata!N464)=Metadata!N464)),Metadata!N464&gt;0))</f>
        <v>0</v>
      </c>
      <c r="AP464">
        <f>OR(AND(IF(Metadata!O464="",FALSE,TRUE),OR(exact(Metadata!O464,"not collected"),exact(Metadata!O464,"not provided"))),AND(IF(Metadata!O464="",FALSE,ISNUMBER(VALUE(Metadata!O464))),Metadata!O464&gt;0))</f>
        <v>0</v>
      </c>
      <c r="AQ464">
        <f>AND(IF(Metadata!P464="",FALSE,TRUE),exact(Metadata!P464,"kg"))</f>
        <v>0</v>
      </c>
      <c r="AR464">
        <f>OR(AND(IF(Metadata!Q464="",FALSE,TRUE),OR(exact(Metadata!Q464,"not applicable"),exact(Metadata!Q464,"not collected"),exact(Metadata!Q464,"not provided"),exact(Metadata!Q464,"restricted access"))),IF(Metadata!Q464="",FALSE,IF(ISERROR(INT(Metadata!Q464)),FALSE,INT(Metadata!Q464)=Metadata!Q464)))</f>
        <v>0</v>
      </c>
      <c r="AS464">
        <f>AND(IF(Metadata!R464="",FALSE,TRUE),exact(Metadata!R464,"Not applicable"))</f>
        <v>0</v>
      </c>
    </row>
    <row r="465" spans="1:45">
      <c r="A465" s="4">
        <f>IF(B465=" "," ",HYPERLINK(CONCATENATE("#metadata!",ADDRESS(INDEX($X$2:$X$1001,MATCH(ROWS($V$2:V465),$V$2:$V$1001,0),0),2)),INDEX($AA$2:$AA$1001,MATCH(ROWS($V$2:V465),$V$2:$V$1001,0),0)))</f>
        <v>0</v>
      </c>
      <c r="B465" s="5">
        <f>IF(OR(INDEX($W$2:$W$1001,MATCH(ROWS($V$2:V465),$V$2:$V$1001,0),1)&gt;=100000,INDEX($AC$1005:$AS$1005,1,MATCH(COLUMNS($AC$1006:AC1006),$AC$1006:$AS$1006,0))&gt;=100000), " ",IF(INDEX($AC$2:$AS$1001,MATCH(ROWS($V$2:V465),$V$2:$V$1001,0),MATCH(COLUMNS($AC$1006:AC1006),$AC$1006:$AS$1006,0)), HYPERLINK("#",""), HYPERLINK(CONCATENATE("#Metadata!", ADDRESS(INDEX($X$2:$X$1001,MATCH(ROWS($V$2:V465),$V$2:$V$1001,0),0), INDEX($AC$1004:$AS$1004,1,MATCH(COLUMNS($AC$1006:AC1006),$AC$1006:$AS$1006,0)))),"Fix")))</f>
        <v>0</v>
      </c>
      <c r="C465" s="5">
        <f>IF(OR(INDEX($W$2:$W$1001,MATCH(ROWS($V$2:V465),$V$2:$V$1001,0),1)&gt;=100000,INDEX($AC$1005:$AS$1005,1,MATCH(COLUMNS($AC$1006:AD1006),$AC$1006:$AS$1006,0))&gt;=100000), " ",IF(INDEX($AC$2:$AS$1001,MATCH(ROWS($V$2:V465),$V$2:$V$1001,0),MATCH(COLUMNS($AC$1006:AD1006),$AC$1006:$AS$1006,0)), HYPERLINK("#",""), HYPERLINK(CONCATENATE("#Metadata!", ADDRESS(INDEX($X$2:$X$1001,MATCH(ROWS($V$2:V465),$V$2:$V$1001,0),0), INDEX($AC$1004:$AS$1004,1,MATCH(COLUMNS($AC$1006:AD1006),$AC$1006:$AS$1006,0)))),"Fix")))</f>
        <v>0</v>
      </c>
      <c r="D465" s="5">
        <f>IF(OR(INDEX($W$2:$W$1001,MATCH(ROWS($V$2:V465),$V$2:$V$1001,0),1)&gt;=100000,INDEX($AC$1005:$AS$1005,1,MATCH(COLUMNS($AC$1006:AE1006),$AC$1006:$AS$1006,0))&gt;=100000), " ",IF(INDEX($AC$2:$AS$1001,MATCH(ROWS($V$2:V465),$V$2:$V$1001,0),MATCH(COLUMNS($AC$1006:AE1006),$AC$1006:$AS$1006,0)), HYPERLINK("#",""), HYPERLINK(CONCATENATE("#Metadata!", ADDRESS(INDEX($X$2:$X$1001,MATCH(ROWS($V$2:V465),$V$2:$V$1001,0),0), INDEX($AC$1004:$AS$1004,1,MATCH(COLUMNS($AC$1006:AE1006),$AC$1006:$AS$1006,0)))),"Fix")))</f>
        <v>0</v>
      </c>
      <c r="E465" s="5">
        <f>IF(OR(INDEX($W$2:$W$1001,MATCH(ROWS($V$2:V465),$V$2:$V$1001,0),1)&gt;=100000,INDEX($AC$1005:$AS$1005,1,MATCH(COLUMNS($AC$1006:AF1006),$AC$1006:$AS$1006,0))&gt;=100000), " ",IF(INDEX($AC$2:$AS$1001,MATCH(ROWS($V$2:V465),$V$2:$V$1001,0),MATCH(COLUMNS($AC$1006:AF1006),$AC$1006:$AS$1006,0)), HYPERLINK("#",""), HYPERLINK(CONCATENATE("#Metadata!", ADDRESS(INDEX($X$2:$X$1001,MATCH(ROWS($V$2:V465),$V$2:$V$1001,0),0), INDEX($AC$1004:$AS$1004,1,MATCH(COLUMNS($AC$1006:AF1006),$AC$1006:$AS$1006,0)))),"Fix")))</f>
        <v>0</v>
      </c>
      <c r="F465" s="5">
        <f>IF(OR(INDEX($W$2:$W$1001,MATCH(ROWS($V$2:V465),$V$2:$V$1001,0),1)&gt;=100000,INDEX($AC$1005:$AS$1005,1,MATCH(COLUMNS($AC$1006:AG1006),$AC$1006:$AS$1006,0))&gt;=100000), " ",IF(INDEX($AC$2:$AS$1001,MATCH(ROWS($V$2:V465),$V$2:$V$1001,0),MATCH(COLUMNS($AC$1006:AG1006),$AC$1006:$AS$1006,0)), HYPERLINK("#",""), HYPERLINK(CONCATENATE("#Metadata!", ADDRESS(INDEX($X$2:$X$1001,MATCH(ROWS($V$2:V465),$V$2:$V$1001,0),0), INDEX($AC$1004:$AS$1004,1,MATCH(COLUMNS($AC$1006:AG1006),$AC$1006:$AS$1006,0)))),"Fix")))</f>
        <v>0</v>
      </c>
      <c r="G465" s="5">
        <f>IF(OR(INDEX($W$2:$W$1001,MATCH(ROWS($V$2:V465),$V$2:$V$1001,0),1)&gt;=100000,INDEX($AC$1005:$AS$1005,1,MATCH(COLUMNS($AC$1006:AH1006),$AC$1006:$AS$1006,0))&gt;=100000), " ",IF(INDEX($AC$2:$AS$1001,MATCH(ROWS($V$2:V465),$V$2:$V$1001,0),MATCH(COLUMNS($AC$1006:AH1006),$AC$1006:$AS$1006,0)), HYPERLINK("#",""), HYPERLINK(CONCATENATE("#Metadata!", ADDRESS(INDEX($X$2:$X$1001,MATCH(ROWS($V$2:V465),$V$2:$V$1001,0),0), INDEX($AC$1004:$AS$1004,1,MATCH(COLUMNS($AC$1006:AH1006),$AC$1006:$AS$1006,0)))),"Fix")))</f>
        <v>0</v>
      </c>
      <c r="H465" s="5">
        <f>IF(OR(INDEX($W$2:$W$1001,MATCH(ROWS($V$2:V465),$V$2:$V$1001,0),1)&gt;=100000,INDEX($AC$1005:$AS$1005,1,MATCH(COLUMNS($AC$1006:AI1006),$AC$1006:$AS$1006,0))&gt;=100000), " ",IF(INDEX($AC$2:$AS$1001,MATCH(ROWS($V$2:V465),$V$2:$V$1001,0),MATCH(COLUMNS($AC$1006:AI1006),$AC$1006:$AS$1006,0)), HYPERLINK("#",""), HYPERLINK(CONCATENATE("#Metadata!", ADDRESS(INDEX($X$2:$X$1001,MATCH(ROWS($V$2:V465),$V$2:$V$1001,0),0), INDEX($AC$1004:$AS$1004,1,MATCH(COLUMNS($AC$1006:AI1006),$AC$1006:$AS$1006,0)))),"Fix")))</f>
        <v>0</v>
      </c>
      <c r="I465" s="5">
        <f>IF(OR(INDEX($W$2:$W$1001,MATCH(ROWS($V$2:V465),$V$2:$V$1001,0),1)&gt;=100000,INDEX($AC$1005:$AS$1005,1,MATCH(COLUMNS($AC$1006:AJ1006),$AC$1006:$AS$1006,0))&gt;=100000), " ",IF(INDEX($AC$2:$AS$1001,MATCH(ROWS($V$2:V465),$V$2:$V$1001,0),MATCH(COLUMNS($AC$1006:AJ1006),$AC$1006:$AS$1006,0)), HYPERLINK("#",""), HYPERLINK(CONCATENATE("#Metadata!", ADDRESS(INDEX($X$2:$X$1001,MATCH(ROWS($V$2:V465),$V$2:$V$1001,0),0), INDEX($AC$1004:$AS$1004,1,MATCH(COLUMNS($AC$1006:AJ1006),$AC$1006:$AS$1006,0)))),"Fix")))</f>
        <v>0</v>
      </c>
      <c r="J465" s="5">
        <f>IF(OR(INDEX($W$2:$W$1001,MATCH(ROWS($V$2:V465),$V$2:$V$1001,0),1)&gt;=100000,INDEX($AC$1005:$AS$1005,1,MATCH(COLUMNS($AC$1006:AK1006),$AC$1006:$AS$1006,0))&gt;=100000), " ",IF(INDEX($AC$2:$AS$1001,MATCH(ROWS($V$2:V465),$V$2:$V$1001,0),MATCH(COLUMNS($AC$1006:AK1006),$AC$1006:$AS$1006,0)), HYPERLINK("#",""), HYPERLINK(CONCATENATE("#Metadata!", ADDRESS(INDEX($X$2:$X$1001,MATCH(ROWS($V$2:V465),$V$2:$V$1001,0),0), INDEX($AC$1004:$AS$1004,1,MATCH(COLUMNS($AC$1006:AK1006),$AC$1006:$AS$1006,0)))),"Fix")))</f>
        <v>0</v>
      </c>
      <c r="K465" s="5">
        <f>IF(OR(INDEX($W$2:$W$1001,MATCH(ROWS($V$2:V465),$V$2:$V$1001,0),1)&gt;=100000,INDEX($AC$1005:$AS$1005,1,MATCH(COLUMNS($AC$1006:AL1006),$AC$1006:$AS$1006,0))&gt;=100000), " ",IF(INDEX($AC$2:$AS$1001,MATCH(ROWS($V$2:V465),$V$2:$V$1001,0),MATCH(COLUMNS($AC$1006:AL1006),$AC$1006:$AS$1006,0)), HYPERLINK("#",""), HYPERLINK(CONCATENATE("#Metadata!", ADDRESS(INDEX($X$2:$X$1001,MATCH(ROWS($V$2:V465),$V$2:$V$1001,0),0), INDEX($AC$1004:$AS$1004,1,MATCH(COLUMNS($AC$1006:AL1006),$AC$1006:$AS$1006,0)))),"Fix")))</f>
        <v>0</v>
      </c>
      <c r="L465" s="5">
        <f>IF(OR(INDEX($W$2:$W$1001,MATCH(ROWS($V$2:V465),$V$2:$V$1001,0),1)&gt;=100000,INDEX($AC$1005:$AS$1005,1,MATCH(COLUMNS($AC$1006:AM1006),$AC$1006:$AS$1006,0))&gt;=100000), " ",IF(INDEX($AC$2:$AS$1001,MATCH(ROWS($V$2:V465),$V$2:$V$1001,0),MATCH(COLUMNS($AC$1006:AM1006),$AC$1006:$AS$1006,0)), HYPERLINK("#",""), HYPERLINK(CONCATENATE("#Metadata!", ADDRESS(INDEX($X$2:$X$1001,MATCH(ROWS($V$2:V465),$V$2:$V$1001,0),0), INDEX($AC$1004:$AS$1004,1,MATCH(COLUMNS($AC$1006:AM1006),$AC$1006:$AS$1006,0)))),"Fix")))</f>
        <v>0</v>
      </c>
      <c r="M465" s="5">
        <f>IF(OR(INDEX($W$2:$W$1001,MATCH(ROWS($V$2:V465),$V$2:$V$1001,0),1)&gt;=100000,INDEX($AC$1005:$AS$1005,1,MATCH(COLUMNS($AC$1006:AN1006),$AC$1006:$AS$1006,0))&gt;=100000), " ",IF(INDEX($AC$2:$AS$1001,MATCH(ROWS($V$2:V465),$V$2:$V$1001,0),MATCH(COLUMNS($AC$1006:AN1006),$AC$1006:$AS$1006,0)), HYPERLINK("#",""), HYPERLINK(CONCATENATE("#Metadata!", ADDRESS(INDEX($X$2:$X$1001,MATCH(ROWS($V$2:V465),$V$2:$V$1001,0),0), INDEX($AC$1004:$AS$1004,1,MATCH(COLUMNS($AC$1006:AN1006),$AC$1006:$AS$1006,0)))),"Fix")))</f>
        <v>0</v>
      </c>
      <c r="N465" s="5">
        <f>IF(OR(INDEX($W$2:$W$1001,MATCH(ROWS($V$2:V465),$V$2:$V$1001,0),1)&gt;=100000,INDEX($AC$1005:$AS$1005,1,MATCH(COLUMNS($AC$1006:AO1006),$AC$1006:$AS$1006,0))&gt;=100000), " ",IF(INDEX($AC$2:$AS$1001,MATCH(ROWS($V$2:V465),$V$2:$V$1001,0),MATCH(COLUMNS($AC$1006:AO1006),$AC$1006:$AS$1006,0)), HYPERLINK("#",""), HYPERLINK(CONCATENATE("#Metadata!", ADDRESS(INDEX($X$2:$X$1001,MATCH(ROWS($V$2:V465),$V$2:$V$1001,0),0), INDEX($AC$1004:$AS$1004,1,MATCH(COLUMNS($AC$1006:AO1006),$AC$1006:$AS$1006,0)))),"Fix")))</f>
        <v>0</v>
      </c>
      <c r="O465" s="5">
        <f>IF(OR(INDEX($W$2:$W$1001,MATCH(ROWS($V$2:V465),$V$2:$V$1001,0),1)&gt;=100000,INDEX($AC$1005:$AS$1005,1,MATCH(COLUMNS($AC$1006:AP1006),$AC$1006:$AS$1006,0))&gt;=100000), " ",IF(INDEX($AC$2:$AS$1001,MATCH(ROWS($V$2:V465),$V$2:$V$1001,0),MATCH(COLUMNS($AC$1006:AP1006),$AC$1006:$AS$1006,0)), HYPERLINK("#",""), HYPERLINK(CONCATENATE("#Metadata!", ADDRESS(INDEX($X$2:$X$1001,MATCH(ROWS($V$2:V465),$V$2:$V$1001,0),0), INDEX($AC$1004:$AS$1004,1,MATCH(COLUMNS($AC$1006:AP1006),$AC$1006:$AS$1006,0)))),"Fix")))</f>
        <v>0</v>
      </c>
      <c r="P465" s="5">
        <f>IF(OR(INDEX($W$2:$W$1001,MATCH(ROWS($V$2:V465),$V$2:$V$1001,0),1)&gt;=100000,INDEX($AC$1005:$AS$1005,1,MATCH(COLUMNS($AC$1006:AQ1006),$AC$1006:$AS$1006,0))&gt;=100000), " ",IF(INDEX($AC$2:$AS$1001,MATCH(ROWS($V$2:V465),$V$2:$V$1001,0),MATCH(COLUMNS($AC$1006:AQ1006),$AC$1006:$AS$1006,0)), HYPERLINK("#",""), HYPERLINK(CONCATENATE("#Metadata!", ADDRESS(INDEX($X$2:$X$1001,MATCH(ROWS($V$2:V465),$V$2:$V$1001,0),0), INDEX($AC$1004:$AS$1004,1,MATCH(COLUMNS($AC$1006:AQ1006),$AC$1006:$AS$1006,0)))),"Fix")))</f>
        <v>0</v>
      </c>
      <c r="Q465" s="5">
        <f>IF(OR(INDEX($W$2:$W$1001,MATCH(ROWS($V$2:V465),$V$2:$V$1001,0),1)&gt;=100000,INDEX($AC$1005:$AS$1005,1,MATCH(COLUMNS($AC$1006:AR1006),$AC$1006:$AS$1006,0))&gt;=100000), " ",IF(INDEX($AC$2:$AS$1001,MATCH(ROWS($V$2:V465),$V$2:$V$1001,0),MATCH(COLUMNS($AC$1006:AR1006),$AC$1006:$AS$1006,0)), HYPERLINK("#",""), HYPERLINK(CONCATENATE("#Metadata!", ADDRESS(INDEX($X$2:$X$1001,MATCH(ROWS($V$2:V465),$V$2:$V$1001,0),0), INDEX($AC$1004:$AS$1004,1,MATCH(COLUMNS($AC$1006:AR1006),$AC$1006:$AS$1006,0)))),"Fix")))</f>
        <v>0</v>
      </c>
      <c r="R465" s="5">
        <f>IF(OR(INDEX($W$2:$W$1001,MATCH(ROWS($V$2:V465),$V$2:$V$1001,0),1)&gt;=100000,INDEX($AC$1005:$AS$1005,1,MATCH(COLUMNS($AC$1006:AS1006),$AC$1006:$AS$1006,0))&gt;=100000), " ",IF(INDEX($AC$2:$AS$1001,MATCH(ROWS($V$2:V465),$V$2:$V$1001,0),MATCH(COLUMNS($AC$1006:AS1006),$AC$1006:$AS$1006,0)), HYPERLINK("#",""), HYPERLINK(CONCATENATE("#Metadata!", ADDRESS(INDEX($X$2:$X$1001,MATCH(ROWS($V$2:V465),$V$2:$V$1001,0),0), INDEX($AC$1004:$AS$1004,1,MATCH(COLUMNS($AC$1006:AS1006),$AC$1006:$AS$1006,0)))),"Fix")))</f>
        <v>0</v>
      </c>
      <c r="V465">
        <v>0</v>
      </c>
      <c r="W465">
        <v>0</v>
      </c>
      <c r="X465">
        <v>0</v>
      </c>
      <c r="Y465">
        <f>IF(Z465,TRUE,AND(AC465:AS465))</f>
        <v>0</v>
      </c>
      <c r="Z465">
        <f>COUNTBLANK(Metadata!B465:R465)=COLUMNS(Metadata!B465:R465)</f>
        <v>0</v>
      </c>
      <c r="AA465">
        <v>0</v>
      </c>
      <c r="AC465">
        <f>AND(IF(Metadata!B465="",FALSE,TRUE),COUNTIF(Metadata!B:B, Metadata!B465) = 1,NOT(ISERROR(SUMPRODUCT(SEARCH(MID(Metadata!B465,ROW(INDIRECT("1:"&amp;LEN(Metadata!B465))), 1),"0123456789abcdefghijklmnopqrstuvwxyzABCDEFGHIJKLMNOPQRSTUVWXYZ.")))))</f>
        <v>0</v>
      </c>
      <c r="AD465">
        <f>AND(IF(Metadata!C465="",FALSE,TRUE),exact(Metadata!C465,"Host-associated"))</f>
        <v>0</v>
      </c>
      <c r="AE465">
        <f>AND(IF(Metadata!D465="",FALSE,TRUE),OR(exact(Metadata!D465,"Animal"),exact(Metadata!D465,"Fungus"),exact(Metadata!D465,"Plant")))</f>
        <v>0</v>
      </c>
      <c r="AF465">
        <f>AND(IF(Metadata!E465="",FALSE,TRUE),OR(exact(Metadata!E465,"Plant secretion"),exact(Metadata!E465,"Plant rhizosphere"),exact(Metadata!E465,"Plant surface"),exact(Metadata!E465,"Plant corpus"),exact(Metadata!E465,"Fungus surface"),exact(Metadata!E465,"Fungus corpus"),exact(Metadata!E465,"Animal surface"),exact(Metadata!E465,"Animal proximal gut"),exact(Metadata!E465,"Animal corpus"),exact(Metadata!E465,"Animal distal gut"),exact(Metadata!E465,"Animal secretion")))</f>
        <v>0</v>
      </c>
      <c r="AG465">
        <f>OR(AND(IF(Metadata!F465="",FALSE,TRUE),OR(exact(Metadata!F465,"not collected"),exact(Metadata!F465,"not provided"),exact(Metadata!F465,"restricted access"))),AND(IF(Metadata!F465="",FALSE,TRUE),OR(exact(Metadata!F465,"organism-associated habitat"),exact(Metadata!F465,"plant-associated habitat"),exact(Metadata!F465,"animal-associated habitat"),exact(Metadata!F465,"insecta-associated habitat"),exact(Metadata!F465,"mammalia-associated habitat"),exact(Metadata!F465,"human-associated habitat"),exact(Metadata!F465,"livestock-associated habitat"))))</f>
        <v>0</v>
      </c>
      <c r="AH465">
        <f>AND(IF(Metadata!G465="",FALSE,TRUE),exact(Metadata!G465,"host-associated"))</f>
        <v>0</v>
      </c>
      <c r="AI465">
        <f>OR(AND(IF(Metadata!H465="",FALSE,TRUE),OR(exact(Metadata!H465,"not collected"),exact(Metadata!H465,"not provided"))),AND(IF(Metadata!H465="",FALSE,ISNUMBER(VALUE(Metadata!H465))),Metadata!H465&gt;0))</f>
        <v>0</v>
      </c>
      <c r="AJ465">
        <f>AND(IF(Metadata!I465="",FALSE,TRUE),exact(Metadata!I465,"years"))</f>
        <v>0</v>
      </c>
      <c r="AK465">
        <f>IF(Metadata!J465="",FALSE,TRUE)</f>
        <v>0</v>
      </c>
      <c r="AL465">
        <f>OR(AND(IF(Metadata!K465="",FALSE,TRUE),OR(exact(Metadata!K465,"not collected"),exact(Metadata!K465,"not provided"))),AND(IF(Metadata!K465="",FALSE,ISNUMBER(VALUE(Metadata!K465))),Metadata!K465&gt;0))</f>
        <v>0</v>
      </c>
      <c r="AM465">
        <f>AND(IF(Metadata!L465="",FALSE,TRUE),exact(Metadata!L465,"cm"))</f>
        <v>0</v>
      </c>
      <c r="AN465">
        <f>IF(Metadata!M465="",FALSE,TRUE)</f>
        <v>0</v>
      </c>
      <c r="AO465">
        <f>OR(AND(IF(Metadata!N465="",FALSE,TRUE),OR(exact(Metadata!N465,"not applicable"),exact(Metadata!N465,"not collected"),exact(Metadata!N465,"not provided"))),AND(IF(Metadata!N465="",FALSE,IF(ISERROR(INT(Metadata!N465)),FALSE,INT(Metadata!N465)=Metadata!N465)),Metadata!N465&gt;0))</f>
        <v>0</v>
      </c>
      <c r="AP465">
        <f>OR(AND(IF(Metadata!O465="",FALSE,TRUE),OR(exact(Metadata!O465,"not collected"),exact(Metadata!O465,"not provided"))),AND(IF(Metadata!O465="",FALSE,ISNUMBER(VALUE(Metadata!O465))),Metadata!O465&gt;0))</f>
        <v>0</v>
      </c>
      <c r="AQ465">
        <f>AND(IF(Metadata!P465="",FALSE,TRUE),exact(Metadata!P465,"kg"))</f>
        <v>0</v>
      </c>
      <c r="AR465">
        <f>OR(AND(IF(Metadata!Q465="",FALSE,TRUE),OR(exact(Metadata!Q465,"not applicable"),exact(Metadata!Q465,"not collected"),exact(Metadata!Q465,"not provided"),exact(Metadata!Q465,"restricted access"))),IF(Metadata!Q465="",FALSE,IF(ISERROR(INT(Metadata!Q465)),FALSE,INT(Metadata!Q465)=Metadata!Q465)))</f>
        <v>0</v>
      </c>
      <c r="AS465">
        <f>AND(IF(Metadata!R465="",FALSE,TRUE),exact(Metadata!R465,"Not applicable"))</f>
        <v>0</v>
      </c>
    </row>
    <row r="466" spans="1:45">
      <c r="A466" s="4">
        <f>IF(B466=" "," ",HYPERLINK(CONCATENATE("#metadata!",ADDRESS(INDEX($X$2:$X$1001,MATCH(ROWS($V$2:V466),$V$2:$V$1001,0),0),2)),INDEX($AA$2:$AA$1001,MATCH(ROWS($V$2:V466),$V$2:$V$1001,0),0)))</f>
        <v>0</v>
      </c>
      <c r="B466" s="5">
        <f>IF(OR(INDEX($W$2:$W$1001,MATCH(ROWS($V$2:V466),$V$2:$V$1001,0),1)&gt;=100000,INDEX($AC$1005:$AS$1005,1,MATCH(COLUMNS($AC$1006:AC1006),$AC$1006:$AS$1006,0))&gt;=100000), " ",IF(INDEX($AC$2:$AS$1001,MATCH(ROWS($V$2:V466),$V$2:$V$1001,0),MATCH(COLUMNS($AC$1006:AC1006),$AC$1006:$AS$1006,0)), HYPERLINK("#",""), HYPERLINK(CONCATENATE("#Metadata!", ADDRESS(INDEX($X$2:$X$1001,MATCH(ROWS($V$2:V466),$V$2:$V$1001,0),0), INDEX($AC$1004:$AS$1004,1,MATCH(COLUMNS($AC$1006:AC1006),$AC$1006:$AS$1006,0)))),"Fix")))</f>
        <v>0</v>
      </c>
      <c r="C466" s="5">
        <f>IF(OR(INDEX($W$2:$W$1001,MATCH(ROWS($V$2:V466),$V$2:$V$1001,0),1)&gt;=100000,INDEX($AC$1005:$AS$1005,1,MATCH(COLUMNS($AC$1006:AD1006),$AC$1006:$AS$1006,0))&gt;=100000), " ",IF(INDEX($AC$2:$AS$1001,MATCH(ROWS($V$2:V466),$V$2:$V$1001,0),MATCH(COLUMNS($AC$1006:AD1006),$AC$1006:$AS$1006,0)), HYPERLINK("#",""), HYPERLINK(CONCATENATE("#Metadata!", ADDRESS(INDEX($X$2:$X$1001,MATCH(ROWS($V$2:V466),$V$2:$V$1001,0),0), INDEX($AC$1004:$AS$1004,1,MATCH(COLUMNS($AC$1006:AD1006),$AC$1006:$AS$1006,0)))),"Fix")))</f>
        <v>0</v>
      </c>
      <c r="D466" s="5">
        <f>IF(OR(INDEX($W$2:$W$1001,MATCH(ROWS($V$2:V466),$V$2:$V$1001,0),1)&gt;=100000,INDEX($AC$1005:$AS$1005,1,MATCH(COLUMNS($AC$1006:AE1006),$AC$1006:$AS$1006,0))&gt;=100000), " ",IF(INDEX($AC$2:$AS$1001,MATCH(ROWS($V$2:V466),$V$2:$V$1001,0),MATCH(COLUMNS($AC$1006:AE1006),$AC$1006:$AS$1006,0)), HYPERLINK("#",""), HYPERLINK(CONCATENATE("#Metadata!", ADDRESS(INDEX($X$2:$X$1001,MATCH(ROWS($V$2:V466),$V$2:$V$1001,0),0), INDEX($AC$1004:$AS$1004,1,MATCH(COLUMNS($AC$1006:AE1006),$AC$1006:$AS$1006,0)))),"Fix")))</f>
        <v>0</v>
      </c>
      <c r="E466" s="5">
        <f>IF(OR(INDEX($W$2:$W$1001,MATCH(ROWS($V$2:V466),$V$2:$V$1001,0),1)&gt;=100000,INDEX($AC$1005:$AS$1005,1,MATCH(COLUMNS($AC$1006:AF1006),$AC$1006:$AS$1006,0))&gt;=100000), " ",IF(INDEX($AC$2:$AS$1001,MATCH(ROWS($V$2:V466),$V$2:$V$1001,0),MATCH(COLUMNS($AC$1006:AF1006),$AC$1006:$AS$1006,0)), HYPERLINK("#",""), HYPERLINK(CONCATENATE("#Metadata!", ADDRESS(INDEX($X$2:$X$1001,MATCH(ROWS($V$2:V466),$V$2:$V$1001,0),0), INDEX($AC$1004:$AS$1004,1,MATCH(COLUMNS($AC$1006:AF1006),$AC$1006:$AS$1006,0)))),"Fix")))</f>
        <v>0</v>
      </c>
      <c r="F466" s="5">
        <f>IF(OR(INDEX($W$2:$W$1001,MATCH(ROWS($V$2:V466),$V$2:$V$1001,0),1)&gt;=100000,INDEX($AC$1005:$AS$1005,1,MATCH(COLUMNS($AC$1006:AG1006),$AC$1006:$AS$1006,0))&gt;=100000), " ",IF(INDEX($AC$2:$AS$1001,MATCH(ROWS($V$2:V466),$V$2:$V$1001,0),MATCH(COLUMNS($AC$1006:AG1006),$AC$1006:$AS$1006,0)), HYPERLINK("#",""), HYPERLINK(CONCATENATE("#Metadata!", ADDRESS(INDEX($X$2:$X$1001,MATCH(ROWS($V$2:V466),$V$2:$V$1001,0),0), INDEX($AC$1004:$AS$1004,1,MATCH(COLUMNS($AC$1006:AG1006),$AC$1006:$AS$1006,0)))),"Fix")))</f>
        <v>0</v>
      </c>
      <c r="G466" s="5">
        <f>IF(OR(INDEX($W$2:$W$1001,MATCH(ROWS($V$2:V466),$V$2:$V$1001,0),1)&gt;=100000,INDEX($AC$1005:$AS$1005,1,MATCH(COLUMNS($AC$1006:AH1006),$AC$1006:$AS$1006,0))&gt;=100000), " ",IF(INDEX($AC$2:$AS$1001,MATCH(ROWS($V$2:V466),$V$2:$V$1001,0),MATCH(COLUMNS($AC$1006:AH1006),$AC$1006:$AS$1006,0)), HYPERLINK("#",""), HYPERLINK(CONCATENATE("#Metadata!", ADDRESS(INDEX($X$2:$X$1001,MATCH(ROWS($V$2:V466),$V$2:$V$1001,0),0), INDEX($AC$1004:$AS$1004,1,MATCH(COLUMNS($AC$1006:AH1006),$AC$1006:$AS$1006,0)))),"Fix")))</f>
        <v>0</v>
      </c>
      <c r="H466" s="5">
        <f>IF(OR(INDEX($W$2:$W$1001,MATCH(ROWS($V$2:V466),$V$2:$V$1001,0),1)&gt;=100000,INDEX($AC$1005:$AS$1005,1,MATCH(COLUMNS($AC$1006:AI1006),$AC$1006:$AS$1006,0))&gt;=100000), " ",IF(INDEX($AC$2:$AS$1001,MATCH(ROWS($V$2:V466),$V$2:$V$1001,0),MATCH(COLUMNS($AC$1006:AI1006),$AC$1006:$AS$1006,0)), HYPERLINK("#",""), HYPERLINK(CONCATENATE("#Metadata!", ADDRESS(INDEX($X$2:$X$1001,MATCH(ROWS($V$2:V466),$V$2:$V$1001,0),0), INDEX($AC$1004:$AS$1004,1,MATCH(COLUMNS($AC$1006:AI1006),$AC$1006:$AS$1006,0)))),"Fix")))</f>
        <v>0</v>
      </c>
      <c r="I466" s="5">
        <f>IF(OR(INDEX($W$2:$W$1001,MATCH(ROWS($V$2:V466),$V$2:$V$1001,0),1)&gt;=100000,INDEX($AC$1005:$AS$1005,1,MATCH(COLUMNS($AC$1006:AJ1006),$AC$1006:$AS$1006,0))&gt;=100000), " ",IF(INDEX($AC$2:$AS$1001,MATCH(ROWS($V$2:V466),$V$2:$V$1001,0),MATCH(COLUMNS($AC$1006:AJ1006),$AC$1006:$AS$1006,0)), HYPERLINK("#",""), HYPERLINK(CONCATENATE("#Metadata!", ADDRESS(INDEX($X$2:$X$1001,MATCH(ROWS($V$2:V466),$V$2:$V$1001,0),0), INDEX($AC$1004:$AS$1004,1,MATCH(COLUMNS($AC$1006:AJ1006),$AC$1006:$AS$1006,0)))),"Fix")))</f>
        <v>0</v>
      </c>
      <c r="J466" s="5">
        <f>IF(OR(INDEX($W$2:$W$1001,MATCH(ROWS($V$2:V466),$V$2:$V$1001,0),1)&gt;=100000,INDEX($AC$1005:$AS$1005,1,MATCH(COLUMNS($AC$1006:AK1006),$AC$1006:$AS$1006,0))&gt;=100000), " ",IF(INDEX($AC$2:$AS$1001,MATCH(ROWS($V$2:V466),$V$2:$V$1001,0),MATCH(COLUMNS($AC$1006:AK1006),$AC$1006:$AS$1006,0)), HYPERLINK("#",""), HYPERLINK(CONCATENATE("#Metadata!", ADDRESS(INDEX($X$2:$X$1001,MATCH(ROWS($V$2:V466),$V$2:$V$1001,0),0), INDEX($AC$1004:$AS$1004,1,MATCH(COLUMNS($AC$1006:AK1006),$AC$1006:$AS$1006,0)))),"Fix")))</f>
        <v>0</v>
      </c>
      <c r="K466" s="5">
        <f>IF(OR(INDEX($W$2:$W$1001,MATCH(ROWS($V$2:V466),$V$2:$V$1001,0),1)&gt;=100000,INDEX($AC$1005:$AS$1005,1,MATCH(COLUMNS($AC$1006:AL1006),$AC$1006:$AS$1006,0))&gt;=100000), " ",IF(INDEX($AC$2:$AS$1001,MATCH(ROWS($V$2:V466),$V$2:$V$1001,0),MATCH(COLUMNS($AC$1006:AL1006),$AC$1006:$AS$1006,0)), HYPERLINK("#",""), HYPERLINK(CONCATENATE("#Metadata!", ADDRESS(INDEX($X$2:$X$1001,MATCH(ROWS($V$2:V466),$V$2:$V$1001,0),0), INDEX($AC$1004:$AS$1004,1,MATCH(COLUMNS($AC$1006:AL1006),$AC$1006:$AS$1006,0)))),"Fix")))</f>
        <v>0</v>
      </c>
      <c r="L466" s="5">
        <f>IF(OR(INDEX($W$2:$W$1001,MATCH(ROWS($V$2:V466),$V$2:$V$1001,0),1)&gt;=100000,INDEX($AC$1005:$AS$1005,1,MATCH(COLUMNS($AC$1006:AM1006),$AC$1006:$AS$1006,0))&gt;=100000), " ",IF(INDEX($AC$2:$AS$1001,MATCH(ROWS($V$2:V466),$V$2:$V$1001,0),MATCH(COLUMNS($AC$1006:AM1006),$AC$1006:$AS$1006,0)), HYPERLINK("#",""), HYPERLINK(CONCATENATE("#Metadata!", ADDRESS(INDEX($X$2:$X$1001,MATCH(ROWS($V$2:V466),$V$2:$V$1001,0),0), INDEX($AC$1004:$AS$1004,1,MATCH(COLUMNS($AC$1006:AM1006),$AC$1006:$AS$1006,0)))),"Fix")))</f>
        <v>0</v>
      </c>
      <c r="M466" s="5">
        <f>IF(OR(INDEX($W$2:$W$1001,MATCH(ROWS($V$2:V466),$V$2:$V$1001,0),1)&gt;=100000,INDEX($AC$1005:$AS$1005,1,MATCH(COLUMNS($AC$1006:AN1006),$AC$1006:$AS$1006,0))&gt;=100000), " ",IF(INDEX($AC$2:$AS$1001,MATCH(ROWS($V$2:V466),$V$2:$V$1001,0),MATCH(COLUMNS($AC$1006:AN1006),$AC$1006:$AS$1006,0)), HYPERLINK("#",""), HYPERLINK(CONCATENATE("#Metadata!", ADDRESS(INDEX($X$2:$X$1001,MATCH(ROWS($V$2:V466),$V$2:$V$1001,0),0), INDEX($AC$1004:$AS$1004,1,MATCH(COLUMNS($AC$1006:AN1006),$AC$1006:$AS$1006,0)))),"Fix")))</f>
        <v>0</v>
      </c>
      <c r="N466" s="5">
        <f>IF(OR(INDEX($W$2:$W$1001,MATCH(ROWS($V$2:V466),$V$2:$V$1001,0),1)&gt;=100000,INDEX($AC$1005:$AS$1005,1,MATCH(COLUMNS($AC$1006:AO1006),$AC$1006:$AS$1006,0))&gt;=100000), " ",IF(INDEX($AC$2:$AS$1001,MATCH(ROWS($V$2:V466),$V$2:$V$1001,0),MATCH(COLUMNS($AC$1006:AO1006),$AC$1006:$AS$1006,0)), HYPERLINK("#",""), HYPERLINK(CONCATENATE("#Metadata!", ADDRESS(INDEX($X$2:$X$1001,MATCH(ROWS($V$2:V466),$V$2:$V$1001,0),0), INDEX($AC$1004:$AS$1004,1,MATCH(COLUMNS($AC$1006:AO1006),$AC$1006:$AS$1006,0)))),"Fix")))</f>
        <v>0</v>
      </c>
      <c r="O466" s="5">
        <f>IF(OR(INDEX($W$2:$W$1001,MATCH(ROWS($V$2:V466),$V$2:$V$1001,0),1)&gt;=100000,INDEX($AC$1005:$AS$1005,1,MATCH(COLUMNS($AC$1006:AP1006),$AC$1006:$AS$1006,0))&gt;=100000), " ",IF(INDEX($AC$2:$AS$1001,MATCH(ROWS($V$2:V466),$V$2:$V$1001,0),MATCH(COLUMNS($AC$1006:AP1006),$AC$1006:$AS$1006,0)), HYPERLINK("#",""), HYPERLINK(CONCATENATE("#Metadata!", ADDRESS(INDEX($X$2:$X$1001,MATCH(ROWS($V$2:V466),$V$2:$V$1001,0),0), INDEX($AC$1004:$AS$1004,1,MATCH(COLUMNS($AC$1006:AP1006),$AC$1006:$AS$1006,0)))),"Fix")))</f>
        <v>0</v>
      </c>
      <c r="P466" s="5">
        <f>IF(OR(INDEX($W$2:$W$1001,MATCH(ROWS($V$2:V466),$V$2:$V$1001,0),1)&gt;=100000,INDEX($AC$1005:$AS$1005,1,MATCH(COLUMNS($AC$1006:AQ1006),$AC$1006:$AS$1006,0))&gt;=100000), " ",IF(INDEX($AC$2:$AS$1001,MATCH(ROWS($V$2:V466),$V$2:$V$1001,0),MATCH(COLUMNS($AC$1006:AQ1006),$AC$1006:$AS$1006,0)), HYPERLINK("#",""), HYPERLINK(CONCATENATE("#Metadata!", ADDRESS(INDEX($X$2:$X$1001,MATCH(ROWS($V$2:V466),$V$2:$V$1001,0),0), INDEX($AC$1004:$AS$1004,1,MATCH(COLUMNS($AC$1006:AQ1006),$AC$1006:$AS$1006,0)))),"Fix")))</f>
        <v>0</v>
      </c>
      <c r="Q466" s="5">
        <f>IF(OR(INDEX($W$2:$W$1001,MATCH(ROWS($V$2:V466),$V$2:$V$1001,0),1)&gt;=100000,INDEX($AC$1005:$AS$1005,1,MATCH(COLUMNS($AC$1006:AR1006),$AC$1006:$AS$1006,0))&gt;=100000), " ",IF(INDEX($AC$2:$AS$1001,MATCH(ROWS($V$2:V466),$V$2:$V$1001,0),MATCH(COLUMNS($AC$1006:AR1006),$AC$1006:$AS$1006,0)), HYPERLINK("#",""), HYPERLINK(CONCATENATE("#Metadata!", ADDRESS(INDEX($X$2:$X$1001,MATCH(ROWS($V$2:V466),$V$2:$V$1001,0),0), INDEX($AC$1004:$AS$1004,1,MATCH(COLUMNS($AC$1006:AR1006),$AC$1006:$AS$1006,0)))),"Fix")))</f>
        <v>0</v>
      </c>
      <c r="R466" s="5">
        <f>IF(OR(INDEX($W$2:$W$1001,MATCH(ROWS($V$2:V466),$V$2:$V$1001,0),1)&gt;=100000,INDEX($AC$1005:$AS$1005,1,MATCH(COLUMNS($AC$1006:AS1006),$AC$1006:$AS$1006,0))&gt;=100000), " ",IF(INDEX($AC$2:$AS$1001,MATCH(ROWS($V$2:V466),$V$2:$V$1001,0),MATCH(COLUMNS($AC$1006:AS1006),$AC$1006:$AS$1006,0)), HYPERLINK("#",""), HYPERLINK(CONCATENATE("#Metadata!", ADDRESS(INDEX($X$2:$X$1001,MATCH(ROWS($V$2:V466),$V$2:$V$1001,0),0), INDEX($AC$1004:$AS$1004,1,MATCH(COLUMNS($AC$1006:AS1006),$AC$1006:$AS$1006,0)))),"Fix")))</f>
        <v>0</v>
      </c>
      <c r="V466">
        <v>0</v>
      </c>
      <c r="W466">
        <v>0</v>
      </c>
      <c r="X466">
        <v>0</v>
      </c>
      <c r="Y466">
        <f>IF(Z466,TRUE,AND(AC466:AS466))</f>
        <v>0</v>
      </c>
      <c r="Z466">
        <f>COUNTBLANK(Metadata!B466:R466)=COLUMNS(Metadata!B466:R466)</f>
        <v>0</v>
      </c>
      <c r="AA466">
        <v>0</v>
      </c>
      <c r="AC466">
        <f>AND(IF(Metadata!B466="",FALSE,TRUE),COUNTIF(Metadata!B:B, Metadata!B466) = 1,NOT(ISERROR(SUMPRODUCT(SEARCH(MID(Metadata!B466,ROW(INDIRECT("1:"&amp;LEN(Metadata!B466))), 1),"0123456789abcdefghijklmnopqrstuvwxyzABCDEFGHIJKLMNOPQRSTUVWXYZ.")))))</f>
        <v>0</v>
      </c>
      <c r="AD466">
        <f>AND(IF(Metadata!C466="",FALSE,TRUE),exact(Metadata!C466,"Host-associated"))</f>
        <v>0</v>
      </c>
      <c r="AE466">
        <f>AND(IF(Metadata!D466="",FALSE,TRUE),OR(exact(Metadata!D466,"Animal"),exact(Metadata!D466,"Fungus"),exact(Metadata!D466,"Plant")))</f>
        <v>0</v>
      </c>
      <c r="AF466">
        <f>AND(IF(Metadata!E466="",FALSE,TRUE),OR(exact(Metadata!E466,"Plant secretion"),exact(Metadata!E466,"Plant rhizosphere"),exact(Metadata!E466,"Plant surface"),exact(Metadata!E466,"Plant corpus"),exact(Metadata!E466,"Fungus surface"),exact(Metadata!E466,"Fungus corpus"),exact(Metadata!E466,"Animal surface"),exact(Metadata!E466,"Animal proximal gut"),exact(Metadata!E466,"Animal corpus"),exact(Metadata!E466,"Animal distal gut"),exact(Metadata!E466,"Animal secretion")))</f>
        <v>0</v>
      </c>
      <c r="AG466">
        <f>OR(AND(IF(Metadata!F466="",FALSE,TRUE),OR(exact(Metadata!F466,"not collected"),exact(Metadata!F466,"not provided"),exact(Metadata!F466,"restricted access"))),AND(IF(Metadata!F466="",FALSE,TRUE),OR(exact(Metadata!F466,"organism-associated habitat"),exact(Metadata!F466,"plant-associated habitat"),exact(Metadata!F466,"animal-associated habitat"),exact(Metadata!F466,"insecta-associated habitat"),exact(Metadata!F466,"mammalia-associated habitat"),exact(Metadata!F466,"human-associated habitat"),exact(Metadata!F466,"livestock-associated habitat"))))</f>
        <v>0</v>
      </c>
      <c r="AH466">
        <f>AND(IF(Metadata!G466="",FALSE,TRUE),exact(Metadata!G466,"host-associated"))</f>
        <v>0</v>
      </c>
      <c r="AI466">
        <f>OR(AND(IF(Metadata!H466="",FALSE,TRUE),OR(exact(Metadata!H466,"not collected"),exact(Metadata!H466,"not provided"))),AND(IF(Metadata!H466="",FALSE,ISNUMBER(VALUE(Metadata!H466))),Metadata!H466&gt;0))</f>
        <v>0</v>
      </c>
      <c r="AJ466">
        <f>AND(IF(Metadata!I466="",FALSE,TRUE),exact(Metadata!I466,"years"))</f>
        <v>0</v>
      </c>
      <c r="AK466">
        <f>IF(Metadata!J466="",FALSE,TRUE)</f>
        <v>0</v>
      </c>
      <c r="AL466">
        <f>OR(AND(IF(Metadata!K466="",FALSE,TRUE),OR(exact(Metadata!K466,"not collected"),exact(Metadata!K466,"not provided"))),AND(IF(Metadata!K466="",FALSE,ISNUMBER(VALUE(Metadata!K466))),Metadata!K466&gt;0))</f>
        <v>0</v>
      </c>
      <c r="AM466">
        <f>AND(IF(Metadata!L466="",FALSE,TRUE),exact(Metadata!L466,"cm"))</f>
        <v>0</v>
      </c>
      <c r="AN466">
        <f>IF(Metadata!M466="",FALSE,TRUE)</f>
        <v>0</v>
      </c>
      <c r="AO466">
        <f>OR(AND(IF(Metadata!N466="",FALSE,TRUE),OR(exact(Metadata!N466,"not applicable"),exact(Metadata!N466,"not collected"),exact(Metadata!N466,"not provided"))),AND(IF(Metadata!N466="",FALSE,IF(ISERROR(INT(Metadata!N466)),FALSE,INT(Metadata!N466)=Metadata!N466)),Metadata!N466&gt;0))</f>
        <v>0</v>
      </c>
      <c r="AP466">
        <f>OR(AND(IF(Metadata!O466="",FALSE,TRUE),OR(exact(Metadata!O466,"not collected"),exact(Metadata!O466,"not provided"))),AND(IF(Metadata!O466="",FALSE,ISNUMBER(VALUE(Metadata!O466))),Metadata!O466&gt;0))</f>
        <v>0</v>
      </c>
      <c r="AQ466">
        <f>AND(IF(Metadata!P466="",FALSE,TRUE),exact(Metadata!P466,"kg"))</f>
        <v>0</v>
      </c>
      <c r="AR466">
        <f>OR(AND(IF(Metadata!Q466="",FALSE,TRUE),OR(exact(Metadata!Q466,"not applicable"),exact(Metadata!Q466,"not collected"),exact(Metadata!Q466,"not provided"),exact(Metadata!Q466,"restricted access"))),IF(Metadata!Q466="",FALSE,IF(ISERROR(INT(Metadata!Q466)),FALSE,INT(Metadata!Q466)=Metadata!Q466)))</f>
        <v>0</v>
      </c>
      <c r="AS466">
        <f>AND(IF(Metadata!R466="",FALSE,TRUE),exact(Metadata!R466,"Not applicable"))</f>
        <v>0</v>
      </c>
    </row>
    <row r="467" spans="1:45">
      <c r="A467" s="4">
        <f>IF(B467=" "," ",HYPERLINK(CONCATENATE("#metadata!",ADDRESS(INDEX($X$2:$X$1001,MATCH(ROWS($V$2:V467),$V$2:$V$1001,0),0),2)),INDEX($AA$2:$AA$1001,MATCH(ROWS($V$2:V467),$V$2:$V$1001,0),0)))</f>
        <v>0</v>
      </c>
      <c r="B467" s="5">
        <f>IF(OR(INDEX($W$2:$W$1001,MATCH(ROWS($V$2:V467),$V$2:$V$1001,0),1)&gt;=100000,INDEX($AC$1005:$AS$1005,1,MATCH(COLUMNS($AC$1006:AC1006),$AC$1006:$AS$1006,0))&gt;=100000), " ",IF(INDEX($AC$2:$AS$1001,MATCH(ROWS($V$2:V467),$V$2:$V$1001,0),MATCH(COLUMNS($AC$1006:AC1006),$AC$1006:$AS$1006,0)), HYPERLINK("#",""), HYPERLINK(CONCATENATE("#Metadata!", ADDRESS(INDEX($X$2:$X$1001,MATCH(ROWS($V$2:V467),$V$2:$V$1001,0),0), INDEX($AC$1004:$AS$1004,1,MATCH(COLUMNS($AC$1006:AC1006),$AC$1006:$AS$1006,0)))),"Fix")))</f>
        <v>0</v>
      </c>
      <c r="C467" s="5">
        <f>IF(OR(INDEX($W$2:$W$1001,MATCH(ROWS($V$2:V467),$V$2:$V$1001,0),1)&gt;=100000,INDEX($AC$1005:$AS$1005,1,MATCH(COLUMNS($AC$1006:AD1006),$AC$1006:$AS$1006,0))&gt;=100000), " ",IF(INDEX($AC$2:$AS$1001,MATCH(ROWS($V$2:V467),$V$2:$V$1001,0),MATCH(COLUMNS($AC$1006:AD1006),$AC$1006:$AS$1006,0)), HYPERLINK("#",""), HYPERLINK(CONCATENATE("#Metadata!", ADDRESS(INDEX($X$2:$X$1001,MATCH(ROWS($V$2:V467),$V$2:$V$1001,0),0), INDEX($AC$1004:$AS$1004,1,MATCH(COLUMNS($AC$1006:AD1006),$AC$1006:$AS$1006,0)))),"Fix")))</f>
        <v>0</v>
      </c>
      <c r="D467" s="5">
        <f>IF(OR(INDEX($W$2:$W$1001,MATCH(ROWS($V$2:V467),$V$2:$V$1001,0),1)&gt;=100000,INDEX($AC$1005:$AS$1005,1,MATCH(COLUMNS($AC$1006:AE1006),$AC$1006:$AS$1006,0))&gt;=100000), " ",IF(INDEX($AC$2:$AS$1001,MATCH(ROWS($V$2:V467),$V$2:$V$1001,0),MATCH(COLUMNS($AC$1006:AE1006),$AC$1006:$AS$1006,0)), HYPERLINK("#",""), HYPERLINK(CONCATENATE("#Metadata!", ADDRESS(INDEX($X$2:$X$1001,MATCH(ROWS($V$2:V467),$V$2:$V$1001,0),0), INDEX($AC$1004:$AS$1004,1,MATCH(COLUMNS($AC$1006:AE1006),$AC$1006:$AS$1006,0)))),"Fix")))</f>
        <v>0</v>
      </c>
      <c r="E467" s="5">
        <f>IF(OR(INDEX($W$2:$W$1001,MATCH(ROWS($V$2:V467),$V$2:$V$1001,0),1)&gt;=100000,INDEX($AC$1005:$AS$1005,1,MATCH(COLUMNS($AC$1006:AF1006),$AC$1006:$AS$1006,0))&gt;=100000), " ",IF(INDEX($AC$2:$AS$1001,MATCH(ROWS($V$2:V467),$V$2:$V$1001,0),MATCH(COLUMNS($AC$1006:AF1006),$AC$1006:$AS$1006,0)), HYPERLINK("#",""), HYPERLINK(CONCATENATE("#Metadata!", ADDRESS(INDEX($X$2:$X$1001,MATCH(ROWS($V$2:V467),$V$2:$V$1001,0),0), INDEX($AC$1004:$AS$1004,1,MATCH(COLUMNS($AC$1006:AF1006),$AC$1006:$AS$1006,0)))),"Fix")))</f>
        <v>0</v>
      </c>
      <c r="F467" s="5">
        <f>IF(OR(INDEX($W$2:$W$1001,MATCH(ROWS($V$2:V467),$V$2:$V$1001,0),1)&gt;=100000,INDEX($AC$1005:$AS$1005,1,MATCH(COLUMNS($AC$1006:AG1006),$AC$1006:$AS$1006,0))&gt;=100000), " ",IF(INDEX($AC$2:$AS$1001,MATCH(ROWS($V$2:V467),$V$2:$V$1001,0),MATCH(COLUMNS($AC$1006:AG1006),$AC$1006:$AS$1006,0)), HYPERLINK("#",""), HYPERLINK(CONCATENATE("#Metadata!", ADDRESS(INDEX($X$2:$X$1001,MATCH(ROWS($V$2:V467),$V$2:$V$1001,0),0), INDEX($AC$1004:$AS$1004,1,MATCH(COLUMNS($AC$1006:AG1006),$AC$1006:$AS$1006,0)))),"Fix")))</f>
        <v>0</v>
      </c>
      <c r="G467" s="5">
        <f>IF(OR(INDEX($W$2:$W$1001,MATCH(ROWS($V$2:V467),$V$2:$V$1001,0),1)&gt;=100000,INDEX($AC$1005:$AS$1005,1,MATCH(COLUMNS($AC$1006:AH1006),$AC$1006:$AS$1006,0))&gt;=100000), " ",IF(INDEX($AC$2:$AS$1001,MATCH(ROWS($V$2:V467),$V$2:$V$1001,0),MATCH(COLUMNS($AC$1006:AH1006),$AC$1006:$AS$1006,0)), HYPERLINK("#",""), HYPERLINK(CONCATENATE("#Metadata!", ADDRESS(INDEX($X$2:$X$1001,MATCH(ROWS($V$2:V467),$V$2:$V$1001,0),0), INDEX($AC$1004:$AS$1004,1,MATCH(COLUMNS($AC$1006:AH1006),$AC$1006:$AS$1006,0)))),"Fix")))</f>
        <v>0</v>
      </c>
      <c r="H467" s="5">
        <f>IF(OR(INDEX($W$2:$W$1001,MATCH(ROWS($V$2:V467),$V$2:$V$1001,0),1)&gt;=100000,INDEX($AC$1005:$AS$1005,1,MATCH(COLUMNS($AC$1006:AI1006),$AC$1006:$AS$1006,0))&gt;=100000), " ",IF(INDEX($AC$2:$AS$1001,MATCH(ROWS($V$2:V467),$V$2:$V$1001,0),MATCH(COLUMNS($AC$1006:AI1006),$AC$1006:$AS$1006,0)), HYPERLINK("#",""), HYPERLINK(CONCATENATE("#Metadata!", ADDRESS(INDEX($X$2:$X$1001,MATCH(ROWS($V$2:V467),$V$2:$V$1001,0),0), INDEX($AC$1004:$AS$1004,1,MATCH(COLUMNS($AC$1006:AI1006),$AC$1006:$AS$1006,0)))),"Fix")))</f>
        <v>0</v>
      </c>
      <c r="I467" s="5">
        <f>IF(OR(INDEX($W$2:$W$1001,MATCH(ROWS($V$2:V467),$V$2:$V$1001,0),1)&gt;=100000,INDEX($AC$1005:$AS$1005,1,MATCH(COLUMNS($AC$1006:AJ1006),$AC$1006:$AS$1006,0))&gt;=100000), " ",IF(INDEX($AC$2:$AS$1001,MATCH(ROWS($V$2:V467),$V$2:$V$1001,0),MATCH(COLUMNS($AC$1006:AJ1006),$AC$1006:$AS$1006,0)), HYPERLINK("#",""), HYPERLINK(CONCATENATE("#Metadata!", ADDRESS(INDEX($X$2:$X$1001,MATCH(ROWS($V$2:V467),$V$2:$V$1001,0),0), INDEX($AC$1004:$AS$1004,1,MATCH(COLUMNS($AC$1006:AJ1006),$AC$1006:$AS$1006,0)))),"Fix")))</f>
        <v>0</v>
      </c>
      <c r="J467" s="5">
        <f>IF(OR(INDEX($W$2:$W$1001,MATCH(ROWS($V$2:V467),$V$2:$V$1001,0),1)&gt;=100000,INDEX($AC$1005:$AS$1005,1,MATCH(COLUMNS($AC$1006:AK1006),$AC$1006:$AS$1006,0))&gt;=100000), " ",IF(INDEX($AC$2:$AS$1001,MATCH(ROWS($V$2:V467),$V$2:$V$1001,0),MATCH(COLUMNS($AC$1006:AK1006),$AC$1006:$AS$1006,0)), HYPERLINK("#",""), HYPERLINK(CONCATENATE("#Metadata!", ADDRESS(INDEX($X$2:$X$1001,MATCH(ROWS($V$2:V467),$V$2:$V$1001,0),0), INDEX($AC$1004:$AS$1004,1,MATCH(COLUMNS($AC$1006:AK1006),$AC$1006:$AS$1006,0)))),"Fix")))</f>
        <v>0</v>
      </c>
      <c r="K467" s="5">
        <f>IF(OR(INDEX($W$2:$W$1001,MATCH(ROWS($V$2:V467),$V$2:$V$1001,0),1)&gt;=100000,INDEX($AC$1005:$AS$1005,1,MATCH(COLUMNS($AC$1006:AL1006),$AC$1006:$AS$1006,0))&gt;=100000), " ",IF(INDEX($AC$2:$AS$1001,MATCH(ROWS($V$2:V467),$V$2:$V$1001,0),MATCH(COLUMNS($AC$1006:AL1006),$AC$1006:$AS$1006,0)), HYPERLINK("#",""), HYPERLINK(CONCATENATE("#Metadata!", ADDRESS(INDEX($X$2:$X$1001,MATCH(ROWS($V$2:V467),$V$2:$V$1001,0),0), INDEX($AC$1004:$AS$1004,1,MATCH(COLUMNS($AC$1006:AL1006),$AC$1006:$AS$1006,0)))),"Fix")))</f>
        <v>0</v>
      </c>
      <c r="L467" s="5">
        <f>IF(OR(INDEX($W$2:$W$1001,MATCH(ROWS($V$2:V467),$V$2:$V$1001,0),1)&gt;=100000,INDEX($AC$1005:$AS$1005,1,MATCH(COLUMNS($AC$1006:AM1006),$AC$1006:$AS$1006,0))&gt;=100000), " ",IF(INDEX($AC$2:$AS$1001,MATCH(ROWS($V$2:V467),$V$2:$V$1001,0),MATCH(COLUMNS($AC$1006:AM1006),$AC$1006:$AS$1006,0)), HYPERLINK("#",""), HYPERLINK(CONCATENATE("#Metadata!", ADDRESS(INDEX($X$2:$X$1001,MATCH(ROWS($V$2:V467),$V$2:$V$1001,0),0), INDEX($AC$1004:$AS$1004,1,MATCH(COLUMNS($AC$1006:AM1006),$AC$1006:$AS$1006,0)))),"Fix")))</f>
        <v>0</v>
      </c>
      <c r="M467" s="5">
        <f>IF(OR(INDEX($W$2:$W$1001,MATCH(ROWS($V$2:V467),$V$2:$V$1001,0),1)&gt;=100000,INDEX($AC$1005:$AS$1005,1,MATCH(COLUMNS($AC$1006:AN1006),$AC$1006:$AS$1006,0))&gt;=100000), " ",IF(INDEX($AC$2:$AS$1001,MATCH(ROWS($V$2:V467),$V$2:$V$1001,0),MATCH(COLUMNS($AC$1006:AN1006),$AC$1006:$AS$1006,0)), HYPERLINK("#",""), HYPERLINK(CONCATENATE("#Metadata!", ADDRESS(INDEX($X$2:$X$1001,MATCH(ROWS($V$2:V467),$V$2:$V$1001,0),0), INDEX($AC$1004:$AS$1004,1,MATCH(COLUMNS($AC$1006:AN1006),$AC$1006:$AS$1006,0)))),"Fix")))</f>
        <v>0</v>
      </c>
      <c r="N467" s="5">
        <f>IF(OR(INDEX($W$2:$W$1001,MATCH(ROWS($V$2:V467),$V$2:$V$1001,0),1)&gt;=100000,INDEX($AC$1005:$AS$1005,1,MATCH(COLUMNS($AC$1006:AO1006),$AC$1006:$AS$1006,0))&gt;=100000), " ",IF(INDEX($AC$2:$AS$1001,MATCH(ROWS($V$2:V467),$V$2:$V$1001,0),MATCH(COLUMNS($AC$1006:AO1006),$AC$1006:$AS$1006,0)), HYPERLINK("#",""), HYPERLINK(CONCATENATE("#Metadata!", ADDRESS(INDEX($X$2:$X$1001,MATCH(ROWS($V$2:V467),$V$2:$V$1001,0),0), INDEX($AC$1004:$AS$1004,1,MATCH(COLUMNS($AC$1006:AO1006),$AC$1006:$AS$1006,0)))),"Fix")))</f>
        <v>0</v>
      </c>
      <c r="O467" s="5">
        <f>IF(OR(INDEX($W$2:$W$1001,MATCH(ROWS($V$2:V467),$V$2:$V$1001,0),1)&gt;=100000,INDEX($AC$1005:$AS$1005,1,MATCH(COLUMNS($AC$1006:AP1006),$AC$1006:$AS$1006,0))&gt;=100000), " ",IF(INDEX($AC$2:$AS$1001,MATCH(ROWS($V$2:V467),$V$2:$V$1001,0),MATCH(COLUMNS($AC$1006:AP1006),$AC$1006:$AS$1006,0)), HYPERLINK("#",""), HYPERLINK(CONCATENATE("#Metadata!", ADDRESS(INDEX($X$2:$X$1001,MATCH(ROWS($V$2:V467),$V$2:$V$1001,0),0), INDEX($AC$1004:$AS$1004,1,MATCH(COLUMNS($AC$1006:AP1006),$AC$1006:$AS$1006,0)))),"Fix")))</f>
        <v>0</v>
      </c>
      <c r="P467" s="5">
        <f>IF(OR(INDEX($W$2:$W$1001,MATCH(ROWS($V$2:V467),$V$2:$V$1001,0),1)&gt;=100000,INDEX($AC$1005:$AS$1005,1,MATCH(COLUMNS($AC$1006:AQ1006),$AC$1006:$AS$1006,0))&gt;=100000), " ",IF(INDEX($AC$2:$AS$1001,MATCH(ROWS($V$2:V467),$V$2:$V$1001,0),MATCH(COLUMNS($AC$1006:AQ1006),$AC$1006:$AS$1006,0)), HYPERLINK("#",""), HYPERLINK(CONCATENATE("#Metadata!", ADDRESS(INDEX($X$2:$X$1001,MATCH(ROWS($V$2:V467),$V$2:$V$1001,0),0), INDEX($AC$1004:$AS$1004,1,MATCH(COLUMNS($AC$1006:AQ1006),$AC$1006:$AS$1006,0)))),"Fix")))</f>
        <v>0</v>
      </c>
      <c r="Q467" s="5">
        <f>IF(OR(INDEX($W$2:$W$1001,MATCH(ROWS($V$2:V467),$V$2:$V$1001,0),1)&gt;=100000,INDEX($AC$1005:$AS$1005,1,MATCH(COLUMNS($AC$1006:AR1006),$AC$1006:$AS$1006,0))&gt;=100000), " ",IF(INDEX($AC$2:$AS$1001,MATCH(ROWS($V$2:V467),$V$2:$V$1001,0),MATCH(COLUMNS($AC$1006:AR1006),$AC$1006:$AS$1006,0)), HYPERLINK("#",""), HYPERLINK(CONCATENATE("#Metadata!", ADDRESS(INDEX($X$2:$X$1001,MATCH(ROWS($V$2:V467),$V$2:$V$1001,0),0), INDEX($AC$1004:$AS$1004,1,MATCH(COLUMNS($AC$1006:AR1006),$AC$1006:$AS$1006,0)))),"Fix")))</f>
        <v>0</v>
      </c>
      <c r="R467" s="5">
        <f>IF(OR(INDEX($W$2:$W$1001,MATCH(ROWS($V$2:V467),$V$2:$V$1001,0),1)&gt;=100000,INDEX($AC$1005:$AS$1005,1,MATCH(COLUMNS($AC$1006:AS1006),$AC$1006:$AS$1006,0))&gt;=100000), " ",IF(INDEX($AC$2:$AS$1001,MATCH(ROWS($V$2:V467),$V$2:$V$1001,0),MATCH(COLUMNS($AC$1006:AS1006),$AC$1006:$AS$1006,0)), HYPERLINK("#",""), HYPERLINK(CONCATENATE("#Metadata!", ADDRESS(INDEX($X$2:$X$1001,MATCH(ROWS($V$2:V467),$V$2:$V$1001,0),0), INDEX($AC$1004:$AS$1004,1,MATCH(COLUMNS($AC$1006:AS1006),$AC$1006:$AS$1006,0)))),"Fix")))</f>
        <v>0</v>
      </c>
      <c r="V467">
        <v>0</v>
      </c>
      <c r="W467">
        <v>0</v>
      </c>
      <c r="X467">
        <v>0</v>
      </c>
      <c r="Y467">
        <f>IF(Z467,TRUE,AND(AC467:AS467))</f>
        <v>0</v>
      </c>
      <c r="Z467">
        <f>COUNTBLANK(Metadata!B467:R467)=COLUMNS(Metadata!B467:R467)</f>
        <v>0</v>
      </c>
      <c r="AA467">
        <v>0</v>
      </c>
      <c r="AC467">
        <f>AND(IF(Metadata!B467="",FALSE,TRUE),COUNTIF(Metadata!B:B, Metadata!B467) = 1,NOT(ISERROR(SUMPRODUCT(SEARCH(MID(Metadata!B467,ROW(INDIRECT("1:"&amp;LEN(Metadata!B467))), 1),"0123456789abcdefghijklmnopqrstuvwxyzABCDEFGHIJKLMNOPQRSTUVWXYZ.")))))</f>
        <v>0</v>
      </c>
      <c r="AD467">
        <f>AND(IF(Metadata!C467="",FALSE,TRUE),exact(Metadata!C467,"Host-associated"))</f>
        <v>0</v>
      </c>
      <c r="AE467">
        <f>AND(IF(Metadata!D467="",FALSE,TRUE),OR(exact(Metadata!D467,"Animal"),exact(Metadata!D467,"Fungus"),exact(Metadata!D467,"Plant")))</f>
        <v>0</v>
      </c>
      <c r="AF467">
        <f>AND(IF(Metadata!E467="",FALSE,TRUE),OR(exact(Metadata!E467,"Plant secretion"),exact(Metadata!E467,"Plant rhizosphere"),exact(Metadata!E467,"Plant surface"),exact(Metadata!E467,"Plant corpus"),exact(Metadata!E467,"Fungus surface"),exact(Metadata!E467,"Fungus corpus"),exact(Metadata!E467,"Animal surface"),exact(Metadata!E467,"Animal proximal gut"),exact(Metadata!E467,"Animal corpus"),exact(Metadata!E467,"Animal distal gut"),exact(Metadata!E467,"Animal secretion")))</f>
        <v>0</v>
      </c>
      <c r="AG467">
        <f>OR(AND(IF(Metadata!F467="",FALSE,TRUE),OR(exact(Metadata!F467,"not collected"),exact(Metadata!F467,"not provided"),exact(Metadata!F467,"restricted access"))),AND(IF(Metadata!F467="",FALSE,TRUE),OR(exact(Metadata!F467,"organism-associated habitat"),exact(Metadata!F467,"plant-associated habitat"),exact(Metadata!F467,"animal-associated habitat"),exact(Metadata!F467,"insecta-associated habitat"),exact(Metadata!F467,"mammalia-associated habitat"),exact(Metadata!F467,"human-associated habitat"),exact(Metadata!F467,"livestock-associated habitat"))))</f>
        <v>0</v>
      </c>
      <c r="AH467">
        <f>AND(IF(Metadata!G467="",FALSE,TRUE),exact(Metadata!G467,"host-associated"))</f>
        <v>0</v>
      </c>
      <c r="AI467">
        <f>OR(AND(IF(Metadata!H467="",FALSE,TRUE),OR(exact(Metadata!H467,"not collected"),exact(Metadata!H467,"not provided"))),AND(IF(Metadata!H467="",FALSE,ISNUMBER(VALUE(Metadata!H467))),Metadata!H467&gt;0))</f>
        <v>0</v>
      </c>
      <c r="AJ467">
        <f>AND(IF(Metadata!I467="",FALSE,TRUE),exact(Metadata!I467,"years"))</f>
        <v>0</v>
      </c>
      <c r="AK467">
        <f>IF(Metadata!J467="",FALSE,TRUE)</f>
        <v>0</v>
      </c>
      <c r="AL467">
        <f>OR(AND(IF(Metadata!K467="",FALSE,TRUE),OR(exact(Metadata!K467,"not collected"),exact(Metadata!K467,"not provided"))),AND(IF(Metadata!K467="",FALSE,ISNUMBER(VALUE(Metadata!K467))),Metadata!K467&gt;0))</f>
        <v>0</v>
      </c>
      <c r="AM467">
        <f>AND(IF(Metadata!L467="",FALSE,TRUE),exact(Metadata!L467,"cm"))</f>
        <v>0</v>
      </c>
      <c r="AN467">
        <f>IF(Metadata!M467="",FALSE,TRUE)</f>
        <v>0</v>
      </c>
      <c r="AO467">
        <f>OR(AND(IF(Metadata!N467="",FALSE,TRUE),OR(exact(Metadata!N467,"not applicable"),exact(Metadata!N467,"not collected"),exact(Metadata!N467,"not provided"))),AND(IF(Metadata!N467="",FALSE,IF(ISERROR(INT(Metadata!N467)),FALSE,INT(Metadata!N467)=Metadata!N467)),Metadata!N467&gt;0))</f>
        <v>0</v>
      </c>
      <c r="AP467">
        <f>OR(AND(IF(Metadata!O467="",FALSE,TRUE),OR(exact(Metadata!O467,"not collected"),exact(Metadata!O467,"not provided"))),AND(IF(Metadata!O467="",FALSE,ISNUMBER(VALUE(Metadata!O467))),Metadata!O467&gt;0))</f>
        <v>0</v>
      </c>
      <c r="AQ467">
        <f>AND(IF(Metadata!P467="",FALSE,TRUE),exact(Metadata!P467,"kg"))</f>
        <v>0</v>
      </c>
      <c r="AR467">
        <f>OR(AND(IF(Metadata!Q467="",FALSE,TRUE),OR(exact(Metadata!Q467,"not applicable"),exact(Metadata!Q467,"not collected"),exact(Metadata!Q467,"not provided"),exact(Metadata!Q467,"restricted access"))),IF(Metadata!Q467="",FALSE,IF(ISERROR(INT(Metadata!Q467)),FALSE,INT(Metadata!Q467)=Metadata!Q467)))</f>
        <v>0</v>
      </c>
      <c r="AS467">
        <f>AND(IF(Metadata!R467="",FALSE,TRUE),exact(Metadata!R467,"Not applicable"))</f>
        <v>0</v>
      </c>
    </row>
    <row r="468" spans="1:45">
      <c r="A468" s="4">
        <f>IF(B468=" "," ",HYPERLINK(CONCATENATE("#metadata!",ADDRESS(INDEX($X$2:$X$1001,MATCH(ROWS($V$2:V468),$V$2:$V$1001,0),0),2)),INDEX($AA$2:$AA$1001,MATCH(ROWS($V$2:V468),$V$2:$V$1001,0),0)))</f>
        <v>0</v>
      </c>
      <c r="B468" s="5">
        <f>IF(OR(INDEX($W$2:$W$1001,MATCH(ROWS($V$2:V468),$V$2:$V$1001,0),1)&gt;=100000,INDEX($AC$1005:$AS$1005,1,MATCH(COLUMNS($AC$1006:AC1006),$AC$1006:$AS$1006,0))&gt;=100000), " ",IF(INDEX($AC$2:$AS$1001,MATCH(ROWS($V$2:V468),$V$2:$V$1001,0),MATCH(COLUMNS($AC$1006:AC1006),$AC$1006:$AS$1006,0)), HYPERLINK("#",""), HYPERLINK(CONCATENATE("#Metadata!", ADDRESS(INDEX($X$2:$X$1001,MATCH(ROWS($V$2:V468),$V$2:$V$1001,0),0), INDEX($AC$1004:$AS$1004,1,MATCH(COLUMNS($AC$1006:AC1006),$AC$1006:$AS$1006,0)))),"Fix")))</f>
        <v>0</v>
      </c>
      <c r="C468" s="5">
        <f>IF(OR(INDEX($W$2:$W$1001,MATCH(ROWS($V$2:V468),$V$2:$V$1001,0),1)&gt;=100000,INDEX($AC$1005:$AS$1005,1,MATCH(COLUMNS($AC$1006:AD1006),$AC$1006:$AS$1006,0))&gt;=100000), " ",IF(INDEX($AC$2:$AS$1001,MATCH(ROWS($V$2:V468),$V$2:$V$1001,0),MATCH(COLUMNS($AC$1006:AD1006),$AC$1006:$AS$1006,0)), HYPERLINK("#",""), HYPERLINK(CONCATENATE("#Metadata!", ADDRESS(INDEX($X$2:$X$1001,MATCH(ROWS($V$2:V468),$V$2:$V$1001,0),0), INDEX($AC$1004:$AS$1004,1,MATCH(COLUMNS($AC$1006:AD1006),$AC$1006:$AS$1006,0)))),"Fix")))</f>
        <v>0</v>
      </c>
      <c r="D468" s="5">
        <f>IF(OR(INDEX($W$2:$W$1001,MATCH(ROWS($V$2:V468),$V$2:$V$1001,0),1)&gt;=100000,INDEX($AC$1005:$AS$1005,1,MATCH(COLUMNS($AC$1006:AE1006),$AC$1006:$AS$1006,0))&gt;=100000), " ",IF(INDEX($AC$2:$AS$1001,MATCH(ROWS($V$2:V468),$V$2:$V$1001,0),MATCH(COLUMNS($AC$1006:AE1006),$AC$1006:$AS$1006,0)), HYPERLINK("#",""), HYPERLINK(CONCATENATE("#Metadata!", ADDRESS(INDEX($X$2:$X$1001,MATCH(ROWS($V$2:V468),$V$2:$V$1001,0),0), INDEX($AC$1004:$AS$1004,1,MATCH(COLUMNS($AC$1006:AE1006),$AC$1006:$AS$1006,0)))),"Fix")))</f>
        <v>0</v>
      </c>
      <c r="E468" s="5">
        <f>IF(OR(INDEX($W$2:$W$1001,MATCH(ROWS($V$2:V468),$V$2:$V$1001,0),1)&gt;=100000,INDEX($AC$1005:$AS$1005,1,MATCH(COLUMNS($AC$1006:AF1006),$AC$1006:$AS$1006,0))&gt;=100000), " ",IF(INDEX($AC$2:$AS$1001,MATCH(ROWS($V$2:V468),$V$2:$V$1001,0),MATCH(COLUMNS($AC$1006:AF1006),$AC$1006:$AS$1006,0)), HYPERLINK("#",""), HYPERLINK(CONCATENATE("#Metadata!", ADDRESS(INDEX($X$2:$X$1001,MATCH(ROWS($V$2:V468),$V$2:$V$1001,0),0), INDEX($AC$1004:$AS$1004,1,MATCH(COLUMNS($AC$1006:AF1006),$AC$1006:$AS$1006,0)))),"Fix")))</f>
        <v>0</v>
      </c>
      <c r="F468" s="5">
        <f>IF(OR(INDEX($W$2:$W$1001,MATCH(ROWS($V$2:V468),$V$2:$V$1001,0),1)&gt;=100000,INDEX($AC$1005:$AS$1005,1,MATCH(COLUMNS($AC$1006:AG1006),$AC$1006:$AS$1006,0))&gt;=100000), " ",IF(INDEX($AC$2:$AS$1001,MATCH(ROWS($V$2:V468),$V$2:$V$1001,0),MATCH(COLUMNS($AC$1006:AG1006),$AC$1006:$AS$1006,0)), HYPERLINK("#",""), HYPERLINK(CONCATENATE("#Metadata!", ADDRESS(INDEX($X$2:$X$1001,MATCH(ROWS($V$2:V468),$V$2:$V$1001,0),0), INDEX($AC$1004:$AS$1004,1,MATCH(COLUMNS($AC$1006:AG1006),$AC$1006:$AS$1006,0)))),"Fix")))</f>
        <v>0</v>
      </c>
      <c r="G468" s="5">
        <f>IF(OR(INDEX($W$2:$W$1001,MATCH(ROWS($V$2:V468),$V$2:$V$1001,0),1)&gt;=100000,INDEX($AC$1005:$AS$1005,1,MATCH(COLUMNS($AC$1006:AH1006),$AC$1006:$AS$1006,0))&gt;=100000), " ",IF(INDEX($AC$2:$AS$1001,MATCH(ROWS($V$2:V468),$V$2:$V$1001,0),MATCH(COLUMNS($AC$1006:AH1006),$AC$1006:$AS$1006,0)), HYPERLINK("#",""), HYPERLINK(CONCATENATE("#Metadata!", ADDRESS(INDEX($X$2:$X$1001,MATCH(ROWS($V$2:V468),$V$2:$V$1001,0),0), INDEX($AC$1004:$AS$1004,1,MATCH(COLUMNS($AC$1006:AH1006),$AC$1006:$AS$1006,0)))),"Fix")))</f>
        <v>0</v>
      </c>
      <c r="H468" s="5">
        <f>IF(OR(INDEX($W$2:$W$1001,MATCH(ROWS($V$2:V468),$V$2:$V$1001,0),1)&gt;=100000,INDEX($AC$1005:$AS$1005,1,MATCH(COLUMNS($AC$1006:AI1006),$AC$1006:$AS$1006,0))&gt;=100000), " ",IF(INDEX($AC$2:$AS$1001,MATCH(ROWS($V$2:V468),$V$2:$V$1001,0),MATCH(COLUMNS($AC$1006:AI1006),$AC$1006:$AS$1006,0)), HYPERLINK("#",""), HYPERLINK(CONCATENATE("#Metadata!", ADDRESS(INDEX($X$2:$X$1001,MATCH(ROWS($V$2:V468),$V$2:$V$1001,0),0), INDEX($AC$1004:$AS$1004,1,MATCH(COLUMNS($AC$1006:AI1006),$AC$1006:$AS$1006,0)))),"Fix")))</f>
        <v>0</v>
      </c>
      <c r="I468" s="5">
        <f>IF(OR(INDEX($W$2:$W$1001,MATCH(ROWS($V$2:V468),$V$2:$V$1001,0),1)&gt;=100000,INDEX($AC$1005:$AS$1005,1,MATCH(COLUMNS($AC$1006:AJ1006),$AC$1006:$AS$1006,0))&gt;=100000), " ",IF(INDEX($AC$2:$AS$1001,MATCH(ROWS($V$2:V468),$V$2:$V$1001,0),MATCH(COLUMNS($AC$1006:AJ1006),$AC$1006:$AS$1006,0)), HYPERLINK("#",""), HYPERLINK(CONCATENATE("#Metadata!", ADDRESS(INDEX($X$2:$X$1001,MATCH(ROWS($V$2:V468),$V$2:$V$1001,0),0), INDEX($AC$1004:$AS$1004,1,MATCH(COLUMNS($AC$1006:AJ1006),$AC$1006:$AS$1006,0)))),"Fix")))</f>
        <v>0</v>
      </c>
      <c r="J468" s="5">
        <f>IF(OR(INDEX($W$2:$W$1001,MATCH(ROWS($V$2:V468),$V$2:$V$1001,0),1)&gt;=100000,INDEX($AC$1005:$AS$1005,1,MATCH(COLUMNS($AC$1006:AK1006),$AC$1006:$AS$1006,0))&gt;=100000), " ",IF(INDEX($AC$2:$AS$1001,MATCH(ROWS($V$2:V468),$V$2:$V$1001,0),MATCH(COLUMNS($AC$1006:AK1006),$AC$1006:$AS$1006,0)), HYPERLINK("#",""), HYPERLINK(CONCATENATE("#Metadata!", ADDRESS(INDEX($X$2:$X$1001,MATCH(ROWS($V$2:V468),$V$2:$V$1001,0),0), INDEX($AC$1004:$AS$1004,1,MATCH(COLUMNS($AC$1006:AK1006),$AC$1006:$AS$1006,0)))),"Fix")))</f>
        <v>0</v>
      </c>
      <c r="K468" s="5">
        <f>IF(OR(INDEX($W$2:$W$1001,MATCH(ROWS($V$2:V468),$V$2:$V$1001,0),1)&gt;=100000,INDEX($AC$1005:$AS$1005,1,MATCH(COLUMNS($AC$1006:AL1006),$AC$1006:$AS$1006,0))&gt;=100000), " ",IF(INDEX($AC$2:$AS$1001,MATCH(ROWS($V$2:V468),$V$2:$V$1001,0),MATCH(COLUMNS($AC$1006:AL1006),$AC$1006:$AS$1006,0)), HYPERLINK("#",""), HYPERLINK(CONCATENATE("#Metadata!", ADDRESS(INDEX($X$2:$X$1001,MATCH(ROWS($V$2:V468),$V$2:$V$1001,0),0), INDEX($AC$1004:$AS$1004,1,MATCH(COLUMNS($AC$1006:AL1006),$AC$1006:$AS$1006,0)))),"Fix")))</f>
        <v>0</v>
      </c>
      <c r="L468" s="5">
        <f>IF(OR(INDEX($W$2:$W$1001,MATCH(ROWS($V$2:V468),$V$2:$V$1001,0),1)&gt;=100000,INDEX($AC$1005:$AS$1005,1,MATCH(COLUMNS($AC$1006:AM1006),$AC$1006:$AS$1006,0))&gt;=100000), " ",IF(INDEX($AC$2:$AS$1001,MATCH(ROWS($V$2:V468),$V$2:$V$1001,0),MATCH(COLUMNS($AC$1006:AM1006),$AC$1006:$AS$1006,0)), HYPERLINK("#",""), HYPERLINK(CONCATENATE("#Metadata!", ADDRESS(INDEX($X$2:$X$1001,MATCH(ROWS($V$2:V468),$V$2:$V$1001,0),0), INDEX($AC$1004:$AS$1004,1,MATCH(COLUMNS($AC$1006:AM1006),$AC$1006:$AS$1006,0)))),"Fix")))</f>
        <v>0</v>
      </c>
      <c r="M468" s="5">
        <f>IF(OR(INDEX($W$2:$W$1001,MATCH(ROWS($V$2:V468),$V$2:$V$1001,0),1)&gt;=100000,INDEX($AC$1005:$AS$1005,1,MATCH(COLUMNS($AC$1006:AN1006),$AC$1006:$AS$1006,0))&gt;=100000), " ",IF(INDEX($AC$2:$AS$1001,MATCH(ROWS($V$2:V468),$V$2:$V$1001,0),MATCH(COLUMNS($AC$1006:AN1006),$AC$1006:$AS$1006,0)), HYPERLINK("#",""), HYPERLINK(CONCATENATE("#Metadata!", ADDRESS(INDEX($X$2:$X$1001,MATCH(ROWS($V$2:V468),$V$2:$V$1001,0),0), INDEX($AC$1004:$AS$1004,1,MATCH(COLUMNS($AC$1006:AN1006),$AC$1006:$AS$1006,0)))),"Fix")))</f>
        <v>0</v>
      </c>
      <c r="N468" s="5">
        <f>IF(OR(INDEX($W$2:$W$1001,MATCH(ROWS($V$2:V468),$V$2:$V$1001,0),1)&gt;=100000,INDEX($AC$1005:$AS$1005,1,MATCH(COLUMNS($AC$1006:AO1006),$AC$1006:$AS$1006,0))&gt;=100000), " ",IF(INDEX($AC$2:$AS$1001,MATCH(ROWS($V$2:V468),$V$2:$V$1001,0),MATCH(COLUMNS($AC$1006:AO1006),$AC$1006:$AS$1006,0)), HYPERLINK("#",""), HYPERLINK(CONCATENATE("#Metadata!", ADDRESS(INDEX($X$2:$X$1001,MATCH(ROWS($V$2:V468),$V$2:$V$1001,0),0), INDEX($AC$1004:$AS$1004,1,MATCH(COLUMNS($AC$1006:AO1006),$AC$1006:$AS$1006,0)))),"Fix")))</f>
        <v>0</v>
      </c>
      <c r="O468" s="5">
        <f>IF(OR(INDEX($W$2:$W$1001,MATCH(ROWS($V$2:V468),$V$2:$V$1001,0),1)&gt;=100000,INDEX($AC$1005:$AS$1005,1,MATCH(COLUMNS($AC$1006:AP1006),$AC$1006:$AS$1006,0))&gt;=100000), " ",IF(INDEX($AC$2:$AS$1001,MATCH(ROWS($V$2:V468),$V$2:$V$1001,0),MATCH(COLUMNS($AC$1006:AP1006),$AC$1006:$AS$1006,0)), HYPERLINK("#",""), HYPERLINK(CONCATENATE("#Metadata!", ADDRESS(INDEX($X$2:$X$1001,MATCH(ROWS($V$2:V468),$V$2:$V$1001,0),0), INDEX($AC$1004:$AS$1004,1,MATCH(COLUMNS($AC$1006:AP1006),$AC$1006:$AS$1006,0)))),"Fix")))</f>
        <v>0</v>
      </c>
      <c r="P468" s="5">
        <f>IF(OR(INDEX($W$2:$W$1001,MATCH(ROWS($V$2:V468),$V$2:$V$1001,0),1)&gt;=100000,INDEX($AC$1005:$AS$1005,1,MATCH(COLUMNS($AC$1006:AQ1006),$AC$1006:$AS$1006,0))&gt;=100000), " ",IF(INDEX($AC$2:$AS$1001,MATCH(ROWS($V$2:V468),$V$2:$V$1001,0),MATCH(COLUMNS($AC$1006:AQ1006),$AC$1006:$AS$1006,0)), HYPERLINK("#",""), HYPERLINK(CONCATENATE("#Metadata!", ADDRESS(INDEX($X$2:$X$1001,MATCH(ROWS($V$2:V468),$V$2:$V$1001,0),0), INDEX($AC$1004:$AS$1004,1,MATCH(COLUMNS($AC$1006:AQ1006),$AC$1006:$AS$1006,0)))),"Fix")))</f>
        <v>0</v>
      </c>
      <c r="Q468" s="5">
        <f>IF(OR(INDEX($W$2:$W$1001,MATCH(ROWS($V$2:V468),$V$2:$V$1001,0),1)&gt;=100000,INDEX($AC$1005:$AS$1005,1,MATCH(COLUMNS($AC$1006:AR1006),$AC$1006:$AS$1006,0))&gt;=100000), " ",IF(INDEX($AC$2:$AS$1001,MATCH(ROWS($V$2:V468),$V$2:$V$1001,0),MATCH(COLUMNS($AC$1006:AR1006),$AC$1006:$AS$1006,0)), HYPERLINK("#",""), HYPERLINK(CONCATENATE("#Metadata!", ADDRESS(INDEX($X$2:$X$1001,MATCH(ROWS($V$2:V468),$V$2:$V$1001,0),0), INDEX($AC$1004:$AS$1004,1,MATCH(COLUMNS($AC$1006:AR1006),$AC$1006:$AS$1006,0)))),"Fix")))</f>
        <v>0</v>
      </c>
      <c r="R468" s="5">
        <f>IF(OR(INDEX($W$2:$W$1001,MATCH(ROWS($V$2:V468),$V$2:$V$1001,0),1)&gt;=100000,INDEX($AC$1005:$AS$1005,1,MATCH(COLUMNS($AC$1006:AS1006),$AC$1006:$AS$1006,0))&gt;=100000), " ",IF(INDEX($AC$2:$AS$1001,MATCH(ROWS($V$2:V468),$V$2:$V$1001,0),MATCH(COLUMNS($AC$1006:AS1006),$AC$1006:$AS$1006,0)), HYPERLINK("#",""), HYPERLINK(CONCATENATE("#Metadata!", ADDRESS(INDEX($X$2:$X$1001,MATCH(ROWS($V$2:V468),$V$2:$V$1001,0),0), INDEX($AC$1004:$AS$1004,1,MATCH(COLUMNS($AC$1006:AS1006),$AC$1006:$AS$1006,0)))),"Fix")))</f>
        <v>0</v>
      </c>
      <c r="V468">
        <v>0</v>
      </c>
      <c r="W468">
        <v>0</v>
      </c>
      <c r="X468">
        <v>0</v>
      </c>
      <c r="Y468">
        <f>IF(Z468,TRUE,AND(AC468:AS468))</f>
        <v>0</v>
      </c>
      <c r="Z468">
        <f>COUNTBLANK(Metadata!B468:R468)=COLUMNS(Metadata!B468:R468)</f>
        <v>0</v>
      </c>
      <c r="AA468">
        <v>0</v>
      </c>
      <c r="AC468">
        <f>AND(IF(Metadata!B468="",FALSE,TRUE),COUNTIF(Metadata!B:B, Metadata!B468) = 1,NOT(ISERROR(SUMPRODUCT(SEARCH(MID(Metadata!B468,ROW(INDIRECT("1:"&amp;LEN(Metadata!B468))), 1),"0123456789abcdefghijklmnopqrstuvwxyzABCDEFGHIJKLMNOPQRSTUVWXYZ.")))))</f>
        <v>0</v>
      </c>
      <c r="AD468">
        <f>AND(IF(Metadata!C468="",FALSE,TRUE),exact(Metadata!C468,"Host-associated"))</f>
        <v>0</v>
      </c>
      <c r="AE468">
        <f>AND(IF(Metadata!D468="",FALSE,TRUE),OR(exact(Metadata!D468,"Animal"),exact(Metadata!D468,"Fungus"),exact(Metadata!D468,"Plant")))</f>
        <v>0</v>
      </c>
      <c r="AF468">
        <f>AND(IF(Metadata!E468="",FALSE,TRUE),OR(exact(Metadata!E468,"Plant secretion"),exact(Metadata!E468,"Plant rhizosphere"),exact(Metadata!E468,"Plant surface"),exact(Metadata!E468,"Plant corpus"),exact(Metadata!E468,"Fungus surface"),exact(Metadata!E468,"Fungus corpus"),exact(Metadata!E468,"Animal surface"),exact(Metadata!E468,"Animal proximal gut"),exact(Metadata!E468,"Animal corpus"),exact(Metadata!E468,"Animal distal gut"),exact(Metadata!E468,"Animal secretion")))</f>
        <v>0</v>
      </c>
      <c r="AG468">
        <f>OR(AND(IF(Metadata!F468="",FALSE,TRUE),OR(exact(Metadata!F468,"not collected"),exact(Metadata!F468,"not provided"),exact(Metadata!F468,"restricted access"))),AND(IF(Metadata!F468="",FALSE,TRUE),OR(exact(Metadata!F468,"organism-associated habitat"),exact(Metadata!F468,"plant-associated habitat"),exact(Metadata!F468,"animal-associated habitat"),exact(Metadata!F468,"insecta-associated habitat"),exact(Metadata!F468,"mammalia-associated habitat"),exact(Metadata!F468,"human-associated habitat"),exact(Metadata!F468,"livestock-associated habitat"))))</f>
        <v>0</v>
      </c>
      <c r="AH468">
        <f>AND(IF(Metadata!G468="",FALSE,TRUE),exact(Metadata!G468,"host-associated"))</f>
        <v>0</v>
      </c>
      <c r="AI468">
        <f>OR(AND(IF(Metadata!H468="",FALSE,TRUE),OR(exact(Metadata!H468,"not collected"),exact(Metadata!H468,"not provided"))),AND(IF(Metadata!H468="",FALSE,ISNUMBER(VALUE(Metadata!H468))),Metadata!H468&gt;0))</f>
        <v>0</v>
      </c>
      <c r="AJ468">
        <f>AND(IF(Metadata!I468="",FALSE,TRUE),exact(Metadata!I468,"years"))</f>
        <v>0</v>
      </c>
      <c r="AK468">
        <f>IF(Metadata!J468="",FALSE,TRUE)</f>
        <v>0</v>
      </c>
      <c r="AL468">
        <f>OR(AND(IF(Metadata!K468="",FALSE,TRUE),OR(exact(Metadata!K468,"not collected"),exact(Metadata!K468,"not provided"))),AND(IF(Metadata!K468="",FALSE,ISNUMBER(VALUE(Metadata!K468))),Metadata!K468&gt;0))</f>
        <v>0</v>
      </c>
      <c r="AM468">
        <f>AND(IF(Metadata!L468="",FALSE,TRUE),exact(Metadata!L468,"cm"))</f>
        <v>0</v>
      </c>
      <c r="AN468">
        <f>IF(Metadata!M468="",FALSE,TRUE)</f>
        <v>0</v>
      </c>
      <c r="AO468">
        <f>OR(AND(IF(Metadata!N468="",FALSE,TRUE),OR(exact(Metadata!N468,"not applicable"),exact(Metadata!N468,"not collected"),exact(Metadata!N468,"not provided"))),AND(IF(Metadata!N468="",FALSE,IF(ISERROR(INT(Metadata!N468)),FALSE,INT(Metadata!N468)=Metadata!N468)),Metadata!N468&gt;0))</f>
        <v>0</v>
      </c>
      <c r="AP468">
        <f>OR(AND(IF(Metadata!O468="",FALSE,TRUE),OR(exact(Metadata!O468,"not collected"),exact(Metadata!O468,"not provided"))),AND(IF(Metadata!O468="",FALSE,ISNUMBER(VALUE(Metadata!O468))),Metadata!O468&gt;0))</f>
        <v>0</v>
      </c>
      <c r="AQ468">
        <f>AND(IF(Metadata!P468="",FALSE,TRUE),exact(Metadata!P468,"kg"))</f>
        <v>0</v>
      </c>
      <c r="AR468">
        <f>OR(AND(IF(Metadata!Q468="",FALSE,TRUE),OR(exact(Metadata!Q468,"not applicable"),exact(Metadata!Q468,"not collected"),exact(Metadata!Q468,"not provided"),exact(Metadata!Q468,"restricted access"))),IF(Metadata!Q468="",FALSE,IF(ISERROR(INT(Metadata!Q468)),FALSE,INT(Metadata!Q468)=Metadata!Q468)))</f>
        <v>0</v>
      </c>
      <c r="AS468">
        <f>AND(IF(Metadata!R468="",FALSE,TRUE),exact(Metadata!R468,"Not applicable"))</f>
        <v>0</v>
      </c>
    </row>
    <row r="469" spans="1:45">
      <c r="A469" s="4">
        <f>IF(B469=" "," ",HYPERLINK(CONCATENATE("#metadata!",ADDRESS(INDEX($X$2:$X$1001,MATCH(ROWS($V$2:V469),$V$2:$V$1001,0),0),2)),INDEX($AA$2:$AA$1001,MATCH(ROWS($V$2:V469),$V$2:$V$1001,0),0)))</f>
        <v>0</v>
      </c>
      <c r="B469" s="5">
        <f>IF(OR(INDEX($W$2:$W$1001,MATCH(ROWS($V$2:V469),$V$2:$V$1001,0),1)&gt;=100000,INDEX($AC$1005:$AS$1005,1,MATCH(COLUMNS($AC$1006:AC1006),$AC$1006:$AS$1006,0))&gt;=100000), " ",IF(INDEX($AC$2:$AS$1001,MATCH(ROWS($V$2:V469),$V$2:$V$1001,0),MATCH(COLUMNS($AC$1006:AC1006),$AC$1006:$AS$1006,0)), HYPERLINK("#",""), HYPERLINK(CONCATENATE("#Metadata!", ADDRESS(INDEX($X$2:$X$1001,MATCH(ROWS($V$2:V469),$V$2:$V$1001,0),0), INDEX($AC$1004:$AS$1004,1,MATCH(COLUMNS($AC$1006:AC1006),$AC$1006:$AS$1006,0)))),"Fix")))</f>
        <v>0</v>
      </c>
      <c r="C469" s="5">
        <f>IF(OR(INDEX($W$2:$W$1001,MATCH(ROWS($V$2:V469),$V$2:$V$1001,0),1)&gt;=100000,INDEX($AC$1005:$AS$1005,1,MATCH(COLUMNS($AC$1006:AD1006),$AC$1006:$AS$1006,0))&gt;=100000), " ",IF(INDEX($AC$2:$AS$1001,MATCH(ROWS($V$2:V469),$V$2:$V$1001,0),MATCH(COLUMNS($AC$1006:AD1006),$AC$1006:$AS$1006,0)), HYPERLINK("#",""), HYPERLINK(CONCATENATE("#Metadata!", ADDRESS(INDEX($X$2:$X$1001,MATCH(ROWS($V$2:V469),$V$2:$V$1001,0),0), INDEX($AC$1004:$AS$1004,1,MATCH(COLUMNS($AC$1006:AD1006),$AC$1006:$AS$1006,0)))),"Fix")))</f>
        <v>0</v>
      </c>
      <c r="D469" s="5">
        <f>IF(OR(INDEX($W$2:$W$1001,MATCH(ROWS($V$2:V469),$V$2:$V$1001,0),1)&gt;=100000,INDEX($AC$1005:$AS$1005,1,MATCH(COLUMNS($AC$1006:AE1006),$AC$1006:$AS$1006,0))&gt;=100000), " ",IF(INDEX($AC$2:$AS$1001,MATCH(ROWS($V$2:V469),$V$2:$V$1001,0),MATCH(COLUMNS($AC$1006:AE1006),$AC$1006:$AS$1006,0)), HYPERLINK("#",""), HYPERLINK(CONCATENATE("#Metadata!", ADDRESS(INDEX($X$2:$X$1001,MATCH(ROWS($V$2:V469),$V$2:$V$1001,0),0), INDEX($AC$1004:$AS$1004,1,MATCH(COLUMNS($AC$1006:AE1006),$AC$1006:$AS$1006,0)))),"Fix")))</f>
        <v>0</v>
      </c>
      <c r="E469" s="5">
        <f>IF(OR(INDEX($W$2:$W$1001,MATCH(ROWS($V$2:V469),$V$2:$V$1001,0),1)&gt;=100000,INDEX($AC$1005:$AS$1005,1,MATCH(COLUMNS($AC$1006:AF1006),$AC$1006:$AS$1006,0))&gt;=100000), " ",IF(INDEX($AC$2:$AS$1001,MATCH(ROWS($V$2:V469),$V$2:$V$1001,0),MATCH(COLUMNS($AC$1006:AF1006),$AC$1006:$AS$1006,0)), HYPERLINK("#",""), HYPERLINK(CONCATENATE("#Metadata!", ADDRESS(INDEX($X$2:$X$1001,MATCH(ROWS($V$2:V469),$V$2:$V$1001,0),0), INDEX($AC$1004:$AS$1004,1,MATCH(COLUMNS($AC$1006:AF1006),$AC$1006:$AS$1006,0)))),"Fix")))</f>
        <v>0</v>
      </c>
      <c r="F469" s="5">
        <f>IF(OR(INDEX($W$2:$W$1001,MATCH(ROWS($V$2:V469),$V$2:$V$1001,0),1)&gt;=100000,INDEX($AC$1005:$AS$1005,1,MATCH(COLUMNS($AC$1006:AG1006),$AC$1006:$AS$1006,0))&gt;=100000), " ",IF(INDEX($AC$2:$AS$1001,MATCH(ROWS($V$2:V469),$V$2:$V$1001,0),MATCH(COLUMNS($AC$1006:AG1006),$AC$1006:$AS$1006,0)), HYPERLINK("#",""), HYPERLINK(CONCATENATE("#Metadata!", ADDRESS(INDEX($X$2:$X$1001,MATCH(ROWS($V$2:V469),$V$2:$V$1001,0),0), INDEX($AC$1004:$AS$1004,1,MATCH(COLUMNS($AC$1006:AG1006),$AC$1006:$AS$1006,0)))),"Fix")))</f>
        <v>0</v>
      </c>
      <c r="G469" s="5">
        <f>IF(OR(INDEX($W$2:$W$1001,MATCH(ROWS($V$2:V469),$V$2:$V$1001,0),1)&gt;=100000,INDEX($AC$1005:$AS$1005,1,MATCH(COLUMNS($AC$1006:AH1006),$AC$1006:$AS$1006,0))&gt;=100000), " ",IF(INDEX($AC$2:$AS$1001,MATCH(ROWS($V$2:V469),$V$2:$V$1001,0),MATCH(COLUMNS($AC$1006:AH1006),$AC$1006:$AS$1006,0)), HYPERLINK("#",""), HYPERLINK(CONCATENATE("#Metadata!", ADDRESS(INDEX($X$2:$X$1001,MATCH(ROWS($V$2:V469),$V$2:$V$1001,0),0), INDEX($AC$1004:$AS$1004,1,MATCH(COLUMNS($AC$1006:AH1006),$AC$1006:$AS$1006,0)))),"Fix")))</f>
        <v>0</v>
      </c>
      <c r="H469" s="5">
        <f>IF(OR(INDEX($W$2:$W$1001,MATCH(ROWS($V$2:V469),$V$2:$V$1001,0),1)&gt;=100000,INDEX($AC$1005:$AS$1005,1,MATCH(COLUMNS($AC$1006:AI1006),$AC$1006:$AS$1006,0))&gt;=100000), " ",IF(INDEX($AC$2:$AS$1001,MATCH(ROWS($V$2:V469),$V$2:$V$1001,0),MATCH(COLUMNS($AC$1006:AI1006),$AC$1006:$AS$1006,0)), HYPERLINK("#",""), HYPERLINK(CONCATENATE("#Metadata!", ADDRESS(INDEX($X$2:$X$1001,MATCH(ROWS($V$2:V469),$V$2:$V$1001,0),0), INDEX($AC$1004:$AS$1004,1,MATCH(COLUMNS($AC$1006:AI1006),$AC$1006:$AS$1006,0)))),"Fix")))</f>
        <v>0</v>
      </c>
      <c r="I469" s="5">
        <f>IF(OR(INDEX($W$2:$W$1001,MATCH(ROWS($V$2:V469),$V$2:$V$1001,0),1)&gt;=100000,INDEX($AC$1005:$AS$1005,1,MATCH(COLUMNS($AC$1006:AJ1006),$AC$1006:$AS$1006,0))&gt;=100000), " ",IF(INDEX($AC$2:$AS$1001,MATCH(ROWS($V$2:V469),$V$2:$V$1001,0),MATCH(COLUMNS($AC$1006:AJ1006),$AC$1006:$AS$1006,0)), HYPERLINK("#",""), HYPERLINK(CONCATENATE("#Metadata!", ADDRESS(INDEX($X$2:$X$1001,MATCH(ROWS($V$2:V469),$V$2:$V$1001,0),0), INDEX($AC$1004:$AS$1004,1,MATCH(COLUMNS($AC$1006:AJ1006),$AC$1006:$AS$1006,0)))),"Fix")))</f>
        <v>0</v>
      </c>
      <c r="J469" s="5">
        <f>IF(OR(INDEX($W$2:$W$1001,MATCH(ROWS($V$2:V469),$V$2:$V$1001,0),1)&gt;=100000,INDEX($AC$1005:$AS$1005,1,MATCH(COLUMNS($AC$1006:AK1006),$AC$1006:$AS$1006,0))&gt;=100000), " ",IF(INDEX($AC$2:$AS$1001,MATCH(ROWS($V$2:V469),$V$2:$V$1001,0),MATCH(COLUMNS($AC$1006:AK1006),$AC$1006:$AS$1006,0)), HYPERLINK("#",""), HYPERLINK(CONCATENATE("#Metadata!", ADDRESS(INDEX($X$2:$X$1001,MATCH(ROWS($V$2:V469),$V$2:$V$1001,0),0), INDEX($AC$1004:$AS$1004,1,MATCH(COLUMNS($AC$1006:AK1006),$AC$1006:$AS$1006,0)))),"Fix")))</f>
        <v>0</v>
      </c>
      <c r="K469" s="5">
        <f>IF(OR(INDEX($W$2:$W$1001,MATCH(ROWS($V$2:V469),$V$2:$V$1001,0),1)&gt;=100000,INDEX($AC$1005:$AS$1005,1,MATCH(COLUMNS($AC$1006:AL1006),$AC$1006:$AS$1006,0))&gt;=100000), " ",IF(INDEX($AC$2:$AS$1001,MATCH(ROWS($V$2:V469),$V$2:$V$1001,0),MATCH(COLUMNS($AC$1006:AL1006),$AC$1006:$AS$1006,0)), HYPERLINK("#",""), HYPERLINK(CONCATENATE("#Metadata!", ADDRESS(INDEX($X$2:$X$1001,MATCH(ROWS($V$2:V469),$V$2:$V$1001,0),0), INDEX($AC$1004:$AS$1004,1,MATCH(COLUMNS($AC$1006:AL1006),$AC$1006:$AS$1006,0)))),"Fix")))</f>
        <v>0</v>
      </c>
      <c r="L469" s="5">
        <f>IF(OR(INDEX($W$2:$W$1001,MATCH(ROWS($V$2:V469),$V$2:$V$1001,0),1)&gt;=100000,INDEX($AC$1005:$AS$1005,1,MATCH(COLUMNS($AC$1006:AM1006),$AC$1006:$AS$1006,0))&gt;=100000), " ",IF(INDEX($AC$2:$AS$1001,MATCH(ROWS($V$2:V469),$V$2:$V$1001,0),MATCH(COLUMNS($AC$1006:AM1006),$AC$1006:$AS$1006,0)), HYPERLINK("#",""), HYPERLINK(CONCATENATE("#Metadata!", ADDRESS(INDEX($X$2:$X$1001,MATCH(ROWS($V$2:V469),$V$2:$V$1001,0),0), INDEX($AC$1004:$AS$1004,1,MATCH(COLUMNS($AC$1006:AM1006),$AC$1006:$AS$1006,0)))),"Fix")))</f>
        <v>0</v>
      </c>
      <c r="M469" s="5">
        <f>IF(OR(INDEX($W$2:$W$1001,MATCH(ROWS($V$2:V469),$V$2:$V$1001,0),1)&gt;=100000,INDEX($AC$1005:$AS$1005,1,MATCH(COLUMNS($AC$1006:AN1006),$AC$1006:$AS$1006,0))&gt;=100000), " ",IF(INDEX($AC$2:$AS$1001,MATCH(ROWS($V$2:V469),$V$2:$V$1001,0),MATCH(COLUMNS($AC$1006:AN1006),$AC$1006:$AS$1006,0)), HYPERLINK("#",""), HYPERLINK(CONCATENATE("#Metadata!", ADDRESS(INDEX($X$2:$X$1001,MATCH(ROWS($V$2:V469),$V$2:$V$1001,0),0), INDEX($AC$1004:$AS$1004,1,MATCH(COLUMNS($AC$1006:AN1006),$AC$1006:$AS$1006,0)))),"Fix")))</f>
        <v>0</v>
      </c>
      <c r="N469" s="5">
        <f>IF(OR(INDEX($W$2:$W$1001,MATCH(ROWS($V$2:V469),$V$2:$V$1001,0),1)&gt;=100000,INDEX($AC$1005:$AS$1005,1,MATCH(COLUMNS($AC$1006:AO1006),$AC$1006:$AS$1006,0))&gt;=100000), " ",IF(INDEX($AC$2:$AS$1001,MATCH(ROWS($V$2:V469),$V$2:$V$1001,0),MATCH(COLUMNS($AC$1006:AO1006),$AC$1006:$AS$1006,0)), HYPERLINK("#",""), HYPERLINK(CONCATENATE("#Metadata!", ADDRESS(INDEX($X$2:$X$1001,MATCH(ROWS($V$2:V469),$V$2:$V$1001,0),0), INDEX($AC$1004:$AS$1004,1,MATCH(COLUMNS($AC$1006:AO1006),$AC$1006:$AS$1006,0)))),"Fix")))</f>
        <v>0</v>
      </c>
      <c r="O469" s="5">
        <f>IF(OR(INDEX($W$2:$W$1001,MATCH(ROWS($V$2:V469),$V$2:$V$1001,0),1)&gt;=100000,INDEX($AC$1005:$AS$1005,1,MATCH(COLUMNS($AC$1006:AP1006),$AC$1006:$AS$1006,0))&gt;=100000), " ",IF(INDEX($AC$2:$AS$1001,MATCH(ROWS($V$2:V469),$V$2:$V$1001,0),MATCH(COLUMNS($AC$1006:AP1006),$AC$1006:$AS$1006,0)), HYPERLINK("#",""), HYPERLINK(CONCATENATE("#Metadata!", ADDRESS(INDEX($X$2:$X$1001,MATCH(ROWS($V$2:V469),$V$2:$V$1001,0),0), INDEX($AC$1004:$AS$1004,1,MATCH(COLUMNS($AC$1006:AP1006),$AC$1006:$AS$1006,0)))),"Fix")))</f>
        <v>0</v>
      </c>
      <c r="P469" s="5">
        <f>IF(OR(INDEX($W$2:$W$1001,MATCH(ROWS($V$2:V469),$V$2:$V$1001,0),1)&gt;=100000,INDEX($AC$1005:$AS$1005,1,MATCH(COLUMNS($AC$1006:AQ1006),$AC$1006:$AS$1006,0))&gt;=100000), " ",IF(INDEX($AC$2:$AS$1001,MATCH(ROWS($V$2:V469),$V$2:$V$1001,0),MATCH(COLUMNS($AC$1006:AQ1006),$AC$1006:$AS$1006,0)), HYPERLINK("#",""), HYPERLINK(CONCATENATE("#Metadata!", ADDRESS(INDEX($X$2:$X$1001,MATCH(ROWS($V$2:V469),$V$2:$V$1001,0),0), INDEX($AC$1004:$AS$1004,1,MATCH(COLUMNS($AC$1006:AQ1006),$AC$1006:$AS$1006,0)))),"Fix")))</f>
        <v>0</v>
      </c>
      <c r="Q469" s="5">
        <f>IF(OR(INDEX($W$2:$W$1001,MATCH(ROWS($V$2:V469),$V$2:$V$1001,0),1)&gt;=100000,INDEX($AC$1005:$AS$1005,1,MATCH(COLUMNS($AC$1006:AR1006),$AC$1006:$AS$1006,0))&gt;=100000), " ",IF(INDEX($AC$2:$AS$1001,MATCH(ROWS($V$2:V469),$V$2:$V$1001,0),MATCH(COLUMNS($AC$1006:AR1006),$AC$1006:$AS$1006,0)), HYPERLINK("#",""), HYPERLINK(CONCATENATE("#Metadata!", ADDRESS(INDEX($X$2:$X$1001,MATCH(ROWS($V$2:V469),$V$2:$V$1001,0),0), INDEX($AC$1004:$AS$1004,1,MATCH(COLUMNS($AC$1006:AR1006),$AC$1006:$AS$1006,0)))),"Fix")))</f>
        <v>0</v>
      </c>
      <c r="R469" s="5">
        <f>IF(OR(INDEX($W$2:$W$1001,MATCH(ROWS($V$2:V469),$V$2:$V$1001,0),1)&gt;=100000,INDEX($AC$1005:$AS$1005,1,MATCH(COLUMNS($AC$1006:AS1006),$AC$1006:$AS$1006,0))&gt;=100000), " ",IF(INDEX($AC$2:$AS$1001,MATCH(ROWS($V$2:V469),$V$2:$V$1001,0),MATCH(COLUMNS($AC$1006:AS1006),$AC$1006:$AS$1006,0)), HYPERLINK("#",""), HYPERLINK(CONCATENATE("#Metadata!", ADDRESS(INDEX($X$2:$X$1001,MATCH(ROWS($V$2:V469),$V$2:$V$1001,0),0), INDEX($AC$1004:$AS$1004,1,MATCH(COLUMNS($AC$1006:AS1006),$AC$1006:$AS$1006,0)))),"Fix")))</f>
        <v>0</v>
      </c>
      <c r="V469">
        <v>0</v>
      </c>
      <c r="W469">
        <v>0</v>
      </c>
      <c r="X469">
        <v>0</v>
      </c>
      <c r="Y469">
        <f>IF(Z469,TRUE,AND(AC469:AS469))</f>
        <v>0</v>
      </c>
      <c r="Z469">
        <f>COUNTBLANK(Metadata!B469:R469)=COLUMNS(Metadata!B469:R469)</f>
        <v>0</v>
      </c>
      <c r="AA469">
        <v>0</v>
      </c>
      <c r="AC469">
        <f>AND(IF(Metadata!B469="",FALSE,TRUE),COUNTIF(Metadata!B:B, Metadata!B469) = 1,NOT(ISERROR(SUMPRODUCT(SEARCH(MID(Metadata!B469,ROW(INDIRECT("1:"&amp;LEN(Metadata!B469))), 1),"0123456789abcdefghijklmnopqrstuvwxyzABCDEFGHIJKLMNOPQRSTUVWXYZ.")))))</f>
        <v>0</v>
      </c>
      <c r="AD469">
        <f>AND(IF(Metadata!C469="",FALSE,TRUE),exact(Metadata!C469,"Host-associated"))</f>
        <v>0</v>
      </c>
      <c r="AE469">
        <f>AND(IF(Metadata!D469="",FALSE,TRUE),OR(exact(Metadata!D469,"Animal"),exact(Metadata!D469,"Fungus"),exact(Metadata!D469,"Plant")))</f>
        <v>0</v>
      </c>
      <c r="AF469">
        <f>AND(IF(Metadata!E469="",FALSE,TRUE),OR(exact(Metadata!E469,"Plant secretion"),exact(Metadata!E469,"Plant rhizosphere"),exact(Metadata!E469,"Plant surface"),exact(Metadata!E469,"Plant corpus"),exact(Metadata!E469,"Fungus surface"),exact(Metadata!E469,"Fungus corpus"),exact(Metadata!E469,"Animal surface"),exact(Metadata!E469,"Animal proximal gut"),exact(Metadata!E469,"Animal corpus"),exact(Metadata!E469,"Animal distal gut"),exact(Metadata!E469,"Animal secretion")))</f>
        <v>0</v>
      </c>
      <c r="AG469">
        <f>OR(AND(IF(Metadata!F469="",FALSE,TRUE),OR(exact(Metadata!F469,"not collected"),exact(Metadata!F469,"not provided"),exact(Metadata!F469,"restricted access"))),AND(IF(Metadata!F469="",FALSE,TRUE),OR(exact(Metadata!F469,"organism-associated habitat"),exact(Metadata!F469,"plant-associated habitat"),exact(Metadata!F469,"animal-associated habitat"),exact(Metadata!F469,"insecta-associated habitat"),exact(Metadata!F469,"mammalia-associated habitat"),exact(Metadata!F469,"human-associated habitat"),exact(Metadata!F469,"livestock-associated habitat"))))</f>
        <v>0</v>
      </c>
      <c r="AH469">
        <f>AND(IF(Metadata!G469="",FALSE,TRUE),exact(Metadata!G469,"host-associated"))</f>
        <v>0</v>
      </c>
      <c r="AI469">
        <f>OR(AND(IF(Metadata!H469="",FALSE,TRUE),OR(exact(Metadata!H469,"not collected"),exact(Metadata!H469,"not provided"))),AND(IF(Metadata!H469="",FALSE,ISNUMBER(VALUE(Metadata!H469))),Metadata!H469&gt;0))</f>
        <v>0</v>
      </c>
      <c r="AJ469">
        <f>AND(IF(Metadata!I469="",FALSE,TRUE),exact(Metadata!I469,"years"))</f>
        <v>0</v>
      </c>
      <c r="AK469">
        <f>IF(Metadata!J469="",FALSE,TRUE)</f>
        <v>0</v>
      </c>
      <c r="AL469">
        <f>OR(AND(IF(Metadata!K469="",FALSE,TRUE),OR(exact(Metadata!K469,"not collected"),exact(Metadata!K469,"not provided"))),AND(IF(Metadata!K469="",FALSE,ISNUMBER(VALUE(Metadata!K469))),Metadata!K469&gt;0))</f>
        <v>0</v>
      </c>
      <c r="AM469">
        <f>AND(IF(Metadata!L469="",FALSE,TRUE),exact(Metadata!L469,"cm"))</f>
        <v>0</v>
      </c>
      <c r="AN469">
        <f>IF(Metadata!M469="",FALSE,TRUE)</f>
        <v>0</v>
      </c>
      <c r="AO469">
        <f>OR(AND(IF(Metadata!N469="",FALSE,TRUE),OR(exact(Metadata!N469,"not applicable"),exact(Metadata!N469,"not collected"),exact(Metadata!N469,"not provided"))),AND(IF(Metadata!N469="",FALSE,IF(ISERROR(INT(Metadata!N469)),FALSE,INT(Metadata!N469)=Metadata!N469)),Metadata!N469&gt;0))</f>
        <v>0</v>
      </c>
      <c r="AP469">
        <f>OR(AND(IF(Metadata!O469="",FALSE,TRUE),OR(exact(Metadata!O469,"not collected"),exact(Metadata!O469,"not provided"))),AND(IF(Metadata!O469="",FALSE,ISNUMBER(VALUE(Metadata!O469))),Metadata!O469&gt;0))</f>
        <v>0</v>
      </c>
      <c r="AQ469">
        <f>AND(IF(Metadata!P469="",FALSE,TRUE),exact(Metadata!P469,"kg"))</f>
        <v>0</v>
      </c>
      <c r="AR469">
        <f>OR(AND(IF(Metadata!Q469="",FALSE,TRUE),OR(exact(Metadata!Q469,"not applicable"),exact(Metadata!Q469,"not collected"),exact(Metadata!Q469,"not provided"),exact(Metadata!Q469,"restricted access"))),IF(Metadata!Q469="",FALSE,IF(ISERROR(INT(Metadata!Q469)),FALSE,INT(Metadata!Q469)=Metadata!Q469)))</f>
        <v>0</v>
      </c>
      <c r="AS469">
        <f>AND(IF(Metadata!R469="",FALSE,TRUE),exact(Metadata!R469,"Not applicable"))</f>
        <v>0</v>
      </c>
    </row>
    <row r="470" spans="1:45">
      <c r="A470" s="4">
        <f>IF(B470=" "," ",HYPERLINK(CONCATENATE("#metadata!",ADDRESS(INDEX($X$2:$X$1001,MATCH(ROWS($V$2:V470),$V$2:$V$1001,0),0),2)),INDEX($AA$2:$AA$1001,MATCH(ROWS($V$2:V470),$V$2:$V$1001,0),0)))</f>
        <v>0</v>
      </c>
      <c r="B470" s="5">
        <f>IF(OR(INDEX($W$2:$W$1001,MATCH(ROWS($V$2:V470),$V$2:$V$1001,0),1)&gt;=100000,INDEX($AC$1005:$AS$1005,1,MATCH(COLUMNS($AC$1006:AC1006),$AC$1006:$AS$1006,0))&gt;=100000), " ",IF(INDEX($AC$2:$AS$1001,MATCH(ROWS($V$2:V470),$V$2:$V$1001,0),MATCH(COLUMNS($AC$1006:AC1006),$AC$1006:$AS$1006,0)), HYPERLINK("#",""), HYPERLINK(CONCATENATE("#Metadata!", ADDRESS(INDEX($X$2:$X$1001,MATCH(ROWS($V$2:V470),$V$2:$V$1001,0),0), INDEX($AC$1004:$AS$1004,1,MATCH(COLUMNS($AC$1006:AC1006),$AC$1006:$AS$1006,0)))),"Fix")))</f>
        <v>0</v>
      </c>
      <c r="C470" s="5">
        <f>IF(OR(INDEX($W$2:$W$1001,MATCH(ROWS($V$2:V470),$V$2:$V$1001,0),1)&gt;=100000,INDEX($AC$1005:$AS$1005,1,MATCH(COLUMNS($AC$1006:AD1006),$AC$1006:$AS$1006,0))&gt;=100000), " ",IF(INDEX($AC$2:$AS$1001,MATCH(ROWS($V$2:V470),$V$2:$V$1001,0),MATCH(COLUMNS($AC$1006:AD1006),$AC$1006:$AS$1006,0)), HYPERLINK("#",""), HYPERLINK(CONCATENATE("#Metadata!", ADDRESS(INDEX($X$2:$X$1001,MATCH(ROWS($V$2:V470),$V$2:$V$1001,0),0), INDEX($AC$1004:$AS$1004,1,MATCH(COLUMNS($AC$1006:AD1006),$AC$1006:$AS$1006,0)))),"Fix")))</f>
        <v>0</v>
      </c>
      <c r="D470" s="5">
        <f>IF(OR(INDEX($W$2:$W$1001,MATCH(ROWS($V$2:V470),$V$2:$V$1001,0),1)&gt;=100000,INDEX($AC$1005:$AS$1005,1,MATCH(COLUMNS($AC$1006:AE1006),$AC$1006:$AS$1006,0))&gt;=100000), " ",IF(INDEX($AC$2:$AS$1001,MATCH(ROWS($V$2:V470),$V$2:$V$1001,0),MATCH(COLUMNS($AC$1006:AE1006),$AC$1006:$AS$1006,0)), HYPERLINK("#",""), HYPERLINK(CONCATENATE("#Metadata!", ADDRESS(INDEX($X$2:$X$1001,MATCH(ROWS($V$2:V470),$V$2:$V$1001,0),0), INDEX($AC$1004:$AS$1004,1,MATCH(COLUMNS($AC$1006:AE1006),$AC$1006:$AS$1006,0)))),"Fix")))</f>
        <v>0</v>
      </c>
      <c r="E470" s="5">
        <f>IF(OR(INDEX($W$2:$W$1001,MATCH(ROWS($V$2:V470),$V$2:$V$1001,0),1)&gt;=100000,INDEX($AC$1005:$AS$1005,1,MATCH(COLUMNS($AC$1006:AF1006),$AC$1006:$AS$1006,0))&gt;=100000), " ",IF(INDEX($AC$2:$AS$1001,MATCH(ROWS($V$2:V470),$V$2:$V$1001,0),MATCH(COLUMNS($AC$1006:AF1006),$AC$1006:$AS$1006,0)), HYPERLINK("#",""), HYPERLINK(CONCATENATE("#Metadata!", ADDRESS(INDEX($X$2:$X$1001,MATCH(ROWS($V$2:V470),$V$2:$V$1001,0),0), INDEX($AC$1004:$AS$1004,1,MATCH(COLUMNS($AC$1006:AF1006),$AC$1006:$AS$1006,0)))),"Fix")))</f>
        <v>0</v>
      </c>
      <c r="F470" s="5">
        <f>IF(OR(INDEX($W$2:$W$1001,MATCH(ROWS($V$2:V470),$V$2:$V$1001,0),1)&gt;=100000,INDEX($AC$1005:$AS$1005,1,MATCH(COLUMNS($AC$1006:AG1006),$AC$1006:$AS$1006,0))&gt;=100000), " ",IF(INDEX($AC$2:$AS$1001,MATCH(ROWS($V$2:V470),$V$2:$V$1001,0),MATCH(COLUMNS($AC$1006:AG1006),$AC$1006:$AS$1006,0)), HYPERLINK("#",""), HYPERLINK(CONCATENATE("#Metadata!", ADDRESS(INDEX($X$2:$X$1001,MATCH(ROWS($V$2:V470),$V$2:$V$1001,0),0), INDEX($AC$1004:$AS$1004,1,MATCH(COLUMNS($AC$1006:AG1006),$AC$1006:$AS$1006,0)))),"Fix")))</f>
        <v>0</v>
      </c>
      <c r="G470" s="5">
        <f>IF(OR(INDEX($W$2:$W$1001,MATCH(ROWS($V$2:V470),$V$2:$V$1001,0),1)&gt;=100000,INDEX($AC$1005:$AS$1005,1,MATCH(COLUMNS($AC$1006:AH1006),$AC$1006:$AS$1006,0))&gt;=100000), " ",IF(INDEX($AC$2:$AS$1001,MATCH(ROWS($V$2:V470),$V$2:$V$1001,0),MATCH(COLUMNS($AC$1006:AH1006),$AC$1006:$AS$1006,0)), HYPERLINK("#",""), HYPERLINK(CONCATENATE("#Metadata!", ADDRESS(INDEX($X$2:$X$1001,MATCH(ROWS($V$2:V470),$V$2:$V$1001,0),0), INDEX($AC$1004:$AS$1004,1,MATCH(COLUMNS($AC$1006:AH1006),$AC$1006:$AS$1006,0)))),"Fix")))</f>
        <v>0</v>
      </c>
      <c r="H470" s="5">
        <f>IF(OR(INDEX($W$2:$W$1001,MATCH(ROWS($V$2:V470),$V$2:$V$1001,0),1)&gt;=100000,INDEX($AC$1005:$AS$1005,1,MATCH(COLUMNS($AC$1006:AI1006),$AC$1006:$AS$1006,0))&gt;=100000), " ",IF(INDEX($AC$2:$AS$1001,MATCH(ROWS($V$2:V470),$V$2:$V$1001,0),MATCH(COLUMNS($AC$1006:AI1006),$AC$1006:$AS$1006,0)), HYPERLINK("#",""), HYPERLINK(CONCATENATE("#Metadata!", ADDRESS(INDEX($X$2:$X$1001,MATCH(ROWS($V$2:V470),$V$2:$V$1001,0),0), INDEX($AC$1004:$AS$1004,1,MATCH(COLUMNS($AC$1006:AI1006),$AC$1006:$AS$1006,0)))),"Fix")))</f>
        <v>0</v>
      </c>
      <c r="I470" s="5">
        <f>IF(OR(INDEX($W$2:$W$1001,MATCH(ROWS($V$2:V470),$V$2:$V$1001,0),1)&gt;=100000,INDEX($AC$1005:$AS$1005,1,MATCH(COLUMNS($AC$1006:AJ1006),$AC$1006:$AS$1006,0))&gt;=100000), " ",IF(INDEX($AC$2:$AS$1001,MATCH(ROWS($V$2:V470),$V$2:$V$1001,0),MATCH(COLUMNS($AC$1006:AJ1006),$AC$1006:$AS$1006,0)), HYPERLINK("#",""), HYPERLINK(CONCATENATE("#Metadata!", ADDRESS(INDEX($X$2:$X$1001,MATCH(ROWS($V$2:V470),$V$2:$V$1001,0),0), INDEX($AC$1004:$AS$1004,1,MATCH(COLUMNS($AC$1006:AJ1006),$AC$1006:$AS$1006,0)))),"Fix")))</f>
        <v>0</v>
      </c>
      <c r="J470" s="5">
        <f>IF(OR(INDEX($W$2:$W$1001,MATCH(ROWS($V$2:V470),$V$2:$V$1001,0),1)&gt;=100000,INDEX($AC$1005:$AS$1005,1,MATCH(COLUMNS($AC$1006:AK1006),$AC$1006:$AS$1006,0))&gt;=100000), " ",IF(INDEX($AC$2:$AS$1001,MATCH(ROWS($V$2:V470),$V$2:$V$1001,0),MATCH(COLUMNS($AC$1006:AK1006),$AC$1006:$AS$1006,0)), HYPERLINK("#",""), HYPERLINK(CONCATENATE("#Metadata!", ADDRESS(INDEX($X$2:$X$1001,MATCH(ROWS($V$2:V470),$V$2:$V$1001,0),0), INDEX($AC$1004:$AS$1004,1,MATCH(COLUMNS($AC$1006:AK1006),$AC$1006:$AS$1006,0)))),"Fix")))</f>
        <v>0</v>
      </c>
      <c r="K470" s="5">
        <f>IF(OR(INDEX($W$2:$W$1001,MATCH(ROWS($V$2:V470),$V$2:$V$1001,0),1)&gt;=100000,INDEX($AC$1005:$AS$1005,1,MATCH(COLUMNS($AC$1006:AL1006),$AC$1006:$AS$1006,0))&gt;=100000), " ",IF(INDEX($AC$2:$AS$1001,MATCH(ROWS($V$2:V470),$V$2:$V$1001,0),MATCH(COLUMNS($AC$1006:AL1006),$AC$1006:$AS$1006,0)), HYPERLINK("#",""), HYPERLINK(CONCATENATE("#Metadata!", ADDRESS(INDEX($X$2:$X$1001,MATCH(ROWS($V$2:V470),$V$2:$V$1001,0),0), INDEX($AC$1004:$AS$1004,1,MATCH(COLUMNS($AC$1006:AL1006),$AC$1006:$AS$1006,0)))),"Fix")))</f>
        <v>0</v>
      </c>
      <c r="L470" s="5">
        <f>IF(OR(INDEX($W$2:$W$1001,MATCH(ROWS($V$2:V470),$V$2:$V$1001,0),1)&gt;=100000,INDEX($AC$1005:$AS$1005,1,MATCH(COLUMNS($AC$1006:AM1006),$AC$1006:$AS$1006,0))&gt;=100000), " ",IF(INDEX($AC$2:$AS$1001,MATCH(ROWS($V$2:V470),$V$2:$V$1001,0),MATCH(COLUMNS($AC$1006:AM1006),$AC$1006:$AS$1006,0)), HYPERLINK("#",""), HYPERLINK(CONCATENATE("#Metadata!", ADDRESS(INDEX($X$2:$X$1001,MATCH(ROWS($V$2:V470),$V$2:$V$1001,0),0), INDEX($AC$1004:$AS$1004,1,MATCH(COLUMNS($AC$1006:AM1006),$AC$1006:$AS$1006,0)))),"Fix")))</f>
        <v>0</v>
      </c>
      <c r="M470" s="5">
        <f>IF(OR(INDEX($W$2:$W$1001,MATCH(ROWS($V$2:V470),$V$2:$V$1001,0),1)&gt;=100000,INDEX($AC$1005:$AS$1005,1,MATCH(COLUMNS($AC$1006:AN1006),$AC$1006:$AS$1006,0))&gt;=100000), " ",IF(INDEX($AC$2:$AS$1001,MATCH(ROWS($V$2:V470),$V$2:$V$1001,0),MATCH(COLUMNS($AC$1006:AN1006),$AC$1006:$AS$1006,0)), HYPERLINK("#",""), HYPERLINK(CONCATENATE("#Metadata!", ADDRESS(INDEX($X$2:$X$1001,MATCH(ROWS($V$2:V470),$V$2:$V$1001,0),0), INDEX($AC$1004:$AS$1004,1,MATCH(COLUMNS($AC$1006:AN1006),$AC$1006:$AS$1006,0)))),"Fix")))</f>
        <v>0</v>
      </c>
      <c r="N470" s="5">
        <f>IF(OR(INDEX($W$2:$W$1001,MATCH(ROWS($V$2:V470),$V$2:$V$1001,0),1)&gt;=100000,INDEX($AC$1005:$AS$1005,1,MATCH(COLUMNS($AC$1006:AO1006),$AC$1006:$AS$1006,0))&gt;=100000), " ",IF(INDEX($AC$2:$AS$1001,MATCH(ROWS($V$2:V470),$V$2:$V$1001,0),MATCH(COLUMNS($AC$1006:AO1006),$AC$1006:$AS$1006,0)), HYPERLINK("#",""), HYPERLINK(CONCATENATE("#Metadata!", ADDRESS(INDEX($X$2:$X$1001,MATCH(ROWS($V$2:V470),$V$2:$V$1001,0),0), INDEX($AC$1004:$AS$1004,1,MATCH(COLUMNS($AC$1006:AO1006),$AC$1006:$AS$1006,0)))),"Fix")))</f>
        <v>0</v>
      </c>
      <c r="O470" s="5">
        <f>IF(OR(INDEX($W$2:$W$1001,MATCH(ROWS($V$2:V470),$V$2:$V$1001,0),1)&gt;=100000,INDEX($AC$1005:$AS$1005,1,MATCH(COLUMNS($AC$1006:AP1006),$AC$1006:$AS$1006,0))&gt;=100000), " ",IF(INDEX($AC$2:$AS$1001,MATCH(ROWS($V$2:V470),$V$2:$V$1001,0),MATCH(COLUMNS($AC$1006:AP1006),$AC$1006:$AS$1006,0)), HYPERLINK("#",""), HYPERLINK(CONCATENATE("#Metadata!", ADDRESS(INDEX($X$2:$X$1001,MATCH(ROWS($V$2:V470),$V$2:$V$1001,0),0), INDEX($AC$1004:$AS$1004,1,MATCH(COLUMNS($AC$1006:AP1006),$AC$1006:$AS$1006,0)))),"Fix")))</f>
        <v>0</v>
      </c>
      <c r="P470" s="5">
        <f>IF(OR(INDEX($W$2:$W$1001,MATCH(ROWS($V$2:V470),$V$2:$V$1001,0),1)&gt;=100000,INDEX($AC$1005:$AS$1005,1,MATCH(COLUMNS($AC$1006:AQ1006),$AC$1006:$AS$1006,0))&gt;=100000), " ",IF(INDEX($AC$2:$AS$1001,MATCH(ROWS($V$2:V470),$V$2:$V$1001,0),MATCH(COLUMNS($AC$1006:AQ1006),$AC$1006:$AS$1006,0)), HYPERLINK("#",""), HYPERLINK(CONCATENATE("#Metadata!", ADDRESS(INDEX($X$2:$X$1001,MATCH(ROWS($V$2:V470),$V$2:$V$1001,0),0), INDEX($AC$1004:$AS$1004,1,MATCH(COLUMNS($AC$1006:AQ1006),$AC$1006:$AS$1006,0)))),"Fix")))</f>
        <v>0</v>
      </c>
      <c r="Q470" s="5">
        <f>IF(OR(INDEX($W$2:$W$1001,MATCH(ROWS($V$2:V470),$V$2:$V$1001,0),1)&gt;=100000,INDEX($AC$1005:$AS$1005,1,MATCH(COLUMNS($AC$1006:AR1006),$AC$1006:$AS$1006,0))&gt;=100000), " ",IF(INDEX($AC$2:$AS$1001,MATCH(ROWS($V$2:V470),$V$2:$V$1001,0),MATCH(COLUMNS($AC$1006:AR1006),$AC$1006:$AS$1006,0)), HYPERLINK("#",""), HYPERLINK(CONCATENATE("#Metadata!", ADDRESS(INDEX($X$2:$X$1001,MATCH(ROWS($V$2:V470),$V$2:$V$1001,0),0), INDEX($AC$1004:$AS$1004,1,MATCH(COLUMNS($AC$1006:AR1006),$AC$1006:$AS$1006,0)))),"Fix")))</f>
        <v>0</v>
      </c>
      <c r="R470" s="5">
        <f>IF(OR(INDEX($W$2:$W$1001,MATCH(ROWS($V$2:V470),$V$2:$V$1001,0),1)&gt;=100000,INDEX($AC$1005:$AS$1005,1,MATCH(COLUMNS($AC$1006:AS1006),$AC$1006:$AS$1006,0))&gt;=100000), " ",IF(INDEX($AC$2:$AS$1001,MATCH(ROWS($V$2:V470),$V$2:$V$1001,0),MATCH(COLUMNS($AC$1006:AS1006),$AC$1006:$AS$1006,0)), HYPERLINK("#",""), HYPERLINK(CONCATENATE("#Metadata!", ADDRESS(INDEX($X$2:$X$1001,MATCH(ROWS($V$2:V470),$V$2:$V$1001,0),0), INDEX($AC$1004:$AS$1004,1,MATCH(COLUMNS($AC$1006:AS1006),$AC$1006:$AS$1006,0)))),"Fix")))</f>
        <v>0</v>
      </c>
      <c r="V470">
        <v>0</v>
      </c>
      <c r="W470">
        <v>0</v>
      </c>
      <c r="X470">
        <v>0</v>
      </c>
      <c r="Y470">
        <f>IF(Z470,TRUE,AND(AC470:AS470))</f>
        <v>0</v>
      </c>
      <c r="Z470">
        <f>COUNTBLANK(Metadata!B470:R470)=COLUMNS(Metadata!B470:R470)</f>
        <v>0</v>
      </c>
      <c r="AA470">
        <v>0</v>
      </c>
      <c r="AC470">
        <f>AND(IF(Metadata!B470="",FALSE,TRUE),COUNTIF(Metadata!B:B, Metadata!B470) = 1,NOT(ISERROR(SUMPRODUCT(SEARCH(MID(Metadata!B470,ROW(INDIRECT("1:"&amp;LEN(Metadata!B470))), 1),"0123456789abcdefghijklmnopqrstuvwxyzABCDEFGHIJKLMNOPQRSTUVWXYZ.")))))</f>
        <v>0</v>
      </c>
      <c r="AD470">
        <f>AND(IF(Metadata!C470="",FALSE,TRUE),exact(Metadata!C470,"Host-associated"))</f>
        <v>0</v>
      </c>
      <c r="AE470">
        <f>AND(IF(Metadata!D470="",FALSE,TRUE),OR(exact(Metadata!D470,"Animal"),exact(Metadata!D470,"Fungus"),exact(Metadata!D470,"Plant")))</f>
        <v>0</v>
      </c>
      <c r="AF470">
        <f>AND(IF(Metadata!E470="",FALSE,TRUE),OR(exact(Metadata!E470,"Plant secretion"),exact(Metadata!E470,"Plant rhizosphere"),exact(Metadata!E470,"Plant surface"),exact(Metadata!E470,"Plant corpus"),exact(Metadata!E470,"Fungus surface"),exact(Metadata!E470,"Fungus corpus"),exact(Metadata!E470,"Animal surface"),exact(Metadata!E470,"Animal proximal gut"),exact(Metadata!E470,"Animal corpus"),exact(Metadata!E470,"Animal distal gut"),exact(Metadata!E470,"Animal secretion")))</f>
        <v>0</v>
      </c>
      <c r="AG470">
        <f>OR(AND(IF(Metadata!F470="",FALSE,TRUE),OR(exact(Metadata!F470,"not collected"),exact(Metadata!F470,"not provided"),exact(Metadata!F470,"restricted access"))),AND(IF(Metadata!F470="",FALSE,TRUE),OR(exact(Metadata!F470,"organism-associated habitat"),exact(Metadata!F470,"plant-associated habitat"),exact(Metadata!F470,"animal-associated habitat"),exact(Metadata!F470,"insecta-associated habitat"),exact(Metadata!F470,"mammalia-associated habitat"),exact(Metadata!F470,"human-associated habitat"),exact(Metadata!F470,"livestock-associated habitat"))))</f>
        <v>0</v>
      </c>
      <c r="AH470">
        <f>AND(IF(Metadata!G470="",FALSE,TRUE),exact(Metadata!G470,"host-associated"))</f>
        <v>0</v>
      </c>
      <c r="AI470">
        <f>OR(AND(IF(Metadata!H470="",FALSE,TRUE),OR(exact(Metadata!H470,"not collected"),exact(Metadata!H470,"not provided"))),AND(IF(Metadata!H470="",FALSE,ISNUMBER(VALUE(Metadata!H470))),Metadata!H470&gt;0))</f>
        <v>0</v>
      </c>
      <c r="AJ470">
        <f>AND(IF(Metadata!I470="",FALSE,TRUE),exact(Metadata!I470,"years"))</f>
        <v>0</v>
      </c>
      <c r="AK470">
        <f>IF(Metadata!J470="",FALSE,TRUE)</f>
        <v>0</v>
      </c>
      <c r="AL470">
        <f>OR(AND(IF(Metadata!K470="",FALSE,TRUE),OR(exact(Metadata!K470,"not collected"),exact(Metadata!K470,"not provided"))),AND(IF(Metadata!K470="",FALSE,ISNUMBER(VALUE(Metadata!K470))),Metadata!K470&gt;0))</f>
        <v>0</v>
      </c>
      <c r="AM470">
        <f>AND(IF(Metadata!L470="",FALSE,TRUE),exact(Metadata!L470,"cm"))</f>
        <v>0</v>
      </c>
      <c r="AN470">
        <f>IF(Metadata!M470="",FALSE,TRUE)</f>
        <v>0</v>
      </c>
      <c r="AO470">
        <f>OR(AND(IF(Metadata!N470="",FALSE,TRUE),OR(exact(Metadata!N470,"not applicable"),exact(Metadata!N470,"not collected"),exact(Metadata!N470,"not provided"))),AND(IF(Metadata!N470="",FALSE,IF(ISERROR(INT(Metadata!N470)),FALSE,INT(Metadata!N470)=Metadata!N470)),Metadata!N470&gt;0))</f>
        <v>0</v>
      </c>
      <c r="AP470">
        <f>OR(AND(IF(Metadata!O470="",FALSE,TRUE),OR(exact(Metadata!O470,"not collected"),exact(Metadata!O470,"not provided"))),AND(IF(Metadata!O470="",FALSE,ISNUMBER(VALUE(Metadata!O470))),Metadata!O470&gt;0))</f>
        <v>0</v>
      </c>
      <c r="AQ470">
        <f>AND(IF(Metadata!P470="",FALSE,TRUE),exact(Metadata!P470,"kg"))</f>
        <v>0</v>
      </c>
      <c r="AR470">
        <f>OR(AND(IF(Metadata!Q470="",FALSE,TRUE),OR(exact(Metadata!Q470,"not applicable"),exact(Metadata!Q470,"not collected"),exact(Metadata!Q470,"not provided"),exact(Metadata!Q470,"restricted access"))),IF(Metadata!Q470="",FALSE,IF(ISERROR(INT(Metadata!Q470)),FALSE,INT(Metadata!Q470)=Metadata!Q470)))</f>
        <v>0</v>
      </c>
      <c r="AS470">
        <f>AND(IF(Metadata!R470="",FALSE,TRUE),exact(Metadata!R470,"Not applicable"))</f>
        <v>0</v>
      </c>
    </row>
    <row r="471" spans="1:45">
      <c r="A471" s="4">
        <f>IF(B471=" "," ",HYPERLINK(CONCATENATE("#metadata!",ADDRESS(INDEX($X$2:$X$1001,MATCH(ROWS($V$2:V471),$V$2:$V$1001,0),0),2)),INDEX($AA$2:$AA$1001,MATCH(ROWS($V$2:V471),$V$2:$V$1001,0),0)))</f>
        <v>0</v>
      </c>
      <c r="B471" s="5">
        <f>IF(OR(INDEX($W$2:$W$1001,MATCH(ROWS($V$2:V471),$V$2:$V$1001,0),1)&gt;=100000,INDEX($AC$1005:$AS$1005,1,MATCH(COLUMNS($AC$1006:AC1006),$AC$1006:$AS$1006,0))&gt;=100000), " ",IF(INDEX($AC$2:$AS$1001,MATCH(ROWS($V$2:V471),$V$2:$V$1001,0),MATCH(COLUMNS($AC$1006:AC1006),$AC$1006:$AS$1006,0)), HYPERLINK("#",""), HYPERLINK(CONCATENATE("#Metadata!", ADDRESS(INDEX($X$2:$X$1001,MATCH(ROWS($V$2:V471),$V$2:$V$1001,0),0), INDEX($AC$1004:$AS$1004,1,MATCH(COLUMNS($AC$1006:AC1006),$AC$1006:$AS$1006,0)))),"Fix")))</f>
        <v>0</v>
      </c>
      <c r="C471" s="5">
        <f>IF(OR(INDEX($W$2:$W$1001,MATCH(ROWS($V$2:V471),$V$2:$V$1001,0),1)&gt;=100000,INDEX($AC$1005:$AS$1005,1,MATCH(COLUMNS($AC$1006:AD1006),$AC$1006:$AS$1006,0))&gt;=100000), " ",IF(INDEX($AC$2:$AS$1001,MATCH(ROWS($V$2:V471),$V$2:$V$1001,0),MATCH(COLUMNS($AC$1006:AD1006),$AC$1006:$AS$1006,0)), HYPERLINK("#",""), HYPERLINK(CONCATENATE("#Metadata!", ADDRESS(INDEX($X$2:$X$1001,MATCH(ROWS($V$2:V471),$V$2:$V$1001,0),0), INDEX($AC$1004:$AS$1004,1,MATCH(COLUMNS($AC$1006:AD1006),$AC$1006:$AS$1006,0)))),"Fix")))</f>
        <v>0</v>
      </c>
      <c r="D471" s="5">
        <f>IF(OR(INDEX($W$2:$W$1001,MATCH(ROWS($V$2:V471),$V$2:$V$1001,0),1)&gt;=100000,INDEX($AC$1005:$AS$1005,1,MATCH(COLUMNS($AC$1006:AE1006),$AC$1006:$AS$1006,0))&gt;=100000), " ",IF(INDEX($AC$2:$AS$1001,MATCH(ROWS($V$2:V471),$V$2:$V$1001,0),MATCH(COLUMNS($AC$1006:AE1006),$AC$1006:$AS$1006,0)), HYPERLINK("#",""), HYPERLINK(CONCATENATE("#Metadata!", ADDRESS(INDEX($X$2:$X$1001,MATCH(ROWS($V$2:V471),$V$2:$V$1001,0),0), INDEX($AC$1004:$AS$1004,1,MATCH(COLUMNS($AC$1006:AE1006),$AC$1006:$AS$1006,0)))),"Fix")))</f>
        <v>0</v>
      </c>
      <c r="E471" s="5">
        <f>IF(OR(INDEX($W$2:$W$1001,MATCH(ROWS($V$2:V471),$V$2:$V$1001,0),1)&gt;=100000,INDEX($AC$1005:$AS$1005,1,MATCH(COLUMNS($AC$1006:AF1006),$AC$1006:$AS$1006,0))&gt;=100000), " ",IF(INDEX($AC$2:$AS$1001,MATCH(ROWS($V$2:V471),$V$2:$V$1001,0),MATCH(COLUMNS($AC$1006:AF1006),$AC$1006:$AS$1006,0)), HYPERLINK("#",""), HYPERLINK(CONCATENATE("#Metadata!", ADDRESS(INDEX($X$2:$X$1001,MATCH(ROWS($V$2:V471),$V$2:$V$1001,0),0), INDEX($AC$1004:$AS$1004,1,MATCH(COLUMNS($AC$1006:AF1006),$AC$1006:$AS$1006,0)))),"Fix")))</f>
        <v>0</v>
      </c>
      <c r="F471" s="5">
        <f>IF(OR(INDEX($W$2:$W$1001,MATCH(ROWS($V$2:V471),$V$2:$V$1001,0),1)&gt;=100000,INDEX($AC$1005:$AS$1005,1,MATCH(COLUMNS($AC$1006:AG1006),$AC$1006:$AS$1006,0))&gt;=100000), " ",IF(INDEX($AC$2:$AS$1001,MATCH(ROWS($V$2:V471),$V$2:$V$1001,0),MATCH(COLUMNS($AC$1006:AG1006),$AC$1006:$AS$1006,0)), HYPERLINK("#",""), HYPERLINK(CONCATENATE("#Metadata!", ADDRESS(INDEX($X$2:$X$1001,MATCH(ROWS($V$2:V471),$V$2:$V$1001,0),0), INDEX($AC$1004:$AS$1004,1,MATCH(COLUMNS($AC$1006:AG1006),$AC$1006:$AS$1006,0)))),"Fix")))</f>
        <v>0</v>
      </c>
      <c r="G471" s="5">
        <f>IF(OR(INDEX($W$2:$W$1001,MATCH(ROWS($V$2:V471),$V$2:$V$1001,0),1)&gt;=100000,INDEX($AC$1005:$AS$1005,1,MATCH(COLUMNS($AC$1006:AH1006),$AC$1006:$AS$1006,0))&gt;=100000), " ",IF(INDEX($AC$2:$AS$1001,MATCH(ROWS($V$2:V471),$V$2:$V$1001,0),MATCH(COLUMNS($AC$1006:AH1006),$AC$1006:$AS$1006,0)), HYPERLINK("#",""), HYPERLINK(CONCATENATE("#Metadata!", ADDRESS(INDEX($X$2:$X$1001,MATCH(ROWS($V$2:V471),$V$2:$V$1001,0),0), INDEX($AC$1004:$AS$1004,1,MATCH(COLUMNS($AC$1006:AH1006),$AC$1006:$AS$1006,0)))),"Fix")))</f>
        <v>0</v>
      </c>
      <c r="H471" s="5">
        <f>IF(OR(INDEX($W$2:$W$1001,MATCH(ROWS($V$2:V471),$V$2:$V$1001,0),1)&gt;=100000,INDEX($AC$1005:$AS$1005,1,MATCH(COLUMNS($AC$1006:AI1006),$AC$1006:$AS$1006,0))&gt;=100000), " ",IF(INDEX($AC$2:$AS$1001,MATCH(ROWS($V$2:V471),$V$2:$V$1001,0),MATCH(COLUMNS($AC$1006:AI1006),$AC$1006:$AS$1006,0)), HYPERLINK("#",""), HYPERLINK(CONCATENATE("#Metadata!", ADDRESS(INDEX($X$2:$X$1001,MATCH(ROWS($V$2:V471),$V$2:$V$1001,0),0), INDEX($AC$1004:$AS$1004,1,MATCH(COLUMNS($AC$1006:AI1006),$AC$1006:$AS$1006,0)))),"Fix")))</f>
        <v>0</v>
      </c>
      <c r="I471" s="5">
        <f>IF(OR(INDEX($W$2:$W$1001,MATCH(ROWS($V$2:V471),$V$2:$V$1001,0),1)&gt;=100000,INDEX($AC$1005:$AS$1005,1,MATCH(COLUMNS($AC$1006:AJ1006),$AC$1006:$AS$1006,0))&gt;=100000), " ",IF(INDEX($AC$2:$AS$1001,MATCH(ROWS($V$2:V471),$V$2:$V$1001,0),MATCH(COLUMNS($AC$1006:AJ1006),$AC$1006:$AS$1006,0)), HYPERLINK("#",""), HYPERLINK(CONCATENATE("#Metadata!", ADDRESS(INDEX($X$2:$X$1001,MATCH(ROWS($V$2:V471),$V$2:$V$1001,0),0), INDEX($AC$1004:$AS$1004,1,MATCH(COLUMNS($AC$1006:AJ1006),$AC$1006:$AS$1006,0)))),"Fix")))</f>
        <v>0</v>
      </c>
      <c r="J471" s="5">
        <f>IF(OR(INDEX($W$2:$W$1001,MATCH(ROWS($V$2:V471),$V$2:$V$1001,0),1)&gt;=100000,INDEX($AC$1005:$AS$1005,1,MATCH(COLUMNS($AC$1006:AK1006),$AC$1006:$AS$1006,0))&gt;=100000), " ",IF(INDEX($AC$2:$AS$1001,MATCH(ROWS($V$2:V471),$V$2:$V$1001,0),MATCH(COLUMNS($AC$1006:AK1006),$AC$1006:$AS$1006,0)), HYPERLINK("#",""), HYPERLINK(CONCATENATE("#Metadata!", ADDRESS(INDEX($X$2:$X$1001,MATCH(ROWS($V$2:V471),$V$2:$V$1001,0),0), INDEX($AC$1004:$AS$1004,1,MATCH(COLUMNS($AC$1006:AK1006),$AC$1006:$AS$1006,0)))),"Fix")))</f>
        <v>0</v>
      </c>
      <c r="K471" s="5">
        <f>IF(OR(INDEX($W$2:$W$1001,MATCH(ROWS($V$2:V471),$V$2:$V$1001,0),1)&gt;=100000,INDEX($AC$1005:$AS$1005,1,MATCH(COLUMNS($AC$1006:AL1006),$AC$1006:$AS$1006,0))&gt;=100000), " ",IF(INDEX($AC$2:$AS$1001,MATCH(ROWS($V$2:V471),$V$2:$V$1001,0),MATCH(COLUMNS($AC$1006:AL1006),$AC$1006:$AS$1006,0)), HYPERLINK("#",""), HYPERLINK(CONCATENATE("#Metadata!", ADDRESS(INDEX($X$2:$X$1001,MATCH(ROWS($V$2:V471),$V$2:$V$1001,0),0), INDEX($AC$1004:$AS$1004,1,MATCH(COLUMNS($AC$1006:AL1006),$AC$1006:$AS$1006,0)))),"Fix")))</f>
        <v>0</v>
      </c>
      <c r="L471" s="5">
        <f>IF(OR(INDEX($W$2:$W$1001,MATCH(ROWS($V$2:V471),$V$2:$V$1001,0),1)&gt;=100000,INDEX($AC$1005:$AS$1005,1,MATCH(COLUMNS($AC$1006:AM1006),$AC$1006:$AS$1006,0))&gt;=100000), " ",IF(INDEX($AC$2:$AS$1001,MATCH(ROWS($V$2:V471),$V$2:$V$1001,0),MATCH(COLUMNS($AC$1006:AM1006),$AC$1006:$AS$1006,0)), HYPERLINK("#",""), HYPERLINK(CONCATENATE("#Metadata!", ADDRESS(INDEX($X$2:$X$1001,MATCH(ROWS($V$2:V471),$V$2:$V$1001,0),0), INDEX($AC$1004:$AS$1004,1,MATCH(COLUMNS($AC$1006:AM1006),$AC$1006:$AS$1006,0)))),"Fix")))</f>
        <v>0</v>
      </c>
      <c r="M471" s="5">
        <f>IF(OR(INDEX($W$2:$W$1001,MATCH(ROWS($V$2:V471),$V$2:$V$1001,0),1)&gt;=100000,INDEX($AC$1005:$AS$1005,1,MATCH(COLUMNS($AC$1006:AN1006),$AC$1006:$AS$1006,0))&gt;=100000), " ",IF(INDEX($AC$2:$AS$1001,MATCH(ROWS($V$2:V471),$V$2:$V$1001,0),MATCH(COLUMNS($AC$1006:AN1006),$AC$1006:$AS$1006,0)), HYPERLINK("#",""), HYPERLINK(CONCATENATE("#Metadata!", ADDRESS(INDEX($X$2:$X$1001,MATCH(ROWS($V$2:V471),$V$2:$V$1001,0),0), INDEX($AC$1004:$AS$1004,1,MATCH(COLUMNS($AC$1006:AN1006),$AC$1006:$AS$1006,0)))),"Fix")))</f>
        <v>0</v>
      </c>
      <c r="N471" s="5">
        <f>IF(OR(INDEX($W$2:$W$1001,MATCH(ROWS($V$2:V471),$V$2:$V$1001,0),1)&gt;=100000,INDEX($AC$1005:$AS$1005,1,MATCH(COLUMNS($AC$1006:AO1006),$AC$1006:$AS$1006,0))&gt;=100000), " ",IF(INDEX($AC$2:$AS$1001,MATCH(ROWS($V$2:V471),$V$2:$V$1001,0),MATCH(COLUMNS($AC$1006:AO1006),$AC$1006:$AS$1006,0)), HYPERLINK("#",""), HYPERLINK(CONCATENATE("#Metadata!", ADDRESS(INDEX($X$2:$X$1001,MATCH(ROWS($V$2:V471),$V$2:$V$1001,0),0), INDEX($AC$1004:$AS$1004,1,MATCH(COLUMNS($AC$1006:AO1006),$AC$1006:$AS$1006,0)))),"Fix")))</f>
        <v>0</v>
      </c>
      <c r="O471" s="5">
        <f>IF(OR(INDEX($W$2:$W$1001,MATCH(ROWS($V$2:V471),$V$2:$V$1001,0),1)&gt;=100000,INDEX($AC$1005:$AS$1005,1,MATCH(COLUMNS($AC$1006:AP1006),$AC$1006:$AS$1006,0))&gt;=100000), " ",IF(INDEX($AC$2:$AS$1001,MATCH(ROWS($V$2:V471),$V$2:$V$1001,0),MATCH(COLUMNS($AC$1006:AP1006),$AC$1006:$AS$1006,0)), HYPERLINK("#",""), HYPERLINK(CONCATENATE("#Metadata!", ADDRESS(INDEX($X$2:$X$1001,MATCH(ROWS($V$2:V471),$V$2:$V$1001,0),0), INDEX($AC$1004:$AS$1004,1,MATCH(COLUMNS($AC$1006:AP1006),$AC$1006:$AS$1006,0)))),"Fix")))</f>
        <v>0</v>
      </c>
      <c r="P471" s="5">
        <f>IF(OR(INDEX($W$2:$W$1001,MATCH(ROWS($V$2:V471),$V$2:$V$1001,0),1)&gt;=100000,INDEX($AC$1005:$AS$1005,1,MATCH(COLUMNS($AC$1006:AQ1006),$AC$1006:$AS$1006,0))&gt;=100000), " ",IF(INDEX($AC$2:$AS$1001,MATCH(ROWS($V$2:V471),$V$2:$V$1001,0),MATCH(COLUMNS($AC$1006:AQ1006),$AC$1006:$AS$1006,0)), HYPERLINK("#",""), HYPERLINK(CONCATENATE("#Metadata!", ADDRESS(INDEX($X$2:$X$1001,MATCH(ROWS($V$2:V471),$V$2:$V$1001,0),0), INDEX($AC$1004:$AS$1004,1,MATCH(COLUMNS($AC$1006:AQ1006),$AC$1006:$AS$1006,0)))),"Fix")))</f>
        <v>0</v>
      </c>
      <c r="Q471" s="5">
        <f>IF(OR(INDEX($W$2:$W$1001,MATCH(ROWS($V$2:V471),$V$2:$V$1001,0),1)&gt;=100000,INDEX($AC$1005:$AS$1005,1,MATCH(COLUMNS($AC$1006:AR1006),$AC$1006:$AS$1006,0))&gt;=100000), " ",IF(INDEX($AC$2:$AS$1001,MATCH(ROWS($V$2:V471),$V$2:$V$1001,0),MATCH(COLUMNS($AC$1006:AR1006),$AC$1006:$AS$1006,0)), HYPERLINK("#",""), HYPERLINK(CONCATENATE("#Metadata!", ADDRESS(INDEX($X$2:$X$1001,MATCH(ROWS($V$2:V471),$V$2:$V$1001,0),0), INDEX($AC$1004:$AS$1004,1,MATCH(COLUMNS($AC$1006:AR1006),$AC$1006:$AS$1006,0)))),"Fix")))</f>
        <v>0</v>
      </c>
      <c r="R471" s="5">
        <f>IF(OR(INDEX($W$2:$W$1001,MATCH(ROWS($V$2:V471),$V$2:$V$1001,0),1)&gt;=100000,INDEX($AC$1005:$AS$1005,1,MATCH(COLUMNS($AC$1006:AS1006),$AC$1006:$AS$1006,0))&gt;=100000), " ",IF(INDEX($AC$2:$AS$1001,MATCH(ROWS($V$2:V471),$V$2:$V$1001,0),MATCH(COLUMNS($AC$1006:AS1006),$AC$1006:$AS$1006,0)), HYPERLINK("#",""), HYPERLINK(CONCATENATE("#Metadata!", ADDRESS(INDEX($X$2:$X$1001,MATCH(ROWS($V$2:V471),$V$2:$V$1001,0),0), INDEX($AC$1004:$AS$1004,1,MATCH(COLUMNS($AC$1006:AS1006),$AC$1006:$AS$1006,0)))),"Fix")))</f>
        <v>0</v>
      </c>
      <c r="V471">
        <v>0</v>
      </c>
      <c r="W471">
        <v>0</v>
      </c>
      <c r="X471">
        <v>0</v>
      </c>
      <c r="Y471">
        <f>IF(Z471,TRUE,AND(AC471:AS471))</f>
        <v>0</v>
      </c>
      <c r="Z471">
        <f>COUNTBLANK(Metadata!B471:R471)=COLUMNS(Metadata!B471:R471)</f>
        <v>0</v>
      </c>
      <c r="AA471">
        <v>0</v>
      </c>
      <c r="AC471">
        <f>AND(IF(Metadata!B471="",FALSE,TRUE),COUNTIF(Metadata!B:B, Metadata!B471) = 1,NOT(ISERROR(SUMPRODUCT(SEARCH(MID(Metadata!B471,ROW(INDIRECT("1:"&amp;LEN(Metadata!B471))), 1),"0123456789abcdefghijklmnopqrstuvwxyzABCDEFGHIJKLMNOPQRSTUVWXYZ.")))))</f>
        <v>0</v>
      </c>
      <c r="AD471">
        <f>AND(IF(Metadata!C471="",FALSE,TRUE),exact(Metadata!C471,"Host-associated"))</f>
        <v>0</v>
      </c>
      <c r="AE471">
        <f>AND(IF(Metadata!D471="",FALSE,TRUE),OR(exact(Metadata!D471,"Animal"),exact(Metadata!D471,"Fungus"),exact(Metadata!D471,"Plant")))</f>
        <v>0</v>
      </c>
      <c r="AF471">
        <f>AND(IF(Metadata!E471="",FALSE,TRUE),OR(exact(Metadata!E471,"Plant secretion"),exact(Metadata!E471,"Plant rhizosphere"),exact(Metadata!E471,"Plant surface"),exact(Metadata!E471,"Plant corpus"),exact(Metadata!E471,"Fungus surface"),exact(Metadata!E471,"Fungus corpus"),exact(Metadata!E471,"Animal surface"),exact(Metadata!E471,"Animal proximal gut"),exact(Metadata!E471,"Animal corpus"),exact(Metadata!E471,"Animal distal gut"),exact(Metadata!E471,"Animal secretion")))</f>
        <v>0</v>
      </c>
      <c r="AG471">
        <f>OR(AND(IF(Metadata!F471="",FALSE,TRUE),OR(exact(Metadata!F471,"not collected"),exact(Metadata!F471,"not provided"),exact(Metadata!F471,"restricted access"))),AND(IF(Metadata!F471="",FALSE,TRUE),OR(exact(Metadata!F471,"organism-associated habitat"),exact(Metadata!F471,"plant-associated habitat"),exact(Metadata!F471,"animal-associated habitat"),exact(Metadata!F471,"insecta-associated habitat"),exact(Metadata!F471,"mammalia-associated habitat"),exact(Metadata!F471,"human-associated habitat"),exact(Metadata!F471,"livestock-associated habitat"))))</f>
        <v>0</v>
      </c>
      <c r="AH471">
        <f>AND(IF(Metadata!G471="",FALSE,TRUE),exact(Metadata!G471,"host-associated"))</f>
        <v>0</v>
      </c>
      <c r="AI471">
        <f>OR(AND(IF(Metadata!H471="",FALSE,TRUE),OR(exact(Metadata!H471,"not collected"),exact(Metadata!H471,"not provided"))),AND(IF(Metadata!H471="",FALSE,ISNUMBER(VALUE(Metadata!H471))),Metadata!H471&gt;0))</f>
        <v>0</v>
      </c>
      <c r="AJ471">
        <f>AND(IF(Metadata!I471="",FALSE,TRUE),exact(Metadata!I471,"years"))</f>
        <v>0</v>
      </c>
      <c r="AK471">
        <f>IF(Metadata!J471="",FALSE,TRUE)</f>
        <v>0</v>
      </c>
      <c r="AL471">
        <f>OR(AND(IF(Metadata!K471="",FALSE,TRUE),OR(exact(Metadata!K471,"not collected"),exact(Metadata!K471,"not provided"))),AND(IF(Metadata!K471="",FALSE,ISNUMBER(VALUE(Metadata!K471))),Metadata!K471&gt;0))</f>
        <v>0</v>
      </c>
      <c r="AM471">
        <f>AND(IF(Metadata!L471="",FALSE,TRUE),exact(Metadata!L471,"cm"))</f>
        <v>0</v>
      </c>
      <c r="AN471">
        <f>IF(Metadata!M471="",FALSE,TRUE)</f>
        <v>0</v>
      </c>
      <c r="AO471">
        <f>OR(AND(IF(Metadata!N471="",FALSE,TRUE),OR(exact(Metadata!N471,"not applicable"),exact(Metadata!N471,"not collected"),exact(Metadata!N471,"not provided"))),AND(IF(Metadata!N471="",FALSE,IF(ISERROR(INT(Metadata!N471)),FALSE,INT(Metadata!N471)=Metadata!N471)),Metadata!N471&gt;0))</f>
        <v>0</v>
      </c>
      <c r="AP471">
        <f>OR(AND(IF(Metadata!O471="",FALSE,TRUE),OR(exact(Metadata!O471,"not collected"),exact(Metadata!O471,"not provided"))),AND(IF(Metadata!O471="",FALSE,ISNUMBER(VALUE(Metadata!O471))),Metadata!O471&gt;0))</f>
        <v>0</v>
      </c>
      <c r="AQ471">
        <f>AND(IF(Metadata!P471="",FALSE,TRUE),exact(Metadata!P471,"kg"))</f>
        <v>0</v>
      </c>
      <c r="AR471">
        <f>OR(AND(IF(Metadata!Q471="",FALSE,TRUE),OR(exact(Metadata!Q471,"not applicable"),exact(Metadata!Q471,"not collected"),exact(Metadata!Q471,"not provided"),exact(Metadata!Q471,"restricted access"))),IF(Metadata!Q471="",FALSE,IF(ISERROR(INT(Metadata!Q471)),FALSE,INT(Metadata!Q471)=Metadata!Q471)))</f>
        <v>0</v>
      </c>
      <c r="AS471">
        <f>AND(IF(Metadata!R471="",FALSE,TRUE),exact(Metadata!R471,"Not applicable"))</f>
        <v>0</v>
      </c>
    </row>
    <row r="472" spans="1:45">
      <c r="A472" s="4">
        <f>IF(B472=" "," ",HYPERLINK(CONCATENATE("#metadata!",ADDRESS(INDEX($X$2:$X$1001,MATCH(ROWS($V$2:V472),$V$2:$V$1001,0),0),2)),INDEX($AA$2:$AA$1001,MATCH(ROWS($V$2:V472),$V$2:$V$1001,0),0)))</f>
        <v>0</v>
      </c>
      <c r="B472" s="5">
        <f>IF(OR(INDEX($W$2:$W$1001,MATCH(ROWS($V$2:V472),$V$2:$V$1001,0),1)&gt;=100000,INDEX($AC$1005:$AS$1005,1,MATCH(COLUMNS($AC$1006:AC1006),$AC$1006:$AS$1006,0))&gt;=100000), " ",IF(INDEX($AC$2:$AS$1001,MATCH(ROWS($V$2:V472),$V$2:$V$1001,0),MATCH(COLUMNS($AC$1006:AC1006),$AC$1006:$AS$1006,0)), HYPERLINK("#",""), HYPERLINK(CONCATENATE("#Metadata!", ADDRESS(INDEX($X$2:$X$1001,MATCH(ROWS($V$2:V472),$V$2:$V$1001,0),0), INDEX($AC$1004:$AS$1004,1,MATCH(COLUMNS($AC$1006:AC1006),$AC$1006:$AS$1006,0)))),"Fix")))</f>
        <v>0</v>
      </c>
      <c r="C472" s="5">
        <f>IF(OR(INDEX($W$2:$W$1001,MATCH(ROWS($V$2:V472),$V$2:$V$1001,0),1)&gt;=100000,INDEX($AC$1005:$AS$1005,1,MATCH(COLUMNS($AC$1006:AD1006),$AC$1006:$AS$1006,0))&gt;=100000), " ",IF(INDEX($AC$2:$AS$1001,MATCH(ROWS($V$2:V472),$V$2:$V$1001,0),MATCH(COLUMNS($AC$1006:AD1006),$AC$1006:$AS$1006,0)), HYPERLINK("#",""), HYPERLINK(CONCATENATE("#Metadata!", ADDRESS(INDEX($X$2:$X$1001,MATCH(ROWS($V$2:V472),$V$2:$V$1001,0),0), INDEX($AC$1004:$AS$1004,1,MATCH(COLUMNS($AC$1006:AD1006),$AC$1006:$AS$1006,0)))),"Fix")))</f>
        <v>0</v>
      </c>
      <c r="D472" s="5">
        <f>IF(OR(INDEX($W$2:$W$1001,MATCH(ROWS($V$2:V472),$V$2:$V$1001,0),1)&gt;=100000,INDEX($AC$1005:$AS$1005,1,MATCH(COLUMNS($AC$1006:AE1006),$AC$1006:$AS$1006,0))&gt;=100000), " ",IF(INDEX($AC$2:$AS$1001,MATCH(ROWS($V$2:V472),$V$2:$V$1001,0),MATCH(COLUMNS($AC$1006:AE1006),$AC$1006:$AS$1006,0)), HYPERLINK("#",""), HYPERLINK(CONCATENATE("#Metadata!", ADDRESS(INDEX($X$2:$X$1001,MATCH(ROWS($V$2:V472),$V$2:$V$1001,0),0), INDEX($AC$1004:$AS$1004,1,MATCH(COLUMNS($AC$1006:AE1006),$AC$1006:$AS$1006,0)))),"Fix")))</f>
        <v>0</v>
      </c>
      <c r="E472" s="5">
        <f>IF(OR(INDEX($W$2:$W$1001,MATCH(ROWS($V$2:V472),$V$2:$V$1001,0),1)&gt;=100000,INDEX($AC$1005:$AS$1005,1,MATCH(COLUMNS($AC$1006:AF1006),$AC$1006:$AS$1006,0))&gt;=100000), " ",IF(INDEX($AC$2:$AS$1001,MATCH(ROWS($V$2:V472),$V$2:$V$1001,0),MATCH(COLUMNS($AC$1006:AF1006),$AC$1006:$AS$1006,0)), HYPERLINK("#",""), HYPERLINK(CONCATENATE("#Metadata!", ADDRESS(INDEX($X$2:$X$1001,MATCH(ROWS($V$2:V472),$V$2:$V$1001,0),0), INDEX($AC$1004:$AS$1004,1,MATCH(COLUMNS($AC$1006:AF1006),$AC$1006:$AS$1006,0)))),"Fix")))</f>
        <v>0</v>
      </c>
      <c r="F472" s="5">
        <f>IF(OR(INDEX($W$2:$W$1001,MATCH(ROWS($V$2:V472),$V$2:$V$1001,0),1)&gt;=100000,INDEX($AC$1005:$AS$1005,1,MATCH(COLUMNS($AC$1006:AG1006),$AC$1006:$AS$1006,0))&gt;=100000), " ",IF(INDEX($AC$2:$AS$1001,MATCH(ROWS($V$2:V472),$V$2:$V$1001,0),MATCH(COLUMNS($AC$1006:AG1006),$AC$1006:$AS$1006,0)), HYPERLINK("#",""), HYPERLINK(CONCATENATE("#Metadata!", ADDRESS(INDEX($X$2:$X$1001,MATCH(ROWS($V$2:V472),$V$2:$V$1001,0),0), INDEX($AC$1004:$AS$1004,1,MATCH(COLUMNS($AC$1006:AG1006),$AC$1006:$AS$1006,0)))),"Fix")))</f>
        <v>0</v>
      </c>
      <c r="G472" s="5">
        <f>IF(OR(INDEX($W$2:$W$1001,MATCH(ROWS($V$2:V472),$V$2:$V$1001,0),1)&gt;=100000,INDEX($AC$1005:$AS$1005,1,MATCH(COLUMNS($AC$1006:AH1006),$AC$1006:$AS$1006,0))&gt;=100000), " ",IF(INDEX($AC$2:$AS$1001,MATCH(ROWS($V$2:V472),$V$2:$V$1001,0),MATCH(COLUMNS($AC$1006:AH1006),$AC$1006:$AS$1006,0)), HYPERLINK("#",""), HYPERLINK(CONCATENATE("#Metadata!", ADDRESS(INDEX($X$2:$X$1001,MATCH(ROWS($V$2:V472),$V$2:$V$1001,0),0), INDEX($AC$1004:$AS$1004,1,MATCH(COLUMNS($AC$1006:AH1006),$AC$1006:$AS$1006,0)))),"Fix")))</f>
        <v>0</v>
      </c>
      <c r="H472" s="5">
        <f>IF(OR(INDEX($W$2:$W$1001,MATCH(ROWS($V$2:V472),$V$2:$V$1001,0),1)&gt;=100000,INDEX($AC$1005:$AS$1005,1,MATCH(COLUMNS($AC$1006:AI1006),$AC$1006:$AS$1006,0))&gt;=100000), " ",IF(INDEX($AC$2:$AS$1001,MATCH(ROWS($V$2:V472),$V$2:$V$1001,0),MATCH(COLUMNS($AC$1006:AI1006),$AC$1006:$AS$1006,0)), HYPERLINK("#",""), HYPERLINK(CONCATENATE("#Metadata!", ADDRESS(INDEX($X$2:$X$1001,MATCH(ROWS($V$2:V472),$V$2:$V$1001,0),0), INDEX($AC$1004:$AS$1004,1,MATCH(COLUMNS($AC$1006:AI1006),$AC$1006:$AS$1006,0)))),"Fix")))</f>
        <v>0</v>
      </c>
      <c r="I472" s="5">
        <f>IF(OR(INDEX($W$2:$W$1001,MATCH(ROWS($V$2:V472),$V$2:$V$1001,0),1)&gt;=100000,INDEX($AC$1005:$AS$1005,1,MATCH(COLUMNS($AC$1006:AJ1006),$AC$1006:$AS$1006,0))&gt;=100000), " ",IF(INDEX($AC$2:$AS$1001,MATCH(ROWS($V$2:V472),$V$2:$V$1001,0),MATCH(COLUMNS($AC$1006:AJ1006),$AC$1006:$AS$1006,0)), HYPERLINK("#",""), HYPERLINK(CONCATENATE("#Metadata!", ADDRESS(INDEX($X$2:$X$1001,MATCH(ROWS($V$2:V472),$V$2:$V$1001,0),0), INDEX($AC$1004:$AS$1004,1,MATCH(COLUMNS($AC$1006:AJ1006),$AC$1006:$AS$1006,0)))),"Fix")))</f>
        <v>0</v>
      </c>
      <c r="J472" s="5">
        <f>IF(OR(INDEX($W$2:$W$1001,MATCH(ROWS($V$2:V472),$V$2:$V$1001,0),1)&gt;=100000,INDEX($AC$1005:$AS$1005,1,MATCH(COLUMNS($AC$1006:AK1006),$AC$1006:$AS$1006,0))&gt;=100000), " ",IF(INDEX($AC$2:$AS$1001,MATCH(ROWS($V$2:V472),$V$2:$V$1001,0),MATCH(COLUMNS($AC$1006:AK1006),$AC$1006:$AS$1006,0)), HYPERLINK("#",""), HYPERLINK(CONCATENATE("#Metadata!", ADDRESS(INDEX($X$2:$X$1001,MATCH(ROWS($V$2:V472),$V$2:$V$1001,0),0), INDEX($AC$1004:$AS$1004,1,MATCH(COLUMNS($AC$1006:AK1006),$AC$1006:$AS$1006,0)))),"Fix")))</f>
        <v>0</v>
      </c>
      <c r="K472" s="5">
        <f>IF(OR(INDEX($W$2:$W$1001,MATCH(ROWS($V$2:V472),$V$2:$V$1001,0),1)&gt;=100000,INDEX($AC$1005:$AS$1005,1,MATCH(COLUMNS($AC$1006:AL1006),$AC$1006:$AS$1006,0))&gt;=100000), " ",IF(INDEX($AC$2:$AS$1001,MATCH(ROWS($V$2:V472),$V$2:$V$1001,0),MATCH(COLUMNS($AC$1006:AL1006),$AC$1006:$AS$1006,0)), HYPERLINK("#",""), HYPERLINK(CONCATENATE("#Metadata!", ADDRESS(INDEX($X$2:$X$1001,MATCH(ROWS($V$2:V472),$V$2:$V$1001,0),0), INDEX($AC$1004:$AS$1004,1,MATCH(COLUMNS($AC$1006:AL1006),$AC$1006:$AS$1006,0)))),"Fix")))</f>
        <v>0</v>
      </c>
      <c r="L472" s="5">
        <f>IF(OR(INDEX($W$2:$W$1001,MATCH(ROWS($V$2:V472),$V$2:$V$1001,0),1)&gt;=100000,INDEX($AC$1005:$AS$1005,1,MATCH(COLUMNS($AC$1006:AM1006),$AC$1006:$AS$1006,0))&gt;=100000), " ",IF(INDEX($AC$2:$AS$1001,MATCH(ROWS($V$2:V472),$V$2:$V$1001,0),MATCH(COLUMNS($AC$1006:AM1006),$AC$1006:$AS$1006,0)), HYPERLINK("#",""), HYPERLINK(CONCATENATE("#Metadata!", ADDRESS(INDEX($X$2:$X$1001,MATCH(ROWS($V$2:V472),$V$2:$V$1001,0),0), INDEX($AC$1004:$AS$1004,1,MATCH(COLUMNS($AC$1006:AM1006),$AC$1006:$AS$1006,0)))),"Fix")))</f>
        <v>0</v>
      </c>
      <c r="M472" s="5">
        <f>IF(OR(INDEX($W$2:$W$1001,MATCH(ROWS($V$2:V472),$V$2:$V$1001,0),1)&gt;=100000,INDEX($AC$1005:$AS$1005,1,MATCH(COLUMNS($AC$1006:AN1006),$AC$1006:$AS$1006,0))&gt;=100000), " ",IF(INDEX($AC$2:$AS$1001,MATCH(ROWS($V$2:V472),$V$2:$V$1001,0),MATCH(COLUMNS($AC$1006:AN1006),$AC$1006:$AS$1006,0)), HYPERLINK("#",""), HYPERLINK(CONCATENATE("#Metadata!", ADDRESS(INDEX($X$2:$X$1001,MATCH(ROWS($V$2:V472),$V$2:$V$1001,0),0), INDEX($AC$1004:$AS$1004,1,MATCH(COLUMNS($AC$1006:AN1006),$AC$1006:$AS$1006,0)))),"Fix")))</f>
        <v>0</v>
      </c>
      <c r="N472" s="5">
        <f>IF(OR(INDEX($W$2:$W$1001,MATCH(ROWS($V$2:V472),$V$2:$V$1001,0),1)&gt;=100000,INDEX($AC$1005:$AS$1005,1,MATCH(COLUMNS($AC$1006:AO1006),$AC$1006:$AS$1006,0))&gt;=100000), " ",IF(INDEX($AC$2:$AS$1001,MATCH(ROWS($V$2:V472),$V$2:$V$1001,0),MATCH(COLUMNS($AC$1006:AO1006),$AC$1006:$AS$1006,0)), HYPERLINK("#",""), HYPERLINK(CONCATENATE("#Metadata!", ADDRESS(INDEX($X$2:$X$1001,MATCH(ROWS($V$2:V472),$V$2:$V$1001,0),0), INDEX($AC$1004:$AS$1004,1,MATCH(COLUMNS($AC$1006:AO1006),$AC$1006:$AS$1006,0)))),"Fix")))</f>
        <v>0</v>
      </c>
      <c r="O472" s="5">
        <f>IF(OR(INDEX($W$2:$W$1001,MATCH(ROWS($V$2:V472),$V$2:$V$1001,0),1)&gt;=100000,INDEX($AC$1005:$AS$1005,1,MATCH(COLUMNS($AC$1006:AP1006),$AC$1006:$AS$1006,0))&gt;=100000), " ",IF(INDEX($AC$2:$AS$1001,MATCH(ROWS($V$2:V472),$V$2:$V$1001,0),MATCH(COLUMNS($AC$1006:AP1006),$AC$1006:$AS$1006,0)), HYPERLINK("#",""), HYPERLINK(CONCATENATE("#Metadata!", ADDRESS(INDEX($X$2:$X$1001,MATCH(ROWS($V$2:V472),$V$2:$V$1001,0),0), INDEX($AC$1004:$AS$1004,1,MATCH(COLUMNS($AC$1006:AP1006),$AC$1006:$AS$1006,0)))),"Fix")))</f>
        <v>0</v>
      </c>
      <c r="P472" s="5">
        <f>IF(OR(INDEX($W$2:$W$1001,MATCH(ROWS($V$2:V472),$V$2:$V$1001,0),1)&gt;=100000,INDEX($AC$1005:$AS$1005,1,MATCH(COLUMNS($AC$1006:AQ1006),$AC$1006:$AS$1006,0))&gt;=100000), " ",IF(INDEX($AC$2:$AS$1001,MATCH(ROWS($V$2:V472),$V$2:$V$1001,0),MATCH(COLUMNS($AC$1006:AQ1006),$AC$1006:$AS$1006,0)), HYPERLINK("#",""), HYPERLINK(CONCATENATE("#Metadata!", ADDRESS(INDEX($X$2:$X$1001,MATCH(ROWS($V$2:V472),$V$2:$V$1001,0),0), INDEX($AC$1004:$AS$1004,1,MATCH(COLUMNS($AC$1006:AQ1006),$AC$1006:$AS$1006,0)))),"Fix")))</f>
        <v>0</v>
      </c>
      <c r="Q472" s="5">
        <f>IF(OR(INDEX($W$2:$W$1001,MATCH(ROWS($V$2:V472),$V$2:$V$1001,0),1)&gt;=100000,INDEX($AC$1005:$AS$1005,1,MATCH(COLUMNS($AC$1006:AR1006),$AC$1006:$AS$1006,0))&gt;=100000), " ",IF(INDEX($AC$2:$AS$1001,MATCH(ROWS($V$2:V472),$V$2:$V$1001,0),MATCH(COLUMNS($AC$1006:AR1006),$AC$1006:$AS$1006,0)), HYPERLINK("#",""), HYPERLINK(CONCATENATE("#Metadata!", ADDRESS(INDEX($X$2:$X$1001,MATCH(ROWS($V$2:V472),$V$2:$V$1001,0),0), INDEX($AC$1004:$AS$1004,1,MATCH(COLUMNS($AC$1006:AR1006),$AC$1006:$AS$1006,0)))),"Fix")))</f>
        <v>0</v>
      </c>
      <c r="R472" s="5">
        <f>IF(OR(INDEX($W$2:$W$1001,MATCH(ROWS($V$2:V472),$V$2:$V$1001,0),1)&gt;=100000,INDEX($AC$1005:$AS$1005,1,MATCH(COLUMNS($AC$1006:AS1006),$AC$1006:$AS$1006,0))&gt;=100000), " ",IF(INDEX($AC$2:$AS$1001,MATCH(ROWS($V$2:V472),$V$2:$V$1001,0),MATCH(COLUMNS($AC$1006:AS1006),$AC$1006:$AS$1006,0)), HYPERLINK("#",""), HYPERLINK(CONCATENATE("#Metadata!", ADDRESS(INDEX($X$2:$X$1001,MATCH(ROWS($V$2:V472),$V$2:$V$1001,0),0), INDEX($AC$1004:$AS$1004,1,MATCH(COLUMNS($AC$1006:AS1006),$AC$1006:$AS$1006,0)))),"Fix")))</f>
        <v>0</v>
      </c>
      <c r="V472">
        <v>0</v>
      </c>
      <c r="W472">
        <v>0</v>
      </c>
      <c r="X472">
        <v>0</v>
      </c>
      <c r="Y472">
        <f>IF(Z472,TRUE,AND(AC472:AS472))</f>
        <v>0</v>
      </c>
      <c r="Z472">
        <f>COUNTBLANK(Metadata!B472:R472)=COLUMNS(Metadata!B472:R472)</f>
        <v>0</v>
      </c>
      <c r="AA472">
        <v>0</v>
      </c>
      <c r="AC472">
        <f>AND(IF(Metadata!B472="",FALSE,TRUE),COUNTIF(Metadata!B:B, Metadata!B472) = 1,NOT(ISERROR(SUMPRODUCT(SEARCH(MID(Metadata!B472,ROW(INDIRECT("1:"&amp;LEN(Metadata!B472))), 1),"0123456789abcdefghijklmnopqrstuvwxyzABCDEFGHIJKLMNOPQRSTUVWXYZ.")))))</f>
        <v>0</v>
      </c>
      <c r="AD472">
        <f>AND(IF(Metadata!C472="",FALSE,TRUE),exact(Metadata!C472,"Host-associated"))</f>
        <v>0</v>
      </c>
      <c r="AE472">
        <f>AND(IF(Metadata!D472="",FALSE,TRUE),OR(exact(Metadata!D472,"Animal"),exact(Metadata!D472,"Fungus"),exact(Metadata!D472,"Plant")))</f>
        <v>0</v>
      </c>
      <c r="AF472">
        <f>AND(IF(Metadata!E472="",FALSE,TRUE),OR(exact(Metadata!E472,"Plant secretion"),exact(Metadata!E472,"Plant rhizosphere"),exact(Metadata!E472,"Plant surface"),exact(Metadata!E472,"Plant corpus"),exact(Metadata!E472,"Fungus surface"),exact(Metadata!E472,"Fungus corpus"),exact(Metadata!E472,"Animal surface"),exact(Metadata!E472,"Animal proximal gut"),exact(Metadata!E472,"Animal corpus"),exact(Metadata!E472,"Animal distal gut"),exact(Metadata!E472,"Animal secretion")))</f>
        <v>0</v>
      </c>
      <c r="AG472">
        <f>OR(AND(IF(Metadata!F472="",FALSE,TRUE),OR(exact(Metadata!F472,"not collected"),exact(Metadata!F472,"not provided"),exact(Metadata!F472,"restricted access"))),AND(IF(Metadata!F472="",FALSE,TRUE),OR(exact(Metadata!F472,"organism-associated habitat"),exact(Metadata!F472,"plant-associated habitat"),exact(Metadata!F472,"animal-associated habitat"),exact(Metadata!F472,"insecta-associated habitat"),exact(Metadata!F472,"mammalia-associated habitat"),exact(Metadata!F472,"human-associated habitat"),exact(Metadata!F472,"livestock-associated habitat"))))</f>
        <v>0</v>
      </c>
      <c r="AH472">
        <f>AND(IF(Metadata!G472="",FALSE,TRUE),exact(Metadata!G472,"host-associated"))</f>
        <v>0</v>
      </c>
      <c r="AI472">
        <f>OR(AND(IF(Metadata!H472="",FALSE,TRUE),OR(exact(Metadata!H472,"not collected"),exact(Metadata!H472,"not provided"))),AND(IF(Metadata!H472="",FALSE,ISNUMBER(VALUE(Metadata!H472))),Metadata!H472&gt;0))</f>
        <v>0</v>
      </c>
      <c r="AJ472">
        <f>AND(IF(Metadata!I472="",FALSE,TRUE),exact(Metadata!I472,"years"))</f>
        <v>0</v>
      </c>
      <c r="AK472">
        <f>IF(Metadata!J472="",FALSE,TRUE)</f>
        <v>0</v>
      </c>
      <c r="AL472">
        <f>OR(AND(IF(Metadata!K472="",FALSE,TRUE),OR(exact(Metadata!K472,"not collected"),exact(Metadata!K472,"not provided"))),AND(IF(Metadata!K472="",FALSE,ISNUMBER(VALUE(Metadata!K472))),Metadata!K472&gt;0))</f>
        <v>0</v>
      </c>
      <c r="AM472">
        <f>AND(IF(Metadata!L472="",FALSE,TRUE),exact(Metadata!L472,"cm"))</f>
        <v>0</v>
      </c>
      <c r="AN472">
        <f>IF(Metadata!M472="",FALSE,TRUE)</f>
        <v>0</v>
      </c>
      <c r="AO472">
        <f>OR(AND(IF(Metadata!N472="",FALSE,TRUE),OR(exact(Metadata!N472,"not applicable"),exact(Metadata!N472,"not collected"),exact(Metadata!N472,"not provided"))),AND(IF(Metadata!N472="",FALSE,IF(ISERROR(INT(Metadata!N472)),FALSE,INT(Metadata!N472)=Metadata!N472)),Metadata!N472&gt;0))</f>
        <v>0</v>
      </c>
      <c r="AP472">
        <f>OR(AND(IF(Metadata!O472="",FALSE,TRUE),OR(exact(Metadata!O472,"not collected"),exact(Metadata!O472,"not provided"))),AND(IF(Metadata!O472="",FALSE,ISNUMBER(VALUE(Metadata!O472))),Metadata!O472&gt;0))</f>
        <v>0</v>
      </c>
      <c r="AQ472">
        <f>AND(IF(Metadata!P472="",FALSE,TRUE),exact(Metadata!P472,"kg"))</f>
        <v>0</v>
      </c>
      <c r="AR472">
        <f>OR(AND(IF(Metadata!Q472="",FALSE,TRUE),OR(exact(Metadata!Q472,"not applicable"),exact(Metadata!Q472,"not collected"),exact(Metadata!Q472,"not provided"),exact(Metadata!Q472,"restricted access"))),IF(Metadata!Q472="",FALSE,IF(ISERROR(INT(Metadata!Q472)),FALSE,INT(Metadata!Q472)=Metadata!Q472)))</f>
        <v>0</v>
      </c>
      <c r="AS472">
        <f>AND(IF(Metadata!R472="",FALSE,TRUE),exact(Metadata!R472,"Not applicable"))</f>
        <v>0</v>
      </c>
    </row>
    <row r="473" spans="1:45">
      <c r="A473" s="4">
        <f>IF(B473=" "," ",HYPERLINK(CONCATENATE("#metadata!",ADDRESS(INDEX($X$2:$X$1001,MATCH(ROWS($V$2:V473),$V$2:$V$1001,0),0),2)),INDEX($AA$2:$AA$1001,MATCH(ROWS($V$2:V473),$V$2:$V$1001,0),0)))</f>
        <v>0</v>
      </c>
      <c r="B473" s="5">
        <f>IF(OR(INDEX($W$2:$W$1001,MATCH(ROWS($V$2:V473),$V$2:$V$1001,0),1)&gt;=100000,INDEX($AC$1005:$AS$1005,1,MATCH(COLUMNS($AC$1006:AC1006),$AC$1006:$AS$1006,0))&gt;=100000), " ",IF(INDEX($AC$2:$AS$1001,MATCH(ROWS($V$2:V473),$V$2:$V$1001,0),MATCH(COLUMNS($AC$1006:AC1006),$AC$1006:$AS$1006,0)), HYPERLINK("#",""), HYPERLINK(CONCATENATE("#Metadata!", ADDRESS(INDEX($X$2:$X$1001,MATCH(ROWS($V$2:V473),$V$2:$V$1001,0),0), INDEX($AC$1004:$AS$1004,1,MATCH(COLUMNS($AC$1006:AC1006),$AC$1006:$AS$1006,0)))),"Fix")))</f>
        <v>0</v>
      </c>
      <c r="C473" s="5">
        <f>IF(OR(INDEX($W$2:$W$1001,MATCH(ROWS($V$2:V473),$V$2:$V$1001,0),1)&gt;=100000,INDEX($AC$1005:$AS$1005,1,MATCH(COLUMNS($AC$1006:AD1006),$AC$1006:$AS$1006,0))&gt;=100000), " ",IF(INDEX($AC$2:$AS$1001,MATCH(ROWS($V$2:V473),$V$2:$V$1001,0),MATCH(COLUMNS($AC$1006:AD1006),$AC$1006:$AS$1006,0)), HYPERLINK("#",""), HYPERLINK(CONCATENATE("#Metadata!", ADDRESS(INDEX($X$2:$X$1001,MATCH(ROWS($V$2:V473),$V$2:$V$1001,0),0), INDEX($AC$1004:$AS$1004,1,MATCH(COLUMNS($AC$1006:AD1006),$AC$1006:$AS$1006,0)))),"Fix")))</f>
        <v>0</v>
      </c>
      <c r="D473" s="5">
        <f>IF(OR(INDEX($W$2:$W$1001,MATCH(ROWS($V$2:V473),$V$2:$V$1001,0),1)&gt;=100000,INDEX($AC$1005:$AS$1005,1,MATCH(COLUMNS($AC$1006:AE1006),$AC$1006:$AS$1006,0))&gt;=100000), " ",IF(INDEX($AC$2:$AS$1001,MATCH(ROWS($V$2:V473),$V$2:$V$1001,0),MATCH(COLUMNS($AC$1006:AE1006),$AC$1006:$AS$1006,0)), HYPERLINK("#",""), HYPERLINK(CONCATENATE("#Metadata!", ADDRESS(INDEX($X$2:$X$1001,MATCH(ROWS($V$2:V473),$V$2:$V$1001,0),0), INDEX($AC$1004:$AS$1004,1,MATCH(COLUMNS($AC$1006:AE1006),$AC$1006:$AS$1006,0)))),"Fix")))</f>
        <v>0</v>
      </c>
      <c r="E473" s="5">
        <f>IF(OR(INDEX($W$2:$W$1001,MATCH(ROWS($V$2:V473),$V$2:$V$1001,0),1)&gt;=100000,INDEX($AC$1005:$AS$1005,1,MATCH(COLUMNS($AC$1006:AF1006),$AC$1006:$AS$1006,0))&gt;=100000), " ",IF(INDEX($AC$2:$AS$1001,MATCH(ROWS($V$2:V473),$V$2:$V$1001,0),MATCH(COLUMNS($AC$1006:AF1006),$AC$1006:$AS$1006,0)), HYPERLINK("#",""), HYPERLINK(CONCATENATE("#Metadata!", ADDRESS(INDEX($X$2:$X$1001,MATCH(ROWS($V$2:V473),$V$2:$V$1001,0),0), INDEX($AC$1004:$AS$1004,1,MATCH(COLUMNS($AC$1006:AF1006),$AC$1006:$AS$1006,0)))),"Fix")))</f>
        <v>0</v>
      </c>
      <c r="F473" s="5">
        <f>IF(OR(INDEX($W$2:$W$1001,MATCH(ROWS($V$2:V473),$V$2:$V$1001,0),1)&gt;=100000,INDEX($AC$1005:$AS$1005,1,MATCH(COLUMNS($AC$1006:AG1006),$AC$1006:$AS$1006,0))&gt;=100000), " ",IF(INDEX($AC$2:$AS$1001,MATCH(ROWS($V$2:V473),$V$2:$V$1001,0),MATCH(COLUMNS($AC$1006:AG1006),$AC$1006:$AS$1006,0)), HYPERLINK("#",""), HYPERLINK(CONCATENATE("#Metadata!", ADDRESS(INDEX($X$2:$X$1001,MATCH(ROWS($V$2:V473),$V$2:$V$1001,0),0), INDEX($AC$1004:$AS$1004,1,MATCH(COLUMNS($AC$1006:AG1006),$AC$1006:$AS$1006,0)))),"Fix")))</f>
        <v>0</v>
      </c>
      <c r="G473" s="5">
        <f>IF(OR(INDEX($W$2:$W$1001,MATCH(ROWS($V$2:V473),$V$2:$V$1001,0),1)&gt;=100000,INDEX($AC$1005:$AS$1005,1,MATCH(COLUMNS($AC$1006:AH1006),$AC$1006:$AS$1006,0))&gt;=100000), " ",IF(INDEX($AC$2:$AS$1001,MATCH(ROWS($V$2:V473),$V$2:$V$1001,0),MATCH(COLUMNS($AC$1006:AH1006),$AC$1006:$AS$1006,0)), HYPERLINK("#",""), HYPERLINK(CONCATENATE("#Metadata!", ADDRESS(INDEX($X$2:$X$1001,MATCH(ROWS($V$2:V473),$V$2:$V$1001,0),0), INDEX($AC$1004:$AS$1004,1,MATCH(COLUMNS($AC$1006:AH1006),$AC$1006:$AS$1006,0)))),"Fix")))</f>
        <v>0</v>
      </c>
      <c r="H473" s="5">
        <f>IF(OR(INDEX($W$2:$W$1001,MATCH(ROWS($V$2:V473),$V$2:$V$1001,0),1)&gt;=100000,INDEX($AC$1005:$AS$1005,1,MATCH(COLUMNS($AC$1006:AI1006),$AC$1006:$AS$1006,0))&gt;=100000), " ",IF(INDEX($AC$2:$AS$1001,MATCH(ROWS($V$2:V473),$V$2:$V$1001,0),MATCH(COLUMNS($AC$1006:AI1006),$AC$1006:$AS$1006,0)), HYPERLINK("#",""), HYPERLINK(CONCATENATE("#Metadata!", ADDRESS(INDEX($X$2:$X$1001,MATCH(ROWS($V$2:V473),$V$2:$V$1001,0),0), INDEX($AC$1004:$AS$1004,1,MATCH(COLUMNS($AC$1006:AI1006),$AC$1006:$AS$1006,0)))),"Fix")))</f>
        <v>0</v>
      </c>
      <c r="I473" s="5">
        <f>IF(OR(INDEX($W$2:$W$1001,MATCH(ROWS($V$2:V473),$V$2:$V$1001,0),1)&gt;=100000,INDEX($AC$1005:$AS$1005,1,MATCH(COLUMNS($AC$1006:AJ1006),$AC$1006:$AS$1006,0))&gt;=100000), " ",IF(INDEX($AC$2:$AS$1001,MATCH(ROWS($V$2:V473),$V$2:$V$1001,0),MATCH(COLUMNS($AC$1006:AJ1006),$AC$1006:$AS$1006,0)), HYPERLINK("#",""), HYPERLINK(CONCATENATE("#Metadata!", ADDRESS(INDEX($X$2:$X$1001,MATCH(ROWS($V$2:V473),$V$2:$V$1001,0),0), INDEX($AC$1004:$AS$1004,1,MATCH(COLUMNS($AC$1006:AJ1006),$AC$1006:$AS$1006,0)))),"Fix")))</f>
        <v>0</v>
      </c>
      <c r="J473" s="5">
        <f>IF(OR(INDEX($W$2:$W$1001,MATCH(ROWS($V$2:V473),$V$2:$V$1001,0),1)&gt;=100000,INDEX($AC$1005:$AS$1005,1,MATCH(COLUMNS($AC$1006:AK1006),$AC$1006:$AS$1006,0))&gt;=100000), " ",IF(INDEX($AC$2:$AS$1001,MATCH(ROWS($V$2:V473),$V$2:$V$1001,0),MATCH(COLUMNS($AC$1006:AK1006),$AC$1006:$AS$1006,0)), HYPERLINK("#",""), HYPERLINK(CONCATENATE("#Metadata!", ADDRESS(INDEX($X$2:$X$1001,MATCH(ROWS($V$2:V473),$V$2:$V$1001,0),0), INDEX($AC$1004:$AS$1004,1,MATCH(COLUMNS($AC$1006:AK1006),$AC$1006:$AS$1006,0)))),"Fix")))</f>
        <v>0</v>
      </c>
      <c r="K473" s="5">
        <f>IF(OR(INDEX($W$2:$W$1001,MATCH(ROWS($V$2:V473),$V$2:$V$1001,0),1)&gt;=100000,INDEX($AC$1005:$AS$1005,1,MATCH(COLUMNS($AC$1006:AL1006),$AC$1006:$AS$1006,0))&gt;=100000), " ",IF(INDEX($AC$2:$AS$1001,MATCH(ROWS($V$2:V473),$V$2:$V$1001,0),MATCH(COLUMNS($AC$1006:AL1006),$AC$1006:$AS$1006,0)), HYPERLINK("#",""), HYPERLINK(CONCATENATE("#Metadata!", ADDRESS(INDEX($X$2:$X$1001,MATCH(ROWS($V$2:V473),$V$2:$V$1001,0),0), INDEX($AC$1004:$AS$1004,1,MATCH(COLUMNS($AC$1006:AL1006),$AC$1006:$AS$1006,0)))),"Fix")))</f>
        <v>0</v>
      </c>
      <c r="L473" s="5">
        <f>IF(OR(INDEX($W$2:$W$1001,MATCH(ROWS($V$2:V473),$V$2:$V$1001,0),1)&gt;=100000,INDEX($AC$1005:$AS$1005,1,MATCH(COLUMNS($AC$1006:AM1006),$AC$1006:$AS$1006,0))&gt;=100000), " ",IF(INDEX($AC$2:$AS$1001,MATCH(ROWS($V$2:V473),$V$2:$V$1001,0),MATCH(COLUMNS($AC$1006:AM1006),$AC$1006:$AS$1006,0)), HYPERLINK("#",""), HYPERLINK(CONCATENATE("#Metadata!", ADDRESS(INDEX($X$2:$X$1001,MATCH(ROWS($V$2:V473),$V$2:$V$1001,0),0), INDEX($AC$1004:$AS$1004,1,MATCH(COLUMNS($AC$1006:AM1006),$AC$1006:$AS$1006,0)))),"Fix")))</f>
        <v>0</v>
      </c>
      <c r="M473" s="5">
        <f>IF(OR(INDEX($W$2:$W$1001,MATCH(ROWS($V$2:V473),$V$2:$V$1001,0),1)&gt;=100000,INDEX($AC$1005:$AS$1005,1,MATCH(COLUMNS($AC$1006:AN1006),$AC$1006:$AS$1006,0))&gt;=100000), " ",IF(INDEX($AC$2:$AS$1001,MATCH(ROWS($V$2:V473),$V$2:$V$1001,0),MATCH(COLUMNS($AC$1006:AN1006),$AC$1006:$AS$1006,0)), HYPERLINK("#",""), HYPERLINK(CONCATENATE("#Metadata!", ADDRESS(INDEX($X$2:$X$1001,MATCH(ROWS($V$2:V473),$V$2:$V$1001,0),0), INDEX($AC$1004:$AS$1004,1,MATCH(COLUMNS($AC$1006:AN1006),$AC$1006:$AS$1006,0)))),"Fix")))</f>
        <v>0</v>
      </c>
      <c r="N473" s="5">
        <f>IF(OR(INDEX($W$2:$W$1001,MATCH(ROWS($V$2:V473),$V$2:$V$1001,0),1)&gt;=100000,INDEX($AC$1005:$AS$1005,1,MATCH(COLUMNS($AC$1006:AO1006),$AC$1006:$AS$1006,0))&gt;=100000), " ",IF(INDEX($AC$2:$AS$1001,MATCH(ROWS($V$2:V473),$V$2:$V$1001,0),MATCH(COLUMNS($AC$1006:AO1006),$AC$1006:$AS$1006,0)), HYPERLINK("#",""), HYPERLINK(CONCATENATE("#Metadata!", ADDRESS(INDEX($X$2:$X$1001,MATCH(ROWS($V$2:V473),$V$2:$V$1001,0),0), INDEX($AC$1004:$AS$1004,1,MATCH(COLUMNS($AC$1006:AO1006),$AC$1006:$AS$1006,0)))),"Fix")))</f>
        <v>0</v>
      </c>
      <c r="O473" s="5">
        <f>IF(OR(INDEX($W$2:$W$1001,MATCH(ROWS($V$2:V473),$V$2:$V$1001,0),1)&gt;=100000,INDEX($AC$1005:$AS$1005,1,MATCH(COLUMNS($AC$1006:AP1006),$AC$1006:$AS$1006,0))&gt;=100000), " ",IF(INDEX($AC$2:$AS$1001,MATCH(ROWS($V$2:V473),$V$2:$V$1001,0),MATCH(COLUMNS($AC$1006:AP1006),$AC$1006:$AS$1006,0)), HYPERLINK("#",""), HYPERLINK(CONCATENATE("#Metadata!", ADDRESS(INDEX($X$2:$X$1001,MATCH(ROWS($V$2:V473),$V$2:$V$1001,0),0), INDEX($AC$1004:$AS$1004,1,MATCH(COLUMNS($AC$1006:AP1006),$AC$1006:$AS$1006,0)))),"Fix")))</f>
        <v>0</v>
      </c>
      <c r="P473" s="5">
        <f>IF(OR(INDEX($W$2:$W$1001,MATCH(ROWS($V$2:V473),$V$2:$V$1001,0),1)&gt;=100000,INDEX($AC$1005:$AS$1005,1,MATCH(COLUMNS($AC$1006:AQ1006),$AC$1006:$AS$1006,0))&gt;=100000), " ",IF(INDEX($AC$2:$AS$1001,MATCH(ROWS($V$2:V473),$V$2:$V$1001,0),MATCH(COLUMNS($AC$1006:AQ1006),$AC$1006:$AS$1006,0)), HYPERLINK("#",""), HYPERLINK(CONCATENATE("#Metadata!", ADDRESS(INDEX($X$2:$X$1001,MATCH(ROWS($V$2:V473),$V$2:$V$1001,0),0), INDEX($AC$1004:$AS$1004,1,MATCH(COLUMNS($AC$1006:AQ1006),$AC$1006:$AS$1006,0)))),"Fix")))</f>
        <v>0</v>
      </c>
      <c r="Q473" s="5">
        <f>IF(OR(INDEX($W$2:$W$1001,MATCH(ROWS($V$2:V473),$V$2:$V$1001,0),1)&gt;=100000,INDEX($AC$1005:$AS$1005,1,MATCH(COLUMNS($AC$1006:AR1006),$AC$1006:$AS$1006,0))&gt;=100000), " ",IF(INDEX($AC$2:$AS$1001,MATCH(ROWS($V$2:V473),$V$2:$V$1001,0),MATCH(COLUMNS($AC$1006:AR1006),$AC$1006:$AS$1006,0)), HYPERLINK("#",""), HYPERLINK(CONCATENATE("#Metadata!", ADDRESS(INDEX($X$2:$X$1001,MATCH(ROWS($V$2:V473),$V$2:$V$1001,0),0), INDEX($AC$1004:$AS$1004,1,MATCH(COLUMNS($AC$1006:AR1006),$AC$1006:$AS$1006,0)))),"Fix")))</f>
        <v>0</v>
      </c>
      <c r="R473" s="5">
        <f>IF(OR(INDEX($W$2:$W$1001,MATCH(ROWS($V$2:V473),$V$2:$V$1001,0),1)&gt;=100000,INDEX($AC$1005:$AS$1005,1,MATCH(COLUMNS($AC$1006:AS1006),$AC$1006:$AS$1006,0))&gt;=100000), " ",IF(INDEX($AC$2:$AS$1001,MATCH(ROWS($V$2:V473),$V$2:$V$1001,0),MATCH(COLUMNS($AC$1006:AS1006),$AC$1006:$AS$1006,0)), HYPERLINK("#",""), HYPERLINK(CONCATENATE("#Metadata!", ADDRESS(INDEX($X$2:$X$1001,MATCH(ROWS($V$2:V473),$V$2:$V$1001,0),0), INDEX($AC$1004:$AS$1004,1,MATCH(COLUMNS($AC$1006:AS1006),$AC$1006:$AS$1006,0)))),"Fix")))</f>
        <v>0</v>
      </c>
      <c r="V473">
        <v>0</v>
      </c>
      <c r="W473">
        <v>0</v>
      </c>
      <c r="X473">
        <v>0</v>
      </c>
      <c r="Y473">
        <f>IF(Z473,TRUE,AND(AC473:AS473))</f>
        <v>0</v>
      </c>
      <c r="Z473">
        <f>COUNTBLANK(Metadata!B473:R473)=COLUMNS(Metadata!B473:R473)</f>
        <v>0</v>
      </c>
      <c r="AA473">
        <v>0</v>
      </c>
      <c r="AC473">
        <f>AND(IF(Metadata!B473="",FALSE,TRUE),COUNTIF(Metadata!B:B, Metadata!B473) = 1,NOT(ISERROR(SUMPRODUCT(SEARCH(MID(Metadata!B473,ROW(INDIRECT("1:"&amp;LEN(Metadata!B473))), 1),"0123456789abcdefghijklmnopqrstuvwxyzABCDEFGHIJKLMNOPQRSTUVWXYZ.")))))</f>
        <v>0</v>
      </c>
      <c r="AD473">
        <f>AND(IF(Metadata!C473="",FALSE,TRUE),exact(Metadata!C473,"Host-associated"))</f>
        <v>0</v>
      </c>
      <c r="AE473">
        <f>AND(IF(Metadata!D473="",FALSE,TRUE),OR(exact(Metadata!D473,"Animal"),exact(Metadata!D473,"Fungus"),exact(Metadata!D473,"Plant")))</f>
        <v>0</v>
      </c>
      <c r="AF473">
        <f>AND(IF(Metadata!E473="",FALSE,TRUE),OR(exact(Metadata!E473,"Plant secretion"),exact(Metadata!E473,"Plant rhizosphere"),exact(Metadata!E473,"Plant surface"),exact(Metadata!E473,"Plant corpus"),exact(Metadata!E473,"Fungus surface"),exact(Metadata!E473,"Fungus corpus"),exact(Metadata!E473,"Animal surface"),exact(Metadata!E473,"Animal proximal gut"),exact(Metadata!E473,"Animal corpus"),exact(Metadata!E473,"Animal distal gut"),exact(Metadata!E473,"Animal secretion")))</f>
        <v>0</v>
      </c>
      <c r="AG473">
        <f>OR(AND(IF(Metadata!F473="",FALSE,TRUE),OR(exact(Metadata!F473,"not collected"),exact(Metadata!F473,"not provided"),exact(Metadata!F473,"restricted access"))),AND(IF(Metadata!F473="",FALSE,TRUE),OR(exact(Metadata!F473,"organism-associated habitat"),exact(Metadata!F473,"plant-associated habitat"),exact(Metadata!F473,"animal-associated habitat"),exact(Metadata!F473,"insecta-associated habitat"),exact(Metadata!F473,"mammalia-associated habitat"),exact(Metadata!F473,"human-associated habitat"),exact(Metadata!F473,"livestock-associated habitat"))))</f>
        <v>0</v>
      </c>
      <c r="AH473">
        <f>AND(IF(Metadata!G473="",FALSE,TRUE),exact(Metadata!G473,"host-associated"))</f>
        <v>0</v>
      </c>
      <c r="AI473">
        <f>OR(AND(IF(Metadata!H473="",FALSE,TRUE),OR(exact(Metadata!H473,"not collected"),exact(Metadata!H473,"not provided"))),AND(IF(Metadata!H473="",FALSE,ISNUMBER(VALUE(Metadata!H473))),Metadata!H473&gt;0))</f>
        <v>0</v>
      </c>
      <c r="AJ473">
        <f>AND(IF(Metadata!I473="",FALSE,TRUE),exact(Metadata!I473,"years"))</f>
        <v>0</v>
      </c>
      <c r="AK473">
        <f>IF(Metadata!J473="",FALSE,TRUE)</f>
        <v>0</v>
      </c>
      <c r="AL473">
        <f>OR(AND(IF(Metadata!K473="",FALSE,TRUE),OR(exact(Metadata!K473,"not collected"),exact(Metadata!K473,"not provided"))),AND(IF(Metadata!K473="",FALSE,ISNUMBER(VALUE(Metadata!K473))),Metadata!K473&gt;0))</f>
        <v>0</v>
      </c>
      <c r="AM473">
        <f>AND(IF(Metadata!L473="",FALSE,TRUE),exact(Metadata!L473,"cm"))</f>
        <v>0</v>
      </c>
      <c r="AN473">
        <f>IF(Metadata!M473="",FALSE,TRUE)</f>
        <v>0</v>
      </c>
      <c r="AO473">
        <f>OR(AND(IF(Metadata!N473="",FALSE,TRUE),OR(exact(Metadata!N473,"not applicable"),exact(Metadata!N473,"not collected"),exact(Metadata!N473,"not provided"))),AND(IF(Metadata!N473="",FALSE,IF(ISERROR(INT(Metadata!N473)),FALSE,INT(Metadata!N473)=Metadata!N473)),Metadata!N473&gt;0))</f>
        <v>0</v>
      </c>
      <c r="AP473">
        <f>OR(AND(IF(Metadata!O473="",FALSE,TRUE),OR(exact(Metadata!O473,"not collected"),exact(Metadata!O473,"not provided"))),AND(IF(Metadata!O473="",FALSE,ISNUMBER(VALUE(Metadata!O473))),Metadata!O473&gt;0))</f>
        <v>0</v>
      </c>
      <c r="AQ473">
        <f>AND(IF(Metadata!P473="",FALSE,TRUE),exact(Metadata!P473,"kg"))</f>
        <v>0</v>
      </c>
      <c r="AR473">
        <f>OR(AND(IF(Metadata!Q473="",FALSE,TRUE),OR(exact(Metadata!Q473,"not applicable"),exact(Metadata!Q473,"not collected"),exact(Metadata!Q473,"not provided"),exact(Metadata!Q473,"restricted access"))),IF(Metadata!Q473="",FALSE,IF(ISERROR(INT(Metadata!Q473)),FALSE,INT(Metadata!Q473)=Metadata!Q473)))</f>
        <v>0</v>
      </c>
      <c r="AS473">
        <f>AND(IF(Metadata!R473="",FALSE,TRUE),exact(Metadata!R473,"Not applicable"))</f>
        <v>0</v>
      </c>
    </row>
    <row r="474" spans="1:45">
      <c r="A474" s="4">
        <f>IF(B474=" "," ",HYPERLINK(CONCATENATE("#metadata!",ADDRESS(INDEX($X$2:$X$1001,MATCH(ROWS($V$2:V474),$V$2:$V$1001,0),0),2)),INDEX($AA$2:$AA$1001,MATCH(ROWS($V$2:V474),$V$2:$V$1001,0),0)))</f>
        <v>0</v>
      </c>
      <c r="B474" s="5">
        <f>IF(OR(INDEX($W$2:$W$1001,MATCH(ROWS($V$2:V474),$V$2:$V$1001,0),1)&gt;=100000,INDEX($AC$1005:$AS$1005,1,MATCH(COLUMNS($AC$1006:AC1006),$AC$1006:$AS$1006,0))&gt;=100000), " ",IF(INDEX($AC$2:$AS$1001,MATCH(ROWS($V$2:V474),$V$2:$V$1001,0),MATCH(COLUMNS($AC$1006:AC1006),$AC$1006:$AS$1006,0)), HYPERLINK("#",""), HYPERLINK(CONCATENATE("#Metadata!", ADDRESS(INDEX($X$2:$X$1001,MATCH(ROWS($V$2:V474),$V$2:$V$1001,0),0), INDEX($AC$1004:$AS$1004,1,MATCH(COLUMNS($AC$1006:AC1006),$AC$1006:$AS$1006,0)))),"Fix")))</f>
        <v>0</v>
      </c>
      <c r="C474" s="5">
        <f>IF(OR(INDEX($W$2:$W$1001,MATCH(ROWS($V$2:V474),$V$2:$V$1001,0),1)&gt;=100000,INDEX($AC$1005:$AS$1005,1,MATCH(COLUMNS($AC$1006:AD1006),$AC$1006:$AS$1006,0))&gt;=100000), " ",IF(INDEX($AC$2:$AS$1001,MATCH(ROWS($V$2:V474),$V$2:$V$1001,0),MATCH(COLUMNS($AC$1006:AD1006),$AC$1006:$AS$1006,0)), HYPERLINK("#",""), HYPERLINK(CONCATENATE("#Metadata!", ADDRESS(INDEX($X$2:$X$1001,MATCH(ROWS($V$2:V474),$V$2:$V$1001,0),0), INDEX($AC$1004:$AS$1004,1,MATCH(COLUMNS($AC$1006:AD1006),$AC$1006:$AS$1006,0)))),"Fix")))</f>
        <v>0</v>
      </c>
      <c r="D474" s="5">
        <f>IF(OR(INDEX($W$2:$W$1001,MATCH(ROWS($V$2:V474),$V$2:$V$1001,0),1)&gt;=100000,INDEX($AC$1005:$AS$1005,1,MATCH(COLUMNS($AC$1006:AE1006),$AC$1006:$AS$1006,0))&gt;=100000), " ",IF(INDEX($AC$2:$AS$1001,MATCH(ROWS($V$2:V474),$V$2:$V$1001,0),MATCH(COLUMNS($AC$1006:AE1006),$AC$1006:$AS$1006,0)), HYPERLINK("#",""), HYPERLINK(CONCATENATE("#Metadata!", ADDRESS(INDEX($X$2:$X$1001,MATCH(ROWS($V$2:V474),$V$2:$V$1001,0),0), INDEX($AC$1004:$AS$1004,1,MATCH(COLUMNS($AC$1006:AE1006),$AC$1006:$AS$1006,0)))),"Fix")))</f>
        <v>0</v>
      </c>
      <c r="E474" s="5">
        <f>IF(OR(INDEX($W$2:$W$1001,MATCH(ROWS($V$2:V474),$V$2:$V$1001,0),1)&gt;=100000,INDEX($AC$1005:$AS$1005,1,MATCH(COLUMNS($AC$1006:AF1006),$AC$1006:$AS$1006,0))&gt;=100000), " ",IF(INDEX($AC$2:$AS$1001,MATCH(ROWS($V$2:V474),$V$2:$V$1001,0),MATCH(COLUMNS($AC$1006:AF1006),$AC$1006:$AS$1006,0)), HYPERLINK("#",""), HYPERLINK(CONCATENATE("#Metadata!", ADDRESS(INDEX($X$2:$X$1001,MATCH(ROWS($V$2:V474),$V$2:$V$1001,0),0), INDEX($AC$1004:$AS$1004,1,MATCH(COLUMNS($AC$1006:AF1006),$AC$1006:$AS$1006,0)))),"Fix")))</f>
        <v>0</v>
      </c>
      <c r="F474" s="5">
        <f>IF(OR(INDEX($W$2:$W$1001,MATCH(ROWS($V$2:V474),$V$2:$V$1001,0),1)&gt;=100000,INDEX($AC$1005:$AS$1005,1,MATCH(COLUMNS($AC$1006:AG1006),$AC$1006:$AS$1006,0))&gt;=100000), " ",IF(INDEX($AC$2:$AS$1001,MATCH(ROWS($V$2:V474),$V$2:$V$1001,0),MATCH(COLUMNS($AC$1006:AG1006),$AC$1006:$AS$1006,0)), HYPERLINK("#",""), HYPERLINK(CONCATENATE("#Metadata!", ADDRESS(INDEX($X$2:$X$1001,MATCH(ROWS($V$2:V474),$V$2:$V$1001,0),0), INDEX($AC$1004:$AS$1004,1,MATCH(COLUMNS($AC$1006:AG1006),$AC$1006:$AS$1006,0)))),"Fix")))</f>
        <v>0</v>
      </c>
      <c r="G474" s="5">
        <f>IF(OR(INDEX($W$2:$W$1001,MATCH(ROWS($V$2:V474),$V$2:$V$1001,0),1)&gt;=100000,INDEX($AC$1005:$AS$1005,1,MATCH(COLUMNS($AC$1006:AH1006),$AC$1006:$AS$1006,0))&gt;=100000), " ",IF(INDEX($AC$2:$AS$1001,MATCH(ROWS($V$2:V474),$V$2:$V$1001,0),MATCH(COLUMNS($AC$1006:AH1006),$AC$1006:$AS$1006,0)), HYPERLINK("#",""), HYPERLINK(CONCATENATE("#Metadata!", ADDRESS(INDEX($X$2:$X$1001,MATCH(ROWS($V$2:V474),$V$2:$V$1001,0),0), INDEX($AC$1004:$AS$1004,1,MATCH(COLUMNS($AC$1006:AH1006),$AC$1006:$AS$1006,0)))),"Fix")))</f>
        <v>0</v>
      </c>
      <c r="H474" s="5">
        <f>IF(OR(INDEX($W$2:$W$1001,MATCH(ROWS($V$2:V474),$V$2:$V$1001,0),1)&gt;=100000,INDEX($AC$1005:$AS$1005,1,MATCH(COLUMNS($AC$1006:AI1006),$AC$1006:$AS$1006,0))&gt;=100000), " ",IF(INDEX($AC$2:$AS$1001,MATCH(ROWS($V$2:V474),$V$2:$V$1001,0),MATCH(COLUMNS($AC$1006:AI1006),$AC$1006:$AS$1006,0)), HYPERLINK("#",""), HYPERLINK(CONCATENATE("#Metadata!", ADDRESS(INDEX($X$2:$X$1001,MATCH(ROWS($V$2:V474),$V$2:$V$1001,0),0), INDEX($AC$1004:$AS$1004,1,MATCH(COLUMNS($AC$1006:AI1006),$AC$1006:$AS$1006,0)))),"Fix")))</f>
        <v>0</v>
      </c>
      <c r="I474" s="5">
        <f>IF(OR(INDEX($W$2:$W$1001,MATCH(ROWS($V$2:V474),$V$2:$V$1001,0),1)&gt;=100000,INDEX($AC$1005:$AS$1005,1,MATCH(COLUMNS($AC$1006:AJ1006),$AC$1006:$AS$1006,0))&gt;=100000), " ",IF(INDEX($AC$2:$AS$1001,MATCH(ROWS($V$2:V474),$V$2:$V$1001,0),MATCH(COLUMNS($AC$1006:AJ1006),$AC$1006:$AS$1006,0)), HYPERLINK("#",""), HYPERLINK(CONCATENATE("#Metadata!", ADDRESS(INDEX($X$2:$X$1001,MATCH(ROWS($V$2:V474),$V$2:$V$1001,0),0), INDEX($AC$1004:$AS$1004,1,MATCH(COLUMNS($AC$1006:AJ1006),$AC$1006:$AS$1006,0)))),"Fix")))</f>
        <v>0</v>
      </c>
      <c r="J474" s="5">
        <f>IF(OR(INDEX($W$2:$W$1001,MATCH(ROWS($V$2:V474),$V$2:$V$1001,0),1)&gt;=100000,INDEX($AC$1005:$AS$1005,1,MATCH(COLUMNS($AC$1006:AK1006),$AC$1006:$AS$1006,0))&gt;=100000), " ",IF(INDEX($AC$2:$AS$1001,MATCH(ROWS($V$2:V474),$V$2:$V$1001,0),MATCH(COLUMNS($AC$1006:AK1006),$AC$1006:$AS$1006,0)), HYPERLINK("#",""), HYPERLINK(CONCATENATE("#Metadata!", ADDRESS(INDEX($X$2:$X$1001,MATCH(ROWS($V$2:V474),$V$2:$V$1001,0),0), INDEX($AC$1004:$AS$1004,1,MATCH(COLUMNS($AC$1006:AK1006),$AC$1006:$AS$1006,0)))),"Fix")))</f>
        <v>0</v>
      </c>
      <c r="K474" s="5">
        <f>IF(OR(INDEX($W$2:$W$1001,MATCH(ROWS($V$2:V474),$V$2:$V$1001,0),1)&gt;=100000,INDEX($AC$1005:$AS$1005,1,MATCH(COLUMNS($AC$1006:AL1006),$AC$1006:$AS$1006,0))&gt;=100000), " ",IF(INDEX($AC$2:$AS$1001,MATCH(ROWS($V$2:V474),$V$2:$V$1001,0),MATCH(COLUMNS($AC$1006:AL1006),$AC$1006:$AS$1006,0)), HYPERLINK("#",""), HYPERLINK(CONCATENATE("#Metadata!", ADDRESS(INDEX($X$2:$X$1001,MATCH(ROWS($V$2:V474),$V$2:$V$1001,0),0), INDEX($AC$1004:$AS$1004,1,MATCH(COLUMNS($AC$1006:AL1006),$AC$1006:$AS$1006,0)))),"Fix")))</f>
        <v>0</v>
      </c>
      <c r="L474" s="5">
        <f>IF(OR(INDEX($W$2:$W$1001,MATCH(ROWS($V$2:V474),$V$2:$V$1001,0),1)&gt;=100000,INDEX($AC$1005:$AS$1005,1,MATCH(COLUMNS($AC$1006:AM1006),$AC$1006:$AS$1006,0))&gt;=100000), " ",IF(INDEX($AC$2:$AS$1001,MATCH(ROWS($V$2:V474),$V$2:$V$1001,0),MATCH(COLUMNS($AC$1006:AM1006),$AC$1006:$AS$1006,0)), HYPERLINK("#",""), HYPERLINK(CONCATENATE("#Metadata!", ADDRESS(INDEX($X$2:$X$1001,MATCH(ROWS($V$2:V474),$V$2:$V$1001,0),0), INDEX($AC$1004:$AS$1004,1,MATCH(COLUMNS($AC$1006:AM1006),$AC$1006:$AS$1006,0)))),"Fix")))</f>
        <v>0</v>
      </c>
      <c r="M474" s="5">
        <f>IF(OR(INDEX($W$2:$W$1001,MATCH(ROWS($V$2:V474),$V$2:$V$1001,0),1)&gt;=100000,INDEX($AC$1005:$AS$1005,1,MATCH(COLUMNS($AC$1006:AN1006),$AC$1006:$AS$1006,0))&gt;=100000), " ",IF(INDEX($AC$2:$AS$1001,MATCH(ROWS($V$2:V474),$V$2:$V$1001,0),MATCH(COLUMNS($AC$1006:AN1006),$AC$1006:$AS$1006,0)), HYPERLINK("#",""), HYPERLINK(CONCATENATE("#Metadata!", ADDRESS(INDEX($X$2:$X$1001,MATCH(ROWS($V$2:V474),$V$2:$V$1001,0),0), INDEX($AC$1004:$AS$1004,1,MATCH(COLUMNS($AC$1006:AN1006),$AC$1006:$AS$1006,0)))),"Fix")))</f>
        <v>0</v>
      </c>
      <c r="N474" s="5">
        <f>IF(OR(INDEX($W$2:$W$1001,MATCH(ROWS($V$2:V474),$V$2:$V$1001,0),1)&gt;=100000,INDEX($AC$1005:$AS$1005,1,MATCH(COLUMNS($AC$1006:AO1006),$AC$1006:$AS$1006,0))&gt;=100000), " ",IF(INDEX($AC$2:$AS$1001,MATCH(ROWS($V$2:V474),$V$2:$V$1001,0),MATCH(COLUMNS($AC$1006:AO1006),$AC$1006:$AS$1006,0)), HYPERLINK("#",""), HYPERLINK(CONCATENATE("#Metadata!", ADDRESS(INDEX($X$2:$X$1001,MATCH(ROWS($V$2:V474),$V$2:$V$1001,0),0), INDEX($AC$1004:$AS$1004,1,MATCH(COLUMNS($AC$1006:AO1006),$AC$1006:$AS$1006,0)))),"Fix")))</f>
        <v>0</v>
      </c>
      <c r="O474" s="5">
        <f>IF(OR(INDEX($W$2:$W$1001,MATCH(ROWS($V$2:V474),$V$2:$V$1001,0),1)&gt;=100000,INDEX($AC$1005:$AS$1005,1,MATCH(COLUMNS($AC$1006:AP1006),$AC$1006:$AS$1006,0))&gt;=100000), " ",IF(INDEX($AC$2:$AS$1001,MATCH(ROWS($V$2:V474),$V$2:$V$1001,0),MATCH(COLUMNS($AC$1006:AP1006),$AC$1006:$AS$1006,0)), HYPERLINK("#",""), HYPERLINK(CONCATENATE("#Metadata!", ADDRESS(INDEX($X$2:$X$1001,MATCH(ROWS($V$2:V474),$V$2:$V$1001,0),0), INDEX($AC$1004:$AS$1004,1,MATCH(COLUMNS($AC$1006:AP1006),$AC$1006:$AS$1006,0)))),"Fix")))</f>
        <v>0</v>
      </c>
      <c r="P474" s="5">
        <f>IF(OR(INDEX($W$2:$W$1001,MATCH(ROWS($V$2:V474),$V$2:$V$1001,0),1)&gt;=100000,INDEX($AC$1005:$AS$1005,1,MATCH(COLUMNS($AC$1006:AQ1006),$AC$1006:$AS$1006,0))&gt;=100000), " ",IF(INDEX($AC$2:$AS$1001,MATCH(ROWS($V$2:V474),$V$2:$V$1001,0),MATCH(COLUMNS($AC$1006:AQ1006),$AC$1006:$AS$1006,0)), HYPERLINK("#",""), HYPERLINK(CONCATENATE("#Metadata!", ADDRESS(INDEX($X$2:$X$1001,MATCH(ROWS($V$2:V474),$V$2:$V$1001,0),0), INDEX($AC$1004:$AS$1004,1,MATCH(COLUMNS($AC$1006:AQ1006),$AC$1006:$AS$1006,0)))),"Fix")))</f>
        <v>0</v>
      </c>
      <c r="Q474" s="5">
        <f>IF(OR(INDEX($W$2:$W$1001,MATCH(ROWS($V$2:V474),$V$2:$V$1001,0),1)&gt;=100000,INDEX($AC$1005:$AS$1005,1,MATCH(COLUMNS($AC$1006:AR1006),$AC$1006:$AS$1006,0))&gt;=100000), " ",IF(INDEX($AC$2:$AS$1001,MATCH(ROWS($V$2:V474),$V$2:$V$1001,0),MATCH(COLUMNS($AC$1006:AR1006),$AC$1006:$AS$1006,0)), HYPERLINK("#",""), HYPERLINK(CONCATENATE("#Metadata!", ADDRESS(INDEX($X$2:$X$1001,MATCH(ROWS($V$2:V474),$V$2:$V$1001,0),0), INDEX($AC$1004:$AS$1004,1,MATCH(COLUMNS($AC$1006:AR1006),$AC$1006:$AS$1006,0)))),"Fix")))</f>
        <v>0</v>
      </c>
      <c r="R474" s="5">
        <f>IF(OR(INDEX($W$2:$W$1001,MATCH(ROWS($V$2:V474),$V$2:$V$1001,0),1)&gt;=100000,INDEX($AC$1005:$AS$1005,1,MATCH(COLUMNS($AC$1006:AS1006),$AC$1006:$AS$1006,0))&gt;=100000), " ",IF(INDEX($AC$2:$AS$1001,MATCH(ROWS($V$2:V474),$V$2:$V$1001,0),MATCH(COLUMNS($AC$1006:AS1006),$AC$1006:$AS$1006,0)), HYPERLINK("#",""), HYPERLINK(CONCATENATE("#Metadata!", ADDRESS(INDEX($X$2:$X$1001,MATCH(ROWS($V$2:V474),$V$2:$V$1001,0),0), INDEX($AC$1004:$AS$1004,1,MATCH(COLUMNS($AC$1006:AS1006),$AC$1006:$AS$1006,0)))),"Fix")))</f>
        <v>0</v>
      </c>
      <c r="V474">
        <v>0</v>
      </c>
      <c r="W474">
        <v>0</v>
      </c>
      <c r="X474">
        <v>0</v>
      </c>
      <c r="Y474">
        <f>IF(Z474,TRUE,AND(AC474:AS474))</f>
        <v>0</v>
      </c>
      <c r="Z474">
        <f>COUNTBLANK(Metadata!B474:R474)=COLUMNS(Metadata!B474:R474)</f>
        <v>0</v>
      </c>
      <c r="AA474">
        <v>0</v>
      </c>
      <c r="AC474">
        <f>AND(IF(Metadata!B474="",FALSE,TRUE),COUNTIF(Metadata!B:B, Metadata!B474) = 1,NOT(ISERROR(SUMPRODUCT(SEARCH(MID(Metadata!B474,ROW(INDIRECT("1:"&amp;LEN(Metadata!B474))), 1),"0123456789abcdefghijklmnopqrstuvwxyzABCDEFGHIJKLMNOPQRSTUVWXYZ.")))))</f>
        <v>0</v>
      </c>
      <c r="AD474">
        <f>AND(IF(Metadata!C474="",FALSE,TRUE),exact(Metadata!C474,"Host-associated"))</f>
        <v>0</v>
      </c>
      <c r="AE474">
        <f>AND(IF(Metadata!D474="",FALSE,TRUE),OR(exact(Metadata!D474,"Animal"),exact(Metadata!D474,"Fungus"),exact(Metadata!D474,"Plant")))</f>
        <v>0</v>
      </c>
      <c r="AF474">
        <f>AND(IF(Metadata!E474="",FALSE,TRUE),OR(exact(Metadata!E474,"Plant secretion"),exact(Metadata!E474,"Plant rhizosphere"),exact(Metadata!E474,"Plant surface"),exact(Metadata!E474,"Plant corpus"),exact(Metadata!E474,"Fungus surface"),exact(Metadata!E474,"Fungus corpus"),exact(Metadata!E474,"Animal surface"),exact(Metadata!E474,"Animal proximal gut"),exact(Metadata!E474,"Animal corpus"),exact(Metadata!E474,"Animal distal gut"),exact(Metadata!E474,"Animal secretion")))</f>
        <v>0</v>
      </c>
      <c r="AG474">
        <f>OR(AND(IF(Metadata!F474="",FALSE,TRUE),OR(exact(Metadata!F474,"not collected"),exact(Metadata!F474,"not provided"),exact(Metadata!F474,"restricted access"))),AND(IF(Metadata!F474="",FALSE,TRUE),OR(exact(Metadata!F474,"organism-associated habitat"),exact(Metadata!F474,"plant-associated habitat"),exact(Metadata!F474,"animal-associated habitat"),exact(Metadata!F474,"insecta-associated habitat"),exact(Metadata!F474,"mammalia-associated habitat"),exact(Metadata!F474,"human-associated habitat"),exact(Metadata!F474,"livestock-associated habitat"))))</f>
        <v>0</v>
      </c>
      <c r="AH474">
        <f>AND(IF(Metadata!G474="",FALSE,TRUE),exact(Metadata!G474,"host-associated"))</f>
        <v>0</v>
      </c>
      <c r="AI474">
        <f>OR(AND(IF(Metadata!H474="",FALSE,TRUE),OR(exact(Metadata!H474,"not collected"),exact(Metadata!H474,"not provided"))),AND(IF(Metadata!H474="",FALSE,ISNUMBER(VALUE(Metadata!H474))),Metadata!H474&gt;0))</f>
        <v>0</v>
      </c>
      <c r="AJ474">
        <f>AND(IF(Metadata!I474="",FALSE,TRUE),exact(Metadata!I474,"years"))</f>
        <v>0</v>
      </c>
      <c r="AK474">
        <f>IF(Metadata!J474="",FALSE,TRUE)</f>
        <v>0</v>
      </c>
      <c r="AL474">
        <f>OR(AND(IF(Metadata!K474="",FALSE,TRUE),OR(exact(Metadata!K474,"not collected"),exact(Metadata!K474,"not provided"))),AND(IF(Metadata!K474="",FALSE,ISNUMBER(VALUE(Metadata!K474))),Metadata!K474&gt;0))</f>
        <v>0</v>
      </c>
      <c r="AM474">
        <f>AND(IF(Metadata!L474="",FALSE,TRUE),exact(Metadata!L474,"cm"))</f>
        <v>0</v>
      </c>
      <c r="AN474">
        <f>IF(Metadata!M474="",FALSE,TRUE)</f>
        <v>0</v>
      </c>
      <c r="AO474">
        <f>OR(AND(IF(Metadata!N474="",FALSE,TRUE),OR(exact(Metadata!N474,"not applicable"),exact(Metadata!N474,"not collected"),exact(Metadata!N474,"not provided"))),AND(IF(Metadata!N474="",FALSE,IF(ISERROR(INT(Metadata!N474)),FALSE,INT(Metadata!N474)=Metadata!N474)),Metadata!N474&gt;0))</f>
        <v>0</v>
      </c>
      <c r="AP474">
        <f>OR(AND(IF(Metadata!O474="",FALSE,TRUE),OR(exact(Metadata!O474,"not collected"),exact(Metadata!O474,"not provided"))),AND(IF(Metadata!O474="",FALSE,ISNUMBER(VALUE(Metadata!O474))),Metadata!O474&gt;0))</f>
        <v>0</v>
      </c>
      <c r="AQ474">
        <f>AND(IF(Metadata!P474="",FALSE,TRUE),exact(Metadata!P474,"kg"))</f>
        <v>0</v>
      </c>
      <c r="AR474">
        <f>OR(AND(IF(Metadata!Q474="",FALSE,TRUE),OR(exact(Metadata!Q474,"not applicable"),exact(Metadata!Q474,"not collected"),exact(Metadata!Q474,"not provided"),exact(Metadata!Q474,"restricted access"))),IF(Metadata!Q474="",FALSE,IF(ISERROR(INT(Metadata!Q474)),FALSE,INT(Metadata!Q474)=Metadata!Q474)))</f>
        <v>0</v>
      </c>
      <c r="AS474">
        <f>AND(IF(Metadata!R474="",FALSE,TRUE),exact(Metadata!R474,"Not applicable"))</f>
        <v>0</v>
      </c>
    </row>
    <row r="475" spans="1:45">
      <c r="A475" s="4">
        <f>IF(B475=" "," ",HYPERLINK(CONCATENATE("#metadata!",ADDRESS(INDEX($X$2:$X$1001,MATCH(ROWS($V$2:V475),$V$2:$V$1001,0),0),2)),INDEX($AA$2:$AA$1001,MATCH(ROWS($V$2:V475),$V$2:$V$1001,0),0)))</f>
        <v>0</v>
      </c>
      <c r="B475" s="5">
        <f>IF(OR(INDEX($W$2:$W$1001,MATCH(ROWS($V$2:V475),$V$2:$V$1001,0),1)&gt;=100000,INDEX($AC$1005:$AS$1005,1,MATCH(COLUMNS($AC$1006:AC1006),$AC$1006:$AS$1006,0))&gt;=100000), " ",IF(INDEX($AC$2:$AS$1001,MATCH(ROWS($V$2:V475),$V$2:$V$1001,0),MATCH(COLUMNS($AC$1006:AC1006),$AC$1006:$AS$1006,0)), HYPERLINK("#",""), HYPERLINK(CONCATENATE("#Metadata!", ADDRESS(INDEX($X$2:$X$1001,MATCH(ROWS($V$2:V475),$V$2:$V$1001,0),0), INDEX($AC$1004:$AS$1004,1,MATCH(COLUMNS($AC$1006:AC1006),$AC$1006:$AS$1006,0)))),"Fix")))</f>
        <v>0</v>
      </c>
      <c r="C475" s="5">
        <f>IF(OR(INDEX($W$2:$W$1001,MATCH(ROWS($V$2:V475),$V$2:$V$1001,0),1)&gt;=100000,INDEX($AC$1005:$AS$1005,1,MATCH(COLUMNS($AC$1006:AD1006),$AC$1006:$AS$1006,0))&gt;=100000), " ",IF(INDEX($AC$2:$AS$1001,MATCH(ROWS($V$2:V475),$V$2:$V$1001,0),MATCH(COLUMNS($AC$1006:AD1006),$AC$1006:$AS$1006,0)), HYPERLINK("#",""), HYPERLINK(CONCATENATE("#Metadata!", ADDRESS(INDEX($X$2:$X$1001,MATCH(ROWS($V$2:V475),$V$2:$V$1001,0),0), INDEX($AC$1004:$AS$1004,1,MATCH(COLUMNS($AC$1006:AD1006),$AC$1006:$AS$1006,0)))),"Fix")))</f>
        <v>0</v>
      </c>
      <c r="D475" s="5">
        <f>IF(OR(INDEX($W$2:$W$1001,MATCH(ROWS($V$2:V475),$V$2:$V$1001,0),1)&gt;=100000,INDEX($AC$1005:$AS$1005,1,MATCH(COLUMNS($AC$1006:AE1006),$AC$1006:$AS$1006,0))&gt;=100000), " ",IF(INDEX($AC$2:$AS$1001,MATCH(ROWS($V$2:V475),$V$2:$V$1001,0),MATCH(COLUMNS($AC$1006:AE1006),$AC$1006:$AS$1006,0)), HYPERLINK("#",""), HYPERLINK(CONCATENATE("#Metadata!", ADDRESS(INDEX($X$2:$X$1001,MATCH(ROWS($V$2:V475),$V$2:$V$1001,0),0), INDEX($AC$1004:$AS$1004,1,MATCH(COLUMNS($AC$1006:AE1006),$AC$1006:$AS$1006,0)))),"Fix")))</f>
        <v>0</v>
      </c>
      <c r="E475" s="5">
        <f>IF(OR(INDEX($W$2:$W$1001,MATCH(ROWS($V$2:V475),$V$2:$V$1001,0),1)&gt;=100000,INDEX($AC$1005:$AS$1005,1,MATCH(COLUMNS($AC$1006:AF1006),$AC$1006:$AS$1006,0))&gt;=100000), " ",IF(INDEX($AC$2:$AS$1001,MATCH(ROWS($V$2:V475),$V$2:$V$1001,0),MATCH(COLUMNS($AC$1006:AF1006),$AC$1006:$AS$1006,0)), HYPERLINK("#",""), HYPERLINK(CONCATENATE("#Metadata!", ADDRESS(INDEX($X$2:$X$1001,MATCH(ROWS($V$2:V475),$V$2:$V$1001,0),0), INDEX($AC$1004:$AS$1004,1,MATCH(COLUMNS($AC$1006:AF1006),$AC$1006:$AS$1006,0)))),"Fix")))</f>
        <v>0</v>
      </c>
      <c r="F475" s="5">
        <f>IF(OR(INDEX($W$2:$W$1001,MATCH(ROWS($V$2:V475),$V$2:$V$1001,0),1)&gt;=100000,INDEX($AC$1005:$AS$1005,1,MATCH(COLUMNS($AC$1006:AG1006),$AC$1006:$AS$1006,0))&gt;=100000), " ",IF(INDEX($AC$2:$AS$1001,MATCH(ROWS($V$2:V475),$V$2:$V$1001,0),MATCH(COLUMNS($AC$1006:AG1006),$AC$1006:$AS$1006,0)), HYPERLINK("#",""), HYPERLINK(CONCATENATE("#Metadata!", ADDRESS(INDEX($X$2:$X$1001,MATCH(ROWS($V$2:V475),$V$2:$V$1001,0),0), INDEX($AC$1004:$AS$1004,1,MATCH(COLUMNS($AC$1006:AG1006),$AC$1006:$AS$1006,0)))),"Fix")))</f>
        <v>0</v>
      </c>
      <c r="G475" s="5">
        <f>IF(OR(INDEX($W$2:$W$1001,MATCH(ROWS($V$2:V475),$V$2:$V$1001,0),1)&gt;=100000,INDEX($AC$1005:$AS$1005,1,MATCH(COLUMNS($AC$1006:AH1006),$AC$1006:$AS$1006,0))&gt;=100000), " ",IF(INDEX($AC$2:$AS$1001,MATCH(ROWS($V$2:V475),$V$2:$V$1001,0),MATCH(COLUMNS($AC$1006:AH1006),$AC$1006:$AS$1006,0)), HYPERLINK("#",""), HYPERLINK(CONCATENATE("#Metadata!", ADDRESS(INDEX($X$2:$X$1001,MATCH(ROWS($V$2:V475),$V$2:$V$1001,0),0), INDEX($AC$1004:$AS$1004,1,MATCH(COLUMNS($AC$1006:AH1006),$AC$1006:$AS$1006,0)))),"Fix")))</f>
        <v>0</v>
      </c>
      <c r="H475" s="5">
        <f>IF(OR(INDEX($W$2:$W$1001,MATCH(ROWS($V$2:V475),$V$2:$V$1001,0),1)&gt;=100000,INDEX($AC$1005:$AS$1005,1,MATCH(COLUMNS($AC$1006:AI1006),$AC$1006:$AS$1006,0))&gt;=100000), " ",IF(INDEX($AC$2:$AS$1001,MATCH(ROWS($V$2:V475),$V$2:$V$1001,0),MATCH(COLUMNS($AC$1006:AI1006),$AC$1006:$AS$1006,0)), HYPERLINK("#",""), HYPERLINK(CONCATENATE("#Metadata!", ADDRESS(INDEX($X$2:$X$1001,MATCH(ROWS($V$2:V475),$V$2:$V$1001,0),0), INDEX($AC$1004:$AS$1004,1,MATCH(COLUMNS($AC$1006:AI1006),$AC$1006:$AS$1006,0)))),"Fix")))</f>
        <v>0</v>
      </c>
      <c r="I475" s="5">
        <f>IF(OR(INDEX($W$2:$W$1001,MATCH(ROWS($V$2:V475),$V$2:$V$1001,0),1)&gt;=100000,INDEX($AC$1005:$AS$1005,1,MATCH(COLUMNS($AC$1006:AJ1006),$AC$1006:$AS$1006,0))&gt;=100000), " ",IF(INDEX($AC$2:$AS$1001,MATCH(ROWS($V$2:V475),$V$2:$V$1001,0),MATCH(COLUMNS($AC$1006:AJ1006),$AC$1006:$AS$1006,0)), HYPERLINK("#",""), HYPERLINK(CONCATENATE("#Metadata!", ADDRESS(INDEX($X$2:$X$1001,MATCH(ROWS($V$2:V475),$V$2:$V$1001,0),0), INDEX($AC$1004:$AS$1004,1,MATCH(COLUMNS($AC$1006:AJ1006),$AC$1006:$AS$1006,0)))),"Fix")))</f>
        <v>0</v>
      </c>
      <c r="J475" s="5">
        <f>IF(OR(INDEX($W$2:$W$1001,MATCH(ROWS($V$2:V475),$V$2:$V$1001,0),1)&gt;=100000,INDEX($AC$1005:$AS$1005,1,MATCH(COLUMNS($AC$1006:AK1006),$AC$1006:$AS$1006,0))&gt;=100000), " ",IF(INDEX($AC$2:$AS$1001,MATCH(ROWS($V$2:V475),$V$2:$V$1001,0),MATCH(COLUMNS($AC$1006:AK1006),$AC$1006:$AS$1006,0)), HYPERLINK("#",""), HYPERLINK(CONCATENATE("#Metadata!", ADDRESS(INDEX($X$2:$X$1001,MATCH(ROWS($V$2:V475),$V$2:$V$1001,0),0), INDEX($AC$1004:$AS$1004,1,MATCH(COLUMNS($AC$1006:AK1006),$AC$1006:$AS$1006,0)))),"Fix")))</f>
        <v>0</v>
      </c>
      <c r="K475" s="5">
        <f>IF(OR(INDEX($W$2:$W$1001,MATCH(ROWS($V$2:V475),$V$2:$V$1001,0),1)&gt;=100000,INDEX($AC$1005:$AS$1005,1,MATCH(COLUMNS($AC$1006:AL1006),$AC$1006:$AS$1006,0))&gt;=100000), " ",IF(INDEX($AC$2:$AS$1001,MATCH(ROWS($V$2:V475),$V$2:$V$1001,0),MATCH(COLUMNS($AC$1006:AL1006),$AC$1006:$AS$1006,0)), HYPERLINK("#",""), HYPERLINK(CONCATENATE("#Metadata!", ADDRESS(INDEX($X$2:$X$1001,MATCH(ROWS($V$2:V475),$V$2:$V$1001,0),0), INDEX($AC$1004:$AS$1004,1,MATCH(COLUMNS($AC$1006:AL1006),$AC$1006:$AS$1006,0)))),"Fix")))</f>
        <v>0</v>
      </c>
      <c r="L475" s="5">
        <f>IF(OR(INDEX($W$2:$W$1001,MATCH(ROWS($V$2:V475),$V$2:$V$1001,0),1)&gt;=100000,INDEX($AC$1005:$AS$1005,1,MATCH(COLUMNS($AC$1006:AM1006),$AC$1006:$AS$1006,0))&gt;=100000), " ",IF(INDEX($AC$2:$AS$1001,MATCH(ROWS($V$2:V475),$V$2:$V$1001,0),MATCH(COLUMNS($AC$1006:AM1006),$AC$1006:$AS$1006,0)), HYPERLINK("#",""), HYPERLINK(CONCATENATE("#Metadata!", ADDRESS(INDEX($X$2:$X$1001,MATCH(ROWS($V$2:V475),$V$2:$V$1001,0),0), INDEX($AC$1004:$AS$1004,1,MATCH(COLUMNS($AC$1006:AM1006),$AC$1006:$AS$1006,0)))),"Fix")))</f>
        <v>0</v>
      </c>
      <c r="M475" s="5">
        <f>IF(OR(INDEX($W$2:$W$1001,MATCH(ROWS($V$2:V475),$V$2:$V$1001,0),1)&gt;=100000,INDEX($AC$1005:$AS$1005,1,MATCH(COLUMNS($AC$1006:AN1006),$AC$1006:$AS$1006,0))&gt;=100000), " ",IF(INDEX($AC$2:$AS$1001,MATCH(ROWS($V$2:V475),$V$2:$V$1001,0),MATCH(COLUMNS($AC$1006:AN1006),$AC$1006:$AS$1006,0)), HYPERLINK("#",""), HYPERLINK(CONCATENATE("#Metadata!", ADDRESS(INDEX($X$2:$X$1001,MATCH(ROWS($V$2:V475),$V$2:$V$1001,0),0), INDEX($AC$1004:$AS$1004,1,MATCH(COLUMNS($AC$1006:AN1006),$AC$1006:$AS$1006,0)))),"Fix")))</f>
        <v>0</v>
      </c>
      <c r="N475" s="5">
        <f>IF(OR(INDEX($W$2:$W$1001,MATCH(ROWS($V$2:V475),$V$2:$V$1001,0),1)&gt;=100000,INDEX($AC$1005:$AS$1005,1,MATCH(COLUMNS($AC$1006:AO1006),$AC$1006:$AS$1006,0))&gt;=100000), " ",IF(INDEX($AC$2:$AS$1001,MATCH(ROWS($V$2:V475),$V$2:$V$1001,0),MATCH(COLUMNS($AC$1006:AO1006),$AC$1006:$AS$1006,0)), HYPERLINK("#",""), HYPERLINK(CONCATENATE("#Metadata!", ADDRESS(INDEX($X$2:$X$1001,MATCH(ROWS($V$2:V475),$V$2:$V$1001,0),0), INDEX($AC$1004:$AS$1004,1,MATCH(COLUMNS($AC$1006:AO1006),$AC$1006:$AS$1006,0)))),"Fix")))</f>
        <v>0</v>
      </c>
      <c r="O475" s="5">
        <f>IF(OR(INDEX($W$2:$W$1001,MATCH(ROWS($V$2:V475),$V$2:$V$1001,0),1)&gt;=100000,INDEX($AC$1005:$AS$1005,1,MATCH(COLUMNS($AC$1006:AP1006),$AC$1006:$AS$1006,0))&gt;=100000), " ",IF(INDEX($AC$2:$AS$1001,MATCH(ROWS($V$2:V475),$V$2:$V$1001,0),MATCH(COLUMNS($AC$1006:AP1006),$AC$1006:$AS$1006,0)), HYPERLINK("#",""), HYPERLINK(CONCATENATE("#Metadata!", ADDRESS(INDEX($X$2:$X$1001,MATCH(ROWS($V$2:V475),$V$2:$V$1001,0),0), INDEX($AC$1004:$AS$1004,1,MATCH(COLUMNS($AC$1006:AP1006),$AC$1006:$AS$1006,0)))),"Fix")))</f>
        <v>0</v>
      </c>
      <c r="P475" s="5">
        <f>IF(OR(INDEX($W$2:$W$1001,MATCH(ROWS($V$2:V475),$V$2:$V$1001,0),1)&gt;=100000,INDEX($AC$1005:$AS$1005,1,MATCH(COLUMNS($AC$1006:AQ1006),$AC$1006:$AS$1006,0))&gt;=100000), " ",IF(INDEX($AC$2:$AS$1001,MATCH(ROWS($V$2:V475),$V$2:$V$1001,0),MATCH(COLUMNS($AC$1006:AQ1006),$AC$1006:$AS$1006,0)), HYPERLINK("#",""), HYPERLINK(CONCATENATE("#Metadata!", ADDRESS(INDEX($X$2:$X$1001,MATCH(ROWS($V$2:V475),$V$2:$V$1001,0),0), INDEX($AC$1004:$AS$1004,1,MATCH(COLUMNS($AC$1006:AQ1006),$AC$1006:$AS$1006,0)))),"Fix")))</f>
        <v>0</v>
      </c>
      <c r="Q475" s="5">
        <f>IF(OR(INDEX($W$2:$W$1001,MATCH(ROWS($V$2:V475),$V$2:$V$1001,0),1)&gt;=100000,INDEX($AC$1005:$AS$1005,1,MATCH(COLUMNS($AC$1006:AR1006),$AC$1006:$AS$1006,0))&gt;=100000), " ",IF(INDEX($AC$2:$AS$1001,MATCH(ROWS($V$2:V475),$V$2:$V$1001,0),MATCH(COLUMNS($AC$1006:AR1006),$AC$1006:$AS$1006,0)), HYPERLINK("#",""), HYPERLINK(CONCATENATE("#Metadata!", ADDRESS(INDEX($X$2:$X$1001,MATCH(ROWS($V$2:V475),$V$2:$V$1001,0),0), INDEX($AC$1004:$AS$1004,1,MATCH(COLUMNS($AC$1006:AR1006),$AC$1006:$AS$1006,0)))),"Fix")))</f>
        <v>0</v>
      </c>
      <c r="R475" s="5">
        <f>IF(OR(INDEX($W$2:$W$1001,MATCH(ROWS($V$2:V475),$V$2:$V$1001,0),1)&gt;=100000,INDEX($AC$1005:$AS$1005,1,MATCH(COLUMNS($AC$1006:AS1006),$AC$1006:$AS$1006,0))&gt;=100000), " ",IF(INDEX($AC$2:$AS$1001,MATCH(ROWS($V$2:V475),$V$2:$V$1001,0),MATCH(COLUMNS($AC$1006:AS1006),$AC$1006:$AS$1006,0)), HYPERLINK("#",""), HYPERLINK(CONCATENATE("#Metadata!", ADDRESS(INDEX($X$2:$X$1001,MATCH(ROWS($V$2:V475),$V$2:$V$1001,0),0), INDEX($AC$1004:$AS$1004,1,MATCH(COLUMNS($AC$1006:AS1006),$AC$1006:$AS$1006,0)))),"Fix")))</f>
        <v>0</v>
      </c>
      <c r="V475">
        <v>0</v>
      </c>
      <c r="W475">
        <v>0</v>
      </c>
      <c r="X475">
        <v>0</v>
      </c>
      <c r="Y475">
        <f>IF(Z475,TRUE,AND(AC475:AS475))</f>
        <v>0</v>
      </c>
      <c r="Z475">
        <f>COUNTBLANK(Metadata!B475:R475)=COLUMNS(Metadata!B475:R475)</f>
        <v>0</v>
      </c>
      <c r="AA475">
        <v>0</v>
      </c>
      <c r="AC475">
        <f>AND(IF(Metadata!B475="",FALSE,TRUE),COUNTIF(Metadata!B:B, Metadata!B475) = 1,NOT(ISERROR(SUMPRODUCT(SEARCH(MID(Metadata!B475,ROW(INDIRECT("1:"&amp;LEN(Metadata!B475))), 1),"0123456789abcdefghijklmnopqrstuvwxyzABCDEFGHIJKLMNOPQRSTUVWXYZ.")))))</f>
        <v>0</v>
      </c>
      <c r="AD475">
        <f>AND(IF(Metadata!C475="",FALSE,TRUE),exact(Metadata!C475,"Host-associated"))</f>
        <v>0</v>
      </c>
      <c r="AE475">
        <f>AND(IF(Metadata!D475="",FALSE,TRUE),OR(exact(Metadata!D475,"Animal"),exact(Metadata!D475,"Fungus"),exact(Metadata!D475,"Plant")))</f>
        <v>0</v>
      </c>
      <c r="AF475">
        <f>AND(IF(Metadata!E475="",FALSE,TRUE),OR(exact(Metadata!E475,"Plant secretion"),exact(Metadata!E475,"Plant rhizosphere"),exact(Metadata!E475,"Plant surface"),exact(Metadata!E475,"Plant corpus"),exact(Metadata!E475,"Fungus surface"),exact(Metadata!E475,"Fungus corpus"),exact(Metadata!E475,"Animal surface"),exact(Metadata!E475,"Animal proximal gut"),exact(Metadata!E475,"Animal corpus"),exact(Metadata!E475,"Animal distal gut"),exact(Metadata!E475,"Animal secretion")))</f>
        <v>0</v>
      </c>
      <c r="AG475">
        <f>OR(AND(IF(Metadata!F475="",FALSE,TRUE),OR(exact(Metadata!F475,"not collected"),exact(Metadata!F475,"not provided"),exact(Metadata!F475,"restricted access"))),AND(IF(Metadata!F475="",FALSE,TRUE),OR(exact(Metadata!F475,"organism-associated habitat"),exact(Metadata!F475,"plant-associated habitat"),exact(Metadata!F475,"animal-associated habitat"),exact(Metadata!F475,"insecta-associated habitat"),exact(Metadata!F475,"mammalia-associated habitat"),exact(Metadata!F475,"human-associated habitat"),exact(Metadata!F475,"livestock-associated habitat"))))</f>
        <v>0</v>
      </c>
      <c r="AH475">
        <f>AND(IF(Metadata!G475="",FALSE,TRUE),exact(Metadata!G475,"host-associated"))</f>
        <v>0</v>
      </c>
      <c r="AI475">
        <f>OR(AND(IF(Metadata!H475="",FALSE,TRUE),OR(exact(Metadata!H475,"not collected"),exact(Metadata!H475,"not provided"))),AND(IF(Metadata!H475="",FALSE,ISNUMBER(VALUE(Metadata!H475))),Metadata!H475&gt;0))</f>
        <v>0</v>
      </c>
      <c r="AJ475">
        <f>AND(IF(Metadata!I475="",FALSE,TRUE),exact(Metadata!I475,"years"))</f>
        <v>0</v>
      </c>
      <c r="AK475">
        <f>IF(Metadata!J475="",FALSE,TRUE)</f>
        <v>0</v>
      </c>
      <c r="AL475">
        <f>OR(AND(IF(Metadata!K475="",FALSE,TRUE),OR(exact(Metadata!K475,"not collected"),exact(Metadata!K475,"not provided"))),AND(IF(Metadata!K475="",FALSE,ISNUMBER(VALUE(Metadata!K475))),Metadata!K475&gt;0))</f>
        <v>0</v>
      </c>
      <c r="AM475">
        <f>AND(IF(Metadata!L475="",FALSE,TRUE),exact(Metadata!L475,"cm"))</f>
        <v>0</v>
      </c>
      <c r="AN475">
        <f>IF(Metadata!M475="",FALSE,TRUE)</f>
        <v>0</v>
      </c>
      <c r="AO475">
        <f>OR(AND(IF(Metadata!N475="",FALSE,TRUE),OR(exact(Metadata!N475,"not applicable"),exact(Metadata!N475,"not collected"),exact(Metadata!N475,"not provided"))),AND(IF(Metadata!N475="",FALSE,IF(ISERROR(INT(Metadata!N475)),FALSE,INT(Metadata!N475)=Metadata!N475)),Metadata!N475&gt;0))</f>
        <v>0</v>
      </c>
      <c r="AP475">
        <f>OR(AND(IF(Metadata!O475="",FALSE,TRUE),OR(exact(Metadata!O475,"not collected"),exact(Metadata!O475,"not provided"))),AND(IF(Metadata!O475="",FALSE,ISNUMBER(VALUE(Metadata!O475))),Metadata!O475&gt;0))</f>
        <v>0</v>
      </c>
      <c r="AQ475">
        <f>AND(IF(Metadata!P475="",FALSE,TRUE),exact(Metadata!P475,"kg"))</f>
        <v>0</v>
      </c>
      <c r="AR475">
        <f>OR(AND(IF(Metadata!Q475="",FALSE,TRUE),OR(exact(Metadata!Q475,"not applicable"),exact(Metadata!Q475,"not collected"),exact(Metadata!Q475,"not provided"),exact(Metadata!Q475,"restricted access"))),IF(Metadata!Q475="",FALSE,IF(ISERROR(INT(Metadata!Q475)),FALSE,INT(Metadata!Q475)=Metadata!Q475)))</f>
        <v>0</v>
      </c>
      <c r="AS475">
        <f>AND(IF(Metadata!R475="",FALSE,TRUE),exact(Metadata!R475,"Not applicable"))</f>
        <v>0</v>
      </c>
    </row>
    <row r="476" spans="1:45">
      <c r="A476" s="4">
        <f>IF(B476=" "," ",HYPERLINK(CONCATENATE("#metadata!",ADDRESS(INDEX($X$2:$X$1001,MATCH(ROWS($V$2:V476),$V$2:$V$1001,0),0),2)),INDEX($AA$2:$AA$1001,MATCH(ROWS($V$2:V476),$V$2:$V$1001,0),0)))</f>
        <v>0</v>
      </c>
      <c r="B476" s="5">
        <f>IF(OR(INDEX($W$2:$W$1001,MATCH(ROWS($V$2:V476),$V$2:$V$1001,0),1)&gt;=100000,INDEX($AC$1005:$AS$1005,1,MATCH(COLUMNS($AC$1006:AC1006),$AC$1006:$AS$1006,0))&gt;=100000), " ",IF(INDEX($AC$2:$AS$1001,MATCH(ROWS($V$2:V476),$V$2:$V$1001,0),MATCH(COLUMNS($AC$1006:AC1006),$AC$1006:$AS$1006,0)), HYPERLINK("#",""), HYPERLINK(CONCATENATE("#Metadata!", ADDRESS(INDEX($X$2:$X$1001,MATCH(ROWS($V$2:V476),$V$2:$V$1001,0),0), INDEX($AC$1004:$AS$1004,1,MATCH(COLUMNS($AC$1006:AC1006),$AC$1006:$AS$1006,0)))),"Fix")))</f>
        <v>0</v>
      </c>
      <c r="C476" s="5">
        <f>IF(OR(INDEX($W$2:$W$1001,MATCH(ROWS($V$2:V476),$V$2:$V$1001,0),1)&gt;=100000,INDEX($AC$1005:$AS$1005,1,MATCH(COLUMNS($AC$1006:AD1006),$AC$1006:$AS$1006,0))&gt;=100000), " ",IF(INDEX($AC$2:$AS$1001,MATCH(ROWS($V$2:V476),$V$2:$V$1001,0),MATCH(COLUMNS($AC$1006:AD1006),$AC$1006:$AS$1006,0)), HYPERLINK("#",""), HYPERLINK(CONCATENATE("#Metadata!", ADDRESS(INDEX($X$2:$X$1001,MATCH(ROWS($V$2:V476),$V$2:$V$1001,0),0), INDEX($AC$1004:$AS$1004,1,MATCH(COLUMNS($AC$1006:AD1006),$AC$1006:$AS$1006,0)))),"Fix")))</f>
        <v>0</v>
      </c>
      <c r="D476" s="5">
        <f>IF(OR(INDEX($W$2:$W$1001,MATCH(ROWS($V$2:V476),$V$2:$V$1001,0),1)&gt;=100000,INDEX($AC$1005:$AS$1005,1,MATCH(COLUMNS($AC$1006:AE1006),$AC$1006:$AS$1006,0))&gt;=100000), " ",IF(INDEX($AC$2:$AS$1001,MATCH(ROWS($V$2:V476),$V$2:$V$1001,0),MATCH(COLUMNS($AC$1006:AE1006),$AC$1006:$AS$1006,0)), HYPERLINK("#",""), HYPERLINK(CONCATENATE("#Metadata!", ADDRESS(INDEX($X$2:$X$1001,MATCH(ROWS($V$2:V476),$V$2:$V$1001,0),0), INDEX($AC$1004:$AS$1004,1,MATCH(COLUMNS($AC$1006:AE1006),$AC$1006:$AS$1006,0)))),"Fix")))</f>
        <v>0</v>
      </c>
      <c r="E476" s="5">
        <f>IF(OR(INDEX($W$2:$W$1001,MATCH(ROWS($V$2:V476),$V$2:$V$1001,0),1)&gt;=100000,INDEX($AC$1005:$AS$1005,1,MATCH(COLUMNS($AC$1006:AF1006),$AC$1006:$AS$1006,0))&gt;=100000), " ",IF(INDEX($AC$2:$AS$1001,MATCH(ROWS($V$2:V476),$V$2:$V$1001,0),MATCH(COLUMNS($AC$1006:AF1006),$AC$1006:$AS$1006,0)), HYPERLINK("#",""), HYPERLINK(CONCATENATE("#Metadata!", ADDRESS(INDEX($X$2:$X$1001,MATCH(ROWS($V$2:V476),$V$2:$V$1001,0),0), INDEX($AC$1004:$AS$1004,1,MATCH(COLUMNS($AC$1006:AF1006),$AC$1006:$AS$1006,0)))),"Fix")))</f>
        <v>0</v>
      </c>
      <c r="F476" s="5">
        <f>IF(OR(INDEX($W$2:$W$1001,MATCH(ROWS($V$2:V476),$V$2:$V$1001,0),1)&gt;=100000,INDEX($AC$1005:$AS$1005,1,MATCH(COLUMNS($AC$1006:AG1006),$AC$1006:$AS$1006,0))&gt;=100000), " ",IF(INDEX($AC$2:$AS$1001,MATCH(ROWS($V$2:V476),$V$2:$V$1001,0),MATCH(COLUMNS($AC$1006:AG1006),$AC$1006:$AS$1006,0)), HYPERLINK("#",""), HYPERLINK(CONCATENATE("#Metadata!", ADDRESS(INDEX($X$2:$X$1001,MATCH(ROWS($V$2:V476),$V$2:$V$1001,0),0), INDEX($AC$1004:$AS$1004,1,MATCH(COLUMNS($AC$1006:AG1006),$AC$1006:$AS$1006,0)))),"Fix")))</f>
        <v>0</v>
      </c>
      <c r="G476" s="5">
        <f>IF(OR(INDEX($W$2:$W$1001,MATCH(ROWS($V$2:V476),$V$2:$V$1001,0),1)&gt;=100000,INDEX($AC$1005:$AS$1005,1,MATCH(COLUMNS($AC$1006:AH1006),$AC$1006:$AS$1006,0))&gt;=100000), " ",IF(INDEX($AC$2:$AS$1001,MATCH(ROWS($V$2:V476),$V$2:$V$1001,0),MATCH(COLUMNS($AC$1006:AH1006),$AC$1006:$AS$1006,0)), HYPERLINK("#",""), HYPERLINK(CONCATENATE("#Metadata!", ADDRESS(INDEX($X$2:$X$1001,MATCH(ROWS($V$2:V476),$V$2:$V$1001,0),0), INDEX($AC$1004:$AS$1004,1,MATCH(COLUMNS($AC$1006:AH1006),$AC$1006:$AS$1006,0)))),"Fix")))</f>
        <v>0</v>
      </c>
      <c r="H476" s="5">
        <f>IF(OR(INDEX($W$2:$W$1001,MATCH(ROWS($V$2:V476),$V$2:$V$1001,0),1)&gt;=100000,INDEX($AC$1005:$AS$1005,1,MATCH(COLUMNS($AC$1006:AI1006),$AC$1006:$AS$1006,0))&gt;=100000), " ",IF(INDEX($AC$2:$AS$1001,MATCH(ROWS($V$2:V476),$V$2:$V$1001,0),MATCH(COLUMNS($AC$1006:AI1006),$AC$1006:$AS$1006,0)), HYPERLINK("#",""), HYPERLINK(CONCATENATE("#Metadata!", ADDRESS(INDEX($X$2:$X$1001,MATCH(ROWS($V$2:V476),$V$2:$V$1001,0),0), INDEX($AC$1004:$AS$1004,1,MATCH(COLUMNS($AC$1006:AI1006),$AC$1006:$AS$1006,0)))),"Fix")))</f>
        <v>0</v>
      </c>
      <c r="I476" s="5">
        <f>IF(OR(INDEX($W$2:$W$1001,MATCH(ROWS($V$2:V476),$V$2:$V$1001,0),1)&gt;=100000,INDEX($AC$1005:$AS$1005,1,MATCH(COLUMNS($AC$1006:AJ1006),$AC$1006:$AS$1006,0))&gt;=100000), " ",IF(INDEX($AC$2:$AS$1001,MATCH(ROWS($V$2:V476),$V$2:$V$1001,0),MATCH(COLUMNS($AC$1006:AJ1006),$AC$1006:$AS$1006,0)), HYPERLINK("#",""), HYPERLINK(CONCATENATE("#Metadata!", ADDRESS(INDEX($X$2:$X$1001,MATCH(ROWS($V$2:V476),$V$2:$V$1001,0),0), INDEX($AC$1004:$AS$1004,1,MATCH(COLUMNS($AC$1006:AJ1006),$AC$1006:$AS$1006,0)))),"Fix")))</f>
        <v>0</v>
      </c>
      <c r="J476" s="5">
        <f>IF(OR(INDEX($W$2:$W$1001,MATCH(ROWS($V$2:V476),$V$2:$V$1001,0),1)&gt;=100000,INDEX($AC$1005:$AS$1005,1,MATCH(COLUMNS($AC$1006:AK1006),$AC$1006:$AS$1006,0))&gt;=100000), " ",IF(INDEX($AC$2:$AS$1001,MATCH(ROWS($V$2:V476),$V$2:$V$1001,0),MATCH(COLUMNS($AC$1006:AK1006),$AC$1006:$AS$1006,0)), HYPERLINK("#",""), HYPERLINK(CONCATENATE("#Metadata!", ADDRESS(INDEX($X$2:$X$1001,MATCH(ROWS($V$2:V476),$V$2:$V$1001,0),0), INDEX($AC$1004:$AS$1004,1,MATCH(COLUMNS($AC$1006:AK1006),$AC$1006:$AS$1006,0)))),"Fix")))</f>
        <v>0</v>
      </c>
      <c r="K476" s="5">
        <f>IF(OR(INDEX($W$2:$W$1001,MATCH(ROWS($V$2:V476),$V$2:$V$1001,0),1)&gt;=100000,INDEX($AC$1005:$AS$1005,1,MATCH(COLUMNS($AC$1006:AL1006),$AC$1006:$AS$1006,0))&gt;=100000), " ",IF(INDEX($AC$2:$AS$1001,MATCH(ROWS($V$2:V476),$V$2:$V$1001,0),MATCH(COLUMNS($AC$1006:AL1006),$AC$1006:$AS$1006,0)), HYPERLINK("#",""), HYPERLINK(CONCATENATE("#Metadata!", ADDRESS(INDEX($X$2:$X$1001,MATCH(ROWS($V$2:V476),$V$2:$V$1001,0),0), INDEX($AC$1004:$AS$1004,1,MATCH(COLUMNS($AC$1006:AL1006),$AC$1006:$AS$1006,0)))),"Fix")))</f>
        <v>0</v>
      </c>
      <c r="L476" s="5">
        <f>IF(OR(INDEX($W$2:$W$1001,MATCH(ROWS($V$2:V476),$V$2:$V$1001,0),1)&gt;=100000,INDEX($AC$1005:$AS$1005,1,MATCH(COLUMNS($AC$1006:AM1006),$AC$1006:$AS$1006,0))&gt;=100000), " ",IF(INDEX($AC$2:$AS$1001,MATCH(ROWS($V$2:V476),$V$2:$V$1001,0),MATCH(COLUMNS($AC$1006:AM1006),$AC$1006:$AS$1006,0)), HYPERLINK("#",""), HYPERLINK(CONCATENATE("#Metadata!", ADDRESS(INDEX($X$2:$X$1001,MATCH(ROWS($V$2:V476),$V$2:$V$1001,0),0), INDEX($AC$1004:$AS$1004,1,MATCH(COLUMNS($AC$1006:AM1006),$AC$1006:$AS$1006,0)))),"Fix")))</f>
        <v>0</v>
      </c>
      <c r="M476" s="5">
        <f>IF(OR(INDEX($W$2:$W$1001,MATCH(ROWS($V$2:V476),$V$2:$V$1001,0),1)&gt;=100000,INDEX($AC$1005:$AS$1005,1,MATCH(COLUMNS($AC$1006:AN1006),$AC$1006:$AS$1006,0))&gt;=100000), " ",IF(INDEX($AC$2:$AS$1001,MATCH(ROWS($V$2:V476),$V$2:$V$1001,0),MATCH(COLUMNS($AC$1006:AN1006),$AC$1006:$AS$1006,0)), HYPERLINK("#",""), HYPERLINK(CONCATENATE("#Metadata!", ADDRESS(INDEX($X$2:$X$1001,MATCH(ROWS($V$2:V476),$V$2:$V$1001,0),0), INDEX($AC$1004:$AS$1004,1,MATCH(COLUMNS($AC$1006:AN1006),$AC$1006:$AS$1006,0)))),"Fix")))</f>
        <v>0</v>
      </c>
      <c r="N476" s="5">
        <f>IF(OR(INDEX($W$2:$W$1001,MATCH(ROWS($V$2:V476),$V$2:$V$1001,0),1)&gt;=100000,INDEX($AC$1005:$AS$1005,1,MATCH(COLUMNS($AC$1006:AO1006),$AC$1006:$AS$1006,0))&gt;=100000), " ",IF(INDEX($AC$2:$AS$1001,MATCH(ROWS($V$2:V476),$V$2:$V$1001,0),MATCH(COLUMNS($AC$1006:AO1006),$AC$1006:$AS$1006,0)), HYPERLINK("#",""), HYPERLINK(CONCATENATE("#Metadata!", ADDRESS(INDEX($X$2:$X$1001,MATCH(ROWS($V$2:V476),$V$2:$V$1001,0),0), INDEX($AC$1004:$AS$1004,1,MATCH(COLUMNS($AC$1006:AO1006),$AC$1006:$AS$1006,0)))),"Fix")))</f>
        <v>0</v>
      </c>
      <c r="O476" s="5">
        <f>IF(OR(INDEX($W$2:$W$1001,MATCH(ROWS($V$2:V476),$V$2:$V$1001,0),1)&gt;=100000,INDEX($AC$1005:$AS$1005,1,MATCH(COLUMNS($AC$1006:AP1006),$AC$1006:$AS$1006,0))&gt;=100000), " ",IF(INDEX($AC$2:$AS$1001,MATCH(ROWS($V$2:V476),$V$2:$V$1001,0),MATCH(COLUMNS($AC$1006:AP1006),$AC$1006:$AS$1006,0)), HYPERLINK("#",""), HYPERLINK(CONCATENATE("#Metadata!", ADDRESS(INDEX($X$2:$X$1001,MATCH(ROWS($V$2:V476),$V$2:$V$1001,0),0), INDEX($AC$1004:$AS$1004,1,MATCH(COLUMNS($AC$1006:AP1006),$AC$1006:$AS$1006,0)))),"Fix")))</f>
        <v>0</v>
      </c>
      <c r="P476" s="5">
        <f>IF(OR(INDEX($W$2:$W$1001,MATCH(ROWS($V$2:V476),$V$2:$V$1001,0),1)&gt;=100000,INDEX($AC$1005:$AS$1005,1,MATCH(COLUMNS($AC$1006:AQ1006),$AC$1006:$AS$1006,0))&gt;=100000), " ",IF(INDEX($AC$2:$AS$1001,MATCH(ROWS($V$2:V476),$V$2:$V$1001,0),MATCH(COLUMNS($AC$1006:AQ1006),$AC$1006:$AS$1006,0)), HYPERLINK("#",""), HYPERLINK(CONCATENATE("#Metadata!", ADDRESS(INDEX($X$2:$X$1001,MATCH(ROWS($V$2:V476),$V$2:$V$1001,0),0), INDEX($AC$1004:$AS$1004,1,MATCH(COLUMNS($AC$1006:AQ1006),$AC$1006:$AS$1006,0)))),"Fix")))</f>
        <v>0</v>
      </c>
      <c r="Q476" s="5">
        <f>IF(OR(INDEX($W$2:$W$1001,MATCH(ROWS($V$2:V476),$V$2:$V$1001,0),1)&gt;=100000,INDEX($AC$1005:$AS$1005,1,MATCH(COLUMNS($AC$1006:AR1006),$AC$1006:$AS$1006,0))&gt;=100000), " ",IF(INDEX($AC$2:$AS$1001,MATCH(ROWS($V$2:V476),$V$2:$V$1001,0),MATCH(COLUMNS($AC$1006:AR1006),$AC$1006:$AS$1006,0)), HYPERLINK("#",""), HYPERLINK(CONCATENATE("#Metadata!", ADDRESS(INDEX($X$2:$X$1001,MATCH(ROWS($V$2:V476),$V$2:$V$1001,0),0), INDEX($AC$1004:$AS$1004,1,MATCH(COLUMNS($AC$1006:AR1006),$AC$1006:$AS$1006,0)))),"Fix")))</f>
        <v>0</v>
      </c>
      <c r="R476" s="5">
        <f>IF(OR(INDEX($W$2:$W$1001,MATCH(ROWS($V$2:V476),$V$2:$V$1001,0),1)&gt;=100000,INDEX($AC$1005:$AS$1005,1,MATCH(COLUMNS($AC$1006:AS1006),$AC$1006:$AS$1006,0))&gt;=100000), " ",IF(INDEX($AC$2:$AS$1001,MATCH(ROWS($V$2:V476),$V$2:$V$1001,0),MATCH(COLUMNS($AC$1006:AS1006),$AC$1006:$AS$1006,0)), HYPERLINK("#",""), HYPERLINK(CONCATENATE("#Metadata!", ADDRESS(INDEX($X$2:$X$1001,MATCH(ROWS($V$2:V476),$V$2:$V$1001,0),0), INDEX($AC$1004:$AS$1004,1,MATCH(COLUMNS($AC$1006:AS1006),$AC$1006:$AS$1006,0)))),"Fix")))</f>
        <v>0</v>
      </c>
      <c r="V476">
        <v>0</v>
      </c>
      <c r="W476">
        <v>0</v>
      </c>
      <c r="X476">
        <v>0</v>
      </c>
      <c r="Y476">
        <f>IF(Z476,TRUE,AND(AC476:AS476))</f>
        <v>0</v>
      </c>
      <c r="Z476">
        <f>COUNTBLANK(Metadata!B476:R476)=COLUMNS(Metadata!B476:R476)</f>
        <v>0</v>
      </c>
      <c r="AA476">
        <v>0</v>
      </c>
      <c r="AC476">
        <f>AND(IF(Metadata!B476="",FALSE,TRUE),COUNTIF(Metadata!B:B, Metadata!B476) = 1,NOT(ISERROR(SUMPRODUCT(SEARCH(MID(Metadata!B476,ROW(INDIRECT("1:"&amp;LEN(Metadata!B476))), 1),"0123456789abcdefghijklmnopqrstuvwxyzABCDEFGHIJKLMNOPQRSTUVWXYZ.")))))</f>
        <v>0</v>
      </c>
      <c r="AD476">
        <f>AND(IF(Metadata!C476="",FALSE,TRUE),exact(Metadata!C476,"Host-associated"))</f>
        <v>0</v>
      </c>
      <c r="AE476">
        <f>AND(IF(Metadata!D476="",FALSE,TRUE),OR(exact(Metadata!D476,"Animal"),exact(Metadata!D476,"Fungus"),exact(Metadata!D476,"Plant")))</f>
        <v>0</v>
      </c>
      <c r="AF476">
        <f>AND(IF(Metadata!E476="",FALSE,TRUE),OR(exact(Metadata!E476,"Plant secretion"),exact(Metadata!E476,"Plant rhizosphere"),exact(Metadata!E476,"Plant surface"),exact(Metadata!E476,"Plant corpus"),exact(Metadata!E476,"Fungus surface"),exact(Metadata!E476,"Fungus corpus"),exact(Metadata!E476,"Animal surface"),exact(Metadata!E476,"Animal proximal gut"),exact(Metadata!E476,"Animal corpus"),exact(Metadata!E476,"Animal distal gut"),exact(Metadata!E476,"Animal secretion")))</f>
        <v>0</v>
      </c>
      <c r="AG476">
        <f>OR(AND(IF(Metadata!F476="",FALSE,TRUE),OR(exact(Metadata!F476,"not collected"),exact(Metadata!F476,"not provided"),exact(Metadata!F476,"restricted access"))),AND(IF(Metadata!F476="",FALSE,TRUE),OR(exact(Metadata!F476,"organism-associated habitat"),exact(Metadata!F476,"plant-associated habitat"),exact(Metadata!F476,"animal-associated habitat"),exact(Metadata!F476,"insecta-associated habitat"),exact(Metadata!F476,"mammalia-associated habitat"),exact(Metadata!F476,"human-associated habitat"),exact(Metadata!F476,"livestock-associated habitat"))))</f>
        <v>0</v>
      </c>
      <c r="AH476">
        <f>AND(IF(Metadata!G476="",FALSE,TRUE),exact(Metadata!G476,"host-associated"))</f>
        <v>0</v>
      </c>
      <c r="AI476">
        <f>OR(AND(IF(Metadata!H476="",FALSE,TRUE),OR(exact(Metadata!H476,"not collected"),exact(Metadata!H476,"not provided"))),AND(IF(Metadata!H476="",FALSE,ISNUMBER(VALUE(Metadata!H476))),Metadata!H476&gt;0))</f>
        <v>0</v>
      </c>
      <c r="AJ476">
        <f>AND(IF(Metadata!I476="",FALSE,TRUE),exact(Metadata!I476,"years"))</f>
        <v>0</v>
      </c>
      <c r="AK476">
        <f>IF(Metadata!J476="",FALSE,TRUE)</f>
        <v>0</v>
      </c>
      <c r="AL476">
        <f>OR(AND(IF(Metadata!K476="",FALSE,TRUE),OR(exact(Metadata!K476,"not collected"),exact(Metadata!K476,"not provided"))),AND(IF(Metadata!K476="",FALSE,ISNUMBER(VALUE(Metadata!K476))),Metadata!K476&gt;0))</f>
        <v>0</v>
      </c>
      <c r="AM476">
        <f>AND(IF(Metadata!L476="",FALSE,TRUE),exact(Metadata!L476,"cm"))</f>
        <v>0</v>
      </c>
      <c r="AN476">
        <f>IF(Metadata!M476="",FALSE,TRUE)</f>
        <v>0</v>
      </c>
      <c r="AO476">
        <f>OR(AND(IF(Metadata!N476="",FALSE,TRUE),OR(exact(Metadata!N476,"not applicable"),exact(Metadata!N476,"not collected"),exact(Metadata!N476,"not provided"))),AND(IF(Metadata!N476="",FALSE,IF(ISERROR(INT(Metadata!N476)),FALSE,INT(Metadata!N476)=Metadata!N476)),Metadata!N476&gt;0))</f>
        <v>0</v>
      </c>
      <c r="AP476">
        <f>OR(AND(IF(Metadata!O476="",FALSE,TRUE),OR(exact(Metadata!O476,"not collected"),exact(Metadata!O476,"not provided"))),AND(IF(Metadata!O476="",FALSE,ISNUMBER(VALUE(Metadata!O476))),Metadata!O476&gt;0))</f>
        <v>0</v>
      </c>
      <c r="AQ476">
        <f>AND(IF(Metadata!P476="",FALSE,TRUE),exact(Metadata!P476,"kg"))</f>
        <v>0</v>
      </c>
      <c r="AR476">
        <f>OR(AND(IF(Metadata!Q476="",FALSE,TRUE),OR(exact(Metadata!Q476,"not applicable"),exact(Metadata!Q476,"not collected"),exact(Metadata!Q476,"not provided"),exact(Metadata!Q476,"restricted access"))),IF(Metadata!Q476="",FALSE,IF(ISERROR(INT(Metadata!Q476)),FALSE,INT(Metadata!Q476)=Metadata!Q476)))</f>
        <v>0</v>
      </c>
      <c r="AS476">
        <f>AND(IF(Metadata!R476="",FALSE,TRUE),exact(Metadata!R476,"Not applicable"))</f>
        <v>0</v>
      </c>
    </row>
    <row r="477" spans="1:45">
      <c r="A477" s="4">
        <f>IF(B477=" "," ",HYPERLINK(CONCATENATE("#metadata!",ADDRESS(INDEX($X$2:$X$1001,MATCH(ROWS($V$2:V477),$V$2:$V$1001,0),0),2)),INDEX($AA$2:$AA$1001,MATCH(ROWS($V$2:V477),$V$2:$V$1001,0),0)))</f>
        <v>0</v>
      </c>
      <c r="B477" s="5">
        <f>IF(OR(INDEX($W$2:$W$1001,MATCH(ROWS($V$2:V477),$V$2:$V$1001,0),1)&gt;=100000,INDEX($AC$1005:$AS$1005,1,MATCH(COLUMNS($AC$1006:AC1006),$AC$1006:$AS$1006,0))&gt;=100000), " ",IF(INDEX($AC$2:$AS$1001,MATCH(ROWS($V$2:V477),$V$2:$V$1001,0),MATCH(COLUMNS($AC$1006:AC1006),$AC$1006:$AS$1006,0)), HYPERLINK("#",""), HYPERLINK(CONCATENATE("#Metadata!", ADDRESS(INDEX($X$2:$X$1001,MATCH(ROWS($V$2:V477),$V$2:$V$1001,0),0), INDEX($AC$1004:$AS$1004,1,MATCH(COLUMNS($AC$1006:AC1006),$AC$1006:$AS$1006,0)))),"Fix")))</f>
        <v>0</v>
      </c>
      <c r="C477" s="5">
        <f>IF(OR(INDEX($W$2:$W$1001,MATCH(ROWS($V$2:V477),$V$2:$V$1001,0),1)&gt;=100000,INDEX($AC$1005:$AS$1005,1,MATCH(COLUMNS($AC$1006:AD1006),$AC$1006:$AS$1006,0))&gt;=100000), " ",IF(INDEX($AC$2:$AS$1001,MATCH(ROWS($V$2:V477),$V$2:$V$1001,0),MATCH(COLUMNS($AC$1006:AD1006),$AC$1006:$AS$1006,0)), HYPERLINK("#",""), HYPERLINK(CONCATENATE("#Metadata!", ADDRESS(INDEX($X$2:$X$1001,MATCH(ROWS($V$2:V477),$V$2:$V$1001,0),0), INDEX($AC$1004:$AS$1004,1,MATCH(COLUMNS($AC$1006:AD1006),$AC$1006:$AS$1006,0)))),"Fix")))</f>
        <v>0</v>
      </c>
      <c r="D477" s="5">
        <f>IF(OR(INDEX($W$2:$W$1001,MATCH(ROWS($V$2:V477),$V$2:$V$1001,0),1)&gt;=100000,INDEX($AC$1005:$AS$1005,1,MATCH(COLUMNS($AC$1006:AE1006),$AC$1006:$AS$1006,0))&gt;=100000), " ",IF(INDEX($AC$2:$AS$1001,MATCH(ROWS($V$2:V477),$V$2:$V$1001,0),MATCH(COLUMNS($AC$1006:AE1006),$AC$1006:$AS$1006,0)), HYPERLINK("#",""), HYPERLINK(CONCATENATE("#Metadata!", ADDRESS(INDEX($X$2:$X$1001,MATCH(ROWS($V$2:V477),$V$2:$V$1001,0),0), INDEX($AC$1004:$AS$1004,1,MATCH(COLUMNS($AC$1006:AE1006),$AC$1006:$AS$1006,0)))),"Fix")))</f>
        <v>0</v>
      </c>
      <c r="E477" s="5">
        <f>IF(OR(INDEX($W$2:$W$1001,MATCH(ROWS($V$2:V477),$V$2:$V$1001,0),1)&gt;=100000,INDEX($AC$1005:$AS$1005,1,MATCH(COLUMNS($AC$1006:AF1006),$AC$1006:$AS$1006,0))&gt;=100000), " ",IF(INDEX($AC$2:$AS$1001,MATCH(ROWS($V$2:V477),$V$2:$V$1001,0),MATCH(COLUMNS($AC$1006:AF1006),$AC$1006:$AS$1006,0)), HYPERLINK("#",""), HYPERLINK(CONCATENATE("#Metadata!", ADDRESS(INDEX($X$2:$X$1001,MATCH(ROWS($V$2:V477),$V$2:$V$1001,0),0), INDEX($AC$1004:$AS$1004,1,MATCH(COLUMNS($AC$1006:AF1006),$AC$1006:$AS$1006,0)))),"Fix")))</f>
        <v>0</v>
      </c>
      <c r="F477" s="5">
        <f>IF(OR(INDEX($W$2:$W$1001,MATCH(ROWS($V$2:V477),$V$2:$V$1001,0),1)&gt;=100000,INDEX($AC$1005:$AS$1005,1,MATCH(COLUMNS($AC$1006:AG1006),$AC$1006:$AS$1006,0))&gt;=100000), " ",IF(INDEX($AC$2:$AS$1001,MATCH(ROWS($V$2:V477),$V$2:$V$1001,0),MATCH(COLUMNS($AC$1006:AG1006),$AC$1006:$AS$1006,0)), HYPERLINK("#",""), HYPERLINK(CONCATENATE("#Metadata!", ADDRESS(INDEX($X$2:$X$1001,MATCH(ROWS($V$2:V477),$V$2:$V$1001,0),0), INDEX($AC$1004:$AS$1004,1,MATCH(COLUMNS($AC$1006:AG1006),$AC$1006:$AS$1006,0)))),"Fix")))</f>
        <v>0</v>
      </c>
      <c r="G477" s="5">
        <f>IF(OR(INDEX($W$2:$W$1001,MATCH(ROWS($V$2:V477),$V$2:$V$1001,0),1)&gt;=100000,INDEX($AC$1005:$AS$1005,1,MATCH(COLUMNS($AC$1006:AH1006),$AC$1006:$AS$1006,0))&gt;=100000), " ",IF(INDEX($AC$2:$AS$1001,MATCH(ROWS($V$2:V477),$V$2:$V$1001,0),MATCH(COLUMNS($AC$1006:AH1006),$AC$1006:$AS$1006,0)), HYPERLINK("#",""), HYPERLINK(CONCATENATE("#Metadata!", ADDRESS(INDEX($X$2:$X$1001,MATCH(ROWS($V$2:V477),$V$2:$V$1001,0),0), INDEX($AC$1004:$AS$1004,1,MATCH(COLUMNS($AC$1006:AH1006),$AC$1006:$AS$1006,0)))),"Fix")))</f>
        <v>0</v>
      </c>
      <c r="H477" s="5">
        <f>IF(OR(INDEX($W$2:$W$1001,MATCH(ROWS($V$2:V477),$V$2:$V$1001,0),1)&gt;=100000,INDEX($AC$1005:$AS$1005,1,MATCH(COLUMNS($AC$1006:AI1006),$AC$1006:$AS$1006,0))&gt;=100000), " ",IF(INDEX($AC$2:$AS$1001,MATCH(ROWS($V$2:V477),$V$2:$V$1001,0),MATCH(COLUMNS($AC$1006:AI1006),$AC$1006:$AS$1006,0)), HYPERLINK("#",""), HYPERLINK(CONCATENATE("#Metadata!", ADDRESS(INDEX($X$2:$X$1001,MATCH(ROWS($V$2:V477),$V$2:$V$1001,0),0), INDEX($AC$1004:$AS$1004,1,MATCH(COLUMNS($AC$1006:AI1006),$AC$1006:$AS$1006,0)))),"Fix")))</f>
        <v>0</v>
      </c>
      <c r="I477" s="5">
        <f>IF(OR(INDEX($W$2:$W$1001,MATCH(ROWS($V$2:V477),$V$2:$V$1001,0),1)&gt;=100000,INDEX($AC$1005:$AS$1005,1,MATCH(COLUMNS($AC$1006:AJ1006),$AC$1006:$AS$1006,0))&gt;=100000), " ",IF(INDEX($AC$2:$AS$1001,MATCH(ROWS($V$2:V477),$V$2:$V$1001,0),MATCH(COLUMNS($AC$1006:AJ1006),$AC$1006:$AS$1006,0)), HYPERLINK("#",""), HYPERLINK(CONCATENATE("#Metadata!", ADDRESS(INDEX($X$2:$X$1001,MATCH(ROWS($V$2:V477),$V$2:$V$1001,0),0), INDEX($AC$1004:$AS$1004,1,MATCH(COLUMNS($AC$1006:AJ1006),$AC$1006:$AS$1006,0)))),"Fix")))</f>
        <v>0</v>
      </c>
      <c r="J477" s="5">
        <f>IF(OR(INDEX($W$2:$W$1001,MATCH(ROWS($V$2:V477),$V$2:$V$1001,0),1)&gt;=100000,INDEX($AC$1005:$AS$1005,1,MATCH(COLUMNS($AC$1006:AK1006),$AC$1006:$AS$1006,0))&gt;=100000), " ",IF(INDEX($AC$2:$AS$1001,MATCH(ROWS($V$2:V477),$V$2:$V$1001,0),MATCH(COLUMNS($AC$1006:AK1006),$AC$1006:$AS$1006,0)), HYPERLINK("#",""), HYPERLINK(CONCATENATE("#Metadata!", ADDRESS(INDEX($X$2:$X$1001,MATCH(ROWS($V$2:V477),$V$2:$V$1001,0),0), INDEX($AC$1004:$AS$1004,1,MATCH(COLUMNS($AC$1006:AK1006),$AC$1006:$AS$1006,0)))),"Fix")))</f>
        <v>0</v>
      </c>
      <c r="K477" s="5">
        <f>IF(OR(INDEX($W$2:$W$1001,MATCH(ROWS($V$2:V477),$V$2:$V$1001,0),1)&gt;=100000,INDEX($AC$1005:$AS$1005,1,MATCH(COLUMNS($AC$1006:AL1006),$AC$1006:$AS$1006,0))&gt;=100000), " ",IF(INDEX($AC$2:$AS$1001,MATCH(ROWS($V$2:V477),$V$2:$V$1001,0),MATCH(COLUMNS($AC$1006:AL1006),$AC$1006:$AS$1006,0)), HYPERLINK("#",""), HYPERLINK(CONCATENATE("#Metadata!", ADDRESS(INDEX($X$2:$X$1001,MATCH(ROWS($V$2:V477),$V$2:$V$1001,0),0), INDEX($AC$1004:$AS$1004,1,MATCH(COLUMNS($AC$1006:AL1006),$AC$1006:$AS$1006,0)))),"Fix")))</f>
        <v>0</v>
      </c>
      <c r="L477" s="5">
        <f>IF(OR(INDEX($W$2:$W$1001,MATCH(ROWS($V$2:V477),$V$2:$V$1001,0),1)&gt;=100000,INDEX($AC$1005:$AS$1005,1,MATCH(COLUMNS($AC$1006:AM1006),$AC$1006:$AS$1006,0))&gt;=100000), " ",IF(INDEX($AC$2:$AS$1001,MATCH(ROWS($V$2:V477),$V$2:$V$1001,0),MATCH(COLUMNS($AC$1006:AM1006),$AC$1006:$AS$1006,0)), HYPERLINK("#",""), HYPERLINK(CONCATENATE("#Metadata!", ADDRESS(INDEX($X$2:$X$1001,MATCH(ROWS($V$2:V477),$V$2:$V$1001,0),0), INDEX($AC$1004:$AS$1004,1,MATCH(COLUMNS($AC$1006:AM1006),$AC$1006:$AS$1006,0)))),"Fix")))</f>
        <v>0</v>
      </c>
      <c r="M477" s="5">
        <f>IF(OR(INDEX($W$2:$W$1001,MATCH(ROWS($V$2:V477),$V$2:$V$1001,0),1)&gt;=100000,INDEX($AC$1005:$AS$1005,1,MATCH(COLUMNS($AC$1006:AN1006),$AC$1006:$AS$1006,0))&gt;=100000), " ",IF(INDEX($AC$2:$AS$1001,MATCH(ROWS($V$2:V477),$V$2:$V$1001,0),MATCH(COLUMNS($AC$1006:AN1006),$AC$1006:$AS$1006,0)), HYPERLINK("#",""), HYPERLINK(CONCATENATE("#Metadata!", ADDRESS(INDEX($X$2:$X$1001,MATCH(ROWS($V$2:V477),$V$2:$V$1001,0),0), INDEX($AC$1004:$AS$1004,1,MATCH(COLUMNS($AC$1006:AN1006),$AC$1006:$AS$1006,0)))),"Fix")))</f>
        <v>0</v>
      </c>
      <c r="N477" s="5">
        <f>IF(OR(INDEX($W$2:$W$1001,MATCH(ROWS($V$2:V477),$V$2:$V$1001,0),1)&gt;=100000,INDEX($AC$1005:$AS$1005,1,MATCH(COLUMNS($AC$1006:AO1006),$AC$1006:$AS$1006,0))&gt;=100000), " ",IF(INDEX($AC$2:$AS$1001,MATCH(ROWS($V$2:V477),$V$2:$V$1001,0),MATCH(COLUMNS($AC$1006:AO1006),$AC$1006:$AS$1006,0)), HYPERLINK("#",""), HYPERLINK(CONCATENATE("#Metadata!", ADDRESS(INDEX($X$2:$X$1001,MATCH(ROWS($V$2:V477),$V$2:$V$1001,0),0), INDEX($AC$1004:$AS$1004,1,MATCH(COLUMNS($AC$1006:AO1006),$AC$1006:$AS$1006,0)))),"Fix")))</f>
        <v>0</v>
      </c>
      <c r="O477" s="5">
        <f>IF(OR(INDEX($W$2:$W$1001,MATCH(ROWS($V$2:V477),$V$2:$V$1001,0),1)&gt;=100000,INDEX($AC$1005:$AS$1005,1,MATCH(COLUMNS($AC$1006:AP1006),$AC$1006:$AS$1006,0))&gt;=100000), " ",IF(INDEX($AC$2:$AS$1001,MATCH(ROWS($V$2:V477),$V$2:$V$1001,0),MATCH(COLUMNS($AC$1006:AP1006),$AC$1006:$AS$1006,0)), HYPERLINK("#",""), HYPERLINK(CONCATENATE("#Metadata!", ADDRESS(INDEX($X$2:$X$1001,MATCH(ROWS($V$2:V477),$V$2:$V$1001,0),0), INDEX($AC$1004:$AS$1004,1,MATCH(COLUMNS($AC$1006:AP1006),$AC$1006:$AS$1006,0)))),"Fix")))</f>
        <v>0</v>
      </c>
      <c r="P477" s="5">
        <f>IF(OR(INDEX($W$2:$W$1001,MATCH(ROWS($V$2:V477),$V$2:$V$1001,0),1)&gt;=100000,INDEX($AC$1005:$AS$1005,1,MATCH(COLUMNS($AC$1006:AQ1006),$AC$1006:$AS$1006,0))&gt;=100000), " ",IF(INDEX($AC$2:$AS$1001,MATCH(ROWS($V$2:V477),$V$2:$V$1001,0),MATCH(COLUMNS($AC$1006:AQ1006),$AC$1006:$AS$1006,0)), HYPERLINK("#",""), HYPERLINK(CONCATENATE("#Metadata!", ADDRESS(INDEX($X$2:$X$1001,MATCH(ROWS($V$2:V477),$V$2:$V$1001,0),0), INDEX($AC$1004:$AS$1004,1,MATCH(COLUMNS($AC$1006:AQ1006),$AC$1006:$AS$1006,0)))),"Fix")))</f>
        <v>0</v>
      </c>
      <c r="Q477" s="5">
        <f>IF(OR(INDEX($W$2:$W$1001,MATCH(ROWS($V$2:V477),$V$2:$V$1001,0),1)&gt;=100000,INDEX($AC$1005:$AS$1005,1,MATCH(COLUMNS($AC$1006:AR1006),$AC$1006:$AS$1006,0))&gt;=100000), " ",IF(INDEX($AC$2:$AS$1001,MATCH(ROWS($V$2:V477),$V$2:$V$1001,0),MATCH(COLUMNS($AC$1006:AR1006),$AC$1006:$AS$1006,0)), HYPERLINK("#",""), HYPERLINK(CONCATENATE("#Metadata!", ADDRESS(INDEX($X$2:$X$1001,MATCH(ROWS($V$2:V477),$V$2:$V$1001,0),0), INDEX($AC$1004:$AS$1004,1,MATCH(COLUMNS($AC$1006:AR1006),$AC$1006:$AS$1006,0)))),"Fix")))</f>
        <v>0</v>
      </c>
      <c r="R477" s="5">
        <f>IF(OR(INDEX($W$2:$W$1001,MATCH(ROWS($V$2:V477),$V$2:$V$1001,0),1)&gt;=100000,INDEX($AC$1005:$AS$1005,1,MATCH(COLUMNS($AC$1006:AS1006),$AC$1006:$AS$1006,0))&gt;=100000), " ",IF(INDEX($AC$2:$AS$1001,MATCH(ROWS($V$2:V477),$V$2:$V$1001,0),MATCH(COLUMNS($AC$1006:AS1006),$AC$1006:$AS$1006,0)), HYPERLINK("#",""), HYPERLINK(CONCATENATE("#Metadata!", ADDRESS(INDEX($X$2:$X$1001,MATCH(ROWS($V$2:V477),$V$2:$V$1001,0),0), INDEX($AC$1004:$AS$1004,1,MATCH(COLUMNS($AC$1006:AS1006),$AC$1006:$AS$1006,0)))),"Fix")))</f>
        <v>0</v>
      </c>
      <c r="V477">
        <v>0</v>
      </c>
      <c r="W477">
        <v>0</v>
      </c>
      <c r="X477">
        <v>0</v>
      </c>
      <c r="Y477">
        <f>IF(Z477,TRUE,AND(AC477:AS477))</f>
        <v>0</v>
      </c>
      <c r="Z477">
        <f>COUNTBLANK(Metadata!B477:R477)=COLUMNS(Metadata!B477:R477)</f>
        <v>0</v>
      </c>
      <c r="AA477">
        <v>0</v>
      </c>
      <c r="AC477">
        <f>AND(IF(Metadata!B477="",FALSE,TRUE),COUNTIF(Metadata!B:B, Metadata!B477) = 1,NOT(ISERROR(SUMPRODUCT(SEARCH(MID(Metadata!B477,ROW(INDIRECT("1:"&amp;LEN(Metadata!B477))), 1),"0123456789abcdefghijklmnopqrstuvwxyzABCDEFGHIJKLMNOPQRSTUVWXYZ.")))))</f>
        <v>0</v>
      </c>
      <c r="AD477">
        <f>AND(IF(Metadata!C477="",FALSE,TRUE),exact(Metadata!C477,"Host-associated"))</f>
        <v>0</v>
      </c>
      <c r="AE477">
        <f>AND(IF(Metadata!D477="",FALSE,TRUE),OR(exact(Metadata!D477,"Animal"),exact(Metadata!D477,"Fungus"),exact(Metadata!D477,"Plant")))</f>
        <v>0</v>
      </c>
      <c r="AF477">
        <f>AND(IF(Metadata!E477="",FALSE,TRUE),OR(exact(Metadata!E477,"Plant secretion"),exact(Metadata!E477,"Plant rhizosphere"),exact(Metadata!E477,"Plant surface"),exact(Metadata!E477,"Plant corpus"),exact(Metadata!E477,"Fungus surface"),exact(Metadata!E477,"Fungus corpus"),exact(Metadata!E477,"Animal surface"),exact(Metadata!E477,"Animal proximal gut"),exact(Metadata!E477,"Animal corpus"),exact(Metadata!E477,"Animal distal gut"),exact(Metadata!E477,"Animal secretion")))</f>
        <v>0</v>
      </c>
      <c r="AG477">
        <f>OR(AND(IF(Metadata!F477="",FALSE,TRUE),OR(exact(Metadata!F477,"not collected"),exact(Metadata!F477,"not provided"),exact(Metadata!F477,"restricted access"))),AND(IF(Metadata!F477="",FALSE,TRUE),OR(exact(Metadata!F477,"organism-associated habitat"),exact(Metadata!F477,"plant-associated habitat"),exact(Metadata!F477,"animal-associated habitat"),exact(Metadata!F477,"insecta-associated habitat"),exact(Metadata!F477,"mammalia-associated habitat"),exact(Metadata!F477,"human-associated habitat"),exact(Metadata!F477,"livestock-associated habitat"))))</f>
        <v>0</v>
      </c>
      <c r="AH477">
        <f>AND(IF(Metadata!G477="",FALSE,TRUE),exact(Metadata!G477,"host-associated"))</f>
        <v>0</v>
      </c>
      <c r="AI477">
        <f>OR(AND(IF(Metadata!H477="",FALSE,TRUE),OR(exact(Metadata!H477,"not collected"),exact(Metadata!H477,"not provided"))),AND(IF(Metadata!H477="",FALSE,ISNUMBER(VALUE(Metadata!H477))),Metadata!H477&gt;0))</f>
        <v>0</v>
      </c>
      <c r="AJ477">
        <f>AND(IF(Metadata!I477="",FALSE,TRUE),exact(Metadata!I477,"years"))</f>
        <v>0</v>
      </c>
      <c r="AK477">
        <f>IF(Metadata!J477="",FALSE,TRUE)</f>
        <v>0</v>
      </c>
      <c r="AL477">
        <f>OR(AND(IF(Metadata!K477="",FALSE,TRUE),OR(exact(Metadata!K477,"not collected"),exact(Metadata!K477,"not provided"))),AND(IF(Metadata!K477="",FALSE,ISNUMBER(VALUE(Metadata!K477))),Metadata!K477&gt;0))</f>
        <v>0</v>
      </c>
      <c r="AM477">
        <f>AND(IF(Metadata!L477="",FALSE,TRUE),exact(Metadata!L477,"cm"))</f>
        <v>0</v>
      </c>
      <c r="AN477">
        <f>IF(Metadata!M477="",FALSE,TRUE)</f>
        <v>0</v>
      </c>
      <c r="AO477">
        <f>OR(AND(IF(Metadata!N477="",FALSE,TRUE),OR(exact(Metadata!N477,"not applicable"),exact(Metadata!N477,"not collected"),exact(Metadata!N477,"not provided"))),AND(IF(Metadata!N477="",FALSE,IF(ISERROR(INT(Metadata!N477)),FALSE,INT(Metadata!N477)=Metadata!N477)),Metadata!N477&gt;0))</f>
        <v>0</v>
      </c>
      <c r="AP477">
        <f>OR(AND(IF(Metadata!O477="",FALSE,TRUE),OR(exact(Metadata!O477,"not collected"),exact(Metadata!O477,"not provided"))),AND(IF(Metadata!O477="",FALSE,ISNUMBER(VALUE(Metadata!O477))),Metadata!O477&gt;0))</f>
        <v>0</v>
      </c>
      <c r="AQ477">
        <f>AND(IF(Metadata!P477="",FALSE,TRUE),exact(Metadata!P477,"kg"))</f>
        <v>0</v>
      </c>
      <c r="AR477">
        <f>OR(AND(IF(Metadata!Q477="",FALSE,TRUE),OR(exact(Metadata!Q477,"not applicable"),exact(Metadata!Q477,"not collected"),exact(Metadata!Q477,"not provided"),exact(Metadata!Q477,"restricted access"))),IF(Metadata!Q477="",FALSE,IF(ISERROR(INT(Metadata!Q477)),FALSE,INT(Metadata!Q477)=Metadata!Q477)))</f>
        <v>0</v>
      </c>
      <c r="AS477">
        <f>AND(IF(Metadata!R477="",FALSE,TRUE),exact(Metadata!R477,"Not applicable"))</f>
        <v>0</v>
      </c>
    </row>
    <row r="478" spans="1:45">
      <c r="A478" s="4">
        <f>IF(B478=" "," ",HYPERLINK(CONCATENATE("#metadata!",ADDRESS(INDEX($X$2:$X$1001,MATCH(ROWS($V$2:V478),$V$2:$V$1001,0),0),2)),INDEX($AA$2:$AA$1001,MATCH(ROWS($V$2:V478),$V$2:$V$1001,0),0)))</f>
        <v>0</v>
      </c>
      <c r="B478" s="5">
        <f>IF(OR(INDEX($W$2:$W$1001,MATCH(ROWS($V$2:V478),$V$2:$V$1001,0),1)&gt;=100000,INDEX($AC$1005:$AS$1005,1,MATCH(COLUMNS($AC$1006:AC1006),$AC$1006:$AS$1006,0))&gt;=100000), " ",IF(INDEX($AC$2:$AS$1001,MATCH(ROWS($V$2:V478),$V$2:$V$1001,0),MATCH(COLUMNS($AC$1006:AC1006),$AC$1006:$AS$1006,0)), HYPERLINK("#",""), HYPERLINK(CONCATENATE("#Metadata!", ADDRESS(INDEX($X$2:$X$1001,MATCH(ROWS($V$2:V478),$V$2:$V$1001,0),0), INDEX($AC$1004:$AS$1004,1,MATCH(COLUMNS($AC$1006:AC1006),$AC$1006:$AS$1006,0)))),"Fix")))</f>
        <v>0</v>
      </c>
      <c r="C478" s="5">
        <f>IF(OR(INDEX($W$2:$W$1001,MATCH(ROWS($V$2:V478),$V$2:$V$1001,0),1)&gt;=100000,INDEX($AC$1005:$AS$1005,1,MATCH(COLUMNS($AC$1006:AD1006),$AC$1006:$AS$1006,0))&gt;=100000), " ",IF(INDEX($AC$2:$AS$1001,MATCH(ROWS($V$2:V478),$V$2:$V$1001,0),MATCH(COLUMNS($AC$1006:AD1006),$AC$1006:$AS$1006,0)), HYPERLINK("#",""), HYPERLINK(CONCATENATE("#Metadata!", ADDRESS(INDEX($X$2:$X$1001,MATCH(ROWS($V$2:V478),$V$2:$V$1001,0),0), INDEX($AC$1004:$AS$1004,1,MATCH(COLUMNS($AC$1006:AD1006),$AC$1006:$AS$1006,0)))),"Fix")))</f>
        <v>0</v>
      </c>
      <c r="D478" s="5">
        <f>IF(OR(INDEX($W$2:$W$1001,MATCH(ROWS($V$2:V478),$V$2:$V$1001,0),1)&gt;=100000,INDEX($AC$1005:$AS$1005,1,MATCH(COLUMNS($AC$1006:AE1006),$AC$1006:$AS$1006,0))&gt;=100000), " ",IF(INDEX($AC$2:$AS$1001,MATCH(ROWS($V$2:V478),$V$2:$V$1001,0),MATCH(COLUMNS($AC$1006:AE1006),$AC$1006:$AS$1006,0)), HYPERLINK("#",""), HYPERLINK(CONCATENATE("#Metadata!", ADDRESS(INDEX($X$2:$X$1001,MATCH(ROWS($V$2:V478),$V$2:$V$1001,0),0), INDEX($AC$1004:$AS$1004,1,MATCH(COLUMNS($AC$1006:AE1006),$AC$1006:$AS$1006,0)))),"Fix")))</f>
        <v>0</v>
      </c>
      <c r="E478" s="5">
        <f>IF(OR(INDEX($W$2:$W$1001,MATCH(ROWS($V$2:V478),$V$2:$V$1001,0),1)&gt;=100000,INDEX($AC$1005:$AS$1005,1,MATCH(COLUMNS($AC$1006:AF1006),$AC$1006:$AS$1006,0))&gt;=100000), " ",IF(INDEX($AC$2:$AS$1001,MATCH(ROWS($V$2:V478),$V$2:$V$1001,0),MATCH(COLUMNS($AC$1006:AF1006),$AC$1006:$AS$1006,0)), HYPERLINK("#",""), HYPERLINK(CONCATENATE("#Metadata!", ADDRESS(INDEX($X$2:$X$1001,MATCH(ROWS($V$2:V478),$V$2:$V$1001,0),0), INDEX($AC$1004:$AS$1004,1,MATCH(COLUMNS($AC$1006:AF1006),$AC$1006:$AS$1006,0)))),"Fix")))</f>
        <v>0</v>
      </c>
      <c r="F478" s="5">
        <f>IF(OR(INDEX($W$2:$W$1001,MATCH(ROWS($V$2:V478),$V$2:$V$1001,0),1)&gt;=100000,INDEX($AC$1005:$AS$1005,1,MATCH(COLUMNS($AC$1006:AG1006),$AC$1006:$AS$1006,0))&gt;=100000), " ",IF(INDEX($AC$2:$AS$1001,MATCH(ROWS($V$2:V478),$V$2:$V$1001,0),MATCH(COLUMNS($AC$1006:AG1006),$AC$1006:$AS$1006,0)), HYPERLINK("#",""), HYPERLINK(CONCATENATE("#Metadata!", ADDRESS(INDEX($X$2:$X$1001,MATCH(ROWS($V$2:V478),$V$2:$V$1001,0),0), INDEX($AC$1004:$AS$1004,1,MATCH(COLUMNS($AC$1006:AG1006),$AC$1006:$AS$1006,0)))),"Fix")))</f>
        <v>0</v>
      </c>
      <c r="G478" s="5">
        <f>IF(OR(INDEX($W$2:$W$1001,MATCH(ROWS($V$2:V478),$V$2:$V$1001,0),1)&gt;=100000,INDEX($AC$1005:$AS$1005,1,MATCH(COLUMNS($AC$1006:AH1006),$AC$1006:$AS$1006,0))&gt;=100000), " ",IF(INDEX($AC$2:$AS$1001,MATCH(ROWS($V$2:V478),$V$2:$V$1001,0),MATCH(COLUMNS($AC$1006:AH1006),$AC$1006:$AS$1006,0)), HYPERLINK("#",""), HYPERLINK(CONCATENATE("#Metadata!", ADDRESS(INDEX($X$2:$X$1001,MATCH(ROWS($V$2:V478),$V$2:$V$1001,0),0), INDEX($AC$1004:$AS$1004,1,MATCH(COLUMNS($AC$1006:AH1006),$AC$1006:$AS$1006,0)))),"Fix")))</f>
        <v>0</v>
      </c>
      <c r="H478" s="5">
        <f>IF(OR(INDEX($W$2:$W$1001,MATCH(ROWS($V$2:V478),$V$2:$V$1001,0),1)&gt;=100000,INDEX($AC$1005:$AS$1005,1,MATCH(COLUMNS($AC$1006:AI1006),$AC$1006:$AS$1006,0))&gt;=100000), " ",IF(INDEX($AC$2:$AS$1001,MATCH(ROWS($V$2:V478),$V$2:$V$1001,0),MATCH(COLUMNS($AC$1006:AI1006),$AC$1006:$AS$1006,0)), HYPERLINK("#",""), HYPERLINK(CONCATENATE("#Metadata!", ADDRESS(INDEX($X$2:$X$1001,MATCH(ROWS($V$2:V478),$V$2:$V$1001,0),0), INDEX($AC$1004:$AS$1004,1,MATCH(COLUMNS($AC$1006:AI1006),$AC$1006:$AS$1006,0)))),"Fix")))</f>
        <v>0</v>
      </c>
      <c r="I478" s="5">
        <f>IF(OR(INDEX($W$2:$W$1001,MATCH(ROWS($V$2:V478),$V$2:$V$1001,0),1)&gt;=100000,INDEX($AC$1005:$AS$1005,1,MATCH(COLUMNS($AC$1006:AJ1006),$AC$1006:$AS$1006,0))&gt;=100000), " ",IF(INDEX($AC$2:$AS$1001,MATCH(ROWS($V$2:V478),$V$2:$V$1001,0),MATCH(COLUMNS($AC$1006:AJ1006),$AC$1006:$AS$1006,0)), HYPERLINK("#",""), HYPERLINK(CONCATENATE("#Metadata!", ADDRESS(INDEX($X$2:$X$1001,MATCH(ROWS($V$2:V478),$V$2:$V$1001,0),0), INDEX($AC$1004:$AS$1004,1,MATCH(COLUMNS($AC$1006:AJ1006),$AC$1006:$AS$1006,0)))),"Fix")))</f>
        <v>0</v>
      </c>
      <c r="J478" s="5">
        <f>IF(OR(INDEX($W$2:$W$1001,MATCH(ROWS($V$2:V478),$V$2:$V$1001,0),1)&gt;=100000,INDEX($AC$1005:$AS$1005,1,MATCH(COLUMNS($AC$1006:AK1006),$AC$1006:$AS$1006,0))&gt;=100000), " ",IF(INDEX($AC$2:$AS$1001,MATCH(ROWS($V$2:V478),$V$2:$V$1001,0),MATCH(COLUMNS($AC$1006:AK1006),$AC$1006:$AS$1006,0)), HYPERLINK("#",""), HYPERLINK(CONCATENATE("#Metadata!", ADDRESS(INDEX($X$2:$X$1001,MATCH(ROWS($V$2:V478),$V$2:$V$1001,0),0), INDEX($AC$1004:$AS$1004,1,MATCH(COLUMNS($AC$1006:AK1006),$AC$1006:$AS$1006,0)))),"Fix")))</f>
        <v>0</v>
      </c>
      <c r="K478" s="5">
        <f>IF(OR(INDEX($W$2:$W$1001,MATCH(ROWS($V$2:V478),$V$2:$V$1001,0),1)&gt;=100000,INDEX($AC$1005:$AS$1005,1,MATCH(COLUMNS($AC$1006:AL1006),$AC$1006:$AS$1006,0))&gt;=100000), " ",IF(INDEX($AC$2:$AS$1001,MATCH(ROWS($V$2:V478),$V$2:$V$1001,0),MATCH(COLUMNS($AC$1006:AL1006),$AC$1006:$AS$1006,0)), HYPERLINK("#",""), HYPERLINK(CONCATENATE("#Metadata!", ADDRESS(INDEX($X$2:$X$1001,MATCH(ROWS($V$2:V478),$V$2:$V$1001,0),0), INDEX($AC$1004:$AS$1004,1,MATCH(COLUMNS($AC$1006:AL1006),$AC$1006:$AS$1006,0)))),"Fix")))</f>
        <v>0</v>
      </c>
      <c r="L478" s="5">
        <f>IF(OR(INDEX($W$2:$W$1001,MATCH(ROWS($V$2:V478),$V$2:$V$1001,0),1)&gt;=100000,INDEX($AC$1005:$AS$1005,1,MATCH(COLUMNS($AC$1006:AM1006),$AC$1006:$AS$1006,0))&gt;=100000), " ",IF(INDEX($AC$2:$AS$1001,MATCH(ROWS($V$2:V478),$V$2:$V$1001,0),MATCH(COLUMNS($AC$1006:AM1006),$AC$1006:$AS$1006,0)), HYPERLINK("#",""), HYPERLINK(CONCATENATE("#Metadata!", ADDRESS(INDEX($X$2:$X$1001,MATCH(ROWS($V$2:V478),$V$2:$V$1001,0),0), INDEX($AC$1004:$AS$1004,1,MATCH(COLUMNS($AC$1006:AM1006),$AC$1006:$AS$1006,0)))),"Fix")))</f>
        <v>0</v>
      </c>
      <c r="M478" s="5">
        <f>IF(OR(INDEX($W$2:$W$1001,MATCH(ROWS($V$2:V478),$V$2:$V$1001,0),1)&gt;=100000,INDEX($AC$1005:$AS$1005,1,MATCH(COLUMNS($AC$1006:AN1006),$AC$1006:$AS$1006,0))&gt;=100000), " ",IF(INDEX($AC$2:$AS$1001,MATCH(ROWS($V$2:V478),$V$2:$V$1001,0),MATCH(COLUMNS($AC$1006:AN1006),$AC$1006:$AS$1006,0)), HYPERLINK("#",""), HYPERLINK(CONCATENATE("#Metadata!", ADDRESS(INDEX($X$2:$X$1001,MATCH(ROWS($V$2:V478),$V$2:$V$1001,0),0), INDEX($AC$1004:$AS$1004,1,MATCH(COLUMNS($AC$1006:AN1006),$AC$1006:$AS$1006,0)))),"Fix")))</f>
        <v>0</v>
      </c>
      <c r="N478" s="5">
        <f>IF(OR(INDEX($W$2:$W$1001,MATCH(ROWS($V$2:V478),$V$2:$V$1001,0),1)&gt;=100000,INDEX($AC$1005:$AS$1005,1,MATCH(COLUMNS($AC$1006:AO1006),$AC$1006:$AS$1006,0))&gt;=100000), " ",IF(INDEX($AC$2:$AS$1001,MATCH(ROWS($V$2:V478),$V$2:$V$1001,0),MATCH(COLUMNS($AC$1006:AO1006),$AC$1006:$AS$1006,0)), HYPERLINK("#",""), HYPERLINK(CONCATENATE("#Metadata!", ADDRESS(INDEX($X$2:$X$1001,MATCH(ROWS($V$2:V478),$V$2:$V$1001,0),0), INDEX($AC$1004:$AS$1004,1,MATCH(COLUMNS($AC$1006:AO1006),$AC$1006:$AS$1006,0)))),"Fix")))</f>
        <v>0</v>
      </c>
      <c r="O478" s="5">
        <f>IF(OR(INDEX($W$2:$W$1001,MATCH(ROWS($V$2:V478),$V$2:$V$1001,0),1)&gt;=100000,INDEX($AC$1005:$AS$1005,1,MATCH(COLUMNS($AC$1006:AP1006),$AC$1006:$AS$1006,0))&gt;=100000), " ",IF(INDEX($AC$2:$AS$1001,MATCH(ROWS($V$2:V478),$V$2:$V$1001,0),MATCH(COLUMNS($AC$1006:AP1006),$AC$1006:$AS$1006,0)), HYPERLINK("#",""), HYPERLINK(CONCATENATE("#Metadata!", ADDRESS(INDEX($X$2:$X$1001,MATCH(ROWS($V$2:V478),$V$2:$V$1001,0),0), INDEX($AC$1004:$AS$1004,1,MATCH(COLUMNS($AC$1006:AP1006),$AC$1006:$AS$1006,0)))),"Fix")))</f>
        <v>0</v>
      </c>
      <c r="P478" s="5">
        <f>IF(OR(INDEX($W$2:$W$1001,MATCH(ROWS($V$2:V478),$V$2:$V$1001,0),1)&gt;=100000,INDEX($AC$1005:$AS$1005,1,MATCH(COLUMNS($AC$1006:AQ1006),$AC$1006:$AS$1006,0))&gt;=100000), " ",IF(INDEX($AC$2:$AS$1001,MATCH(ROWS($V$2:V478),$V$2:$V$1001,0),MATCH(COLUMNS($AC$1006:AQ1006),$AC$1006:$AS$1006,0)), HYPERLINK("#",""), HYPERLINK(CONCATENATE("#Metadata!", ADDRESS(INDEX($X$2:$X$1001,MATCH(ROWS($V$2:V478),$V$2:$V$1001,0),0), INDEX($AC$1004:$AS$1004,1,MATCH(COLUMNS($AC$1006:AQ1006),$AC$1006:$AS$1006,0)))),"Fix")))</f>
        <v>0</v>
      </c>
      <c r="Q478" s="5">
        <f>IF(OR(INDEX($W$2:$W$1001,MATCH(ROWS($V$2:V478),$V$2:$V$1001,0),1)&gt;=100000,INDEX($AC$1005:$AS$1005,1,MATCH(COLUMNS($AC$1006:AR1006),$AC$1006:$AS$1006,0))&gt;=100000), " ",IF(INDEX($AC$2:$AS$1001,MATCH(ROWS($V$2:V478),$V$2:$V$1001,0),MATCH(COLUMNS($AC$1006:AR1006),$AC$1006:$AS$1006,0)), HYPERLINK("#",""), HYPERLINK(CONCATENATE("#Metadata!", ADDRESS(INDEX($X$2:$X$1001,MATCH(ROWS($V$2:V478),$V$2:$V$1001,0),0), INDEX($AC$1004:$AS$1004,1,MATCH(COLUMNS($AC$1006:AR1006),$AC$1006:$AS$1006,0)))),"Fix")))</f>
        <v>0</v>
      </c>
      <c r="R478" s="5">
        <f>IF(OR(INDEX($W$2:$W$1001,MATCH(ROWS($V$2:V478),$V$2:$V$1001,0),1)&gt;=100000,INDEX($AC$1005:$AS$1005,1,MATCH(COLUMNS($AC$1006:AS1006),$AC$1006:$AS$1006,0))&gt;=100000), " ",IF(INDEX($AC$2:$AS$1001,MATCH(ROWS($V$2:V478),$V$2:$V$1001,0),MATCH(COLUMNS($AC$1006:AS1006),$AC$1006:$AS$1006,0)), HYPERLINK("#",""), HYPERLINK(CONCATENATE("#Metadata!", ADDRESS(INDEX($X$2:$X$1001,MATCH(ROWS($V$2:V478),$V$2:$V$1001,0),0), INDEX($AC$1004:$AS$1004,1,MATCH(COLUMNS($AC$1006:AS1006),$AC$1006:$AS$1006,0)))),"Fix")))</f>
        <v>0</v>
      </c>
      <c r="V478">
        <v>0</v>
      </c>
      <c r="W478">
        <v>0</v>
      </c>
      <c r="X478">
        <v>0</v>
      </c>
      <c r="Y478">
        <f>IF(Z478,TRUE,AND(AC478:AS478))</f>
        <v>0</v>
      </c>
      <c r="Z478">
        <f>COUNTBLANK(Metadata!B478:R478)=COLUMNS(Metadata!B478:R478)</f>
        <v>0</v>
      </c>
      <c r="AA478">
        <v>0</v>
      </c>
      <c r="AC478">
        <f>AND(IF(Metadata!B478="",FALSE,TRUE),COUNTIF(Metadata!B:B, Metadata!B478) = 1,NOT(ISERROR(SUMPRODUCT(SEARCH(MID(Metadata!B478,ROW(INDIRECT("1:"&amp;LEN(Metadata!B478))), 1),"0123456789abcdefghijklmnopqrstuvwxyzABCDEFGHIJKLMNOPQRSTUVWXYZ.")))))</f>
        <v>0</v>
      </c>
      <c r="AD478">
        <f>AND(IF(Metadata!C478="",FALSE,TRUE),exact(Metadata!C478,"Host-associated"))</f>
        <v>0</v>
      </c>
      <c r="AE478">
        <f>AND(IF(Metadata!D478="",FALSE,TRUE),OR(exact(Metadata!D478,"Animal"),exact(Metadata!D478,"Fungus"),exact(Metadata!D478,"Plant")))</f>
        <v>0</v>
      </c>
      <c r="AF478">
        <f>AND(IF(Metadata!E478="",FALSE,TRUE),OR(exact(Metadata!E478,"Plant secretion"),exact(Metadata!E478,"Plant rhizosphere"),exact(Metadata!E478,"Plant surface"),exact(Metadata!E478,"Plant corpus"),exact(Metadata!E478,"Fungus surface"),exact(Metadata!E478,"Fungus corpus"),exact(Metadata!E478,"Animal surface"),exact(Metadata!E478,"Animal proximal gut"),exact(Metadata!E478,"Animal corpus"),exact(Metadata!E478,"Animal distal gut"),exact(Metadata!E478,"Animal secretion")))</f>
        <v>0</v>
      </c>
      <c r="AG478">
        <f>OR(AND(IF(Metadata!F478="",FALSE,TRUE),OR(exact(Metadata!F478,"not collected"),exact(Metadata!F478,"not provided"),exact(Metadata!F478,"restricted access"))),AND(IF(Metadata!F478="",FALSE,TRUE),OR(exact(Metadata!F478,"organism-associated habitat"),exact(Metadata!F478,"plant-associated habitat"),exact(Metadata!F478,"animal-associated habitat"),exact(Metadata!F478,"insecta-associated habitat"),exact(Metadata!F478,"mammalia-associated habitat"),exact(Metadata!F478,"human-associated habitat"),exact(Metadata!F478,"livestock-associated habitat"))))</f>
        <v>0</v>
      </c>
      <c r="AH478">
        <f>AND(IF(Metadata!G478="",FALSE,TRUE),exact(Metadata!G478,"host-associated"))</f>
        <v>0</v>
      </c>
      <c r="AI478">
        <f>OR(AND(IF(Metadata!H478="",FALSE,TRUE),OR(exact(Metadata!H478,"not collected"),exact(Metadata!H478,"not provided"))),AND(IF(Metadata!H478="",FALSE,ISNUMBER(VALUE(Metadata!H478))),Metadata!H478&gt;0))</f>
        <v>0</v>
      </c>
      <c r="AJ478">
        <f>AND(IF(Metadata!I478="",FALSE,TRUE),exact(Metadata!I478,"years"))</f>
        <v>0</v>
      </c>
      <c r="AK478">
        <f>IF(Metadata!J478="",FALSE,TRUE)</f>
        <v>0</v>
      </c>
      <c r="AL478">
        <f>OR(AND(IF(Metadata!K478="",FALSE,TRUE),OR(exact(Metadata!K478,"not collected"),exact(Metadata!K478,"not provided"))),AND(IF(Metadata!K478="",FALSE,ISNUMBER(VALUE(Metadata!K478))),Metadata!K478&gt;0))</f>
        <v>0</v>
      </c>
      <c r="AM478">
        <f>AND(IF(Metadata!L478="",FALSE,TRUE),exact(Metadata!L478,"cm"))</f>
        <v>0</v>
      </c>
      <c r="AN478">
        <f>IF(Metadata!M478="",FALSE,TRUE)</f>
        <v>0</v>
      </c>
      <c r="AO478">
        <f>OR(AND(IF(Metadata!N478="",FALSE,TRUE),OR(exact(Metadata!N478,"not applicable"),exact(Metadata!N478,"not collected"),exact(Metadata!N478,"not provided"))),AND(IF(Metadata!N478="",FALSE,IF(ISERROR(INT(Metadata!N478)),FALSE,INT(Metadata!N478)=Metadata!N478)),Metadata!N478&gt;0))</f>
        <v>0</v>
      </c>
      <c r="AP478">
        <f>OR(AND(IF(Metadata!O478="",FALSE,TRUE),OR(exact(Metadata!O478,"not collected"),exact(Metadata!O478,"not provided"))),AND(IF(Metadata!O478="",FALSE,ISNUMBER(VALUE(Metadata!O478))),Metadata!O478&gt;0))</f>
        <v>0</v>
      </c>
      <c r="AQ478">
        <f>AND(IF(Metadata!P478="",FALSE,TRUE),exact(Metadata!P478,"kg"))</f>
        <v>0</v>
      </c>
      <c r="AR478">
        <f>OR(AND(IF(Metadata!Q478="",FALSE,TRUE),OR(exact(Metadata!Q478,"not applicable"),exact(Metadata!Q478,"not collected"),exact(Metadata!Q478,"not provided"),exact(Metadata!Q478,"restricted access"))),IF(Metadata!Q478="",FALSE,IF(ISERROR(INT(Metadata!Q478)),FALSE,INT(Metadata!Q478)=Metadata!Q478)))</f>
        <v>0</v>
      </c>
      <c r="AS478">
        <f>AND(IF(Metadata!R478="",FALSE,TRUE),exact(Metadata!R478,"Not applicable"))</f>
        <v>0</v>
      </c>
    </row>
    <row r="479" spans="1:45">
      <c r="A479" s="4">
        <f>IF(B479=" "," ",HYPERLINK(CONCATENATE("#metadata!",ADDRESS(INDEX($X$2:$X$1001,MATCH(ROWS($V$2:V479),$V$2:$V$1001,0),0),2)),INDEX($AA$2:$AA$1001,MATCH(ROWS($V$2:V479),$V$2:$V$1001,0),0)))</f>
        <v>0</v>
      </c>
      <c r="B479" s="5">
        <f>IF(OR(INDEX($W$2:$W$1001,MATCH(ROWS($V$2:V479),$V$2:$V$1001,0),1)&gt;=100000,INDEX($AC$1005:$AS$1005,1,MATCH(COLUMNS($AC$1006:AC1006),$AC$1006:$AS$1006,0))&gt;=100000), " ",IF(INDEX($AC$2:$AS$1001,MATCH(ROWS($V$2:V479),$V$2:$V$1001,0),MATCH(COLUMNS($AC$1006:AC1006),$AC$1006:$AS$1006,0)), HYPERLINK("#",""), HYPERLINK(CONCATENATE("#Metadata!", ADDRESS(INDEX($X$2:$X$1001,MATCH(ROWS($V$2:V479),$V$2:$V$1001,0),0), INDEX($AC$1004:$AS$1004,1,MATCH(COLUMNS($AC$1006:AC1006),$AC$1006:$AS$1006,0)))),"Fix")))</f>
        <v>0</v>
      </c>
      <c r="C479" s="5">
        <f>IF(OR(INDEX($W$2:$W$1001,MATCH(ROWS($V$2:V479),$V$2:$V$1001,0),1)&gt;=100000,INDEX($AC$1005:$AS$1005,1,MATCH(COLUMNS($AC$1006:AD1006),$AC$1006:$AS$1006,0))&gt;=100000), " ",IF(INDEX($AC$2:$AS$1001,MATCH(ROWS($V$2:V479),$V$2:$V$1001,0),MATCH(COLUMNS($AC$1006:AD1006),$AC$1006:$AS$1006,0)), HYPERLINK("#",""), HYPERLINK(CONCATENATE("#Metadata!", ADDRESS(INDEX($X$2:$X$1001,MATCH(ROWS($V$2:V479),$V$2:$V$1001,0),0), INDEX($AC$1004:$AS$1004,1,MATCH(COLUMNS($AC$1006:AD1006),$AC$1006:$AS$1006,0)))),"Fix")))</f>
        <v>0</v>
      </c>
      <c r="D479" s="5">
        <f>IF(OR(INDEX($W$2:$W$1001,MATCH(ROWS($V$2:V479),$V$2:$V$1001,0),1)&gt;=100000,INDEX($AC$1005:$AS$1005,1,MATCH(COLUMNS($AC$1006:AE1006),$AC$1006:$AS$1006,0))&gt;=100000), " ",IF(INDEX($AC$2:$AS$1001,MATCH(ROWS($V$2:V479),$V$2:$V$1001,0),MATCH(COLUMNS($AC$1006:AE1006),$AC$1006:$AS$1006,0)), HYPERLINK("#",""), HYPERLINK(CONCATENATE("#Metadata!", ADDRESS(INDEX($X$2:$X$1001,MATCH(ROWS($V$2:V479),$V$2:$V$1001,0),0), INDEX($AC$1004:$AS$1004,1,MATCH(COLUMNS($AC$1006:AE1006),$AC$1006:$AS$1006,0)))),"Fix")))</f>
        <v>0</v>
      </c>
      <c r="E479" s="5">
        <f>IF(OR(INDEX($W$2:$W$1001,MATCH(ROWS($V$2:V479),$V$2:$V$1001,0),1)&gt;=100000,INDEX($AC$1005:$AS$1005,1,MATCH(COLUMNS($AC$1006:AF1006),$AC$1006:$AS$1006,0))&gt;=100000), " ",IF(INDEX($AC$2:$AS$1001,MATCH(ROWS($V$2:V479),$V$2:$V$1001,0),MATCH(COLUMNS($AC$1006:AF1006),$AC$1006:$AS$1006,0)), HYPERLINK("#",""), HYPERLINK(CONCATENATE("#Metadata!", ADDRESS(INDEX($X$2:$X$1001,MATCH(ROWS($V$2:V479),$V$2:$V$1001,0),0), INDEX($AC$1004:$AS$1004,1,MATCH(COLUMNS($AC$1006:AF1006),$AC$1006:$AS$1006,0)))),"Fix")))</f>
        <v>0</v>
      </c>
      <c r="F479" s="5">
        <f>IF(OR(INDEX($W$2:$W$1001,MATCH(ROWS($V$2:V479),$V$2:$V$1001,0),1)&gt;=100000,INDEX($AC$1005:$AS$1005,1,MATCH(COLUMNS($AC$1006:AG1006),$AC$1006:$AS$1006,0))&gt;=100000), " ",IF(INDEX($AC$2:$AS$1001,MATCH(ROWS($V$2:V479),$V$2:$V$1001,0),MATCH(COLUMNS($AC$1006:AG1006),$AC$1006:$AS$1006,0)), HYPERLINK("#",""), HYPERLINK(CONCATENATE("#Metadata!", ADDRESS(INDEX($X$2:$X$1001,MATCH(ROWS($V$2:V479),$V$2:$V$1001,0),0), INDEX($AC$1004:$AS$1004,1,MATCH(COLUMNS($AC$1006:AG1006),$AC$1006:$AS$1006,0)))),"Fix")))</f>
        <v>0</v>
      </c>
      <c r="G479" s="5">
        <f>IF(OR(INDEX($W$2:$W$1001,MATCH(ROWS($V$2:V479),$V$2:$V$1001,0),1)&gt;=100000,INDEX($AC$1005:$AS$1005,1,MATCH(COLUMNS($AC$1006:AH1006),$AC$1006:$AS$1006,0))&gt;=100000), " ",IF(INDEX($AC$2:$AS$1001,MATCH(ROWS($V$2:V479),$V$2:$V$1001,0),MATCH(COLUMNS($AC$1006:AH1006),$AC$1006:$AS$1006,0)), HYPERLINK("#",""), HYPERLINK(CONCATENATE("#Metadata!", ADDRESS(INDEX($X$2:$X$1001,MATCH(ROWS($V$2:V479),$V$2:$V$1001,0),0), INDEX($AC$1004:$AS$1004,1,MATCH(COLUMNS($AC$1006:AH1006),$AC$1006:$AS$1006,0)))),"Fix")))</f>
        <v>0</v>
      </c>
      <c r="H479" s="5">
        <f>IF(OR(INDEX($W$2:$W$1001,MATCH(ROWS($V$2:V479),$V$2:$V$1001,0),1)&gt;=100000,INDEX($AC$1005:$AS$1005,1,MATCH(COLUMNS($AC$1006:AI1006),$AC$1006:$AS$1006,0))&gt;=100000), " ",IF(INDEX($AC$2:$AS$1001,MATCH(ROWS($V$2:V479),$V$2:$V$1001,0),MATCH(COLUMNS($AC$1006:AI1006),$AC$1006:$AS$1006,0)), HYPERLINK("#",""), HYPERLINK(CONCATENATE("#Metadata!", ADDRESS(INDEX($X$2:$X$1001,MATCH(ROWS($V$2:V479),$V$2:$V$1001,0),0), INDEX($AC$1004:$AS$1004,1,MATCH(COLUMNS($AC$1006:AI1006),$AC$1006:$AS$1006,0)))),"Fix")))</f>
        <v>0</v>
      </c>
      <c r="I479" s="5">
        <f>IF(OR(INDEX($W$2:$W$1001,MATCH(ROWS($V$2:V479),$V$2:$V$1001,0),1)&gt;=100000,INDEX($AC$1005:$AS$1005,1,MATCH(COLUMNS($AC$1006:AJ1006),$AC$1006:$AS$1006,0))&gt;=100000), " ",IF(INDEX($AC$2:$AS$1001,MATCH(ROWS($V$2:V479),$V$2:$V$1001,0),MATCH(COLUMNS($AC$1006:AJ1006),$AC$1006:$AS$1006,0)), HYPERLINK("#",""), HYPERLINK(CONCATENATE("#Metadata!", ADDRESS(INDEX($X$2:$X$1001,MATCH(ROWS($V$2:V479),$V$2:$V$1001,0),0), INDEX($AC$1004:$AS$1004,1,MATCH(COLUMNS($AC$1006:AJ1006),$AC$1006:$AS$1006,0)))),"Fix")))</f>
        <v>0</v>
      </c>
      <c r="J479" s="5">
        <f>IF(OR(INDEX($W$2:$W$1001,MATCH(ROWS($V$2:V479),$V$2:$V$1001,0),1)&gt;=100000,INDEX($AC$1005:$AS$1005,1,MATCH(COLUMNS($AC$1006:AK1006),$AC$1006:$AS$1006,0))&gt;=100000), " ",IF(INDEX($AC$2:$AS$1001,MATCH(ROWS($V$2:V479),$V$2:$V$1001,0),MATCH(COLUMNS($AC$1006:AK1006),$AC$1006:$AS$1006,0)), HYPERLINK("#",""), HYPERLINK(CONCATENATE("#Metadata!", ADDRESS(INDEX($X$2:$X$1001,MATCH(ROWS($V$2:V479),$V$2:$V$1001,0),0), INDEX($AC$1004:$AS$1004,1,MATCH(COLUMNS($AC$1006:AK1006),$AC$1006:$AS$1006,0)))),"Fix")))</f>
        <v>0</v>
      </c>
      <c r="K479" s="5">
        <f>IF(OR(INDEX($W$2:$W$1001,MATCH(ROWS($V$2:V479),$V$2:$V$1001,0),1)&gt;=100000,INDEX($AC$1005:$AS$1005,1,MATCH(COLUMNS($AC$1006:AL1006),$AC$1006:$AS$1006,0))&gt;=100000), " ",IF(INDEX($AC$2:$AS$1001,MATCH(ROWS($V$2:V479),$V$2:$V$1001,0),MATCH(COLUMNS($AC$1006:AL1006),$AC$1006:$AS$1006,0)), HYPERLINK("#",""), HYPERLINK(CONCATENATE("#Metadata!", ADDRESS(INDEX($X$2:$X$1001,MATCH(ROWS($V$2:V479),$V$2:$V$1001,0),0), INDEX($AC$1004:$AS$1004,1,MATCH(COLUMNS($AC$1006:AL1006),$AC$1006:$AS$1006,0)))),"Fix")))</f>
        <v>0</v>
      </c>
      <c r="L479" s="5">
        <f>IF(OR(INDEX($W$2:$W$1001,MATCH(ROWS($V$2:V479),$V$2:$V$1001,0),1)&gt;=100000,INDEX($AC$1005:$AS$1005,1,MATCH(COLUMNS($AC$1006:AM1006),$AC$1006:$AS$1006,0))&gt;=100000), " ",IF(INDEX($AC$2:$AS$1001,MATCH(ROWS($V$2:V479),$V$2:$V$1001,0),MATCH(COLUMNS($AC$1006:AM1006),$AC$1006:$AS$1006,0)), HYPERLINK("#",""), HYPERLINK(CONCATENATE("#Metadata!", ADDRESS(INDEX($X$2:$X$1001,MATCH(ROWS($V$2:V479),$V$2:$V$1001,0),0), INDEX($AC$1004:$AS$1004,1,MATCH(COLUMNS($AC$1006:AM1006),$AC$1006:$AS$1006,0)))),"Fix")))</f>
        <v>0</v>
      </c>
      <c r="M479" s="5">
        <f>IF(OR(INDEX($W$2:$W$1001,MATCH(ROWS($V$2:V479),$V$2:$V$1001,0),1)&gt;=100000,INDEX($AC$1005:$AS$1005,1,MATCH(COLUMNS($AC$1006:AN1006),$AC$1006:$AS$1006,0))&gt;=100000), " ",IF(INDEX($AC$2:$AS$1001,MATCH(ROWS($V$2:V479),$V$2:$V$1001,0),MATCH(COLUMNS($AC$1006:AN1006),$AC$1006:$AS$1006,0)), HYPERLINK("#",""), HYPERLINK(CONCATENATE("#Metadata!", ADDRESS(INDEX($X$2:$X$1001,MATCH(ROWS($V$2:V479),$V$2:$V$1001,0),0), INDEX($AC$1004:$AS$1004,1,MATCH(COLUMNS($AC$1006:AN1006),$AC$1006:$AS$1006,0)))),"Fix")))</f>
        <v>0</v>
      </c>
      <c r="N479" s="5">
        <f>IF(OR(INDEX($W$2:$W$1001,MATCH(ROWS($V$2:V479),$V$2:$V$1001,0),1)&gt;=100000,INDEX($AC$1005:$AS$1005,1,MATCH(COLUMNS($AC$1006:AO1006),$AC$1006:$AS$1006,0))&gt;=100000), " ",IF(INDEX($AC$2:$AS$1001,MATCH(ROWS($V$2:V479),$V$2:$V$1001,0),MATCH(COLUMNS($AC$1006:AO1006),$AC$1006:$AS$1006,0)), HYPERLINK("#",""), HYPERLINK(CONCATENATE("#Metadata!", ADDRESS(INDEX($X$2:$X$1001,MATCH(ROWS($V$2:V479),$V$2:$V$1001,0),0), INDEX($AC$1004:$AS$1004,1,MATCH(COLUMNS($AC$1006:AO1006),$AC$1006:$AS$1006,0)))),"Fix")))</f>
        <v>0</v>
      </c>
      <c r="O479" s="5">
        <f>IF(OR(INDEX($W$2:$W$1001,MATCH(ROWS($V$2:V479),$V$2:$V$1001,0),1)&gt;=100000,INDEX($AC$1005:$AS$1005,1,MATCH(COLUMNS($AC$1006:AP1006),$AC$1006:$AS$1006,0))&gt;=100000), " ",IF(INDEX($AC$2:$AS$1001,MATCH(ROWS($V$2:V479),$V$2:$V$1001,0),MATCH(COLUMNS($AC$1006:AP1006),$AC$1006:$AS$1006,0)), HYPERLINK("#",""), HYPERLINK(CONCATENATE("#Metadata!", ADDRESS(INDEX($X$2:$X$1001,MATCH(ROWS($V$2:V479),$V$2:$V$1001,0),0), INDEX($AC$1004:$AS$1004,1,MATCH(COLUMNS($AC$1006:AP1006),$AC$1006:$AS$1006,0)))),"Fix")))</f>
        <v>0</v>
      </c>
      <c r="P479" s="5">
        <f>IF(OR(INDEX($W$2:$W$1001,MATCH(ROWS($V$2:V479),$V$2:$V$1001,0),1)&gt;=100000,INDEX($AC$1005:$AS$1005,1,MATCH(COLUMNS($AC$1006:AQ1006),$AC$1006:$AS$1006,0))&gt;=100000), " ",IF(INDEX($AC$2:$AS$1001,MATCH(ROWS($V$2:V479),$V$2:$V$1001,0),MATCH(COLUMNS($AC$1006:AQ1006),$AC$1006:$AS$1006,0)), HYPERLINK("#",""), HYPERLINK(CONCATENATE("#Metadata!", ADDRESS(INDEX($X$2:$X$1001,MATCH(ROWS($V$2:V479),$V$2:$V$1001,0),0), INDEX($AC$1004:$AS$1004,1,MATCH(COLUMNS($AC$1006:AQ1006),$AC$1006:$AS$1006,0)))),"Fix")))</f>
        <v>0</v>
      </c>
      <c r="Q479" s="5">
        <f>IF(OR(INDEX($W$2:$W$1001,MATCH(ROWS($V$2:V479),$V$2:$V$1001,0),1)&gt;=100000,INDEX($AC$1005:$AS$1005,1,MATCH(COLUMNS($AC$1006:AR1006),$AC$1006:$AS$1006,0))&gt;=100000), " ",IF(INDEX($AC$2:$AS$1001,MATCH(ROWS($V$2:V479),$V$2:$V$1001,0),MATCH(COLUMNS($AC$1006:AR1006),$AC$1006:$AS$1006,0)), HYPERLINK("#",""), HYPERLINK(CONCATENATE("#Metadata!", ADDRESS(INDEX($X$2:$X$1001,MATCH(ROWS($V$2:V479),$V$2:$V$1001,0),0), INDEX($AC$1004:$AS$1004,1,MATCH(COLUMNS($AC$1006:AR1006),$AC$1006:$AS$1006,0)))),"Fix")))</f>
        <v>0</v>
      </c>
      <c r="R479" s="5">
        <f>IF(OR(INDEX($W$2:$W$1001,MATCH(ROWS($V$2:V479),$V$2:$V$1001,0),1)&gt;=100000,INDEX($AC$1005:$AS$1005,1,MATCH(COLUMNS($AC$1006:AS1006),$AC$1006:$AS$1006,0))&gt;=100000), " ",IF(INDEX($AC$2:$AS$1001,MATCH(ROWS($V$2:V479),$V$2:$V$1001,0),MATCH(COLUMNS($AC$1006:AS1006),$AC$1006:$AS$1006,0)), HYPERLINK("#",""), HYPERLINK(CONCATENATE("#Metadata!", ADDRESS(INDEX($X$2:$X$1001,MATCH(ROWS($V$2:V479),$V$2:$V$1001,0),0), INDEX($AC$1004:$AS$1004,1,MATCH(COLUMNS($AC$1006:AS1006),$AC$1006:$AS$1006,0)))),"Fix")))</f>
        <v>0</v>
      </c>
      <c r="V479">
        <v>0</v>
      </c>
      <c r="W479">
        <v>0</v>
      </c>
      <c r="X479">
        <v>0</v>
      </c>
      <c r="Y479">
        <f>IF(Z479,TRUE,AND(AC479:AS479))</f>
        <v>0</v>
      </c>
      <c r="Z479">
        <f>COUNTBLANK(Metadata!B479:R479)=COLUMNS(Metadata!B479:R479)</f>
        <v>0</v>
      </c>
      <c r="AA479">
        <v>0</v>
      </c>
      <c r="AC479">
        <f>AND(IF(Metadata!B479="",FALSE,TRUE),COUNTIF(Metadata!B:B, Metadata!B479) = 1,NOT(ISERROR(SUMPRODUCT(SEARCH(MID(Metadata!B479,ROW(INDIRECT("1:"&amp;LEN(Metadata!B479))), 1),"0123456789abcdefghijklmnopqrstuvwxyzABCDEFGHIJKLMNOPQRSTUVWXYZ.")))))</f>
        <v>0</v>
      </c>
      <c r="AD479">
        <f>AND(IF(Metadata!C479="",FALSE,TRUE),exact(Metadata!C479,"Host-associated"))</f>
        <v>0</v>
      </c>
      <c r="AE479">
        <f>AND(IF(Metadata!D479="",FALSE,TRUE),OR(exact(Metadata!D479,"Animal"),exact(Metadata!D479,"Fungus"),exact(Metadata!D479,"Plant")))</f>
        <v>0</v>
      </c>
      <c r="AF479">
        <f>AND(IF(Metadata!E479="",FALSE,TRUE),OR(exact(Metadata!E479,"Plant secretion"),exact(Metadata!E479,"Plant rhizosphere"),exact(Metadata!E479,"Plant surface"),exact(Metadata!E479,"Plant corpus"),exact(Metadata!E479,"Fungus surface"),exact(Metadata!E479,"Fungus corpus"),exact(Metadata!E479,"Animal surface"),exact(Metadata!E479,"Animal proximal gut"),exact(Metadata!E479,"Animal corpus"),exact(Metadata!E479,"Animal distal gut"),exact(Metadata!E479,"Animal secretion")))</f>
        <v>0</v>
      </c>
      <c r="AG479">
        <f>OR(AND(IF(Metadata!F479="",FALSE,TRUE),OR(exact(Metadata!F479,"not collected"),exact(Metadata!F479,"not provided"),exact(Metadata!F479,"restricted access"))),AND(IF(Metadata!F479="",FALSE,TRUE),OR(exact(Metadata!F479,"organism-associated habitat"),exact(Metadata!F479,"plant-associated habitat"),exact(Metadata!F479,"animal-associated habitat"),exact(Metadata!F479,"insecta-associated habitat"),exact(Metadata!F479,"mammalia-associated habitat"),exact(Metadata!F479,"human-associated habitat"),exact(Metadata!F479,"livestock-associated habitat"))))</f>
        <v>0</v>
      </c>
      <c r="AH479">
        <f>AND(IF(Metadata!G479="",FALSE,TRUE),exact(Metadata!G479,"host-associated"))</f>
        <v>0</v>
      </c>
      <c r="AI479">
        <f>OR(AND(IF(Metadata!H479="",FALSE,TRUE),OR(exact(Metadata!H479,"not collected"),exact(Metadata!H479,"not provided"))),AND(IF(Metadata!H479="",FALSE,ISNUMBER(VALUE(Metadata!H479))),Metadata!H479&gt;0))</f>
        <v>0</v>
      </c>
      <c r="AJ479">
        <f>AND(IF(Metadata!I479="",FALSE,TRUE),exact(Metadata!I479,"years"))</f>
        <v>0</v>
      </c>
      <c r="AK479">
        <f>IF(Metadata!J479="",FALSE,TRUE)</f>
        <v>0</v>
      </c>
      <c r="AL479">
        <f>OR(AND(IF(Metadata!K479="",FALSE,TRUE),OR(exact(Metadata!K479,"not collected"),exact(Metadata!K479,"not provided"))),AND(IF(Metadata!K479="",FALSE,ISNUMBER(VALUE(Metadata!K479))),Metadata!K479&gt;0))</f>
        <v>0</v>
      </c>
      <c r="AM479">
        <f>AND(IF(Metadata!L479="",FALSE,TRUE),exact(Metadata!L479,"cm"))</f>
        <v>0</v>
      </c>
      <c r="AN479">
        <f>IF(Metadata!M479="",FALSE,TRUE)</f>
        <v>0</v>
      </c>
      <c r="AO479">
        <f>OR(AND(IF(Metadata!N479="",FALSE,TRUE),OR(exact(Metadata!N479,"not applicable"),exact(Metadata!N479,"not collected"),exact(Metadata!N479,"not provided"))),AND(IF(Metadata!N479="",FALSE,IF(ISERROR(INT(Metadata!N479)),FALSE,INT(Metadata!N479)=Metadata!N479)),Metadata!N479&gt;0))</f>
        <v>0</v>
      </c>
      <c r="AP479">
        <f>OR(AND(IF(Metadata!O479="",FALSE,TRUE),OR(exact(Metadata!O479,"not collected"),exact(Metadata!O479,"not provided"))),AND(IF(Metadata!O479="",FALSE,ISNUMBER(VALUE(Metadata!O479))),Metadata!O479&gt;0))</f>
        <v>0</v>
      </c>
      <c r="AQ479">
        <f>AND(IF(Metadata!P479="",FALSE,TRUE),exact(Metadata!P479,"kg"))</f>
        <v>0</v>
      </c>
      <c r="AR479">
        <f>OR(AND(IF(Metadata!Q479="",FALSE,TRUE),OR(exact(Metadata!Q479,"not applicable"),exact(Metadata!Q479,"not collected"),exact(Metadata!Q479,"not provided"),exact(Metadata!Q479,"restricted access"))),IF(Metadata!Q479="",FALSE,IF(ISERROR(INT(Metadata!Q479)),FALSE,INT(Metadata!Q479)=Metadata!Q479)))</f>
        <v>0</v>
      </c>
      <c r="AS479">
        <f>AND(IF(Metadata!R479="",FALSE,TRUE),exact(Metadata!R479,"Not applicable"))</f>
        <v>0</v>
      </c>
    </row>
    <row r="480" spans="1:45">
      <c r="A480" s="4">
        <f>IF(B480=" "," ",HYPERLINK(CONCATENATE("#metadata!",ADDRESS(INDEX($X$2:$X$1001,MATCH(ROWS($V$2:V480),$V$2:$V$1001,0),0),2)),INDEX($AA$2:$AA$1001,MATCH(ROWS($V$2:V480),$V$2:$V$1001,0),0)))</f>
        <v>0</v>
      </c>
      <c r="B480" s="5">
        <f>IF(OR(INDEX($W$2:$W$1001,MATCH(ROWS($V$2:V480),$V$2:$V$1001,0),1)&gt;=100000,INDEX($AC$1005:$AS$1005,1,MATCH(COLUMNS($AC$1006:AC1006),$AC$1006:$AS$1006,0))&gt;=100000), " ",IF(INDEX($AC$2:$AS$1001,MATCH(ROWS($V$2:V480),$V$2:$V$1001,0),MATCH(COLUMNS($AC$1006:AC1006),$AC$1006:$AS$1006,0)), HYPERLINK("#",""), HYPERLINK(CONCATENATE("#Metadata!", ADDRESS(INDEX($X$2:$X$1001,MATCH(ROWS($V$2:V480),$V$2:$V$1001,0),0), INDEX($AC$1004:$AS$1004,1,MATCH(COLUMNS($AC$1006:AC1006),$AC$1006:$AS$1006,0)))),"Fix")))</f>
        <v>0</v>
      </c>
      <c r="C480" s="5">
        <f>IF(OR(INDEX($W$2:$W$1001,MATCH(ROWS($V$2:V480),$V$2:$V$1001,0),1)&gt;=100000,INDEX($AC$1005:$AS$1005,1,MATCH(COLUMNS($AC$1006:AD1006),$AC$1006:$AS$1006,0))&gt;=100000), " ",IF(INDEX($AC$2:$AS$1001,MATCH(ROWS($V$2:V480),$V$2:$V$1001,0),MATCH(COLUMNS($AC$1006:AD1006),$AC$1006:$AS$1006,0)), HYPERLINK("#",""), HYPERLINK(CONCATENATE("#Metadata!", ADDRESS(INDEX($X$2:$X$1001,MATCH(ROWS($V$2:V480),$V$2:$V$1001,0),0), INDEX($AC$1004:$AS$1004,1,MATCH(COLUMNS($AC$1006:AD1006),$AC$1006:$AS$1006,0)))),"Fix")))</f>
        <v>0</v>
      </c>
      <c r="D480" s="5">
        <f>IF(OR(INDEX($W$2:$W$1001,MATCH(ROWS($V$2:V480),$V$2:$V$1001,0),1)&gt;=100000,INDEX($AC$1005:$AS$1005,1,MATCH(COLUMNS($AC$1006:AE1006),$AC$1006:$AS$1006,0))&gt;=100000), " ",IF(INDEX($AC$2:$AS$1001,MATCH(ROWS($V$2:V480),$V$2:$V$1001,0),MATCH(COLUMNS($AC$1006:AE1006),$AC$1006:$AS$1006,0)), HYPERLINK("#",""), HYPERLINK(CONCATENATE("#Metadata!", ADDRESS(INDEX($X$2:$X$1001,MATCH(ROWS($V$2:V480),$V$2:$V$1001,0),0), INDEX($AC$1004:$AS$1004,1,MATCH(COLUMNS($AC$1006:AE1006),$AC$1006:$AS$1006,0)))),"Fix")))</f>
        <v>0</v>
      </c>
      <c r="E480" s="5">
        <f>IF(OR(INDEX($W$2:$W$1001,MATCH(ROWS($V$2:V480),$V$2:$V$1001,0),1)&gt;=100000,INDEX($AC$1005:$AS$1005,1,MATCH(COLUMNS($AC$1006:AF1006),$AC$1006:$AS$1006,0))&gt;=100000), " ",IF(INDEX($AC$2:$AS$1001,MATCH(ROWS($V$2:V480),$V$2:$V$1001,0),MATCH(COLUMNS($AC$1006:AF1006),$AC$1006:$AS$1006,0)), HYPERLINK("#",""), HYPERLINK(CONCATENATE("#Metadata!", ADDRESS(INDEX($X$2:$X$1001,MATCH(ROWS($V$2:V480),$V$2:$V$1001,0),0), INDEX($AC$1004:$AS$1004,1,MATCH(COLUMNS($AC$1006:AF1006),$AC$1006:$AS$1006,0)))),"Fix")))</f>
        <v>0</v>
      </c>
      <c r="F480" s="5">
        <f>IF(OR(INDEX($W$2:$W$1001,MATCH(ROWS($V$2:V480),$V$2:$V$1001,0),1)&gt;=100000,INDEX($AC$1005:$AS$1005,1,MATCH(COLUMNS($AC$1006:AG1006),$AC$1006:$AS$1006,0))&gt;=100000), " ",IF(INDEX($AC$2:$AS$1001,MATCH(ROWS($V$2:V480),$V$2:$V$1001,0),MATCH(COLUMNS($AC$1006:AG1006),$AC$1006:$AS$1006,0)), HYPERLINK("#",""), HYPERLINK(CONCATENATE("#Metadata!", ADDRESS(INDEX($X$2:$X$1001,MATCH(ROWS($V$2:V480),$V$2:$V$1001,0),0), INDEX($AC$1004:$AS$1004,1,MATCH(COLUMNS($AC$1006:AG1006),$AC$1006:$AS$1006,0)))),"Fix")))</f>
        <v>0</v>
      </c>
      <c r="G480" s="5">
        <f>IF(OR(INDEX($W$2:$W$1001,MATCH(ROWS($V$2:V480),$V$2:$V$1001,0),1)&gt;=100000,INDEX($AC$1005:$AS$1005,1,MATCH(COLUMNS($AC$1006:AH1006),$AC$1006:$AS$1006,0))&gt;=100000), " ",IF(INDEX($AC$2:$AS$1001,MATCH(ROWS($V$2:V480),$V$2:$V$1001,0),MATCH(COLUMNS($AC$1006:AH1006),$AC$1006:$AS$1006,0)), HYPERLINK("#",""), HYPERLINK(CONCATENATE("#Metadata!", ADDRESS(INDEX($X$2:$X$1001,MATCH(ROWS($V$2:V480),$V$2:$V$1001,0),0), INDEX($AC$1004:$AS$1004,1,MATCH(COLUMNS($AC$1006:AH1006),$AC$1006:$AS$1006,0)))),"Fix")))</f>
        <v>0</v>
      </c>
      <c r="H480" s="5">
        <f>IF(OR(INDEX($W$2:$W$1001,MATCH(ROWS($V$2:V480),$V$2:$V$1001,0),1)&gt;=100000,INDEX($AC$1005:$AS$1005,1,MATCH(COLUMNS($AC$1006:AI1006),$AC$1006:$AS$1006,0))&gt;=100000), " ",IF(INDEX($AC$2:$AS$1001,MATCH(ROWS($V$2:V480),$V$2:$V$1001,0),MATCH(COLUMNS($AC$1006:AI1006),$AC$1006:$AS$1006,0)), HYPERLINK("#",""), HYPERLINK(CONCATENATE("#Metadata!", ADDRESS(INDEX($X$2:$X$1001,MATCH(ROWS($V$2:V480),$V$2:$V$1001,0),0), INDEX($AC$1004:$AS$1004,1,MATCH(COLUMNS($AC$1006:AI1006),$AC$1006:$AS$1006,0)))),"Fix")))</f>
        <v>0</v>
      </c>
      <c r="I480" s="5">
        <f>IF(OR(INDEX($W$2:$W$1001,MATCH(ROWS($V$2:V480),$V$2:$V$1001,0),1)&gt;=100000,INDEX($AC$1005:$AS$1005,1,MATCH(COLUMNS($AC$1006:AJ1006),$AC$1006:$AS$1006,0))&gt;=100000), " ",IF(INDEX($AC$2:$AS$1001,MATCH(ROWS($V$2:V480),$V$2:$V$1001,0),MATCH(COLUMNS($AC$1006:AJ1006),$AC$1006:$AS$1006,0)), HYPERLINK("#",""), HYPERLINK(CONCATENATE("#Metadata!", ADDRESS(INDEX($X$2:$X$1001,MATCH(ROWS($V$2:V480),$V$2:$V$1001,0),0), INDEX($AC$1004:$AS$1004,1,MATCH(COLUMNS($AC$1006:AJ1006),$AC$1006:$AS$1006,0)))),"Fix")))</f>
        <v>0</v>
      </c>
      <c r="J480" s="5">
        <f>IF(OR(INDEX($W$2:$W$1001,MATCH(ROWS($V$2:V480),$V$2:$V$1001,0),1)&gt;=100000,INDEX($AC$1005:$AS$1005,1,MATCH(COLUMNS($AC$1006:AK1006),$AC$1006:$AS$1006,0))&gt;=100000), " ",IF(INDEX($AC$2:$AS$1001,MATCH(ROWS($V$2:V480),$V$2:$V$1001,0),MATCH(COLUMNS($AC$1006:AK1006),$AC$1006:$AS$1006,0)), HYPERLINK("#",""), HYPERLINK(CONCATENATE("#Metadata!", ADDRESS(INDEX($X$2:$X$1001,MATCH(ROWS($V$2:V480),$V$2:$V$1001,0),0), INDEX($AC$1004:$AS$1004,1,MATCH(COLUMNS($AC$1006:AK1006),$AC$1006:$AS$1006,0)))),"Fix")))</f>
        <v>0</v>
      </c>
      <c r="K480" s="5">
        <f>IF(OR(INDEX($W$2:$W$1001,MATCH(ROWS($V$2:V480),$V$2:$V$1001,0),1)&gt;=100000,INDEX($AC$1005:$AS$1005,1,MATCH(COLUMNS($AC$1006:AL1006),$AC$1006:$AS$1006,0))&gt;=100000), " ",IF(INDEX($AC$2:$AS$1001,MATCH(ROWS($V$2:V480),$V$2:$V$1001,0),MATCH(COLUMNS($AC$1006:AL1006),$AC$1006:$AS$1006,0)), HYPERLINK("#",""), HYPERLINK(CONCATENATE("#Metadata!", ADDRESS(INDEX($X$2:$X$1001,MATCH(ROWS($V$2:V480),$V$2:$V$1001,0),0), INDEX($AC$1004:$AS$1004,1,MATCH(COLUMNS($AC$1006:AL1006),$AC$1006:$AS$1006,0)))),"Fix")))</f>
        <v>0</v>
      </c>
      <c r="L480" s="5">
        <f>IF(OR(INDEX($W$2:$W$1001,MATCH(ROWS($V$2:V480),$V$2:$V$1001,0),1)&gt;=100000,INDEX($AC$1005:$AS$1005,1,MATCH(COLUMNS($AC$1006:AM1006),$AC$1006:$AS$1006,0))&gt;=100000), " ",IF(INDEX($AC$2:$AS$1001,MATCH(ROWS($V$2:V480),$V$2:$V$1001,0),MATCH(COLUMNS($AC$1006:AM1006),$AC$1006:$AS$1006,0)), HYPERLINK("#",""), HYPERLINK(CONCATENATE("#Metadata!", ADDRESS(INDEX($X$2:$X$1001,MATCH(ROWS($V$2:V480),$V$2:$V$1001,0),0), INDEX($AC$1004:$AS$1004,1,MATCH(COLUMNS($AC$1006:AM1006),$AC$1006:$AS$1006,0)))),"Fix")))</f>
        <v>0</v>
      </c>
      <c r="M480" s="5">
        <f>IF(OR(INDEX($W$2:$W$1001,MATCH(ROWS($V$2:V480),$V$2:$V$1001,0),1)&gt;=100000,INDEX($AC$1005:$AS$1005,1,MATCH(COLUMNS($AC$1006:AN1006),$AC$1006:$AS$1006,0))&gt;=100000), " ",IF(INDEX($AC$2:$AS$1001,MATCH(ROWS($V$2:V480),$V$2:$V$1001,0),MATCH(COLUMNS($AC$1006:AN1006),$AC$1006:$AS$1006,0)), HYPERLINK("#",""), HYPERLINK(CONCATENATE("#Metadata!", ADDRESS(INDEX($X$2:$X$1001,MATCH(ROWS($V$2:V480),$V$2:$V$1001,0),0), INDEX($AC$1004:$AS$1004,1,MATCH(COLUMNS($AC$1006:AN1006),$AC$1006:$AS$1006,0)))),"Fix")))</f>
        <v>0</v>
      </c>
      <c r="N480" s="5">
        <f>IF(OR(INDEX($W$2:$W$1001,MATCH(ROWS($V$2:V480),$V$2:$V$1001,0),1)&gt;=100000,INDEX($AC$1005:$AS$1005,1,MATCH(COLUMNS($AC$1006:AO1006),$AC$1006:$AS$1006,0))&gt;=100000), " ",IF(INDEX($AC$2:$AS$1001,MATCH(ROWS($V$2:V480),$V$2:$V$1001,0),MATCH(COLUMNS($AC$1006:AO1006),$AC$1006:$AS$1006,0)), HYPERLINK("#",""), HYPERLINK(CONCATENATE("#Metadata!", ADDRESS(INDEX($X$2:$X$1001,MATCH(ROWS($V$2:V480),$V$2:$V$1001,0),0), INDEX($AC$1004:$AS$1004,1,MATCH(COLUMNS($AC$1006:AO1006),$AC$1006:$AS$1006,0)))),"Fix")))</f>
        <v>0</v>
      </c>
      <c r="O480" s="5">
        <f>IF(OR(INDEX($W$2:$W$1001,MATCH(ROWS($V$2:V480),$V$2:$V$1001,0),1)&gt;=100000,INDEX($AC$1005:$AS$1005,1,MATCH(COLUMNS($AC$1006:AP1006),$AC$1006:$AS$1006,0))&gt;=100000), " ",IF(INDEX($AC$2:$AS$1001,MATCH(ROWS($V$2:V480),$V$2:$V$1001,0),MATCH(COLUMNS($AC$1006:AP1006),$AC$1006:$AS$1006,0)), HYPERLINK("#",""), HYPERLINK(CONCATENATE("#Metadata!", ADDRESS(INDEX($X$2:$X$1001,MATCH(ROWS($V$2:V480),$V$2:$V$1001,0),0), INDEX($AC$1004:$AS$1004,1,MATCH(COLUMNS($AC$1006:AP1006),$AC$1006:$AS$1006,0)))),"Fix")))</f>
        <v>0</v>
      </c>
      <c r="P480" s="5">
        <f>IF(OR(INDEX($W$2:$W$1001,MATCH(ROWS($V$2:V480),$V$2:$V$1001,0),1)&gt;=100000,INDEX($AC$1005:$AS$1005,1,MATCH(COLUMNS($AC$1006:AQ1006),$AC$1006:$AS$1006,0))&gt;=100000), " ",IF(INDEX($AC$2:$AS$1001,MATCH(ROWS($V$2:V480),$V$2:$V$1001,0),MATCH(COLUMNS($AC$1006:AQ1006),$AC$1006:$AS$1006,0)), HYPERLINK("#",""), HYPERLINK(CONCATENATE("#Metadata!", ADDRESS(INDEX($X$2:$X$1001,MATCH(ROWS($V$2:V480),$V$2:$V$1001,0),0), INDEX($AC$1004:$AS$1004,1,MATCH(COLUMNS($AC$1006:AQ1006),$AC$1006:$AS$1006,0)))),"Fix")))</f>
        <v>0</v>
      </c>
      <c r="Q480" s="5">
        <f>IF(OR(INDEX($W$2:$W$1001,MATCH(ROWS($V$2:V480),$V$2:$V$1001,0),1)&gt;=100000,INDEX($AC$1005:$AS$1005,1,MATCH(COLUMNS($AC$1006:AR1006),$AC$1006:$AS$1006,0))&gt;=100000), " ",IF(INDEX($AC$2:$AS$1001,MATCH(ROWS($V$2:V480),$V$2:$V$1001,0),MATCH(COLUMNS($AC$1006:AR1006),$AC$1006:$AS$1006,0)), HYPERLINK("#",""), HYPERLINK(CONCATENATE("#Metadata!", ADDRESS(INDEX($X$2:$X$1001,MATCH(ROWS($V$2:V480),$V$2:$V$1001,0),0), INDEX($AC$1004:$AS$1004,1,MATCH(COLUMNS($AC$1006:AR1006),$AC$1006:$AS$1006,0)))),"Fix")))</f>
        <v>0</v>
      </c>
      <c r="R480" s="5">
        <f>IF(OR(INDEX($W$2:$W$1001,MATCH(ROWS($V$2:V480),$V$2:$V$1001,0),1)&gt;=100000,INDEX($AC$1005:$AS$1005,1,MATCH(COLUMNS($AC$1006:AS1006),$AC$1006:$AS$1006,0))&gt;=100000), " ",IF(INDEX($AC$2:$AS$1001,MATCH(ROWS($V$2:V480),$V$2:$V$1001,0),MATCH(COLUMNS($AC$1006:AS1006),$AC$1006:$AS$1006,0)), HYPERLINK("#",""), HYPERLINK(CONCATENATE("#Metadata!", ADDRESS(INDEX($X$2:$X$1001,MATCH(ROWS($V$2:V480),$V$2:$V$1001,0),0), INDEX($AC$1004:$AS$1004,1,MATCH(COLUMNS($AC$1006:AS1006),$AC$1006:$AS$1006,0)))),"Fix")))</f>
        <v>0</v>
      </c>
      <c r="V480">
        <v>0</v>
      </c>
      <c r="W480">
        <v>0</v>
      </c>
      <c r="X480">
        <v>0</v>
      </c>
      <c r="Y480">
        <f>IF(Z480,TRUE,AND(AC480:AS480))</f>
        <v>0</v>
      </c>
      <c r="Z480">
        <f>COUNTBLANK(Metadata!B480:R480)=COLUMNS(Metadata!B480:R480)</f>
        <v>0</v>
      </c>
      <c r="AA480">
        <v>0</v>
      </c>
      <c r="AC480">
        <f>AND(IF(Metadata!B480="",FALSE,TRUE),COUNTIF(Metadata!B:B, Metadata!B480) = 1,NOT(ISERROR(SUMPRODUCT(SEARCH(MID(Metadata!B480,ROW(INDIRECT("1:"&amp;LEN(Metadata!B480))), 1),"0123456789abcdefghijklmnopqrstuvwxyzABCDEFGHIJKLMNOPQRSTUVWXYZ.")))))</f>
        <v>0</v>
      </c>
      <c r="AD480">
        <f>AND(IF(Metadata!C480="",FALSE,TRUE),exact(Metadata!C480,"Host-associated"))</f>
        <v>0</v>
      </c>
      <c r="AE480">
        <f>AND(IF(Metadata!D480="",FALSE,TRUE),OR(exact(Metadata!D480,"Animal"),exact(Metadata!D480,"Fungus"),exact(Metadata!D480,"Plant")))</f>
        <v>0</v>
      </c>
      <c r="AF480">
        <f>AND(IF(Metadata!E480="",FALSE,TRUE),OR(exact(Metadata!E480,"Plant secretion"),exact(Metadata!E480,"Plant rhizosphere"),exact(Metadata!E480,"Plant surface"),exact(Metadata!E480,"Plant corpus"),exact(Metadata!E480,"Fungus surface"),exact(Metadata!E480,"Fungus corpus"),exact(Metadata!E480,"Animal surface"),exact(Metadata!E480,"Animal proximal gut"),exact(Metadata!E480,"Animal corpus"),exact(Metadata!E480,"Animal distal gut"),exact(Metadata!E480,"Animal secretion")))</f>
        <v>0</v>
      </c>
      <c r="AG480">
        <f>OR(AND(IF(Metadata!F480="",FALSE,TRUE),OR(exact(Metadata!F480,"not collected"),exact(Metadata!F480,"not provided"),exact(Metadata!F480,"restricted access"))),AND(IF(Metadata!F480="",FALSE,TRUE),OR(exact(Metadata!F480,"organism-associated habitat"),exact(Metadata!F480,"plant-associated habitat"),exact(Metadata!F480,"animal-associated habitat"),exact(Metadata!F480,"insecta-associated habitat"),exact(Metadata!F480,"mammalia-associated habitat"),exact(Metadata!F480,"human-associated habitat"),exact(Metadata!F480,"livestock-associated habitat"))))</f>
        <v>0</v>
      </c>
      <c r="AH480">
        <f>AND(IF(Metadata!G480="",FALSE,TRUE),exact(Metadata!G480,"host-associated"))</f>
        <v>0</v>
      </c>
      <c r="AI480">
        <f>OR(AND(IF(Metadata!H480="",FALSE,TRUE),OR(exact(Metadata!H480,"not collected"),exact(Metadata!H480,"not provided"))),AND(IF(Metadata!H480="",FALSE,ISNUMBER(VALUE(Metadata!H480))),Metadata!H480&gt;0))</f>
        <v>0</v>
      </c>
      <c r="AJ480">
        <f>AND(IF(Metadata!I480="",FALSE,TRUE),exact(Metadata!I480,"years"))</f>
        <v>0</v>
      </c>
      <c r="AK480">
        <f>IF(Metadata!J480="",FALSE,TRUE)</f>
        <v>0</v>
      </c>
      <c r="AL480">
        <f>OR(AND(IF(Metadata!K480="",FALSE,TRUE),OR(exact(Metadata!K480,"not collected"),exact(Metadata!K480,"not provided"))),AND(IF(Metadata!K480="",FALSE,ISNUMBER(VALUE(Metadata!K480))),Metadata!K480&gt;0))</f>
        <v>0</v>
      </c>
      <c r="AM480">
        <f>AND(IF(Metadata!L480="",FALSE,TRUE),exact(Metadata!L480,"cm"))</f>
        <v>0</v>
      </c>
      <c r="AN480">
        <f>IF(Metadata!M480="",FALSE,TRUE)</f>
        <v>0</v>
      </c>
      <c r="AO480">
        <f>OR(AND(IF(Metadata!N480="",FALSE,TRUE),OR(exact(Metadata!N480,"not applicable"),exact(Metadata!N480,"not collected"),exact(Metadata!N480,"not provided"))),AND(IF(Metadata!N480="",FALSE,IF(ISERROR(INT(Metadata!N480)),FALSE,INT(Metadata!N480)=Metadata!N480)),Metadata!N480&gt;0))</f>
        <v>0</v>
      </c>
      <c r="AP480">
        <f>OR(AND(IF(Metadata!O480="",FALSE,TRUE),OR(exact(Metadata!O480,"not collected"),exact(Metadata!O480,"not provided"))),AND(IF(Metadata!O480="",FALSE,ISNUMBER(VALUE(Metadata!O480))),Metadata!O480&gt;0))</f>
        <v>0</v>
      </c>
      <c r="AQ480">
        <f>AND(IF(Metadata!P480="",FALSE,TRUE),exact(Metadata!P480,"kg"))</f>
        <v>0</v>
      </c>
      <c r="AR480">
        <f>OR(AND(IF(Metadata!Q480="",FALSE,TRUE),OR(exact(Metadata!Q480,"not applicable"),exact(Metadata!Q480,"not collected"),exact(Metadata!Q480,"not provided"),exact(Metadata!Q480,"restricted access"))),IF(Metadata!Q480="",FALSE,IF(ISERROR(INT(Metadata!Q480)),FALSE,INT(Metadata!Q480)=Metadata!Q480)))</f>
        <v>0</v>
      </c>
      <c r="AS480">
        <f>AND(IF(Metadata!R480="",FALSE,TRUE),exact(Metadata!R480,"Not applicable"))</f>
        <v>0</v>
      </c>
    </row>
    <row r="481" spans="1:45">
      <c r="A481" s="4">
        <f>IF(B481=" "," ",HYPERLINK(CONCATENATE("#metadata!",ADDRESS(INDEX($X$2:$X$1001,MATCH(ROWS($V$2:V481),$V$2:$V$1001,0),0),2)),INDEX($AA$2:$AA$1001,MATCH(ROWS($V$2:V481),$V$2:$V$1001,0),0)))</f>
        <v>0</v>
      </c>
      <c r="B481" s="5">
        <f>IF(OR(INDEX($W$2:$W$1001,MATCH(ROWS($V$2:V481),$V$2:$V$1001,0),1)&gt;=100000,INDEX($AC$1005:$AS$1005,1,MATCH(COLUMNS($AC$1006:AC1006),$AC$1006:$AS$1006,0))&gt;=100000), " ",IF(INDEX($AC$2:$AS$1001,MATCH(ROWS($V$2:V481),$V$2:$V$1001,0),MATCH(COLUMNS($AC$1006:AC1006),$AC$1006:$AS$1006,0)), HYPERLINK("#",""), HYPERLINK(CONCATENATE("#Metadata!", ADDRESS(INDEX($X$2:$X$1001,MATCH(ROWS($V$2:V481),$V$2:$V$1001,0),0), INDEX($AC$1004:$AS$1004,1,MATCH(COLUMNS($AC$1006:AC1006),$AC$1006:$AS$1006,0)))),"Fix")))</f>
        <v>0</v>
      </c>
      <c r="C481" s="5">
        <f>IF(OR(INDEX($W$2:$W$1001,MATCH(ROWS($V$2:V481),$V$2:$V$1001,0),1)&gt;=100000,INDEX($AC$1005:$AS$1005,1,MATCH(COLUMNS($AC$1006:AD1006),$AC$1006:$AS$1006,0))&gt;=100000), " ",IF(INDEX($AC$2:$AS$1001,MATCH(ROWS($V$2:V481),$V$2:$V$1001,0),MATCH(COLUMNS($AC$1006:AD1006),$AC$1006:$AS$1006,0)), HYPERLINK("#",""), HYPERLINK(CONCATENATE("#Metadata!", ADDRESS(INDEX($X$2:$X$1001,MATCH(ROWS($V$2:V481),$V$2:$V$1001,0),0), INDEX($AC$1004:$AS$1004,1,MATCH(COLUMNS($AC$1006:AD1006),$AC$1006:$AS$1006,0)))),"Fix")))</f>
        <v>0</v>
      </c>
      <c r="D481" s="5">
        <f>IF(OR(INDEX($W$2:$W$1001,MATCH(ROWS($V$2:V481),$V$2:$V$1001,0),1)&gt;=100000,INDEX($AC$1005:$AS$1005,1,MATCH(COLUMNS($AC$1006:AE1006),$AC$1006:$AS$1006,0))&gt;=100000), " ",IF(INDEX($AC$2:$AS$1001,MATCH(ROWS($V$2:V481),$V$2:$V$1001,0),MATCH(COLUMNS($AC$1006:AE1006),$AC$1006:$AS$1006,0)), HYPERLINK("#",""), HYPERLINK(CONCATENATE("#Metadata!", ADDRESS(INDEX($X$2:$X$1001,MATCH(ROWS($V$2:V481),$V$2:$V$1001,0),0), INDEX($AC$1004:$AS$1004,1,MATCH(COLUMNS($AC$1006:AE1006),$AC$1006:$AS$1006,0)))),"Fix")))</f>
        <v>0</v>
      </c>
      <c r="E481" s="5">
        <f>IF(OR(INDEX($W$2:$W$1001,MATCH(ROWS($V$2:V481),$V$2:$V$1001,0),1)&gt;=100000,INDEX($AC$1005:$AS$1005,1,MATCH(COLUMNS($AC$1006:AF1006),$AC$1006:$AS$1006,0))&gt;=100000), " ",IF(INDEX($AC$2:$AS$1001,MATCH(ROWS($V$2:V481),$V$2:$V$1001,0),MATCH(COLUMNS($AC$1006:AF1006),$AC$1006:$AS$1006,0)), HYPERLINK("#",""), HYPERLINK(CONCATENATE("#Metadata!", ADDRESS(INDEX($X$2:$X$1001,MATCH(ROWS($V$2:V481),$V$2:$V$1001,0),0), INDEX($AC$1004:$AS$1004,1,MATCH(COLUMNS($AC$1006:AF1006),$AC$1006:$AS$1006,0)))),"Fix")))</f>
        <v>0</v>
      </c>
      <c r="F481" s="5">
        <f>IF(OR(INDEX($W$2:$W$1001,MATCH(ROWS($V$2:V481),$V$2:$V$1001,0),1)&gt;=100000,INDEX($AC$1005:$AS$1005,1,MATCH(COLUMNS($AC$1006:AG1006),$AC$1006:$AS$1006,0))&gt;=100000), " ",IF(INDEX($AC$2:$AS$1001,MATCH(ROWS($V$2:V481),$V$2:$V$1001,0),MATCH(COLUMNS($AC$1006:AG1006),$AC$1006:$AS$1006,0)), HYPERLINK("#",""), HYPERLINK(CONCATENATE("#Metadata!", ADDRESS(INDEX($X$2:$X$1001,MATCH(ROWS($V$2:V481),$V$2:$V$1001,0),0), INDEX($AC$1004:$AS$1004,1,MATCH(COLUMNS($AC$1006:AG1006),$AC$1006:$AS$1006,0)))),"Fix")))</f>
        <v>0</v>
      </c>
      <c r="G481" s="5">
        <f>IF(OR(INDEX($W$2:$W$1001,MATCH(ROWS($V$2:V481),$V$2:$V$1001,0),1)&gt;=100000,INDEX($AC$1005:$AS$1005,1,MATCH(COLUMNS($AC$1006:AH1006),$AC$1006:$AS$1006,0))&gt;=100000), " ",IF(INDEX($AC$2:$AS$1001,MATCH(ROWS($V$2:V481),$V$2:$V$1001,0),MATCH(COLUMNS($AC$1006:AH1006),$AC$1006:$AS$1006,0)), HYPERLINK("#",""), HYPERLINK(CONCATENATE("#Metadata!", ADDRESS(INDEX($X$2:$X$1001,MATCH(ROWS($V$2:V481),$V$2:$V$1001,0),0), INDEX($AC$1004:$AS$1004,1,MATCH(COLUMNS($AC$1006:AH1006),$AC$1006:$AS$1006,0)))),"Fix")))</f>
        <v>0</v>
      </c>
      <c r="H481" s="5">
        <f>IF(OR(INDEX($W$2:$W$1001,MATCH(ROWS($V$2:V481),$V$2:$V$1001,0),1)&gt;=100000,INDEX($AC$1005:$AS$1005,1,MATCH(COLUMNS($AC$1006:AI1006),$AC$1006:$AS$1006,0))&gt;=100000), " ",IF(INDEX($AC$2:$AS$1001,MATCH(ROWS($V$2:V481),$V$2:$V$1001,0),MATCH(COLUMNS($AC$1006:AI1006),$AC$1006:$AS$1006,0)), HYPERLINK("#",""), HYPERLINK(CONCATENATE("#Metadata!", ADDRESS(INDEX($X$2:$X$1001,MATCH(ROWS($V$2:V481),$V$2:$V$1001,0),0), INDEX($AC$1004:$AS$1004,1,MATCH(COLUMNS($AC$1006:AI1006),$AC$1006:$AS$1006,0)))),"Fix")))</f>
        <v>0</v>
      </c>
      <c r="I481" s="5">
        <f>IF(OR(INDEX($W$2:$W$1001,MATCH(ROWS($V$2:V481),$V$2:$V$1001,0),1)&gt;=100000,INDEX($AC$1005:$AS$1005,1,MATCH(COLUMNS($AC$1006:AJ1006),$AC$1006:$AS$1006,0))&gt;=100000), " ",IF(INDEX($AC$2:$AS$1001,MATCH(ROWS($V$2:V481),$V$2:$V$1001,0),MATCH(COLUMNS($AC$1006:AJ1006),$AC$1006:$AS$1006,0)), HYPERLINK("#",""), HYPERLINK(CONCATENATE("#Metadata!", ADDRESS(INDEX($X$2:$X$1001,MATCH(ROWS($V$2:V481),$V$2:$V$1001,0),0), INDEX($AC$1004:$AS$1004,1,MATCH(COLUMNS($AC$1006:AJ1006),$AC$1006:$AS$1006,0)))),"Fix")))</f>
        <v>0</v>
      </c>
      <c r="J481" s="5">
        <f>IF(OR(INDEX($W$2:$W$1001,MATCH(ROWS($V$2:V481),$V$2:$V$1001,0),1)&gt;=100000,INDEX($AC$1005:$AS$1005,1,MATCH(COLUMNS($AC$1006:AK1006),$AC$1006:$AS$1006,0))&gt;=100000), " ",IF(INDEX($AC$2:$AS$1001,MATCH(ROWS($V$2:V481),$V$2:$V$1001,0),MATCH(COLUMNS($AC$1006:AK1006),$AC$1006:$AS$1006,0)), HYPERLINK("#",""), HYPERLINK(CONCATENATE("#Metadata!", ADDRESS(INDEX($X$2:$X$1001,MATCH(ROWS($V$2:V481),$V$2:$V$1001,0),0), INDEX($AC$1004:$AS$1004,1,MATCH(COLUMNS($AC$1006:AK1006),$AC$1006:$AS$1006,0)))),"Fix")))</f>
        <v>0</v>
      </c>
      <c r="K481" s="5">
        <f>IF(OR(INDEX($W$2:$W$1001,MATCH(ROWS($V$2:V481),$V$2:$V$1001,0),1)&gt;=100000,INDEX($AC$1005:$AS$1005,1,MATCH(COLUMNS($AC$1006:AL1006),$AC$1006:$AS$1006,0))&gt;=100000), " ",IF(INDEX($AC$2:$AS$1001,MATCH(ROWS($V$2:V481),$V$2:$V$1001,0),MATCH(COLUMNS($AC$1006:AL1006),$AC$1006:$AS$1006,0)), HYPERLINK("#",""), HYPERLINK(CONCATENATE("#Metadata!", ADDRESS(INDEX($X$2:$X$1001,MATCH(ROWS($V$2:V481),$V$2:$V$1001,0),0), INDEX($AC$1004:$AS$1004,1,MATCH(COLUMNS($AC$1006:AL1006),$AC$1006:$AS$1006,0)))),"Fix")))</f>
        <v>0</v>
      </c>
      <c r="L481" s="5">
        <f>IF(OR(INDEX($W$2:$W$1001,MATCH(ROWS($V$2:V481),$V$2:$V$1001,0),1)&gt;=100000,INDEX($AC$1005:$AS$1005,1,MATCH(COLUMNS($AC$1006:AM1006),$AC$1006:$AS$1006,0))&gt;=100000), " ",IF(INDEX($AC$2:$AS$1001,MATCH(ROWS($V$2:V481),$V$2:$V$1001,0),MATCH(COLUMNS($AC$1006:AM1006),$AC$1006:$AS$1006,0)), HYPERLINK("#",""), HYPERLINK(CONCATENATE("#Metadata!", ADDRESS(INDEX($X$2:$X$1001,MATCH(ROWS($V$2:V481),$V$2:$V$1001,0),0), INDEX($AC$1004:$AS$1004,1,MATCH(COLUMNS($AC$1006:AM1006),$AC$1006:$AS$1006,0)))),"Fix")))</f>
        <v>0</v>
      </c>
      <c r="M481" s="5">
        <f>IF(OR(INDEX($W$2:$W$1001,MATCH(ROWS($V$2:V481),$V$2:$V$1001,0),1)&gt;=100000,INDEX($AC$1005:$AS$1005,1,MATCH(COLUMNS($AC$1006:AN1006),$AC$1006:$AS$1006,0))&gt;=100000), " ",IF(INDEX($AC$2:$AS$1001,MATCH(ROWS($V$2:V481),$V$2:$V$1001,0),MATCH(COLUMNS($AC$1006:AN1006),$AC$1006:$AS$1006,0)), HYPERLINK("#",""), HYPERLINK(CONCATENATE("#Metadata!", ADDRESS(INDEX($X$2:$X$1001,MATCH(ROWS($V$2:V481),$V$2:$V$1001,0),0), INDEX($AC$1004:$AS$1004,1,MATCH(COLUMNS($AC$1006:AN1006),$AC$1006:$AS$1006,0)))),"Fix")))</f>
        <v>0</v>
      </c>
      <c r="N481" s="5">
        <f>IF(OR(INDEX($W$2:$W$1001,MATCH(ROWS($V$2:V481),$V$2:$V$1001,0),1)&gt;=100000,INDEX($AC$1005:$AS$1005,1,MATCH(COLUMNS($AC$1006:AO1006),$AC$1006:$AS$1006,0))&gt;=100000), " ",IF(INDEX($AC$2:$AS$1001,MATCH(ROWS($V$2:V481),$V$2:$V$1001,0),MATCH(COLUMNS($AC$1006:AO1006),$AC$1006:$AS$1006,0)), HYPERLINK("#",""), HYPERLINK(CONCATENATE("#Metadata!", ADDRESS(INDEX($X$2:$X$1001,MATCH(ROWS($V$2:V481),$V$2:$V$1001,0),0), INDEX($AC$1004:$AS$1004,1,MATCH(COLUMNS($AC$1006:AO1006),$AC$1006:$AS$1006,0)))),"Fix")))</f>
        <v>0</v>
      </c>
      <c r="O481" s="5">
        <f>IF(OR(INDEX($W$2:$W$1001,MATCH(ROWS($V$2:V481),$V$2:$V$1001,0),1)&gt;=100000,INDEX($AC$1005:$AS$1005,1,MATCH(COLUMNS($AC$1006:AP1006),$AC$1006:$AS$1006,0))&gt;=100000), " ",IF(INDEX($AC$2:$AS$1001,MATCH(ROWS($V$2:V481),$V$2:$V$1001,0),MATCH(COLUMNS($AC$1006:AP1006),$AC$1006:$AS$1006,0)), HYPERLINK("#",""), HYPERLINK(CONCATENATE("#Metadata!", ADDRESS(INDEX($X$2:$X$1001,MATCH(ROWS($V$2:V481),$V$2:$V$1001,0),0), INDEX($AC$1004:$AS$1004,1,MATCH(COLUMNS($AC$1006:AP1006),$AC$1006:$AS$1006,0)))),"Fix")))</f>
        <v>0</v>
      </c>
      <c r="P481" s="5">
        <f>IF(OR(INDEX($W$2:$W$1001,MATCH(ROWS($V$2:V481),$V$2:$V$1001,0),1)&gt;=100000,INDEX($AC$1005:$AS$1005,1,MATCH(COLUMNS($AC$1006:AQ1006),$AC$1006:$AS$1006,0))&gt;=100000), " ",IF(INDEX($AC$2:$AS$1001,MATCH(ROWS($V$2:V481),$V$2:$V$1001,0),MATCH(COLUMNS($AC$1006:AQ1006),$AC$1006:$AS$1006,0)), HYPERLINK("#",""), HYPERLINK(CONCATENATE("#Metadata!", ADDRESS(INDEX($X$2:$X$1001,MATCH(ROWS($V$2:V481),$V$2:$V$1001,0),0), INDEX($AC$1004:$AS$1004,1,MATCH(COLUMNS($AC$1006:AQ1006),$AC$1006:$AS$1006,0)))),"Fix")))</f>
        <v>0</v>
      </c>
      <c r="Q481" s="5">
        <f>IF(OR(INDEX($W$2:$W$1001,MATCH(ROWS($V$2:V481),$V$2:$V$1001,0),1)&gt;=100000,INDEX($AC$1005:$AS$1005,1,MATCH(COLUMNS($AC$1006:AR1006),$AC$1006:$AS$1006,0))&gt;=100000), " ",IF(INDEX($AC$2:$AS$1001,MATCH(ROWS($V$2:V481),$V$2:$V$1001,0),MATCH(COLUMNS($AC$1006:AR1006),$AC$1006:$AS$1006,0)), HYPERLINK("#",""), HYPERLINK(CONCATENATE("#Metadata!", ADDRESS(INDEX($X$2:$X$1001,MATCH(ROWS($V$2:V481),$V$2:$V$1001,0),0), INDEX($AC$1004:$AS$1004,1,MATCH(COLUMNS($AC$1006:AR1006),$AC$1006:$AS$1006,0)))),"Fix")))</f>
        <v>0</v>
      </c>
      <c r="R481" s="5">
        <f>IF(OR(INDEX($W$2:$W$1001,MATCH(ROWS($V$2:V481),$V$2:$V$1001,0),1)&gt;=100000,INDEX($AC$1005:$AS$1005,1,MATCH(COLUMNS($AC$1006:AS1006),$AC$1006:$AS$1006,0))&gt;=100000), " ",IF(INDEX($AC$2:$AS$1001,MATCH(ROWS($V$2:V481),$V$2:$V$1001,0),MATCH(COLUMNS($AC$1006:AS1006),$AC$1006:$AS$1006,0)), HYPERLINK("#",""), HYPERLINK(CONCATENATE("#Metadata!", ADDRESS(INDEX($X$2:$X$1001,MATCH(ROWS($V$2:V481),$V$2:$V$1001,0),0), INDEX($AC$1004:$AS$1004,1,MATCH(COLUMNS($AC$1006:AS1006),$AC$1006:$AS$1006,0)))),"Fix")))</f>
        <v>0</v>
      </c>
      <c r="V481">
        <v>0</v>
      </c>
      <c r="W481">
        <v>0</v>
      </c>
      <c r="X481">
        <v>0</v>
      </c>
      <c r="Y481">
        <f>IF(Z481,TRUE,AND(AC481:AS481))</f>
        <v>0</v>
      </c>
      <c r="Z481">
        <f>COUNTBLANK(Metadata!B481:R481)=COLUMNS(Metadata!B481:R481)</f>
        <v>0</v>
      </c>
      <c r="AA481">
        <v>0</v>
      </c>
      <c r="AC481">
        <f>AND(IF(Metadata!B481="",FALSE,TRUE),COUNTIF(Metadata!B:B, Metadata!B481) = 1,NOT(ISERROR(SUMPRODUCT(SEARCH(MID(Metadata!B481,ROW(INDIRECT("1:"&amp;LEN(Metadata!B481))), 1),"0123456789abcdefghijklmnopqrstuvwxyzABCDEFGHIJKLMNOPQRSTUVWXYZ.")))))</f>
        <v>0</v>
      </c>
      <c r="AD481">
        <f>AND(IF(Metadata!C481="",FALSE,TRUE),exact(Metadata!C481,"Host-associated"))</f>
        <v>0</v>
      </c>
      <c r="AE481">
        <f>AND(IF(Metadata!D481="",FALSE,TRUE),OR(exact(Metadata!D481,"Animal"),exact(Metadata!D481,"Fungus"),exact(Metadata!D481,"Plant")))</f>
        <v>0</v>
      </c>
      <c r="AF481">
        <f>AND(IF(Metadata!E481="",FALSE,TRUE),OR(exact(Metadata!E481,"Plant secretion"),exact(Metadata!E481,"Plant rhizosphere"),exact(Metadata!E481,"Plant surface"),exact(Metadata!E481,"Plant corpus"),exact(Metadata!E481,"Fungus surface"),exact(Metadata!E481,"Fungus corpus"),exact(Metadata!E481,"Animal surface"),exact(Metadata!E481,"Animal proximal gut"),exact(Metadata!E481,"Animal corpus"),exact(Metadata!E481,"Animal distal gut"),exact(Metadata!E481,"Animal secretion")))</f>
        <v>0</v>
      </c>
      <c r="AG481">
        <f>OR(AND(IF(Metadata!F481="",FALSE,TRUE),OR(exact(Metadata!F481,"not collected"),exact(Metadata!F481,"not provided"),exact(Metadata!F481,"restricted access"))),AND(IF(Metadata!F481="",FALSE,TRUE),OR(exact(Metadata!F481,"organism-associated habitat"),exact(Metadata!F481,"plant-associated habitat"),exact(Metadata!F481,"animal-associated habitat"),exact(Metadata!F481,"insecta-associated habitat"),exact(Metadata!F481,"mammalia-associated habitat"),exact(Metadata!F481,"human-associated habitat"),exact(Metadata!F481,"livestock-associated habitat"))))</f>
        <v>0</v>
      </c>
      <c r="AH481">
        <f>AND(IF(Metadata!G481="",FALSE,TRUE),exact(Metadata!G481,"host-associated"))</f>
        <v>0</v>
      </c>
      <c r="AI481">
        <f>OR(AND(IF(Metadata!H481="",FALSE,TRUE),OR(exact(Metadata!H481,"not collected"),exact(Metadata!H481,"not provided"))),AND(IF(Metadata!H481="",FALSE,ISNUMBER(VALUE(Metadata!H481))),Metadata!H481&gt;0))</f>
        <v>0</v>
      </c>
      <c r="AJ481">
        <f>AND(IF(Metadata!I481="",FALSE,TRUE),exact(Metadata!I481,"years"))</f>
        <v>0</v>
      </c>
      <c r="AK481">
        <f>IF(Metadata!J481="",FALSE,TRUE)</f>
        <v>0</v>
      </c>
      <c r="AL481">
        <f>OR(AND(IF(Metadata!K481="",FALSE,TRUE),OR(exact(Metadata!K481,"not collected"),exact(Metadata!K481,"not provided"))),AND(IF(Metadata!K481="",FALSE,ISNUMBER(VALUE(Metadata!K481))),Metadata!K481&gt;0))</f>
        <v>0</v>
      </c>
      <c r="AM481">
        <f>AND(IF(Metadata!L481="",FALSE,TRUE),exact(Metadata!L481,"cm"))</f>
        <v>0</v>
      </c>
      <c r="AN481">
        <f>IF(Metadata!M481="",FALSE,TRUE)</f>
        <v>0</v>
      </c>
      <c r="AO481">
        <f>OR(AND(IF(Metadata!N481="",FALSE,TRUE),OR(exact(Metadata!N481,"not applicable"),exact(Metadata!N481,"not collected"),exact(Metadata!N481,"not provided"))),AND(IF(Metadata!N481="",FALSE,IF(ISERROR(INT(Metadata!N481)),FALSE,INT(Metadata!N481)=Metadata!N481)),Metadata!N481&gt;0))</f>
        <v>0</v>
      </c>
      <c r="AP481">
        <f>OR(AND(IF(Metadata!O481="",FALSE,TRUE),OR(exact(Metadata!O481,"not collected"),exact(Metadata!O481,"not provided"))),AND(IF(Metadata!O481="",FALSE,ISNUMBER(VALUE(Metadata!O481))),Metadata!O481&gt;0))</f>
        <v>0</v>
      </c>
      <c r="AQ481">
        <f>AND(IF(Metadata!P481="",FALSE,TRUE),exact(Metadata!P481,"kg"))</f>
        <v>0</v>
      </c>
      <c r="AR481">
        <f>OR(AND(IF(Metadata!Q481="",FALSE,TRUE),OR(exact(Metadata!Q481,"not applicable"),exact(Metadata!Q481,"not collected"),exact(Metadata!Q481,"not provided"),exact(Metadata!Q481,"restricted access"))),IF(Metadata!Q481="",FALSE,IF(ISERROR(INT(Metadata!Q481)),FALSE,INT(Metadata!Q481)=Metadata!Q481)))</f>
        <v>0</v>
      </c>
      <c r="AS481">
        <f>AND(IF(Metadata!R481="",FALSE,TRUE),exact(Metadata!R481,"Not applicable"))</f>
        <v>0</v>
      </c>
    </row>
    <row r="482" spans="1:45">
      <c r="A482" s="4">
        <f>IF(B482=" "," ",HYPERLINK(CONCATENATE("#metadata!",ADDRESS(INDEX($X$2:$X$1001,MATCH(ROWS($V$2:V482),$V$2:$V$1001,0),0),2)),INDEX($AA$2:$AA$1001,MATCH(ROWS($V$2:V482),$V$2:$V$1001,0),0)))</f>
        <v>0</v>
      </c>
      <c r="B482" s="5">
        <f>IF(OR(INDEX($W$2:$W$1001,MATCH(ROWS($V$2:V482),$V$2:$V$1001,0),1)&gt;=100000,INDEX($AC$1005:$AS$1005,1,MATCH(COLUMNS($AC$1006:AC1006),$AC$1006:$AS$1006,0))&gt;=100000), " ",IF(INDEX($AC$2:$AS$1001,MATCH(ROWS($V$2:V482),$V$2:$V$1001,0),MATCH(COLUMNS($AC$1006:AC1006),$AC$1006:$AS$1006,0)), HYPERLINK("#",""), HYPERLINK(CONCATENATE("#Metadata!", ADDRESS(INDEX($X$2:$X$1001,MATCH(ROWS($V$2:V482),$V$2:$V$1001,0),0), INDEX($AC$1004:$AS$1004,1,MATCH(COLUMNS($AC$1006:AC1006),$AC$1006:$AS$1006,0)))),"Fix")))</f>
        <v>0</v>
      </c>
      <c r="C482" s="5">
        <f>IF(OR(INDEX($W$2:$W$1001,MATCH(ROWS($V$2:V482),$V$2:$V$1001,0),1)&gt;=100000,INDEX($AC$1005:$AS$1005,1,MATCH(COLUMNS($AC$1006:AD1006),$AC$1006:$AS$1006,0))&gt;=100000), " ",IF(INDEX($AC$2:$AS$1001,MATCH(ROWS($V$2:V482),$V$2:$V$1001,0),MATCH(COLUMNS($AC$1006:AD1006),$AC$1006:$AS$1006,0)), HYPERLINK("#",""), HYPERLINK(CONCATENATE("#Metadata!", ADDRESS(INDEX($X$2:$X$1001,MATCH(ROWS($V$2:V482),$V$2:$V$1001,0),0), INDEX($AC$1004:$AS$1004,1,MATCH(COLUMNS($AC$1006:AD1006),$AC$1006:$AS$1006,0)))),"Fix")))</f>
        <v>0</v>
      </c>
      <c r="D482" s="5">
        <f>IF(OR(INDEX($W$2:$W$1001,MATCH(ROWS($V$2:V482),$V$2:$V$1001,0),1)&gt;=100000,INDEX($AC$1005:$AS$1005,1,MATCH(COLUMNS($AC$1006:AE1006),$AC$1006:$AS$1006,0))&gt;=100000), " ",IF(INDEX($AC$2:$AS$1001,MATCH(ROWS($V$2:V482),$V$2:$V$1001,0),MATCH(COLUMNS($AC$1006:AE1006),$AC$1006:$AS$1006,0)), HYPERLINK("#",""), HYPERLINK(CONCATENATE("#Metadata!", ADDRESS(INDEX($X$2:$X$1001,MATCH(ROWS($V$2:V482),$V$2:$V$1001,0),0), INDEX($AC$1004:$AS$1004,1,MATCH(COLUMNS($AC$1006:AE1006),$AC$1006:$AS$1006,0)))),"Fix")))</f>
        <v>0</v>
      </c>
      <c r="E482" s="5">
        <f>IF(OR(INDEX($W$2:$W$1001,MATCH(ROWS($V$2:V482),$V$2:$V$1001,0),1)&gt;=100000,INDEX($AC$1005:$AS$1005,1,MATCH(COLUMNS($AC$1006:AF1006),$AC$1006:$AS$1006,0))&gt;=100000), " ",IF(INDEX($AC$2:$AS$1001,MATCH(ROWS($V$2:V482),$V$2:$V$1001,0),MATCH(COLUMNS($AC$1006:AF1006),$AC$1006:$AS$1006,0)), HYPERLINK("#",""), HYPERLINK(CONCATENATE("#Metadata!", ADDRESS(INDEX($X$2:$X$1001,MATCH(ROWS($V$2:V482),$V$2:$V$1001,0),0), INDEX($AC$1004:$AS$1004,1,MATCH(COLUMNS($AC$1006:AF1006),$AC$1006:$AS$1006,0)))),"Fix")))</f>
        <v>0</v>
      </c>
      <c r="F482" s="5">
        <f>IF(OR(INDEX($W$2:$W$1001,MATCH(ROWS($V$2:V482),$V$2:$V$1001,0),1)&gt;=100000,INDEX($AC$1005:$AS$1005,1,MATCH(COLUMNS($AC$1006:AG1006),$AC$1006:$AS$1006,0))&gt;=100000), " ",IF(INDEX($AC$2:$AS$1001,MATCH(ROWS($V$2:V482),$V$2:$V$1001,0),MATCH(COLUMNS($AC$1006:AG1006),$AC$1006:$AS$1006,0)), HYPERLINK("#",""), HYPERLINK(CONCATENATE("#Metadata!", ADDRESS(INDEX($X$2:$X$1001,MATCH(ROWS($V$2:V482),$V$2:$V$1001,0),0), INDEX($AC$1004:$AS$1004,1,MATCH(COLUMNS($AC$1006:AG1006),$AC$1006:$AS$1006,0)))),"Fix")))</f>
        <v>0</v>
      </c>
      <c r="G482" s="5">
        <f>IF(OR(INDEX($W$2:$W$1001,MATCH(ROWS($V$2:V482),$V$2:$V$1001,0),1)&gt;=100000,INDEX($AC$1005:$AS$1005,1,MATCH(COLUMNS($AC$1006:AH1006),$AC$1006:$AS$1006,0))&gt;=100000), " ",IF(INDEX($AC$2:$AS$1001,MATCH(ROWS($V$2:V482),$V$2:$V$1001,0),MATCH(COLUMNS($AC$1006:AH1006),$AC$1006:$AS$1006,0)), HYPERLINK("#",""), HYPERLINK(CONCATENATE("#Metadata!", ADDRESS(INDEX($X$2:$X$1001,MATCH(ROWS($V$2:V482),$V$2:$V$1001,0),0), INDEX($AC$1004:$AS$1004,1,MATCH(COLUMNS($AC$1006:AH1006),$AC$1006:$AS$1006,0)))),"Fix")))</f>
        <v>0</v>
      </c>
      <c r="H482" s="5">
        <f>IF(OR(INDEX($W$2:$W$1001,MATCH(ROWS($V$2:V482),$V$2:$V$1001,0),1)&gt;=100000,INDEX($AC$1005:$AS$1005,1,MATCH(COLUMNS($AC$1006:AI1006),$AC$1006:$AS$1006,0))&gt;=100000), " ",IF(INDEX($AC$2:$AS$1001,MATCH(ROWS($V$2:V482),$V$2:$V$1001,0),MATCH(COLUMNS($AC$1006:AI1006),$AC$1006:$AS$1006,0)), HYPERLINK("#",""), HYPERLINK(CONCATENATE("#Metadata!", ADDRESS(INDEX($X$2:$X$1001,MATCH(ROWS($V$2:V482),$V$2:$V$1001,0),0), INDEX($AC$1004:$AS$1004,1,MATCH(COLUMNS($AC$1006:AI1006),$AC$1006:$AS$1006,0)))),"Fix")))</f>
        <v>0</v>
      </c>
      <c r="I482" s="5">
        <f>IF(OR(INDEX($W$2:$W$1001,MATCH(ROWS($V$2:V482),$V$2:$V$1001,0),1)&gt;=100000,INDEX($AC$1005:$AS$1005,1,MATCH(COLUMNS($AC$1006:AJ1006),$AC$1006:$AS$1006,0))&gt;=100000), " ",IF(INDEX($AC$2:$AS$1001,MATCH(ROWS($V$2:V482),$V$2:$V$1001,0),MATCH(COLUMNS($AC$1006:AJ1006),$AC$1006:$AS$1006,0)), HYPERLINK("#",""), HYPERLINK(CONCATENATE("#Metadata!", ADDRESS(INDEX($X$2:$X$1001,MATCH(ROWS($V$2:V482),$V$2:$V$1001,0),0), INDEX($AC$1004:$AS$1004,1,MATCH(COLUMNS($AC$1006:AJ1006),$AC$1006:$AS$1006,0)))),"Fix")))</f>
        <v>0</v>
      </c>
      <c r="J482" s="5">
        <f>IF(OR(INDEX($W$2:$W$1001,MATCH(ROWS($V$2:V482),$V$2:$V$1001,0),1)&gt;=100000,INDEX($AC$1005:$AS$1005,1,MATCH(COLUMNS($AC$1006:AK1006),$AC$1006:$AS$1006,0))&gt;=100000), " ",IF(INDEX($AC$2:$AS$1001,MATCH(ROWS($V$2:V482),$V$2:$V$1001,0),MATCH(COLUMNS($AC$1006:AK1006),$AC$1006:$AS$1006,0)), HYPERLINK("#",""), HYPERLINK(CONCATENATE("#Metadata!", ADDRESS(INDEX($X$2:$X$1001,MATCH(ROWS($V$2:V482),$V$2:$V$1001,0),0), INDEX($AC$1004:$AS$1004,1,MATCH(COLUMNS($AC$1006:AK1006),$AC$1006:$AS$1006,0)))),"Fix")))</f>
        <v>0</v>
      </c>
      <c r="K482" s="5">
        <f>IF(OR(INDEX($W$2:$W$1001,MATCH(ROWS($V$2:V482),$V$2:$V$1001,0),1)&gt;=100000,INDEX($AC$1005:$AS$1005,1,MATCH(COLUMNS($AC$1006:AL1006),$AC$1006:$AS$1006,0))&gt;=100000), " ",IF(INDEX($AC$2:$AS$1001,MATCH(ROWS($V$2:V482),$V$2:$V$1001,0),MATCH(COLUMNS($AC$1006:AL1006),$AC$1006:$AS$1006,0)), HYPERLINK("#",""), HYPERLINK(CONCATENATE("#Metadata!", ADDRESS(INDEX($X$2:$X$1001,MATCH(ROWS($V$2:V482),$V$2:$V$1001,0),0), INDEX($AC$1004:$AS$1004,1,MATCH(COLUMNS($AC$1006:AL1006),$AC$1006:$AS$1006,0)))),"Fix")))</f>
        <v>0</v>
      </c>
      <c r="L482" s="5">
        <f>IF(OR(INDEX($W$2:$W$1001,MATCH(ROWS($V$2:V482),$V$2:$V$1001,0),1)&gt;=100000,INDEX($AC$1005:$AS$1005,1,MATCH(COLUMNS($AC$1006:AM1006),$AC$1006:$AS$1006,0))&gt;=100000), " ",IF(INDEX($AC$2:$AS$1001,MATCH(ROWS($V$2:V482),$V$2:$V$1001,0),MATCH(COLUMNS($AC$1006:AM1006),$AC$1006:$AS$1006,0)), HYPERLINK("#",""), HYPERLINK(CONCATENATE("#Metadata!", ADDRESS(INDEX($X$2:$X$1001,MATCH(ROWS($V$2:V482),$V$2:$V$1001,0),0), INDEX($AC$1004:$AS$1004,1,MATCH(COLUMNS($AC$1006:AM1006),$AC$1006:$AS$1006,0)))),"Fix")))</f>
        <v>0</v>
      </c>
      <c r="M482" s="5">
        <f>IF(OR(INDEX($W$2:$W$1001,MATCH(ROWS($V$2:V482),$V$2:$V$1001,0),1)&gt;=100000,INDEX($AC$1005:$AS$1005,1,MATCH(COLUMNS($AC$1006:AN1006),$AC$1006:$AS$1006,0))&gt;=100000), " ",IF(INDEX($AC$2:$AS$1001,MATCH(ROWS($V$2:V482),$V$2:$V$1001,0),MATCH(COLUMNS($AC$1006:AN1006),$AC$1006:$AS$1006,0)), HYPERLINK("#",""), HYPERLINK(CONCATENATE("#Metadata!", ADDRESS(INDEX($X$2:$X$1001,MATCH(ROWS($V$2:V482),$V$2:$V$1001,0),0), INDEX($AC$1004:$AS$1004,1,MATCH(COLUMNS($AC$1006:AN1006),$AC$1006:$AS$1006,0)))),"Fix")))</f>
        <v>0</v>
      </c>
      <c r="N482" s="5">
        <f>IF(OR(INDEX($W$2:$W$1001,MATCH(ROWS($V$2:V482),$V$2:$V$1001,0),1)&gt;=100000,INDEX($AC$1005:$AS$1005,1,MATCH(COLUMNS($AC$1006:AO1006),$AC$1006:$AS$1006,0))&gt;=100000), " ",IF(INDEX($AC$2:$AS$1001,MATCH(ROWS($V$2:V482),$V$2:$V$1001,0),MATCH(COLUMNS($AC$1006:AO1006),$AC$1006:$AS$1006,0)), HYPERLINK("#",""), HYPERLINK(CONCATENATE("#Metadata!", ADDRESS(INDEX($X$2:$X$1001,MATCH(ROWS($V$2:V482),$V$2:$V$1001,0),0), INDEX($AC$1004:$AS$1004,1,MATCH(COLUMNS($AC$1006:AO1006),$AC$1006:$AS$1006,0)))),"Fix")))</f>
        <v>0</v>
      </c>
      <c r="O482" s="5">
        <f>IF(OR(INDEX($W$2:$W$1001,MATCH(ROWS($V$2:V482),$V$2:$V$1001,0),1)&gt;=100000,INDEX($AC$1005:$AS$1005,1,MATCH(COLUMNS($AC$1006:AP1006),$AC$1006:$AS$1006,0))&gt;=100000), " ",IF(INDEX($AC$2:$AS$1001,MATCH(ROWS($V$2:V482),$V$2:$V$1001,0),MATCH(COLUMNS($AC$1006:AP1006),$AC$1006:$AS$1006,0)), HYPERLINK("#",""), HYPERLINK(CONCATENATE("#Metadata!", ADDRESS(INDEX($X$2:$X$1001,MATCH(ROWS($V$2:V482),$V$2:$V$1001,0),0), INDEX($AC$1004:$AS$1004,1,MATCH(COLUMNS($AC$1006:AP1006),$AC$1006:$AS$1006,0)))),"Fix")))</f>
        <v>0</v>
      </c>
      <c r="P482" s="5">
        <f>IF(OR(INDEX($W$2:$W$1001,MATCH(ROWS($V$2:V482),$V$2:$V$1001,0),1)&gt;=100000,INDEX($AC$1005:$AS$1005,1,MATCH(COLUMNS($AC$1006:AQ1006),$AC$1006:$AS$1006,0))&gt;=100000), " ",IF(INDEX($AC$2:$AS$1001,MATCH(ROWS($V$2:V482),$V$2:$V$1001,0),MATCH(COLUMNS($AC$1006:AQ1006),$AC$1006:$AS$1006,0)), HYPERLINK("#",""), HYPERLINK(CONCATENATE("#Metadata!", ADDRESS(INDEX($X$2:$X$1001,MATCH(ROWS($V$2:V482),$V$2:$V$1001,0),0), INDEX($AC$1004:$AS$1004,1,MATCH(COLUMNS($AC$1006:AQ1006),$AC$1006:$AS$1006,0)))),"Fix")))</f>
        <v>0</v>
      </c>
      <c r="Q482" s="5">
        <f>IF(OR(INDEX($W$2:$W$1001,MATCH(ROWS($V$2:V482),$V$2:$V$1001,0),1)&gt;=100000,INDEX($AC$1005:$AS$1005,1,MATCH(COLUMNS($AC$1006:AR1006),$AC$1006:$AS$1006,0))&gt;=100000), " ",IF(INDEX($AC$2:$AS$1001,MATCH(ROWS($V$2:V482),$V$2:$V$1001,0),MATCH(COLUMNS($AC$1006:AR1006),$AC$1006:$AS$1006,0)), HYPERLINK("#",""), HYPERLINK(CONCATENATE("#Metadata!", ADDRESS(INDEX($X$2:$X$1001,MATCH(ROWS($V$2:V482),$V$2:$V$1001,0),0), INDEX($AC$1004:$AS$1004,1,MATCH(COLUMNS($AC$1006:AR1006),$AC$1006:$AS$1006,0)))),"Fix")))</f>
        <v>0</v>
      </c>
      <c r="R482" s="5">
        <f>IF(OR(INDEX($W$2:$W$1001,MATCH(ROWS($V$2:V482),$V$2:$V$1001,0),1)&gt;=100000,INDEX($AC$1005:$AS$1005,1,MATCH(COLUMNS($AC$1006:AS1006),$AC$1006:$AS$1006,0))&gt;=100000), " ",IF(INDEX($AC$2:$AS$1001,MATCH(ROWS($V$2:V482),$V$2:$V$1001,0),MATCH(COLUMNS($AC$1006:AS1006),$AC$1006:$AS$1006,0)), HYPERLINK("#",""), HYPERLINK(CONCATENATE("#Metadata!", ADDRESS(INDEX($X$2:$X$1001,MATCH(ROWS($V$2:V482),$V$2:$V$1001,0),0), INDEX($AC$1004:$AS$1004,1,MATCH(COLUMNS($AC$1006:AS1006),$AC$1006:$AS$1006,0)))),"Fix")))</f>
        <v>0</v>
      </c>
      <c r="V482">
        <v>0</v>
      </c>
      <c r="W482">
        <v>0</v>
      </c>
      <c r="X482">
        <v>0</v>
      </c>
      <c r="Y482">
        <f>IF(Z482,TRUE,AND(AC482:AS482))</f>
        <v>0</v>
      </c>
      <c r="Z482">
        <f>COUNTBLANK(Metadata!B482:R482)=COLUMNS(Metadata!B482:R482)</f>
        <v>0</v>
      </c>
      <c r="AA482">
        <v>0</v>
      </c>
      <c r="AC482">
        <f>AND(IF(Metadata!B482="",FALSE,TRUE),COUNTIF(Metadata!B:B, Metadata!B482) = 1,NOT(ISERROR(SUMPRODUCT(SEARCH(MID(Metadata!B482,ROW(INDIRECT("1:"&amp;LEN(Metadata!B482))), 1),"0123456789abcdefghijklmnopqrstuvwxyzABCDEFGHIJKLMNOPQRSTUVWXYZ.")))))</f>
        <v>0</v>
      </c>
      <c r="AD482">
        <f>AND(IF(Metadata!C482="",FALSE,TRUE),exact(Metadata!C482,"Host-associated"))</f>
        <v>0</v>
      </c>
      <c r="AE482">
        <f>AND(IF(Metadata!D482="",FALSE,TRUE),OR(exact(Metadata!D482,"Animal"),exact(Metadata!D482,"Fungus"),exact(Metadata!D482,"Plant")))</f>
        <v>0</v>
      </c>
      <c r="AF482">
        <f>AND(IF(Metadata!E482="",FALSE,TRUE),OR(exact(Metadata!E482,"Plant secretion"),exact(Metadata!E482,"Plant rhizosphere"),exact(Metadata!E482,"Plant surface"),exact(Metadata!E482,"Plant corpus"),exact(Metadata!E482,"Fungus surface"),exact(Metadata!E482,"Fungus corpus"),exact(Metadata!E482,"Animal surface"),exact(Metadata!E482,"Animal proximal gut"),exact(Metadata!E482,"Animal corpus"),exact(Metadata!E482,"Animal distal gut"),exact(Metadata!E482,"Animal secretion")))</f>
        <v>0</v>
      </c>
      <c r="AG482">
        <f>OR(AND(IF(Metadata!F482="",FALSE,TRUE),OR(exact(Metadata!F482,"not collected"),exact(Metadata!F482,"not provided"),exact(Metadata!F482,"restricted access"))),AND(IF(Metadata!F482="",FALSE,TRUE),OR(exact(Metadata!F482,"organism-associated habitat"),exact(Metadata!F482,"plant-associated habitat"),exact(Metadata!F482,"animal-associated habitat"),exact(Metadata!F482,"insecta-associated habitat"),exact(Metadata!F482,"mammalia-associated habitat"),exact(Metadata!F482,"human-associated habitat"),exact(Metadata!F482,"livestock-associated habitat"))))</f>
        <v>0</v>
      </c>
      <c r="AH482">
        <f>AND(IF(Metadata!G482="",FALSE,TRUE),exact(Metadata!G482,"host-associated"))</f>
        <v>0</v>
      </c>
      <c r="AI482">
        <f>OR(AND(IF(Metadata!H482="",FALSE,TRUE),OR(exact(Metadata!H482,"not collected"),exact(Metadata!H482,"not provided"))),AND(IF(Metadata!H482="",FALSE,ISNUMBER(VALUE(Metadata!H482))),Metadata!H482&gt;0))</f>
        <v>0</v>
      </c>
      <c r="AJ482">
        <f>AND(IF(Metadata!I482="",FALSE,TRUE),exact(Metadata!I482,"years"))</f>
        <v>0</v>
      </c>
      <c r="AK482">
        <f>IF(Metadata!J482="",FALSE,TRUE)</f>
        <v>0</v>
      </c>
      <c r="AL482">
        <f>OR(AND(IF(Metadata!K482="",FALSE,TRUE),OR(exact(Metadata!K482,"not collected"),exact(Metadata!K482,"not provided"))),AND(IF(Metadata!K482="",FALSE,ISNUMBER(VALUE(Metadata!K482))),Metadata!K482&gt;0))</f>
        <v>0</v>
      </c>
      <c r="AM482">
        <f>AND(IF(Metadata!L482="",FALSE,TRUE),exact(Metadata!L482,"cm"))</f>
        <v>0</v>
      </c>
      <c r="AN482">
        <f>IF(Metadata!M482="",FALSE,TRUE)</f>
        <v>0</v>
      </c>
      <c r="AO482">
        <f>OR(AND(IF(Metadata!N482="",FALSE,TRUE),OR(exact(Metadata!N482,"not applicable"),exact(Metadata!N482,"not collected"),exact(Metadata!N482,"not provided"))),AND(IF(Metadata!N482="",FALSE,IF(ISERROR(INT(Metadata!N482)),FALSE,INT(Metadata!N482)=Metadata!N482)),Metadata!N482&gt;0))</f>
        <v>0</v>
      </c>
      <c r="AP482">
        <f>OR(AND(IF(Metadata!O482="",FALSE,TRUE),OR(exact(Metadata!O482,"not collected"),exact(Metadata!O482,"not provided"))),AND(IF(Metadata!O482="",FALSE,ISNUMBER(VALUE(Metadata!O482))),Metadata!O482&gt;0))</f>
        <v>0</v>
      </c>
      <c r="AQ482">
        <f>AND(IF(Metadata!P482="",FALSE,TRUE),exact(Metadata!P482,"kg"))</f>
        <v>0</v>
      </c>
      <c r="AR482">
        <f>OR(AND(IF(Metadata!Q482="",FALSE,TRUE),OR(exact(Metadata!Q482,"not applicable"),exact(Metadata!Q482,"not collected"),exact(Metadata!Q482,"not provided"),exact(Metadata!Q482,"restricted access"))),IF(Metadata!Q482="",FALSE,IF(ISERROR(INT(Metadata!Q482)),FALSE,INT(Metadata!Q482)=Metadata!Q482)))</f>
        <v>0</v>
      </c>
      <c r="AS482">
        <f>AND(IF(Metadata!R482="",FALSE,TRUE),exact(Metadata!R482,"Not applicable"))</f>
        <v>0</v>
      </c>
    </row>
    <row r="483" spans="1:45">
      <c r="A483" s="4">
        <f>IF(B483=" "," ",HYPERLINK(CONCATENATE("#metadata!",ADDRESS(INDEX($X$2:$X$1001,MATCH(ROWS($V$2:V483),$V$2:$V$1001,0),0),2)),INDEX($AA$2:$AA$1001,MATCH(ROWS($V$2:V483),$V$2:$V$1001,0),0)))</f>
        <v>0</v>
      </c>
      <c r="B483" s="5">
        <f>IF(OR(INDEX($W$2:$W$1001,MATCH(ROWS($V$2:V483),$V$2:$V$1001,0),1)&gt;=100000,INDEX($AC$1005:$AS$1005,1,MATCH(COLUMNS($AC$1006:AC1006),$AC$1006:$AS$1006,0))&gt;=100000), " ",IF(INDEX($AC$2:$AS$1001,MATCH(ROWS($V$2:V483),$V$2:$V$1001,0),MATCH(COLUMNS($AC$1006:AC1006),$AC$1006:$AS$1006,0)), HYPERLINK("#",""), HYPERLINK(CONCATENATE("#Metadata!", ADDRESS(INDEX($X$2:$X$1001,MATCH(ROWS($V$2:V483),$V$2:$V$1001,0),0), INDEX($AC$1004:$AS$1004,1,MATCH(COLUMNS($AC$1006:AC1006),$AC$1006:$AS$1006,0)))),"Fix")))</f>
        <v>0</v>
      </c>
      <c r="C483" s="5">
        <f>IF(OR(INDEX($W$2:$W$1001,MATCH(ROWS($V$2:V483),$V$2:$V$1001,0),1)&gt;=100000,INDEX($AC$1005:$AS$1005,1,MATCH(COLUMNS($AC$1006:AD1006),$AC$1006:$AS$1006,0))&gt;=100000), " ",IF(INDEX($AC$2:$AS$1001,MATCH(ROWS($V$2:V483),$V$2:$V$1001,0),MATCH(COLUMNS($AC$1006:AD1006),$AC$1006:$AS$1006,0)), HYPERLINK("#",""), HYPERLINK(CONCATENATE("#Metadata!", ADDRESS(INDEX($X$2:$X$1001,MATCH(ROWS($V$2:V483),$V$2:$V$1001,0),0), INDEX($AC$1004:$AS$1004,1,MATCH(COLUMNS($AC$1006:AD1006),$AC$1006:$AS$1006,0)))),"Fix")))</f>
        <v>0</v>
      </c>
      <c r="D483" s="5">
        <f>IF(OR(INDEX($W$2:$W$1001,MATCH(ROWS($V$2:V483),$V$2:$V$1001,0),1)&gt;=100000,INDEX($AC$1005:$AS$1005,1,MATCH(COLUMNS($AC$1006:AE1006),$AC$1006:$AS$1006,0))&gt;=100000), " ",IF(INDEX($AC$2:$AS$1001,MATCH(ROWS($V$2:V483),$V$2:$V$1001,0),MATCH(COLUMNS($AC$1006:AE1006),$AC$1006:$AS$1006,0)), HYPERLINK("#",""), HYPERLINK(CONCATENATE("#Metadata!", ADDRESS(INDEX($X$2:$X$1001,MATCH(ROWS($V$2:V483),$V$2:$V$1001,0),0), INDEX($AC$1004:$AS$1004,1,MATCH(COLUMNS($AC$1006:AE1006),$AC$1006:$AS$1006,0)))),"Fix")))</f>
        <v>0</v>
      </c>
      <c r="E483" s="5">
        <f>IF(OR(INDEX($W$2:$W$1001,MATCH(ROWS($V$2:V483),$V$2:$V$1001,0),1)&gt;=100000,INDEX($AC$1005:$AS$1005,1,MATCH(COLUMNS($AC$1006:AF1006),$AC$1006:$AS$1006,0))&gt;=100000), " ",IF(INDEX($AC$2:$AS$1001,MATCH(ROWS($V$2:V483),$V$2:$V$1001,0),MATCH(COLUMNS($AC$1006:AF1006),$AC$1006:$AS$1006,0)), HYPERLINK("#",""), HYPERLINK(CONCATENATE("#Metadata!", ADDRESS(INDEX($X$2:$X$1001,MATCH(ROWS($V$2:V483),$V$2:$V$1001,0),0), INDEX($AC$1004:$AS$1004,1,MATCH(COLUMNS($AC$1006:AF1006),$AC$1006:$AS$1006,0)))),"Fix")))</f>
        <v>0</v>
      </c>
      <c r="F483" s="5">
        <f>IF(OR(INDEX($W$2:$W$1001,MATCH(ROWS($V$2:V483),$V$2:$V$1001,0),1)&gt;=100000,INDEX($AC$1005:$AS$1005,1,MATCH(COLUMNS($AC$1006:AG1006),$AC$1006:$AS$1006,0))&gt;=100000), " ",IF(INDEX($AC$2:$AS$1001,MATCH(ROWS($V$2:V483),$V$2:$V$1001,0),MATCH(COLUMNS($AC$1006:AG1006),$AC$1006:$AS$1006,0)), HYPERLINK("#",""), HYPERLINK(CONCATENATE("#Metadata!", ADDRESS(INDEX($X$2:$X$1001,MATCH(ROWS($V$2:V483),$V$2:$V$1001,0),0), INDEX($AC$1004:$AS$1004,1,MATCH(COLUMNS($AC$1006:AG1006),$AC$1006:$AS$1006,0)))),"Fix")))</f>
        <v>0</v>
      </c>
      <c r="G483" s="5">
        <f>IF(OR(INDEX($W$2:$W$1001,MATCH(ROWS($V$2:V483),$V$2:$V$1001,0),1)&gt;=100000,INDEX($AC$1005:$AS$1005,1,MATCH(COLUMNS($AC$1006:AH1006),$AC$1006:$AS$1006,0))&gt;=100000), " ",IF(INDEX($AC$2:$AS$1001,MATCH(ROWS($V$2:V483),$V$2:$V$1001,0),MATCH(COLUMNS($AC$1006:AH1006),$AC$1006:$AS$1006,0)), HYPERLINK("#",""), HYPERLINK(CONCATENATE("#Metadata!", ADDRESS(INDEX($X$2:$X$1001,MATCH(ROWS($V$2:V483),$V$2:$V$1001,0),0), INDEX($AC$1004:$AS$1004,1,MATCH(COLUMNS($AC$1006:AH1006),$AC$1006:$AS$1006,0)))),"Fix")))</f>
        <v>0</v>
      </c>
      <c r="H483" s="5">
        <f>IF(OR(INDEX($W$2:$W$1001,MATCH(ROWS($V$2:V483),$V$2:$V$1001,0),1)&gt;=100000,INDEX($AC$1005:$AS$1005,1,MATCH(COLUMNS($AC$1006:AI1006),$AC$1006:$AS$1006,0))&gt;=100000), " ",IF(INDEX($AC$2:$AS$1001,MATCH(ROWS($V$2:V483),$V$2:$V$1001,0),MATCH(COLUMNS($AC$1006:AI1006),$AC$1006:$AS$1006,0)), HYPERLINK("#",""), HYPERLINK(CONCATENATE("#Metadata!", ADDRESS(INDEX($X$2:$X$1001,MATCH(ROWS($V$2:V483),$V$2:$V$1001,0),0), INDEX($AC$1004:$AS$1004,1,MATCH(COLUMNS($AC$1006:AI1006),$AC$1006:$AS$1006,0)))),"Fix")))</f>
        <v>0</v>
      </c>
      <c r="I483" s="5">
        <f>IF(OR(INDEX($W$2:$W$1001,MATCH(ROWS($V$2:V483),$V$2:$V$1001,0),1)&gt;=100000,INDEX($AC$1005:$AS$1005,1,MATCH(COLUMNS($AC$1006:AJ1006),$AC$1006:$AS$1006,0))&gt;=100000), " ",IF(INDEX($AC$2:$AS$1001,MATCH(ROWS($V$2:V483),$V$2:$V$1001,0),MATCH(COLUMNS($AC$1006:AJ1006),$AC$1006:$AS$1006,0)), HYPERLINK("#",""), HYPERLINK(CONCATENATE("#Metadata!", ADDRESS(INDEX($X$2:$X$1001,MATCH(ROWS($V$2:V483),$V$2:$V$1001,0),0), INDEX($AC$1004:$AS$1004,1,MATCH(COLUMNS($AC$1006:AJ1006),$AC$1006:$AS$1006,0)))),"Fix")))</f>
        <v>0</v>
      </c>
      <c r="J483" s="5">
        <f>IF(OR(INDEX($W$2:$W$1001,MATCH(ROWS($V$2:V483),$V$2:$V$1001,0),1)&gt;=100000,INDEX($AC$1005:$AS$1005,1,MATCH(COLUMNS($AC$1006:AK1006),$AC$1006:$AS$1006,0))&gt;=100000), " ",IF(INDEX($AC$2:$AS$1001,MATCH(ROWS($V$2:V483),$V$2:$V$1001,0),MATCH(COLUMNS($AC$1006:AK1006),$AC$1006:$AS$1006,0)), HYPERLINK("#",""), HYPERLINK(CONCATENATE("#Metadata!", ADDRESS(INDEX($X$2:$X$1001,MATCH(ROWS($V$2:V483),$V$2:$V$1001,0),0), INDEX($AC$1004:$AS$1004,1,MATCH(COLUMNS($AC$1006:AK1006),$AC$1006:$AS$1006,0)))),"Fix")))</f>
        <v>0</v>
      </c>
      <c r="K483" s="5">
        <f>IF(OR(INDEX($W$2:$W$1001,MATCH(ROWS($V$2:V483),$V$2:$V$1001,0),1)&gt;=100000,INDEX($AC$1005:$AS$1005,1,MATCH(COLUMNS($AC$1006:AL1006),$AC$1006:$AS$1006,0))&gt;=100000), " ",IF(INDEX($AC$2:$AS$1001,MATCH(ROWS($V$2:V483),$V$2:$V$1001,0),MATCH(COLUMNS($AC$1006:AL1006),$AC$1006:$AS$1006,0)), HYPERLINK("#",""), HYPERLINK(CONCATENATE("#Metadata!", ADDRESS(INDEX($X$2:$X$1001,MATCH(ROWS($V$2:V483),$V$2:$V$1001,0),0), INDEX($AC$1004:$AS$1004,1,MATCH(COLUMNS($AC$1006:AL1006),$AC$1006:$AS$1006,0)))),"Fix")))</f>
        <v>0</v>
      </c>
      <c r="L483" s="5">
        <f>IF(OR(INDEX($W$2:$W$1001,MATCH(ROWS($V$2:V483),$V$2:$V$1001,0),1)&gt;=100000,INDEX($AC$1005:$AS$1005,1,MATCH(COLUMNS($AC$1006:AM1006),$AC$1006:$AS$1006,0))&gt;=100000), " ",IF(INDEX($AC$2:$AS$1001,MATCH(ROWS($V$2:V483),$V$2:$V$1001,0),MATCH(COLUMNS($AC$1006:AM1006),$AC$1006:$AS$1006,0)), HYPERLINK("#",""), HYPERLINK(CONCATENATE("#Metadata!", ADDRESS(INDEX($X$2:$X$1001,MATCH(ROWS($V$2:V483),$V$2:$V$1001,0),0), INDEX($AC$1004:$AS$1004,1,MATCH(COLUMNS($AC$1006:AM1006),$AC$1006:$AS$1006,0)))),"Fix")))</f>
        <v>0</v>
      </c>
      <c r="M483" s="5">
        <f>IF(OR(INDEX($W$2:$W$1001,MATCH(ROWS($V$2:V483),$V$2:$V$1001,0),1)&gt;=100000,INDEX($AC$1005:$AS$1005,1,MATCH(COLUMNS($AC$1006:AN1006),$AC$1006:$AS$1006,0))&gt;=100000), " ",IF(INDEX($AC$2:$AS$1001,MATCH(ROWS($V$2:V483),$V$2:$V$1001,0),MATCH(COLUMNS($AC$1006:AN1006),$AC$1006:$AS$1006,0)), HYPERLINK("#",""), HYPERLINK(CONCATENATE("#Metadata!", ADDRESS(INDEX($X$2:$X$1001,MATCH(ROWS($V$2:V483),$V$2:$V$1001,0),0), INDEX($AC$1004:$AS$1004,1,MATCH(COLUMNS($AC$1006:AN1006),$AC$1006:$AS$1006,0)))),"Fix")))</f>
        <v>0</v>
      </c>
      <c r="N483" s="5">
        <f>IF(OR(INDEX($W$2:$W$1001,MATCH(ROWS($V$2:V483),$V$2:$V$1001,0),1)&gt;=100000,INDEX($AC$1005:$AS$1005,1,MATCH(COLUMNS($AC$1006:AO1006),$AC$1006:$AS$1006,0))&gt;=100000), " ",IF(INDEX($AC$2:$AS$1001,MATCH(ROWS($V$2:V483),$V$2:$V$1001,0),MATCH(COLUMNS($AC$1006:AO1006),$AC$1006:$AS$1006,0)), HYPERLINK("#",""), HYPERLINK(CONCATENATE("#Metadata!", ADDRESS(INDEX($X$2:$X$1001,MATCH(ROWS($V$2:V483),$V$2:$V$1001,0),0), INDEX($AC$1004:$AS$1004,1,MATCH(COLUMNS($AC$1006:AO1006),$AC$1006:$AS$1006,0)))),"Fix")))</f>
        <v>0</v>
      </c>
      <c r="O483" s="5">
        <f>IF(OR(INDEX($W$2:$W$1001,MATCH(ROWS($V$2:V483),$V$2:$V$1001,0),1)&gt;=100000,INDEX($AC$1005:$AS$1005,1,MATCH(COLUMNS($AC$1006:AP1006),$AC$1006:$AS$1006,0))&gt;=100000), " ",IF(INDEX($AC$2:$AS$1001,MATCH(ROWS($V$2:V483),$V$2:$V$1001,0),MATCH(COLUMNS($AC$1006:AP1006),$AC$1006:$AS$1006,0)), HYPERLINK("#",""), HYPERLINK(CONCATENATE("#Metadata!", ADDRESS(INDEX($X$2:$X$1001,MATCH(ROWS($V$2:V483),$V$2:$V$1001,0),0), INDEX($AC$1004:$AS$1004,1,MATCH(COLUMNS($AC$1006:AP1006),$AC$1006:$AS$1006,0)))),"Fix")))</f>
        <v>0</v>
      </c>
      <c r="P483" s="5">
        <f>IF(OR(INDEX($W$2:$W$1001,MATCH(ROWS($V$2:V483),$V$2:$V$1001,0),1)&gt;=100000,INDEX($AC$1005:$AS$1005,1,MATCH(COLUMNS($AC$1006:AQ1006),$AC$1006:$AS$1006,0))&gt;=100000), " ",IF(INDEX($AC$2:$AS$1001,MATCH(ROWS($V$2:V483),$V$2:$V$1001,0),MATCH(COLUMNS($AC$1006:AQ1006),$AC$1006:$AS$1006,0)), HYPERLINK("#",""), HYPERLINK(CONCATENATE("#Metadata!", ADDRESS(INDEX($X$2:$X$1001,MATCH(ROWS($V$2:V483),$V$2:$V$1001,0),0), INDEX($AC$1004:$AS$1004,1,MATCH(COLUMNS($AC$1006:AQ1006),$AC$1006:$AS$1006,0)))),"Fix")))</f>
        <v>0</v>
      </c>
      <c r="Q483" s="5">
        <f>IF(OR(INDEX($W$2:$W$1001,MATCH(ROWS($V$2:V483),$V$2:$V$1001,0),1)&gt;=100000,INDEX($AC$1005:$AS$1005,1,MATCH(COLUMNS($AC$1006:AR1006),$AC$1006:$AS$1006,0))&gt;=100000), " ",IF(INDEX($AC$2:$AS$1001,MATCH(ROWS($V$2:V483),$V$2:$V$1001,0),MATCH(COLUMNS($AC$1006:AR1006),$AC$1006:$AS$1006,0)), HYPERLINK("#",""), HYPERLINK(CONCATENATE("#Metadata!", ADDRESS(INDEX($X$2:$X$1001,MATCH(ROWS($V$2:V483),$V$2:$V$1001,0),0), INDEX($AC$1004:$AS$1004,1,MATCH(COLUMNS($AC$1006:AR1006),$AC$1006:$AS$1006,0)))),"Fix")))</f>
        <v>0</v>
      </c>
      <c r="R483" s="5">
        <f>IF(OR(INDEX($W$2:$W$1001,MATCH(ROWS($V$2:V483),$V$2:$V$1001,0),1)&gt;=100000,INDEX($AC$1005:$AS$1005,1,MATCH(COLUMNS($AC$1006:AS1006),$AC$1006:$AS$1006,0))&gt;=100000), " ",IF(INDEX($AC$2:$AS$1001,MATCH(ROWS($V$2:V483),$V$2:$V$1001,0),MATCH(COLUMNS($AC$1006:AS1006),$AC$1006:$AS$1006,0)), HYPERLINK("#",""), HYPERLINK(CONCATENATE("#Metadata!", ADDRESS(INDEX($X$2:$X$1001,MATCH(ROWS($V$2:V483),$V$2:$V$1001,0),0), INDEX($AC$1004:$AS$1004,1,MATCH(COLUMNS($AC$1006:AS1006),$AC$1006:$AS$1006,0)))),"Fix")))</f>
        <v>0</v>
      </c>
      <c r="V483">
        <v>0</v>
      </c>
      <c r="W483">
        <v>0</v>
      </c>
      <c r="X483">
        <v>0</v>
      </c>
      <c r="Y483">
        <f>IF(Z483,TRUE,AND(AC483:AS483))</f>
        <v>0</v>
      </c>
      <c r="Z483">
        <f>COUNTBLANK(Metadata!B483:R483)=COLUMNS(Metadata!B483:R483)</f>
        <v>0</v>
      </c>
      <c r="AA483">
        <v>0</v>
      </c>
      <c r="AC483">
        <f>AND(IF(Metadata!B483="",FALSE,TRUE),COUNTIF(Metadata!B:B, Metadata!B483) = 1,NOT(ISERROR(SUMPRODUCT(SEARCH(MID(Metadata!B483,ROW(INDIRECT("1:"&amp;LEN(Metadata!B483))), 1),"0123456789abcdefghijklmnopqrstuvwxyzABCDEFGHIJKLMNOPQRSTUVWXYZ.")))))</f>
        <v>0</v>
      </c>
      <c r="AD483">
        <f>AND(IF(Metadata!C483="",FALSE,TRUE),exact(Metadata!C483,"Host-associated"))</f>
        <v>0</v>
      </c>
      <c r="AE483">
        <f>AND(IF(Metadata!D483="",FALSE,TRUE),OR(exact(Metadata!D483,"Animal"),exact(Metadata!D483,"Fungus"),exact(Metadata!D483,"Plant")))</f>
        <v>0</v>
      </c>
      <c r="AF483">
        <f>AND(IF(Metadata!E483="",FALSE,TRUE),OR(exact(Metadata!E483,"Plant secretion"),exact(Metadata!E483,"Plant rhizosphere"),exact(Metadata!E483,"Plant surface"),exact(Metadata!E483,"Plant corpus"),exact(Metadata!E483,"Fungus surface"),exact(Metadata!E483,"Fungus corpus"),exact(Metadata!E483,"Animal surface"),exact(Metadata!E483,"Animal proximal gut"),exact(Metadata!E483,"Animal corpus"),exact(Metadata!E483,"Animal distal gut"),exact(Metadata!E483,"Animal secretion")))</f>
        <v>0</v>
      </c>
      <c r="AG483">
        <f>OR(AND(IF(Metadata!F483="",FALSE,TRUE),OR(exact(Metadata!F483,"not collected"),exact(Metadata!F483,"not provided"),exact(Metadata!F483,"restricted access"))),AND(IF(Metadata!F483="",FALSE,TRUE),OR(exact(Metadata!F483,"organism-associated habitat"),exact(Metadata!F483,"plant-associated habitat"),exact(Metadata!F483,"animal-associated habitat"),exact(Metadata!F483,"insecta-associated habitat"),exact(Metadata!F483,"mammalia-associated habitat"),exact(Metadata!F483,"human-associated habitat"),exact(Metadata!F483,"livestock-associated habitat"))))</f>
        <v>0</v>
      </c>
      <c r="AH483">
        <f>AND(IF(Metadata!G483="",FALSE,TRUE),exact(Metadata!G483,"host-associated"))</f>
        <v>0</v>
      </c>
      <c r="AI483">
        <f>OR(AND(IF(Metadata!H483="",FALSE,TRUE),OR(exact(Metadata!H483,"not collected"),exact(Metadata!H483,"not provided"))),AND(IF(Metadata!H483="",FALSE,ISNUMBER(VALUE(Metadata!H483))),Metadata!H483&gt;0))</f>
        <v>0</v>
      </c>
      <c r="AJ483">
        <f>AND(IF(Metadata!I483="",FALSE,TRUE),exact(Metadata!I483,"years"))</f>
        <v>0</v>
      </c>
      <c r="AK483">
        <f>IF(Metadata!J483="",FALSE,TRUE)</f>
        <v>0</v>
      </c>
      <c r="AL483">
        <f>OR(AND(IF(Metadata!K483="",FALSE,TRUE),OR(exact(Metadata!K483,"not collected"),exact(Metadata!K483,"not provided"))),AND(IF(Metadata!K483="",FALSE,ISNUMBER(VALUE(Metadata!K483))),Metadata!K483&gt;0))</f>
        <v>0</v>
      </c>
      <c r="AM483">
        <f>AND(IF(Metadata!L483="",FALSE,TRUE),exact(Metadata!L483,"cm"))</f>
        <v>0</v>
      </c>
      <c r="AN483">
        <f>IF(Metadata!M483="",FALSE,TRUE)</f>
        <v>0</v>
      </c>
      <c r="AO483">
        <f>OR(AND(IF(Metadata!N483="",FALSE,TRUE),OR(exact(Metadata!N483,"not applicable"),exact(Metadata!N483,"not collected"),exact(Metadata!N483,"not provided"))),AND(IF(Metadata!N483="",FALSE,IF(ISERROR(INT(Metadata!N483)),FALSE,INT(Metadata!N483)=Metadata!N483)),Metadata!N483&gt;0))</f>
        <v>0</v>
      </c>
      <c r="AP483">
        <f>OR(AND(IF(Metadata!O483="",FALSE,TRUE),OR(exact(Metadata!O483,"not collected"),exact(Metadata!O483,"not provided"))),AND(IF(Metadata!O483="",FALSE,ISNUMBER(VALUE(Metadata!O483))),Metadata!O483&gt;0))</f>
        <v>0</v>
      </c>
      <c r="AQ483">
        <f>AND(IF(Metadata!P483="",FALSE,TRUE),exact(Metadata!P483,"kg"))</f>
        <v>0</v>
      </c>
      <c r="AR483">
        <f>OR(AND(IF(Metadata!Q483="",FALSE,TRUE),OR(exact(Metadata!Q483,"not applicable"),exact(Metadata!Q483,"not collected"),exact(Metadata!Q483,"not provided"),exact(Metadata!Q483,"restricted access"))),IF(Metadata!Q483="",FALSE,IF(ISERROR(INT(Metadata!Q483)),FALSE,INT(Metadata!Q483)=Metadata!Q483)))</f>
        <v>0</v>
      </c>
      <c r="AS483">
        <f>AND(IF(Metadata!R483="",FALSE,TRUE),exact(Metadata!R483,"Not applicable"))</f>
        <v>0</v>
      </c>
    </row>
    <row r="484" spans="1:45">
      <c r="A484" s="4">
        <f>IF(B484=" "," ",HYPERLINK(CONCATENATE("#metadata!",ADDRESS(INDEX($X$2:$X$1001,MATCH(ROWS($V$2:V484),$V$2:$V$1001,0),0),2)),INDEX($AA$2:$AA$1001,MATCH(ROWS($V$2:V484),$V$2:$V$1001,0),0)))</f>
        <v>0</v>
      </c>
      <c r="B484" s="5">
        <f>IF(OR(INDEX($W$2:$W$1001,MATCH(ROWS($V$2:V484),$V$2:$V$1001,0),1)&gt;=100000,INDEX($AC$1005:$AS$1005,1,MATCH(COLUMNS($AC$1006:AC1006),$AC$1006:$AS$1006,0))&gt;=100000), " ",IF(INDEX($AC$2:$AS$1001,MATCH(ROWS($V$2:V484),$V$2:$V$1001,0),MATCH(COLUMNS($AC$1006:AC1006),$AC$1006:$AS$1006,0)), HYPERLINK("#",""), HYPERLINK(CONCATENATE("#Metadata!", ADDRESS(INDEX($X$2:$X$1001,MATCH(ROWS($V$2:V484),$V$2:$V$1001,0),0), INDEX($AC$1004:$AS$1004,1,MATCH(COLUMNS($AC$1006:AC1006),$AC$1006:$AS$1006,0)))),"Fix")))</f>
        <v>0</v>
      </c>
      <c r="C484" s="5">
        <f>IF(OR(INDEX($W$2:$W$1001,MATCH(ROWS($V$2:V484),$V$2:$V$1001,0),1)&gt;=100000,INDEX($AC$1005:$AS$1005,1,MATCH(COLUMNS($AC$1006:AD1006),$AC$1006:$AS$1006,0))&gt;=100000), " ",IF(INDEX($AC$2:$AS$1001,MATCH(ROWS($V$2:V484),$V$2:$V$1001,0),MATCH(COLUMNS($AC$1006:AD1006),$AC$1006:$AS$1006,0)), HYPERLINK("#",""), HYPERLINK(CONCATENATE("#Metadata!", ADDRESS(INDEX($X$2:$X$1001,MATCH(ROWS($V$2:V484),$V$2:$V$1001,0),0), INDEX($AC$1004:$AS$1004,1,MATCH(COLUMNS($AC$1006:AD1006),$AC$1006:$AS$1006,0)))),"Fix")))</f>
        <v>0</v>
      </c>
      <c r="D484" s="5">
        <f>IF(OR(INDEX($W$2:$W$1001,MATCH(ROWS($V$2:V484),$V$2:$V$1001,0),1)&gt;=100000,INDEX($AC$1005:$AS$1005,1,MATCH(COLUMNS($AC$1006:AE1006),$AC$1006:$AS$1006,0))&gt;=100000), " ",IF(INDEX($AC$2:$AS$1001,MATCH(ROWS($V$2:V484),$V$2:$V$1001,0),MATCH(COLUMNS($AC$1006:AE1006),$AC$1006:$AS$1006,0)), HYPERLINK("#",""), HYPERLINK(CONCATENATE("#Metadata!", ADDRESS(INDEX($X$2:$X$1001,MATCH(ROWS($V$2:V484),$V$2:$V$1001,0),0), INDEX($AC$1004:$AS$1004,1,MATCH(COLUMNS($AC$1006:AE1006),$AC$1006:$AS$1006,0)))),"Fix")))</f>
        <v>0</v>
      </c>
      <c r="E484" s="5">
        <f>IF(OR(INDEX($W$2:$W$1001,MATCH(ROWS($V$2:V484),$V$2:$V$1001,0),1)&gt;=100000,INDEX($AC$1005:$AS$1005,1,MATCH(COLUMNS($AC$1006:AF1006),$AC$1006:$AS$1006,0))&gt;=100000), " ",IF(INDEX($AC$2:$AS$1001,MATCH(ROWS($V$2:V484),$V$2:$V$1001,0),MATCH(COLUMNS($AC$1006:AF1006),$AC$1006:$AS$1006,0)), HYPERLINK("#",""), HYPERLINK(CONCATENATE("#Metadata!", ADDRESS(INDEX($X$2:$X$1001,MATCH(ROWS($V$2:V484),$V$2:$V$1001,0),0), INDEX($AC$1004:$AS$1004,1,MATCH(COLUMNS($AC$1006:AF1006),$AC$1006:$AS$1006,0)))),"Fix")))</f>
        <v>0</v>
      </c>
      <c r="F484" s="5">
        <f>IF(OR(INDEX($W$2:$W$1001,MATCH(ROWS($V$2:V484),$V$2:$V$1001,0),1)&gt;=100000,INDEX($AC$1005:$AS$1005,1,MATCH(COLUMNS($AC$1006:AG1006),$AC$1006:$AS$1006,0))&gt;=100000), " ",IF(INDEX($AC$2:$AS$1001,MATCH(ROWS($V$2:V484),$V$2:$V$1001,0),MATCH(COLUMNS($AC$1006:AG1006),$AC$1006:$AS$1006,0)), HYPERLINK("#",""), HYPERLINK(CONCATENATE("#Metadata!", ADDRESS(INDEX($X$2:$X$1001,MATCH(ROWS($V$2:V484),$V$2:$V$1001,0),0), INDEX($AC$1004:$AS$1004,1,MATCH(COLUMNS($AC$1006:AG1006),$AC$1006:$AS$1006,0)))),"Fix")))</f>
        <v>0</v>
      </c>
      <c r="G484" s="5">
        <f>IF(OR(INDEX($W$2:$W$1001,MATCH(ROWS($V$2:V484),$V$2:$V$1001,0),1)&gt;=100000,INDEX($AC$1005:$AS$1005,1,MATCH(COLUMNS($AC$1006:AH1006),$AC$1006:$AS$1006,0))&gt;=100000), " ",IF(INDEX($AC$2:$AS$1001,MATCH(ROWS($V$2:V484),$V$2:$V$1001,0),MATCH(COLUMNS($AC$1006:AH1006),$AC$1006:$AS$1006,0)), HYPERLINK("#",""), HYPERLINK(CONCATENATE("#Metadata!", ADDRESS(INDEX($X$2:$X$1001,MATCH(ROWS($V$2:V484),$V$2:$V$1001,0),0), INDEX($AC$1004:$AS$1004,1,MATCH(COLUMNS($AC$1006:AH1006),$AC$1006:$AS$1006,0)))),"Fix")))</f>
        <v>0</v>
      </c>
      <c r="H484" s="5">
        <f>IF(OR(INDEX($W$2:$W$1001,MATCH(ROWS($V$2:V484),$V$2:$V$1001,0),1)&gt;=100000,INDEX($AC$1005:$AS$1005,1,MATCH(COLUMNS($AC$1006:AI1006),$AC$1006:$AS$1006,0))&gt;=100000), " ",IF(INDEX($AC$2:$AS$1001,MATCH(ROWS($V$2:V484),$V$2:$V$1001,0),MATCH(COLUMNS($AC$1006:AI1006),$AC$1006:$AS$1006,0)), HYPERLINK("#",""), HYPERLINK(CONCATENATE("#Metadata!", ADDRESS(INDEX($X$2:$X$1001,MATCH(ROWS($V$2:V484),$V$2:$V$1001,0),0), INDEX($AC$1004:$AS$1004,1,MATCH(COLUMNS($AC$1006:AI1006),$AC$1006:$AS$1006,0)))),"Fix")))</f>
        <v>0</v>
      </c>
      <c r="I484" s="5">
        <f>IF(OR(INDEX($W$2:$W$1001,MATCH(ROWS($V$2:V484),$V$2:$V$1001,0),1)&gt;=100000,INDEX($AC$1005:$AS$1005,1,MATCH(COLUMNS($AC$1006:AJ1006),$AC$1006:$AS$1006,0))&gt;=100000), " ",IF(INDEX($AC$2:$AS$1001,MATCH(ROWS($V$2:V484),$V$2:$V$1001,0),MATCH(COLUMNS($AC$1006:AJ1006),$AC$1006:$AS$1006,0)), HYPERLINK("#",""), HYPERLINK(CONCATENATE("#Metadata!", ADDRESS(INDEX($X$2:$X$1001,MATCH(ROWS($V$2:V484),$V$2:$V$1001,0),0), INDEX($AC$1004:$AS$1004,1,MATCH(COLUMNS($AC$1006:AJ1006),$AC$1006:$AS$1006,0)))),"Fix")))</f>
        <v>0</v>
      </c>
      <c r="J484" s="5">
        <f>IF(OR(INDEX($W$2:$W$1001,MATCH(ROWS($V$2:V484),$V$2:$V$1001,0),1)&gt;=100000,INDEX($AC$1005:$AS$1005,1,MATCH(COLUMNS($AC$1006:AK1006),$AC$1006:$AS$1006,0))&gt;=100000), " ",IF(INDEX($AC$2:$AS$1001,MATCH(ROWS($V$2:V484),$V$2:$V$1001,0),MATCH(COLUMNS($AC$1006:AK1006),$AC$1006:$AS$1006,0)), HYPERLINK("#",""), HYPERLINK(CONCATENATE("#Metadata!", ADDRESS(INDEX($X$2:$X$1001,MATCH(ROWS($V$2:V484),$V$2:$V$1001,0),0), INDEX($AC$1004:$AS$1004,1,MATCH(COLUMNS($AC$1006:AK1006),$AC$1006:$AS$1006,0)))),"Fix")))</f>
        <v>0</v>
      </c>
      <c r="K484" s="5">
        <f>IF(OR(INDEX($W$2:$W$1001,MATCH(ROWS($V$2:V484),$V$2:$V$1001,0),1)&gt;=100000,INDEX($AC$1005:$AS$1005,1,MATCH(COLUMNS($AC$1006:AL1006),$AC$1006:$AS$1006,0))&gt;=100000), " ",IF(INDEX($AC$2:$AS$1001,MATCH(ROWS($V$2:V484),$V$2:$V$1001,0),MATCH(COLUMNS($AC$1006:AL1006),$AC$1006:$AS$1006,0)), HYPERLINK("#",""), HYPERLINK(CONCATENATE("#Metadata!", ADDRESS(INDEX($X$2:$X$1001,MATCH(ROWS($V$2:V484),$V$2:$V$1001,0),0), INDEX($AC$1004:$AS$1004,1,MATCH(COLUMNS($AC$1006:AL1006),$AC$1006:$AS$1006,0)))),"Fix")))</f>
        <v>0</v>
      </c>
      <c r="L484" s="5">
        <f>IF(OR(INDEX($W$2:$W$1001,MATCH(ROWS($V$2:V484),$V$2:$V$1001,0),1)&gt;=100000,INDEX($AC$1005:$AS$1005,1,MATCH(COLUMNS($AC$1006:AM1006),$AC$1006:$AS$1006,0))&gt;=100000), " ",IF(INDEX($AC$2:$AS$1001,MATCH(ROWS($V$2:V484),$V$2:$V$1001,0),MATCH(COLUMNS($AC$1006:AM1006),$AC$1006:$AS$1006,0)), HYPERLINK("#",""), HYPERLINK(CONCATENATE("#Metadata!", ADDRESS(INDEX($X$2:$X$1001,MATCH(ROWS($V$2:V484),$V$2:$V$1001,0),0), INDEX($AC$1004:$AS$1004,1,MATCH(COLUMNS($AC$1006:AM1006),$AC$1006:$AS$1006,0)))),"Fix")))</f>
        <v>0</v>
      </c>
      <c r="M484" s="5">
        <f>IF(OR(INDEX($W$2:$W$1001,MATCH(ROWS($V$2:V484),$V$2:$V$1001,0),1)&gt;=100000,INDEX($AC$1005:$AS$1005,1,MATCH(COLUMNS($AC$1006:AN1006),$AC$1006:$AS$1006,0))&gt;=100000), " ",IF(INDEX($AC$2:$AS$1001,MATCH(ROWS($V$2:V484),$V$2:$V$1001,0),MATCH(COLUMNS($AC$1006:AN1006),$AC$1006:$AS$1006,0)), HYPERLINK("#",""), HYPERLINK(CONCATENATE("#Metadata!", ADDRESS(INDEX($X$2:$X$1001,MATCH(ROWS($V$2:V484),$V$2:$V$1001,0),0), INDEX($AC$1004:$AS$1004,1,MATCH(COLUMNS($AC$1006:AN1006),$AC$1006:$AS$1006,0)))),"Fix")))</f>
        <v>0</v>
      </c>
      <c r="N484" s="5">
        <f>IF(OR(INDEX($W$2:$W$1001,MATCH(ROWS($V$2:V484),$V$2:$V$1001,0),1)&gt;=100000,INDEX($AC$1005:$AS$1005,1,MATCH(COLUMNS($AC$1006:AO1006),$AC$1006:$AS$1006,0))&gt;=100000), " ",IF(INDEX($AC$2:$AS$1001,MATCH(ROWS($V$2:V484),$V$2:$V$1001,0),MATCH(COLUMNS($AC$1006:AO1006),$AC$1006:$AS$1006,0)), HYPERLINK("#",""), HYPERLINK(CONCATENATE("#Metadata!", ADDRESS(INDEX($X$2:$X$1001,MATCH(ROWS($V$2:V484),$V$2:$V$1001,0),0), INDEX($AC$1004:$AS$1004,1,MATCH(COLUMNS($AC$1006:AO1006),$AC$1006:$AS$1006,0)))),"Fix")))</f>
        <v>0</v>
      </c>
      <c r="O484" s="5">
        <f>IF(OR(INDEX($W$2:$W$1001,MATCH(ROWS($V$2:V484),$V$2:$V$1001,0),1)&gt;=100000,INDEX($AC$1005:$AS$1005,1,MATCH(COLUMNS($AC$1006:AP1006),$AC$1006:$AS$1006,0))&gt;=100000), " ",IF(INDEX($AC$2:$AS$1001,MATCH(ROWS($V$2:V484),$V$2:$V$1001,0),MATCH(COLUMNS($AC$1006:AP1006),$AC$1006:$AS$1006,0)), HYPERLINK("#",""), HYPERLINK(CONCATENATE("#Metadata!", ADDRESS(INDEX($X$2:$X$1001,MATCH(ROWS($V$2:V484),$V$2:$V$1001,0),0), INDEX($AC$1004:$AS$1004,1,MATCH(COLUMNS($AC$1006:AP1006),$AC$1006:$AS$1006,0)))),"Fix")))</f>
        <v>0</v>
      </c>
      <c r="P484" s="5">
        <f>IF(OR(INDEX($W$2:$W$1001,MATCH(ROWS($V$2:V484),$V$2:$V$1001,0),1)&gt;=100000,INDEX($AC$1005:$AS$1005,1,MATCH(COLUMNS($AC$1006:AQ1006),$AC$1006:$AS$1006,0))&gt;=100000), " ",IF(INDEX($AC$2:$AS$1001,MATCH(ROWS($V$2:V484),$V$2:$V$1001,0),MATCH(COLUMNS($AC$1006:AQ1006),$AC$1006:$AS$1006,0)), HYPERLINK("#",""), HYPERLINK(CONCATENATE("#Metadata!", ADDRESS(INDEX($X$2:$X$1001,MATCH(ROWS($V$2:V484),$V$2:$V$1001,0),0), INDEX($AC$1004:$AS$1004,1,MATCH(COLUMNS($AC$1006:AQ1006),$AC$1006:$AS$1006,0)))),"Fix")))</f>
        <v>0</v>
      </c>
      <c r="Q484" s="5">
        <f>IF(OR(INDEX($W$2:$W$1001,MATCH(ROWS($V$2:V484),$V$2:$V$1001,0),1)&gt;=100000,INDEX($AC$1005:$AS$1005,1,MATCH(COLUMNS($AC$1006:AR1006),$AC$1006:$AS$1006,0))&gt;=100000), " ",IF(INDEX($AC$2:$AS$1001,MATCH(ROWS($V$2:V484),$V$2:$V$1001,0),MATCH(COLUMNS($AC$1006:AR1006),$AC$1006:$AS$1006,0)), HYPERLINK("#",""), HYPERLINK(CONCATENATE("#Metadata!", ADDRESS(INDEX($X$2:$X$1001,MATCH(ROWS($V$2:V484),$V$2:$V$1001,0),0), INDEX($AC$1004:$AS$1004,1,MATCH(COLUMNS($AC$1006:AR1006),$AC$1006:$AS$1006,0)))),"Fix")))</f>
        <v>0</v>
      </c>
      <c r="R484" s="5">
        <f>IF(OR(INDEX($W$2:$W$1001,MATCH(ROWS($V$2:V484),$V$2:$V$1001,0),1)&gt;=100000,INDEX($AC$1005:$AS$1005,1,MATCH(COLUMNS($AC$1006:AS1006),$AC$1006:$AS$1006,0))&gt;=100000), " ",IF(INDEX($AC$2:$AS$1001,MATCH(ROWS($V$2:V484),$V$2:$V$1001,0),MATCH(COLUMNS($AC$1006:AS1006),$AC$1006:$AS$1006,0)), HYPERLINK("#",""), HYPERLINK(CONCATENATE("#Metadata!", ADDRESS(INDEX($X$2:$X$1001,MATCH(ROWS($V$2:V484),$V$2:$V$1001,0),0), INDEX($AC$1004:$AS$1004,1,MATCH(COLUMNS($AC$1006:AS1006),$AC$1006:$AS$1006,0)))),"Fix")))</f>
        <v>0</v>
      </c>
      <c r="V484">
        <v>0</v>
      </c>
      <c r="W484">
        <v>0</v>
      </c>
      <c r="X484">
        <v>0</v>
      </c>
      <c r="Y484">
        <f>IF(Z484,TRUE,AND(AC484:AS484))</f>
        <v>0</v>
      </c>
      <c r="Z484">
        <f>COUNTBLANK(Metadata!B484:R484)=COLUMNS(Metadata!B484:R484)</f>
        <v>0</v>
      </c>
      <c r="AA484">
        <v>0</v>
      </c>
      <c r="AC484">
        <f>AND(IF(Metadata!B484="",FALSE,TRUE),COUNTIF(Metadata!B:B, Metadata!B484) = 1,NOT(ISERROR(SUMPRODUCT(SEARCH(MID(Metadata!B484,ROW(INDIRECT("1:"&amp;LEN(Metadata!B484))), 1),"0123456789abcdefghijklmnopqrstuvwxyzABCDEFGHIJKLMNOPQRSTUVWXYZ.")))))</f>
        <v>0</v>
      </c>
      <c r="AD484">
        <f>AND(IF(Metadata!C484="",FALSE,TRUE),exact(Metadata!C484,"Host-associated"))</f>
        <v>0</v>
      </c>
      <c r="AE484">
        <f>AND(IF(Metadata!D484="",FALSE,TRUE),OR(exact(Metadata!D484,"Animal"),exact(Metadata!D484,"Fungus"),exact(Metadata!D484,"Plant")))</f>
        <v>0</v>
      </c>
      <c r="AF484">
        <f>AND(IF(Metadata!E484="",FALSE,TRUE),OR(exact(Metadata!E484,"Plant secretion"),exact(Metadata!E484,"Plant rhizosphere"),exact(Metadata!E484,"Plant surface"),exact(Metadata!E484,"Plant corpus"),exact(Metadata!E484,"Fungus surface"),exact(Metadata!E484,"Fungus corpus"),exact(Metadata!E484,"Animal surface"),exact(Metadata!E484,"Animal proximal gut"),exact(Metadata!E484,"Animal corpus"),exact(Metadata!E484,"Animal distal gut"),exact(Metadata!E484,"Animal secretion")))</f>
        <v>0</v>
      </c>
      <c r="AG484">
        <f>OR(AND(IF(Metadata!F484="",FALSE,TRUE),OR(exact(Metadata!F484,"not collected"),exact(Metadata!F484,"not provided"),exact(Metadata!F484,"restricted access"))),AND(IF(Metadata!F484="",FALSE,TRUE),OR(exact(Metadata!F484,"organism-associated habitat"),exact(Metadata!F484,"plant-associated habitat"),exact(Metadata!F484,"animal-associated habitat"),exact(Metadata!F484,"insecta-associated habitat"),exact(Metadata!F484,"mammalia-associated habitat"),exact(Metadata!F484,"human-associated habitat"),exact(Metadata!F484,"livestock-associated habitat"))))</f>
        <v>0</v>
      </c>
      <c r="AH484">
        <f>AND(IF(Metadata!G484="",FALSE,TRUE),exact(Metadata!G484,"host-associated"))</f>
        <v>0</v>
      </c>
      <c r="AI484">
        <f>OR(AND(IF(Metadata!H484="",FALSE,TRUE),OR(exact(Metadata!H484,"not collected"),exact(Metadata!H484,"not provided"))),AND(IF(Metadata!H484="",FALSE,ISNUMBER(VALUE(Metadata!H484))),Metadata!H484&gt;0))</f>
        <v>0</v>
      </c>
      <c r="AJ484">
        <f>AND(IF(Metadata!I484="",FALSE,TRUE),exact(Metadata!I484,"years"))</f>
        <v>0</v>
      </c>
      <c r="AK484">
        <f>IF(Metadata!J484="",FALSE,TRUE)</f>
        <v>0</v>
      </c>
      <c r="AL484">
        <f>OR(AND(IF(Metadata!K484="",FALSE,TRUE),OR(exact(Metadata!K484,"not collected"),exact(Metadata!K484,"not provided"))),AND(IF(Metadata!K484="",FALSE,ISNUMBER(VALUE(Metadata!K484))),Metadata!K484&gt;0))</f>
        <v>0</v>
      </c>
      <c r="AM484">
        <f>AND(IF(Metadata!L484="",FALSE,TRUE),exact(Metadata!L484,"cm"))</f>
        <v>0</v>
      </c>
      <c r="AN484">
        <f>IF(Metadata!M484="",FALSE,TRUE)</f>
        <v>0</v>
      </c>
      <c r="AO484">
        <f>OR(AND(IF(Metadata!N484="",FALSE,TRUE),OR(exact(Metadata!N484,"not applicable"),exact(Metadata!N484,"not collected"),exact(Metadata!N484,"not provided"))),AND(IF(Metadata!N484="",FALSE,IF(ISERROR(INT(Metadata!N484)),FALSE,INT(Metadata!N484)=Metadata!N484)),Metadata!N484&gt;0))</f>
        <v>0</v>
      </c>
      <c r="AP484">
        <f>OR(AND(IF(Metadata!O484="",FALSE,TRUE),OR(exact(Metadata!O484,"not collected"),exact(Metadata!O484,"not provided"))),AND(IF(Metadata!O484="",FALSE,ISNUMBER(VALUE(Metadata!O484))),Metadata!O484&gt;0))</f>
        <v>0</v>
      </c>
      <c r="AQ484">
        <f>AND(IF(Metadata!P484="",FALSE,TRUE),exact(Metadata!P484,"kg"))</f>
        <v>0</v>
      </c>
      <c r="AR484">
        <f>OR(AND(IF(Metadata!Q484="",FALSE,TRUE),OR(exact(Metadata!Q484,"not applicable"),exact(Metadata!Q484,"not collected"),exact(Metadata!Q484,"not provided"),exact(Metadata!Q484,"restricted access"))),IF(Metadata!Q484="",FALSE,IF(ISERROR(INT(Metadata!Q484)),FALSE,INT(Metadata!Q484)=Metadata!Q484)))</f>
        <v>0</v>
      </c>
      <c r="AS484">
        <f>AND(IF(Metadata!R484="",FALSE,TRUE),exact(Metadata!R484,"Not applicable"))</f>
        <v>0</v>
      </c>
    </row>
    <row r="485" spans="1:45">
      <c r="A485" s="4">
        <f>IF(B485=" "," ",HYPERLINK(CONCATENATE("#metadata!",ADDRESS(INDEX($X$2:$X$1001,MATCH(ROWS($V$2:V485),$V$2:$V$1001,0),0),2)),INDEX($AA$2:$AA$1001,MATCH(ROWS($V$2:V485),$V$2:$V$1001,0),0)))</f>
        <v>0</v>
      </c>
      <c r="B485" s="5">
        <f>IF(OR(INDEX($W$2:$W$1001,MATCH(ROWS($V$2:V485),$V$2:$V$1001,0),1)&gt;=100000,INDEX($AC$1005:$AS$1005,1,MATCH(COLUMNS($AC$1006:AC1006),$AC$1006:$AS$1006,0))&gt;=100000), " ",IF(INDEX($AC$2:$AS$1001,MATCH(ROWS($V$2:V485),$V$2:$V$1001,0),MATCH(COLUMNS($AC$1006:AC1006),$AC$1006:$AS$1006,0)), HYPERLINK("#",""), HYPERLINK(CONCATENATE("#Metadata!", ADDRESS(INDEX($X$2:$X$1001,MATCH(ROWS($V$2:V485),$V$2:$V$1001,0),0), INDEX($AC$1004:$AS$1004,1,MATCH(COLUMNS($AC$1006:AC1006),$AC$1006:$AS$1006,0)))),"Fix")))</f>
        <v>0</v>
      </c>
      <c r="C485" s="5">
        <f>IF(OR(INDEX($W$2:$W$1001,MATCH(ROWS($V$2:V485),$V$2:$V$1001,0),1)&gt;=100000,INDEX($AC$1005:$AS$1005,1,MATCH(COLUMNS($AC$1006:AD1006),$AC$1006:$AS$1006,0))&gt;=100000), " ",IF(INDEX($AC$2:$AS$1001,MATCH(ROWS($V$2:V485),$V$2:$V$1001,0),MATCH(COLUMNS($AC$1006:AD1006),$AC$1006:$AS$1006,0)), HYPERLINK("#",""), HYPERLINK(CONCATENATE("#Metadata!", ADDRESS(INDEX($X$2:$X$1001,MATCH(ROWS($V$2:V485),$V$2:$V$1001,0),0), INDEX($AC$1004:$AS$1004,1,MATCH(COLUMNS($AC$1006:AD1006),$AC$1006:$AS$1006,0)))),"Fix")))</f>
        <v>0</v>
      </c>
      <c r="D485" s="5">
        <f>IF(OR(INDEX($W$2:$W$1001,MATCH(ROWS($V$2:V485),$V$2:$V$1001,0),1)&gt;=100000,INDEX($AC$1005:$AS$1005,1,MATCH(COLUMNS($AC$1006:AE1006),$AC$1006:$AS$1006,0))&gt;=100000), " ",IF(INDEX($AC$2:$AS$1001,MATCH(ROWS($V$2:V485),$V$2:$V$1001,0),MATCH(COLUMNS($AC$1006:AE1006),$AC$1006:$AS$1006,0)), HYPERLINK("#",""), HYPERLINK(CONCATENATE("#Metadata!", ADDRESS(INDEX($X$2:$X$1001,MATCH(ROWS($V$2:V485),$V$2:$V$1001,0),0), INDEX($AC$1004:$AS$1004,1,MATCH(COLUMNS($AC$1006:AE1006),$AC$1006:$AS$1006,0)))),"Fix")))</f>
        <v>0</v>
      </c>
      <c r="E485" s="5">
        <f>IF(OR(INDEX($W$2:$W$1001,MATCH(ROWS($V$2:V485),$V$2:$V$1001,0),1)&gt;=100000,INDEX($AC$1005:$AS$1005,1,MATCH(COLUMNS($AC$1006:AF1006),$AC$1006:$AS$1006,0))&gt;=100000), " ",IF(INDEX($AC$2:$AS$1001,MATCH(ROWS($V$2:V485),$V$2:$V$1001,0),MATCH(COLUMNS($AC$1006:AF1006),$AC$1006:$AS$1006,0)), HYPERLINK("#",""), HYPERLINK(CONCATENATE("#Metadata!", ADDRESS(INDEX($X$2:$X$1001,MATCH(ROWS($V$2:V485),$V$2:$V$1001,0),0), INDEX($AC$1004:$AS$1004,1,MATCH(COLUMNS($AC$1006:AF1006),$AC$1006:$AS$1006,0)))),"Fix")))</f>
        <v>0</v>
      </c>
      <c r="F485" s="5">
        <f>IF(OR(INDEX($W$2:$W$1001,MATCH(ROWS($V$2:V485),$V$2:$V$1001,0),1)&gt;=100000,INDEX($AC$1005:$AS$1005,1,MATCH(COLUMNS($AC$1006:AG1006),$AC$1006:$AS$1006,0))&gt;=100000), " ",IF(INDEX($AC$2:$AS$1001,MATCH(ROWS($V$2:V485),$V$2:$V$1001,0),MATCH(COLUMNS($AC$1006:AG1006),$AC$1006:$AS$1006,0)), HYPERLINK("#",""), HYPERLINK(CONCATENATE("#Metadata!", ADDRESS(INDEX($X$2:$X$1001,MATCH(ROWS($V$2:V485),$V$2:$V$1001,0),0), INDEX($AC$1004:$AS$1004,1,MATCH(COLUMNS($AC$1006:AG1006),$AC$1006:$AS$1006,0)))),"Fix")))</f>
        <v>0</v>
      </c>
      <c r="G485" s="5">
        <f>IF(OR(INDEX($W$2:$W$1001,MATCH(ROWS($V$2:V485),$V$2:$V$1001,0),1)&gt;=100000,INDEX($AC$1005:$AS$1005,1,MATCH(COLUMNS($AC$1006:AH1006),$AC$1006:$AS$1006,0))&gt;=100000), " ",IF(INDEX($AC$2:$AS$1001,MATCH(ROWS($V$2:V485),$V$2:$V$1001,0),MATCH(COLUMNS($AC$1006:AH1006),$AC$1006:$AS$1006,0)), HYPERLINK("#",""), HYPERLINK(CONCATENATE("#Metadata!", ADDRESS(INDEX($X$2:$X$1001,MATCH(ROWS($V$2:V485),$V$2:$V$1001,0),0), INDEX($AC$1004:$AS$1004,1,MATCH(COLUMNS($AC$1006:AH1006),$AC$1006:$AS$1006,0)))),"Fix")))</f>
        <v>0</v>
      </c>
      <c r="H485" s="5">
        <f>IF(OR(INDEX($W$2:$W$1001,MATCH(ROWS($V$2:V485),$V$2:$V$1001,0),1)&gt;=100000,INDEX($AC$1005:$AS$1005,1,MATCH(COLUMNS($AC$1006:AI1006),$AC$1006:$AS$1006,0))&gt;=100000), " ",IF(INDEX($AC$2:$AS$1001,MATCH(ROWS($V$2:V485),$V$2:$V$1001,0),MATCH(COLUMNS($AC$1006:AI1006),$AC$1006:$AS$1006,0)), HYPERLINK("#",""), HYPERLINK(CONCATENATE("#Metadata!", ADDRESS(INDEX($X$2:$X$1001,MATCH(ROWS($V$2:V485),$V$2:$V$1001,0),0), INDEX($AC$1004:$AS$1004,1,MATCH(COLUMNS($AC$1006:AI1006),$AC$1006:$AS$1006,0)))),"Fix")))</f>
        <v>0</v>
      </c>
      <c r="I485" s="5">
        <f>IF(OR(INDEX($W$2:$W$1001,MATCH(ROWS($V$2:V485),$V$2:$V$1001,0),1)&gt;=100000,INDEX($AC$1005:$AS$1005,1,MATCH(COLUMNS($AC$1006:AJ1006),$AC$1006:$AS$1006,0))&gt;=100000), " ",IF(INDEX($AC$2:$AS$1001,MATCH(ROWS($V$2:V485),$V$2:$V$1001,0),MATCH(COLUMNS($AC$1006:AJ1006),$AC$1006:$AS$1006,0)), HYPERLINK("#",""), HYPERLINK(CONCATENATE("#Metadata!", ADDRESS(INDEX($X$2:$X$1001,MATCH(ROWS($V$2:V485),$V$2:$V$1001,0),0), INDEX($AC$1004:$AS$1004,1,MATCH(COLUMNS($AC$1006:AJ1006),$AC$1006:$AS$1006,0)))),"Fix")))</f>
        <v>0</v>
      </c>
      <c r="J485" s="5">
        <f>IF(OR(INDEX($W$2:$W$1001,MATCH(ROWS($V$2:V485),$V$2:$V$1001,0),1)&gt;=100000,INDEX($AC$1005:$AS$1005,1,MATCH(COLUMNS($AC$1006:AK1006),$AC$1006:$AS$1006,0))&gt;=100000), " ",IF(INDEX($AC$2:$AS$1001,MATCH(ROWS($V$2:V485),$V$2:$V$1001,0),MATCH(COLUMNS($AC$1006:AK1006),$AC$1006:$AS$1006,0)), HYPERLINK("#",""), HYPERLINK(CONCATENATE("#Metadata!", ADDRESS(INDEX($X$2:$X$1001,MATCH(ROWS($V$2:V485),$V$2:$V$1001,0),0), INDEX($AC$1004:$AS$1004,1,MATCH(COLUMNS($AC$1006:AK1006),$AC$1006:$AS$1006,0)))),"Fix")))</f>
        <v>0</v>
      </c>
      <c r="K485" s="5">
        <f>IF(OR(INDEX($W$2:$W$1001,MATCH(ROWS($V$2:V485),$V$2:$V$1001,0),1)&gt;=100000,INDEX($AC$1005:$AS$1005,1,MATCH(COLUMNS($AC$1006:AL1006),$AC$1006:$AS$1006,0))&gt;=100000), " ",IF(INDEX($AC$2:$AS$1001,MATCH(ROWS($V$2:V485),$V$2:$V$1001,0),MATCH(COLUMNS($AC$1006:AL1006),$AC$1006:$AS$1006,0)), HYPERLINK("#",""), HYPERLINK(CONCATENATE("#Metadata!", ADDRESS(INDEX($X$2:$X$1001,MATCH(ROWS($V$2:V485),$V$2:$V$1001,0),0), INDEX($AC$1004:$AS$1004,1,MATCH(COLUMNS($AC$1006:AL1006),$AC$1006:$AS$1006,0)))),"Fix")))</f>
        <v>0</v>
      </c>
      <c r="L485" s="5">
        <f>IF(OR(INDEX($W$2:$W$1001,MATCH(ROWS($V$2:V485),$V$2:$V$1001,0),1)&gt;=100000,INDEX($AC$1005:$AS$1005,1,MATCH(COLUMNS($AC$1006:AM1006),$AC$1006:$AS$1006,0))&gt;=100000), " ",IF(INDEX($AC$2:$AS$1001,MATCH(ROWS($V$2:V485),$V$2:$V$1001,0),MATCH(COLUMNS($AC$1006:AM1006),$AC$1006:$AS$1006,0)), HYPERLINK("#",""), HYPERLINK(CONCATENATE("#Metadata!", ADDRESS(INDEX($X$2:$X$1001,MATCH(ROWS($V$2:V485),$V$2:$V$1001,0),0), INDEX($AC$1004:$AS$1004,1,MATCH(COLUMNS($AC$1006:AM1006),$AC$1006:$AS$1006,0)))),"Fix")))</f>
        <v>0</v>
      </c>
      <c r="M485" s="5">
        <f>IF(OR(INDEX($W$2:$W$1001,MATCH(ROWS($V$2:V485),$V$2:$V$1001,0),1)&gt;=100000,INDEX($AC$1005:$AS$1005,1,MATCH(COLUMNS($AC$1006:AN1006),$AC$1006:$AS$1006,0))&gt;=100000), " ",IF(INDEX($AC$2:$AS$1001,MATCH(ROWS($V$2:V485),$V$2:$V$1001,0),MATCH(COLUMNS($AC$1006:AN1006),$AC$1006:$AS$1006,0)), HYPERLINK("#",""), HYPERLINK(CONCATENATE("#Metadata!", ADDRESS(INDEX($X$2:$X$1001,MATCH(ROWS($V$2:V485),$V$2:$V$1001,0),0), INDEX($AC$1004:$AS$1004,1,MATCH(COLUMNS($AC$1006:AN1006),$AC$1006:$AS$1006,0)))),"Fix")))</f>
        <v>0</v>
      </c>
      <c r="N485" s="5">
        <f>IF(OR(INDEX($W$2:$W$1001,MATCH(ROWS($V$2:V485),$V$2:$V$1001,0),1)&gt;=100000,INDEX($AC$1005:$AS$1005,1,MATCH(COLUMNS($AC$1006:AO1006),$AC$1006:$AS$1006,0))&gt;=100000), " ",IF(INDEX($AC$2:$AS$1001,MATCH(ROWS($V$2:V485),$V$2:$V$1001,0),MATCH(COLUMNS($AC$1006:AO1006),$AC$1006:$AS$1006,0)), HYPERLINK("#",""), HYPERLINK(CONCATENATE("#Metadata!", ADDRESS(INDEX($X$2:$X$1001,MATCH(ROWS($V$2:V485),$V$2:$V$1001,0),0), INDEX($AC$1004:$AS$1004,1,MATCH(COLUMNS($AC$1006:AO1006),$AC$1006:$AS$1006,0)))),"Fix")))</f>
        <v>0</v>
      </c>
      <c r="O485" s="5">
        <f>IF(OR(INDEX($W$2:$W$1001,MATCH(ROWS($V$2:V485),$V$2:$V$1001,0),1)&gt;=100000,INDEX($AC$1005:$AS$1005,1,MATCH(COLUMNS($AC$1006:AP1006),$AC$1006:$AS$1006,0))&gt;=100000), " ",IF(INDEX($AC$2:$AS$1001,MATCH(ROWS($V$2:V485),$V$2:$V$1001,0),MATCH(COLUMNS($AC$1006:AP1006),$AC$1006:$AS$1006,0)), HYPERLINK("#",""), HYPERLINK(CONCATENATE("#Metadata!", ADDRESS(INDEX($X$2:$X$1001,MATCH(ROWS($V$2:V485),$V$2:$V$1001,0),0), INDEX($AC$1004:$AS$1004,1,MATCH(COLUMNS($AC$1006:AP1006),$AC$1006:$AS$1006,0)))),"Fix")))</f>
        <v>0</v>
      </c>
      <c r="P485" s="5">
        <f>IF(OR(INDEX($W$2:$W$1001,MATCH(ROWS($V$2:V485),$V$2:$V$1001,0),1)&gt;=100000,INDEX($AC$1005:$AS$1005,1,MATCH(COLUMNS($AC$1006:AQ1006),$AC$1006:$AS$1006,0))&gt;=100000), " ",IF(INDEX($AC$2:$AS$1001,MATCH(ROWS($V$2:V485),$V$2:$V$1001,0),MATCH(COLUMNS($AC$1006:AQ1006),$AC$1006:$AS$1006,0)), HYPERLINK("#",""), HYPERLINK(CONCATENATE("#Metadata!", ADDRESS(INDEX($X$2:$X$1001,MATCH(ROWS($V$2:V485),$V$2:$V$1001,0),0), INDEX($AC$1004:$AS$1004,1,MATCH(COLUMNS($AC$1006:AQ1006),$AC$1006:$AS$1006,0)))),"Fix")))</f>
        <v>0</v>
      </c>
      <c r="Q485" s="5">
        <f>IF(OR(INDEX($W$2:$W$1001,MATCH(ROWS($V$2:V485),$V$2:$V$1001,0),1)&gt;=100000,INDEX($AC$1005:$AS$1005,1,MATCH(COLUMNS($AC$1006:AR1006),$AC$1006:$AS$1006,0))&gt;=100000), " ",IF(INDEX($AC$2:$AS$1001,MATCH(ROWS($V$2:V485),$V$2:$V$1001,0),MATCH(COLUMNS($AC$1006:AR1006),$AC$1006:$AS$1006,0)), HYPERLINK("#",""), HYPERLINK(CONCATENATE("#Metadata!", ADDRESS(INDEX($X$2:$X$1001,MATCH(ROWS($V$2:V485),$V$2:$V$1001,0),0), INDEX($AC$1004:$AS$1004,1,MATCH(COLUMNS($AC$1006:AR1006),$AC$1006:$AS$1006,0)))),"Fix")))</f>
        <v>0</v>
      </c>
      <c r="R485" s="5">
        <f>IF(OR(INDEX($W$2:$W$1001,MATCH(ROWS($V$2:V485),$V$2:$V$1001,0),1)&gt;=100000,INDEX($AC$1005:$AS$1005,1,MATCH(COLUMNS($AC$1006:AS1006),$AC$1006:$AS$1006,0))&gt;=100000), " ",IF(INDEX($AC$2:$AS$1001,MATCH(ROWS($V$2:V485),$V$2:$V$1001,0),MATCH(COLUMNS($AC$1006:AS1006),$AC$1006:$AS$1006,0)), HYPERLINK("#",""), HYPERLINK(CONCATENATE("#Metadata!", ADDRESS(INDEX($X$2:$X$1001,MATCH(ROWS($V$2:V485),$V$2:$V$1001,0),0), INDEX($AC$1004:$AS$1004,1,MATCH(COLUMNS($AC$1006:AS1006),$AC$1006:$AS$1006,0)))),"Fix")))</f>
        <v>0</v>
      </c>
      <c r="V485">
        <v>0</v>
      </c>
      <c r="W485">
        <v>0</v>
      </c>
      <c r="X485">
        <v>0</v>
      </c>
      <c r="Y485">
        <f>IF(Z485,TRUE,AND(AC485:AS485))</f>
        <v>0</v>
      </c>
      <c r="Z485">
        <f>COUNTBLANK(Metadata!B485:R485)=COLUMNS(Metadata!B485:R485)</f>
        <v>0</v>
      </c>
      <c r="AA485">
        <v>0</v>
      </c>
      <c r="AC485">
        <f>AND(IF(Metadata!B485="",FALSE,TRUE),COUNTIF(Metadata!B:B, Metadata!B485) = 1,NOT(ISERROR(SUMPRODUCT(SEARCH(MID(Metadata!B485,ROW(INDIRECT("1:"&amp;LEN(Metadata!B485))), 1),"0123456789abcdefghijklmnopqrstuvwxyzABCDEFGHIJKLMNOPQRSTUVWXYZ.")))))</f>
        <v>0</v>
      </c>
      <c r="AD485">
        <f>AND(IF(Metadata!C485="",FALSE,TRUE),exact(Metadata!C485,"Host-associated"))</f>
        <v>0</v>
      </c>
      <c r="AE485">
        <f>AND(IF(Metadata!D485="",FALSE,TRUE),OR(exact(Metadata!D485,"Animal"),exact(Metadata!D485,"Fungus"),exact(Metadata!D485,"Plant")))</f>
        <v>0</v>
      </c>
      <c r="AF485">
        <f>AND(IF(Metadata!E485="",FALSE,TRUE),OR(exact(Metadata!E485,"Plant secretion"),exact(Metadata!E485,"Plant rhizosphere"),exact(Metadata!E485,"Plant surface"),exact(Metadata!E485,"Plant corpus"),exact(Metadata!E485,"Fungus surface"),exact(Metadata!E485,"Fungus corpus"),exact(Metadata!E485,"Animal surface"),exact(Metadata!E485,"Animal proximal gut"),exact(Metadata!E485,"Animal corpus"),exact(Metadata!E485,"Animal distal gut"),exact(Metadata!E485,"Animal secretion")))</f>
        <v>0</v>
      </c>
      <c r="AG485">
        <f>OR(AND(IF(Metadata!F485="",FALSE,TRUE),OR(exact(Metadata!F485,"not collected"),exact(Metadata!F485,"not provided"),exact(Metadata!F485,"restricted access"))),AND(IF(Metadata!F485="",FALSE,TRUE),OR(exact(Metadata!F485,"organism-associated habitat"),exact(Metadata!F485,"plant-associated habitat"),exact(Metadata!F485,"animal-associated habitat"),exact(Metadata!F485,"insecta-associated habitat"),exact(Metadata!F485,"mammalia-associated habitat"),exact(Metadata!F485,"human-associated habitat"),exact(Metadata!F485,"livestock-associated habitat"))))</f>
        <v>0</v>
      </c>
      <c r="AH485">
        <f>AND(IF(Metadata!G485="",FALSE,TRUE),exact(Metadata!G485,"host-associated"))</f>
        <v>0</v>
      </c>
      <c r="AI485">
        <f>OR(AND(IF(Metadata!H485="",FALSE,TRUE),OR(exact(Metadata!H485,"not collected"),exact(Metadata!H485,"not provided"))),AND(IF(Metadata!H485="",FALSE,ISNUMBER(VALUE(Metadata!H485))),Metadata!H485&gt;0))</f>
        <v>0</v>
      </c>
      <c r="AJ485">
        <f>AND(IF(Metadata!I485="",FALSE,TRUE),exact(Metadata!I485,"years"))</f>
        <v>0</v>
      </c>
      <c r="AK485">
        <f>IF(Metadata!J485="",FALSE,TRUE)</f>
        <v>0</v>
      </c>
      <c r="AL485">
        <f>OR(AND(IF(Metadata!K485="",FALSE,TRUE),OR(exact(Metadata!K485,"not collected"),exact(Metadata!K485,"not provided"))),AND(IF(Metadata!K485="",FALSE,ISNUMBER(VALUE(Metadata!K485))),Metadata!K485&gt;0))</f>
        <v>0</v>
      </c>
      <c r="AM485">
        <f>AND(IF(Metadata!L485="",FALSE,TRUE),exact(Metadata!L485,"cm"))</f>
        <v>0</v>
      </c>
      <c r="AN485">
        <f>IF(Metadata!M485="",FALSE,TRUE)</f>
        <v>0</v>
      </c>
      <c r="AO485">
        <f>OR(AND(IF(Metadata!N485="",FALSE,TRUE),OR(exact(Metadata!N485,"not applicable"),exact(Metadata!N485,"not collected"),exact(Metadata!N485,"not provided"))),AND(IF(Metadata!N485="",FALSE,IF(ISERROR(INT(Metadata!N485)),FALSE,INT(Metadata!N485)=Metadata!N485)),Metadata!N485&gt;0))</f>
        <v>0</v>
      </c>
      <c r="AP485">
        <f>OR(AND(IF(Metadata!O485="",FALSE,TRUE),OR(exact(Metadata!O485,"not collected"),exact(Metadata!O485,"not provided"))),AND(IF(Metadata!O485="",FALSE,ISNUMBER(VALUE(Metadata!O485))),Metadata!O485&gt;0))</f>
        <v>0</v>
      </c>
      <c r="AQ485">
        <f>AND(IF(Metadata!P485="",FALSE,TRUE),exact(Metadata!P485,"kg"))</f>
        <v>0</v>
      </c>
      <c r="AR485">
        <f>OR(AND(IF(Metadata!Q485="",FALSE,TRUE),OR(exact(Metadata!Q485,"not applicable"),exact(Metadata!Q485,"not collected"),exact(Metadata!Q485,"not provided"),exact(Metadata!Q485,"restricted access"))),IF(Metadata!Q485="",FALSE,IF(ISERROR(INT(Metadata!Q485)),FALSE,INT(Metadata!Q485)=Metadata!Q485)))</f>
        <v>0</v>
      </c>
      <c r="AS485">
        <f>AND(IF(Metadata!R485="",FALSE,TRUE),exact(Metadata!R485,"Not applicable"))</f>
        <v>0</v>
      </c>
    </row>
    <row r="486" spans="1:45">
      <c r="A486" s="4">
        <f>IF(B486=" "," ",HYPERLINK(CONCATENATE("#metadata!",ADDRESS(INDEX($X$2:$X$1001,MATCH(ROWS($V$2:V486),$V$2:$V$1001,0),0),2)),INDEX($AA$2:$AA$1001,MATCH(ROWS($V$2:V486),$V$2:$V$1001,0),0)))</f>
        <v>0</v>
      </c>
      <c r="B486" s="5">
        <f>IF(OR(INDEX($W$2:$W$1001,MATCH(ROWS($V$2:V486),$V$2:$V$1001,0),1)&gt;=100000,INDEX($AC$1005:$AS$1005,1,MATCH(COLUMNS($AC$1006:AC1006),$AC$1006:$AS$1006,0))&gt;=100000), " ",IF(INDEX($AC$2:$AS$1001,MATCH(ROWS($V$2:V486),$V$2:$V$1001,0),MATCH(COLUMNS($AC$1006:AC1006),$AC$1006:$AS$1006,0)), HYPERLINK("#",""), HYPERLINK(CONCATENATE("#Metadata!", ADDRESS(INDEX($X$2:$X$1001,MATCH(ROWS($V$2:V486),$V$2:$V$1001,0),0), INDEX($AC$1004:$AS$1004,1,MATCH(COLUMNS($AC$1006:AC1006),$AC$1006:$AS$1006,0)))),"Fix")))</f>
        <v>0</v>
      </c>
      <c r="C486" s="5">
        <f>IF(OR(INDEX($W$2:$W$1001,MATCH(ROWS($V$2:V486),$V$2:$V$1001,0),1)&gt;=100000,INDEX($AC$1005:$AS$1005,1,MATCH(COLUMNS($AC$1006:AD1006),$AC$1006:$AS$1006,0))&gt;=100000), " ",IF(INDEX($AC$2:$AS$1001,MATCH(ROWS($V$2:V486),$V$2:$V$1001,0),MATCH(COLUMNS($AC$1006:AD1006),$AC$1006:$AS$1006,0)), HYPERLINK("#",""), HYPERLINK(CONCATENATE("#Metadata!", ADDRESS(INDEX($X$2:$X$1001,MATCH(ROWS($V$2:V486),$V$2:$V$1001,0),0), INDEX($AC$1004:$AS$1004,1,MATCH(COLUMNS($AC$1006:AD1006),$AC$1006:$AS$1006,0)))),"Fix")))</f>
        <v>0</v>
      </c>
      <c r="D486" s="5">
        <f>IF(OR(INDEX($W$2:$W$1001,MATCH(ROWS($V$2:V486),$V$2:$V$1001,0),1)&gt;=100000,INDEX($AC$1005:$AS$1005,1,MATCH(COLUMNS($AC$1006:AE1006),$AC$1006:$AS$1006,0))&gt;=100000), " ",IF(INDEX($AC$2:$AS$1001,MATCH(ROWS($V$2:V486),$V$2:$V$1001,0),MATCH(COLUMNS($AC$1006:AE1006),$AC$1006:$AS$1006,0)), HYPERLINK("#",""), HYPERLINK(CONCATENATE("#Metadata!", ADDRESS(INDEX($X$2:$X$1001,MATCH(ROWS($V$2:V486),$V$2:$V$1001,0),0), INDEX($AC$1004:$AS$1004,1,MATCH(COLUMNS($AC$1006:AE1006),$AC$1006:$AS$1006,0)))),"Fix")))</f>
        <v>0</v>
      </c>
      <c r="E486" s="5">
        <f>IF(OR(INDEX($W$2:$W$1001,MATCH(ROWS($V$2:V486),$V$2:$V$1001,0),1)&gt;=100000,INDEX($AC$1005:$AS$1005,1,MATCH(COLUMNS($AC$1006:AF1006),$AC$1006:$AS$1006,0))&gt;=100000), " ",IF(INDEX($AC$2:$AS$1001,MATCH(ROWS($V$2:V486),$V$2:$V$1001,0),MATCH(COLUMNS($AC$1006:AF1006),$AC$1006:$AS$1006,0)), HYPERLINK("#",""), HYPERLINK(CONCATENATE("#Metadata!", ADDRESS(INDEX($X$2:$X$1001,MATCH(ROWS($V$2:V486),$V$2:$V$1001,0),0), INDEX($AC$1004:$AS$1004,1,MATCH(COLUMNS($AC$1006:AF1006),$AC$1006:$AS$1006,0)))),"Fix")))</f>
        <v>0</v>
      </c>
      <c r="F486" s="5">
        <f>IF(OR(INDEX($W$2:$W$1001,MATCH(ROWS($V$2:V486),$V$2:$V$1001,0),1)&gt;=100000,INDEX($AC$1005:$AS$1005,1,MATCH(COLUMNS($AC$1006:AG1006),$AC$1006:$AS$1006,0))&gt;=100000), " ",IF(INDEX($AC$2:$AS$1001,MATCH(ROWS($V$2:V486),$V$2:$V$1001,0),MATCH(COLUMNS($AC$1006:AG1006),$AC$1006:$AS$1006,0)), HYPERLINK("#",""), HYPERLINK(CONCATENATE("#Metadata!", ADDRESS(INDEX($X$2:$X$1001,MATCH(ROWS($V$2:V486),$V$2:$V$1001,0),0), INDEX($AC$1004:$AS$1004,1,MATCH(COLUMNS($AC$1006:AG1006),$AC$1006:$AS$1006,0)))),"Fix")))</f>
        <v>0</v>
      </c>
      <c r="G486" s="5">
        <f>IF(OR(INDEX($W$2:$W$1001,MATCH(ROWS($V$2:V486),$V$2:$V$1001,0),1)&gt;=100000,INDEX($AC$1005:$AS$1005,1,MATCH(COLUMNS($AC$1006:AH1006),$AC$1006:$AS$1006,0))&gt;=100000), " ",IF(INDEX($AC$2:$AS$1001,MATCH(ROWS($V$2:V486),$V$2:$V$1001,0),MATCH(COLUMNS($AC$1006:AH1006),$AC$1006:$AS$1006,0)), HYPERLINK("#",""), HYPERLINK(CONCATENATE("#Metadata!", ADDRESS(INDEX($X$2:$X$1001,MATCH(ROWS($V$2:V486),$V$2:$V$1001,0),0), INDEX($AC$1004:$AS$1004,1,MATCH(COLUMNS($AC$1006:AH1006),$AC$1006:$AS$1006,0)))),"Fix")))</f>
        <v>0</v>
      </c>
      <c r="H486" s="5">
        <f>IF(OR(INDEX($W$2:$W$1001,MATCH(ROWS($V$2:V486),$V$2:$V$1001,0),1)&gt;=100000,INDEX($AC$1005:$AS$1005,1,MATCH(COLUMNS($AC$1006:AI1006),$AC$1006:$AS$1006,0))&gt;=100000), " ",IF(INDEX($AC$2:$AS$1001,MATCH(ROWS($V$2:V486),$V$2:$V$1001,0),MATCH(COLUMNS($AC$1006:AI1006),$AC$1006:$AS$1006,0)), HYPERLINK("#",""), HYPERLINK(CONCATENATE("#Metadata!", ADDRESS(INDEX($X$2:$X$1001,MATCH(ROWS($V$2:V486),$V$2:$V$1001,0),0), INDEX($AC$1004:$AS$1004,1,MATCH(COLUMNS($AC$1006:AI1006),$AC$1006:$AS$1006,0)))),"Fix")))</f>
        <v>0</v>
      </c>
      <c r="I486" s="5">
        <f>IF(OR(INDEX($W$2:$W$1001,MATCH(ROWS($V$2:V486),$V$2:$V$1001,0),1)&gt;=100000,INDEX($AC$1005:$AS$1005,1,MATCH(COLUMNS($AC$1006:AJ1006),$AC$1006:$AS$1006,0))&gt;=100000), " ",IF(INDEX($AC$2:$AS$1001,MATCH(ROWS($V$2:V486),$V$2:$V$1001,0),MATCH(COLUMNS($AC$1006:AJ1006),$AC$1006:$AS$1006,0)), HYPERLINK("#",""), HYPERLINK(CONCATENATE("#Metadata!", ADDRESS(INDEX($X$2:$X$1001,MATCH(ROWS($V$2:V486),$V$2:$V$1001,0),0), INDEX($AC$1004:$AS$1004,1,MATCH(COLUMNS($AC$1006:AJ1006),$AC$1006:$AS$1006,0)))),"Fix")))</f>
        <v>0</v>
      </c>
      <c r="J486" s="5">
        <f>IF(OR(INDEX($W$2:$W$1001,MATCH(ROWS($V$2:V486),$V$2:$V$1001,0),1)&gt;=100000,INDEX($AC$1005:$AS$1005,1,MATCH(COLUMNS($AC$1006:AK1006),$AC$1006:$AS$1006,0))&gt;=100000), " ",IF(INDEX($AC$2:$AS$1001,MATCH(ROWS($V$2:V486),$V$2:$V$1001,0),MATCH(COLUMNS($AC$1006:AK1006),$AC$1006:$AS$1006,0)), HYPERLINK("#",""), HYPERLINK(CONCATENATE("#Metadata!", ADDRESS(INDEX($X$2:$X$1001,MATCH(ROWS($V$2:V486),$V$2:$V$1001,0),0), INDEX($AC$1004:$AS$1004,1,MATCH(COLUMNS($AC$1006:AK1006),$AC$1006:$AS$1006,0)))),"Fix")))</f>
        <v>0</v>
      </c>
      <c r="K486" s="5">
        <f>IF(OR(INDEX($W$2:$W$1001,MATCH(ROWS($V$2:V486),$V$2:$V$1001,0),1)&gt;=100000,INDEX($AC$1005:$AS$1005,1,MATCH(COLUMNS($AC$1006:AL1006),$AC$1006:$AS$1006,0))&gt;=100000), " ",IF(INDEX($AC$2:$AS$1001,MATCH(ROWS($V$2:V486),$V$2:$V$1001,0),MATCH(COLUMNS($AC$1006:AL1006),$AC$1006:$AS$1006,0)), HYPERLINK("#",""), HYPERLINK(CONCATENATE("#Metadata!", ADDRESS(INDEX($X$2:$X$1001,MATCH(ROWS($V$2:V486),$V$2:$V$1001,0),0), INDEX($AC$1004:$AS$1004,1,MATCH(COLUMNS($AC$1006:AL1006),$AC$1006:$AS$1006,0)))),"Fix")))</f>
        <v>0</v>
      </c>
      <c r="L486" s="5">
        <f>IF(OR(INDEX($W$2:$W$1001,MATCH(ROWS($V$2:V486),$V$2:$V$1001,0),1)&gt;=100000,INDEX($AC$1005:$AS$1005,1,MATCH(COLUMNS($AC$1006:AM1006),$AC$1006:$AS$1006,0))&gt;=100000), " ",IF(INDEX($AC$2:$AS$1001,MATCH(ROWS($V$2:V486),$V$2:$V$1001,0),MATCH(COLUMNS($AC$1006:AM1006),$AC$1006:$AS$1006,0)), HYPERLINK("#",""), HYPERLINK(CONCATENATE("#Metadata!", ADDRESS(INDEX($X$2:$X$1001,MATCH(ROWS($V$2:V486),$V$2:$V$1001,0),0), INDEX($AC$1004:$AS$1004,1,MATCH(COLUMNS($AC$1006:AM1006),$AC$1006:$AS$1006,0)))),"Fix")))</f>
        <v>0</v>
      </c>
      <c r="M486" s="5">
        <f>IF(OR(INDEX($W$2:$W$1001,MATCH(ROWS($V$2:V486),$V$2:$V$1001,0),1)&gt;=100000,INDEX($AC$1005:$AS$1005,1,MATCH(COLUMNS($AC$1006:AN1006),$AC$1006:$AS$1006,0))&gt;=100000), " ",IF(INDEX($AC$2:$AS$1001,MATCH(ROWS($V$2:V486),$V$2:$V$1001,0),MATCH(COLUMNS($AC$1006:AN1006),$AC$1006:$AS$1006,0)), HYPERLINK("#",""), HYPERLINK(CONCATENATE("#Metadata!", ADDRESS(INDEX($X$2:$X$1001,MATCH(ROWS($V$2:V486),$V$2:$V$1001,0),0), INDEX($AC$1004:$AS$1004,1,MATCH(COLUMNS($AC$1006:AN1006),$AC$1006:$AS$1006,0)))),"Fix")))</f>
        <v>0</v>
      </c>
      <c r="N486" s="5">
        <f>IF(OR(INDEX($W$2:$W$1001,MATCH(ROWS($V$2:V486),$V$2:$V$1001,0),1)&gt;=100000,INDEX($AC$1005:$AS$1005,1,MATCH(COLUMNS($AC$1006:AO1006),$AC$1006:$AS$1006,0))&gt;=100000), " ",IF(INDEX($AC$2:$AS$1001,MATCH(ROWS($V$2:V486),$V$2:$V$1001,0),MATCH(COLUMNS($AC$1006:AO1006),$AC$1006:$AS$1006,0)), HYPERLINK("#",""), HYPERLINK(CONCATENATE("#Metadata!", ADDRESS(INDEX($X$2:$X$1001,MATCH(ROWS($V$2:V486),$V$2:$V$1001,0),0), INDEX($AC$1004:$AS$1004,1,MATCH(COLUMNS($AC$1006:AO1006),$AC$1006:$AS$1006,0)))),"Fix")))</f>
        <v>0</v>
      </c>
      <c r="O486" s="5">
        <f>IF(OR(INDEX($W$2:$W$1001,MATCH(ROWS($V$2:V486),$V$2:$V$1001,0),1)&gt;=100000,INDEX($AC$1005:$AS$1005,1,MATCH(COLUMNS($AC$1006:AP1006),$AC$1006:$AS$1006,0))&gt;=100000), " ",IF(INDEX($AC$2:$AS$1001,MATCH(ROWS($V$2:V486),$V$2:$V$1001,0),MATCH(COLUMNS($AC$1006:AP1006),$AC$1006:$AS$1006,0)), HYPERLINK("#",""), HYPERLINK(CONCATENATE("#Metadata!", ADDRESS(INDEX($X$2:$X$1001,MATCH(ROWS($V$2:V486),$V$2:$V$1001,0),0), INDEX($AC$1004:$AS$1004,1,MATCH(COLUMNS($AC$1006:AP1006),$AC$1006:$AS$1006,0)))),"Fix")))</f>
        <v>0</v>
      </c>
      <c r="P486" s="5">
        <f>IF(OR(INDEX($W$2:$W$1001,MATCH(ROWS($V$2:V486),$V$2:$V$1001,0),1)&gt;=100000,INDEX($AC$1005:$AS$1005,1,MATCH(COLUMNS($AC$1006:AQ1006),$AC$1006:$AS$1006,0))&gt;=100000), " ",IF(INDEX($AC$2:$AS$1001,MATCH(ROWS($V$2:V486),$V$2:$V$1001,0),MATCH(COLUMNS($AC$1006:AQ1006),$AC$1006:$AS$1006,0)), HYPERLINK("#",""), HYPERLINK(CONCATENATE("#Metadata!", ADDRESS(INDEX($X$2:$X$1001,MATCH(ROWS($V$2:V486),$V$2:$V$1001,0),0), INDEX($AC$1004:$AS$1004,1,MATCH(COLUMNS($AC$1006:AQ1006),$AC$1006:$AS$1006,0)))),"Fix")))</f>
        <v>0</v>
      </c>
      <c r="Q486" s="5">
        <f>IF(OR(INDEX($W$2:$W$1001,MATCH(ROWS($V$2:V486),$V$2:$V$1001,0),1)&gt;=100000,INDEX($AC$1005:$AS$1005,1,MATCH(COLUMNS($AC$1006:AR1006),$AC$1006:$AS$1006,0))&gt;=100000), " ",IF(INDEX($AC$2:$AS$1001,MATCH(ROWS($V$2:V486),$V$2:$V$1001,0),MATCH(COLUMNS($AC$1006:AR1006),$AC$1006:$AS$1006,0)), HYPERLINK("#",""), HYPERLINK(CONCATENATE("#Metadata!", ADDRESS(INDEX($X$2:$X$1001,MATCH(ROWS($V$2:V486),$V$2:$V$1001,0),0), INDEX($AC$1004:$AS$1004,1,MATCH(COLUMNS($AC$1006:AR1006),$AC$1006:$AS$1006,0)))),"Fix")))</f>
        <v>0</v>
      </c>
      <c r="R486" s="5">
        <f>IF(OR(INDEX($W$2:$W$1001,MATCH(ROWS($V$2:V486),$V$2:$V$1001,0),1)&gt;=100000,INDEX($AC$1005:$AS$1005,1,MATCH(COLUMNS($AC$1006:AS1006),$AC$1006:$AS$1006,0))&gt;=100000), " ",IF(INDEX($AC$2:$AS$1001,MATCH(ROWS($V$2:V486),$V$2:$V$1001,0),MATCH(COLUMNS($AC$1006:AS1006),$AC$1006:$AS$1006,0)), HYPERLINK("#",""), HYPERLINK(CONCATENATE("#Metadata!", ADDRESS(INDEX($X$2:$X$1001,MATCH(ROWS($V$2:V486),$V$2:$V$1001,0),0), INDEX($AC$1004:$AS$1004,1,MATCH(COLUMNS($AC$1006:AS1006),$AC$1006:$AS$1006,0)))),"Fix")))</f>
        <v>0</v>
      </c>
      <c r="V486">
        <v>0</v>
      </c>
      <c r="W486">
        <v>0</v>
      </c>
      <c r="X486">
        <v>0</v>
      </c>
      <c r="Y486">
        <f>IF(Z486,TRUE,AND(AC486:AS486))</f>
        <v>0</v>
      </c>
      <c r="Z486">
        <f>COUNTBLANK(Metadata!B486:R486)=COLUMNS(Metadata!B486:R486)</f>
        <v>0</v>
      </c>
      <c r="AA486">
        <v>0</v>
      </c>
      <c r="AC486">
        <f>AND(IF(Metadata!B486="",FALSE,TRUE),COUNTIF(Metadata!B:B, Metadata!B486) = 1,NOT(ISERROR(SUMPRODUCT(SEARCH(MID(Metadata!B486,ROW(INDIRECT("1:"&amp;LEN(Metadata!B486))), 1),"0123456789abcdefghijklmnopqrstuvwxyzABCDEFGHIJKLMNOPQRSTUVWXYZ.")))))</f>
        <v>0</v>
      </c>
      <c r="AD486">
        <f>AND(IF(Metadata!C486="",FALSE,TRUE),exact(Metadata!C486,"Host-associated"))</f>
        <v>0</v>
      </c>
      <c r="AE486">
        <f>AND(IF(Metadata!D486="",FALSE,TRUE),OR(exact(Metadata!D486,"Animal"),exact(Metadata!D486,"Fungus"),exact(Metadata!D486,"Plant")))</f>
        <v>0</v>
      </c>
      <c r="AF486">
        <f>AND(IF(Metadata!E486="",FALSE,TRUE),OR(exact(Metadata!E486,"Plant secretion"),exact(Metadata!E486,"Plant rhizosphere"),exact(Metadata!E486,"Plant surface"),exact(Metadata!E486,"Plant corpus"),exact(Metadata!E486,"Fungus surface"),exact(Metadata!E486,"Fungus corpus"),exact(Metadata!E486,"Animal surface"),exact(Metadata!E486,"Animal proximal gut"),exact(Metadata!E486,"Animal corpus"),exact(Metadata!E486,"Animal distal gut"),exact(Metadata!E486,"Animal secretion")))</f>
        <v>0</v>
      </c>
      <c r="AG486">
        <f>OR(AND(IF(Metadata!F486="",FALSE,TRUE),OR(exact(Metadata!F486,"not collected"),exact(Metadata!F486,"not provided"),exact(Metadata!F486,"restricted access"))),AND(IF(Metadata!F486="",FALSE,TRUE),OR(exact(Metadata!F486,"organism-associated habitat"),exact(Metadata!F486,"plant-associated habitat"),exact(Metadata!F486,"animal-associated habitat"),exact(Metadata!F486,"insecta-associated habitat"),exact(Metadata!F486,"mammalia-associated habitat"),exact(Metadata!F486,"human-associated habitat"),exact(Metadata!F486,"livestock-associated habitat"))))</f>
        <v>0</v>
      </c>
      <c r="AH486">
        <f>AND(IF(Metadata!G486="",FALSE,TRUE),exact(Metadata!G486,"host-associated"))</f>
        <v>0</v>
      </c>
      <c r="AI486">
        <f>OR(AND(IF(Metadata!H486="",FALSE,TRUE),OR(exact(Metadata!H486,"not collected"),exact(Metadata!H486,"not provided"))),AND(IF(Metadata!H486="",FALSE,ISNUMBER(VALUE(Metadata!H486))),Metadata!H486&gt;0))</f>
        <v>0</v>
      </c>
      <c r="AJ486">
        <f>AND(IF(Metadata!I486="",FALSE,TRUE),exact(Metadata!I486,"years"))</f>
        <v>0</v>
      </c>
      <c r="AK486">
        <f>IF(Metadata!J486="",FALSE,TRUE)</f>
        <v>0</v>
      </c>
      <c r="AL486">
        <f>OR(AND(IF(Metadata!K486="",FALSE,TRUE),OR(exact(Metadata!K486,"not collected"),exact(Metadata!K486,"not provided"))),AND(IF(Metadata!K486="",FALSE,ISNUMBER(VALUE(Metadata!K486))),Metadata!K486&gt;0))</f>
        <v>0</v>
      </c>
      <c r="AM486">
        <f>AND(IF(Metadata!L486="",FALSE,TRUE),exact(Metadata!L486,"cm"))</f>
        <v>0</v>
      </c>
      <c r="AN486">
        <f>IF(Metadata!M486="",FALSE,TRUE)</f>
        <v>0</v>
      </c>
      <c r="AO486">
        <f>OR(AND(IF(Metadata!N486="",FALSE,TRUE),OR(exact(Metadata!N486,"not applicable"),exact(Metadata!N486,"not collected"),exact(Metadata!N486,"not provided"))),AND(IF(Metadata!N486="",FALSE,IF(ISERROR(INT(Metadata!N486)),FALSE,INT(Metadata!N486)=Metadata!N486)),Metadata!N486&gt;0))</f>
        <v>0</v>
      </c>
      <c r="AP486">
        <f>OR(AND(IF(Metadata!O486="",FALSE,TRUE),OR(exact(Metadata!O486,"not collected"),exact(Metadata!O486,"not provided"))),AND(IF(Metadata!O486="",FALSE,ISNUMBER(VALUE(Metadata!O486))),Metadata!O486&gt;0))</f>
        <v>0</v>
      </c>
      <c r="AQ486">
        <f>AND(IF(Metadata!P486="",FALSE,TRUE),exact(Metadata!P486,"kg"))</f>
        <v>0</v>
      </c>
      <c r="AR486">
        <f>OR(AND(IF(Metadata!Q486="",FALSE,TRUE),OR(exact(Metadata!Q486,"not applicable"),exact(Metadata!Q486,"not collected"),exact(Metadata!Q486,"not provided"),exact(Metadata!Q486,"restricted access"))),IF(Metadata!Q486="",FALSE,IF(ISERROR(INT(Metadata!Q486)),FALSE,INT(Metadata!Q486)=Metadata!Q486)))</f>
        <v>0</v>
      </c>
      <c r="AS486">
        <f>AND(IF(Metadata!R486="",FALSE,TRUE),exact(Metadata!R486,"Not applicable"))</f>
        <v>0</v>
      </c>
    </row>
    <row r="487" spans="1:45">
      <c r="A487" s="4">
        <f>IF(B487=" "," ",HYPERLINK(CONCATENATE("#metadata!",ADDRESS(INDEX($X$2:$X$1001,MATCH(ROWS($V$2:V487),$V$2:$V$1001,0),0),2)),INDEX($AA$2:$AA$1001,MATCH(ROWS($V$2:V487),$V$2:$V$1001,0),0)))</f>
        <v>0</v>
      </c>
      <c r="B487" s="5">
        <f>IF(OR(INDEX($W$2:$W$1001,MATCH(ROWS($V$2:V487),$V$2:$V$1001,0),1)&gt;=100000,INDEX($AC$1005:$AS$1005,1,MATCH(COLUMNS($AC$1006:AC1006),$AC$1006:$AS$1006,0))&gt;=100000), " ",IF(INDEX($AC$2:$AS$1001,MATCH(ROWS($V$2:V487),$V$2:$V$1001,0),MATCH(COLUMNS($AC$1006:AC1006),$AC$1006:$AS$1006,0)), HYPERLINK("#",""), HYPERLINK(CONCATENATE("#Metadata!", ADDRESS(INDEX($X$2:$X$1001,MATCH(ROWS($V$2:V487),$V$2:$V$1001,0),0), INDEX($AC$1004:$AS$1004,1,MATCH(COLUMNS($AC$1006:AC1006),$AC$1006:$AS$1006,0)))),"Fix")))</f>
        <v>0</v>
      </c>
      <c r="C487" s="5">
        <f>IF(OR(INDEX($W$2:$W$1001,MATCH(ROWS($V$2:V487),$V$2:$V$1001,0),1)&gt;=100000,INDEX($AC$1005:$AS$1005,1,MATCH(COLUMNS($AC$1006:AD1006),$AC$1006:$AS$1006,0))&gt;=100000), " ",IF(INDEX($AC$2:$AS$1001,MATCH(ROWS($V$2:V487),$V$2:$V$1001,0),MATCH(COLUMNS($AC$1006:AD1006),$AC$1006:$AS$1006,0)), HYPERLINK("#",""), HYPERLINK(CONCATENATE("#Metadata!", ADDRESS(INDEX($X$2:$X$1001,MATCH(ROWS($V$2:V487),$V$2:$V$1001,0),0), INDEX($AC$1004:$AS$1004,1,MATCH(COLUMNS($AC$1006:AD1006),$AC$1006:$AS$1006,0)))),"Fix")))</f>
        <v>0</v>
      </c>
      <c r="D487" s="5">
        <f>IF(OR(INDEX($W$2:$W$1001,MATCH(ROWS($V$2:V487),$V$2:$V$1001,0),1)&gt;=100000,INDEX($AC$1005:$AS$1005,1,MATCH(COLUMNS($AC$1006:AE1006),$AC$1006:$AS$1006,0))&gt;=100000), " ",IF(INDEX($AC$2:$AS$1001,MATCH(ROWS($V$2:V487),$V$2:$V$1001,0),MATCH(COLUMNS($AC$1006:AE1006),$AC$1006:$AS$1006,0)), HYPERLINK("#",""), HYPERLINK(CONCATENATE("#Metadata!", ADDRESS(INDEX($X$2:$X$1001,MATCH(ROWS($V$2:V487),$V$2:$V$1001,0),0), INDEX($AC$1004:$AS$1004,1,MATCH(COLUMNS($AC$1006:AE1006),$AC$1006:$AS$1006,0)))),"Fix")))</f>
        <v>0</v>
      </c>
      <c r="E487" s="5">
        <f>IF(OR(INDEX($W$2:$W$1001,MATCH(ROWS($V$2:V487),$V$2:$V$1001,0),1)&gt;=100000,INDEX($AC$1005:$AS$1005,1,MATCH(COLUMNS($AC$1006:AF1006),$AC$1006:$AS$1006,0))&gt;=100000), " ",IF(INDEX($AC$2:$AS$1001,MATCH(ROWS($V$2:V487),$V$2:$V$1001,0),MATCH(COLUMNS($AC$1006:AF1006),$AC$1006:$AS$1006,0)), HYPERLINK("#",""), HYPERLINK(CONCATENATE("#Metadata!", ADDRESS(INDEX($X$2:$X$1001,MATCH(ROWS($V$2:V487),$V$2:$V$1001,0),0), INDEX($AC$1004:$AS$1004,1,MATCH(COLUMNS($AC$1006:AF1006),$AC$1006:$AS$1006,0)))),"Fix")))</f>
        <v>0</v>
      </c>
      <c r="F487" s="5">
        <f>IF(OR(INDEX($W$2:$W$1001,MATCH(ROWS($V$2:V487),$V$2:$V$1001,0),1)&gt;=100000,INDEX($AC$1005:$AS$1005,1,MATCH(COLUMNS($AC$1006:AG1006),$AC$1006:$AS$1006,0))&gt;=100000), " ",IF(INDEX($AC$2:$AS$1001,MATCH(ROWS($V$2:V487),$V$2:$V$1001,0),MATCH(COLUMNS($AC$1006:AG1006),$AC$1006:$AS$1006,0)), HYPERLINK("#",""), HYPERLINK(CONCATENATE("#Metadata!", ADDRESS(INDEX($X$2:$X$1001,MATCH(ROWS($V$2:V487),$V$2:$V$1001,0),0), INDEX($AC$1004:$AS$1004,1,MATCH(COLUMNS($AC$1006:AG1006),$AC$1006:$AS$1006,0)))),"Fix")))</f>
        <v>0</v>
      </c>
      <c r="G487" s="5">
        <f>IF(OR(INDEX($W$2:$W$1001,MATCH(ROWS($V$2:V487),$V$2:$V$1001,0),1)&gt;=100000,INDEX($AC$1005:$AS$1005,1,MATCH(COLUMNS($AC$1006:AH1006),$AC$1006:$AS$1006,0))&gt;=100000), " ",IF(INDEX($AC$2:$AS$1001,MATCH(ROWS($V$2:V487),$V$2:$V$1001,0),MATCH(COLUMNS($AC$1006:AH1006),$AC$1006:$AS$1006,0)), HYPERLINK("#",""), HYPERLINK(CONCATENATE("#Metadata!", ADDRESS(INDEX($X$2:$X$1001,MATCH(ROWS($V$2:V487),$V$2:$V$1001,0),0), INDEX($AC$1004:$AS$1004,1,MATCH(COLUMNS($AC$1006:AH1006),$AC$1006:$AS$1006,0)))),"Fix")))</f>
        <v>0</v>
      </c>
      <c r="H487" s="5">
        <f>IF(OR(INDEX($W$2:$W$1001,MATCH(ROWS($V$2:V487),$V$2:$V$1001,0),1)&gt;=100000,INDEX($AC$1005:$AS$1005,1,MATCH(COLUMNS($AC$1006:AI1006),$AC$1006:$AS$1006,0))&gt;=100000), " ",IF(INDEX($AC$2:$AS$1001,MATCH(ROWS($V$2:V487),$V$2:$V$1001,0),MATCH(COLUMNS($AC$1006:AI1006),$AC$1006:$AS$1006,0)), HYPERLINK("#",""), HYPERLINK(CONCATENATE("#Metadata!", ADDRESS(INDEX($X$2:$X$1001,MATCH(ROWS($V$2:V487),$V$2:$V$1001,0),0), INDEX($AC$1004:$AS$1004,1,MATCH(COLUMNS($AC$1006:AI1006),$AC$1006:$AS$1006,0)))),"Fix")))</f>
        <v>0</v>
      </c>
      <c r="I487" s="5">
        <f>IF(OR(INDEX($W$2:$W$1001,MATCH(ROWS($V$2:V487),$V$2:$V$1001,0),1)&gt;=100000,INDEX($AC$1005:$AS$1005,1,MATCH(COLUMNS($AC$1006:AJ1006),$AC$1006:$AS$1006,0))&gt;=100000), " ",IF(INDEX($AC$2:$AS$1001,MATCH(ROWS($V$2:V487),$V$2:$V$1001,0),MATCH(COLUMNS($AC$1006:AJ1006),$AC$1006:$AS$1006,0)), HYPERLINK("#",""), HYPERLINK(CONCATENATE("#Metadata!", ADDRESS(INDEX($X$2:$X$1001,MATCH(ROWS($V$2:V487),$V$2:$V$1001,0),0), INDEX($AC$1004:$AS$1004,1,MATCH(COLUMNS($AC$1006:AJ1006),$AC$1006:$AS$1006,0)))),"Fix")))</f>
        <v>0</v>
      </c>
      <c r="J487" s="5">
        <f>IF(OR(INDEX($W$2:$W$1001,MATCH(ROWS($V$2:V487),$V$2:$V$1001,0),1)&gt;=100000,INDEX($AC$1005:$AS$1005,1,MATCH(COLUMNS($AC$1006:AK1006),$AC$1006:$AS$1006,0))&gt;=100000), " ",IF(INDEX($AC$2:$AS$1001,MATCH(ROWS($V$2:V487),$V$2:$V$1001,0),MATCH(COLUMNS($AC$1006:AK1006),$AC$1006:$AS$1006,0)), HYPERLINK("#",""), HYPERLINK(CONCATENATE("#Metadata!", ADDRESS(INDEX($X$2:$X$1001,MATCH(ROWS($V$2:V487),$V$2:$V$1001,0),0), INDEX($AC$1004:$AS$1004,1,MATCH(COLUMNS($AC$1006:AK1006),$AC$1006:$AS$1006,0)))),"Fix")))</f>
        <v>0</v>
      </c>
      <c r="K487" s="5">
        <f>IF(OR(INDEX($W$2:$W$1001,MATCH(ROWS($V$2:V487),$V$2:$V$1001,0),1)&gt;=100000,INDEX($AC$1005:$AS$1005,1,MATCH(COLUMNS($AC$1006:AL1006),$AC$1006:$AS$1006,0))&gt;=100000), " ",IF(INDEX($AC$2:$AS$1001,MATCH(ROWS($V$2:V487),$V$2:$V$1001,0),MATCH(COLUMNS($AC$1006:AL1006),$AC$1006:$AS$1006,0)), HYPERLINK("#",""), HYPERLINK(CONCATENATE("#Metadata!", ADDRESS(INDEX($X$2:$X$1001,MATCH(ROWS($V$2:V487),$V$2:$V$1001,0),0), INDEX($AC$1004:$AS$1004,1,MATCH(COLUMNS($AC$1006:AL1006),$AC$1006:$AS$1006,0)))),"Fix")))</f>
        <v>0</v>
      </c>
      <c r="L487" s="5">
        <f>IF(OR(INDEX($W$2:$W$1001,MATCH(ROWS($V$2:V487),$V$2:$V$1001,0),1)&gt;=100000,INDEX($AC$1005:$AS$1005,1,MATCH(COLUMNS($AC$1006:AM1006),$AC$1006:$AS$1006,0))&gt;=100000), " ",IF(INDEX($AC$2:$AS$1001,MATCH(ROWS($V$2:V487),$V$2:$V$1001,0),MATCH(COLUMNS($AC$1006:AM1006),$AC$1006:$AS$1006,0)), HYPERLINK("#",""), HYPERLINK(CONCATENATE("#Metadata!", ADDRESS(INDEX($X$2:$X$1001,MATCH(ROWS($V$2:V487),$V$2:$V$1001,0),0), INDEX($AC$1004:$AS$1004,1,MATCH(COLUMNS($AC$1006:AM1006),$AC$1006:$AS$1006,0)))),"Fix")))</f>
        <v>0</v>
      </c>
      <c r="M487" s="5">
        <f>IF(OR(INDEX($W$2:$W$1001,MATCH(ROWS($V$2:V487),$V$2:$V$1001,0),1)&gt;=100000,INDEX($AC$1005:$AS$1005,1,MATCH(COLUMNS($AC$1006:AN1006),$AC$1006:$AS$1006,0))&gt;=100000), " ",IF(INDEX($AC$2:$AS$1001,MATCH(ROWS($V$2:V487),$V$2:$V$1001,0),MATCH(COLUMNS($AC$1006:AN1006),$AC$1006:$AS$1006,0)), HYPERLINK("#",""), HYPERLINK(CONCATENATE("#Metadata!", ADDRESS(INDEX($X$2:$X$1001,MATCH(ROWS($V$2:V487),$V$2:$V$1001,0),0), INDEX($AC$1004:$AS$1004,1,MATCH(COLUMNS($AC$1006:AN1006),$AC$1006:$AS$1006,0)))),"Fix")))</f>
        <v>0</v>
      </c>
      <c r="N487" s="5">
        <f>IF(OR(INDEX($W$2:$W$1001,MATCH(ROWS($V$2:V487),$V$2:$V$1001,0),1)&gt;=100000,INDEX($AC$1005:$AS$1005,1,MATCH(COLUMNS($AC$1006:AO1006),$AC$1006:$AS$1006,0))&gt;=100000), " ",IF(INDEX($AC$2:$AS$1001,MATCH(ROWS($V$2:V487),$V$2:$V$1001,0),MATCH(COLUMNS($AC$1006:AO1006),$AC$1006:$AS$1006,0)), HYPERLINK("#",""), HYPERLINK(CONCATENATE("#Metadata!", ADDRESS(INDEX($X$2:$X$1001,MATCH(ROWS($V$2:V487),$V$2:$V$1001,0),0), INDEX($AC$1004:$AS$1004,1,MATCH(COLUMNS($AC$1006:AO1006),$AC$1006:$AS$1006,0)))),"Fix")))</f>
        <v>0</v>
      </c>
      <c r="O487" s="5">
        <f>IF(OR(INDEX($W$2:$W$1001,MATCH(ROWS($V$2:V487),$V$2:$V$1001,0),1)&gt;=100000,INDEX($AC$1005:$AS$1005,1,MATCH(COLUMNS($AC$1006:AP1006),$AC$1006:$AS$1006,0))&gt;=100000), " ",IF(INDEX($AC$2:$AS$1001,MATCH(ROWS($V$2:V487),$V$2:$V$1001,0),MATCH(COLUMNS($AC$1006:AP1006),$AC$1006:$AS$1006,0)), HYPERLINK("#",""), HYPERLINK(CONCATENATE("#Metadata!", ADDRESS(INDEX($X$2:$X$1001,MATCH(ROWS($V$2:V487),$V$2:$V$1001,0),0), INDEX($AC$1004:$AS$1004,1,MATCH(COLUMNS($AC$1006:AP1006),$AC$1006:$AS$1006,0)))),"Fix")))</f>
        <v>0</v>
      </c>
      <c r="P487" s="5">
        <f>IF(OR(INDEX($W$2:$W$1001,MATCH(ROWS($V$2:V487),$V$2:$V$1001,0),1)&gt;=100000,INDEX($AC$1005:$AS$1005,1,MATCH(COLUMNS($AC$1006:AQ1006),$AC$1006:$AS$1006,0))&gt;=100000), " ",IF(INDEX($AC$2:$AS$1001,MATCH(ROWS($V$2:V487),$V$2:$V$1001,0),MATCH(COLUMNS($AC$1006:AQ1006),$AC$1006:$AS$1006,0)), HYPERLINK("#",""), HYPERLINK(CONCATENATE("#Metadata!", ADDRESS(INDEX($X$2:$X$1001,MATCH(ROWS($V$2:V487),$V$2:$V$1001,0),0), INDEX($AC$1004:$AS$1004,1,MATCH(COLUMNS($AC$1006:AQ1006),$AC$1006:$AS$1006,0)))),"Fix")))</f>
        <v>0</v>
      </c>
      <c r="Q487" s="5">
        <f>IF(OR(INDEX($W$2:$W$1001,MATCH(ROWS($V$2:V487),$V$2:$V$1001,0),1)&gt;=100000,INDEX($AC$1005:$AS$1005,1,MATCH(COLUMNS($AC$1006:AR1006),$AC$1006:$AS$1006,0))&gt;=100000), " ",IF(INDEX($AC$2:$AS$1001,MATCH(ROWS($V$2:V487),$V$2:$V$1001,0),MATCH(COLUMNS($AC$1006:AR1006),$AC$1006:$AS$1006,0)), HYPERLINK("#",""), HYPERLINK(CONCATENATE("#Metadata!", ADDRESS(INDEX($X$2:$X$1001,MATCH(ROWS($V$2:V487),$V$2:$V$1001,0),0), INDEX($AC$1004:$AS$1004,1,MATCH(COLUMNS($AC$1006:AR1006),$AC$1006:$AS$1006,0)))),"Fix")))</f>
        <v>0</v>
      </c>
      <c r="R487" s="5">
        <f>IF(OR(INDEX($W$2:$W$1001,MATCH(ROWS($V$2:V487),$V$2:$V$1001,0),1)&gt;=100000,INDEX($AC$1005:$AS$1005,1,MATCH(COLUMNS($AC$1006:AS1006),$AC$1006:$AS$1006,0))&gt;=100000), " ",IF(INDEX($AC$2:$AS$1001,MATCH(ROWS($V$2:V487),$V$2:$V$1001,0),MATCH(COLUMNS($AC$1006:AS1006),$AC$1006:$AS$1006,0)), HYPERLINK("#",""), HYPERLINK(CONCATENATE("#Metadata!", ADDRESS(INDEX($X$2:$X$1001,MATCH(ROWS($V$2:V487),$V$2:$V$1001,0),0), INDEX($AC$1004:$AS$1004,1,MATCH(COLUMNS($AC$1006:AS1006),$AC$1006:$AS$1006,0)))),"Fix")))</f>
        <v>0</v>
      </c>
      <c r="V487">
        <v>0</v>
      </c>
      <c r="W487">
        <v>0</v>
      </c>
      <c r="X487">
        <v>0</v>
      </c>
      <c r="Y487">
        <f>IF(Z487,TRUE,AND(AC487:AS487))</f>
        <v>0</v>
      </c>
      <c r="Z487">
        <f>COUNTBLANK(Metadata!B487:R487)=COLUMNS(Metadata!B487:R487)</f>
        <v>0</v>
      </c>
      <c r="AA487">
        <v>0</v>
      </c>
      <c r="AC487">
        <f>AND(IF(Metadata!B487="",FALSE,TRUE),COUNTIF(Metadata!B:B, Metadata!B487) = 1,NOT(ISERROR(SUMPRODUCT(SEARCH(MID(Metadata!B487,ROW(INDIRECT("1:"&amp;LEN(Metadata!B487))), 1),"0123456789abcdefghijklmnopqrstuvwxyzABCDEFGHIJKLMNOPQRSTUVWXYZ.")))))</f>
        <v>0</v>
      </c>
      <c r="AD487">
        <f>AND(IF(Metadata!C487="",FALSE,TRUE),exact(Metadata!C487,"Host-associated"))</f>
        <v>0</v>
      </c>
      <c r="AE487">
        <f>AND(IF(Metadata!D487="",FALSE,TRUE),OR(exact(Metadata!D487,"Animal"),exact(Metadata!D487,"Fungus"),exact(Metadata!D487,"Plant")))</f>
        <v>0</v>
      </c>
      <c r="AF487">
        <f>AND(IF(Metadata!E487="",FALSE,TRUE),OR(exact(Metadata!E487,"Plant secretion"),exact(Metadata!E487,"Plant rhizosphere"),exact(Metadata!E487,"Plant surface"),exact(Metadata!E487,"Plant corpus"),exact(Metadata!E487,"Fungus surface"),exact(Metadata!E487,"Fungus corpus"),exact(Metadata!E487,"Animal surface"),exact(Metadata!E487,"Animal proximal gut"),exact(Metadata!E487,"Animal corpus"),exact(Metadata!E487,"Animal distal gut"),exact(Metadata!E487,"Animal secretion")))</f>
        <v>0</v>
      </c>
      <c r="AG487">
        <f>OR(AND(IF(Metadata!F487="",FALSE,TRUE),OR(exact(Metadata!F487,"not collected"),exact(Metadata!F487,"not provided"),exact(Metadata!F487,"restricted access"))),AND(IF(Metadata!F487="",FALSE,TRUE),OR(exact(Metadata!F487,"organism-associated habitat"),exact(Metadata!F487,"plant-associated habitat"),exact(Metadata!F487,"animal-associated habitat"),exact(Metadata!F487,"insecta-associated habitat"),exact(Metadata!F487,"mammalia-associated habitat"),exact(Metadata!F487,"human-associated habitat"),exact(Metadata!F487,"livestock-associated habitat"))))</f>
        <v>0</v>
      </c>
      <c r="AH487">
        <f>AND(IF(Metadata!G487="",FALSE,TRUE),exact(Metadata!G487,"host-associated"))</f>
        <v>0</v>
      </c>
      <c r="AI487">
        <f>OR(AND(IF(Metadata!H487="",FALSE,TRUE),OR(exact(Metadata!H487,"not collected"),exact(Metadata!H487,"not provided"))),AND(IF(Metadata!H487="",FALSE,ISNUMBER(VALUE(Metadata!H487))),Metadata!H487&gt;0))</f>
        <v>0</v>
      </c>
      <c r="AJ487">
        <f>AND(IF(Metadata!I487="",FALSE,TRUE),exact(Metadata!I487,"years"))</f>
        <v>0</v>
      </c>
      <c r="AK487">
        <f>IF(Metadata!J487="",FALSE,TRUE)</f>
        <v>0</v>
      </c>
      <c r="AL487">
        <f>OR(AND(IF(Metadata!K487="",FALSE,TRUE),OR(exact(Metadata!K487,"not collected"),exact(Metadata!K487,"not provided"))),AND(IF(Metadata!K487="",FALSE,ISNUMBER(VALUE(Metadata!K487))),Metadata!K487&gt;0))</f>
        <v>0</v>
      </c>
      <c r="AM487">
        <f>AND(IF(Metadata!L487="",FALSE,TRUE),exact(Metadata!L487,"cm"))</f>
        <v>0</v>
      </c>
      <c r="AN487">
        <f>IF(Metadata!M487="",FALSE,TRUE)</f>
        <v>0</v>
      </c>
      <c r="AO487">
        <f>OR(AND(IF(Metadata!N487="",FALSE,TRUE),OR(exact(Metadata!N487,"not applicable"),exact(Metadata!N487,"not collected"),exact(Metadata!N487,"not provided"))),AND(IF(Metadata!N487="",FALSE,IF(ISERROR(INT(Metadata!N487)),FALSE,INT(Metadata!N487)=Metadata!N487)),Metadata!N487&gt;0))</f>
        <v>0</v>
      </c>
      <c r="AP487">
        <f>OR(AND(IF(Metadata!O487="",FALSE,TRUE),OR(exact(Metadata!O487,"not collected"),exact(Metadata!O487,"not provided"))),AND(IF(Metadata!O487="",FALSE,ISNUMBER(VALUE(Metadata!O487))),Metadata!O487&gt;0))</f>
        <v>0</v>
      </c>
      <c r="AQ487">
        <f>AND(IF(Metadata!P487="",FALSE,TRUE),exact(Metadata!P487,"kg"))</f>
        <v>0</v>
      </c>
      <c r="AR487">
        <f>OR(AND(IF(Metadata!Q487="",FALSE,TRUE),OR(exact(Metadata!Q487,"not applicable"),exact(Metadata!Q487,"not collected"),exact(Metadata!Q487,"not provided"),exact(Metadata!Q487,"restricted access"))),IF(Metadata!Q487="",FALSE,IF(ISERROR(INT(Metadata!Q487)),FALSE,INT(Metadata!Q487)=Metadata!Q487)))</f>
        <v>0</v>
      </c>
      <c r="AS487">
        <f>AND(IF(Metadata!R487="",FALSE,TRUE),exact(Metadata!R487,"Not applicable"))</f>
        <v>0</v>
      </c>
    </row>
    <row r="488" spans="1:45">
      <c r="A488" s="4">
        <f>IF(B488=" "," ",HYPERLINK(CONCATENATE("#metadata!",ADDRESS(INDEX($X$2:$X$1001,MATCH(ROWS($V$2:V488),$V$2:$V$1001,0),0),2)),INDEX($AA$2:$AA$1001,MATCH(ROWS($V$2:V488),$V$2:$V$1001,0),0)))</f>
        <v>0</v>
      </c>
      <c r="B488" s="5">
        <f>IF(OR(INDEX($W$2:$W$1001,MATCH(ROWS($V$2:V488),$V$2:$V$1001,0),1)&gt;=100000,INDEX($AC$1005:$AS$1005,1,MATCH(COLUMNS($AC$1006:AC1006),$AC$1006:$AS$1006,0))&gt;=100000), " ",IF(INDEX($AC$2:$AS$1001,MATCH(ROWS($V$2:V488),$V$2:$V$1001,0),MATCH(COLUMNS($AC$1006:AC1006),$AC$1006:$AS$1006,0)), HYPERLINK("#",""), HYPERLINK(CONCATENATE("#Metadata!", ADDRESS(INDEX($X$2:$X$1001,MATCH(ROWS($V$2:V488),$V$2:$V$1001,0),0), INDEX($AC$1004:$AS$1004,1,MATCH(COLUMNS($AC$1006:AC1006),$AC$1006:$AS$1006,0)))),"Fix")))</f>
        <v>0</v>
      </c>
      <c r="C488" s="5">
        <f>IF(OR(INDEX($W$2:$W$1001,MATCH(ROWS($V$2:V488),$V$2:$V$1001,0),1)&gt;=100000,INDEX($AC$1005:$AS$1005,1,MATCH(COLUMNS($AC$1006:AD1006),$AC$1006:$AS$1006,0))&gt;=100000), " ",IF(INDEX($AC$2:$AS$1001,MATCH(ROWS($V$2:V488),$V$2:$V$1001,0),MATCH(COLUMNS($AC$1006:AD1006),$AC$1006:$AS$1006,0)), HYPERLINK("#",""), HYPERLINK(CONCATENATE("#Metadata!", ADDRESS(INDEX($X$2:$X$1001,MATCH(ROWS($V$2:V488),$V$2:$V$1001,0),0), INDEX($AC$1004:$AS$1004,1,MATCH(COLUMNS($AC$1006:AD1006),$AC$1006:$AS$1006,0)))),"Fix")))</f>
        <v>0</v>
      </c>
      <c r="D488" s="5">
        <f>IF(OR(INDEX($W$2:$W$1001,MATCH(ROWS($V$2:V488),$V$2:$V$1001,0),1)&gt;=100000,INDEX($AC$1005:$AS$1005,1,MATCH(COLUMNS($AC$1006:AE1006),$AC$1006:$AS$1006,0))&gt;=100000), " ",IF(INDEX($AC$2:$AS$1001,MATCH(ROWS($V$2:V488),$V$2:$V$1001,0),MATCH(COLUMNS($AC$1006:AE1006),$AC$1006:$AS$1006,0)), HYPERLINK("#",""), HYPERLINK(CONCATENATE("#Metadata!", ADDRESS(INDEX($X$2:$X$1001,MATCH(ROWS($V$2:V488),$V$2:$V$1001,0),0), INDEX($AC$1004:$AS$1004,1,MATCH(COLUMNS($AC$1006:AE1006),$AC$1006:$AS$1006,0)))),"Fix")))</f>
        <v>0</v>
      </c>
      <c r="E488" s="5">
        <f>IF(OR(INDEX($W$2:$W$1001,MATCH(ROWS($V$2:V488),$V$2:$V$1001,0),1)&gt;=100000,INDEX($AC$1005:$AS$1005,1,MATCH(COLUMNS($AC$1006:AF1006),$AC$1006:$AS$1006,0))&gt;=100000), " ",IF(INDEX($AC$2:$AS$1001,MATCH(ROWS($V$2:V488),$V$2:$V$1001,0),MATCH(COLUMNS($AC$1006:AF1006),$AC$1006:$AS$1006,0)), HYPERLINK("#",""), HYPERLINK(CONCATENATE("#Metadata!", ADDRESS(INDEX($X$2:$X$1001,MATCH(ROWS($V$2:V488),$V$2:$V$1001,0),0), INDEX($AC$1004:$AS$1004,1,MATCH(COLUMNS($AC$1006:AF1006),$AC$1006:$AS$1006,0)))),"Fix")))</f>
        <v>0</v>
      </c>
      <c r="F488" s="5">
        <f>IF(OR(INDEX($W$2:$W$1001,MATCH(ROWS($V$2:V488),$V$2:$V$1001,0),1)&gt;=100000,INDEX($AC$1005:$AS$1005,1,MATCH(COLUMNS($AC$1006:AG1006),$AC$1006:$AS$1006,0))&gt;=100000), " ",IF(INDEX($AC$2:$AS$1001,MATCH(ROWS($V$2:V488),$V$2:$V$1001,0),MATCH(COLUMNS($AC$1006:AG1006),$AC$1006:$AS$1006,0)), HYPERLINK("#",""), HYPERLINK(CONCATENATE("#Metadata!", ADDRESS(INDEX($X$2:$X$1001,MATCH(ROWS($V$2:V488),$V$2:$V$1001,0),0), INDEX($AC$1004:$AS$1004,1,MATCH(COLUMNS($AC$1006:AG1006),$AC$1006:$AS$1006,0)))),"Fix")))</f>
        <v>0</v>
      </c>
      <c r="G488" s="5">
        <f>IF(OR(INDEX($W$2:$W$1001,MATCH(ROWS($V$2:V488),$V$2:$V$1001,0),1)&gt;=100000,INDEX($AC$1005:$AS$1005,1,MATCH(COLUMNS($AC$1006:AH1006),$AC$1006:$AS$1006,0))&gt;=100000), " ",IF(INDEX($AC$2:$AS$1001,MATCH(ROWS($V$2:V488),$V$2:$V$1001,0),MATCH(COLUMNS($AC$1006:AH1006),$AC$1006:$AS$1006,0)), HYPERLINK("#",""), HYPERLINK(CONCATENATE("#Metadata!", ADDRESS(INDEX($X$2:$X$1001,MATCH(ROWS($V$2:V488),$V$2:$V$1001,0),0), INDEX($AC$1004:$AS$1004,1,MATCH(COLUMNS($AC$1006:AH1006),$AC$1006:$AS$1006,0)))),"Fix")))</f>
        <v>0</v>
      </c>
      <c r="H488" s="5">
        <f>IF(OR(INDEX($W$2:$W$1001,MATCH(ROWS($V$2:V488),$V$2:$V$1001,0),1)&gt;=100000,INDEX($AC$1005:$AS$1005,1,MATCH(COLUMNS($AC$1006:AI1006),$AC$1006:$AS$1006,0))&gt;=100000), " ",IF(INDEX($AC$2:$AS$1001,MATCH(ROWS($V$2:V488),$V$2:$V$1001,0),MATCH(COLUMNS($AC$1006:AI1006),$AC$1006:$AS$1006,0)), HYPERLINK("#",""), HYPERLINK(CONCATENATE("#Metadata!", ADDRESS(INDEX($X$2:$X$1001,MATCH(ROWS($V$2:V488),$V$2:$V$1001,0),0), INDEX($AC$1004:$AS$1004,1,MATCH(COLUMNS($AC$1006:AI1006),$AC$1006:$AS$1006,0)))),"Fix")))</f>
        <v>0</v>
      </c>
      <c r="I488" s="5">
        <f>IF(OR(INDEX($W$2:$W$1001,MATCH(ROWS($V$2:V488),$V$2:$V$1001,0),1)&gt;=100000,INDEX($AC$1005:$AS$1005,1,MATCH(COLUMNS($AC$1006:AJ1006),$AC$1006:$AS$1006,0))&gt;=100000), " ",IF(INDEX($AC$2:$AS$1001,MATCH(ROWS($V$2:V488),$V$2:$V$1001,0),MATCH(COLUMNS($AC$1006:AJ1006),$AC$1006:$AS$1006,0)), HYPERLINK("#",""), HYPERLINK(CONCATENATE("#Metadata!", ADDRESS(INDEX($X$2:$X$1001,MATCH(ROWS($V$2:V488),$V$2:$V$1001,0),0), INDEX($AC$1004:$AS$1004,1,MATCH(COLUMNS($AC$1006:AJ1006),$AC$1006:$AS$1006,0)))),"Fix")))</f>
        <v>0</v>
      </c>
      <c r="J488" s="5">
        <f>IF(OR(INDEX($W$2:$W$1001,MATCH(ROWS($V$2:V488),$V$2:$V$1001,0),1)&gt;=100000,INDEX($AC$1005:$AS$1005,1,MATCH(COLUMNS($AC$1006:AK1006),$AC$1006:$AS$1006,0))&gt;=100000), " ",IF(INDEX($AC$2:$AS$1001,MATCH(ROWS($V$2:V488),$V$2:$V$1001,0),MATCH(COLUMNS($AC$1006:AK1006),$AC$1006:$AS$1006,0)), HYPERLINK("#",""), HYPERLINK(CONCATENATE("#Metadata!", ADDRESS(INDEX($X$2:$X$1001,MATCH(ROWS($V$2:V488),$V$2:$V$1001,0),0), INDEX($AC$1004:$AS$1004,1,MATCH(COLUMNS($AC$1006:AK1006),$AC$1006:$AS$1006,0)))),"Fix")))</f>
        <v>0</v>
      </c>
      <c r="K488" s="5">
        <f>IF(OR(INDEX($W$2:$W$1001,MATCH(ROWS($V$2:V488),$V$2:$V$1001,0),1)&gt;=100000,INDEX($AC$1005:$AS$1005,1,MATCH(COLUMNS($AC$1006:AL1006),$AC$1006:$AS$1006,0))&gt;=100000), " ",IF(INDEX($AC$2:$AS$1001,MATCH(ROWS($V$2:V488),$V$2:$V$1001,0),MATCH(COLUMNS($AC$1006:AL1006),$AC$1006:$AS$1006,0)), HYPERLINK("#",""), HYPERLINK(CONCATENATE("#Metadata!", ADDRESS(INDEX($X$2:$X$1001,MATCH(ROWS($V$2:V488),$V$2:$V$1001,0),0), INDEX($AC$1004:$AS$1004,1,MATCH(COLUMNS($AC$1006:AL1006),$AC$1006:$AS$1006,0)))),"Fix")))</f>
        <v>0</v>
      </c>
      <c r="L488" s="5">
        <f>IF(OR(INDEX($W$2:$W$1001,MATCH(ROWS($V$2:V488),$V$2:$V$1001,0),1)&gt;=100000,INDEX($AC$1005:$AS$1005,1,MATCH(COLUMNS($AC$1006:AM1006),$AC$1006:$AS$1006,0))&gt;=100000), " ",IF(INDEX($AC$2:$AS$1001,MATCH(ROWS($V$2:V488),$V$2:$V$1001,0),MATCH(COLUMNS($AC$1006:AM1006),$AC$1006:$AS$1006,0)), HYPERLINK("#",""), HYPERLINK(CONCATENATE("#Metadata!", ADDRESS(INDEX($X$2:$X$1001,MATCH(ROWS($V$2:V488),$V$2:$V$1001,0),0), INDEX($AC$1004:$AS$1004,1,MATCH(COLUMNS($AC$1006:AM1006),$AC$1006:$AS$1006,0)))),"Fix")))</f>
        <v>0</v>
      </c>
      <c r="M488" s="5">
        <f>IF(OR(INDEX($W$2:$W$1001,MATCH(ROWS($V$2:V488),$V$2:$V$1001,0),1)&gt;=100000,INDEX($AC$1005:$AS$1005,1,MATCH(COLUMNS($AC$1006:AN1006),$AC$1006:$AS$1006,0))&gt;=100000), " ",IF(INDEX($AC$2:$AS$1001,MATCH(ROWS($V$2:V488),$V$2:$V$1001,0),MATCH(COLUMNS($AC$1006:AN1006),$AC$1006:$AS$1006,0)), HYPERLINK("#",""), HYPERLINK(CONCATENATE("#Metadata!", ADDRESS(INDEX($X$2:$X$1001,MATCH(ROWS($V$2:V488),$V$2:$V$1001,0),0), INDEX($AC$1004:$AS$1004,1,MATCH(COLUMNS($AC$1006:AN1006),$AC$1006:$AS$1006,0)))),"Fix")))</f>
        <v>0</v>
      </c>
      <c r="N488" s="5">
        <f>IF(OR(INDEX($W$2:$W$1001,MATCH(ROWS($V$2:V488),$V$2:$V$1001,0),1)&gt;=100000,INDEX($AC$1005:$AS$1005,1,MATCH(COLUMNS($AC$1006:AO1006),$AC$1006:$AS$1006,0))&gt;=100000), " ",IF(INDEX($AC$2:$AS$1001,MATCH(ROWS($V$2:V488),$V$2:$V$1001,0),MATCH(COLUMNS($AC$1006:AO1006),$AC$1006:$AS$1006,0)), HYPERLINK("#",""), HYPERLINK(CONCATENATE("#Metadata!", ADDRESS(INDEX($X$2:$X$1001,MATCH(ROWS($V$2:V488),$V$2:$V$1001,0),0), INDEX($AC$1004:$AS$1004,1,MATCH(COLUMNS($AC$1006:AO1006),$AC$1006:$AS$1006,0)))),"Fix")))</f>
        <v>0</v>
      </c>
      <c r="O488" s="5">
        <f>IF(OR(INDEX($W$2:$W$1001,MATCH(ROWS($V$2:V488),$V$2:$V$1001,0),1)&gt;=100000,INDEX($AC$1005:$AS$1005,1,MATCH(COLUMNS($AC$1006:AP1006),$AC$1006:$AS$1006,0))&gt;=100000), " ",IF(INDEX($AC$2:$AS$1001,MATCH(ROWS($V$2:V488),$V$2:$V$1001,0),MATCH(COLUMNS($AC$1006:AP1006),$AC$1006:$AS$1006,0)), HYPERLINK("#",""), HYPERLINK(CONCATENATE("#Metadata!", ADDRESS(INDEX($X$2:$X$1001,MATCH(ROWS($V$2:V488),$V$2:$V$1001,0),0), INDEX($AC$1004:$AS$1004,1,MATCH(COLUMNS($AC$1006:AP1006),$AC$1006:$AS$1006,0)))),"Fix")))</f>
        <v>0</v>
      </c>
      <c r="P488" s="5">
        <f>IF(OR(INDEX($W$2:$W$1001,MATCH(ROWS($V$2:V488),$V$2:$V$1001,0),1)&gt;=100000,INDEX($AC$1005:$AS$1005,1,MATCH(COLUMNS($AC$1006:AQ1006),$AC$1006:$AS$1006,0))&gt;=100000), " ",IF(INDEX($AC$2:$AS$1001,MATCH(ROWS($V$2:V488),$V$2:$V$1001,0),MATCH(COLUMNS($AC$1006:AQ1006),$AC$1006:$AS$1006,0)), HYPERLINK("#",""), HYPERLINK(CONCATENATE("#Metadata!", ADDRESS(INDEX($X$2:$X$1001,MATCH(ROWS($V$2:V488),$V$2:$V$1001,0),0), INDEX($AC$1004:$AS$1004,1,MATCH(COLUMNS($AC$1006:AQ1006),$AC$1006:$AS$1006,0)))),"Fix")))</f>
        <v>0</v>
      </c>
      <c r="Q488" s="5">
        <f>IF(OR(INDEX($W$2:$W$1001,MATCH(ROWS($V$2:V488),$V$2:$V$1001,0),1)&gt;=100000,INDEX($AC$1005:$AS$1005,1,MATCH(COLUMNS($AC$1006:AR1006),$AC$1006:$AS$1006,0))&gt;=100000), " ",IF(INDEX($AC$2:$AS$1001,MATCH(ROWS($V$2:V488),$V$2:$V$1001,0),MATCH(COLUMNS($AC$1006:AR1006),$AC$1006:$AS$1006,0)), HYPERLINK("#",""), HYPERLINK(CONCATENATE("#Metadata!", ADDRESS(INDEX($X$2:$X$1001,MATCH(ROWS($V$2:V488),$V$2:$V$1001,0),0), INDEX($AC$1004:$AS$1004,1,MATCH(COLUMNS($AC$1006:AR1006),$AC$1006:$AS$1006,0)))),"Fix")))</f>
        <v>0</v>
      </c>
      <c r="R488" s="5">
        <f>IF(OR(INDEX($W$2:$W$1001,MATCH(ROWS($V$2:V488),$V$2:$V$1001,0),1)&gt;=100000,INDEX($AC$1005:$AS$1005,1,MATCH(COLUMNS($AC$1006:AS1006),$AC$1006:$AS$1006,0))&gt;=100000), " ",IF(INDEX($AC$2:$AS$1001,MATCH(ROWS($V$2:V488),$V$2:$V$1001,0),MATCH(COLUMNS($AC$1006:AS1006),$AC$1006:$AS$1006,0)), HYPERLINK("#",""), HYPERLINK(CONCATENATE("#Metadata!", ADDRESS(INDEX($X$2:$X$1001,MATCH(ROWS($V$2:V488),$V$2:$V$1001,0),0), INDEX($AC$1004:$AS$1004,1,MATCH(COLUMNS($AC$1006:AS1006),$AC$1006:$AS$1006,0)))),"Fix")))</f>
        <v>0</v>
      </c>
      <c r="V488">
        <v>0</v>
      </c>
      <c r="W488">
        <v>0</v>
      </c>
      <c r="X488">
        <v>0</v>
      </c>
      <c r="Y488">
        <f>IF(Z488,TRUE,AND(AC488:AS488))</f>
        <v>0</v>
      </c>
      <c r="Z488">
        <f>COUNTBLANK(Metadata!B488:R488)=COLUMNS(Metadata!B488:R488)</f>
        <v>0</v>
      </c>
      <c r="AA488">
        <v>0</v>
      </c>
      <c r="AC488">
        <f>AND(IF(Metadata!B488="",FALSE,TRUE),COUNTIF(Metadata!B:B, Metadata!B488) = 1,NOT(ISERROR(SUMPRODUCT(SEARCH(MID(Metadata!B488,ROW(INDIRECT("1:"&amp;LEN(Metadata!B488))), 1),"0123456789abcdefghijklmnopqrstuvwxyzABCDEFGHIJKLMNOPQRSTUVWXYZ.")))))</f>
        <v>0</v>
      </c>
      <c r="AD488">
        <f>AND(IF(Metadata!C488="",FALSE,TRUE),exact(Metadata!C488,"Host-associated"))</f>
        <v>0</v>
      </c>
      <c r="AE488">
        <f>AND(IF(Metadata!D488="",FALSE,TRUE),OR(exact(Metadata!D488,"Animal"),exact(Metadata!D488,"Fungus"),exact(Metadata!D488,"Plant")))</f>
        <v>0</v>
      </c>
      <c r="AF488">
        <f>AND(IF(Metadata!E488="",FALSE,TRUE),OR(exact(Metadata!E488,"Plant secretion"),exact(Metadata!E488,"Plant rhizosphere"),exact(Metadata!E488,"Plant surface"),exact(Metadata!E488,"Plant corpus"),exact(Metadata!E488,"Fungus surface"),exact(Metadata!E488,"Fungus corpus"),exact(Metadata!E488,"Animal surface"),exact(Metadata!E488,"Animal proximal gut"),exact(Metadata!E488,"Animal corpus"),exact(Metadata!E488,"Animal distal gut"),exact(Metadata!E488,"Animal secretion")))</f>
        <v>0</v>
      </c>
      <c r="AG488">
        <f>OR(AND(IF(Metadata!F488="",FALSE,TRUE),OR(exact(Metadata!F488,"not collected"),exact(Metadata!F488,"not provided"),exact(Metadata!F488,"restricted access"))),AND(IF(Metadata!F488="",FALSE,TRUE),OR(exact(Metadata!F488,"organism-associated habitat"),exact(Metadata!F488,"plant-associated habitat"),exact(Metadata!F488,"animal-associated habitat"),exact(Metadata!F488,"insecta-associated habitat"),exact(Metadata!F488,"mammalia-associated habitat"),exact(Metadata!F488,"human-associated habitat"),exact(Metadata!F488,"livestock-associated habitat"))))</f>
        <v>0</v>
      </c>
      <c r="AH488">
        <f>AND(IF(Metadata!G488="",FALSE,TRUE),exact(Metadata!G488,"host-associated"))</f>
        <v>0</v>
      </c>
      <c r="AI488">
        <f>OR(AND(IF(Metadata!H488="",FALSE,TRUE),OR(exact(Metadata!H488,"not collected"),exact(Metadata!H488,"not provided"))),AND(IF(Metadata!H488="",FALSE,ISNUMBER(VALUE(Metadata!H488))),Metadata!H488&gt;0))</f>
        <v>0</v>
      </c>
      <c r="AJ488">
        <f>AND(IF(Metadata!I488="",FALSE,TRUE),exact(Metadata!I488,"years"))</f>
        <v>0</v>
      </c>
      <c r="AK488">
        <f>IF(Metadata!J488="",FALSE,TRUE)</f>
        <v>0</v>
      </c>
      <c r="AL488">
        <f>OR(AND(IF(Metadata!K488="",FALSE,TRUE),OR(exact(Metadata!K488,"not collected"),exact(Metadata!K488,"not provided"))),AND(IF(Metadata!K488="",FALSE,ISNUMBER(VALUE(Metadata!K488))),Metadata!K488&gt;0))</f>
        <v>0</v>
      </c>
      <c r="AM488">
        <f>AND(IF(Metadata!L488="",FALSE,TRUE),exact(Metadata!L488,"cm"))</f>
        <v>0</v>
      </c>
      <c r="AN488">
        <f>IF(Metadata!M488="",FALSE,TRUE)</f>
        <v>0</v>
      </c>
      <c r="AO488">
        <f>OR(AND(IF(Metadata!N488="",FALSE,TRUE),OR(exact(Metadata!N488,"not applicable"),exact(Metadata!N488,"not collected"),exact(Metadata!N488,"not provided"))),AND(IF(Metadata!N488="",FALSE,IF(ISERROR(INT(Metadata!N488)),FALSE,INT(Metadata!N488)=Metadata!N488)),Metadata!N488&gt;0))</f>
        <v>0</v>
      </c>
      <c r="AP488">
        <f>OR(AND(IF(Metadata!O488="",FALSE,TRUE),OR(exact(Metadata!O488,"not collected"),exact(Metadata!O488,"not provided"))),AND(IF(Metadata!O488="",FALSE,ISNUMBER(VALUE(Metadata!O488))),Metadata!O488&gt;0))</f>
        <v>0</v>
      </c>
      <c r="AQ488">
        <f>AND(IF(Metadata!P488="",FALSE,TRUE),exact(Metadata!P488,"kg"))</f>
        <v>0</v>
      </c>
      <c r="AR488">
        <f>OR(AND(IF(Metadata!Q488="",FALSE,TRUE),OR(exact(Metadata!Q488,"not applicable"),exact(Metadata!Q488,"not collected"),exact(Metadata!Q488,"not provided"),exact(Metadata!Q488,"restricted access"))),IF(Metadata!Q488="",FALSE,IF(ISERROR(INT(Metadata!Q488)),FALSE,INT(Metadata!Q488)=Metadata!Q488)))</f>
        <v>0</v>
      </c>
      <c r="AS488">
        <f>AND(IF(Metadata!R488="",FALSE,TRUE),exact(Metadata!R488,"Not applicable"))</f>
        <v>0</v>
      </c>
    </row>
    <row r="489" spans="1:45">
      <c r="A489" s="4">
        <f>IF(B489=" "," ",HYPERLINK(CONCATENATE("#metadata!",ADDRESS(INDEX($X$2:$X$1001,MATCH(ROWS($V$2:V489),$V$2:$V$1001,0),0),2)),INDEX($AA$2:$AA$1001,MATCH(ROWS($V$2:V489),$V$2:$V$1001,0),0)))</f>
        <v>0</v>
      </c>
      <c r="B489" s="5">
        <f>IF(OR(INDEX($W$2:$W$1001,MATCH(ROWS($V$2:V489),$V$2:$V$1001,0),1)&gt;=100000,INDEX($AC$1005:$AS$1005,1,MATCH(COLUMNS($AC$1006:AC1006),$AC$1006:$AS$1006,0))&gt;=100000), " ",IF(INDEX($AC$2:$AS$1001,MATCH(ROWS($V$2:V489),$V$2:$V$1001,0),MATCH(COLUMNS($AC$1006:AC1006),$AC$1006:$AS$1006,0)), HYPERLINK("#",""), HYPERLINK(CONCATENATE("#Metadata!", ADDRESS(INDEX($X$2:$X$1001,MATCH(ROWS($V$2:V489),$V$2:$V$1001,0),0), INDEX($AC$1004:$AS$1004,1,MATCH(COLUMNS($AC$1006:AC1006),$AC$1006:$AS$1006,0)))),"Fix")))</f>
        <v>0</v>
      </c>
      <c r="C489" s="5">
        <f>IF(OR(INDEX($W$2:$W$1001,MATCH(ROWS($V$2:V489),$V$2:$V$1001,0),1)&gt;=100000,INDEX($AC$1005:$AS$1005,1,MATCH(COLUMNS($AC$1006:AD1006),$AC$1006:$AS$1006,0))&gt;=100000), " ",IF(INDEX($AC$2:$AS$1001,MATCH(ROWS($V$2:V489),$V$2:$V$1001,0),MATCH(COLUMNS($AC$1006:AD1006),$AC$1006:$AS$1006,0)), HYPERLINK("#",""), HYPERLINK(CONCATENATE("#Metadata!", ADDRESS(INDEX($X$2:$X$1001,MATCH(ROWS($V$2:V489),$V$2:$V$1001,0),0), INDEX($AC$1004:$AS$1004,1,MATCH(COLUMNS($AC$1006:AD1006),$AC$1006:$AS$1006,0)))),"Fix")))</f>
        <v>0</v>
      </c>
      <c r="D489" s="5">
        <f>IF(OR(INDEX($W$2:$W$1001,MATCH(ROWS($V$2:V489),$V$2:$V$1001,0),1)&gt;=100000,INDEX($AC$1005:$AS$1005,1,MATCH(COLUMNS($AC$1006:AE1006),$AC$1006:$AS$1006,0))&gt;=100000), " ",IF(INDEX($AC$2:$AS$1001,MATCH(ROWS($V$2:V489),$V$2:$V$1001,0),MATCH(COLUMNS($AC$1006:AE1006),$AC$1006:$AS$1006,0)), HYPERLINK("#",""), HYPERLINK(CONCATENATE("#Metadata!", ADDRESS(INDEX($X$2:$X$1001,MATCH(ROWS($V$2:V489),$V$2:$V$1001,0),0), INDEX($AC$1004:$AS$1004,1,MATCH(COLUMNS($AC$1006:AE1006),$AC$1006:$AS$1006,0)))),"Fix")))</f>
        <v>0</v>
      </c>
      <c r="E489" s="5">
        <f>IF(OR(INDEX($W$2:$W$1001,MATCH(ROWS($V$2:V489),$V$2:$V$1001,0),1)&gt;=100000,INDEX($AC$1005:$AS$1005,1,MATCH(COLUMNS($AC$1006:AF1006),$AC$1006:$AS$1006,0))&gt;=100000), " ",IF(INDEX($AC$2:$AS$1001,MATCH(ROWS($V$2:V489),$V$2:$V$1001,0),MATCH(COLUMNS($AC$1006:AF1006),$AC$1006:$AS$1006,0)), HYPERLINK("#",""), HYPERLINK(CONCATENATE("#Metadata!", ADDRESS(INDEX($X$2:$X$1001,MATCH(ROWS($V$2:V489),$V$2:$V$1001,0),0), INDEX($AC$1004:$AS$1004,1,MATCH(COLUMNS($AC$1006:AF1006),$AC$1006:$AS$1006,0)))),"Fix")))</f>
        <v>0</v>
      </c>
      <c r="F489" s="5">
        <f>IF(OR(INDEX($W$2:$W$1001,MATCH(ROWS($V$2:V489),$V$2:$V$1001,0),1)&gt;=100000,INDEX($AC$1005:$AS$1005,1,MATCH(COLUMNS($AC$1006:AG1006),$AC$1006:$AS$1006,0))&gt;=100000), " ",IF(INDEX($AC$2:$AS$1001,MATCH(ROWS($V$2:V489),$V$2:$V$1001,0),MATCH(COLUMNS($AC$1006:AG1006),$AC$1006:$AS$1006,0)), HYPERLINK("#",""), HYPERLINK(CONCATENATE("#Metadata!", ADDRESS(INDEX($X$2:$X$1001,MATCH(ROWS($V$2:V489),$V$2:$V$1001,0),0), INDEX($AC$1004:$AS$1004,1,MATCH(COLUMNS($AC$1006:AG1006),$AC$1006:$AS$1006,0)))),"Fix")))</f>
        <v>0</v>
      </c>
      <c r="G489" s="5">
        <f>IF(OR(INDEX($W$2:$W$1001,MATCH(ROWS($V$2:V489),$V$2:$V$1001,0),1)&gt;=100000,INDEX($AC$1005:$AS$1005,1,MATCH(COLUMNS($AC$1006:AH1006),$AC$1006:$AS$1006,0))&gt;=100000), " ",IF(INDEX($AC$2:$AS$1001,MATCH(ROWS($V$2:V489),$V$2:$V$1001,0),MATCH(COLUMNS($AC$1006:AH1006),$AC$1006:$AS$1006,0)), HYPERLINK("#",""), HYPERLINK(CONCATENATE("#Metadata!", ADDRESS(INDEX($X$2:$X$1001,MATCH(ROWS($V$2:V489),$V$2:$V$1001,0),0), INDEX($AC$1004:$AS$1004,1,MATCH(COLUMNS($AC$1006:AH1006),$AC$1006:$AS$1006,0)))),"Fix")))</f>
        <v>0</v>
      </c>
      <c r="H489" s="5">
        <f>IF(OR(INDEX($W$2:$W$1001,MATCH(ROWS($V$2:V489),$V$2:$V$1001,0),1)&gt;=100000,INDEX($AC$1005:$AS$1005,1,MATCH(COLUMNS($AC$1006:AI1006),$AC$1006:$AS$1006,0))&gt;=100000), " ",IF(INDEX($AC$2:$AS$1001,MATCH(ROWS($V$2:V489),$V$2:$V$1001,0),MATCH(COLUMNS($AC$1006:AI1006),$AC$1006:$AS$1006,0)), HYPERLINK("#",""), HYPERLINK(CONCATENATE("#Metadata!", ADDRESS(INDEX($X$2:$X$1001,MATCH(ROWS($V$2:V489),$V$2:$V$1001,0),0), INDEX($AC$1004:$AS$1004,1,MATCH(COLUMNS($AC$1006:AI1006),$AC$1006:$AS$1006,0)))),"Fix")))</f>
        <v>0</v>
      </c>
      <c r="I489" s="5">
        <f>IF(OR(INDEX($W$2:$W$1001,MATCH(ROWS($V$2:V489),$V$2:$V$1001,0),1)&gt;=100000,INDEX($AC$1005:$AS$1005,1,MATCH(COLUMNS($AC$1006:AJ1006),$AC$1006:$AS$1006,0))&gt;=100000), " ",IF(INDEX($AC$2:$AS$1001,MATCH(ROWS($V$2:V489),$V$2:$V$1001,0),MATCH(COLUMNS($AC$1006:AJ1006),$AC$1006:$AS$1006,0)), HYPERLINK("#",""), HYPERLINK(CONCATENATE("#Metadata!", ADDRESS(INDEX($X$2:$X$1001,MATCH(ROWS($V$2:V489),$V$2:$V$1001,0),0), INDEX($AC$1004:$AS$1004,1,MATCH(COLUMNS($AC$1006:AJ1006),$AC$1006:$AS$1006,0)))),"Fix")))</f>
        <v>0</v>
      </c>
      <c r="J489" s="5">
        <f>IF(OR(INDEX($W$2:$W$1001,MATCH(ROWS($V$2:V489),$V$2:$V$1001,0),1)&gt;=100000,INDEX($AC$1005:$AS$1005,1,MATCH(COLUMNS($AC$1006:AK1006),$AC$1006:$AS$1006,0))&gt;=100000), " ",IF(INDEX($AC$2:$AS$1001,MATCH(ROWS($V$2:V489),$V$2:$V$1001,0),MATCH(COLUMNS($AC$1006:AK1006),$AC$1006:$AS$1006,0)), HYPERLINK("#",""), HYPERLINK(CONCATENATE("#Metadata!", ADDRESS(INDEX($X$2:$X$1001,MATCH(ROWS($V$2:V489),$V$2:$V$1001,0),0), INDEX($AC$1004:$AS$1004,1,MATCH(COLUMNS($AC$1006:AK1006),$AC$1006:$AS$1006,0)))),"Fix")))</f>
        <v>0</v>
      </c>
      <c r="K489" s="5">
        <f>IF(OR(INDEX($W$2:$W$1001,MATCH(ROWS($V$2:V489),$V$2:$V$1001,0),1)&gt;=100000,INDEX($AC$1005:$AS$1005,1,MATCH(COLUMNS($AC$1006:AL1006),$AC$1006:$AS$1006,0))&gt;=100000), " ",IF(INDEX($AC$2:$AS$1001,MATCH(ROWS($V$2:V489),$V$2:$V$1001,0),MATCH(COLUMNS($AC$1006:AL1006),$AC$1006:$AS$1006,0)), HYPERLINK("#",""), HYPERLINK(CONCATENATE("#Metadata!", ADDRESS(INDEX($X$2:$X$1001,MATCH(ROWS($V$2:V489),$V$2:$V$1001,0),0), INDEX($AC$1004:$AS$1004,1,MATCH(COLUMNS($AC$1006:AL1006),$AC$1006:$AS$1006,0)))),"Fix")))</f>
        <v>0</v>
      </c>
      <c r="L489" s="5">
        <f>IF(OR(INDEX($W$2:$W$1001,MATCH(ROWS($V$2:V489),$V$2:$V$1001,0),1)&gt;=100000,INDEX($AC$1005:$AS$1005,1,MATCH(COLUMNS($AC$1006:AM1006),$AC$1006:$AS$1006,0))&gt;=100000), " ",IF(INDEX($AC$2:$AS$1001,MATCH(ROWS($V$2:V489),$V$2:$V$1001,0),MATCH(COLUMNS($AC$1006:AM1006),$AC$1006:$AS$1006,0)), HYPERLINK("#",""), HYPERLINK(CONCATENATE("#Metadata!", ADDRESS(INDEX($X$2:$X$1001,MATCH(ROWS($V$2:V489),$V$2:$V$1001,0),0), INDEX($AC$1004:$AS$1004,1,MATCH(COLUMNS($AC$1006:AM1006),$AC$1006:$AS$1006,0)))),"Fix")))</f>
        <v>0</v>
      </c>
      <c r="M489" s="5">
        <f>IF(OR(INDEX($W$2:$W$1001,MATCH(ROWS($V$2:V489),$V$2:$V$1001,0),1)&gt;=100000,INDEX($AC$1005:$AS$1005,1,MATCH(COLUMNS($AC$1006:AN1006),$AC$1006:$AS$1006,0))&gt;=100000), " ",IF(INDEX($AC$2:$AS$1001,MATCH(ROWS($V$2:V489),$V$2:$V$1001,0),MATCH(COLUMNS($AC$1006:AN1006),$AC$1006:$AS$1006,0)), HYPERLINK("#",""), HYPERLINK(CONCATENATE("#Metadata!", ADDRESS(INDEX($X$2:$X$1001,MATCH(ROWS($V$2:V489),$V$2:$V$1001,0),0), INDEX($AC$1004:$AS$1004,1,MATCH(COLUMNS($AC$1006:AN1006),$AC$1006:$AS$1006,0)))),"Fix")))</f>
        <v>0</v>
      </c>
      <c r="N489" s="5">
        <f>IF(OR(INDEX($W$2:$W$1001,MATCH(ROWS($V$2:V489),$V$2:$V$1001,0),1)&gt;=100000,INDEX($AC$1005:$AS$1005,1,MATCH(COLUMNS($AC$1006:AO1006),$AC$1006:$AS$1006,0))&gt;=100000), " ",IF(INDEX($AC$2:$AS$1001,MATCH(ROWS($V$2:V489),$V$2:$V$1001,0),MATCH(COLUMNS($AC$1006:AO1006),$AC$1006:$AS$1006,0)), HYPERLINK("#",""), HYPERLINK(CONCATENATE("#Metadata!", ADDRESS(INDEX($X$2:$X$1001,MATCH(ROWS($V$2:V489),$V$2:$V$1001,0),0), INDEX($AC$1004:$AS$1004,1,MATCH(COLUMNS($AC$1006:AO1006),$AC$1006:$AS$1006,0)))),"Fix")))</f>
        <v>0</v>
      </c>
      <c r="O489" s="5">
        <f>IF(OR(INDEX($W$2:$W$1001,MATCH(ROWS($V$2:V489),$V$2:$V$1001,0),1)&gt;=100000,INDEX($AC$1005:$AS$1005,1,MATCH(COLUMNS($AC$1006:AP1006),$AC$1006:$AS$1006,0))&gt;=100000), " ",IF(INDEX($AC$2:$AS$1001,MATCH(ROWS($V$2:V489),$V$2:$V$1001,0),MATCH(COLUMNS($AC$1006:AP1006),$AC$1006:$AS$1006,0)), HYPERLINK("#",""), HYPERLINK(CONCATENATE("#Metadata!", ADDRESS(INDEX($X$2:$X$1001,MATCH(ROWS($V$2:V489),$V$2:$V$1001,0),0), INDEX($AC$1004:$AS$1004,1,MATCH(COLUMNS($AC$1006:AP1006),$AC$1006:$AS$1006,0)))),"Fix")))</f>
        <v>0</v>
      </c>
      <c r="P489" s="5">
        <f>IF(OR(INDEX($W$2:$W$1001,MATCH(ROWS($V$2:V489),$V$2:$V$1001,0),1)&gt;=100000,INDEX($AC$1005:$AS$1005,1,MATCH(COLUMNS($AC$1006:AQ1006),$AC$1006:$AS$1006,0))&gt;=100000), " ",IF(INDEX($AC$2:$AS$1001,MATCH(ROWS($V$2:V489),$V$2:$V$1001,0),MATCH(COLUMNS($AC$1006:AQ1006),$AC$1006:$AS$1006,0)), HYPERLINK("#",""), HYPERLINK(CONCATENATE("#Metadata!", ADDRESS(INDEX($X$2:$X$1001,MATCH(ROWS($V$2:V489),$V$2:$V$1001,0),0), INDEX($AC$1004:$AS$1004,1,MATCH(COLUMNS($AC$1006:AQ1006),$AC$1006:$AS$1006,0)))),"Fix")))</f>
        <v>0</v>
      </c>
      <c r="Q489" s="5">
        <f>IF(OR(INDEX($W$2:$W$1001,MATCH(ROWS($V$2:V489),$V$2:$V$1001,0),1)&gt;=100000,INDEX($AC$1005:$AS$1005,1,MATCH(COLUMNS($AC$1006:AR1006),$AC$1006:$AS$1006,0))&gt;=100000), " ",IF(INDEX($AC$2:$AS$1001,MATCH(ROWS($V$2:V489),$V$2:$V$1001,0),MATCH(COLUMNS($AC$1006:AR1006),$AC$1006:$AS$1006,0)), HYPERLINK("#",""), HYPERLINK(CONCATENATE("#Metadata!", ADDRESS(INDEX($X$2:$X$1001,MATCH(ROWS($V$2:V489),$V$2:$V$1001,0),0), INDEX($AC$1004:$AS$1004,1,MATCH(COLUMNS($AC$1006:AR1006),$AC$1006:$AS$1006,0)))),"Fix")))</f>
        <v>0</v>
      </c>
      <c r="R489" s="5">
        <f>IF(OR(INDEX($W$2:$W$1001,MATCH(ROWS($V$2:V489),$V$2:$V$1001,0),1)&gt;=100000,INDEX($AC$1005:$AS$1005,1,MATCH(COLUMNS($AC$1006:AS1006),$AC$1006:$AS$1006,0))&gt;=100000), " ",IF(INDEX($AC$2:$AS$1001,MATCH(ROWS($V$2:V489),$V$2:$V$1001,0),MATCH(COLUMNS($AC$1006:AS1006),$AC$1006:$AS$1006,0)), HYPERLINK("#",""), HYPERLINK(CONCATENATE("#Metadata!", ADDRESS(INDEX($X$2:$X$1001,MATCH(ROWS($V$2:V489),$V$2:$V$1001,0),0), INDEX($AC$1004:$AS$1004,1,MATCH(COLUMNS($AC$1006:AS1006),$AC$1006:$AS$1006,0)))),"Fix")))</f>
        <v>0</v>
      </c>
      <c r="V489">
        <v>0</v>
      </c>
      <c r="W489">
        <v>0</v>
      </c>
      <c r="X489">
        <v>0</v>
      </c>
      <c r="Y489">
        <f>IF(Z489,TRUE,AND(AC489:AS489))</f>
        <v>0</v>
      </c>
      <c r="Z489">
        <f>COUNTBLANK(Metadata!B489:R489)=COLUMNS(Metadata!B489:R489)</f>
        <v>0</v>
      </c>
      <c r="AA489">
        <v>0</v>
      </c>
      <c r="AC489">
        <f>AND(IF(Metadata!B489="",FALSE,TRUE),COUNTIF(Metadata!B:B, Metadata!B489) = 1,NOT(ISERROR(SUMPRODUCT(SEARCH(MID(Metadata!B489,ROW(INDIRECT("1:"&amp;LEN(Metadata!B489))), 1),"0123456789abcdefghijklmnopqrstuvwxyzABCDEFGHIJKLMNOPQRSTUVWXYZ.")))))</f>
        <v>0</v>
      </c>
      <c r="AD489">
        <f>AND(IF(Metadata!C489="",FALSE,TRUE),exact(Metadata!C489,"Host-associated"))</f>
        <v>0</v>
      </c>
      <c r="AE489">
        <f>AND(IF(Metadata!D489="",FALSE,TRUE),OR(exact(Metadata!D489,"Animal"),exact(Metadata!D489,"Fungus"),exact(Metadata!D489,"Plant")))</f>
        <v>0</v>
      </c>
      <c r="AF489">
        <f>AND(IF(Metadata!E489="",FALSE,TRUE),OR(exact(Metadata!E489,"Plant secretion"),exact(Metadata!E489,"Plant rhizosphere"),exact(Metadata!E489,"Plant surface"),exact(Metadata!E489,"Plant corpus"),exact(Metadata!E489,"Fungus surface"),exact(Metadata!E489,"Fungus corpus"),exact(Metadata!E489,"Animal surface"),exact(Metadata!E489,"Animal proximal gut"),exact(Metadata!E489,"Animal corpus"),exact(Metadata!E489,"Animal distal gut"),exact(Metadata!E489,"Animal secretion")))</f>
        <v>0</v>
      </c>
      <c r="AG489">
        <f>OR(AND(IF(Metadata!F489="",FALSE,TRUE),OR(exact(Metadata!F489,"not collected"),exact(Metadata!F489,"not provided"),exact(Metadata!F489,"restricted access"))),AND(IF(Metadata!F489="",FALSE,TRUE),OR(exact(Metadata!F489,"organism-associated habitat"),exact(Metadata!F489,"plant-associated habitat"),exact(Metadata!F489,"animal-associated habitat"),exact(Metadata!F489,"insecta-associated habitat"),exact(Metadata!F489,"mammalia-associated habitat"),exact(Metadata!F489,"human-associated habitat"),exact(Metadata!F489,"livestock-associated habitat"))))</f>
        <v>0</v>
      </c>
      <c r="AH489">
        <f>AND(IF(Metadata!G489="",FALSE,TRUE),exact(Metadata!G489,"host-associated"))</f>
        <v>0</v>
      </c>
      <c r="AI489">
        <f>OR(AND(IF(Metadata!H489="",FALSE,TRUE),OR(exact(Metadata!H489,"not collected"),exact(Metadata!H489,"not provided"))),AND(IF(Metadata!H489="",FALSE,ISNUMBER(VALUE(Metadata!H489))),Metadata!H489&gt;0))</f>
        <v>0</v>
      </c>
      <c r="AJ489">
        <f>AND(IF(Metadata!I489="",FALSE,TRUE),exact(Metadata!I489,"years"))</f>
        <v>0</v>
      </c>
      <c r="AK489">
        <f>IF(Metadata!J489="",FALSE,TRUE)</f>
        <v>0</v>
      </c>
      <c r="AL489">
        <f>OR(AND(IF(Metadata!K489="",FALSE,TRUE),OR(exact(Metadata!K489,"not collected"),exact(Metadata!K489,"not provided"))),AND(IF(Metadata!K489="",FALSE,ISNUMBER(VALUE(Metadata!K489))),Metadata!K489&gt;0))</f>
        <v>0</v>
      </c>
      <c r="AM489">
        <f>AND(IF(Metadata!L489="",FALSE,TRUE),exact(Metadata!L489,"cm"))</f>
        <v>0</v>
      </c>
      <c r="AN489">
        <f>IF(Metadata!M489="",FALSE,TRUE)</f>
        <v>0</v>
      </c>
      <c r="AO489">
        <f>OR(AND(IF(Metadata!N489="",FALSE,TRUE),OR(exact(Metadata!N489,"not applicable"),exact(Metadata!N489,"not collected"),exact(Metadata!N489,"not provided"))),AND(IF(Metadata!N489="",FALSE,IF(ISERROR(INT(Metadata!N489)),FALSE,INT(Metadata!N489)=Metadata!N489)),Metadata!N489&gt;0))</f>
        <v>0</v>
      </c>
      <c r="AP489">
        <f>OR(AND(IF(Metadata!O489="",FALSE,TRUE),OR(exact(Metadata!O489,"not collected"),exact(Metadata!O489,"not provided"))),AND(IF(Metadata!O489="",FALSE,ISNUMBER(VALUE(Metadata!O489))),Metadata!O489&gt;0))</f>
        <v>0</v>
      </c>
      <c r="AQ489">
        <f>AND(IF(Metadata!P489="",FALSE,TRUE),exact(Metadata!P489,"kg"))</f>
        <v>0</v>
      </c>
      <c r="AR489">
        <f>OR(AND(IF(Metadata!Q489="",FALSE,TRUE),OR(exact(Metadata!Q489,"not applicable"),exact(Metadata!Q489,"not collected"),exact(Metadata!Q489,"not provided"),exact(Metadata!Q489,"restricted access"))),IF(Metadata!Q489="",FALSE,IF(ISERROR(INT(Metadata!Q489)),FALSE,INT(Metadata!Q489)=Metadata!Q489)))</f>
        <v>0</v>
      </c>
      <c r="AS489">
        <f>AND(IF(Metadata!R489="",FALSE,TRUE),exact(Metadata!R489,"Not applicable"))</f>
        <v>0</v>
      </c>
    </row>
    <row r="490" spans="1:45">
      <c r="A490" s="4">
        <f>IF(B490=" "," ",HYPERLINK(CONCATENATE("#metadata!",ADDRESS(INDEX($X$2:$X$1001,MATCH(ROWS($V$2:V490),$V$2:$V$1001,0),0),2)),INDEX($AA$2:$AA$1001,MATCH(ROWS($V$2:V490),$V$2:$V$1001,0),0)))</f>
        <v>0</v>
      </c>
      <c r="B490" s="5">
        <f>IF(OR(INDEX($W$2:$W$1001,MATCH(ROWS($V$2:V490),$V$2:$V$1001,0),1)&gt;=100000,INDEX($AC$1005:$AS$1005,1,MATCH(COLUMNS($AC$1006:AC1006),$AC$1006:$AS$1006,0))&gt;=100000), " ",IF(INDEX($AC$2:$AS$1001,MATCH(ROWS($V$2:V490),$V$2:$V$1001,0),MATCH(COLUMNS($AC$1006:AC1006),$AC$1006:$AS$1006,0)), HYPERLINK("#",""), HYPERLINK(CONCATENATE("#Metadata!", ADDRESS(INDEX($X$2:$X$1001,MATCH(ROWS($V$2:V490),$V$2:$V$1001,0),0), INDEX($AC$1004:$AS$1004,1,MATCH(COLUMNS($AC$1006:AC1006),$AC$1006:$AS$1006,0)))),"Fix")))</f>
        <v>0</v>
      </c>
      <c r="C490" s="5">
        <f>IF(OR(INDEX($W$2:$W$1001,MATCH(ROWS($V$2:V490),$V$2:$V$1001,0),1)&gt;=100000,INDEX($AC$1005:$AS$1005,1,MATCH(COLUMNS($AC$1006:AD1006),$AC$1006:$AS$1006,0))&gt;=100000), " ",IF(INDEX($AC$2:$AS$1001,MATCH(ROWS($V$2:V490),$V$2:$V$1001,0),MATCH(COLUMNS($AC$1006:AD1006),$AC$1006:$AS$1006,0)), HYPERLINK("#",""), HYPERLINK(CONCATENATE("#Metadata!", ADDRESS(INDEX($X$2:$X$1001,MATCH(ROWS($V$2:V490),$V$2:$V$1001,0),0), INDEX($AC$1004:$AS$1004,1,MATCH(COLUMNS($AC$1006:AD1006),$AC$1006:$AS$1006,0)))),"Fix")))</f>
        <v>0</v>
      </c>
      <c r="D490" s="5">
        <f>IF(OR(INDEX($W$2:$W$1001,MATCH(ROWS($V$2:V490),$V$2:$V$1001,0),1)&gt;=100000,INDEX($AC$1005:$AS$1005,1,MATCH(COLUMNS($AC$1006:AE1006),$AC$1006:$AS$1006,0))&gt;=100000), " ",IF(INDEX($AC$2:$AS$1001,MATCH(ROWS($V$2:V490),$V$2:$V$1001,0),MATCH(COLUMNS($AC$1006:AE1006),$AC$1006:$AS$1006,0)), HYPERLINK("#",""), HYPERLINK(CONCATENATE("#Metadata!", ADDRESS(INDEX($X$2:$X$1001,MATCH(ROWS($V$2:V490),$V$2:$V$1001,0),0), INDEX($AC$1004:$AS$1004,1,MATCH(COLUMNS($AC$1006:AE1006),$AC$1006:$AS$1006,0)))),"Fix")))</f>
        <v>0</v>
      </c>
      <c r="E490" s="5">
        <f>IF(OR(INDEX($W$2:$W$1001,MATCH(ROWS($V$2:V490),$V$2:$V$1001,0),1)&gt;=100000,INDEX($AC$1005:$AS$1005,1,MATCH(COLUMNS($AC$1006:AF1006),$AC$1006:$AS$1006,0))&gt;=100000), " ",IF(INDEX($AC$2:$AS$1001,MATCH(ROWS($V$2:V490),$V$2:$V$1001,0),MATCH(COLUMNS($AC$1006:AF1006),$AC$1006:$AS$1006,0)), HYPERLINK("#",""), HYPERLINK(CONCATENATE("#Metadata!", ADDRESS(INDEX($X$2:$X$1001,MATCH(ROWS($V$2:V490),$V$2:$V$1001,0),0), INDEX($AC$1004:$AS$1004,1,MATCH(COLUMNS($AC$1006:AF1006),$AC$1006:$AS$1006,0)))),"Fix")))</f>
        <v>0</v>
      </c>
      <c r="F490" s="5">
        <f>IF(OR(INDEX($W$2:$W$1001,MATCH(ROWS($V$2:V490),$V$2:$V$1001,0),1)&gt;=100000,INDEX($AC$1005:$AS$1005,1,MATCH(COLUMNS($AC$1006:AG1006),$AC$1006:$AS$1006,0))&gt;=100000), " ",IF(INDEX($AC$2:$AS$1001,MATCH(ROWS($V$2:V490),$V$2:$V$1001,0),MATCH(COLUMNS($AC$1006:AG1006),$AC$1006:$AS$1006,0)), HYPERLINK("#",""), HYPERLINK(CONCATENATE("#Metadata!", ADDRESS(INDEX($X$2:$X$1001,MATCH(ROWS($V$2:V490),$V$2:$V$1001,0),0), INDEX($AC$1004:$AS$1004,1,MATCH(COLUMNS($AC$1006:AG1006),$AC$1006:$AS$1006,0)))),"Fix")))</f>
        <v>0</v>
      </c>
      <c r="G490" s="5">
        <f>IF(OR(INDEX($W$2:$W$1001,MATCH(ROWS($V$2:V490),$V$2:$V$1001,0),1)&gt;=100000,INDEX($AC$1005:$AS$1005,1,MATCH(COLUMNS($AC$1006:AH1006),$AC$1006:$AS$1006,0))&gt;=100000), " ",IF(INDEX($AC$2:$AS$1001,MATCH(ROWS($V$2:V490),$V$2:$V$1001,0),MATCH(COLUMNS($AC$1006:AH1006),$AC$1006:$AS$1006,0)), HYPERLINK("#",""), HYPERLINK(CONCATENATE("#Metadata!", ADDRESS(INDEX($X$2:$X$1001,MATCH(ROWS($V$2:V490),$V$2:$V$1001,0),0), INDEX($AC$1004:$AS$1004,1,MATCH(COLUMNS($AC$1006:AH1006),$AC$1006:$AS$1006,0)))),"Fix")))</f>
        <v>0</v>
      </c>
      <c r="H490" s="5">
        <f>IF(OR(INDEX($W$2:$W$1001,MATCH(ROWS($V$2:V490),$V$2:$V$1001,0),1)&gt;=100000,INDEX($AC$1005:$AS$1005,1,MATCH(COLUMNS($AC$1006:AI1006),$AC$1006:$AS$1006,0))&gt;=100000), " ",IF(INDEX($AC$2:$AS$1001,MATCH(ROWS($V$2:V490),$V$2:$V$1001,0),MATCH(COLUMNS($AC$1006:AI1006),$AC$1006:$AS$1006,0)), HYPERLINK("#",""), HYPERLINK(CONCATENATE("#Metadata!", ADDRESS(INDEX($X$2:$X$1001,MATCH(ROWS($V$2:V490),$V$2:$V$1001,0),0), INDEX($AC$1004:$AS$1004,1,MATCH(COLUMNS($AC$1006:AI1006),$AC$1006:$AS$1006,0)))),"Fix")))</f>
        <v>0</v>
      </c>
      <c r="I490" s="5">
        <f>IF(OR(INDEX($W$2:$W$1001,MATCH(ROWS($V$2:V490),$V$2:$V$1001,0),1)&gt;=100000,INDEX($AC$1005:$AS$1005,1,MATCH(COLUMNS($AC$1006:AJ1006),$AC$1006:$AS$1006,0))&gt;=100000), " ",IF(INDEX($AC$2:$AS$1001,MATCH(ROWS($V$2:V490),$V$2:$V$1001,0),MATCH(COLUMNS($AC$1006:AJ1006),$AC$1006:$AS$1006,0)), HYPERLINK("#",""), HYPERLINK(CONCATENATE("#Metadata!", ADDRESS(INDEX($X$2:$X$1001,MATCH(ROWS($V$2:V490),$V$2:$V$1001,0),0), INDEX($AC$1004:$AS$1004,1,MATCH(COLUMNS($AC$1006:AJ1006),$AC$1006:$AS$1006,0)))),"Fix")))</f>
        <v>0</v>
      </c>
      <c r="J490" s="5">
        <f>IF(OR(INDEX($W$2:$W$1001,MATCH(ROWS($V$2:V490),$V$2:$V$1001,0),1)&gt;=100000,INDEX($AC$1005:$AS$1005,1,MATCH(COLUMNS($AC$1006:AK1006),$AC$1006:$AS$1006,0))&gt;=100000), " ",IF(INDEX($AC$2:$AS$1001,MATCH(ROWS($V$2:V490),$V$2:$V$1001,0),MATCH(COLUMNS($AC$1006:AK1006),$AC$1006:$AS$1006,0)), HYPERLINK("#",""), HYPERLINK(CONCATENATE("#Metadata!", ADDRESS(INDEX($X$2:$X$1001,MATCH(ROWS($V$2:V490),$V$2:$V$1001,0),0), INDEX($AC$1004:$AS$1004,1,MATCH(COLUMNS($AC$1006:AK1006),$AC$1006:$AS$1006,0)))),"Fix")))</f>
        <v>0</v>
      </c>
      <c r="K490" s="5">
        <f>IF(OR(INDEX($W$2:$W$1001,MATCH(ROWS($V$2:V490),$V$2:$V$1001,0),1)&gt;=100000,INDEX($AC$1005:$AS$1005,1,MATCH(COLUMNS($AC$1006:AL1006),$AC$1006:$AS$1006,0))&gt;=100000), " ",IF(INDEX($AC$2:$AS$1001,MATCH(ROWS($V$2:V490),$V$2:$V$1001,0),MATCH(COLUMNS($AC$1006:AL1006),$AC$1006:$AS$1006,0)), HYPERLINK("#",""), HYPERLINK(CONCATENATE("#Metadata!", ADDRESS(INDEX($X$2:$X$1001,MATCH(ROWS($V$2:V490),$V$2:$V$1001,0),0), INDEX($AC$1004:$AS$1004,1,MATCH(COLUMNS($AC$1006:AL1006),$AC$1006:$AS$1006,0)))),"Fix")))</f>
        <v>0</v>
      </c>
      <c r="L490" s="5">
        <f>IF(OR(INDEX($W$2:$W$1001,MATCH(ROWS($V$2:V490),$V$2:$V$1001,0),1)&gt;=100000,INDEX($AC$1005:$AS$1005,1,MATCH(COLUMNS($AC$1006:AM1006),$AC$1006:$AS$1006,0))&gt;=100000), " ",IF(INDEX($AC$2:$AS$1001,MATCH(ROWS($V$2:V490),$V$2:$V$1001,0),MATCH(COLUMNS($AC$1006:AM1006),$AC$1006:$AS$1006,0)), HYPERLINK("#",""), HYPERLINK(CONCATENATE("#Metadata!", ADDRESS(INDEX($X$2:$X$1001,MATCH(ROWS($V$2:V490),$V$2:$V$1001,0),0), INDEX($AC$1004:$AS$1004,1,MATCH(COLUMNS($AC$1006:AM1006),$AC$1006:$AS$1006,0)))),"Fix")))</f>
        <v>0</v>
      </c>
      <c r="M490" s="5">
        <f>IF(OR(INDEX($W$2:$W$1001,MATCH(ROWS($V$2:V490),$V$2:$V$1001,0),1)&gt;=100000,INDEX($AC$1005:$AS$1005,1,MATCH(COLUMNS($AC$1006:AN1006),$AC$1006:$AS$1006,0))&gt;=100000), " ",IF(INDEX($AC$2:$AS$1001,MATCH(ROWS($V$2:V490),$V$2:$V$1001,0),MATCH(COLUMNS($AC$1006:AN1006),$AC$1006:$AS$1006,0)), HYPERLINK("#",""), HYPERLINK(CONCATENATE("#Metadata!", ADDRESS(INDEX($X$2:$X$1001,MATCH(ROWS($V$2:V490),$V$2:$V$1001,0),0), INDEX($AC$1004:$AS$1004,1,MATCH(COLUMNS($AC$1006:AN1006),$AC$1006:$AS$1006,0)))),"Fix")))</f>
        <v>0</v>
      </c>
      <c r="N490" s="5">
        <f>IF(OR(INDEX($W$2:$W$1001,MATCH(ROWS($V$2:V490),$V$2:$V$1001,0),1)&gt;=100000,INDEX($AC$1005:$AS$1005,1,MATCH(COLUMNS($AC$1006:AO1006),$AC$1006:$AS$1006,0))&gt;=100000), " ",IF(INDEX($AC$2:$AS$1001,MATCH(ROWS($V$2:V490),$V$2:$V$1001,0),MATCH(COLUMNS($AC$1006:AO1006),$AC$1006:$AS$1006,0)), HYPERLINK("#",""), HYPERLINK(CONCATENATE("#Metadata!", ADDRESS(INDEX($X$2:$X$1001,MATCH(ROWS($V$2:V490),$V$2:$V$1001,0),0), INDEX($AC$1004:$AS$1004,1,MATCH(COLUMNS($AC$1006:AO1006),$AC$1006:$AS$1006,0)))),"Fix")))</f>
        <v>0</v>
      </c>
      <c r="O490" s="5">
        <f>IF(OR(INDEX($W$2:$W$1001,MATCH(ROWS($V$2:V490),$V$2:$V$1001,0),1)&gt;=100000,INDEX($AC$1005:$AS$1005,1,MATCH(COLUMNS($AC$1006:AP1006),$AC$1006:$AS$1006,0))&gt;=100000), " ",IF(INDEX($AC$2:$AS$1001,MATCH(ROWS($V$2:V490),$V$2:$V$1001,0),MATCH(COLUMNS($AC$1006:AP1006),$AC$1006:$AS$1006,0)), HYPERLINK("#",""), HYPERLINK(CONCATENATE("#Metadata!", ADDRESS(INDEX($X$2:$X$1001,MATCH(ROWS($V$2:V490),$V$2:$V$1001,0),0), INDEX($AC$1004:$AS$1004,1,MATCH(COLUMNS($AC$1006:AP1006),$AC$1006:$AS$1006,0)))),"Fix")))</f>
        <v>0</v>
      </c>
      <c r="P490" s="5">
        <f>IF(OR(INDEX($W$2:$W$1001,MATCH(ROWS($V$2:V490),$V$2:$V$1001,0),1)&gt;=100000,INDEX($AC$1005:$AS$1005,1,MATCH(COLUMNS($AC$1006:AQ1006),$AC$1006:$AS$1006,0))&gt;=100000), " ",IF(INDEX($AC$2:$AS$1001,MATCH(ROWS($V$2:V490),$V$2:$V$1001,0),MATCH(COLUMNS($AC$1006:AQ1006),$AC$1006:$AS$1006,0)), HYPERLINK("#",""), HYPERLINK(CONCATENATE("#Metadata!", ADDRESS(INDEX($X$2:$X$1001,MATCH(ROWS($V$2:V490),$V$2:$V$1001,0),0), INDEX($AC$1004:$AS$1004,1,MATCH(COLUMNS($AC$1006:AQ1006),$AC$1006:$AS$1006,0)))),"Fix")))</f>
        <v>0</v>
      </c>
      <c r="Q490" s="5">
        <f>IF(OR(INDEX($W$2:$W$1001,MATCH(ROWS($V$2:V490),$V$2:$V$1001,0),1)&gt;=100000,INDEX($AC$1005:$AS$1005,1,MATCH(COLUMNS($AC$1006:AR1006),$AC$1006:$AS$1006,0))&gt;=100000), " ",IF(INDEX($AC$2:$AS$1001,MATCH(ROWS($V$2:V490),$V$2:$V$1001,0),MATCH(COLUMNS($AC$1006:AR1006),$AC$1006:$AS$1006,0)), HYPERLINK("#",""), HYPERLINK(CONCATENATE("#Metadata!", ADDRESS(INDEX($X$2:$X$1001,MATCH(ROWS($V$2:V490),$V$2:$V$1001,0),0), INDEX($AC$1004:$AS$1004,1,MATCH(COLUMNS($AC$1006:AR1006),$AC$1006:$AS$1006,0)))),"Fix")))</f>
        <v>0</v>
      </c>
      <c r="R490" s="5">
        <f>IF(OR(INDEX($W$2:$W$1001,MATCH(ROWS($V$2:V490),$V$2:$V$1001,0),1)&gt;=100000,INDEX($AC$1005:$AS$1005,1,MATCH(COLUMNS($AC$1006:AS1006),$AC$1006:$AS$1006,0))&gt;=100000), " ",IF(INDEX($AC$2:$AS$1001,MATCH(ROWS($V$2:V490),$V$2:$V$1001,0),MATCH(COLUMNS($AC$1006:AS1006),$AC$1006:$AS$1006,0)), HYPERLINK("#",""), HYPERLINK(CONCATENATE("#Metadata!", ADDRESS(INDEX($X$2:$X$1001,MATCH(ROWS($V$2:V490),$V$2:$V$1001,0),0), INDEX($AC$1004:$AS$1004,1,MATCH(COLUMNS($AC$1006:AS1006),$AC$1006:$AS$1006,0)))),"Fix")))</f>
        <v>0</v>
      </c>
      <c r="V490">
        <v>0</v>
      </c>
      <c r="W490">
        <v>0</v>
      </c>
      <c r="X490">
        <v>0</v>
      </c>
      <c r="Y490">
        <f>IF(Z490,TRUE,AND(AC490:AS490))</f>
        <v>0</v>
      </c>
      <c r="Z490">
        <f>COUNTBLANK(Metadata!B490:R490)=COLUMNS(Metadata!B490:R490)</f>
        <v>0</v>
      </c>
      <c r="AA490">
        <v>0</v>
      </c>
      <c r="AC490">
        <f>AND(IF(Metadata!B490="",FALSE,TRUE),COUNTIF(Metadata!B:B, Metadata!B490) = 1,NOT(ISERROR(SUMPRODUCT(SEARCH(MID(Metadata!B490,ROW(INDIRECT("1:"&amp;LEN(Metadata!B490))), 1),"0123456789abcdefghijklmnopqrstuvwxyzABCDEFGHIJKLMNOPQRSTUVWXYZ.")))))</f>
        <v>0</v>
      </c>
      <c r="AD490">
        <f>AND(IF(Metadata!C490="",FALSE,TRUE),exact(Metadata!C490,"Host-associated"))</f>
        <v>0</v>
      </c>
      <c r="AE490">
        <f>AND(IF(Metadata!D490="",FALSE,TRUE),OR(exact(Metadata!D490,"Animal"),exact(Metadata!D490,"Fungus"),exact(Metadata!D490,"Plant")))</f>
        <v>0</v>
      </c>
      <c r="AF490">
        <f>AND(IF(Metadata!E490="",FALSE,TRUE),OR(exact(Metadata!E490,"Plant secretion"),exact(Metadata!E490,"Plant rhizosphere"),exact(Metadata!E490,"Plant surface"),exact(Metadata!E490,"Plant corpus"),exact(Metadata!E490,"Fungus surface"),exact(Metadata!E490,"Fungus corpus"),exact(Metadata!E490,"Animal surface"),exact(Metadata!E490,"Animal proximal gut"),exact(Metadata!E490,"Animal corpus"),exact(Metadata!E490,"Animal distal gut"),exact(Metadata!E490,"Animal secretion")))</f>
        <v>0</v>
      </c>
      <c r="AG490">
        <f>OR(AND(IF(Metadata!F490="",FALSE,TRUE),OR(exact(Metadata!F490,"not collected"),exact(Metadata!F490,"not provided"),exact(Metadata!F490,"restricted access"))),AND(IF(Metadata!F490="",FALSE,TRUE),OR(exact(Metadata!F490,"organism-associated habitat"),exact(Metadata!F490,"plant-associated habitat"),exact(Metadata!F490,"animal-associated habitat"),exact(Metadata!F490,"insecta-associated habitat"),exact(Metadata!F490,"mammalia-associated habitat"),exact(Metadata!F490,"human-associated habitat"),exact(Metadata!F490,"livestock-associated habitat"))))</f>
        <v>0</v>
      </c>
      <c r="AH490">
        <f>AND(IF(Metadata!G490="",FALSE,TRUE),exact(Metadata!G490,"host-associated"))</f>
        <v>0</v>
      </c>
      <c r="AI490">
        <f>OR(AND(IF(Metadata!H490="",FALSE,TRUE),OR(exact(Metadata!H490,"not collected"),exact(Metadata!H490,"not provided"))),AND(IF(Metadata!H490="",FALSE,ISNUMBER(VALUE(Metadata!H490))),Metadata!H490&gt;0))</f>
        <v>0</v>
      </c>
      <c r="AJ490">
        <f>AND(IF(Metadata!I490="",FALSE,TRUE),exact(Metadata!I490,"years"))</f>
        <v>0</v>
      </c>
      <c r="AK490">
        <f>IF(Metadata!J490="",FALSE,TRUE)</f>
        <v>0</v>
      </c>
      <c r="AL490">
        <f>OR(AND(IF(Metadata!K490="",FALSE,TRUE),OR(exact(Metadata!K490,"not collected"),exact(Metadata!K490,"not provided"))),AND(IF(Metadata!K490="",FALSE,ISNUMBER(VALUE(Metadata!K490))),Metadata!K490&gt;0))</f>
        <v>0</v>
      </c>
      <c r="AM490">
        <f>AND(IF(Metadata!L490="",FALSE,TRUE),exact(Metadata!L490,"cm"))</f>
        <v>0</v>
      </c>
      <c r="AN490">
        <f>IF(Metadata!M490="",FALSE,TRUE)</f>
        <v>0</v>
      </c>
      <c r="AO490">
        <f>OR(AND(IF(Metadata!N490="",FALSE,TRUE),OR(exact(Metadata!N490,"not applicable"),exact(Metadata!N490,"not collected"),exact(Metadata!N490,"not provided"))),AND(IF(Metadata!N490="",FALSE,IF(ISERROR(INT(Metadata!N490)),FALSE,INT(Metadata!N490)=Metadata!N490)),Metadata!N490&gt;0))</f>
        <v>0</v>
      </c>
      <c r="AP490">
        <f>OR(AND(IF(Metadata!O490="",FALSE,TRUE),OR(exact(Metadata!O490,"not collected"),exact(Metadata!O490,"not provided"))),AND(IF(Metadata!O490="",FALSE,ISNUMBER(VALUE(Metadata!O490))),Metadata!O490&gt;0))</f>
        <v>0</v>
      </c>
      <c r="AQ490">
        <f>AND(IF(Metadata!P490="",FALSE,TRUE),exact(Metadata!P490,"kg"))</f>
        <v>0</v>
      </c>
      <c r="AR490">
        <f>OR(AND(IF(Metadata!Q490="",FALSE,TRUE),OR(exact(Metadata!Q490,"not applicable"),exact(Metadata!Q490,"not collected"),exact(Metadata!Q490,"not provided"),exact(Metadata!Q490,"restricted access"))),IF(Metadata!Q490="",FALSE,IF(ISERROR(INT(Metadata!Q490)),FALSE,INT(Metadata!Q490)=Metadata!Q490)))</f>
        <v>0</v>
      </c>
      <c r="AS490">
        <f>AND(IF(Metadata!R490="",FALSE,TRUE),exact(Metadata!R490,"Not applicable"))</f>
        <v>0</v>
      </c>
    </row>
    <row r="491" spans="1:45">
      <c r="A491" s="4">
        <f>IF(B491=" "," ",HYPERLINK(CONCATENATE("#metadata!",ADDRESS(INDEX($X$2:$X$1001,MATCH(ROWS($V$2:V491),$V$2:$V$1001,0),0),2)),INDEX($AA$2:$AA$1001,MATCH(ROWS($V$2:V491),$V$2:$V$1001,0),0)))</f>
        <v>0</v>
      </c>
      <c r="B491" s="5">
        <f>IF(OR(INDEX($W$2:$W$1001,MATCH(ROWS($V$2:V491),$V$2:$V$1001,0),1)&gt;=100000,INDEX($AC$1005:$AS$1005,1,MATCH(COLUMNS($AC$1006:AC1006),$AC$1006:$AS$1006,0))&gt;=100000), " ",IF(INDEX($AC$2:$AS$1001,MATCH(ROWS($V$2:V491),$V$2:$V$1001,0),MATCH(COLUMNS($AC$1006:AC1006),$AC$1006:$AS$1006,0)), HYPERLINK("#",""), HYPERLINK(CONCATENATE("#Metadata!", ADDRESS(INDEX($X$2:$X$1001,MATCH(ROWS($V$2:V491),$V$2:$V$1001,0),0), INDEX($AC$1004:$AS$1004,1,MATCH(COLUMNS($AC$1006:AC1006),$AC$1006:$AS$1006,0)))),"Fix")))</f>
        <v>0</v>
      </c>
      <c r="C491" s="5">
        <f>IF(OR(INDEX($W$2:$W$1001,MATCH(ROWS($V$2:V491),$V$2:$V$1001,0),1)&gt;=100000,INDEX($AC$1005:$AS$1005,1,MATCH(COLUMNS($AC$1006:AD1006),$AC$1006:$AS$1006,0))&gt;=100000), " ",IF(INDEX($AC$2:$AS$1001,MATCH(ROWS($V$2:V491),$V$2:$V$1001,0),MATCH(COLUMNS($AC$1006:AD1006),$AC$1006:$AS$1006,0)), HYPERLINK("#",""), HYPERLINK(CONCATENATE("#Metadata!", ADDRESS(INDEX($X$2:$X$1001,MATCH(ROWS($V$2:V491),$V$2:$V$1001,0),0), INDEX($AC$1004:$AS$1004,1,MATCH(COLUMNS($AC$1006:AD1006),$AC$1006:$AS$1006,0)))),"Fix")))</f>
        <v>0</v>
      </c>
      <c r="D491" s="5">
        <f>IF(OR(INDEX($W$2:$W$1001,MATCH(ROWS($V$2:V491),$V$2:$V$1001,0),1)&gt;=100000,INDEX($AC$1005:$AS$1005,1,MATCH(COLUMNS($AC$1006:AE1006),$AC$1006:$AS$1006,0))&gt;=100000), " ",IF(INDEX($AC$2:$AS$1001,MATCH(ROWS($V$2:V491),$V$2:$V$1001,0),MATCH(COLUMNS($AC$1006:AE1006),$AC$1006:$AS$1006,0)), HYPERLINK("#",""), HYPERLINK(CONCATENATE("#Metadata!", ADDRESS(INDEX($X$2:$X$1001,MATCH(ROWS($V$2:V491),$V$2:$V$1001,0),0), INDEX($AC$1004:$AS$1004,1,MATCH(COLUMNS($AC$1006:AE1006),$AC$1006:$AS$1006,0)))),"Fix")))</f>
        <v>0</v>
      </c>
      <c r="E491" s="5">
        <f>IF(OR(INDEX($W$2:$W$1001,MATCH(ROWS($V$2:V491),$V$2:$V$1001,0),1)&gt;=100000,INDEX($AC$1005:$AS$1005,1,MATCH(COLUMNS($AC$1006:AF1006),$AC$1006:$AS$1006,0))&gt;=100000), " ",IF(INDEX($AC$2:$AS$1001,MATCH(ROWS($V$2:V491),$V$2:$V$1001,0),MATCH(COLUMNS($AC$1006:AF1006),$AC$1006:$AS$1006,0)), HYPERLINK("#",""), HYPERLINK(CONCATENATE("#Metadata!", ADDRESS(INDEX($X$2:$X$1001,MATCH(ROWS($V$2:V491),$V$2:$V$1001,0),0), INDEX($AC$1004:$AS$1004,1,MATCH(COLUMNS($AC$1006:AF1006),$AC$1006:$AS$1006,0)))),"Fix")))</f>
        <v>0</v>
      </c>
      <c r="F491" s="5">
        <f>IF(OR(INDEX($W$2:$W$1001,MATCH(ROWS($V$2:V491),$V$2:$V$1001,0),1)&gt;=100000,INDEX($AC$1005:$AS$1005,1,MATCH(COLUMNS($AC$1006:AG1006),$AC$1006:$AS$1006,0))&gt;=100000), " ",IF(INDEX($AC$2:$AS$1001,MATCH(ROWS($V$2:V491),$V$2:$V$1001,0),MATCH(COLUMNS($AC$1006:AG1006),$AC$1006:$AS$1006,0)), HYPERLINK("#",""), HYPERLINK(CONCATENATE("#Metadata!", ADDRESS(INDEX($X$2:$X$1001,MATCH(ROWS($V$2:V491),$V$2:$V$1001,0),0), INDEX($AC$1004:$AS$1004,1,MATCH(COLUMNS($AC$1006:AG1006),$AC$1006:$AS$1006,0)))),"Fix")))</f>
        <v>0</v>
      </c>
      <c r="G491" s="5">
        <f>IF(OR(INDEX($W$2:$W$1001,MATCH(ROWS($V$2:V491),$V$2:$V$1001,0),1)&gt;=100000,INDEX($AC$1005:$AS$1005,1,MATCH(COLUMNS($AC$1006:AH1006),$AC$1006:$AS$1006,0))&gt;=100000), " ",IF(INDEX($AC$2:$AS$1001,MATCH(ROWS($V$2:V491),$V$2:$V$1001,0),MATCH(COLUMNS($AC$1006:AH1006),$AC$1006:$AS$1006,0)), HYPERLINK("#",""), HYPERLINK(CONCATENATE("#Metadata!", ADDRESS(INDEX($X$2:$X$1001,MATCH(ROWS($V$2:V491),$V$2:$V$1001,0),0), INDEX($AC$1004:$AS$1004,1,MATCH(COLUMNS($AC$1006:AH1006),$AC$1006:$AS$1006,0)))),"Fix")))</f>
        <v>0</v>
      </c>
      <c r="H491" s="5">
        <f>IF(OR(INDEX($W$2:$W$1001,MATCH(ROWS($V$2:V491),$V$2:$V$1001,0),1)&gt;=100000,INDEX($AC$1005:$AS$1005,1,MATCH(COLUMNS($AC$1006:AI1006),$AC$1006:$AS$1006,0))&gt;=100000), " ",IF(INDEX($AC$2:$AS$1001,MATCH(ROWS($V$2:V491),$V$2:$V$1001,0),MATCH(COLUMNS($AC$1006:AI1006),$AC$1006:$AS$1006,0)), HYPERLINK("#",""), HYPERLINK(CONCATENATE("#Metadata!", ADDRESS(INDEX($X$2:$X$1001,MATCH(ROWS($V$2:V491),$V$2:$V$1001,0),0), INDEX($AC$1004:$AS$1004,1,MATCH(COLUMNS($AC$1006:AI1006),$AC$1006:$AS$1006,0)))),"Fix")))</f>
        <v>0</v>
      </c>
      <c r="I491" s="5">
        <f>IF(OR(INDEX($W$2:$W$1001,MATCH(ROWS($V$2:V491),$V$2:$V$1001,0),1)&gt;=100000,INDEX($AC$1005:$AS$1005,1,MATCH(COLUMNS($AC$1006:AJ1006),$AC$1006:$AS$1006,0))&gt;=100000), " ",IF(INDEX($AC$2:$AS$1001,MATCH(ROWS($V$2:V491),$V$2:$V$1001,0),MATCH(COLUMNS($AC$1006:AJ1006),$AC$1006:$AS$1006,0)), HYPERLINK("#",""), HYPERLINK(CONCATENATE("#Metadata!", ADDRESS(INDEX($X$2:$X$1001,MATCH(ROWS($V$2:V491),$V$2:$V$1001,0),0), INDEX($AC$1004:$AS$1004,1,MATCH(COLUMNS($AC$1006:AJ1006),$AC$1006:$AS$1006,0)))),"Fix")))</f>
        <v>0</v>
      </c>
      <c r="J491" s="5">
        <f>IF(OR(INDEX($W$2:$W$1001,MATCH(ROWS($V$2:V491),$V$2:$V$1001,0),1)&gt;=100000,INDEX($AC$1005:$AS$1005,1,MATCH(COLUMNS($AC$1006:AK1006),$AC$1006:$AS$1006,0))&gt;=100000), " ",IF(INDEX($AC$2:$AS$1001,MATCH(ROWS($V$2:V491),$V$2:$V$1001,0),MATCH(COLUMNS($AC$1006:AK1006),$AC$1006:$AS$1006,0)), HYPERLINK("#",""), HYPERLINK(CONCATENATE("#Metadata!", ADDRESS(INDEX($X$2:$X$1001,MATCH(ROWS($V$2:V491),$V$2:$V$1001,0),0), INDEX($AC$1004:$AS$1004,1,MATCH(COLUMNS($AC$1006:AK1006),$AC$1006:$AS$1006,0)))),"Fix")))</f>
        <v>0</v>
      </c>
      <c r="K491" s="5">
        <f>IF(OR(INDEX($W$2:$W$1001,MATCH(ROWS($V$2:V491),$V$2:$V$1001,0),1)&gt;=100000,INDEX($AC$1005:$AS$1005,1,MATCH(COLUMNS($AC$1006:AL1006),$AC$1006:$AS$1006,0))&gt;=100000), " ",IF(INDEX($AC$2:$AS$1001,MATCH(ROWS($V$2:V491),$V$2:$V$1001,0),MATCH(COLUMNS($AC$1006:AL1006),$AC$1006:$AS$1006,0)), HYPERLINK("#",""), HYPERLINK(CONCATENATE("#Metadata!", ADDRESS(INDEX($X$2:$X$1001,MATCH(ROWS($V$2:V491),$V$2:$V$1001,0),0), INDEX($AC$1004:$AS$1004,1,MATCH(COLUMNS($AC$1006:AL1006),$AC$1006:$AS$1006,0)))),"Fix")))</f>
        <v>0</v>
      </c>
      <c r="L491" s="5">
        <f>IF(OR(INDEX($W$2:$W$1001,MATCH(ROWS($V$2:V491),$V$2:$V$1001,0),1)&gt;=100000,INDEX($AC$1005:$AS$1005,1,MATCH(COLUMNS($AC$1006:AM1006),$AC$1006:$AS$1006,0))&gt;=100000), " ",IF(INDEX($AC$2:$AS$1001,MATCH(ROWS($V$2:V491),$V$2:$V$1001,0),MATCH(COLUMNS($AC$1006:AM1006),$AC$1006:$AS$1006,0)), HYPERLINK("#",""), HYPERLINK(CONCATENATE("#Metadata!", ADDRESS(INDEX($X$2:$X$1001,MATCH(ROWS($V$2:V491),$V$2:$V$1001,0),0), INDEX($AC$1004:$AS$1004,1,MATCH(COLUMNS($AC$1006:AM1006),$AC$1006:$AS$1006,0)))),"Fix")))</f>
        <v>0</v>
      </c>
      <c r="M491" s="5">
        <f>IF(OR(INDEX($W$2:$W$1001,MATCH(ROWS($V$2:V491),$V$2:$V$1001,0),1)&gt;=100000,INDEX($AC$1005:$AS$1005,1,MATCH(COLUMNS($AC$1006:AN1006),$AC$1006:$AS$1006,0))&gt;=100000), " ",IF(INDEX($AC$2:$AS$1001,MATCH(ROWS($V$2:V491),$V$2:$V$1001,0),MATCH(COLUMNS($AC$1006:AN1006),$AC$1006:$AS$1006,0)), HYPERLINK("#",""), HYPERLINK(CONCATENATE("#Metadata!", ADDRESS(INDEX($X$2:$X$1001,MATCH(ROWS($V$2:V491),$V$2:$V$1001,0),0), INDEX($AC$1004:$AS$1004,1,MATCH(COLUMNS($AC$1006:AN1006),$AC$1006:$AS$1006,0)))),"Fix")))</f>
        <v>0</v>
      </c>
      <c r="N491" s="5">
        <f>IF(OR(INDEX($W$2:$W$1001,MATCH(ROWS($V$2:V491),$V$2:$V$1001,0),1)&gt;=100000,INDEX($AC$1005:$AS$1005,1,MATCH(COLUMNS($AC$1006:AO1006),$AC$1006:$AS$1006,0))&gt;=100000), " ",IF(INDEX($AC$2:$AS$1001,MATCH(ROWS($V$2:V491),$V$2:$V$1001,0),MATCH(COLUMNS($AC$1006:AO1006),$AC$1006:$AS$1006,0)), HYPERLINK("#",""), HYPERLINK(CONCATENATE("#Metadata!", ADDRESS(INDEX($X$2:$X$1001,MATCH(ROWS($V$2:V491),$V$2:$V$1001,0),0), INDEX($AC$1004:$AS$1004,1,MATCH(COLUMNS($AC$1006:AO1006),$AC$1006:$AS$1006,0)))),"Fix")))</f>
        <v>0</v>
      </c>
      <c r="O491" s="5">
        <f>IF(OR(INDEX($W$2:$W$1001,MATCH(ROWS($V$2:V491),$V$2:$V$1001,0),1)&gt;=100000,INDEX($AC$1005:$AS$1005,1,MATCH(COLUMNS($AC$1006:AP1006),$AC$1006:$AS$1006,0))&gt;=100000), " ",IF(INDEX($AC$2:$AS$1001,MATCH(ROWS($V$2:V491),$V$2:$V$1001,0),MATCH(COLUMNS($AC$1006:AP1006),$AC$1006:$AS$1006,0)), HYPERLINK("#",""), HYPERLINK(CONCATENATE("#Metadata!", ADDRESS(INDEX($X$2:$X$1001,MATCH(ROWS($V$2:V491),$V$2:$V$1001,0),0), INDEX($AC$1004:$AS$1004,1,MATCH(COLUMNS($AC$1006:AP1006),$AC$1006:$AS$1006,0)))),"Fix")))</f>
        <v>0</v>
      </c>
      <c r="P491" s="5">
        <f>IF(OR(INDEX($W$2:$W$1001,MATCH(ROWS($V$2:V491),$V$2:$V$1001,0),1)&gt;=100000,INDEX($AC$1005:$AS$1005,1,MATCH(COLUMNS($AC$1006:AQ1006),$AC$1006:$AS$1006,0))&gt;=100000), " ",IF(INDEX($AC$2:$AS$1001,MATCH(ROWS($V$2:V491),$V$2:$V$1001,0),MATCH(COLUMNS($AC$1006:AQ1006),$AC$1006:$AS$1006,0)), HYPERLINK("#",""), HYPERLINK(CONCATENATE("#Metadata!", ADDRESS(INDEX($X$2:$X$1001,MATCH(ROWS($V$2:V491),$V$2:$V$1001,0),0), INDEX($AC$1004:$AS$1004,1,MATCH(COLUMNS($AC$1006:AQ1006),$AC$1006:$AS$1006,0)))),"Fix")))</f>
        <v>0</v>
      </c>
      <c r="Q491" s="5">
        <f>IF(OR(INDEX($W$2:$W$1001,MATCH(ROWS($V$2:V491),$V$2:$V$1001,0),1)&gt;=100000,INDEX($AC$1005:$AS$1005,1,MATCH(COLUMNS($AC$1006:AR1006),$AC$1006:$AS$1006,0))&gt;=100000), " ",IF(INDEX($AC$2:$AS$1001,MATCH(ROWS($V$2:V491),$V$2:$V$1001,0),MATCH(COLUMNS($AC$1006:AR1006),$AC$1006:$AS$1006,0)), HYPERLINK("#",""), HYPERLINK(CONCATENATE("#Metadata!", ADDRESS(INDEX($X$2:$X$1001,MATCH(ROWS($V$2:V491),$V$2:$V$1001,0),0), INDEX($AC$1004:$AS$1004,1,MATCH(COLUMNS($AC$1006:AR1006),$AC$1006:$AS$1006,0)))),"Fix")))</f>
        <v>0</v>
      </c>
      <c r="R491" s="5">
        <f>IF(OR(INDEX($W$2:$W$1001,MATCH(ROWS($V$2:V491),$V$2:$V$1001,0),1)&gt;=100000,INDEX($AC$1005:$AS$1005,1,MATCH(COLUMNS($AC$1006:AS1006),$AC$1006:$AS$1006,0))&gt;=100000), " ",IF(INDEX($AC$2:$AS$1001,MATCH(ROWS($V$2:V491),$V$2:$V$1001,0),MATCH(COLUMNS($AC$1006:AS1006),$AC$1006:$AS$1006,0)), HYPERLINK("#",""), HYPERLINK(CONCATENATE("#Metadata!", ADDRESS(INDEX($X$2:$X$1001,MATCH(ROWS($V$2:V491),$V$2:$V$1001,0),0), INDEX($AC$1004:$AS$1004,1,MATCH(COLUMNS($AC$1006:AS1006),$AC$1006:$AS$1006,0)))),"Fix")))</f>
        <v>0</v>
      </c>
      <c r="V491">
        <v>0</v>
      </c>
      <c r="W491">
        <v>0</v>
      </c>
      <c r="X491">
        <v>0</v>
      </c>
      <c r="Y491">
        <f>IF(Z491,TRUE,AND(AC491:AS491))</f>
        <v>0</v>
      </c>
      <c r="Z491">
        <f>COUNTBLANK(Metadata!B491:R491)=COLUMNS(Metadata!B491:R491)</f>
        <v>0</v>
      </c>
      <c r="AA491">
        <v>0</v>
      </c>
      <c r="AC491">
        <f>AND(IF(Metadata!B491="",FALSE,TRUE),COUNTIF(Metadata!B:B, Metadata!B491) = 1,NOT(ISERROR(SUMPRODUCT(SEARCH(MID(Metadata!B491,ROW(INDIRECT("1:"&amp;LEN(Metadata!B491))), 1),"0123456789abcdefghijklmnopqrstuvwxyzABCDEFGHIJKLMNOPQRSTUVWXYZ.")))))</f>
        <v>0</v>
      </c>
      <c r="AD491">
        <f>AND(IF(Metadata!C491="",FALSE,TRUE),exact(Metadata!C491,"Host-associated"))</f>
        <v>0</v>
      </c>
      <c r="AE491">
        <f>AND(IF(Metadata!D491="",FALSE,TRUE),OR(exact(Metadata!D491,"Animal"),exact(Metadata!D491,"Fungus"),exact(Metadata!D491,"Plant")))</f>
        <v>0</v>
      </c>
      <c r="AF491">
        <f>AND(IF(Metadata!E491="",FALSE,TRUE),OR(exact(Metadata!E491,"Plant secretion"),exact(Metadata!E491,"Plant rhizosphere"),exact(Metadata!E491,"Plant surface"),exact(Metadata!E491,"Plant corpus"),exact(Metadata!E491,"Fungus surface"),exact(Metadata!E491,"Fungus corpus"),exact(Metadata!E491,"Animal surface"),exact(Metadata!E491,"Animal proximal gut"),exact(Metadata!E491,"Animal corpus"),exact(Metadata!E491,"Animal distal gut"),exact(Metadata!E491,"Animal secretion")))</f>
        <v>0</v>
      </c>
      <c r="AG491">
        <f>OR(AND(IF(Metadata!F491="",FALSE,TRUE),OR(exact(Metadata!F491,"not collected"),exact(Metadata!F491,"not provided"),exact(Metadata!F491,"restricted access"))),AND(IF(Metadata!F491="",FALSE,TRUE),OR(exact(Metadata!F491,"organism-associated habitat"),exact(Metadata!F491,"plant-associated habitat"),exact(Metadata!F491,"animal-associated habitat"),exact(Metadata!F491,"insecta-associated habitat"),exact(Metadata!F491,"mammalia-associated habitat"),exact(Metadata!F491,"human-associated habitat"),exact(Metadata!F491,"livestock-associated habitat"))))</f>
        <v>0</v>
      </c>
      <c r="AH491">
        <f>AND(IF(Metadata!G491="",FALSE,TRUE),exact(Metadata!G491,"host-associated"))</f>
        <v>0</v>
      </c>
      <c r="AI491">
        <f>OR(AND(IF(Metadata!H491="",FALSE,TRUE),OR(exact(Metadata!H491,"not collected"),exact(Metadata!H491,"not provided"))),AND(IF(Metadata!H491="",FALSE,ISNUMBER(VALUE(Metadata!H491))),Metadata!H491&gt;0))</f>
        <v>0</v>
      </c>
      <c r="AJ491">
        <f>AND(IF(Metadata!I491="",FALSE,TRUE),exact(Metadata!I491,"years"))</f>
        <v>0</v>
      </c>
      <c r="AK491">
        <f>IF(Metadata!J491="",FALSE,TRUE)</f>
        <v>0</v>
      </c>
      <c r="AL491">
        <f>OR(AND(IF(Metadata!K491="",FALSE,TRUE),OR(exact(Metadata!K491,"not collected"),exact(Metadata!K491,"not provided"))),AND(IF(Metadata!K491="",FALSE,ISNUMBER(VALUE(Metadata!K491))),Metadata!K491&gt;0))</f>
        <v>0</v>
      </c>
      <c r="AM491">
        <f>AND(IF(Metadata!L491="",FALSE,TRUE),exact(Metadata!L491,"cm"))</f>
        <v>0</v>
      </c>
      <c r="AN491">
        <f>IF(Metadata!M491="",FALSE,TRUE)</f>
        <v>0</v>
      </c>
      <c r="AO491">
        <f>OR(AND(IF(Metadata!N491="",FALSE,TRUE),OR(exact(Metadata!N491,"not applicable"),exact(Metadata!N491,"not collected"),exact(Metadata!N491,"not provided"))),AND(IF(Metadata!N491="",FALSE,IF(ISERROR(INT(Metadata!N491)),FALSE,INT(Metadata!N491)=Metadata!N491)),Metadata!N491&gt;0))</f>
        <v>0</v>
      </c>
      <c r="AP491">
        <f>OR(AND(IF(Metadata!O491="",FALSE,TRUE),OR(exact(Metadata!O491,"not collected"),exact(Metadata!O491,"not provided"))),AND(IF(Metadata!O491="",FALSE,ISNUMBER(VALUE(Metadata!O491))),Metadata!O491&gt;0))</f>
        <v>0</v>
      </c>
      <c r="AQ491">
        <f>AND(IF(Metadata!P491="",FALSE,TRUE),exact(Metadata!P491,"kg"))</f>
        <v>0</v>
      </c>
      <c r="AR491">
        <f>OR(AND(IF(Metadata!Q491="",FALSE,TRUE),OR(exact(Metadata!Q491,"not applicable"),exact(Metadata!Q491,"not collected"),exact(Metadata!Q491,"not provided"),exact(Metadata!Q491,"restricted access"))),IF(Metadata!Q491="",FALSE,IF(ISERROR(INT(Metadata!Q491)),FALSE,INT(Metadata!Q491)=Metadata!Q491)))</f>
        <v>0</v>
      </c>
      <c r="AS491">
        <f>AND(IF(Metadata!R491="",FALSE,TRUE),exact(Metadata!R491,"Not applicable"))</f>
        <v>0</v>
      </c>
    </row>
    <row r="492" spans="1:45">
      <c r="A492" s="4">
        <f>IF(B492=" "," ",HYPERLINK(CONCATENATE("#metadata!",ADDRESS(INDEX($X$2:$X$1001,MATCH(ROWS($V$2:V492),$V$2:$V$1001,0),0),2)),INDEX($AA$2:$AA$1001,MATCH(ROWS($V$2:V492),$V$2:$V$1001,0),0)))</f>
        <v>0</v>
      </c>
      <c r="B492" s="5">
        <f>IF(OR(INDEX($W$2:$W$1001,MATCH(ROWS($V$2:V492),$V$2:$V$1001,0),1)&gt;=100000,INDEX($AC$1005:$AS$1005,1,MATCH(COLUMNS($AC$1006:AC1006),$AC$1006:$AS$1006,0))&gt;=100000), " ",IF(INDEX($AC$2:$AS$1001,MATCH(ROWS($V$2:V492),$V$2:$V$1001,0),MATCH(COLUMNS($AC$1006:AC1006),$AC$1006:$AS$1006,0)), HYPERLINK("#",""), HYPERLINK(CONCATENATE("#Metadata!", ADDRESS(INDEX($X$2:$X$1001,MATCH(ROWS($V$2:V492),$V$2:$V$1001,0),0), INDEX($AC$1004:$AS$1004,1,MATCH(COLUMNS($AC$1006:AC1006),$AC$1006:$AS$1006,0)))),"Fix")))</f>
        <v>0</v>
      </c>
      <c r="C492" s="5">
        <f>IF(OR(INDEX($W$2:$W$1001,MATCH(ROWS($V$2:V492),$V$2:$V$1001,0),1)&gt;=100000,INDEX($AC$1005:$AS$1005,1,MATCH(COLUMNS($AC$1006:AD1006),$AC$1006:$AS$1006,0))&gt;=100000), " ",IF(INDEX($AC$2:$AS$1001,MATCH(ROWS($V$2:V492),$V$2:$V$1001,0),MATCH(COLUMNS($AC$1006:AD1006),$AC$1006:$AS$1006,0)), HYPERLINK("#",""), HYPERLINK(CONCATENATE("#Metadata!", ADDRESS(INDEX($X$2:$X$1001,MATCH(ROWS($V$2:V492),$V$2:$V$1001,0),0), INDEX($AC$1004:$AS$1004,1,MATCH(COLUMNS($AC$1006:AD1006),$AC$1006:$AS$1006,0)))),"Fix")))</f>
        <v>0</v>
      </c>
      <c r="D492" s="5">
        <f>IF(OR(INDEX($W$2:$W$1001,MATCH(ROWS($V$2:V492),$V$2:$V$1001,0),1)&gt;=100000,INDEX($AC$1005:$AS$1005,1,MATCH(COLUMNS($AC$1006:AE1006),$AC$1006:$AS$1006,0))&gt;=100000), " ",IF(INDEX($AC$2:$AS$1001,MATCH(ROWS($V$2:V492),$V$2:$V$1001,0),MATCH(COLUMNS($AC$1006:AE1006),$AC$1006:$AS$1006,0)), HYPERLINK("#",""), HYPERLINK(CONCATENATE("#Metadata!", ADDRESS(INDEX($X$2:$X$1001,MATCH(ROWS($V$2:V492),$V$2:$V$1001,0),0), INDEX($AC$1004:$AS$1004,1,MATCH(COLUMNS($AC$1006:AE1006),$AC$1006:$AS$1006,0)))),"Fix")))</f>
        <v>0</v>
      </c>
      <c r="E492" s="5">
        <f>IF(OR(INDEX($W$2:$W$1001,MATCH(ROWS($V$2:V492),$V$2:$V$1001,0),1)&gt;=100000,INDEX($AC$1005:$AS$1005,1,MATCH(COLUMNS($AC$1006:AF1006),$AC$1006:$AS$1006,0))&gt;=100000), " ",IF(INDEX($AC$2:$AS$1001,MATCH(ROWS($V$2:V492),$V$2:$V$1001,0),MATCH(COLUMNS($AC$1006:AF1006),$AC$1006:$AS$1006,0)), HYPERLINK("#",""), HYPERLINK(CONCATENATE("#Metadata!", ADDRESS(INDEX($X$2:$X$1001,MATCH(ROWS($V$2:V492),$V$2:$V$1001,0),0), INDEX($AC$1004:$AS$1004,1,MATCH(COLUMNS($AC$1006:AF1006),$AC$1006:$AS$1006,0)))),"Fix")))</f>
        <v>0</v>
      </c>
      <c r="F492" s="5">
        <f>IF(OR(INDEX($W$2:$W$1001,MATCH(ROWS($V$2:V492),$V$2:$V$1001,0),1)&gt;=100000,INDEX($AC$1005:$AS$1005,1,MATCH(COLUMNS($AC$1006:AG1006),$AC$1006:$AS$1006,0))&gt;=100000), " ",IF(INDEX($AC$2:$AS$1001,MATCH(ROWS($V$2:V492),$V$2:$V$1001,0),MATCH(COLUMNS($AC$1006:AG1006),$AC$1006:$AS$1006,0)), HYPERLINK("#",""), HYPERLINK(CONCATENATE("#Metadata!", ADDRESS(INDEX($X$2:$X$1001,MATCH(ROWS($V$2:V492),$V$2:$V$1001,0),0), INDEX($AC$1004:$AS$1004,1,MATCH(COLUMNS($AC$1006:AG1006),$AC$1006:$AS$1006,0)))),"Fix")))</f>
        <v>0</v>
      </c>
      <c r="G492" s="5">
        <f>IF(OR(INDEX($W$2:$W$1001,MATCH(ROWS($V$2:V492),$V$2:$V$1001,0),1)&gt;=100000,INDEX($AC$1005:$AS$1005,1,MATCH(COLUMNS($AC$1006:AH1006),$AC$1006:$AS$1006,0))&gt;=100000), " ",IF(INDEX($AC$2:$AS$1001,MATCH(ROWS($V$2:V492),$V$2:$V$1001,0),MATCH(COLUMNS($AC$1006:AH1006),$AC$1006:$AS$1006,0)), HYPERLINK("#",""), HYPERLINK(CONCATENATE("#Metadata!", ADDRESS(INDEX($X$2:$X$1001,MATCH(ROWS($V$2:V492),$V$2:$V$1001,0),0), INDEX($AC$1004:$AS$1004,1,MATCH(COLUMNS($AC$1006:AH1006),$AC$1006:$AS$1006,0)))),"Fix")))</f>
        <v>0</v>
      </c>
      <c r="H492" s="5">
        <f>IF(OR(INDEX($W$2:$W$1001,MATCH(ROWS($V$2:V492),$V$2:$V$1001,0),1)&gt;=100000,INDEX($AC$1005:$AS$1005,1,MATCH(COLUMNS($AC$1006:AI1006),$AC$1006:$AS$1006,0))&gt;=100000), " ",IF(INDEX($AC$2:$AS$1001,MATCH(ROWS($V$2:V492),$V$2:$V$1001,0),MATCH(COLUMNS($AC$1006:AI1006),$AC$1006:$AS$1006,0)), HYPERLINK("#",""), HYPERLINK(CONCATENATE("#Metadata!", ADDRESS(INDEX($X$2:$X$1001,MATCH(ROWS($V$2:V492),$V$2:$V$1001,0),0), INDEX($AC$1004:$AS$1004,1,MATCH(COLUMNS($AC$1006:AI1006),$AC$1006:$AS$1006,0)))),"Fix")))</f>
        <v>0</v>
      </c>
      <c r="I492" s="5">
        <f>IF(OR(INDEX($W$2:$W$1001,MATCH(ROWS($V$2:V492),$V$2:$V$1001,0),1)&gt;=100000,INDEX($AC$1005:$AS$1005,1,MATCH(COLUMNS($AC$1006:AJ1006),$AC$1006:$AS$1006,0))&gt;=100000), " ",IF(INDEX($AC$2:$AS$1001,MATCH(ROWS($V$2:V492),$V$2:$V$1001,0),MATCH(COLUMNS($AC$1006:AJ1006),$AC$1006:$AS$1006,0)), HYPERLINK("#",""), HYPERLINK(CONCATENATE("#Metadata!", ADDRESS(INDEX($X$2:$X$1001,MATCH(ROWS($V$2:V492),$V$2:$V$1001,0),0), INDEX($AC$1004:$AS$1004,1,MATCH(COLUMNS($AC$1006:AJ1006),$AC$1006:$AS$1006,0)))),"Fix")))</f>
        <v>0</v>
      </c>
      <c r="J492" s="5">
        <f>IF(OR(INDEX($W$2:$W$1001,MATCH(ROWS($V$2:V492),$V$2:$V$1001,0),1)&gt;=100000,INDEX($AC$1005:$AS$1005,1,MATCH(COLUMNS($AC$1006:AK1006),$AC$1006:$AS$1006,0))&gt;=100000), " ",IF(INDEX($AC$2:$AS$1001,MATCH(ROWS($V$2:V492),$V$2:$V$1001,0),MATCH(COLUMNS($AC$1006:AK1006),$AC$1006:$AS$1006,0)), HYPERLINK("#",""), HYPERLINK(CONCATENATE("#Metadata!", ADDRESS(INDEX($X$2:$X$1001,MATCH(ROWS($V$2:V492),$V$2:$V$1001,0),0), INDEX($AC$1004:$AS$1004,1,MATCH(COLUMNS($AC$1006:AK1006),$AC$1006:$AS$1006,0)))),"Fix")))</f>
        <v>0</v>
      </c>
      <c r="K492" s="5">
        <f>IF(OR(INDEX($W$2:$W$1001,MATCH(ROWS($V$2:V492),$V$2:$V$1001,0),1)&gt;=100000,INDEX($AC$1005:$AS$1005,1,MATCH(COLUMNS($AC$1006:AL1006),$AC$1006:$AS$1006,0))&gt;=100000), " ",IF(INDEX($AC$2:$AS$1001,MATCH(ROWS($V$2:V492),$V$2:$V$1001,0),MATCH(COLUMNS($AC$1006:AL1006),$AC$1006:$AS$1006,0)), HYPERLINK("#",""), HYPERLINK(CONCATENATE("#Metadata!", ADDRESS(INDEX($X$2:$X$1001,MATCH(ROWS($V$2:V492),$V$2:$V$1001,0),0), INDEX($AC$1004:$AS$1004,1,MATCH(COLUMNS($AC$1006:AL1006),$AC$1006:$AS$1006,0)))),"Fix")))</f>
        <v>0</v>
      </c>
      <c r="L492" s="5">
        <f>IF(OR(INDEX($W$2:$W$1001,MATCH(ROWS($V$2:V492),$V$2:$V$1001,0),1)&gt;=100000,INDEX($AC$1005:$AS$1005,1,MATCH(COLUMNS($AC$1006:AM1006),$AC$1006:$AS$1006,0))&gt;=100000), " ",IF(INDEX($AC$2:$AS$1001,MATCH(ROWS($V$2:V492),$V$2:$V$1001,0),MATCH(COLUMNS($AC$1006:AM1006),$AC$1006:$AS$1006,0)), HYPERLINK("#",""), HYPERLINK(CONCATENATE("#Metadata!", ADDRESS(INDEX($X$2:$X$1001,MATCH(ROWS($V$2:V492),$V$2:$V$1001,0),0), INDEX($AC$1004:$AS$1004,1,MATCH(COLUMNS($AC$1006:AM1006),$AC$1006:$AS$1006,0)))),"Fix")))</f>
        <v>0</v>
      </c>
      <c r="M492" s="5">
        <f>IF(OR(INDEX($W$2:$W$1001,MATCH(ROWS($V$2:V492),$V$2:$V$1001,0),1)&gt;=100000,INDEX($AC$1005:$AS$1005,1,MATCH(COLUMNS($AC$1006:AN1006),$AC$1006:$AS$1006,0))&gt;=100000), " ",IF(INDEX($AC$2:$AS$1001,MATCH(ROWS($V$2:V492),$V$2:$V$1001,0),MATCH(COLUMNS($AC$1006:AN1006),$AC$1006:$AS$1006,0)), HYPERLINK("#",""), HYPERLINK(CONCATENATE("#Metadata!", ADDRESS(INDEX($X$2:$X$1001,MATCH(ROWS($V$2:V492),$V$2:$V$1001,0),0), INDEX($AC$1004:$AS$1004,1,MATCH(COLUMNS($AC$1006:AN1006),$AC$1006:$AS$1006,0)))),"Fix")))</f>
        <v>0</v>
      </c>
      <c r="N492" s="5">
        <f>IF(OR(INDEX($W$2:$W$1001,MATCH(ROWS($V$2:V492),$V$2:$V$1001,0),1)&gt;=100000,INDEX($AC$1005:$AS$1005,1,MATCH(COLUMNS($AC$1006:AO1006),$AC$1006:$AS$1006,0))&gt;=100000), " ",IF(INDEX($AC$2:$AS$1001,MATCH(ROWS($V$2:V492),$V$2:$V$1001,0),MATCH(COLUMNS($AC$1006:AO1006),$AC$1006:$AS$1006,0)), HYPERLINK("#",""), HYPERLINK(CONCATENATE("#Metadata!", ADDRESS(INDEX($X$2:$X$1001,MATCH(ROWS($V$2:V492),$V$2:$V$1001,0),0), INDEX($AC$1004:$AS$1004,1,MATCH(COLUMNS($AC$1006:AO1006),$AC$1006:$AS$1006,0)))),"Fix")))</f>
        <v>0</v>
      </c>
      <c r="O492" s="5">
        <f>IF(OR(INDEX($W$2:$W$1001,MATCH(ROWS($V$2:V492),$V$2:$V$1001,0),1)&gt;=100000,INDEX($AC$1005:$AS$1005,1,MATCH(COLUMNS($AC$1006:AP1006),$AC$1006:$AS$1006,0))&gt;=100000), " ",IF(INDEX($AC$2:$AS$1001,MATCH(ROWS($V$2:V492),$V$2:$V$1001,0),MATCH(COLUMNS($AC$1006:AP1006),$AC$1006:$AS$1006,0)), HYPERLINK("#",""), HYPERLINK(CONCATENATE("#Metadata!", ADDRESS(INDEX($X$2:$X$1001,MATCH(ROWS($V$2:V492),$V$2:$V$1001,0),0), INDEX($AC$1004:$AS$1004,1,MATCH(COLUMNS($AC$1006:AP1006),$AC$1006:$AS$1006,0)))),"Fix")))</f>
        <v>0</v>
      </c>
      <c r="P492" s="5">
        <f>IF(OR(INDEX($W$2:$W$1001,MATCH(ROWS($V$2:V492),$V$2:$V$1001,0),1)&gt;=100000,INDEX($AC$1005:$AS$1005,1,MATCH(COLUMNS($AC$1006:AQ1006),$AC$1006:$AS$1006,0))&gt;=100000), " ",IF(INDEX($AC$2:$AS$1001,MATCH(ROWS($V$2:V492),$V$2:$V$1001,0),MATCH(COLUMNS($AC$1006:AQ1006),$AC$1006:$AS$1006,0)), HYPERLINK("#",""), HYPERLINK(CONCATENATE("#Metadata!", ADDRESS(INDEX($X$2:$X$1001,MATCH(ROWS($V$2:V492),$V$2:$V$1001,0),0), INDEX($AC$1004:$AS$1004,1,MATCH(COLUMNS($AC$1006:AQ1006),$AC$1006:$AS$1006,0)))),"Fix")))</f>
        <v>0</v>
      </c>
      <c r="Q492" s="5">
        <f>IF(OR(INDEX($W$2:$W$1001,MATCH(ROWS($V$2:V492),$V$2:$V$1001,0),1)&gt;=100000,INDEX($AC$1005:$AS$1005,1,MATCH(COLUMNS($AC$1006:AR1006),$AC$1006:$AS$1006,0))&gt;=100000), " ",IF(INDEX($AC$2:$AS$1001,MATCH(ROWS($V$2:V492),$V$2:$V$1001,0),MATCH(COLUMNS($AC$1006:AR1006),$AC$1006:$AS$1006,0)), HYPERLINK("#",""), HYPERLINK(CONCATENATE("#Metadata!", ADDRESS(INDEX($X$2:$X$1001,MATCH(ROWS($V$2:V492),$V$2:$V$1001,0),0), INDEX($AC$1004:$AS$1004,1,MATCH(COLUMNS($AC$1006:AR1006),$AC$1006:$AS$1006,0)))),"Fix")))</f>
        <v>0</v>
      </c>
      <c r="R492" s="5">
        <f>IF(OR(INDEX($W$2:$W$1001,MATCH(ROWS($V$2:V492),$V$2:$V$1001,0),1)&gt;=100000,INDEX($AC$1005:$AS$1005,1,MATCH(COLUMNS($AC$1006:AS1006),$AC$1006:$AS$1006,0))&gt;=100000), " ",IF(INDEX($AC$2:$AS$1001,MATCH(ROWS($V$2:V492),$V$2:$V$1001,0),MATCH(COLUMNS($AC$1006:AS1006),$AC$1006:$AS$1006,0)), HYPERLINK("#",""), HYPERLINK(CONCATENATE("#Metadata!", ADDRESS(INDEX($X$2:$X$1001,MATCH(ROWS($V$2:V492),$V$2:$V$1001,0),0), INDEX($AC$1004:$AS$1004,1,MATCH(COLUMNS($AC$1006:AS1006),$AC$1006:$AS$1006,0)))),"Fix")))</f>
        <v>0</v>
      </c>
      <c r="V492">
        <v>0</v>
      </c>
      <c r="W492">
        <v>0</v>
      </c>
      <c r="X492">
        <v>0</v>
      </c>
      <c r="Y492">
        <f>IF(Z492,TRUE,AND(AC492:AS492))</f>
        <v>0</v>
      </c>
      <c r="Z492">
        <f>COUNTBLANK(Metadata!B492:R492)=COLUMNS(Metadata!B492:R492)</f>
        <v>0</v>
      </c>
      <c r="AA492">
        <v>0</v>
      </c>
      <c r="AC492">
        <f>AND(IF(Metadata!B492="",FALSE,TRUE),COUNTIF(Metadata!B:B, Metadata!B492) = 1,NOT(ISERROR(SUMPRODUCT(SEARCH(MID(Metadata!B492,ROW(INDIRECT("1:"&amp;LEN(Metadata!B492))), 1),"0123456789abcdefghijklmnopqrstuvwxyzABCDEFGHIJKLMNOPQRSTUVWXYZ.")))))</f>
        <v>0</v>
      </c>
      <c r="AD492">
        <f>AND(IF(Metadata!C492="",FALSE,TRUE),exact(Metadata!C492,"Host-associated"))</f>
        <v>0</v>
      </c>
      <c r="AE492">
        <f>AND(IF(Metadata!D492="",FALSE,TRUE),OR(exact(Metadata!D492,"Animal"),exact(Metadata!D492,"Fungus"),exact(Metadata!D492,"Plant")))</f>
        <v>0</v>
      </c>
      <c r="AF492">
        <f>AND(IF(Metadata!E492="",FALSE,TRUE),OR(exact(Metadata!E492,"Plant secretion"),exact(Metadata!E492,"Plant rhizosphere"),exact(Metadata!E492,"Plant surface"),exact(Metadata!E492,"Plant corpus"),exact(Metadata!E492,"Fungus surface"),exact(Metadata!E492,"Fungus corpus"),exact(Metadata!E492,"Animal surface"),exact(Metadata!E492,"Animal proximal gut"),exact(Metadata!E492,"Animal corpus"),exact(Metadata!E492,"Animal distal gut"),exact(Metadata!E492,"Animal secretion")))</f>
        <v>0</v>
      </c>
      <c r="AG492">
        <f>OR(AND(IF(Metadata!F492="",FALSE,TRUE),OR(exact(Metadata!F492,"not collected"),exact(Metadata!F492,"not provided"),exact(Metadata!F492,"restricted access"))),AND(IF(Metadata!F492="",FALSE,TRUE),OR(exact(Metadata!F492,"organism-associated habitat"),exact(Metadata!F492,"plant-associated habitat"),exact(Metadata!F492,"animal-associated habitat"),exact(Metadata!F492,"insecta-associated habitat"),exact(Metadata!F492,"mammalia-associated habitat"),exact(Metadata!F492,"human-associated habitat"),exact(Metadata!F492,"livestock-associated habitat"))))</f>
        <v>0</v>
      </c>
      <c r="AH492">
        <f>AND(IF(Metadata!G492="",FALSE,TRUE),exact(Metadata!G492,"host-associated"))</f>
        <v>0</v>
      </c>
      <c r="AI492">
        <f>OR(AND(IF(Metadata!H492="",FALSE,TRUE),OR(exact(Metadata!H492,"not collected"),exact(Metadata!H492,"not provided"))),AND(IF(Metadata!H492="",FALSE,ISNUMBER(VALUE(Metadata!H492))),Metadata!H492&gt;0))</f>
        <v>0</v>
      </c>
      <c r="AJ492">
        <f>AND(IF(Metadata!I492="",FALSE,TRUE),exact(Metadata!I492,"years"))</f>
        <v>0</v>
      </c>
      <c r="AK492">
        <f>IF(Metadata!J492="",FALSE,TRUE)</f>
        <v>0</v>
      </c>
      <c r="AL492">
        <f>OR(AND(IF(Metadata!K492="",FALSE,TRUE),OR(exact(Metadata!K492,"not collected"),exact(Metadata!K492,"not provided"))),AND(IF(Metadata!K492="",FALSE,ISNUMBER(VALUE(Metadata!K492))),Metadata!K492&gt;0))</f>
        <v>0</v>
      </c>
      <c r="AM492">
        <f>AND(IF(Metadata!L492="",FALSE,TRUE),exact(Metadata!L492,"cm"))</f>
        <v>0</v>
      </c>
      <c r="AN492">
        <f>IF(Metadata!M492="",FALSE,TRUE)</f>
        <v>0</v>
      </c>
      <c r="AO492">
        <f>OR(AND(IF(Metadata!N492="",FALSE,TRUE),OR(exact(Metadata!N492,"not applicable"),exact(Metadata!N492,"not collected"),exact(Metadata!N492,"not provided"))),AND(IF(Metadata!N492="",FALSE,IF(ISERROR(INT(Metadata!N492)),FALSE,INT(Metadata!N492)=Metadata!N492)),Metadata!N492&gt;0))</f>
        <v>0</v>
      </c>
      <c r="AP492">
        <f>OR(AND(IF(Metadata!O492="",FALSE,TRUE),OR(exact(Metadata!O492,"not collected"),exact(Metadata!O492,"not provided"))),AND(IF(Metadata!O492="",FALSE,ISNUMBER(VALUE(Metadata!O492))),Metadata!O492&gt;0))</f>
        <v>0</v>
      </c>
      <c r="AQ492">
        <f>AND(IF(Metadata!P492="",FALSE,TRUE),exact(Metadata!P492,"kg"))</f>
        <v>0</v>
      </c>
      <c r="AR492">
        <f>OR(AND(IF(Metadata!Q492="",FALSE,TRUE),OR(exact(Metadata!Q492,"not applicable"),exact(Metadata!Q492,"not collected"),exact(Metadata!Q492,"not provided"),exact(Metadata!Q492,"restricted access"))),IF(Metadata!Q492="",FALSE,IF(ISERROR(INT(Metadata!Q492)),FALSE,INT(Metadata!Q492)=Metadata!Q492)))</f>
        <v>0</v>
      </c>
      <c r="AS492">
        <f>AND(IF(Metadata!R492="",FALSE,TRUE),exact(Metadata!R492,"Not applicable"))</f>
        <v>0</v>
      </c>
    </row>
    <row r="493" spans="1:45">
      <c r="A493" s="4">
        <f>IF(B493=" "," ",HYPERLINK(CONCATENATE("#metadata!",ADDRESS(INDEX($X$2:$X$1001,MATCH(ROWS($V$2:V493),$V$2:$V$1001,0),0),2)),INDEX($AA$2:$AA$1001,MATCH(ROWS($V$2:V493),$V$2:$V$1001,0),0)))</f>
        <v>0</v>
      </c>
      <c r="B493" s="5">
        <f>IF(OR(INDEX($W$2:$W$1001,MATCH(ROWS($V$2:V493),$V$2:$V$1001,0),1)&gt;=100000,INDEX($AC$1005:$AS$1005,1,MATCH(COLUMNS($AC$1006:AC1006),$AC$1006:$AS$1006,0))&gt;=100000), " ",IF(INDEX($AC$2:$AS$1001,MATCH(ROWS($V$2:V493),$V$2:$V$1001,0),MATCH(COLUMNS($AC$1006:AC1006),$AC$1006:$AS$1006,0)), HYPERLINK("#",""), HYPERLINK(CONCATENATE("#Metadata!", ADDRESS(INDEX($X$2:$X$1001,MATCH(ROWS($V$2:V493),$V$2:$V$1001,0),0), INDEX($AC$1004:$AS$1004,1,MATCH(COLUMNS($AC$1006:AC1006),$AC$1006:$AS$1006,0)))),"Fix")))</f>
        <v>0</v>
      </c>
      <c r="C493" s="5">
        <f>IF(OR(INDEX($W$2:$W$1001,MATCH(ROWS($V$2:V493),$V$2:$V$1001,0),1)&gt;=100000,INDEX($AC$1005:$AS$1005,1,MATCH(COLUMNS($AC$1006:AD1006),$AC$1006:$AS$1006,0))&gt;=100000), " ",IF(INDEX($AC$2:$AS$1001,MATCH(ROWS($V$2:V493),$V$2:$V$1001,0),MATCH(COLUMNS($AC$1006:AD1006),$AC$1006:$AS$1006,0)), HYPERLINK("#",""), HYPERLINK(CONCATENATE("#Metadata!", ADDRESS(INDEX($X$2:$X$1001,MATCH(ROWS($V$2:V493),$V$2:$V$1001,0),0), INDEX($AC$1004:$AS$1004,1,MATCH(COLUMNS($AC$1006:AD1006),$AC$1006:$AS$1006,0)))),"Fix")))</f>
        <v>0</v>
      </c>
      <c r="D493" s="5">
        <f>IF(OR(INDEX($W$2:$W$1001,MATCH(ROWS($V$2:V493),$V$2:$V$1001,0),1)&gt;=100000,INDEX($AC$1005:$AS$1005,1,MATCH(COLUMNS($AC$1006:AE1006),$AC$1006:$AS$1006,0))&gt;=100000), " ",IF(INDEX($AC$2:$AS$1001,MATCH(ROWS($V$2:V493),$V$2:$V$1001,0),MATCH(COLUMNS($AC$1006:AE1006),$AC$1006:$AS$1006,0)), HYPERLINK("#",""), HYPERLINK(CONCATENATE("#Metadata!", ADDRESS(INDEX($X$2:$X$1001,MATCH(ROWS($V$2:V493),$V$2:$V$1001,0),0), INDEX($AC$1004:$AS$1004,1,MATCH(COLUMNS($AC$1006:AE1006),$AC$1006:$AS$1006,0)))),"Fix")))</f>
        <v>0</v>
      </c>
      <c r="E493" s="5">
        <f>IF(OR(INDEX($W$2:$W$1001,MATCH(ROWS($V$2:V493),$V$2:$V$1001,0),1)&gt;=100000,INDEX($AC$1005:$AS$1005,1,MATCH(COLUMNS($AC$1006:AF1006),$AC$1006:$AS$1006,0))&gt;=100000), " ",IF(INDEX($AC$2:$AS$1001,MATCH(ROWS($V$2:V493),$V$2:$V$1001,0),MATCH(COLUMNS($AC$1006:AF1006),$AC$1006:$AS$1006,0)), HYPERLINK("#",""), HYPERLINK(CONCATENATE("#Metadata!", ADDRESS(INDEX($X$2:$X$1001,MATCH(ROWS($V$2:V493),$V$2:$V$1001,0),0), INDEX($AC$1004:$AS$1004,1,MATCH(COLUMNS($AC$1006:AF1006),$AC$1006:$AS$1006,0)))),"Fix")))</f>
        <v>0</v>
      </c>
      <c r="F493" s="5">
        <f>IF(OR(INDEX($W$2:$W$1001,MATCH(ROWS($V$2:V493),$V$2:$V$1001,0),1)&gt;=100000,INDEX($AC$1005:$AS$1005,1,MATCH(COLUMNS($AC$1006:AG1006),$AC$1006:$AS$1006,0))&gt;=100000), " ",IF(INDEX($AC$2:$AS$1001,MATCH(ROWS($V$2:V493),$V$2:$V$1001,0),MATCH(COLUMNS($AC$1006:AG1006),$AC$1006:$AS$1006,0)), HYPERLINK("#",""), HYPERLINK(CONCATENATE("#Metadata!", ADDRESS(INDEX($X$2:$X$1001,MATCH(ROWS($V$2:V493),$V$2:$V$1001,0),0), INDEX($AC$1004:$AS$1004,1,MATCH(COLUMNS($AC$1006:AG1006),$AC$1006:$AS$1006,0)))),"Fix")))</f>
        <v>0</v>
      </c>
      <c r="G493" s="5">
        <f>IF(OR(INDEX($W$2:$W$1001,MATCH(ROWS($V$2:V493),$V$2:$V$1001,0),1)&gt;=100000,INDEX($AC$1005:$AS$1005,1,MATCH(COLUMNS($AC$1006:AH1006),$AC$1006:$AS$1006,0))&gt;=100000), " ",IF(INDEX($AC$2:$AS$1001,MATCH(ROWS($V$2:V493),$V$2:$V$1001,0),MATCH(COLUMNS($AC$1006:AH1006),$AC$1006:$AS$1006,0)), HYPERLINK("#",""), HYPERLINK(CONCATENATE("#Metadata!", ADDRESS(INDEX($X$2:$X$1001,MATCH(ROWS($V$2:V493),$V$2:$V$1001,0),0), INDEX($AC$1004:$AS$1004,1,MATCH(COLUMNS($AC$1006:AH1006),$AC$1006:$AS$1006,0)))),"Fix")))</f>
        <v>0</v>
      </c>
      <c r="H493" s="5">
        <f>IF(OR(INDEX($W$2:$W$1001,MATCH(ROWS($V$2:V493),$V$2:$V$1001,0),1)&gt;=100000,INDEX($AC$1005:$AS$1005,1,MATCH(COLUMNS($AC$1006:AI1006),$AC$1006:$AS$1006,0))&gt;=100000), " ",IF(INDEX($AC$2:$AS$1001,MATCH(ROWS($V$2:V493),$V$2:$V$1001,0),MATCH(COLUMNS($AC$1006:AI1006),$AC$1006:$AS$1006,0)), HYPERLINK("#",""), HYPERLINK(CONCATENATE("#Metadata!", ADDRESS(INDEX($X$2:$X$1001,MATCH(ROWS($V$2:V493),$V$2:$V$1001,0),0), INDEX($AC$1004:$AS$1004,1,MATCH(COLUMNS($AC$1006:AI1006),$AC$1006:$AS$1006,0)))),"Fix")))</f>
        <v>0</v>
      </c>
      <c r="I493" s="5">
        <f>IF(OR(INDEX($W$2:$W$1001,MATCH(ROWS($V$2:V493),$V$2:$V$1001,0),1)&gt;=100000,INDEX($AC$1005:$AS$1005,1,MATCH(COLUMNS($AC$1006:AJ1006),$AC$1006:$AS$1006,0))&gt;=100000), " ",IF(INDEX($AC$2:$AS$1001,MATCH(ROWS($V$2:V493),$V$2:$V$1001,0),MATCH(COLUMNS($AC$1006:AJ1006),$AC$1006:$AS$1006,0)), HYPERLINK("#",""), HYPERLINK(CONCATENATE("#Metadata!", ADDRESS(INDEX($X$2:$X$1001,MATCH(ROWS($V$2:V493),$V$2:$V$1001,0),0), INDEX($AC$1004:$AS$1004,1,MATCH(COLUMNS($AC$1006:AJ1006),$AC$1006:$AS$1006,0)))),"Fix")))</f>
        <v>0</v>
      </c>
      <c r="J493" s="5">
        <f>IF(OR(INDEX($W$2:$W$1001,MATCH(ROWS($V$2:V493),$V$2:$V$1001,0),1)&gt;=100000,INDEX($AC$1005:$AS$1005,1,MATCH(COLUMNS($AC$1006:AK1006),$AC$1006:$AS$1006,0))&gt;=100000), " ",IF(INDEX($AC$2:$AS$1001,MATCH(ROWS($V$2:V493),$V$2:$V$1001,0),MATCH(COLUMNS($AC$1006:AK1006),$AC$1006:$AS$1006,0)), HYPERLINK("#",""), HYPERLINK(CONCATENATE("#Metadata!", ADDRESS(INDEX($X$2:$X$1001,MATCH(ROWS($V$2:V493),$V$2:$V$1001,0),0), INDEX($AC$1004:$AS$1004,1,MATCH(COLUMNS($AC$1006:AK1006),$AC$1006:$AS$1006,0)))),"Fix")))</f>
        <v>0</v>
      </c>
      <c r="K493" s="5">
        <f>IF(OR(INDEX($W$2:$W$1001,MATCH(ROWS($V$2:V493),$V$2:$V$1001,0),1)&gt;=100000,INDEX($AC$1005:$AS$1005,1,MATCH(COLUMNS($AC$1006:AL1006),$AC$1006:$AS$1006,0))&gt;=100000), " ",IF(INDEX($AC$2:$AS$1001,MATCH(ROWS($V$2:V493),$V$2:$V$1001,0),MATCH(COLUMNS($AC$1006:AL1006),$AC$1006:$AS$1006,0)), HYPERLINK("#",""), HYPERLINK(CONCATENATE("#Metadata!", ADDRESS(INDEX($X$2:$X$1001,MATCH(ROWS($V$2:V493),$V$2:$V$1001,0),0), INDEX($AC$1004:$AS$1004,1,MATCH(COLUMNS($AC$1006:AL1006),$AC$1006:$AS$1006,0)))),"Fix")))</f>
        <v>0</v>
      </c>
      <c r="L493" s="5">
        <f>IF(OR(INDEX($W$2:$W$1001,MATCH(ROWS($V$2:V493),$V$2:$V$1001,0),1)&gt;=100000,INDEX($AC$1005:$AS$1005,1,MATCH(COLUMNS($AC$1006:AM1006),$AC$1006:$AS$1006,0))&gt;=100000), " ",IF(INDEX($AC$2:$AS$1001,MATCH(ROWS($V$2:V493),$V$2:$V$1001,0),MATCH(COLUMNS($AC$1006:AM1006),$AC$1006:$AS$1006,0)), HYPERLINK("#",""), HYPERLINK(CONCATENATE("#Metadata!", ADDRESS(INDEX($X$2:$X$1001,MATCH(ROWS($V$2:V493),$V$2:$V$1001,0),0), INDEX($AC$1004:$AS$1004,1,MATCH(COLUMNS($AC$1006:AM1006),$AC$1006:$AS$1006,0)))),"Fix")))</f>
        <v>0</v>
      </c>
      <c r="M493" s="5">
        <f>IF(OR(INDEX($W$2:$W$1001,MATCH(ROWS($V$2:V493),$V$2:$V$1001,0),1)&gt;=100000,INDEX($AC$1005:$AS$1005,1,MATCH(COLUMNS($AC$1006:AN1006),$AC$1006:$AS$1006,0))&gt;=100000), " ",IF(INDEX($AC$2:$AS$1001,MATCH(ROWS($V$2:V493),$V$2:$V$1001,0),MATCH(COLUMNS($AC$1006:AN1006),$AC$1006:$AS$1006,0)), HYPERLINK("#",""), HYPERLINK(CONCATENATE("#Metadata!", ADDRESS(INDEX($X$2:$X$1001,MATCH(ROWS($V$2:V493),$V$2:$V$1001,0),0), INDEX($AC$1004:$AS$1004,1,MATCH(COLUMNS($AC$1006:AN1006),$AC$1006:$AS$1006,0)))),"Fix")))</f>
        <v>0</v>
      </c>
      <c r="N493" s="5">
        <f>IF(OR(INDEX($W$2:$W$1001,MATCH(ROWS($V$2:V493),$V$2:$V$1001,0),1)&gt;=100000,INDEX($AC$1005:$AS$1005,1,MATCH(COLUMNS($AC$1006:AO1006),$AC$1006:$AS$1006,0))&gt;=100000), " ",IF(INDEX($AC$2:$AS$1001,MATCH(ROWS($V$2:V493),$V$2:$V$1001,0),MATCH(COLUMNS($AC$1006:AO1006),$AC$1006:$AS$1006,0)), HYPERLINK("#",""), HYPERLINK(CONCATENATE("#Metadata!", ADDRESS(INDEX($X$2:$X$1001,MATCH(ROWS($V$2:V493),$V$2:$V$1001,0),0), INDEX($AC$1004:$AS$1004,1,MATCH(COLUMNS($AC$1006:AO1006),$AC$1006:$AS$1006,0)))),"Fix")))</f>
        <v>0</v>
      </c>
      <c r="O493" s="5">
        <f>IF(OR(INDEX($W$2:$W$1001,MATCH(ROWS($V$2:V493),$V$2:$V$1001,0),1)&gt;=100000,INDEX($AC$1005:$AS$1005,1,MATCH(COLUMNS($AC$1006:AP1006),$AC$1006:$AS$1006,0))&gt;=100000), " ",IF(INDEX($AC$2:$AS$1001,MATCH(ROWS($V$2:V493),$V$2:$V$1001,0),MATCH(COLUMNS($AC$1006:AP1006),$AC$1006:$AS$1006,0)), HYPERLINK("#",""), HYPERLINK(CONCATENATE("#Metadata!", ADDRESS(INDEX($X$2:$X$1001,MATCH(ROWS($V$2:V493),$V$2:$V$1001,0),0), INDEX($AC$1004:$AS$1004,1,MATCH(COLUMNS($AC$1006:AP1006),$AC$1006:$AS$1006,0)))),"Fix")))</f>
        <v>0</v>
      </c>
      <c r="P493" s="5">
        <f>IF(OR(INDEX($W$2:$W$1001,MATCH(ROWS($V$2:V493),$V$2:$V$1001,0),1)&gt;=100000,INDEX($AC$1005:$AS$1005,1,MATCH(COLUMNS($AC$1006:AQ1006),$AC$1006:$AS$1006,0))&gt;=100000), " ",IF(INDEX($AC$2:$AS$1001,MATCH(ROWS($V$2:V493),$V$2:$V$1001,0),MATCH(COLUMNS($AC$1006:AQ1006),$AC$1006:$AS$1006,0)), HYPERLINK("#",""), HYPERLINK(CONCATENATE("#Metadata!", ADDRESS(INDEX($X$2:$X$1001,MATCH(ROWS($V$2:V493),$V$2:$V$1001,0),0), INDEX($AC$1004:$AS$1004,1,MATCH(COLUMNS($AC$1006:AQ1006),$AC$1006:$AS$1006,0)))),"Fix")))</f>
        <v>0</v>
      </c>
      <c r="Q493" s="5">
        <f>IF(OR(INDEX($W$2:$W$1001,MATCH(ROWS($V$2:V493),$V$2:$V$1001,0),1)&gt;=100000,INDEX($AC$1005:$AS$1005,1,MATCH(COLUMNS($AC$1006:AR1006),$AC$1006:$AS$1006,0))&gt;=100000), " ",IF(INDEX($AC$2:$AS$1001,MATCH(ROWS($V$2:V493),$V$2:$V$1001,0),MATCH(COLUMNS($AC$1006:AR1006),$AC$1006:$AS$1006,0)), HYPERLINK("#",""), HYPERLINK(CONCATENATE("#Metadata!", ADDRESS(INDEX($X$2:$X$1001,MATCH(ROWS($V$2:V493),$V$2:$V$1001,0),0), INDEX($AC$1004:$AS$1004,1,MATCH(COLUMNS($AC$1006:AR1006),$AC$1006:$AS$1006,0)))),"Fix")))</f>
        <v>0</v>
      </c>
      <c r="R493" s="5">
        <f>IF(OR(INDEX($W$2:$W$1001,MATCH(ROWS($V$2:V493),$V$2:$V$1001,0),1)&gt;=100000,INDEX($AC$1005:$AS$1005,1,MATCH(COLUMNS($AC$1006:AS1006),$AC$1006:$AS$1006,0))&gt;=100000), " ",IF(INDEX($AC$2:$AS$1001,MATCH(ROWS($V$2:V493),$V$2:$V$1001,0),MATCH(COLUMNS($AC$1006:AS1006),$AC$1006:$AS$1006,0)), HYPERLINK("#",""), HYPERLINK(CONCATENATE("#Metadata!", ADDRESS(INDEX($X$2:$X$1001,MATCH(ROWS($V$2:V493),$V$2:$V$1001,0),0), INDEX($AC$1004:$AS$1004,1,MATCH(COLUMNS($AC$1006:AS1006),$AC$1006:$AS$1006,0)))),"Fix")))</f>
        <v>0</v>
      </c>
      <c r="V493">
        <v>0</v>
      </c>
      <c r="W493">
        <v>0</v>
      </c>
      <c r="X493">
        <v>0</v>
      </c>
      <c r="Y493">
        <f>IF(Z493,TRUE,AND(AC493:AS493))</f>
        <v>0</v>
      </c>
      <c r="Z493">
        <f>COUNTBLANK(Metadata!B493:R493)=COLUMNS(Metadata!B493:R493)</f>
        <v>0</v>
      </c>
      <c r="AA493">
        <v>0</v>
      </c>
      <c r="AC493">
        <f>AND(IF(Metadata!B493="",FALSE,TRUE),COUNTIF(Metadata!B:B, Metadata!B493) = 1,NOT(ISERROR(SUMPRODUCT(SEARCH(MID(Metadata!B493,ROW(INDIRECT("1:"&amp;LEN(Metadata!B493))), 1),"0123456789abcdefghijklmnopqrstuvwxyzABCDEFGHIJKLMNOPQRSTUVWXYZ.")))))</f>
        <v>0</v>
      </c>
      <c r="AD493">
        <f>AND(IF(Metadata!C493="",FALSE,TRUE),exact(Metadata!C493,"Host-associated"))</f>
        <v>0</v>
      </c>
      <c r="AE493">
        <f>AND(IF(Metadata!D493="",FALSE,TRUE),OR(exact(Metadata!D493,"Animal"),exact(Metadata!D493,"Fungus"),exact(Metadata!D493,"Plant")))</f>
        <v>0</v>
      </c>
      <c r="AF493">
        <f>AND(IF(Metadata!E493="",FALSE,TRUE),OR(exact(Metadata!E493,"Plant secretion"),exact(Metadata!E493,"Plant rhizosphere"),exact(Metadata!E493,"Plant surface"),exact(Metadata!E493,"Plant corpus"),exact(Metadata!E493,"Fungus surface"),exact(Metadata!E493,"Fungus corpus"),exact(Metadata!E493,"Animal surface"),exact(Metadata!E493,"Animal proximal gut"),exact(Metadata!E493,"Animal corpus"),exact(Metadata!E493,"Animal distal gut"),exact(Metadata!E493,"Animal secretion")))</f>
        <v>0</v>
      </c>
      <c r="AG493">
        <f>OR(AND(IF(Metadata!F493="",FALSE,TRUE),OR(exact(Metadata!F493,"not collected"),exact(Metadata!F493,"not provided"),exact(Metadata!F493,"restricted access"))),AND(IF(Metadata!F493="",FALSE,TRUE),OR(exact(Metadata!F493,"organism-associated habitat"),exact(Metadata!F493,"plant-associated habitat"),exact(Metadata!F493,"animal-associated habitat"),exact(Metadata!F493,"insecta-associated habitat"),exact(Metadata!F493,"mammalia-associated habitat"),exact(Metadata!F493,"human-associated habitat"),exact(Metadata!F493,"livestock-associated habitat"))))</f>
        <v>0</v>
      </c>
      <c r="AH493">
        <f>AND(IF(Metadata!G493="",FALSE,TRUE),exact(Metadata!G493,"host-associated"))</f>
        <v>0</v>
      </c>
      <c r="AI493">
        <f>OR(AND(IF(Metadata!H493="",FALSE,TRUE),OR(exact(Metadata!H493,"not collected"),exact(Metadata!H493,"not provided"))),AND(IF(Metadata!H493="",FALSE,ISNUMBER(VALUE(Metadata!H493))),Metadata!H493&gt;0))</f>
        <v>0</v>
      </c>
      <c r="AJ493">
        <f>AND(IF(Metadata!I493="",FALSE,TRUE),exact(Metadata!I493,"years"))</f>
        <v>0</v>
      </c>
      <c r="AK493">
        <f>IF(Metadata!J493="",FALSE,TRUE)</f>
        <v>0</v>
      </c>
      <c r="AL493">
        <f>OR(AND(IF(Metadata!K493="",FALSE,TRUE),OR(exact(Metadata!K493,"not collected"),exact(Metadata!K493,"not provided"))),AND(IF(Metadata!K493="",FALSE,ISNUMBER(VALUE(Metadata!K493))),Metadata!K493&gt;0))</f>
        <v>0</v>
      </c>
      <c r="AM493">
        <f>AND(IF(Metadata!L493="",FALSE,TRUE),exact(Metadata!L493,"cm"))</f>
        <v>0</v>
      </c>
      <c r="AN493">
        <f>IF(Metadata!M493="",FALSE,TRUE)</f>
        <v>0</v>
      </c>
      <c r="AO493">
        <f>OR(AND(IF(Metadata!N493="",FALSE,TRUE),OR(exact(Metadata!N493,"not applicable"),exact(Metadata!N493,"not collected"),exact(Metadata!N493,"not provided"))),AND(IF(Metadata!N493="",FALSE,IF(ISERROR(INT(Metadata!N493)),FALSE,INT(Metadata!N493)=Metadata!N493)),Metadata!N493&gt;0))</f>
        <v>0</v>
      </c>
      <c r="AP493">
        <f>OR(AND(IF(Metadata!O493="",FALSE,TRUE),OR(exact(Metadata!O493,"not collected"),exact(Metadata!O493,"not provided"))),AND(IF(Metadata!O493="",FALSE,ISNUMBER(VALUE(Metadata!O493))),Metadata!O493&gt;0))</f>
        <v>0</v>
      </c>
      <c r="AQ493">
        <f>AND(IF(Metadata!P493="",FALSE,TRUE),exact(Metadata!P493,"kg"))</f>
        <v>0</v>
      </c>
      <c r="AR493">
        <f>OR(AND(IF(Metadata!Q493="",FALSE,TRUE),OR(exact(Metadata!Q493,"not applicable"),exact(Metadata!Q493,"not collected"),exact(Metadata!Q493,"not provided"),exact(Metadata!Q493,"restricted access"))),IF(Metadata!Q493="",FALSE,IF(ISERROR(INT(Metadata!Q493)),FALSE,INT(Metadata!Q493)=Metadata!Q493)))</f>
        <v>0</v>
      </c>
      <c r="AS493">
        <f>AND(IF(Metadata!R493="",FALSE,TRUE),exact(Metadata!R493,"Not applicable"))</f>
        <v>0</v>
      </c>
    </row>
    <row r="494" spans="1:45">
      <c r="A494" s="4">
        <f>IF(B494=" "," ",HYPERLINK(CONCATENATE("#metadata!",ADDRESS(INDEX($X$2:$X$1001,MATCH(ROWS($V$2:V494),$V$2:$V$1001,0),0),2)),INDEX($AA$2:$AA$1001,MATCH(ROWS($V$2:V494),$V$2:$V$1001,0),0)))</f>
        <v>0</v>
      </c>
      <c r="B494" s="5">
        <f>IF(OR(INDEX($W$2:$W$1001,MATCH(ROWS($V$2:V494),$V$2:$V$1001,0),1)&gt;=100000,INDEX($AC$1005:$AS$1005,1,MATCH(COLUMNS($AC$1006:AC1006),$AC$1006:$AS$1006,0))&gt;=100000), " ",IF(INDEX($AC$2:$AS$1001,MATCH(ROWS($V$2:V494),$V$2:$V$1001,0),MATCH(COLUMNS($AC$1006:AC1006),$AC$1006:$AS$1006,0)), HYPERLINK("#",""), HYPERLINK(CONCATENATE("#Metadata!", ADDRESS(INDEX($X$2:$X$1001,MATCH(ROWS($V$2:V494),$V$2:$V$1001,0),0), INDEX($AC$1004:$AS$1004,1,MATCH(COLUMNS($AC$1006:AC1006),$AC$1006:$AS$1006,0)))),"Fix")))</f>
        <v>0</v>
      </c>
      <c r="C494" s="5">
        <f>IF(OR(INDEX($W$2:$W$1001,MATCH(ROWS($V$2:V494),$V$2:$V$1001,0),1)&gt;=100000,INDEX($AC$1005:$AS$1005,1,MATCH(COLUMNS($AC$1006:AD1006),$AC$1006:$AS$1006,0))&gt;=100000), " ",IF(INDEX($AC$2:$AS$1001,MATCH(ROWS($V$2:V494),$V$2:$V$1001,0),MATCH(COLUMNS($AC$1006:AD1006),$AC$1006:$AS$1006,0)), HYPERLINK("#",""), HYPERLINK(CONCATENATE("#Metadata!", ADDRESS(INDEX($X$2:$X$1001,MATCH(ROWS($V$2:V494),$V$2:$V$1001,0),0), INDEX($AC$1004:$AS$1004,1,MATCH(COLUMNS($AC$1006:AD1006),$AC$1006:$AS$1006,0)))),"Fix")))</f>
        <v>0</v>
      </c>
      <c r="D494" s="5">
        <f>IF(OR(INDEX($W$2:$W$1001,MATCH(ROWS($V$2:V494),$V$2:$V$1001,0),1)&gt;=100000,INDEX($AC$1005:$AS$1005,1,MATCH(COLUMNS($AC$1006:AE1006),$AC$1006:$AS$1006,0))&gt;=100000), " ",IF(INDEX($AC$2:$AS$1001,MATCH(ROWS($V$2:V494),$V$2:$V$1001,0),MATCH(COLUMNS($AC$1006:AE1006),$AC$1006:$AS$1006,0)), HYPERLINK("#",""), HYPERLINK(CONCATENATE("#Metadata!", ADDRESS(INDEX($X$2:$X$1001,MATCH(ROWS($V$2:V494),$V$2:$V$1001,0),0), INDEX($AC$1004:$AS$1004,1,MATCH(COLUMNS($AC$1006:AE1006),$AC$1006:$AS$1006,0)))),"Fix")))</f>
        <v>0</v>
      </c>
      <c r="E494" s="5">
        <f>IF(OR(INDEX($W$2:$W$1001,MATCH(ROWS($V$2:V494),$V$2:$V$1001,0),1)&gt;=100000,INDEX($AC$1005:$AS$1005,1,MATCH(COLUMNS($AC$1006:AF1006),$AC$1006:$AS$1006,0))&gt;=100000), " ",IF(INDEX($AC$2:$AS$1001,MATCH(ROWS($V$2:V494),$V$2:$V$1001,0),MATCH(COLUMNS($AC$1006:AF1006),$AC$1006:$AS$1006,0)), HYPERLINK("#",""), HYPERLINK(CONCATENATE("#Metadata!", ADDRESS(INDEX($X$2:$X$1001,MATCH(ROWS($V$2:V494),$V$2:$V$1001,0),0), INDEX($AC$1004:$AS$1004,1,MATCH(COLUMNS($AC$1006:AF1006),$AC$1006:$AS$1006,0)))),"Fix")))</f>
        <v>0</v>
      </c>
      <c r="F494" s="5">
        <f>IF(OR(INDEX($W$2:$W$1001,MATCH(ROWS($V$2:V494),$V$2:$V$1001,0),1)&gt;=100000,INDEX($AC$1005:$AS$1005,1,MATCH(COLUMNS($AC$1006:AG1006),$AC$1006:$AS$1006,0))&gt;=100000), " ",IF(INDEX($AC$2:$AS$1001,MATCH(ROWS($V$2:V494),$V$2:$V$1001,0),MATCH(COLUMNS($AC$1006:AG1006),$AC$1006:$AS$1006,0)), HYPERLINK("#",""), HYPERLINK(CONCATENATE("#Metadata!", ADDRESS(INDEX($X$2:$X$1001,MATCH(ROWS($V$2:V494),$V$2:$V$1001,0),0), INDEX($AC$1004:$AS$1004,1,MATCH(COLUMNS($AC$1006:AG1006),$AC$1006:$AS$1006,0)))),"Fix")))</f>
        <v>0</v>
      </c>
      <c r="G494" s="5">
        <f>IF(OR(INDEX($W$2:$W$1001,MATCH(ROWS($V$2:V494),$V$2:$V$1001,0),1)&gt;=100000,INDEX($AC$1005:$AS$1005,1,MATCH(COLUMNS($AC$1006:AH1006),$AC$1006:$AS$1006,0))&gt;=100000), " ",IF(INDEX($AC$2:$AS$1001,MATCH(ROWS($V$2:V494),$V$2:$V$1001,0),MATCH(COLUMNS($AC$1006:AH1006),$AC$1006:$AS$1006,0)), HYPERLINK("#",""), HYPERLINK(CONCATENATE("#Metadata!", ADDRESS(INDEX($X$2:$X$1001,MATCH(ROWS($V$2:V494),$V$2:$V$1001,0),0), INDEX($AC$1004:$AS$1004,1,MATCH(COLUMNS($AC$1006:AH1006),$AC$1006:$AS$1006,0)))),"Fix")))</f>
        <v>0</v>
      </c>
      <c r="H494" s="5">
        <f>IF(OR(INDEX($W$2:$W$1001,MATCH(ROWS($V$2:V494),$V$2:$V$1001,0),1)&gt;=100000,INDEX($AC$1005:$AS$1005,1,MATCH(COLUMNS($AC$1006:AI1006),$AC$1006:$AS$1006,0))&gt;=100000), " ",IF(INDEX($AC$2:$AS$1001,MATCH(ROWS($V$2:V494),$V$2:$V$1001,0),MATCH(COLUMNS($AC$1006:AI1006),$AC$1006:$AS$1006,0)), HYPERLINK("#",""), HYPERLINK(CONCATENATE("#Metadata!", ADDRESS(INDEX($X$2:$X$1001,MATCH(ROWS($V$2:V494),$V$2:$V$1001,0),0), INDEX($AC$1004:$AS$1004,1,MATCH(COLUMNS($AC$1006:AI1006),$AC$1006:$AS$1006,0)))),"Fix")))</f>
        <v>0</v>
      </c>
      <c r="I494" s="5">
        <f>IF(OR(INDEX($W$2:$W$1001,MATCH(ROWS($V$2:V494),$V$2:$V$1001,0),1)&gt;=100000,INDEX($AC$1005:$AS$1005,1,MATCH(COLUMNS($AC$1006:AJ1006),$AC$1006:$AS$1006,0))&gt;=100000), " ",IF(INDEX($AC$2:$AS$1001,MATCH(ROWS($V$2:V494),$V$2:$V$1001,0),MATCH(COLUMNS($AC$1006:AJ1006),$AC$1006:$AS$1006,0)), HYPERLINK("#",""), HYPERLINK(CONCATENATE("#Metadata!", ADDRESS(INDEX($X$2:$X$1001,MATCH(ROWS($V$2:V494),$V$2:$V$1001,0),0), INDEX($AC$1004:$AS$1004,1,MATCH(COLUMNS($AC$1006:AJ1006),$AC$1006:$AS$1006,0)))),"Fix")))</f>
        <v>0</v>
      </c>
      <c r="J494" s="5">
        <f>IF(OR(INDEX($W$2:$W$1001,MATCH(ROWS($V$2:V494),$V$2:$V$1001,0),1)&gt;=100000,INDEX($AC$1005:$AS$1005,1,MATCH(COLUMNS($AC$1006:AK1006),$AC$1006:$AS$1006,0))&gt;=100000), " ",IF(INDEX($AC$2:$AS$1001,MATCH(ROWS($V$2:V494),$V$2:$V$1001,0),MATCH(COLUMNS($AC$1006:AK1006),$AC$1006:$AS$1006,0)), HYPERLINK("#",""), HYPERLINK(CONCATENATE("#Metadata!", ADDRESS(INDEX($X$2:$X$1001,MATCH(ROWS($V$2:V494),$V$2:$V$1001,0),0), INDEX($AC$1004:$AS$1004,1,MATCH(COLUMNS($AC$1006:AK1006),$AC$1006:$AS$1006,0)))),"Fix")))</f>
        <v>0</v>
      </c>
      <c r="K494" s="5">
        <f>IF(OR(INDEX($W$2:$W$1001,MATCH(ROWS($V$2:V494),$V$2:$V$1001,0),1)&gt;=100000,INDEX($AC$1005:$AS$1005,1,MATCH(COLUMNS($AC$1006:AL1006),$AC$1006:$AS$1006,0))&gt;=100000), " ",IF(INDEX($AC$2:$AS$1001,MATCH(ROWS($V$2:V494),$V$2:$V$1001,0),MATCH(COLUMNS($AC$1006:AL1006),$AC$1006:$AS$1006,0)), HYPERLINK("#",""), HYPERLINK(CONCATENATE("#Metadata!", ADDRESS(INDEX($X$2:$X$1001,MATCH(ROWS($V$2:V494),$V$2:$V$1001,0),0), INDEX($AC$1004:$AS$1004,1,MATCH(COLUMNS($AC$1006:AL1006),$AC$1006:$AS$1006,0)))),"Fix")))</f>
        <v>0</v>
      </c>
      <c r="L494" s="5">
        <f>IF(OR(INDEX($W$2:$W$1001,MATCH(ROWS($V$2:V494),$V$2:$V$1001,0),1)&gt;=100000,INDEX($AC$1005:$AS$1005,1,MATCH(COLUMNS($AC$1006:AM1006),$AC$1006:$AS$1006,0))&gt;=100000), " ",IF(INDEX($AC$2:$AS$1001,MATCH(ROWS($V$2:V494),$V$2:$V$1001,0),MATCH(COLUMNS($AC$1006:AM1006),$AC$1006:$AS$1006,0)), HYPERLINK("#",""), HYPERLINK(CONCATENATE("#Metadata!", ADDRESS(INDEX($X$2:$X$1001,MATCH(ROWS($V$2:V494),$V$2:$V$1001,0),0), INDEX($AC$1004:$AS$1004,1,MATCH(COLUMNS($AC$1006:AM1006),$AC$1006:$AS$1006,0)))),"Fix")))</f>
        <v>0</v>
      </c>
      <c r="M494" s="5">
        <f>IF(OR(INDEX($W$2:$W$1001,MATCH(ROWS($V$2:V494),$V$2:$V$1001,0),1)&gt;=100000,INDEX($AC$1005:$AS$1005,1,MATCH(COLUMNS($AC$1006:AN1006),$AC$1006:$AS$1006,0))&gt;=100000), " ",IF(INDEX($AC$2:$AS$1001,MATCH(ROWS($V$2:V494),$V$2:$V$1001,0),MATCH(COLUMNS($AC$1006:AN1006),$AC$1006:$AS$1006,0)), HYPERLINK("#",""), HYPERLINK(CONCATENATE("#Metadata!", ADDRESS(INDEX($X$2:$X$1001,MATCH(ROWS($V$2:V494),$V$2:$V$1001,0),0), INDEX($AC$1004:$AS$1004,1,MATCH(COLUMNS($AC$1006:AN1006),$AC$1006:$AS$1006,0)))),"Fix")))</f>
        <v>0</v>
      </c>
      <c r="N494" s="5">
        <f>IF(OR(INDEX($W$2:$W$1001,MATCH(ROWS($V$2:V494),$V$2:$V$1001,0),1)&gt;=100000,INDEX($AC$1005:$AS$1005,1,MATCH(COLUMNS($AC$1006:AO1006),$AC$1006:$AS$1006,0))&gt;=100000), " ",IF(INDEX($AC$2:$AS$1001,MATCH(ROWS($V$2:V494),$V$2:$V$1001,0),MATCH(COLUMNS($AC$1006:AO1006),$AC$1006:$AS$1006,0)), HYPERLINK("#",""), HYPERLINK(CONCATENATE("#Metadata!", ADDRESS(INDEX($X$2:$X$1001,MATCH(ROWS($V$2:V494),$V$2:$V$1001,0),0), INDEX($AC$1004:$AS$1004,1,MATCH(COLUMNS($AC$1006:AO1006),$AC$1006:$AS$1006,0)))),"Fix")))</f>
        <v>0</v>
      </c>
      <c r="O494" s="5">
        <f>IF(OR(INDEX($W$2:$W$1001,MATCH(ROWS($V$2:V494),$V$2:$V$1001,0),1)&gt;=100000,INDEX($AC$1005:$AS$1005,1,MATCH(COLUMNS($AC$1006:AP1006),$AC$1006:$AS$1006,0))&gt;=100000), " ",IF(INDEX($AC$2:$AS$1001,MATCH(ROWS($V$2:V494),$V$2:$V$1001,0),MATCH(COLUMNS($AC$1006:AP1006),$AC$1006:$AS$1006,0)), HYPERLINK("#",""), HYPERLINK(CONCATENATE("#Metadata!", ADDRESS(INDEX($X$2:$X$1001,MATCH(ROWS($V$2:V494),$V$2:$V$1001,0),0), INDEX($AC$1004:$AS$1004,1,MATCH(COLUMNS($AC$1006:AP1006),$AC$1006:$AS$1006,0)))),"Fix")))</f>
        <v>0</v>
      </c>
      <c r="P494" s="5">
        <f>IF(OR(INDEX($W$2:$W$1001,MATCH(ROWS($V$2:V494),$V$2:$V$1001,0),1)&gt;=100000,INDEX($AC$1005:$AS$1005,1,MATCH(COLUMNS($AC$1006:AQ1006),$AC$1006:$AS$1006,0))&gt;=100000), " ",IF(INDEX($AC$2:$AS$1001,MATCH(ROWS($V$2:V494),$V$2:$V$1001,0),MATCH(COLUMNS($AC$1006:AQ1006),$AC$1006:$AS$1006,0)), HYPERLINK("#",""), HYPERLINK(CONCATENATE("#Metadata!", ADDRESS(INDEX($X$2:$X$1001,MATCH(ROWS($V$2:V494),$V$2:$V$1001,0),0), INDEX($AC$1004:$AS$1004,1,MATCH(COLUMNS($AC$1006:AQ1006),$AC$1006:$AS$1006,0)))),"Fix")))</f>
        <v>0</v>
      </c>
      <c r="Q494" s="5">
        <f>IF(OR(INDEX($W$2:$W$1001,MATCH(ROWS($V$2:V494),$V$2:$V$1001,0),1)&gt;=100000,INDEX($AC$1005:$AS$1005,1,MATCH(COLUMNS($AC$1006:AR1006),$AC$1006:$AS$1006,0))&gt;=100000), " ",IF(INDEX($AC$2:$AS$1001,MATCH(ROWS($V$2:V494),$V$2:$V$1001,0),MATCH(COLUMNS($AC$1006:AR1006),$AC$1006:$AS$1006,0)), HYPERLINK("#",""), HYPERLINK(CONCATENATE("#Metadata!", ADDRESS(INDEX($X$2:$X$1001,MATCH(ROWS($V$2:V494),$V$2:$V$1001,0),0), INDEX($AC$1004:$AS$1004,1,MATCH(COLUMNS($AC$1006:AR1006),$AC$1006:$AS$1006,0)))),"Fix")))</f>
        <v>0</v>
      </c>
      <c r="R494" s="5">
        <f>IF(OR(INDEX($W$2:$W$1001,MATCH(ROWS($V$2:V494),$V$2:$V$1001,0),1)&gt;=100000,INDEX($AC$1005:$AS$1005,1,MATCH(COLUMNS($AC$1006:AS1006),$AC$1006:$AS$1006,0))&gt;=100000), " ",IF(INDEX($AC$2:$AS$1001,MATCH(ROWS($V$2:V494),$V$2:$V$1001,0),MATCH(COLUMNS($AC$1006:AS1006),$AC$1006:$AS$1006,0)), HYPERLINK("#",""), HYPERLINK(CONCATENATE("#Metadata!", ADDRESS(INDEX($X$2:$X$1001,MATCH(ROWS($V$2:V494),$V$2:$V$1001,0),0), INDEX($AC$1004:$AS$1004,1,MATCH(COLUMNS($AC$1006:AS1006),$AC$1006:$AS$1006,0)))),"Fix")))</f>
        <v>0</v>
      </c>
      <c r="V494">
        <v>0</v>
      </c>
      <c r="W494">
        <v>0</v>
      </c>
      <c r="X494">
        <v>0</v>
      </c>
      <c r="Y494">
        <f>IF(Z494,TRUE,AND(AC494:AS494))</f>
        <v>0</v>
      </c>
      <c r="Z494">
        <f>COUNTBLANK(Metadata!B494:R494)=COLUMNS(Metadata!B494:R494)</f>
        <v>0</v>
      </c>
      <c r="AA494">
        <v>0</v>
      </c>
      <c r="AC494">
        <f>AND(IF(Metadata!B494="",FALSE,TRUE),COUNTIF(Metadata!B:B, Metadata!B494) = 1,NOT(ISERROR(SUMPRODUCT(SEARCH(MID(Metadata!B494,ROW(INDIRECT("1:"&amp;LEN(Metadata!B494))), 1),"0123456789abcdefghijklmnopqrstuvwxyzABCDEFGHIJKLMNOPQRSTUVWXYZ.")))))</f>
        <v>0</v>
      </c>
      <c r="AD494">
        <f>AND(IF(Metadata!C494="",FALSE,TRUE),exact(Metadata!C494,"Host-associated"))</f>
        <v>0</v>
      </c>
      <c r="AE494">
        <f>AND(IF(Metadata!D494="",FALSE,TRUE),OR(exact(Metadata!D494,"Animal"),exact(Metadata!D494,"Fungus"),exact(Metadata!D494,"Plant")))</f>
        <v>0</v>
      </c>
      <c r="AF494">
        <f>AND(IF(Metadata!E494="",FALSE,TRUE),OR(exact(Metadata!E494,"Plant secretion"),exact(Metadata!E494,"Plant rhizosphere"),exact(Metadata!E494,"Plant surface"),exact(Metadata!E494,"Plant corpus"),exact(Metadata!E494,"Fungus surface"),exact(Metadata!E494,"Fungus corpus"),exact(Metadata!E494,"Animal surface"),exact(Metadata!E494,"Animal proximal gut"),exact(Metadata!E494,"Animal corpus"),exact(Metadata!E494,"Animal distal gut"),exact(Metadata!E494,"Animal secretion")))</f>
        <v>0</v>
      </c>
      <c r="AG494">
        <f>OR(AND(IF(Metadata!F494="",FALSE,TRUE),OR(exact(Metadata!F494,"not collected"),exact(Metadata!F494,"not provided"),exact(Metadata!F494,"restricted access"))),AND(IF(Metadata!F494="",FALSE,TRUE),OR(exact(Metadata!F494,"organism-associated habitat"),exact(Metadata!F494,"plant-associated habitat"),exact(Metadata!F494,"animal-associated habitat"),exact(Metadata!F494,"insecta-associated habitat"),exact(Metadata!F494,"mammalia-associated habitat"),exact(Metadata!F494,"human-associated habitat"),exact(Metadata!F494,"livestock-associated habitat"))))</f>
        <v>0</v>
      </c>
      <c r="AH494">
        <f>AND(IF(Metadata!G494="",FALSE,TRUE),exact(Metadata!G494,"host-associated"))</f>
        <v>0</v>
      </c>
      <c r="AI494">
        <f>OR(AND(IF(Metadata!H494="",FALSE,TRUE),OR(exact(Metadata!H494,"not collected"),exact(Metadata!H494,"not provided"))),AND(IF(Metadata!H494="",FALSE,ISNUMBER(VALUE(Metadata!H494))),Metadata!H494&gt;0))</f>
        <v>0</v>
      </c>
      <c r="AJ494">
        <f>AND(IF(Metadata!I494="",FALSE,TRUE),exact(Metadata!I494,"years"))</f>
        <v>0</v>
      </c>
      <c r="AK494">
        <f>IF(Metadata!J494="",FALSE,TRUE)</f>
        <v>0</v>
      </c>
      <c r="AL494">
        <f>OR(AND(IF(Metadata!K494="",FALSE,TRUE),OR(exact(Metadata!K494,"not collected"),exact(Metadata!K494,"not provided"))),AND(IF(Metadata!K494="",FALSE,ISNUMBER(VALUE(Metadata!K494))),Metadata!K494&gt;0))</f>
        <v>0</v>
      </c>
      <c r="AM494">
        <f>AND(IF(Metadata!L494="",FALSE,TRUE),exact(Metadata!L494,"cm"))</f>
        <v>0</v>
      </c>
      <c r="AN494">
        <f>IF(Metadata!M494="",FALSE,TRUE)</f>
        <v>0</v>
      </c>
      <c r="AO494">
        <f>OR(AND(IF(Metadata!N494="",FALSE,TRUE),OR(exact(Metadata!N494,"not applicable"),exact(Metadata!N494,"not collected"),exact(Metadata!N494,"not provided"))),AND(IF(Metadata!N494="",FALSE,IF(ISERROR(INT(Metadata!N494)),FALSE,INT(Metadata!N494)=Metadata!N494)),Metadata!N494&gt;0))</f>
        <v>0</v>
      </c>
      <c r="AP494">
        <f>OR(AND(IF(Metadata!O494="",FALSE,TRUE),OR(exact(Metadata!O494,"not collected"),exact(Metadata!O494,"not provided"))),AND(IF(Metadata!O494="",FALSE,ISNUMBER(VALUE(Metadata!O494))),Metadata!O494&gt;0))</f>
        <v>0</v>
      </c>
      <c r="AQ494">
        <f>AND(IF(Metadata!P494="",FALSE,TRUE),exact(Metadata!P494,"kg"))</f>
        <v>0</v>
      </c>
      <c r="AR494">
        <f>OR(AND(IF(Metadata!Q494="",FALSE,TRUE),OR(exact(Metadata!Q494,"not applicable"),exact(Metadata!Q494,"not collected"),exact(Metadata!Q494,"not provided"),exact(Metadata!Q494,"restricted access"))),IF(Metadata!Q494="",FALSE,IF(ISERROR(INT(Metadata!Q494)),FALSE,INT(Metadata!Q494)=Metadata!Q494)))</f>
        <v>0</v>
      </c>
      <c r="AS494">
        <f>AND(IF(Metadata!R494="",FALSE,TRUE),exact(Metadata!R494,"Not applicable"))</f>
        <v>0</v>
      </c>
    </row>
    <row r="495" spans="1:45">
      <c r="A495" s="4">
        <f>IF(B495=" "," ",HYPERLINK(CONCATENATE("#metadata!",ADDRESS(INDEX($X$2:$X$1001,MATCH(ROWS($V$2:V495),$V$2:$V$1001,0),0),2)),INDEX($AA$2:$AA$1001,MATCH(ROWS($V$2:V495),$V$2:$V$1001,0),0)))</f>
        <v>0</v>
      </c>
      <c r="B495" s="5">
        <f>IF(OR(INDEX($W$2:$W$1001,MATCH(ROWS($V$2:V495),$V$2:$V$1001,0),1)&gt;=100000,INDEX($AC$1005:$AS$1005,1,MATCH(COLUMNS($AC$1006:AC1006),$AC$1006:$AS$1006,0))&gt;=100000), " ",IF(INDEX($AC$2:$AS$1001,MATCH(ROWS($V$2:V495),$V$2:$V$1001,0),MATCH(COLUMNS($AC$1006:AC1006),$AC$1006:$AS$1006,0)), HYPERLINK("#",""), HYPERLINK(CONCATENATE("#Metadata!", ADDRESS(INDEX($X$2:$X$1001,MATCH(ROWS($V$2:V495),$V$2:$V$1001,0),0), INDEX($AC$1004:$AS$1004,1,MATCH(COLUMNS($AC$1006:AC1006),$AC$1006:$AS$1006,0)))),"Fix")))</f>
        <v>0</v>
      </c>
      <c r="C495" s="5">
        <f>IF(OR(INDEX($W$2:$W$1001,MATCH(ROWS($V$2:V495),$V$2:$V$1001,0),1)&gt;=100000,INDEX($AC$1005:$AS$1005,1,MATCH(COLUMNS($AC$1006:AD1006),$AC$1006:$AS$1006,0))&gt;=100000), " ",IF(INDEX($AC$2:$AS$1001,MATCH(ROWS($V$2:V495),$V$2:$V$1001,0),MATCH(COLUMNS($AC$1006:AD1006),$AC$1006:$AS$1006,0)), HYPERLINK("#",""), HYPERLINK(CONCATENATE("#Metadata!", ADDRESS(INDEX($X$2:$X$1001,MATCH(ROWS($V$2:V495),$V$2:$V$1001,0),0), INDEX($AC$1004:$AS$1004,1,MATCH(COLUMNS($AC$1006:AD1006),$AC$1006:$AS$1006,0)))),"Fix")))</f>
        <v>0</v>
      </c>
      <c r="D495" s="5">
        <f>IF(OR(INDEX($W$2:$W$1001,MATCH(ROWS($V$2:V495),$V$2:$V$1001,0),1)&gt;=100000,INDEX($AC$1005:$AS$1005,1,MATCH(COLUMNS($AC$1006:AE1006),$AC$1006:$AS$1006,0))&gt;=100000), " ",IF(INDEX($AC$2:$AS$1001,MATCH(ROWS($V$2:V495),$V$2:$V$1001,0),MATCH(COLUMNS($AC$1006:AE1006),$AC$1006:$AS$1006,0)), HYPERLINK("#",""), HYPERLINK(CONCATENATE("#Metadata!", ADDRESS(INDEX($X$2:$X$1001,MATCH(ROWS($V$2:V495),$V$2:$V$1001,0),0), INDEX($AC$1004:$AS$1004,1,MATCH(COLUMNS($AC$1006:AE1006),$AC$1006:$AS$1006,0)))),"Fix")))</f>
        <v>0</v>
      </c>
      <c r="E495" s="5">
        <f>IF(OR(INDEX($W$2:$W$1001,MATCH(ROWS($V$2:V495),$V$2:$V$1001,0),1)&gt;=100000,INDEX($AC$1005:$AS$1005,1,MATCH(COLUMNS($AC$1006:AF1006),$AC$1006:$AS$1006,0))&gt;=100000), " ",IF(INDEX($AC$2:$AS$1001,MATCH(ROWS($V$2:V495),$V$2:$V$1001,0),MATCH(COLUMNS($AC$1006:AF1006),$AC$1006:$AS$1006,0)), HYPERLINK("#",""), HYPERLINK(CONCATENATE("#Metadata!", ADDRESS(INDEX($X$2:$X$1001,MATCH(ROWS($V$2:V495),$V$2:$V$1001,0),0), INDEX($AC$1004:$AS$1004,1,MATCH(COLUMNS($AC$1006:AF1006),$AC$1006:$AS$1006,0)))),"Fix")))</f>
        <v>0</v>
      </c>
      <c r="F495" s="5">
        <f>IF(OR(INDEX($W$2:$W$1001,MATCH(ROWS($V$2:V495),$V$2:$V$1001,0),1)&gt;=100000,INDEX($AC$1005:$AS$1005,1,MATCH(COLUMNS($AC$1006:AG1006),$AC$1006:$AS$1006,0))&gt;=100000), " ",IF(INDEX($AC$2:$AS$1001,MATCH(ROWS($V$2:V495),$V$2:$V$1001,0),MATCH(COLUMNS($AC$1006:AG1006),$AC$1006:$AS$1006,0)), HYPERLINK("#",""), HYPERLINK(CONCATENATE("#Metadata!", ADDRESS(INDEX($X$2:$X$1001,MATCH(ROWS($V$2:V495),$V$2:$V$1001,0),0), INDEX($AC$1004:$AS$1004,1,MATCH(COLUMNS($AC$1006:AG1006),$AC$1006:$AS$1006,0)))),"Fix")))</f>
        <v>0</v>
      </c>
      <c r="G495" s="5">
        <f>IF(OR(INDEX($W$2:$W$1001,MATCH(ROWS($V$2:V495),$V$2:$V$1001,0),1)&gt;=100000,INDEX($AC$1005:$AS$1005,1,MATCH(COLUMNS($AC$1006:AH1006),$AC$1006:$AS$1006,0))&gt;=100000), " ",IF(INDEX($AC$2:$AS$1001,MATCH(ROWS($V$2:V495),$V$2:$V$1001,0),MATCH(COLUMNS($AC$1006:AH1006),$AC$1006:$AS$1006,0)), HYPERLINK("#",""), HYPERLINK(CONCATENATE("#Metadata!", ADDRESS(INDEX($X$2:$X$1001,MATCH(ROWS($V$2:V495),$V$2:$V$1001,0),0), INDEX($AC$1004:$AS$1004,1,MATCH(COLUMNS($AC$1006:AH1006),$AC$1006:$AS$1006,0)))),"Fix")))</f>
        <v>0</v>
      </c>
      <c r="H495" s="5">
        <f>IF(OR(INDEX($W$2:$W$1001,MATCH(ROWS($V$2:V495),$V$2:$V$1001,0),1)&gt;=100000,INDEX($AC$1005:$AS$1005,1,MATCH(COLUMNS($AC$1006:AI1006),$AC$1006:$AS$1006,0))&gt;=100000), " ",IF(INDEX($AC$2:$AS$1001,MATCH(ROWS($V$2:V495),$V$2:$V$1001,0),MATCH(COLUMNS($AC$1006:AI1006),$AC$1006:$AS$1006,0)), HYPERLINK("#",""), HYPERLINK(CONCATENATE("#Metadata!", ADDRESS(INDEX($X$2:$X$1001,MATCH(ROWS($V$2:V495),$V$2:$V$1001,0),0), INDEX($AC$1004:$AS$1004,1,MATCH(COLUMNS($AC$1006:AI1006),$AC$1006:$AS$1006,0)))),"Fix")))</f>
        <v>0</v>
      </c>
      <c r="I495" s="5">
        <f>IF(OR(INDEX($W$2:$W$1001,MATCH(ROWS($V$2:V495),$V$2:$V$1001,0),1)&gt;=100000,INDEX($AC$1005:$AS$1005,1,MATCH(COLUMNS($AC$1006:AJ1006),$AC$1006:$AS$1006,0))&gt;=100000), " ",IF(INDEX($AC$2:$AS$1001,MATCH(ROWS($V$2:V495),$V$2:$V$1001,0),MATCH(COLUMNS($AC$1006:AJ1006),$AC$1006:$AS$1006,0)), HYPERLINK("#",""), HYPERLINK(CONCATENATE("#Metadata!", ADDRESS(INDEX($X$2:$X$1001,MATCH(ROWS($V$2:V495),$V$2:$V$1001,0),0), INDEX($AC$1004:$AS$1004,1,MATCH(COLUMNS($AC$1006:AJ1006),$AC$1006:$AS$1006,0)))),"Fix")))</f>
        <v>0</v>
      </c>
      <c r="J495" s="5">
        <f>IF(OR(INDEX($W$2:$W$1001,MATCH(ROWS($V$2:V495),$V$2:$V$1001,0),1)&gt;=100000,INDEX($AC$1005:$AS$1005,1,MATCH(COLUMNS($AC$1006:AK1006),$AC$1006:$AS$1006,0))&gt;=100000), " ",IF(INDEX($AC$2:$AS$1001,MATCH(ROWS($V$2:V495),$V$2:$V$1001,0),MATCH(COLUMNS($AC$1006:AK1006),$AC$1006:$AS$1006,0)), HYPERLINK("#",""), HYPERLINK(CONCATENATE("#Metadata!", ADDRESS(INDEX($X$2:$X$1001,MATCH(ROWS($V$2:V495),$V$2:$V$1001,0),0), INDEX($AC$1004:$AS$1004,1,MATCH(COLUMNS($AC$1006:AK1006),$AC$1006:$AS$1006,0)))),"Fix")))</f>
        <v>0</v>
      </c>
      <c r="K495" s="5">
        <f>IF(OR(INDEX($W$2:$W$1001,MATCH(ROWS($V$2:V495),$V$2:$V$1001,0),1)&gt;=100000,INDEX($AC$1005:$AS$1005,1,MATCH(COLUMNS($AC$1006:AL1006),$AC$1006:$AS$1006,0))&gt;=100000), " ",IF(INDEX($AC$2:$AS$1001,MATCH(ROWS($V$2:V495),$V$2:$V$1001,0),MATCH(COLUMNS($AC$1006:AL1006),$AC$1006:$AS$1006,0)), HYPERLINK("#",""), HYPERLINK(CONCATENATE("#Metadata!", ADDRESS(INDEX($X$2:$X$1001,MATCH(ROWS($V$2:V495),$V$2:$V$1001,0),0), INDEX($AC$1004:$AS$1004,1,MATCH(COLUMNS($AC$1006:AL1006),$AC$1006:$AS$1006,0)))),"Fix")))</f>
        <v>0</v>
      </c>
      <c r="L495" s="5">
        <f>IF(OR(INDEX($W$2:$W$1001,MATCH(ROWS($V$2:V495),$V$2:$V$1001,0),1)&gt;=100000,INDEX($AC$1005:$AS$1005,1,MATCH(COLUMNS($AC$1006:AM1006),$AC$1006:$AS$1006,0))&gt;=100000), " ",IF(INDEX($AC$2:$AS$1001,MATCH(ROWS($V$2:V495),$V$2:$V$1001,0),MATCH(COLUMNS($AC$1006:AM1006),$AC$1006:$AS$1006,0)), HYPERLINK("#",""), HYPERLINK(CONCATENATE("#Metadata!", ADDRESS(INDEX($X$2:$X$1001,MATCH(ROWS($V$2:V495),$V$2:$V$1001,0),0), INDEX($AC$1004:$AS$1004,1,MATCH(COLUMNS($AC$1006:AM1006),$AC$1006:$AS$1006,0)))),"Fix")))</f>
        <v>0</v>
      </c>
      <c r="M495" s="5">
        <f>IF(OR(INDEX($W$2:$W$1001,MATCH(ROWS($V$2:V495),$V$2:$V$1001,0),1)&gt;=100000,INDEX($AC$1005:$AS$1005,1,MATCH(COLUMNS($AC$1006:AN1006),$AC$1006:$AS$1006,0))&gt;=100000), " ",IF(INDEX($AC$2:$AS$1001,MATCH(ROWS($V$2:V495),$V$2:$V$1001,0),MATCH(COLUMNS($AC$1006:AN1006),$AC$1006:$AS$1006,0)), HYPERLINK("#",""), HYPERLINK(CONCATENATE("#Metadata!", ADDRESS(INDEX($X$2:$X$1001,MATCH(ROWS($V$2:V495),$V$2:$V$1001,0),0), INDEX($AC$1004:$AS$1004,1,MATCH(COLUMNS($AC$1006:AN1006),$AC$1006:$AS$1006,0)))),"Fix")))</f>
        <v>0</v>
      </c>
      <c r="N495" s="5">
        <f>IF(OR(INDEX($W$2:$W$1001,MATCH(ROWS($V$2:V495),$V$2:$V$1001,0),1)&gt;=100000,INDEX($AC$1005:$AS$1005,1,MATCH(COLUMNS($AC$1006:AO1006),$AC$1006:$AS$1006,0))&gt;=100000), " ",IF(INDEX($AC$2:$AS$1001,MATCH(ROWS($V$2:V495),$V$2:$V$1001,0),MATCH(COLUMNS($AC$1006:AO1006),$AC$1006:$AS$1006,0)), HYPERLINK("#",""), HYPERLINK(CONCATENATE("#Metadata!", ADDRESS(INDEX($X$2:$X$1001,MATCH(ROWS($V$2:V495),$V$2:$V$1001,0),0), INDEX($AC$1004:$AS$1004,1,MATCH(COLUMNS($AC$1006:AO1006),$AC$1006:$AS$1006,0)))),"Fix")))</f>
        <v>0</v>
      </c>
      <c r="O495" s="5">
        <f>IF(OR(INDEX($W$2:$W$1001,MATCH(ROWS($V$2:V495),$V$2:$V$1001,0),1)&gt;=100000,INDEX($AC$1005:$AS$1005,1,MATCH(COLUMNS($AC$1006:AP1006),$AC$1006:$AS$1006,0))&gt;=100000), " ",IF(INDEX($AC$2:$AS$1001,MATCH(ROWS($V$2:V495),$V$2:$V$1001,0),MATCH(COLUMNS($AC$1006:AP1006),$AC$1006:$AS$1006,0)), HYPERLINK("#",""), HYPERLINK(CONCATENATE("#Metadata!", ADDRESS(INDEX($X$2:$X$1001,MATCH(ROWS($V$2:V495),$V$2:$V$1001,0),0), INDEX($AC$1004:$AS$1004,1,MATCH(COLUMNS($AC$1006:AP1006),$AC$1006:$AS$1006,0)))),"Fix")))</f>
        <v>0</v>
      </c>
      <c r="P495" s="5">
        <f>IF(OR(INDEX($W$2:$W$1001,MATCH(ROWS($V$2:V495),$V$2:$V$1001,0),1)&gt;=100000,INDEX($AC$1005:$AS$1005,1,MATCH(COLUMNS($AC$1006:AQ1006),$AC$1006:$AS$1006,0))&gt;=100000), " ",IF(INDEX($AC$2:$AS$1001,MATCH(ROWS($V$2:V495),$V$2:$V$1001,0),MATCH(COLUMNS($AC$1006:AQ1006),$AC$1006:$AS$1006,0)), HYPERLINK("#",""), HYPERLINK(CONCATENATE("#Metadata!", ADDRESS(INDEX($X$2:$X$1001,MATCH(ROWS($V$2:V495),$V$2:$V$1001,0),0), INDEX($AC$1004:$AS$1004,1,MATCH(COLUMNS($AC$1006:AQ1006),$AC$1006:$AS$1006,0)))),"Fix")))</f>
        <v>0</v>
      </c>
      <c r="Q495" s="5">
        <f>IF(OR(INDEX($W$2:$W$1001,MATCH(ROWS($V$2:V495),$V$2:$V$1001,0),1)&gt;=100000,INDEX($AC$1005:$AS$1005,1,MATCH(COLUMNS($AC$1006:AR1006),$AC$1006:$AS$1006,0))&gt;=100000), " ",IF(INDEX($AC$2:$AS$1001,MATCH(ROWS($V$2:V495),$V$2:$V$1001,0),MATCH(COLUMNS($AC$1006:AR1006),$AC$1006:$AS$1006,0)), HYPERLINK("#",""), HYPERLINK(CONCATENATE("#Metadata!", ADDRESS(INDEX($X$2:$X$1001,MATCH(ROWS($V$2:V495),$V$2:$V$1001,0),0), INDEX($AC$1004:$AS$1004,1,MATCH(COLUMNS($AC$1006:AR1006),$AC$1006:$AS$1006,0)))),"Fix")))</f>
        <v>0</v>
      </c>
      <c r="R495" s="5">
        <f>IF(OR(INDEX($W$2:$W$1001,MATCH(ROWS($V$2:V495),$V$2:$V$1001,0),1)&gt;=100000,INDEX($AC$1005:$AS$1005,1,MATCH(COLUMNS($AC$1006:AS1006),$AC$1006:$AS$1006,0))&gt;=100000), " ",IF(INDEX($AC$2:$AS$1001,MATCH(ROWS($V$2:V495),$V$2:$V$1001,0),MATCH(COLUMNS($AC$1006:AS1006),$AC$1006:$AS$1006,0)), HYPERLINK("#",""), HYPERLINK(CONCATENATE("#Metadata!", ADDRESS(INDEX($X$2:$X$1001,MATCH(ROWS($V$2:V495),$V$2:$V$1001,0),0), INDEX($AC$1004:$AS$1004,1,MATCH(COLUMNS($AC$1006:AS1006),$AC$1006:$AS$1006,0)))),"Fix")))</f>
        <v>0</v>
      </c>
      <c r="V495">
        <v>0</v>
      </c>
      <c r="W495">
        <v>0</v>
      </c>
      <c r="X495">
        <v>0</v>
      </c>
      <c r="Y495">
        <f>IF(Z495,TRUE,AND(AC495:AS495))</f>
        <v>0</v>
      </c>
      <c r="Z495">
        <f>COUNTBLANK(Metadata!B495:R495)=COLUMNS(Metadata!B495:R495)</f>
        <v>0</v>
      </c>
      <c r="AA495">
        <v>0</v>
      </c>
      <c r="AC495">
        <f>AND(IF(Metadata!B495="",FALSE,TRUE),COUNTIF(Metadata!B:B, Metadata!B495) = 1,NOT(ISERROR(SUMPRODUCT(SEARCH(MID(Metadata!B495,ROW(INDIRECT("1:"&amp;LEN(Metadata!B495))), 1),"0123456789abcdefghijklmnopqrstuvwxyzABCDEFGHIJKLMNOPQRSTUVWXYZ.")))))</f>
        <v>0</v>
      </c>
      <c r="AD495">
        <f>AND(IF(Metadata!C495="",FALSE,TRUE),exact(Metadata!C495,"Host-associated"))</f>
        <v>0</v>
      </c>
      <c r="AE495">
        <f>AND(IF(Metadata!D495="",FALSE,TRUE),OR(exact(Metadata!D495,"Animal"),exact(Metadata!D495,"Fungus"),exact(Metadata!D495,"Plant")))</f>
        <v>0</v>
      </c>
      <c r="AF495">
        <f>AND(IF(Metadata!E495="",FALSE,TRUE),OR(exact(Metadata!E495,"Plant secretion"),exact(Metadata!E495,"Plant rhizosphere"),exact(Metadata!E495,"Plant surface"),exact(Metadata!E495,"Plant corpus"),exact(Metadata!E495,"Fungus surface"),exact(Metadata!E495,"Fungus corpus"),exact(Metadata!E495,"Animal surface"),exact(Metadata!E495,"Animal proximal gut"),exact(Metadata!E495,"Animal corpus"),exact(Metadata!E495,"Animal distal gut"),exact(Metadata!E495,"Animal secretion")))</f>
        <v>0</v>
      </c>
      <c r="AG495">
        <f>OR(AND(IF(Metadata!F495="",FALSE,TRUE),OR(exact(Metadata!F495,"not collected"),exact(Metadata!F495,"not provided"),exact(Metadata!F495,"restricted access"))),AND(IF(Metadata!F495="",FALSE,TRUE),OR(exact(Metadata!F495,"organism-associated habitat"),exact(Metadata!F495,"plant-associated habitat"),exact(Metadata!F495,"animal-associated habitat"),exact(Metadata!F495,"insecta-associated habitat"),exact(Metadata!F495,"mammalia-associated habitat"),exact(Metadata!F495,"human-associated habitat"),exact(Metadata!F495,"livestock-associated habitat"))))</f>
        <v>0</v>
      </c>
      <c r="AH495">
        <f>AND(IF(Metadata!G495="",FALSE,TRUE),exact(Metadata!G495,"host-associated"))</f>
        <v>0</v>
      </c>
      <c r="AI495">
        <f>OR(AND(IF(Metadata!H495="",FALSE,TRUE),OR(exact(Metadata!H495,"not collected"),exact(Metadata!H495,"not provided"))),AND(IF(Metadata!H495="",FALSE,ISNUMBER(VALUE(Metadata!H495))),Metadata!H495&gt;0))</f>
        <v>0</v>
      </c>
      <c r="AJ495">
        <f>AND(IF(Metadata!I495="",FALSE,TRUE),exact(Metadata!I495,"years"))</f>
        <v>0</v>
      </c>
      <c r="AK495">
        <f>IF(Metadata!J495="",FALSE,TRUE)</f>
        <v>0</v>
      </c>
      <c r="AL495">
        <f>OR(AND(IF(Metadata!K495="",FALSE,TRUE),OR(exact(Metadata!K495,"not collected"),exact(Metadata!K495,"not provided"))),AND(IF(Metadata!K495="",FALSE,ISNUMBER(VALUE(Metadata!K495))),Metadata!K495&gt;0))</f>
        <v>0</v>
      </c>
      <c r="AM495">
        <f>AND(IF(Metadata!L495="",FALSE,TRUE),exact(Metadata!L495,"cm"))</f>
        <v>0</v>
      </c>
      <c r="AN495">
        <f>IF(Metadata!M495="",FALSE,TRUE)</f>
        <v>0</v>
      </c>
      <c r="AO495">
        <f>OR(AND(IF(Metadata!N495="",FALSE,TRUE),OR(exact(Metadata!N495,"not applicable"),exact(Metadata!N495,"not collected"),exact(Metadata!N495,"not provided"))),AND(IF(Metadata!N495="",FALSE,IF(ISERROR(INT(Metadata!N495)),FALSE,INT(Metadata!N495)=Metadata!N495)),Metadata!N495&gt;0))</f>
        <v>0</v>
      </c>
      <c r="AP495">
        <f>OR(AND(IF(Metadata!O495="",FALSE,TRUE),OR(exact(Metadata!O495,"not collected"),exact(Metadata!O495,"not provided"))),AND(IF(Metadata!O495="",FALSE,ISNUMBER(VALUE(Metadata!O495))),Metadata!O495&gt;0))</f>
        <v>0</v>
      </c>
      <c r="AQ495">
        <f>AND(IF(Metadata!P495="",FALSE,TRUE),exact(Metadata!P495,"kg"))</f>
        <v>0</v>
      </c>
      <c r="AR495">
        <f>OR(AND(IF(Metadata!Q495="",FALSE,TRUE),OR(exact(Metadata!Q495,"not applicable"),exact(Metadata!Q495,"not collected"),exact(Metadata!Q495,"not provided"),exact(Metadata!Q495,"restricted access"))),IF(Metadata!Q495="",FALSE,IF(ISERROR(INT(Metadata!Q495)),FALSE,INT(Metadata!Q495)=Metadata!Q495)))</f>
        <v>0</v>
      </c>
      <c r="AS495">
        <f>AND(IF(Metadata!R495="",FALSE,TRUE),exact(Metadata!R495,"Not applicable"))</f>
        <v>0</v>
      </c>
    </row>
    <row r="496" spans="1:45">
      <c r="A496" s="4">
        <f>IF(B496=" "," ",HYPERLINK(CONCATENATE("#metadata!",ADDRESS(INDEX($X$2:$X$1001,MATCH(ROWS($V$2:V496),$V$2:$V$1001,0),0),2)),INDEX($AA$2:$AA$1001,MATCH(ROWS($V$2:V496),$V$2:$V$1001,0),0)))</f>
        <v>0</v>
      </c>
      <c r="B496" s="5">
        <f>IF(OR(INDEX($W$2:$W$1001,MATCH(ROWS($V$2:V496),$V$2:$V$1001,0),1)&gt;=100000,INDEX($AC$1005:$AS$1005,1,MATCH(COLUMNS($AC$1006:AC1006),$AC$1006:$AS$1006,0))&gt;=100000), " ",IF(INDEX($AC$2:$AS$1001,MATCH(ROWS($V$2:V496),$V$2:$V$1001,0),MATCH(COLUMNS($AC$1006:AC1006),$AC$1006:$AS$1006,0)), HYPERLINK("#",""), HYPERLINK(CONCATENATE("#Metadata!", ADDRESS(INDEX($X$2:$X$1001,MATCH(ROWS($V$2:V496),$V$2:$V$1001,0),0), INDEX($AC$1004:$AS$1004,1,MATCH(COLUMNS($AC$1006:AC1006),$AC$1006:$AS$1006,0)))),"Fix")))</f>
        <v>0</v>
      </c>
      <c r="C496" s="5">
        <f>IF(OR(INDEX($W$2:$W$1001,MATCH(ROWS($V$2:V496),$V$2:$V$1001,0),1)&gt;=100000,INDEX($AC$1005:$AS$1005,1,MATCH(COLUMNS($AC$1006:AD1006),$AC$1006:$AS$1006,0))&gt;=100000), " ",IF(INDEX($AC$2:$AS$1001,MATCH(ROWS($V$2:V496),$V$2:$V$1001,0),MATCH(COLUMNS($AC$1006:AD1006),$AC$1006:$AS$1006,0)), HYPERLINK("#",""), HYPERLINK(CONCATENATE("#Metadata!", ADDRESS(INDEX($X$2:$X$1001,MATCH(ROWS($V$2:V496),$V$2:$V$1001,0),0), INDEX($AC$1004:$AS$1004,1,MATCH(COLUMNS($AC$1006:AD1006),$AC$1006:$AS$1006,0)))),"Fix")))</f>
        <v>0</v>
      </c>
      <c r="D496" s="5">
        <f>IF(OR(INDEX($W$2:$W$1001,MATCH(ROWS($V$2:V496),$V$2:$V$1001,0),1)&gt;=100000,INDEX($AC$1005:$AS$1005,1,MATCH(COLUMNS($AC$1006:AE1006),$AC$1006:$AS$1006,0))&gt;=100000), " ",IF(INDEX($AC$2:$AS$1001,MATCH(ROWS($V$2:V496),$V$2:$V$1001,0),MATCH(COLUMNS($AC$1006:AE1006),$AC$1006:$AS$1006,0)), HYPERLINK("#",""), HYPERLINK(CONCATENATE("#Metadata!", ADDRESS(INDEX($X$2:$X$1001,MATCH(ROWS($V$2:V496),$V$2:$V$1001,0),0), INDEX($AC$1004:$AS$1004,1,MATCH(COLUMNS($AC$1006:AE1006),$AC$1006:$AS$1006,0)))),"Fix")))</f>
        <v>0</v>
      </c>
      <c r="E496" s="5">
        <f>IF(OR(INDEX($W$2:$W$1001,MATCH(ROWS($V$2:V496),$V$2:$V$1001,0),1)&gt;=100000,INDEX($AC$1005:$AS$1005,1,MATCH(COLUMNS($AC$1006:AF1006),$AC$1006:$AS$1006,0))&gt;=100000), " ",IF(INDEX($AC$2:$AS$1001,MATCH(ROWS($V$2:V496),$V$2:$V$1001,0),MATCH(COLUMNS($AC$1006:AF1006),$AC$1006:$AS$1006,0)), HYPERLINK("#",""), HYPERLINK(CONCATENATE("#Metadata!", ADDRESS(INDEX($X$2:$X$1001,MATCH(ROWS($V$2:V496),$V$2:$V$1001,0),0), INDEX($AC$1004:$AS$1004,1,MATCH(COLUMNS($AC$1006:AF1006),$AC$1006:$AS$1006,0)))),"Fix")))</f>
        <v>0</v>
      </c>
      <c r="F496" s="5">
        <f>IF(OR(INDEX($W$2:$W$1001,MATCH(ROWS($V$2:V496),$V$2:$V$1001,0),1)&gt;=100000,INDEX($AC$1005:$AS$1005,1,MATCH(COLUMNS($AC$1006:AG1006),$AC$1006:$AS$1006,0))&gt;=100000), " ",IF(INDEX($AC$2:$AS$1001,MATCH(ROWS($V$2:V496),$V$2:$V$1001,0),MATCH(COLUMNS($AC$1006:AG1006),$AC$1006:$AS$1006,0)), HYPERLINK("#",""), HYPERLINK(CONCATENATE("#Metadata!", ADDRESS(INDEX($X$2:$X$1001,MATCH(ROWS($V$2:V496),$V$2:$V$1001,0),0), INDEX($AC$1004:$AS$1004,1,MATCH(COLUMNS($AC$1006:AG1006),$AC$1006:$AS$1006,0)))),"Fix")))</f>
        <v>0</v>
      </c>
      <c r="G496" s="5">
        <f>IF(OR(INDEX($W$2:$W$1001,MATCH(ROWS($V$2:V496),$V$2:$V$1001,0),1)&gt;=100000,INDEX($AC$1005:$AS$1005,1,MATCH(COLUMNS($AC$1006:AH1006),$AC$1006:$AS$1006,0))&gt;=100000), " ",IF(INDEX($AC$2:$AS$1001,MATCH(ROWS($V$2:V496),$V$2:$V$1001,0),MATCH(COLUMNS($AC$1006:AH1006),$AC$1006:$AS$1006,0)), HYPERLINK("#",""), HYPERLINK(CONCATENATE("#Metadata!", ADDRESS(INDEX($X$2:$X$1001,MATCH(ROWS($V$2:V496),$V$2:$V$1001,0),0), INDEX($AC$1004:$AS$1004,1,MATCH(COLUMNS($AC$1006:AH1006),$AC$1006:$AS$1006,0)))),"Fix")))</f>
        <v>0</v>
      </c>
      <c r="H496" s="5">
        <f>IF(OR(INDEX($W$2:$W$1001,MATCH(ROWS($V$2:V496),$V$2:$V$1001,0),1)&gt;=100000,INDEX($AC$1005:$AS$1005,1,MATCH(COLUMNS($AC$1006:AI1006),$AC$1006:$AS$1006,0))&gt;=100000), " ",IF(INDEX($AC$2:$AS$1001,MATCH(ROWS($V$2:V496),$V$2:$V$1001,0),MATCH(COLUMNS($AC$1006:AI1006),$AC$1006:$AS$1006,0)), HYPERLINK("#",""), HYPERLINK(CONCATENATE("#Metadata!", ADDRESS(INDEX($X$2:$X$1001,MATCH(ROWS($V$2:V496),$V$2:$V$1001,0),0), INDEX($AC$1004:$AS$1004,1,MATCH(COLUMNS($AC$1006:AI1006),$AC$1006:$AS$1006,0)))),"Fix")))</f>
        <v>0</v>
      </c>
      <c r="I496" s="5">
        <f>IF(OR(INDEX($W$2:$W$1001,MATCH(ROWS($V$2:V496),$V$2:$V$1001,0),1)&gt;=100000,INDEX($AC$1005:$AS$1005,1,MATCH(COLUMNS($AC$1006:AJ1006),$AC$1006:$AS$1006,0))&gt;=100000), " ",IF(INDEX($AC$2:$AS$1001,MATCH(ROWS($V$2:V496),$V$2:$V$1001,0),MATCH(COLUMNS($AC$1006:AJ1006),$AC$1006:$AS$1006,0)), HYPERLINK("#",""), HYPERLINK(CONCATENATE("#Metadata!", ADDRESS(INDEX($X$2:$X$1001,MATCH(ROWS($V$2:V496),$V$2:$V$1001,0),0), INDEX($AC$1004:$AS$1004,1,MATCH(COLUMNS($AC$1006:AJ1006),$AC$1006:$AS$1006,0)))),"Fix")))</f>
        <v>0</v>
      </c>
      <c r="J496" s="5">
        <f>IF(OR(INDEX($W$2:$W$1001,MATCH(ROWS($V$2:V496),$V$2:$V$1001,0),1)&gt;=100000,INDEX($AC$1005:$AS$1005,1,MATCH(COLUMNS($AC$1006:AK1006),$AC$1006:$AS$1006,0))&gt;=100000), " ",IF(INDEX($AC$2:$AS$1001,MATCH(ROWS($V$2:V496),$V$2:$V$1001,0),MATCH(COLUMNS($AC$1006:AK1006),$AC$1006:$AS$1006,0)), HYPERLINK("#",""), HYPERLINK(CONCATENATE("#Metadata!", ADDRESS(INDEX($X$2:$X$1001,MATCH(ROWS($V$2:V496),$V$2:$V$1001,0),0), INDEX($AC$1004:$AS$1004,1,MATCH(COLUMNS($AC$1006:AK1006),$AC$1006:$AS$1006,0)))),"Fix")))</f>
        <v>0</v>
      </c>
      <c r="K496" s="5">
        <f>IF(OR(INDEX($W$2:$W$1001,MATCH(ROWS($V$2:V496),$V$2:$V$1001,0),1)&gt;=100000,INDEX($AC$1005:$AS$1005,1,MATCH(COLUMNS($AC$1006:AL1006),$AC$1006:$AS$1006,0))&gt;=100000), " ",IF(INDEX($AC$2:$AS$1001,MATCH(ROWS($V$2:V496),$V$2:$V$1001,0),MATCH(COLUMNS($AC$1006:AL1006),$AC$1006:$AS$1006,0)), HYPERLINK("#",""), HYPERLINK(CONCATENATE("#Metadata!", ADDRESS(INDEX($X$2:$X$1001,MATCH(ROWS($V$2:V496),$V$2:$V$1001,0),0), INDEX($AC$1004:$AS$1004,1,MATCH(COLUMNS($AC$1006:AL1006),$AC$1006:$AS$1006,0)))),"Fix")))</f>
        <v>0</v>
      </c>
      <c r="L496" s="5">
        <f>IF(OR(INDEX($W$2:$W$1001,MATCH(ROWS($V$2:V496),$V$2:$V$1001,0),1)&gt;=100000,INDEX($AC$1005:$AS$1005,1,MATCH(COLUMNS($AC$1006:AM1006),$AC$1006:$AS$1006,0))&gt;=100000), " ",IF(INDEX($AC$2:$AS$1001,MATCH(ROWS($V$2:V496),$V$2:$V$1001,0),MATCH(COLUMNS($AC$1006:AM1006),$AC$1006:$AS$1006,0)), HYPERLINK("#",""), HYPERLINK(CONCATENATE("#Metadata!", ADDRESS(INDEX($X$2:$X$1001,MATCH(ROWS($V$2:V496),$V$2:$V$1001,0),0), INDEX($AC$1004:$AS$1004,1,MATCH(COLUMNS($AC$1006:AM1006),$AC$1006:$AS$1006,0)))),"Fix")))</f>
        <v>0</v>
      </c>
      <c r="M496" s="5">
        <f>IF(OR(INDEX($W$2:$W$1001,MATCH(ROWS($V$2:V496),$V$2:$V$1001,0),1)&gt;=100000,INDEX($AC$1005:$AS$1005,1,MATCH(COLUMNS($AC$1006:AN1006),$AC$1006:$AS$1006,0))&gt;=100000), " ",IF(INDEX($AC$2:$AS$1001,MATCH(ROWS($V$2:V496),$V$2:$V$1001,0),MATCH(COLUMNS($AC$1006:AN1006),$AC$1006:$AS$1006,0)), HYPERLINK("#",""), HYPERLINK(CONCATENATE("#Metadata!", ADDRESS(INDEX($X$2:$X$1001,MATCH(ROWS($V$2:V496),$V$2:$V$1001,0),0), INDEX($AC$1004:$AS$1004,1,MATCH(COLUMNS($AC$1006:AN1006),$AC$1006:$AS$1006,0)))),"Fix")))</f>
        <v>0</v>
      </c>
      <c r="N496" s="5">
        <f>IF(OR(INDEX($W$2:$W$1001,MATCH(ROWS($V$2:V496),$V$2:$V$1001,0),1)&gt;=100000,INDEX($AC$1005:$AS$1005,1,MATCH(COLUMNS($AC$1006:AO1006),$AC$1006:$AS$1006,0))&gt;=100000), " ",IF(INDEX($AC$2:$AS$1001,MATCH(ROWS($V$2:V496),$V$2:$V$1001,0),MATCH(COLUMNS($AC$1006:AO1006),$AC$1006:$AS$1006,0)), HYPERLINK("#",""), HYPERLINK(CONCATENATE("#Metadata!", ADDRESS(INDEX($X$2:$X$1001,MATCH(ROWS($V$2:V496),$V$2:$V$1001,0),0), INDEX($AC$1004:$AS$1004,1,MATCH(COLUMNS($AC$1006:AO1006),$AC$1006:$AS$1006,0)))),"Fix")))</f>
        <v>0</v>
      </c>
      <c r="O496" s="5">
        <f>IF(OR(INDEX($W$2:$W$1001,MATCH(ROWS($V$2:V496),$V$2:$V$1001,0),1)&gt;=100000,INDEX($AC$1005:$AS$1005,1,MATCH(COLUMNS($AC$1006:AP1006),$AC$1006:$AS$1006,0))&gt;=100000), " ",IF(INDEX($AC$2:$AS$1001,MATCH(ROWS($V$2:V496),$V$2:$V$1001,0),MATCH(COLUMNS($AC$1006:AP1006),$AC$1006:$AS$1006,0)), HYPERLINK("#",""), HYPERLINK(CONCATENATE("#Metadata!", ADDRESS(INDEX($X$2:$X$1001,MATCH(ROWS($V$2:V496),$V$2:$V$1001,0),0), INDEX($AC$1004:$AS$1004,1,MATCH(COLUMNS($AC$1006:AP1006),$AC$1006:$AS$1006,0)))),"Fix")))</f>
        <v>0</v>
      </c>
      <c r="P496" s="5">
        <f>IF(OR(INDEX($W$2:$W$1001,MATCH(ROWS($V$2:V496),$V$2:$V$1001,0),1)&gt;=100000,INDEX($AC$1005:$AS$1005,1,MATCH(COLUMNS($AC$1006:AQ1006),$AC$1006:$AS$1006,0))&gt;=100000), " ",IF(INDEX($AC$2:$AS$1001,MATCH(ROWS($V$2:V496),$V$2:$V$1001,0),MATCH(COLUMNS($AC$1006:AQ1006),$AC$1006:$AS$1006,0)), HYPERLINK("#",""), HYPERLINK(CONCATENATE("#Metadata!", ADDRESS(INDEX($X$2:$X$1001,MATCH(ROWS($V$2:V496),$V$2:$V$1001,0),0), INDEX($AC$1004:$AS$1004,1,MATCH(COLUMNS($AC$1006:AQ1006),$AC$1006:$AS$1006,0)))),"Fix")))</f>
        <v>0</v>
      </c>
      <c r="Q496" s="5">
        <f>IF(OR(INDEX($W$2:$W$1001,MATCH(ROWS($V$2:V496),$V$2:$V$1001,0),1)&gt;=100000,INDEX($AC$1005:$AS$1005,1,MATCH(COLUMNS($AC$1006:AR1006),$AC$1006:$AS$1006,0))&gt;=100000), " ",IF(INDEX($AC$2:$AS$1001,MATCH(ROWS($V$2:V496),$V$2:$V$1001,0),MATCH(COLUMNS($AC$1006:AR1006),$AC$1006:$AS$1006,0)), HYPERLINK("#",""), HYPERLINK(CONCATENATE("#Metadata!", ADDRESS(INDEX($X$2:$X$1001,MATCH(ROWS($V$2:V496),$V$2:$V$1001,0),0), INDEX($AC$1004:$AS$1004,1,MATCH(COLUMNS($AC$1006:AR1006),$AC$1006:$AS$1006,0)))),"Fix")))</f>
        <v>0</v>
      </c>
      <c r="R496" s="5">
        <f>IF(OR(INDEX($W$2:$W$1001,MATCH(ROWS($V$2:V496),$V$2:$V$1001,0),1)&gt;=100000,INDEX($AC$1005:$AS$1005,1,MATCH(COLUMNS($AC$1006:AS1006),$AC$1006:$AS$1006,0))&gt;=100000), " ",IF(INDEX($AC$2:$AS$1001,MATCH(ROWS($V$2:V496),$V$2:$V$1001,0),MATCH(COLUMNS($AC$1006:AS1006),$AC$1006:$AS$1006,0)), HYPERLINK("#",""), HYPERLINK(CONCATENATE("#Metadata!", ADDRESS(INDEX($X$2:$X$1001,MATCH(ROWS($V$2:V496),$V$2:$V$1001,0),0), INDEX($AC$1004:$AS$1004,1,MATCH(COLUMNS($AC$1006:AS1006),$AC$1006:$AS$1006,0)))),"Fix")))</f>
        <v>0</v>
      </c>
      <c r="V496">
        <v>0</v>
      </c>
      <c r="W496">
        <v>0</v>
      </c>
      <c r="X496">
        <v>0</v>
      </c>
      <c r="Y496">
        <f>IF(Z496,TRUE,AND(AC496:AS496))</f>
        <v>0</v>
      </c>
      <c r="Z496">
        <f>COUNTBLANK(Metadata!B496:R496)=COLUMNS(Metadata!B496:R496)</f>
        <v>0</v>
      </c>
      <c r="AA496">
        <v>0</v>
      </c>
      <c r="AC496">
        <f>AND(IF(Metadata!B496="",FALSE,TRUE),COUNTIF(Metadata!B:B, Metadata!B496) = 1,NOT(ISERROR(SUMPRODUCT(SEARCH(MID(Metadata!B496,ROW(INDIRECT("1:"&amp;LEN(Metadata!B496))), 1),"0123456789abcdefghijklmnopqrstuvwxyzABCDEFGHIJKLMNOPQRSTUVWXYZ.")))))</f>
        <v>0</v>
      </c>
      <c r="AD496">
        <f>AND(IF(Metadata!C496="",FALSE,TRUE),exact(Metadata!C496,"Host-associated"))</f>
        <v>0</v>
      </c>
      <c r="AE496">
        <f>AND(IF(Metadata!D496="",FALSE,TRUE),OR(exact(Metadata!D496,"Animal"),exact(Metadata!D496,"Fungus"),exact(Metadata!D496,"Plant")))</f>
        <v>0</v>
      </c>
      <c r="AF496">
        <f>AND(IF(Metadata!E496="",FALSE,TRUE),OR(exact(Metadata!E496,"Plant secretion"),exact(Metadata!E496,"Plant rhizosphere"),exact(Metadata!E496,"Plant surface"),exact(Metadata!E496,"Plant corpus"),exact(Metadata!E496,"Fungus surface"),exact(Metadata!E496,"Fungus corpus"),exact(Metadata!E496,"Animal surface"),exact(Metadata!E496,"Animal proximal gut"),exact(Metadata!E496,"Animal corpus"),exact(Metadata!E496,"Animal distal gut"),exact(Metadata!E496,"Animal secretion")))</f>
        <v>0</v>
      </c>
      <c r="AG496">
        <f>OR(AND(IF(Metadata!F496="",FALSE,TRUE),OR(exact(Metadata!F496,"not collected"),exact(Metadata!F496,"not provided"),exact(Metadata!F496,"restricted access"))),AND(IF(Metadata!F496="",FALSE,TRUE),OR(exact(Metadata!F496,"organism-associated habitat"),exact(Metadata!F496,"plant-associated habitat"),exact(Metadata!F496,"animal-associated habitat"),exact(Metadata!F496,"insecta-associated habitat"),exact(Metadata!F496,"mammalia-associated habitat"),exact(Metadata!F496,"human-associated habitat"),exact(Metadata!F496,"livestock-associated habitat"))))</f>
        <v>0</v>
      </c>
      <c r="AH496">
        <f>AND(IF(Metadata!G496="",FALSE,TRUE),exact(Metadata!G496,"host-associated"))</f>
        <v>0</v>
      </c>
      <c r="AI496">
        <f>OR(AND(IF(Metadata!H496="",FALSE,TRUE),OR(exact(Metadata!H496,"not collected"),exact(Metadata!H496,"not provided"))),AND(IF(Metadata!H496="",FALSE,ISNUMBER(VALUE(Metadata!H496))),Metadata!H496&gt;0))</f>
        <v>0</v>
      </c>
      <c r="AJ496">
        <f>AND(IF(Metadata!I496="",FALSE,TRUE),exact(Metadata!I496,"years"))</f>
        <v>0</v>
      </c>
      <c r="AK496">
        <f>IF(Metadata!J496="",FALSE,TRUE)</f>
        <v>0</v>
      </c>
      <c r="AL496">
        <f>OR(AND(IF(Metadata!K496="",FALSE,TRUE),OR(exact(Metadata!K496,"not collected"),exact(Metadata!K496,"not provided"))),AND(IF(Metadata!K496="",FALSE,ISNUMBER(VALUE(Metadata!K496))),Metadata!K496&gt;0))</f>
        <v>0</v>
      </c>
      <c r="AM496">
        <f>AND(IF(Metadata!L496="",FALSE,TRUE),exact(Metadata!L496,"cm"))</f>
        <v>0</v>
      </c>
      <c r="AN496">
        <f>IF(Metadata!M496="",FALSE,TRUE)</f>
        <v>0</v>
      </c>
      <c r="AO496">
        <f>OR(AND(IF(Metadata!N496="",FALSE,TRUE),OR(exact(Metadata!N496,"not applicable"),exact(Metadata!N496,"not collected"),exact(Metadata!N496,"not provided"))),AND(IF(Metadata!N496="",FALSE,IF(ISERROR(INT(Metadata!N496)),FALSE,INT(Metadata!N496)=Metadata!N496)),Metadata!N496&gt;0))</f>
        <v>0</v>
      </c>
      <c r="AP496">
        <f>OR(AND(IF(Metadata!O496="",FALSE,TRUE),OR(exact(Metadata!O496,"not collected"),exact(Metadata!O496,"not provided"))),AND(IF(Metadata!O496="",FALSE,ISNUMBER(VALUE(Metadata!O496))),Metadata!O496&gt;0))</f>
        <v>0</v>
      </c>
      <c r="AQ496">
        <f>AND(IF(Metadata!P496="",FALSE,TRUE),exact(Metadata!P496,"kg"))</f>
        <v>0</v>
      </c>
      <c r="AR496">
        <f>OR(AND(IF(Metadata!Q496="",FALSE,TRUE),OR(exact(Metadata!Q496,"not applicable"),exact(Metadata!Q496,"not collected"),exact(Metadata!Q496,"not provided"),exact(Metadata!Q496,"restricted access"))),IF(Metadata!Q496="",FALSE,IF(ISERROR(INT(Metadata!Q496)),FALSE,INT(Metadata!Q496)=Metadata!Q496)))</f>
        <v>0</v>
      </c>
      <c r="AS496">
        <f>AND(IF(Metadata!R496="",FALSE,TRUE),exact(Metadata!R496,"Not applicable"))</f>
        <v>0</v>
      </c>
    </row>
    <row r="497" spans="1:45">
      <c r="A497" s="4">
        <f>IF(B497=" "," ",HYPERLINK(CONCATENATE("#metadata!",ADDRESS(INDEX($X$2:$X$1001,MATCH(ROWS($V$2:V497),$V$2:$V$1001,0),0),2)),INDEX($AA$2:$AA$1001,MATCH(ROWS($V$2:V497),$V$2:$V$1001,0),0)))</f>
        <v>0</v>
      </c>
      <c r="B497" s="5">
        <f>IF(OR(INDEX($W$2:$W$1001,MATCH(ROWS($V$2:V497),$V$2:$V$1001,0),1)&gt;=100000,INDEX($AC$1005:$AS$1005,1,MATCH(COLUMNS($AC$1006:AC1006),$AC$1006:$AS$1006,0))&gt;=100000), " ",IF(INDEX($AC$2:$AS$1001,MATCH(ROWS($V$2:V497),$V$2:$V$1001,0),MATCH(COLUMNS($AC$1006:AC1006),$AC$1006:$AS$1006,0)), HYPERLINK("#",""), HYPERLINK(CONCATENATE("#Metadata!", ADDRESS(INDEX($X$2:$X$1001,MATCH(ROWS($V$2:V497),$V$2:$V$1001,0),0), INDEX($AC$1004:$AS$1004,1,MATCH(COLUMNS($AC$1006:AC1006),$AC$1006:$AS$1006,0)))),"Fix")))</f>
        <v>0</v>
      </c>
      <c r="C497" s="5">
        <f>IF(OR(INDEX($W$2:$W$1001,MATCH(ROWS($V$2:V497),$V$2:$V$1001,0),1)&gt;=100000,INDEX($AC$1005:$AS$1005,1,MATCH(COLUMNS($AC$1006:AD1006),$AC$1006:$AS$1006,0))&gt;=100000), " ",IF(INDEX($AC$2:$AS$1001,MATCH(ROWS($V$2:V497),$V$2:$V$1001,0),MATCH(COLUMNS($AC$1006:AD1006),$AC$1006:$AS$1006,0)), HYPERLINK("#",""), HYPERLINK(CONCATENATE("#Metadata!", ADDRESS(INDEX($X$2:$X$1001,MATCH(ROWS($V$2:V497),$V$2:$V$1001,0),0), INDEX($AC$1004:$AS$1004,1,MATCH(COLUMNS($AC$1006:AD1006),$AC$1006:$AS$1006,0)))),"Fix")))</f>
        <v>0</v>
      </c>
      <c r="D497" s="5">
        <f>IF(OR(INDEX($W$2:$W$1001,MATCH(ROWS($V$2:V497),$V$2:$V$1001,0),1)&gt;=100000,INDEX($AC$1005:$AS$1005,1,MATCH(COLUMNS($AC$1006:AE1006),$AC$1006:$AS$1006,0))&gt;=100000), " ",IF(INDEX($AC$2:$AS$1001,MATCH(ROWS($V$2:V497),$V$2:$V$1001,0),MATCH(COLUMNS($AC$1006:AE1006),$AC$1006:$AS$1006,0)), HYPERLINK("#",""), HYPERLINK(CONCATENATE("#Metadata!", ADDRESS(INDEX($X$2:$X$1001,MATCH(ROWS($V$2:V497),$V$2:$V$1001,0),0), INDEX($AC$1004:$AS$1004,1,MATCH(COLUMNS($AC$1006:AE1006),$AC$1006:$AS$1006,0)))),"Fix")))</f>
        <v>0</v>
      </c>
      <c r="E497" s="5">
        <f>IF(OR(INDEX($W$2:$W$1001,MATCH(ROWS($V$2:V497),$V$2:$V$1001,0),1)&gt;=100000,INDEX($AC$1005:$AS$1005,1,MATCH(COLUMNS($AC$1006:AF1006),$AC$1006:$AS$1006,0))&gt;=100000), " ",IF(INDEX($AC$2:$AS$1001,MATCH(ROWS($V$2:V497),$V$2:$V$1001,0),MATCH(COLUMNS($AC$1006:AF1006),$AC$1006:$AS$1006,0)), HYPERLINK("#",""), HYPERLINK(CONCATENATE("#Metadata!", ADDRESS(INDEX($X$2:$X$1001,MATCH(ROWS($V$2:V497),$V$2:$V$1001,0),0), INDEX($AC$1004:$AS$1004,1,MATCH(COLUMNS($AC$1006:AF1006),$AC$1006:$AS$1006,0)))),"Fix")))</f>
        <v>0</v>
      </c>
      <c r="F497" s="5">
        <f>IF(OR(INDEX($W$2:$W$1001,MATCH(ROWS($V$2:V497),$V$2:$V$1001,0),1)&gt;=100000,INDEX($AC$1005:$AS$1005,1,MATCH(COLUMNS($AC$1006:AG1006),$AC$1006:$AS$1006,0))&gt;=100000), " ",IF(INDEX($AC$2:$AS$1001,MATCH(ROWS($V$2:V497),$V$2:$V$1001,0),MATCH(COLUMNS($AC$1006:AG1006),$AC$1006:$AS$1006,0)), HYPERLINK("#",""), HYPERLINK(CONCATENATE("#Metadata!", ADDRESS(INDEX($X$2:$X$1001,MATCH(ROWS($V$2:V497),$V$2:$V$1001,0),0), INDEX($AC$1004:$AS$1004,1,MATCH(COLUMNS($AC$1006:AG1006),$AC$1006:$AS$1006,0)))),"Fix")))</f>
        <v>0</v>
      </c>
      <c r="G497" s="5">
        <f>IF(OR(INDEX($W$2:$W$1001,MATCH(ROWS($V$2:V497),$V$2:$V$1001,0),1)&gt;=100000,INDEX($AC$1005:$AS$1005,1,MATCH(COLUMNS($AC$1006:AH1006),$AC$1006:$AS$1006,0))&gt;=100000), " ",IF(INDEX($AC$2:$AS$1001,MATCH(ROWS($V$2:V497),$V$2:$V$1001,0),MATCH(COLUMNS($AC$1006:AH1006),$AC$1006:$AS$1006,0)), HYPERLINK("#",""), HYPERLINK(CONCATENATE("#Metadata!", ADDRESS(INDEX($X$2:$X$1001,MATCH(ROWS($V$2:V497),$V$2:$V$1001,0),0), INDEX($AC$1004:$AS$1004,1,MATCH(COLUMNS($AC$1006:AH1006),$AC$1006:$AS$1006,0)))),"Fix")))</f>
        <v>0</v>
      </c>
      <c r="H497" s="5">
        <f>IF(OR(INDEX($W$2:$W$1001,MATCH(ROWS($V$2:V497),$V$2:$V$1001,0),1)&gt;=100000,INDEX($AC$1005:$AS$1005,1,MATCH(COLUMNS($AC$1006:AI1006),$AC$1006:$AS$1006,0))&gt;=100000), " ",IF(INDEX($AC$2:$AS$1001,MATCH(ROWS($V$2:V497),$V$2:$V$1001,0),MATCH(COLUMNS($AC$1006:AI1006),$AC$1006:$AS$1006,0)), HYPERLINK("#",""), HYPERLINK(CONCATENATE("#Metadata!", ADDRESS(INDEX($X$2:$X$1001,MATCH(ROWS($V$2:V497),$V$2:$V$1001,0),0), INDEX($AC$1004:$AS$1004,1,MATCH(COLUMNS($AC$1006:AI1006),$AC$1006:$AS$1006,0)))),"Fix")))</f>
        <v>0</v>
      </c>
      <c r="I497" s="5">
        <f>IF(OR(INDEX($W$2:$W$1001,MATCH(ROWS($V$2:V497),$V$2:$V$1001,0),1)&gt;=100000,INDEX($AC$1005:$AS$1005,1,MATCH(COLUMNS($AC$1006:AJ1006),$AC$1006:$AS$1006,0))&gt;=100000), " ",IF(INDEX($AC$2:$AS$1001,MATCH(ROWS($V$2:V497),$V$2:$V$1001,0),MATCH(COLUMNS($AC$1006:AJ1006),$AC$1006:$AS$1006,0)), HYPERLINK("#",""), HYPERLINK(CONCATENATE("#Metadata!", ADDRESS(INDEX($X$2:$X$1001,MATCH(ROWS($V$2:V497),$V$2:$V$1001,0),0), INDEX($AC$1004:$AS$1004,1,MATCH(COLUMNS($AC$1006:AJ1006),$AC$1006:$AS$1006,0)))),"Fix")))</f>
        <v>0</v>
      </c>
      <c r="J497" s="5">
        <f>IF(OR(INDEX($W$2:$W$1001,MATCH(ROWS($V$2:V497),$V$2:$V$1001,0),1)&gt;=100000,INDEX($AC$1005:$AS$1005,1,MATCH(COLUMNS($AC$1006:AK1006),$AC$1006:$AS$1006,0))&gt;=100000), " ",IF(INDEX($AC$2:$AS$1001,MATCH(ROWS($V$2:V497),$V$2:$V$1001,0),MATCH(COLUMNS($AC$1006:AK1006),$AC$1006:$AS$1006,0)), HYPERLINK("#",""), HYPERLINK(CONCATENATE("#Metadata!", ADDRESS(INDEX($X$2:$X$1001,MATCH(ROWS($V$2:V497),$V$2:$V$1001,0),0), INDEX($AC$1004:$AS$1004,1,MATCH(COLUMNS($AC$1006:AK1006),$AC$1006:$AS$1006,0)))),"Fix")))</f>
        <v>0</v>
      </c>
      <c r="K497" s="5">
        <f>IF(OR(INDEX($W$2:$W$1001,MATCH(ROWS($V$2:V497),$V$2:$V$1001,0),1)&gt;=100000,INDEX($AC$1005:$AS$1005,1,MATCH(COLUMNS($AC$1006:AL1006),$AC$1006:$AS$1006,0))&gt;=100000), " ",IF(INDEX($AC$2:$AS$1001,MATCH(ROWS($V$2:V497),$V$2:$V$1001,0),MATCH(COLUMNS($AC$1006:AL1006),$AC$1006:$AS$1006,0)), HYPERLINK("#",""), HYPERLINK(CONCATENATE("#Metadata!", ADDRESS(INDEX($X$2:$X$1001,MATCH(ROWS($V$2:V497),$V$2:$V$1001,0),0), INDEX($AC$1004:$AS$1004,1,MATCH(COLUMNS($AC$1006:AL1006),$AC$1006:$AS$1006,0)))),"Fix")))</f>
        <v>0</v>
      </c>
      <c r="L497" s="5">
        <f>IF(OR(INDEX($W$2:$W$1001,MATCH(ROWS($V$2:V497),$V$2:$V$1001,0),1)&gt;=100000,INDEX($AC$1005:$AS$1005,1,MATCH(COLUMNS($AC$1006:AM1006),$AC$1006:$AS$1006,0))&gt;=100000), " ",IF(INDEX($AC$2:$AS$1001,MATCH(ROWS($V$2:V497),$V$2:$V$1001,0),MATCH(COLUMNS($AC$1006:AM1006),$AC$1006:$AS$1006,0)), HYPERLINK("#",""), HYPERLINK(CONCATENATE("#Metadata!", ADDRESS(INDEX($X$2:$X$1001,MATCH(ROWS($V$2:V497),$V$2:$V$1001,0),0), INDEX($AC$1004:$AS$1004,1,MATCH(COLUMNS($AC$1006:AM1006),$AC$1006:$AS$1006,0)))),"Fix")))</f>
        <v>0</v>
      </c>
      <c r="M497" s="5">
        <f>IF(OR(INDEX($W$2:$W$1001,MATCH(ROWS($V$2:V497),$V$2:$V$1001,0),1)&gt;=100000,INDEX($AC$1005:$AS$1005,1,MATCH(COLUMNS($AC$1006:AN1006),$AC$1006:$AS$1006,0))&gt;=100000), " ",IF(INDEX($AC$2:$AS$1001,MATCH(ROWS($V$2:V497),$V$2:$V$1001,0),MATCH(COLUMNS($AC$1006:AN1006),$AC$1006:$AS$1006,0)), HYPERLINK("#",""), HYPERLINK(CONCATENATE("#Metadata!", ADDRESS(INDEX($X$2:$X$1001,MATCH(ROWS($V$2:V497),$V$2:$V$1001,0),0), INDEX($AC$1004:$AS$1004,1,MATCH(COLUMNS($AC$1006:AN1006),$AC$1006:$AS$1006,0)))),"Fix")))</f>
        <v>0</v>
      </c>
      <c r="N497" s="5">
        <f>IF(OR(INDEX($W$2:$W$1001,MATCH(ROWS($V$2:V497),$V$2:$V$1001,0),1)&gt;=100000,INDEX($AC$1005:$AS$1005,1,MATCH(COLUMNS($AC$1006:AO1006),$AC$1006:$AS$1006,0))&gt;=100000), " ",IF(INDEX($AC$2:$AS$1001,MATCH(ROWS($V$2:V497),$V$2:$V$1001,0),MATCH(COLUMNS($AC$1006:AO1006),$AC$1006:$AS$1006,0)), HYPERLINK("#",""), HYPERLINK(CONCATENATE("#Metadata!", ADDRESS(INDEX($X$2:$X$1001,MATCH(ROWS($V$2:V497),$V$2:$V$1001,0),0), INDEX($AC$1004:$AS$1004,1,MATCH(COLUMNS($AC$1006:AO1006),$AC$1006:$AS$1006,0)))),"Fix")))</f>
        <v>0</v>
      </c>
      <c r="O497" s="5">
        <f>IF(OR(INDEX($W$2:$W$1001,MATCH(ROWS($V$2:V497),$V$2:$V$1001,0),1)&gt;=100000,INDEX($AC$1005:$AS$1005,1,MATCH(COLUMNS($AC$1006:AP1006),$AC$1006:$AS$1006,0))&gt;=100000), " ",IF(INDEX($AC$2:$AS$1001,MATCH(ROWS($V$2:V497),$V$2:$V$1001,0),MATCH(COLUMNS($AC$1006:AP1006),$AC$1006:$AS$1006,0)), HYPERLINK("#",""), HYPERLINK(CONCATENATE("#Metadata!", ADDRESS(INDEX($X$2:$X$1001,MATCH(ROWS($V$2:V497),$V$2:$V$1001,0),0), INDEX($AC$1004:$AS$1004,1,MATCH(COLUMNS($AC$1006:AP1006),$AC$1006:$AS$1006,0)))),"Fix")))</f>
        <v>0</v>
      </c>
      <c r="P497" s="5">
        <f>IF(OR(INDEX($W$2:$W$1001,MATCH(ROWS($V$2:V497),$V$2:$V$1001,0),1)&gt;=100000,INDEX($AC$1005:$AS$1005,1,MATCH(COLUMNS($AC$1006:AQ1006),$AC$1006:$AS$1006,0))&gt;=100000), " ",IF(INDEX($AC$2:$AS$1001,MATCH(ROWS($V$2:V497),$V$2:$V$1001,0),MATCH(COLUMNS($AC$1006:AQ1006),$AC$1006:$AS$1006,0)), HYPERLINK("#",""), HYPERLINK(CONCATENATE("#Metadata!", ADDRESS(INDEX($X$2:$X$1001,MATCH(ROWS($V$2:V497),$V$2:$V$1001,0),0), INDEX($AC$1004:$AS$1004,1,MATCH(COLUMNS($AC$1006:AQ1006),$AC$1006:$AS$1006,0)))),"Fix")))</f>
        <v>0</v>
      </c>
      <c r="Q497" s="5">
        <f>IF(OR(INDEX($W$2:$W$1001,MATCH(ROWS($V$2:V497),$V$2:$V$1001,0),1)&gt;=100000,INDEX($AC$1005:$AS$1005,1,MATCH(COLUMNS($AC$1006:AR1006),$AC$1006:$AS$1006,0))&gt;=100000), " ",IF(INDEX($AC$2:$AS$1001,MATCH(ROWS($V$2:V497),$V$2:$V$1001,0),MATCH(COLUMNS($AC$1006:AR1006),$AC$1006:$AS$1006,0)), HYPERLINK("#",""), HYPERLINK(CONCATENATE("#Metadata!", ADDRESS(INDEX($X$2:$X$1001,MATCH(ROWS($V$2:V497),$V$2:$V$1001,0),0), INDEX($AC$1004:$AS$1004,1,MATCH(COLUMNS($AC$1006:AR1006),$AC$1006:$AS$1006,0)))),"Fix")))</f>
        <v>0</v>
      </c>
      <c r="R497" s="5">
        <f>IF(OR(INDEX($W$2:$W$1001,MATCH(ROWS($V$2:V497),$V$2:$V$1001,0),1)&gt;=100000,INDEX($AC$1005:$AS$1005,1,MATCH(COLUMNS($AC$1006:AS1006),$AC$1006:$AS$1006,0))&gt;=100000), " ",IF(INDEX($AC$2:$AS$1001,MATCH(ROWS($V$2:V497),$V$2:$V$1001,0),MATCH(COLUMNS($AC$1006:AS1006),$AC$1006:$AS$1006,0)), HYPERLINK("#",""), HYPERLINK(CONCATENATE("#Metadata!", ADDRESS(INDEX($X$2:$X$1001,MATCH(ROWS($V$2:V497),$V$2:$V$1001,0),0), INDEX($AC$1004:$AS$1004,1,MATCH(COLUMNS($AC$1006:AS1006),$AC$1006:$AS$1006,0)))),"Fix")))</f>
        <v>0</v>
      </c>
      <c r="V497">
        <v>0</v>
      </c>
      <c r="W497">
        <v>0</v>
      </c>
      <c r="X497">
        <v>0</v>
      </c>
      <c r="Y497">
        <f>IF(Z497,TRUE,AND(AC497:AS497))</f>
        <v>0</v>
      </c>
      <c r="Z497">
        <f>COUNTBLANK(Metadata!B497:R497)=COLUMNS(Metadata!B497:R497)</f>
        <v>0</v>
      </c>
      <c r="AA497">
        <v>0</v>
      </c>
      <c r="AC497">
        <f>AND(IF(Metadata!B497="",FALSE,TRUE),COUNTIF(Metadata!B:B, Metadata!B497) = 1,NOT(ISERROR(SUMPRODUCT(SEARCH(MID(Metadata!B497,ROW(INDIRECT("1:"&amp;LEN(Metadata!B497))), 1),"0123456789abcdefghijklmnopqrstuvwxyzABCDEFGHIJKLMNOPQRSTUVWXYZ.")))))</f>
        <v>0</v>
      </c>
      <c r="AD497">
        <f>AND(IF(Metadata!C497="",FALSE,TRUE),exact(Metadata!C497,"Host-associated"))</f>
        <v>0</v>
      </c>
      <c r="AE497">
        <f>AND(IF(Metadata!D497="",FALSE,TRUE),OR(exact(Metadata!D497,"Animal"),exact(Metadata!D497,"Fungus"),exact(Metadata!D497,"Plant")))</f>
        <v>0</v>
      </c>
      <c r="AF497">
        <f>AND(IF(Metadata!E497="",FALSE,TRUE),OR(exact(Metadata!E497,"Plant secretion"),exact(Metadata!E497,"Plant rhizosphere"),exact(Metadata!E497,"Plant surface"),exact(Metadata!E497,"Plant corpus"),exact(Metadata!E497,"Fungus surface"),exact(Metadata!E497,"Fungus corpus"),exact(Metadata!E497,"Animal surface"),exact(Metadata!E497,"Animal proximal gut"),exact(Metadata!E497,"Animal corpus"),exact(Metadata!E497,"Animal distal gut"),exact(Metadata!E497,"Animal secretion")))</f>
        <v>0</v>
      </c>
      <c r="AG497">
        <f>OR(AND(IF(Metadata!F497="",FALSE,TRUE),OR(exact(Metadata!F497,"not collected"),exact(Metadata!F497,"not provided"),exact(Metadata!F497,"restricted access"))),AND(IF(Metadata!F497="",FALSE,TRUE),OR(exact(Metadata!F497,"organism-associated habitat"),exact(Metadata!F497,"plant-associated habitat"),exact(Metadata!F497,"animal-associated habitat"),exact(Metadata!F497,"insecta-associated habitat"),exact(Metadata!F497,"mammalia-associated habitat"),exact(Metadata!F497,"human-associated habitat"),exact(Metadata!F497,"livestock-associated habitat"))))</f>
        <v>0</v>
      </c>
      <c r="AH497">
        <f>AND(IF(Metadata!G497="",FALSE,TRUE),exact(Metadata!G497,"host-associated"))</f>
        <v>0</v>
      </c>
      <c r="AI497">
        <f>OR(AND(IF(Metadata!H497="",FALSE,TRUE),OR(exact(Metadata!H497,"not collected"),exact(Metadata!H497,"not provided"))),AND(IF(Metadata!H497="",FALSE,ISNUMBER(VALUE(Metadata!H497))),Metadata!H497&gt;0))</f>
        <v>0</v>
      </c>
      <c r="AJ497">
        <f>AND(IF(Metadata!I497="",FALSE,TRUE),exact(Metadata!I497,"years"))</f>
        <v>0</v>
      </c>
      <c r="AK497">
        <f>IF(Metadata!J497="",FALSE,TRUE)</f>
        <v>0</v>
      </c>
      <c r="AL497">
        <f>OR(AND(IF(Metadata!K497="",FALSE,TRUE),OR(exact(Metadata!K497,"not collected"),exact(Metadata!K497,"not provided"))),AND(IF(Metadata!K497="",FALSE,ISNUMBER(VALUE(Metadata!K497))),Metadata!K497&gt;0))</f>
        <v>0</v>
      </c>
      <c r="AM497">
        <f>AND(IF(Metadata!L497="",FALSE,TRUE),exact(Metadata!L497,"cm"))</f>
        <v>0</v>
      </c>
      <c r="AN497">
        <f>IF(Metadata!M497="",FALSE,TRUE)</f>
        <v>0</v>
      </c>
      <c r="AO497">
        <f>OR(AND(IF(Metadata!N497="",FALSE,TRUE),OR(exact(Metadata!N497,"not applicable"),exact(Metadata!N497,"not collected"),exact(Metadata!N497,"not provided"))),AND(IF(Metadata!N497="",FALSE,IF(ISERROR(INT(Metadata!N497)),FALSE,INT(Metadata!N497)=Metadata!N497)),Metadata!N497&gt;0))</f>
        <v>0</v>
      </c>
      <c r="AP497">
        <f>OR(AND(IF(Metadata!O497="",FALSE,TRUE),OR(exact(Metadata!O497,"not collected"),exact(Metadata!O497,"not provided"))),AND(IF(Metadata!O497="",FALSE,ISNUMBER(VALUE(Metadata!O497))),Metadata!O497&gt;0))</f>
        <v>0</v>
      </c>
      <c r="AQ497">
        <f>AND(IF(Metadata!P497="",FALSE,TRUE),exact(Metadata!P497,"kg"))</f>
        <v>0</v>
      </c>
      <c r="AR497">
        <f>OR(AND(IF(Metadata!Q497="",FALSE,TRUE),OR(exact(Metadata!Q497,"not applicable"),exact(Metadata!Q497,"not collected"),exact(Metadata!Q497,"not provided"),exact(Metadata!Q497,"restricted access"))),IF(Metadata!Q497="",FALSE,IF(ISERROR(INT(Metadata!Q497)),FALSE,INT(Metadata!Q497)=Metadata!Q497)))</f>
        <v>0</v>
      </c>
      <c r="AS497">
        <f>AND(IF(Metadata!R497="",FALSE,TRUE),exact(Metadata!R497,"Not applicable"))</f>
        <v>0</v>
      </c>
    </row>
    <row r="498" spans="1:45">
      <c r="A498" s="4">
        <f>IF(B498=" "," ",HYPERLINK(CONCATENATE("#metadata!",ADDRESS(INDEX($X$2:$X$1001,MATCH(ROWS($V$2:V498),$V$2:$V$1001,0),0),2)),INDEX($AA$2:$AA$1001,MATCH(ROWS($V$2:V498),$V$2:$V$1001,0),0)))</f>
        <v>0</v>
      </c>
      <c r="B498" s="5">
        <f>IF(OR(INDEX($W$2:$W$1001,MATCH(ROWS($V$2:V498),$V$2:$V$1001,0),1)&gt;=100000,INDEX($AC$1005:$AS$1005,1,MATCH(COLUMNS($AC$1006:AC1006),$AC$1006:$AS$1006,0))&gt;=100000), " ",IF(INDEX($AC$2:$AS$1001,MATCH(ROWS($V$2:V498),$V$2:$V$1001,0),MATCH(COLUMNS($AC$1006:AC1006),$AC$1006:$AS$1006,0)), HYPERLINK("#",""), HYPERLINK(CONCATENATE("#Metadata!", ADDRESS(INDEX($X$2:$X$1001,MATCH(ROWS($V$2:V498),$V$2:$V$1001,0),0), INDEX($AC$1004:$AS$1004,1,MATCH(COLUMNS($AC$1006:AC1006),$AC$1006:$AS$1006,0)))),"Fix")))</f>
        <v>0</v>
      </c>
      <c r="C498" s="5">
        <f>IF(OR(INDEX($W$2:$W$1001,MATCH(ROWS($V$2:V498),$V$2:$V$1001,0),1)&gt;=100000,INDEX($AC$1005:$AS$1005,1,MATCH(COLUMNS($AC$1006:AD1006),$AC$1006:$AS$1006,0))&gt;=100000), " ",IF(INDEX($AC$2:$AS$1001,MATCH(ROWS($V$2:V498),$V$2:$V$1001,0),MATCH(COLUMNS($AC$1006:AD1006),$AC$1006:$AS$1006,0)), HYPERLINK("#",""), HYPERLINK(CONCATENATE("#Metadata!", ADDRESS(INDEX($X$2:$X$1001,MATCH(ROWS($V$2:V498),$V$2:$V$1001,0),0), INDEX($AC$1004:$AS$1004,1,MATCH(COLUMNS($AC$1006:AD1006),$AC$1006:$AS$1006,0)))),"Fix")))</f>
        <v>0</v>
      </c>
      <c r="D498" s="5">
        <f>IF(OR(INDEX($W$2:$W$1001,MATCH(ROWS($V$2:V498),$V$2:$V$1001,0),1)&gt;=100000,INDEX($AC$1005:$AS$1005,1,MATCH(COLUMNS($AC$1006:AE1006),$AC$1006:$AS$1006,0))&gt;=100000), " ",IF(INDEX($AC$2:$AS$1001,MATCH(ROWS($V$2:V498),$V$2:$V$1001,0),MATCH(COLUMNS($AC$1006:AE1006),$AC$1006:$AS$1006,0)), HYPERLINK("#",""), HYPERLINK(CONCATENATE("#Metadata!", ADDRESS(INDEX($X$2:$X$1001,MATCH(ROWS($V$2:V498),$V$2:$V$1001,0),0), INDEX($AC$1004:$AS$1004,1,MATCH(COLUMNS($AC$1006:AE1006),$AC$1006:$AS$1006,0)))),"Fix")))</f>
        <v>0</v>
      </c>
      <c r="E498" s="5">
        <f>IF(OR(INDEX($W$2:$W$1001,MATCH(ROWS($V$2:V498),$V$2:$V$1001,0),1)&gt;=100000,INDEX($AC$1005:$AS$1005,1,MATCH(COLUMNS($AC$1006:AF1006),$AC$1006:$AS$1006,0))&gt;=100000), " ",IF(INDEX($AC$2:$AS$1001,MATCH(ROWS($V$2:V498),$V$2:$V$1001,0),MATCH(COLUMNS($AC$1006:AF1006),$AC$1006:$AS$1006,0)), HYPERLINK("#",""), HYPERLINK(CONCATENATE("#Metadata!", ADDRESS(INDEX($X$2:$X$1001,MATCH(ROWS($V$2:V498),$V$2:$V$1001,0),0), INDEX($AC$1004:$AS$1004,1,MATCH(COLUMNS($AC$1006:AF1006),$AC$1006:$AS$1006,0)))),"Fix")))</f>
        <v>0</v>
      </c>
      <c r="F498" s="5">
        <f>IF(OR(INDEX($W$2:$W$1001,MATCH(ROWS($V$2:V498),$V$2:$V$1001,0),1)&gt;=100000,INDEX($AC$1005:$AS$1005,1,MATCH(COLUMNS($AC$1006:AG1006),$AC$1006:$AS$1006,0))&gt;=100000), " ",IF(INDEX($AC$2:$AS$1001,MATCH(ROWS($V$2:V498),$V$2:$V$1001,0),MATCH(COLUMNS($AC$1006:AG1006),$AC$1006:$AS$1006,0)), HYPERLINK("#",""), HYPERLINK(CONCATENATE("#Metadata!", ADDRESS(INDEX($X$2:$X$1001,MATCH(ROWS($V$2:V498),$V$2:$V$1001,0),0), INDEX($AC$1004:$AS$1004,1,MATCH(COLUMNS($AC$1006:AG1006),$AC$1006:$AS$1006,0)))),"Fix")))</f>
        <v>0</v>
      </c>
      <c r="G498" s="5">
        <f>IF(OR(INDEX($W$2:$W$1001,MATCH(ROWS($V$2:V498),$V$2:$V$1001,0),1)&gt;=100000,INDEX($AC$1005:$AS$1005,1,MATCH(COLUMNS($AC$1006:AH1006),$AC$1006:$AS$1006,0))&gt;=100000), " ",IF(INDEX($AC$2:$AS$1001,MATCH(ROWS($V$2:V498),$V$2:$V$1001,0),MATCH(COLUMNS($AC$1006:AH1006),$AC$1006:$AS$1006,0)), HYPERLINK("#",""), HYPERLINK(CONCATENATE("#Metadata!", ADDRESS(INDEX($X$2:$X$1001,MATCH(ROWS($V$2:V498),$V$2:$V$1001,0),0), INDEX($AC$1004:$AS$1004,1,MATCH(COLUMNS($AC$1006:AH1006),$AC$1006:$AS$1006,0)))),"Fix")))</f>
        <v>0</v>
      </c>
      <c r="H498" s="5">
        <f>IF(OR(INDEX($W$2:$W$1001,MATCH(ROWS($V$2:V498),$V$2:$V$1001,0),1)&gt;=100000,INDEX($AC$1005:$AS$1005,1,MATCH(COLUMNS($AC$1006:AI1006),$AC$1006:$AS$1006,0))&gt;=100000), " ",IF(INDEX($AC$2:$AS$1001,MATCH(ROWS($V$2:V498),$V$2:$V$1001,0),MATCH(COLUMNS($AC$1006:AI1006),$AC$1006:$AS$1006,0)), HYPERLINK("#",""), HYPERLINK(CONCATENATE("#Metadata!", ADDRESS(INDEX($X$2:$X$1001,MATCH(ROWS($V$2:V498),$V$2:$V$1001,0),0), INDEX($AC$1004:$AS$1004,1,MATCH(COLUMNS($AC$1006:AI1006),$AC$1006:$AS$1006,0)))),"Fix")))</f>
        <v>0</v>
      </c>
      <c r="I498" s="5">
        <f>IF(OR(INDEX($W$2:$W$1001,MATCH(ROWS($V$2:V498),$V$2:$V$1001,0),1)&gt;=100000,INDEX($AC$1005:$AS$1005,1,MATCH(COLUMNS($AC$1006:AJ1006),$AC$1006:$AS$1006,0))&gt;=100000), " ",IF(INDEX($AC$2:$AS$1001,MATCH(ROWS($V$2:V498),$V$2:$V$1001,0),MATCH(COLUMNS($AC$1006:AJ1006),$AC$1006:$AS$1006,0)), HYPERLINK("#",""), HYPERLINK(CONCATENATE("#Metadata!", ADDRESS(INDEX($X$2:$X$1001,MATCH(ROWS($V$2:V498),$V$2:$V$1001,0),0), INDEX($AC$1004:$AS$1004,1,MATCH(COLUMNS($AC$1006:AJ1006),$AC$1006:$AS$1006,0)))),"Fix")))</f>
        <v>0</v>
      </c>
      <c r="J498" s="5">
        <f>IF(OR(INDEX($W$2:$W$1001,MATCH(ROWS($V$2:V498),$V$2:$V$1001,0),1)&gt;=100000,INDEX($AC$1005:$AS$1005,1,MATCH(COLUMNS($AC$1006:AK1006),$AC$1006:$AS$1006,0))&gt;=100000), " ",IF(INDEX($AC$2:$AS$1001,MATCH(ROWS($V$2:V498),$V$2:$V$1001,0),MATCH(COLUMNS($AC$1006:AK1006),$AC$1006:$AS$1006,0)), HYPERLINK("#",""), HYPERLINK(CONCATENATE("#Metadata!", ADDRESS(INDEX($X$2:$X$1001,MATCH(ROWS($V$2:V498),$V$2:$V$1001,0),0), INDEX($AC$1004:$AS$1004,1,MATCH(COLUMNS($AC$1006:AK1006),$AC$1006:$AS$1006,0)))),"Fix")))</f>
        <v>0</v>
      </c>
      <c r="K498" s="5">
        <f>IF(OR(INDEX($W$2:$W$1001,MATCH(ROWS($V$2:V498),$V$2:$V$1001,0),1)&gt;=100000,INDEX($AC$1005:$AS$1005,1,MATCH(COLUMNS($AC$1006:AL1006),$AC$1006:$AS$1006,0))&gt;=100000), " ",IF(INDEX($AC$2:$AS$1001,MATCH(ROWS($V$2:V498),$V$2:$V$1001,0),MATCH(COLUMNS($AC$1006:AL1006),$AC$1006:$AS$1006,0)), HYPERLINK("#",""), HYPERLINK(CONCATENATE("#Metadata!", ADDRESS(INDEX($X$2:$X$1001,MATCH(ROWS($V$2:V498),$V$2:$V$1001,0),0), INDEX($AC$1004:$AS$1004,1,MATCH(COLUMNS($AC$1006:AL1006),$AC$1006:$AS$1006,0)))),"Fix")))</f>
        <v>0</v>
      </c>
      <c r="L498" s="5">
        <f>IF(OR(INDEX($W$2:$W$1001,MATCH(ROWS($V$2:V498),$V$2:$V$1001,0),1)&gt;=100000,INDEX($AC$1005:$AS$1005,1,MATCH(COLUMNS($AC$1006:AM1006),$AC$1006:$AS$1006,0))&gt;=100000), " ",IF(INDEX($AC$2:$AS$1001,MATCH(ROWS($V$2:V498),$V$2:$V$1001,0),MATCH(COLUMNS($AC$1006:AM1006),$AC$1006:$AS$1006,0)), HYPERLINK("#",""), HYPERLINK(CONCATENATE("#Metadata!", ADDRESS(INDEX($X$2:$X$1001,MATCH(ROWS($V$2:V498),$V$2:$V$1001,0),0), INDEX($AC$1004:$AS$1004,1,MATCH(COLUMNS($AC$1006:AM1006),$AC$1006:$AS$1006,0)))),"Fix")))</f>
        <v>0</v>
      </c>
      <c r="M498" s="5">
        <f>IF(OR(INDEX($W$2:$W$1001,MATCH(ROWS($V$2:V498),$V$2:$V$1001,0),1)&gt;=100000,INDEX($AC$1005:$AS$1005,1,MATCH(COLUMNS($AC$1006:AN1006),$AC$1006:$AS$1006,0))&gt;=100000), " ",IF(INDEX($AC$2:$AS$1001,MATCH(ROWS($V$2:V498),$V$2:$V$1001,0),MATCH(COLUMNS($AC$1006:AN1006),$AC$1006:$AS$1006,0)), HYPERLINK("#",""), HYPERLINK(CONCATENATE("#Metadata!", ADDRESS(INDEX($X$2:$X$1001,MATCH(ROWS($V$2:V498),$V$2:$V$1001,0),0), INDEX($AC$1004:$AS$1004,1,MATCH(COLUMNS($AC$1006:AN1006),$AC$1006:$AS$1006,0)))),"Fix")))</f>
        <v>0</v>
      </c>
      <c r="N498" s="5">
        <f>IF(OR(INDEX($W$2:$W$1001,MATCH(ROWS($V$2:V498),$V$2:$V$1001,0),1)&gt;=100000,INDEX($AC$1005:$AS$1005,1,MATCH(COLUMNS($AC$1006:AO1006),$AC$1006:$AS$1006,0))&gt;=100000), " ",IF(INDEX($AC$2:$AS$1001,MATCH(ROWS($V$2:V498),$V$2:$V$1001,0),MATCH(COLUMNS($AC$1006:AO1006),$AC$1006:$AS$1006,0)), HYPERLINK("#",""), HYPERLINK(CONCATENATE("#Metadata!", ADDRESS(INDEX($X$2:$X$1001,MATCH(ROWS($V$2:V498),$V$2:$V$1001,0),0), INDEX($AC$1004:$AS$1004,1,MATCH(COLUMNS($AC$1006:AO1006),$AC$1006:$AS$1006,0)))),"Fix")))</f>
        <v>0</v>
      </c>
      <c r="O498" s="5">
        <f>IF(OR(INDEX($W$2:$W$1001,MATCH(ROWS($V$2:V498),$V$2:$V$1001,0),1)&gt;=100000,INDEX($AC$1005:$AS$1005,1,MATCH(COLUMNS($AC$1006:AP1006),$AC$1006:$AS$1006,0))&gt;=100000), " ",IF(INDEX($AC$2:$AS$1001,MATCH(ROWS($V$2:V498),$V$2:$V$1001,0),MATCH(COLUMNS($AC$1006:AP1006),$AC$1006:$AS$1006,0)), HYPERLINK("#",""), HYPERLINK(CONCATENATE("#Metadata!", ADDRESS(INDEX($X$2:$X$1001,MATCH(ROWS($V$2:V498),$V$2:$V$1001,0),0), INDEX($AC$1004:$AS$1004,1,MATCH(COLUMNS($AC$1006:AP1006),$AC$1006:$AS$1006,0)))),"Fix")))</f>
        <v>0</v>
      </c>
      <c r="P498" s="5">
        <f>IF(OR(INDEX($W$2:$W$1001,MATCH(ROWS($V$2:V498),$V$2:$V$1001,0),1)&gt;=100000,INDEX($AC$1005:$AS$1005,1,MATCH(COLUMNS($AC$1006:AQ1006),$AC$1006:$AS$1006,0))&gt;=100000), " ",IF(INDEX($AC$2:$AS$1001,MATCH(ROWS($V$2:V498),$V$2:$V$1001,0),MATCH(COLUMNS($AC$1006:AQ1006),$AC$1006:$AS$1006,0)), HYPERLINK("#",""), HYPERLINK(CONCATENATE("#Metadata!", ADDRESS(INDEX($X$2:$X$1001,MATCH(ROWS($V$2:V498),$V$2:$V$1001,0),0), INDEX($AC$1004:$AS$1004,1,MATCH(COLUMNS($AC$1006:AQ1006),$AC$1006:$AS$1006,0)))),"Fix")))</f>
        <v>0</v>
      </c>
      <c r="Q498" s="5">
        <f>IF(OR(INDEX($W$2:$W$1001,MATCH(ROWS($V$2:V498),$V$2:$V$1001,0),1)&gt;=100000,INDEX($AC$1005:$AS$1005,1,MATCH(COLUMNS($AC$1006:AR1006),$AC$1006:$AS$1006,0))&gt;=100000), " ",IF(INDEX($AC$2:$AS$1001,MATCH(ROWS($V$2:V498),$V$2:$V$1001,0),MATCH(COLUMNS($AC$1006:AR1006),$AC$1006:$AS$1006,0)), HYPERLINK("#",""), HYPERLINK(CONCATENATE("#Metadata!", ADDRESS(INDEX($X$2:$X$1001,MATCH(ROWS($V$2:V498),$V$2:$V$1001,0),0), INDEX($AC$1004:$AS$1004,1,MATCH(COLUMNS($AC$1006:AR1006),$AC$1006:$AS$1006,0)))),"Fix")))</f>
        <v>0</v>
      </c>
      <c r="R498" s="5">
        <f>IF(OR(INDEX($W$2:$W$1001,MATCH(ROWS($V$2:V498),$V$2:$V$1001,0),1)&gt;=100000,INDEX($AC$1005:$AS$1005,1,MATCH(COLUMNS($AC$1006:AS1006),$AC$1006:$AS$1006,0))&gt;=100000), " ",IF(INDEX($AC$2:$AS$1001,MATCH(ROWS($V$2:V498),$V$2:$V$1001,0),MATCH(COLUMNS($AC$1006:AS1006),$AC$1006:$AS$1006,0)), HYPERLINK("#",""), HYPERLINK(CONCATENATE("#Metadata!", ADDRESS(INDEX($X$2:$X$1001,MATCH(ROWS($V$2:V498),$V$2:$V$1001,0),0), INDEX($AC$1004:$AS$1004,1,MATCH(COLUMNS($AC$1006:AS1006),$AC$1006:$AS$1006,0)))),"Fix")))</f>
        <v>0</v>
      </c>
      <c r="V498">
        <v>0</v>
      </c>
      <c r="W498">
        <v>0</v>
      </c>
      <c r="X498">
        <v>0</v>
      </c>
      <c r="Y498">
        <f>IF(Z498,TRUE,AND(AC498:AS498))</f>
        <v>0</v>
      </c>
      <c r="Z498">
        <f>COUNTBLANK(Metadata!B498:R498)=COLUMNS(Metadata!B498:R498)</f>
        <v>0</v>
      </c>
      <c r="AA498">
        <v>0</v>
      </c>
      <c r="AC498">
        <f>AND(IF(Metadata!B498="",FALSE,TRUE),COUNTIF(Metadata!B:B, Metadata!B498) = 1,NOT(ISERROR(SUMPRODUCT(SEARCH(MID(Metadata!B498,ROW(INDIRECT("1:"&amp;LEN(Metadata!B498))), 1),"0123456789abcdefghijklmnopqrstuvwxyzABCDEFGHIJKLMNOPQRSTUVWXYZ.")))))</f>
        <v>0</v>
      </c>
      <c r="AD498">
        <f>AND(IF(Metadata!C498="",FALSE,TRUE),exact(Metadata!C498,"Host-associated"))</f>
        <v>0</v>
      </c>
      <c r="AE498">
        <f>AND(IF(Metadata!D498="",FALSE,TRUE),OR(exact(Metadata!D498,"Animal"),exact(Metadata!D498,"Fungus"),exact(Metadata!D498,"Plant")))</f>
        <v>0</v>
      </c>
      <c r="AF498">
        <f>AND(IF(Metadata!E498="",FALSE,TRUE),OR(exact(Metadata!E498,"Plant secretion"),exact(Metadata!E498,"Plant rhizosphere"),exact(Metadata!E498,"Plant surface"),exact(Metadata!E498,"Plant corpus"),exact(Metadata!E498,"Fungus surface"),exact(Metadata!E498,"Fungus corpus"),exact(Metadata!E498,"Animal surface"),exact(Metadata!E498,"Animal proximal gut"),exact(Metadata!E498,"Animal corpus"),exact(Metadata!E498,"Animal distal gut"),exact(Metadata!E498,"Animal secretion")))</f>
        <v>0</v>
      </c>
      <c r="AG498">
        <f>OR(AND(IF(Metadata!F498="",FALSE,TRUE),OR(exact(Metadata!F498,"not collected"),exact(Metadata!F498,"not provided"),exact(Metadata!F498,"restricted access"))),AND(IF(Metadata!F498="",FALSE,TRUE),OR(exact(Metadata!F498,"organism-associated habitat"),exact(Metadata!F498,"plant-associated habitat"),exact(Metadata!F498,"animal-associated habitat"),exact(Metadata!F498,"insecta-associated habitat"),exact(Metadata!F498,"mammalia-associated habitat"),exact(Metadata!F498,"human-associated habitat"),exact(Metadata!F498,"livestock-associated habitat"))))</f>
        <v>0</v>
      </c>
      <c r="AH498">
        <f>AND(IF(Metadata!G498="",FALSE,TRUE),exact(Metadata!G498,"host-associated"))</f>
        <v>0</v>
      </c>
      <c r="AI498">
        <f>OR(AND(IF(Metadata!H498="",FALSE,TRUE),OR(exact(Metadata!H498,"not collected"),exact(Metadata!H498,"not provided"))),AND(IF(Metadata!H498="",FALSE,ISNUMBER(VALUE(Metadata!H498))),Metadata!H498&gt;0))</f>
        <v>0</v>
      </c>
      <c r="AJ498">
        <f>AND(IF(Metadata!I498="",FALSE,TRUE),exact(Metadata!I498,"years"))</f>
        <v>0</v>
      </c>
      <c r="AK498">
        <f>IF(Metadata!J498="",FALSE,TRUE)</f>
        <v>0</v>
      </c>
      <c r="AL498">
        <f>OR(AND(IF(Metadata!K498="",FALSE,TRUE),OR(exact(Metadata!K498,"not collected"),exact(Metadata!K498,"not provided"))),AND(IF(Metadata!K498="",FALSE,ISNUMBER(VALUE(Metadata!K498))),Metadata!K498&gt;0))</f>
        <v>0</v>
      </c>
      <c r="AM498">
        <f>AND(IF(Metadata!L498="",FALSE,TRUE),exact(Metadata!L498,"cm"))</f>
        <v>0</v>
      </c>
      <c r="AN498">
        <f>IF(Metadata!M498="",FALSE,TRUE)</f>
        <v>0</v>
      </c>
      <c r="AO498">
        <f>OR(AND(IF(Metadata!N498="",FALSE,TRUE),OR(exact(Metadata!N498,"not applicable"),exact(Metadata!N498,"not collected"),exact(Metadata!N498,"not provided"))),AND(IF(Metadata!N498="",FALSE,IF(ISERROR(INT(Metadata!N498)),FALSE,INT(Metadata!N498)=Metadata!N498)),Metadata!N498&gt;0))</f>
        <v>0</v>
      </c>
      <c r="AP498">
        <f>OR(AND(IF(Metadata!O498="",FALSE,TRUE),OR(exact(Metadata!O498,"not collected"),exact(Metadata!O498,"not provided"))),AND(IF(Metadata!O498="",FALSE,ISNUMBER(VALUE(Metadata!O498))),Metadata!O498&gt;0))</f>
        <v>0</v>
      </c>
      <c r="AQ498">
        <f>AND(IF(Metadata!P498="",FALSE,TRUE),exact(Metadata!P498,"kg"))</f>
        <v>0</v>
      </c>
      <c r="AR498">
        <f>OR(AND(IF(Metadata!Q498="",FALSE,TRUE),OR(exact(Metadata!Q498,"not applicable"),exact(Metadata!Q498,"not collected"),exact(Metadata!Q498,"not provided"),exact(Metadata!Q498,"restricted access"))),IF(Metadata!Q498="",FALSE,IF(ISERROR(INT(Metadata!Q498)),FALSE,INT(Metadata!Q498)=Metadata!Q498)))</f>
        <v>0</v>
      </c>
      <c r="AS498">
        <f>AND(IF(Metadata!R498="",FALSE,TRUE),exact(Metadata!R498,"Not applicable"))</f>
        <v>0</v>
      </c>
    </row>
    <row r="499" spans="1:45">
      <c r="A499" s="4">
        <f>IF(B499=" "," ",HYPERLINK(CONCATENATE("#metadata!",ADDRESS(INDEX($X$2:$X$1001,MATCH(ROWS($V$2:V499),$V$2:$V$1001,0),0),2)),INDEX($AA$2:$AA$1001,MATCH(ROWS($V$2:V499),$V$2:$V$1001,0),0)))</f>
        <v>0</v>
      </c>
      <c r="B499" s="5">
        <f>IF(OR(INDEX($W$2:$W$1001,MATCH(ROWS($V$2:V499),$V$2:$V$1001,0),1)&gt;=100000,INDEX($AC$1005:$AS$1005,1,MATCH(COLUMNS($AC$1006:AC1006),$AC$1006:$AS$1006,0))&gt;=100000), " ",IF(INDEX($AC$2:$AS$1001,MATCH(ROWS($V$2:V499),$V$2:$V$1001,0),MATCH(COLUMNS($AC$1006:AC1006),$AC$1006:$AS$1006,0)), HYPERLINK("#",""), HYPERLINK(CONCATENATE("#Metadata!", ADDRESS(INDEX($X$2:$X$1001,MATCH(ROWS($V$2:V499),$V$2:$V$1001,0),0), INDEX($AC$1004:$AS$1004,1,MATCH(COLUMNS($AC$1006:AC1006),$AC$1006:$AS$1006,0)))),"Fix")))</f>
        <v>0</v>
      </c>
      <c r="C499" s="5">
        <f>IF(OR(INDEX($W$2:$W$1001,MATCH(ROWS($V$2:V499),$V$2:$V$1001,0),1)&gt;=100000,INDEX($AC$1005:$AS$1005,1,MATCH(COLUMNS($AC$1006:AD1006),$AC$1006:$AS$1006,0))&gt;=100000), " ",IF(INDEX($AC$2:$AS$1001,MATCH(ROWS($V$2:V499),$V$2:$V$1001,0),MATCH(COLUMNS($AC$1006:AD1006),$AC$1006:$AS$1006,0)), HYPERLINK("#",""), HYPERLINK(CONCATENATE("#Metadata!", ADDRESS(INDEX($X$2:$X$1001,MATCH(ROWS($V$2:V499),$V$2:$V$1001,0),0), INDEX($AC$1004:$AS$1004,1,MATCH(COLUMNS($AC$1006:AD1006),$AC$1006:$AS$1006,0)))),"Fix")))</f>
        <v>0</v>
      </c>
      <c r="D499" s="5">
        <f>IF(OR(INDEX($W$2:$W$1001,MATCH(ROWS($V$2:V499),$V$2:$V$1001,0),1)&gt;=100000,INDEX($AC$1005:$AS$1005,1,MATCH(COLUMNS($AC$1006:AE1006),$AC$1006:$AS$1006,0))&gt;=100000), " ",IF(INDEX($AC$2:$AS$1001,MATCH(ROWS($V$2:V499),$V$2:$V$1001,0),MATCH(COLUMNS($AC$1006:AE1006),$AC$1006:$AS$1006,0)), HYPERLINK("#",""), HYPERLINK(CONCATENATE("#Metadata!", ADDRESS(INDEX($X$2:$X$1001,MATCH(ROWS($V$2:V499),$V$2:$V$1001,0),0), INDEX($AC$1004:$AS$1004,1,MATCH(COLUMNS($AC$1006:AE1006),$AC$1006:$AS$1006,0)))),"Fix")))</f>
        <v>0</v>
      </c>
      <c r="E499" s="5">
        <f>IF(OR(INDEX($W$2:$W$1001,MATCH(ROWS($V$2:V499),$V$2:$V$1001,0),1)&gt;=100000,INDEX($AC$1005:$AS$1005,1,MATCH(COLUMNS($AC$1006:AF1006),$AC$1006:$AS$1006,0))&gt;=100000), " ",IF(INDEX($AC$2:$AS$1001,MATCH(ROWS($V$2:V499),$V$2:$V$1001,0),MATCH(COLUMNS($AC$1006:AF1006),$AC$1006:$AS$1006,0)), HYPERLINK("#",""), HYPERLINK(CONCATENATE("#Metadata!", ADDRESS(INDEX($X$2:$X$1001,MATCH(ROWS($V$2:V499),$V$2:$V$1001,0),0), INDEX($AC$1004:$AS$1004,1,MATCH(COLUMNS($AC$1006:AF1006),$AC$1006:$AS$1006,0)))),"Fix")))</f>
        <v>0</v>
      </c>
      <c r="F499" s="5">
        <f>IF(OR(INDEX($W$2:$W$1001,MATCH(ROWS($V$2:V499),$V$2:$V$1001,0),1)&gt;=100000,INDEX($AC$1005:$AS$1005,1,MATCH(COLUMNS($AC$1006:AG1006),$AC$1006:$AS$1006,0))&gt;=100000), " ",IF(INDEX($AC$2:$AS$1001,MATCH(ROWS($V$2:V499),$V$2:$V$1001,0),MATCH(COLUMNS($AC$1006:AG1006),$AC$1006:$AS$1006,0)), HYPERLINK("#",""), HYPERLINK(CONCATENATE("#Metadata!", ADDRESS(INDEX($X$2:$X$1001,MATCH(ROWS($V$2:V499),$V$2:$V$1001,0),0), INDEX($AC$1004:$AS$1004,1,MATCH(COLUMNS($AC$1006:AG1006),$AC$1006:$AS$1006,0)))),"Fix")))</f>
        <v>0</v>
      </c>
      <c r="G499" s="5">
        <f>IF(OR(INDEX($W$2:$W$1001,MATCH(ROWS($V$2:V499),$V$2:$V$1001,0),1)&gt;=100000,INDEX($AC$1005:$AS$1005,1,MATCH(COLUMNS($AC$1006:AH1006),$AC$1006:$AS$1006,0))&gt;=100000), " ",IF(INDEX($AC$2:$AS$1001,MATCH(ROWS($V$2:V499),$V$2:$V$1001,0),MATCH(COLUMNS($AC$1006:AH1006),$AC$1006:$AS$1006,0)), HYPERLINK("#",""), HYPERLINK(CONCATENATE("#Metadata!", ADDRESS(INDEX($X$2:$X$1001,MATCH(ROWS($V$2:V499),$V$2:$V$1001,0),0), INDEX($AC$1004:$AS$1004,1,MATCH(COLUMNS($AC$1006:AH1006),$AC$1006:$AS$1006,0)))),"Fix")))</f>
        <v>0</v>
      </c>
      <c r="H499" s="5">
        <f>IF(OR(INDEX($W$2:$W$1001,MATCH(ROWS($V$2:V499),$V$2:$V$1001,0),1)&gt;=100000,INDEX($AC$1005:$AS$1005,1,MATCH(COLUMNS($AC$1006:AI1006),$AC$1006:$AS$1006,0))&gt;=100000), " ",IF(INDEX($AC$2:$AS$1001,MATCH(ROWS($V$2:V499),$V$2:$V$1001,0),MATCH(COLUMNS($AC$1006:AI1006),$AC$1006:$AS$1006,0)), HYPERLINK("#",""), HYPERLINK(CONCATENATE("#Metadata!", ADDRESS(INDEX($X$2:$X$1001,MATCH(ROWS($V$2:V499),$V$2:$V$1001,0),0), INDEX($AC$1004:$AS$1004,1,MATCH(COLUMNS($AC$1006:AI1006),$AC$1006:$AS$1006,0)))),"Fix")))</f>
        <v>0</v>
      </c>
      <c r="I499" s="5">
        <f>IF(OR(INDEX($W$2:$W$1001,MATCH(ROWS($V$2:V499),$V$2:$V$1001,0),1)&gt;=100000,INDEX($AC$1005:$AS$1005,1,MATCH(COLUMNS($AC$1006:AJ1006),$AC$1006:$AS$1006,0))&gt;=100000), " ",IF(INDEX($AC$2:$AS$1001,MATCH(ROWS($V$2:V499),$V$2:$V$1001,0),MATCH(COLUMNS($AC$1006:AJ1006),$AC$1006:$AS$1006,0)), HYPERLINK("#",""), HYPERLINK(CONCATENATE("#Metadata!", ADDRESS(INDEX($X$2:$X$1001,MATCH(ROWS($V$2:V499),$V$2:$V$1001,0),0), INDEX($AC$1004:$AS$1004,1,MATCH(COLUMNS($AC$1006:AJ1006),$AC$1006:$AS$1006,0)))),"Fix")))</f>
        <v>0</v>
      </c>
      <c r="J499" s="5">
        <f>IF(OR(INDEX($W$2:$W$1001,MATCH(ROWS($V$2:V499),$V$2:$V$1001,0),1)&gt;=100000,INDEX($AC$1005:$AS$1005,1,MATCH(COLUMNS($AC$1006:AK1006),$AC$1006:$AS$1006,0))&gt;=100000), " ",IF(INDEX($AC$2:$AS$1001,MATCH(ROWS($V$2:V499),$V$2:$V$1001,0),MATCH(COLUMNS($AC$1006:AK1006),$AC$1006:$AS$1006,0)), HYPERLINK("#",""), HYPERLINK(CONCATENATE("#Metadata!", ADDRESS(INDEX($X$2:$X$1001,MATCH(ROWS($V$2:V499),$V$2:$V$1001,0),0), INDEX($AC$1004:$AS$1004,1,MATCH(COLUMNS($AC$1006:AK1006),$AC$1006:$AS$1006,0)))),"Fix")))</f>
        <v>0</v>
      </c>
      <c r="K499" s="5">
        <f>IF(OR(INDEX($W$2:$W$1001,MATCH(ROWS($V$2:V499),$V$2:$V$1001,0),1)&gt;=100000,INDEX($AC$1005:$AS$1005,1,MATCH(COLUMNS($AC$1006:AL1006),$AC$1006:$AS$1006,0))&gt;=100000), " ",IF(INDEX($AC$2:$AS$1001,MATCH(ROWS($V$2:V499),$V$2:$V$1001,0),MATCH(COLUMNS($AC$1006:AL1006),$AC$1006:$AS$1006,0)), HYPERLINK("#",""), HYPERLINK(CONCATENATE("#Metadata!", ADDRESS(INDEX($X$2:$X$1001,MATCH(ROWS($V$2:V499),$V$2:$V$1001,0),0), INDEX($AC$1004:$AS$1004,1,MATCH(COLUMNS($AC$1006:AL1006),$AC$1006:$AS$1006,0)))),"Fix")))</f>
        <v>0</v>
      </c>
      <c r="L499" s="5">
        <f>IF(OR(INDEX($W$2:$W$1001,MATCH(ROWS($V$2:V499),$V$2:$V$1001,0),1)&gt;=100000,INDEX($AC$1005:$AS$1005,1,MATCH(COLUMNS($AC$1006:AM1006),$AC$1006:$AS$1006,0))&gt;=100000), " ",IF(INDEX($AC$2:$AS$1001,MATCH(ROWS($V$2:V499),$V$2:$V$1001,0),MATCH(COLUMNS($AC$1006:AM1006),$AC$1006:$AS$1006,0)), HYPERLINK("#",""), HYPERLINK(CONCATENATE("#Metadata!", ADDRESS(INDEX($X$2:$X$1001,MATCH(ROWS($V$2:V499),$V$2:$V$1001,0),0), INDEX($AC$1004:$AS$1004,1,MATCH(COLUMNS($AC$1006:AM1006),$AC$1006:$AS$1006,0)))),"Fix")))</f>
        <v>0</v>
      </c>
      <c r="M499" s="5">
        <f>IF(OR(INDEX($W$2:$W$1001,MATCH(ROWS($V$2:V499),$V$2:$V$1001,0),1)&gt;=100000,INDEX($AC$1005:$AS$1005,1,MATCH(COLUMNS($AC$1006:AN1006),$AC$1006:$AS$1006,0))&gt;=100000), " ",IF(INDEX($AC$2:$AS$1001,MATCH(ROWS($V$2:V499),$V$2:$V$1001,0),MATCH(COLUMNS($AC$1006:AN1006),$AC$1006:$AS$1006,0)), HYPERLINK("#",""), HYPERLINK(CONCATENATE("#Metadata!", ADDRESS(INDEX($X$2:$X$1001,MATCH(ROWS($V$2:V499),$V$2:$V$1001,0),0), INDEX($AC$1004:$AS$1004,1,MATCH(COLUMNS($AC$1006:AN1006),$AC$1006:$AS$1006,0)))),"Fix")))</f>
        <v>0</v>
      </c>
      <c r="N499" s="5">
        <f>IF(OR(INDEX($W$2:$W$1001,MATCH(ROWS($V$2:V499),$V$2:$V$1001,0),1)&gt;=100000,INDEX($AC$1005:$AS$1005,1,MATCH(COLUMNS($AC$1006:AO1006),$AC$1006:$AS$1006,0))&gt;=100000), " ",IF(INDEX($AC$2:$AS$1001,MATCH(ROWS($V$2:V499),$V$2:$V$1001,0),MATCH(COLUMNS($AC$1006:AO1006),$AC$1006:$AS$1006,0)), HYPERLINK("#",""), HYPERLINK(CONCATENATE("#Metadata!", ADDRESS(INDEX($X$2:$X$1001,MATCH(ROWS($V$2:V499),$V$2:$V$1001,0),0), INDEX($AC$1004:$AS$1004,1,MATCH(COLUMNS($AC$1006:AO1006),$AC$1006:$AS$1006,0)))),"Fix")))</f>
        <v>0</v>
      </c>
      <c r="O499" s="5">
        <f>IF(OR(INDEX($W$2:$W$1001,MATCH(ROWS($V$2:V499),$V$2:$V$1001,0),1)&gt;=100000,INDEX($AC$1005:$AS$1005,1,MATCH(COLUMNS($AC$1006:AP1006),$AC$1006:$AS$1006,0))&gt;=100000), " ",IF(INDEX($AC$2:$AS$1001,MATCH(ROWS($V$2:V499),$V$2:$V$1001,0),MATCH(COLUMNS($AC$1006:AP1006),$AC$1006:$AS$1006,0)), HYPERLINK("#",""), HYPERLINK(CONCATENATE("#Metadata!", ADDRESS(INDEX($X$2:$X$1001,MATCH(ROWS($V$2:V499),$V$2:$V$1001,0),0), INDEX($AC$1004:$AS$1004,1,MATCH(COLUMNS($AC$1006:AP1006),$AC$1006:$AS$1006,0)))),"Fix")))</f>
        <v>0</v>
      </c>
      <c r="P499" s="5">
        <f>IF(OR(INDEX($W$2:$W$1001,MATCH(ROWS($V$2:V499),$V$2:$V$1001,0),1)&gt;=100000,INDEX($AC$1005:$AS$1005,1,MATCH(COLUMNS($AC$1006:AQ1006),$AC$1006:$AS$1006,0))&gt;=100000), " ",IF(INDEX($AC$2:$AS$1001,MATCH(ROWS($V$2:V499),$V$2:$V$1001,0),MATCH(COLUMNS($AC$1006:AQ1006),$AC$1006:$AS$1006,0)), HYPERLINK("#",""), HYPERLINK(CONCATENATE("#Metadata!", ADDRESS(INDEX($X$2:$X$1001,MATCH(ROWS($V$2:V499),$V$2:$V$1001,0),0), INDEX($AC$1004:$AS$1004,1,MATCH(COLUMNS($AC$1006:AQ1006),$AC$1006:$AS$1006,0)))),"Fix")))</f>
        <v>0</v>
      </c>
      <c r="Q499" s="5">
        <f>IF(OR(INDEX($W$2:$W$1001,MATCH(ROWS($V$2:V499),$V$2:$V$1001,0),1)&gt;=100000,INDEX($AC$1005:$AS$1005,1,MATCH(COLUMNS($AC$1006:AR1006),$AC$1006:$AS$1006,0))&gt;=100000), " ",IF(INDEX($AC$2:$AS$1001,MATCH(ROWS($V$2:V499),$V$2:$V$1001,0),MATCH(COLUMNS($AC$1006:AR1006),$AC$1006:$AS$1006,0)), HYPERLINK("#",""), HYPERLINK(CONCATENATE("#Metadata!", ADDRESS(INDEX($X$2:$X$1001,MATCH(ROWS($V$2:V499),$V$2:$V$1001,0),0), INDEX($AC$1004:$AS$1004,1,MATCH(COLUMNS($AC$1006:AR1006),$AC$1006:$AS$1006,0)))),"Fix")))</f>
        <v>0</v>
      </c>
      <c r="R499" s="5">
        <f>IF(OR(INDEX($W$2:$W$1001,MATCH(ROWS($V$2:V499),$V$2:$V$1001,0),1)&gt;=100000,INDEX($AC$1005:$AS$1005,1,MATCH(COLUMNS($AC$1006:AS1006),$AC$1006:$AS$1006,0))&gt;=100000), " ",IF(INDEX($AC$2:$AS$1001,MATCH(ROWS($V$2:V499),$V$2:$V$1001,0),MATCH(COLUMNS($AC$1006:AS1006),$AC$1006:$AS$1006,0)), HYPERLINK("#",""), HYPERLINK(CONCATENATE("#Metadata!", ADDRESS(INDEX($X$2:$X$1001,MATCH(ROWS($V$2:V499),$V$2:$V$1001,0),0), INDEX($AC$1004:$AS$1004,1,MATCH(COLUMNS($AC$1006:AS1006),$AC$1006:$AS$1006,0)))),"Fix")))</f>
        <v>0</v>
      </c>
      <c r="V499">
        <v>0</v>
      </c>
      <c r="W499">
        <v>0</v>
      </c>
      <c r="X499">
        <v>0</v>
      </c>
      <c r="Y499">
        <f>IF(Z499,TRUE,AND(AC499:AS499))</f>
        <v>0</v>
      </c>
      <c r="Z499">
        <f>COUNTBLANK(Metadata!B499:R499)=COLUMNS(Metadata!B499:R499)</f>
        <v>0</v>
      </c>
      <c r="AA499">
        <v>0</v>
      </c>
      <c r="AC499">
        <f>AND(IF(Metadata!B499="",FALSE,TRUE),COUNTIF(Metadata!B:B, Metadata!B499) = 1,NOT(ISERROR(SUMPRODUCT(SEARCH(MID(Metadata!B499,ROW(INDIRECT("1:"&amp;LEN(Metadata!B499))), 1),"0123456789abcdefghijklmnopqrstuvwxyzABCDEFGHIJKLMNOPQRSTUVWXYZ.")))))</f>
        <v>0</v>
      </c>
      <c r="AD499">
        <f>AND(IF(Metadata!C499="",FALSE,TRUE),exact(Metadata!C499,"Host-associated"))</f>
        <v>0</v>
      </c>
      <c r="AE499">
        <f>AND(IF(Metadata!D499="",FALSE,TRUE),OR(exact(Metadata!D499,"Animal"),exact(Metadata!D499,"Fungus"),exact(Metadata!D499,"Plant")))</f>
        <v>0</v>
      </c>
      <c r="AF499">
        <f>AND(IF(Metadata!E499="",FALSE,TRUE),OR(exact(Metadata!E499,"Plant secretion"),exact(Metadata!E499,"Plant rhizosphere"),exact(Metadata!E499,"Plant surface"),exact(Metadata!E499,"Plant corpus"),exact(Metadata!E499,"Fungus surface"),exact(Metadata!E499,"Fungus corpus"),exact(Metadata!E499,"Animal surface"),exact(Metadata!E499,"Animal proximal gut"),exact(Metadata!E499,"Animal corpus"),exact(Metadata!E499,"Animal distal gut"),exact(Metadata!E499,"Animal secretion")))</f>
        <v>0</v>
      </c>
      <c r="AG499">
        <f>OR(AND(IF(Metadata!F499="",FALSE,TRUE),OR(exact(Metadata!F499,"not collected"),exact(Metadata!F499,"not provided"),exact(Metadata!F499,"restricted access"))),AND(IF(Metadata!F499="",FALSE,TRUE),OR(exact(Metadata!F499,"organism-associated habitat"),exact(Metadata!F499,"plant-associated habitat"),exact(Metadata!F499,"animal-associated habitat"),exact(Metadata!F499,"insecta-associated habitat"),exact(Metadata!F499,"mammalia-associated habitat"),exact(Metadata!F499,"human-associated habitat"),exact(Metadata!F499,"livestock-associated habitat"))))</f>
        <v>0</v>
      </c>
      <c r="AH499">
        <f>AND(IF(Metadata!G499="",FALSE,TRUE),exact(Metadata!G499,"host-associated"))</f>
        <v>0</v>
      </c>
      <c r="AI499">
        <f>OR(AND(IF(Metadata!H499="",FALSE,TRUE),OR(exact(Metadata!H499,"not collected"),exact(Metadata!H499,"not provided"))),AND(IF(Metadata!H499="",FALSE,ISNUMBER(VALUE(Metadata!H499))),Metadata!H499&gt;0))</f>
        <v>0</v>
      </c>
      <c r="AJ499">
        <f>AND(IF(Metadata!I499="",FALSE,TRUE),exact(Metadata!I499,"years"))</f>
        <v>0</v>
      </c>
      <c r="AK499">
        <f>IF(Metadata!J499="",FALSE,TRUE)</f>
        <v>0</v>
      </c>
      <c r="AL499">
        <f>OR(AND(IF(Metadata!K499="",FALSE,TRUE),OR(exact(Metadata!K499,"not collected"),exact(Metadata!K499,"not provided"))),AND(IF(Metadata!K499="",FALSE,ISNUMBER(VALUE(Metadata!K499))),Metadata!K499&gt;0))</f>
        <v>0</v>
      </c>
      <c r="AM499">
        <f>AND(IF(Metadata!L499="",FALSE,TRUE),exact(Metadata!L499,"cm"))</f>
        <v>0</v>
      </c>
      <c r="AN499">
        <f>IF(Metadata!M499="",FALSE,TRUE)</f>
        <v>0</v>
      </c>
      <c r="AO499">
        <f>OR(AND(IF(Metadata!N499="",FALSE,TRUE),OR(exact(Metadata!N499,"not applicable"),exact(Metadata!N499,"not collected"),exact(Metadata!N499,"not provided"))),AND(IF(Metadata!N499="",FALSE,IF(ISERROR(INT(Metadata!N499)),FALSE,INT(Metadata!N499)=Metadata!N499)),Metadata!N499&gt;0))</f>
        <v>0</v>
      </c>
      <c r="AP499">
        <f>OR(AND(IF(Metadata!O499="",FALSE,TRUE),OR(exact(Metadata!O499,"not collected"),exact(Metadata!O499,"not provided"))),AND(IF(Metadata!O499="",FALSE,ISNUMBER(VALUE(Metadata!O499))),Metadata!O499&gt;0))</f>
        <v>0</v>
      </c>
      <c r="AQ499">
        <f>AND(IF(Metadata!P499="",FALSE,TRUE),exact(Metadata!P499,"kg"))</f>
        <v>0</v>
      </c>
      <c r="AR499">
        <f>OR(AND(IF(Metadata!Q499="",FALSE,TRUE),OR(exact(Metadata!Q499,"not applicable"),exact(Metadata!Q499,"not collected"),exact(Metadata!Q499,"not provided"),exact(Metadata!Q499,"restricted access"))),IF(Metadata!Q499="",FALSE,IF(ISERROR(INT(Metadata!Q499)),FALSE,INT(Metadata!Q499)=Metadata!Q499)))</f>
        <v>0</v>
      </c>
      <c r="AS499">
        <f>AND(IF(Metadata!R499="",FALSE,TRUE),exact(Metadata!R499,"Not applicable"))</f>
        <v>0</v>
      </c>
    </row>
    <row r="500" spans="1:45">
      <c r="A500" s="4">
        <f>IF(B500=" "," ",HYPERLINK(CONCATENATE("#metadata!",ADDRESS(INDEX($X$2:$X$1001,MATCH(ROWS($V$2:V500),$V$2:$V$1001,0),0),2)),INDEX($AA$2:$AA$1001,MATCH(ROWS($V$2:V500),$V$2:$V$1001,0),0)))</f>
        <v>0</v>
      </c>
      <c r="B500" s="5">
        <f>IF(OR(INDEX($W$2:$W$1001,MATCH(ROWS($V$2:V500),$V$2:$V$1001,0),1)&gt;=100000,INDEX($AC$1005:$AS$1005,1,MATCH(COLUMNS($AC$1006:AC1006),$AC$1006:$AS$1006,0))&gt;=100000), " ",IF(INDEX($AC$2:$AS$1001,MATCH(ROWS($V$2:V500),$V$2:$V$1001,0),MATCH(COLUMNS($AC$1006:AC1006),$AC$1006:$AS$1006,0)), HYPERLINK("#",""), HYPERLINK(CONCATENATE("#Metadata!", ADDRESS(INDEX($X$2:$X$1001,MATCH(ROWS($V$2:V500),$V$2:$V$1001,0),0), INDEX($AC$1004:$AS$1004,1,MATCH(COLUMNS($AC$1006:AC1006),$AC$1006:$AS$1006,0)))),"Fix")))</f>
        <v>0</v>
      </c>
      <c r="C500" s="5">
        <f>IF(OR(INDEX($W$2:$W$1001,MATCH(ROWS($V$2:V500),$V$2:$V$1001,0),1)&gt;=100000,INDEX($AC$1005:$AS$1005,1,MATCH(COLUMNS($AC$1006:AD1006),$AC$1006:$AS$1006,0))&gt;=100000), " ",IF(INDEX($AC$2:$AS$1001,MATCH(ROWS($V$2:V500),$V$2:$V$1001,0),MATCH(COLUMNS($AC$1006:AD1006),$AC$1006:$AS$1006,0)), HYPERLINK("#",""), HYPERLINK(CONCATENATE("#Metadata!", ADDRESS(INDEX($X$2:$X$1001,MATCH(ROWS($V$2:V500),$V$2:$V$1001,0),0), INDEX($AC$1004:$AS$1004,1,MATCH(COLUMNS($AC$1006:AD1006),$AC$1006:$AS$1006,0)))),"Fix")))</f>
        <v>0</v>
      </c>
      <c r="D500" s="5">
        <f>IF(OR(INDEX($W$2:$W$1001,MATCH(ROWS($V$2:V500),$V$2:$V$1001,0),1)&gt;=100000,INDEX($AC$1005:$AS$1005,1,MATCH(COLUMNS($AC$1006:AE1006),$AC$1006:$AS$1006,0))&gt;=100000), " ",IF(INDEX($AC$2:$AS$1001,MATCH(ROWS($V$2:V500),$V$2:$V$1001,0),MATCH(COLUMNS($AC$1006:AE1006),$AC$1006:$AS$1006,0)), HYPERLINK("#",""), HYPERLINK(CONCATENATE("#Metadata!", ADDRESS(INDEX($X$2:$X$1001,MATCH(ROWS($V$2:V500),$V$2:$V$1001,0),0), INDEX($AC$1004:$AS$1004,1,MATCH(COLUMNS($AC$1006:AE1006),$AC$1006:$AS$1006,0)))),"Fix")))</f>
        <v>0</v>
      </c>
      <c r="E500" s="5">
        <f>IF(OR(INDEX($W$2:$W$1001,MATCH(ROWS($V$2:V500),$V$2:$V$1001,0),1)&gt;=100000,INDEX($AC$1005:$AS$1005,1,MATCH(COLUMNS($AC$1006:AF1006),$AC$1006:$AS$1006,0))&gt;=100000), " ",IF(INDEX($AC$2:$AS$1001,MATCH(ROWS($V$2:V500),$V$2:$V$1001,0),MATCH(COLUMNS($AC$1006:AF1006),$AC$1006:$AS$1006,0)), HYPERLINK("#",""), HYPERLINK(CONCATENATE("#Metadata!", ADDRESS(INDEX($X$2:$X$1001,MATCH(ROWS($V$2:V500),$V$2:$V$1001,0),0), INDEX($AC$1004:$AS$1004,1,MATCH(COLUMNS($AC$1006:AF1006),$AC$1006:$AS$1006,0)))),"Fix")))</f>
        <v>0</v>
      </c>
      <c r="F500" s="5">
        <f>IF(OR(INDEX($W$2:$W$1001,MATCH(ROWS($V$2:V500),$V$2:$V$1001,0),1)&gt;=100000,INDEX($AC$1005:$AS$1005,1,MATCH(COLUMNS($AC$1006:AG1006),$AC$1006:$AS$1006,0))&gt;=100000), " ",IF(INDEX($AC$2:$AS$1001,MATCH(ROWS($V$2:V500),$V$2:$V$1001,0),MATCH(COLUMNS($AC$1006:AG1006),$AC$1006:$AS$1006,0)), HYPERLINK("#",""), HYPERLINK(CONCATENATE("#Metadata!", ADDRESS(INDEX($X$2:$X$1001,MATCH(ROWS($V$2:V500),$V$2:$V$1001,0),0), INDEX($AC$1004:$AS$1004,1,MATCH(COLUMNS($AC$1006:AG1006),$AC$1006:$AS$1006,0)))),"Fix")))</f>
        <v>0</v>
      </c>
      <c r="G500" s="5">
        <f>IF(OR(INDEX($W$2:$W$1001,MATCH(ROWS($V$2:V500),$V$2:$V$1001,0),1)&gt;=100000,INDEX($AC$1005:$AS$1005,1,MATCH(COLUMNS($AC$1006:AH1006),$AC$1006:$AS$1006,0))&gt;=100000), " ",IF(INDEX($AC$2:$AS$1001,MATCH(ROWS($V$2:V500),$V$2:$V$1001,0),MATCH(COLUMNS($AC$1006:AH1006),$AC$1006:$AS$1006,0)), HYPERLINK("#",""), HYPERLINK(CONCATENATE("#Metadata!", ADDRESS(INDEX($X$2:$X$1001,MATCH(ROWS($V$2:V500),$V$2:$V$1001,0),0), INDEX($AC$1004:$AS$1004,1,MATCH(COLUMNS($AC$1006:AH1006),$AC$1006:$AS$1006,0)))),"Fix")))</f>
        <v>0</v>
      </c>
      <c r="H500" s="5">
        <f>IF(OR(INDEX($W$2:$W$1001,MATCH(ROWS($V$2:V500),$V$2:$V$1001,0),1)&gt;=100000,INDEX($AC$1005:$AS$1005,1,MATCH(COLUMNS($AC$1006:AI1006),$AC$1006:$AS$1006,0))&gt;=100000), " ",IF(INDEX($AC$2:$AS$1001,MATCH(ROWS($V$2:V500),$V$2:$V$1001,0),MATCH(COLUMNS($AC$1006:AI1006),$AC$1006:$AS$1006,0)), HYPERLINK("#",""), HYPERLINK(CONCATENATE("#Metadata!", ADDRESS(INDEX($X$2:$X$1001,MATCH(ROWS($V$2:V500),$V$2:$V$1001,0),0), INDEX($AC$1004:$AS$1004,1,MATCH(COLUMNS($AC$1006:AI1006),$AC$1006:$AS$1006,0)))),"Fix")))</f>
        <v>0</v>
      </c>
      <c r="I500" s="5">
        <f>IF(OR(INDEX($W$2:$W$1001,MATCH(ROWS($V$2:V500),$V$2:$V$1001,0),1)&gt;=100000,INDEX($AC$1005:$AS$1005,1,MATCH(COLUMNS($AC$1006:AJ1006),$AC$1006:$AS$1006,0))&gt;=100000), " ",IF(INDEX($AC$2:$AS$1001,MATCH(ROWS($V$2:V500),$V$2:$V$1001,0),MATCH(COLUMNS($AC$1006:AJ1006),$AC$1006:$AS$1006,0)), HYPERLINK("#",""), HYPERLINK(CONCATENATE("#Metadata!", ADDRESS(INDEX($X$2:$X$1001,MATCH(ROWS($V$2:V500),$V$2:$V$1001,0),0), INDEX($AC$1004:$AS$1004,1,MATCH(COLUMNS($AC$1006:AJ1006),$AC$1006:$AS$1006,0)))),"Fix")))</f>
        <v>0</v>
      </c>
      <c r="J500" s="5">
        <f>IF(OR(INDEX($W$2:$W$1001,MATCH(ROWS($V$2:V500),$V$2:$V$1001,0),1)&gt;=100000,INDEX($AC$1005:$AS$1005,1,MATCH(COLUMNS($AC$1006:AK1006),$AC$1006:$AS$1006,0))&gt;=100000), " ",IF(INDEX($AC$2:$AS$1001,MATCH(ROWS($V$2:V500),$V$2:$V$1001,0),MATCH(COLUMNS($AC$1006:AK1006),$AC$1006:$AS$1006,0)), HYPERLINK("#",""), HYPERLINK(CONCATENATE("#Metadata!", ADDRESS(INDEX($X$2:$X$1001,MATCH(ROWS($V$2:V500),$V$2:$V$1001,0),0), INDEX($AC$1004:$AS$1004,1,MATCH(COLUMNS($AC$1006:AK1006),$AC$1006:$AS$1006,0)))),"Fix")))</f>
        <v>0</v>
      </c>
      <c r="K500" s="5">
        <f>IF(OR(INDEX($W$2:$W$1001,MATCH(ROWS($V$2:V500),$V$2:$V$1001,0),1)&gt;=100000,INDEX($AC$1005:$AS$1005,1,MATCH(COLUMNS($AC$1006:AL1006),$AC$1006:$AS$1006,0))&gt;=100000), " ",IF(INDEX($AC$2:$AS$1001,MATCH(ROWS($V$2:V500),$V$2:$V$1001,0),MATCH(COLUMNS($AC$1006:AL1006),$AC$1006:$AS$1006,0)), HYPERLINK("#",""), HYPERLINK(CONCATENATE("#Metadata!", ADDRESS(INDEX($X$2:$X$1001,MATCH(ROWS($V$2:V500),$V$2:$V$1001,0),0), INDEX($AC$1004:$AS$1004,1,MATCH(COLUMNS($AC$1006:AL1006),$AC$1006:$AS$1006,0)))),"Fix")))</f>
        <v>0</v>
      </c>
      <c r="L500" s="5">
        <f>IF(OR(INDEX($W$2:$W$1001,MATCH(ROWS($V$2:V500),$V$2:$V$1001,0),1)&gt;=100000,INDEX($AC$1005:$AS$1005,1,MATCH(COLUMNS($AC$1006:AM1006),$AC$1006:$AS$1006,0))&gt;=100000), " ",IF(INDEX($AC$2:$AS$1001,MATCH(ROWS($V$2:V500),$V$2:$V$1001,0),MATCH(COLUMNS($AC$1006:AM1006),$AC$1006:$AS$1006,0)), HYPERLINK("#",""), HYPERLINK(CONCATENATE("#Metadata!", ADDRESS(INDEX($X$2:$X$1001,MATCH(ROWS($V$2:V500),$V$2:$V$1001,0),0), INDEX($AC$1004:$AS$1004,1,MATCH(COLUMNS($AC$1006:AM1006),$AC$1006:$AS$1006,0)))),"Fix")))</f>
        <v>0</v>
      </c>
      <c r="M500" s="5">
        <f>IF(OR(INDEX($W$2:$W$1001,MATCH(ROWS($V$2:V500),$V$2:$V$1001,0),1)&gt;=100000,INDEX($AC$1005:$AS$1005,1,MATCH(COLUMNS($AC$1006:AN1006),$AC$1006:$AS$1006,0))&gt;=100000), " ",IF(INDEX($AC$2:$AS$1001,MATCH(ROWS($V$2:V500),$V$2:$V$1001,0),MATCH(COLUMNS($AC$1006:AN1006),$AC$1006:$AS$1006,0)), HYPERLINK("#",""), HYPERLINK(CONCATENATE("#Metadata!", ADDRESS(INDEX($X$2:$X$1001,MATCH(ROWS($V$2:V500),$V$2:$V$1001,0),0), INDEX($AC$1004:$AS$1004,1,MATCH(COLUMNS($AC$1006:AN1006),$AC$1006:$AS$1006,0)))),"Fix")))</f>
        <v>0</v>
      </c>
      <c r="N500" s="5">
        <f>IF(OR(INDEX($W$2:$W$1001,MATCH(ROWS($V$2:V500),$V$2:$V$1001,0),1)&gt;=100000,INDEX($AC$1005:$AS$1005,1,MATCH(COLUMNS($AC$1006:AO1006),$AC$1006:$AS$1006,0))&gt;=100000), " ",IF(INDEX($AC$2:$AS$1001,MATCH(ROWS($V$2:V500),$V$2:$V$1001,0),MATCH(COLUMNS($AC$1006:AO1006),$AC$1006:$AS$1006,0)), HYPERLINK("#",""), HYPERLINK(CONCATENATE("#Metadata!", ADDRESS(INDEX($X$2:$X$1001,MATCH(ROWS($V$2:V500),$V$2:$V$1001,0),0), INDEX($AC$1004:$AS$1004,1,MATCH(COLUMNS($AC$1006:AO1006),$AC$1006:$AS$1006,0)))),"Fix")))</f>
        <v>0</v>
      </c>
      <c r="O500" s="5">
        <f>IF(OR(INDEX($W$2:$W$1001,MATCH(ROWS($V$2:V500),$V$2:$V$1001,0),1)&gt;=100000,INDEX($AC$1005:$AS$1005,1,MATCH(COLUMNS($AC$1006:AP1006),$AC$1006:$AS$1006,0))&gt;=100000), " ",IF(INDEX($AC$2:$AS$1001,MATCH(ROWS($V$2:V500),$V$2:$V$1001,0),MATCH(COLUMNS($AC$1006:AP1006),$AC$1006:$AS$1006,0)), HYPERLINK("#",""), HYPERLINK(CONCATENATE("#Metadata!", ADDRESS(INDEX($X$2:$X$1001,MATCH(ROWS($V$2:V500),$V$2:$V$1001,0),0), INDEX($AC$1004:$AS$1004,1,MATCH(COLUMNS($AC$1006:AP1006),$AC$1006:$AS$1006,0)))),"Fix")))</f>
        <v>0</v>
      </c>
      <c r="P500" s="5">
        <f>IF(OR(INDEX($W$2:$W$1001,MATCH(ROWS($V$2:V500),$V$2:$V$1001,0),1)&gt;=100000,INDEX($AC$1005:$AS$1005,1,MATCH(COLUMNS($AC$1006:AQ1006),$AC$1006:$AS$1006,0))&gt;=100000), " ",IF(INDEX($AC$2:$AS$1001,MATCH(ROWS($V$2:V500),$V$2:$V$1001,0),MATCH(COLUMNS($AC$1006:AQ1006),$AC$1006:$AS$1006,0)), HYPERLINK("#",""), HYPERLINK(CONCATENATE("#Metadata!", ADDRESS(INDEX($X$2:$X$1001,MATCH(ROWS($V$2:V500),$V$2:$V$1001,0),0), INDEX($AC$1004:$AS$1004,1,MATCH(COLUMNS($AC$1006:AQ1006),$AC$1006:$AS$1006,0)))),"Fix")))</f>
        <v>0</v>
      </c>
      <c r="Q500" s="5">
        <f>IF(OR(INDEX($W$2:$W$1001,MATCH(ROWS($V$2:V500),$V$2:$V$1001,0),1)&gt;=100000,INDEX($AC$1005:$AS$1005,1,MATCH(COLUMNS($AC$1006:AR1006),$AC$1006:$AS$1006,0))&gt;=100000), " ",IF(INDEX($AC$2:$AS$1001,MATCH(ROWS($V$2:V500),$V$2:$V$1001,0),MATCH(COLUMNS($AC$1006:AR1006),$AC$1006:$AS$1006,0)), HYPERLINK("#",""), HYPERLINK(CONCATENATE("#Metadata!", ADDRESS(INDEX($X$2:$X$1001,MATCH(ROWS($V$2:V500),$V$2:$V$1001,0),0), INDEX($AC$1004:$AS$1004,1,MATCH(COLUMNS($AC$1006:AR1006),$AC$1006:$AS$1006,0)))),"Fix")))</f>
        <v>0</v>
      </c>
      <c r="R500" s="5">
        <f>IF(OR(INDEX($W$2:$W$1001,MATCH(ROWS($V$2:V500),$V$2:$V$1001,0),1)&gt;=100000,INDEX($AC$1005:$AS$1005,1,MATCH(COLUMNS($AC$1006:AS1006),$AC$1006:$AS$1006,0))&gt;=100000), " ",IF(INDEX($AC$2:$AS$1001,MATCH(ROWS($V$2:V500),$V$2:$V$1001,0),MATCH(COLUMNS($AC$1006:AS1006),$AC$1006:$AS$1006,0)), HYPERLINK("#",""), HYPERLINK(CONCATENATE("#Metadata!", ADDRESS(INDEX($X$2:$X$1001,MATCH(ROWS($V$2:V500),$V$2:$V$1001,0),0), INDEX($AC$1004:$AS$1004,1,MATCH(COLUMNS($AC$1006:AS1006),$AC$1006:$AS$1006,0)))),"Fix")))</f>
        <v>0</v>
      </c>
      <c r="V500">
        <v>0</v>
      </c>
      <c r="W500">
        <v>0</v>
      </c>
      <c r="X500">
        <v>0</v>
      </c>
      <c r="Y500">
        <f>IF(Z500,TRUE,AND(AC500:AS500))</f>
        <v>0</v>
      </c>
      <c r="Z500">
        <f>COUNTBLANK(Metadata!B500:R500)=COLUMNS(Metadata!B500:R500)</f>
        <v>0</v>
      </c>
      <c r="AA500">
        <v>0</v>
      </c>
      <c r="AC500">
        <f>AND(IF(Metadata!B500="",FALSE,TRUE),COUNTIF(Metadata!B:B, Metadata!B500) = 1,NOT(ISERROR(SUMPRODUCT(SEARCH(MID(Metadata!B500,ROW(INDIRECT("1:"&amp;LEN(Metadata!B500))), 1),"0123456789abcdefghijklmnopqrstuvwxyzABCDEFGHIJKLMNOPQRSTUVWXYZ.")))))</f>
        <v>0</v>
      </c>
      <c r="AD500">
        <f>AND(IF(Metadata!C500="",FALSE,TRUE),exact(Metadata!C500,"Host-associated"))</f>
        <v>0</v>
      </c>
      <c r="AE500">
        <f>AND(IF(Metadata!D500="",FALSE,TRUE),OR(exact(Metadata!D500,"Animal"),exact(Metadata!D500,"Fungus"),exact(Metadata!D500,"Plant")))</f>
        <v>0</v>
      </c>
      <c r="AF500">
        <f>AND(IF(Metadata!E500="",FALSE,TRUE),OR(exact(Metadata!E500,"Plant secretion"),exact(Metadata!E500,"Plant rhizosphere"),exact(Metadata!E500,"Plant surface"),exact(Metadata!E500,"Plant corpus"),exact(Metadata!E500,"Fungus surface"),exact(Metadata!E500,"Fungus corpus"),exact(Metadata!E500,"Animal surface"),exact(Metadata!E500,"Animal proximal gut"),exact(Metadata!E500,"Animal corpus"),exact(Metadata!E500,"Animal distal gut"),exact(Metadata!E500,"Animal secretion")))</f>
        <v>0</v>
      </c>
      <c r="AG500">
        <f>OR(AND(IF(Metadata!F500="",FALSE,TRUE),OR(exact(Metadata!F500,"not collected"),exact(Metadata!F500,"not provided"),exact(Metadata!F500,"restricted access"))),AND(IF(Metadata!F500="",FALSE,TRUE),OR(exact(Metadata!F500,"organism-associated habitat"),exact(Metadata!F500,"plant-associated habitat"),exact(Metadata!F500,"animal-associated habitat"),exact(Metadata!F500,"insecta-associated habitat"),exact(Metadata!F500,"mammalia-associated habitat"),exact(Metadata!F500,"human-associated habitat"),exact(Metadata!F500,"livestock-associated habitat"))))</f>
        <v>0</v>
      </c>
      <c r="AH500">
        <f>AND(IF(Metadata!G500="",FALSE,TRUE),exact(Metadata!G500,"host-associated"))</f>
        <v>0</v>
      </c>
      <c r="AI500">
        <f>OR(AND(IF(Metadata!H500="",FALSE,TRUE),OR(exact(Metadata!H500,"not collected"),exact(Metadata!H500,"not provided"))),AND(IF(Metadata!H500="",FALSE,ISNUMBER(VALUE(Metadata!H500))),Metadata!H500&gt;0))</f>
        <v>0</v>
      </c>
      <c r="AJ500">
        <f>AND(IF(Metadata!I500="",FALSE,TRUE),exact(Metadata!I500,"years"))</f>
        <v>0</v>
      </c>
      <c r="AK500">
        <f>IF(Metadata!J500="",FALSE,TRUE)</f>
        <v>0</v>
      </c>
      <c r="AL500">
        <f>OR(AND(IF(Metadata!K500="",FALSE,TRUE),OR(exact(Metadata!K500,"not collected"),exact(Metadata!K500,"not provided"))),AND(IF(Metadata!K500="",FALSE,ISNUMBER(VALUE(Metadata!K500))),Metadata!K500&gt;0))</f>
        <v>0</v>
      </c>
      <c r="AM500">
        <f>AND(IF(Metadata!L500="",FALSE,TRUE),exact(Metadata!L500,"cm"))</f>
        <v>0</v>
      </c>
      <c r="AN500">
        <f>IF(Metadata!M500="",FALSE,TRUE)</f>
        <v>0</v>
      </c>
      <c r="AO500">
        <f>OR(AND(IF(Metadata!N500="",FALSE,TRUE),OR(exact(Metadata!N500,"not applicable"),exact(Metadata!N500,"not collected"),exact(Metadata!N500,"not provided"))),AND(IF(Metadata!N500="",FALSE,IF(ISERROR(INT(Metadata!N500)),FALSE,INT(Metadata!N500)=Metadata!N500)),Metadata!N500&gt;0))</f>
        <v>0</v>
      </c>
      <c r="AP500">
        <f>OR(AND(IF(Metadata!O500="",FALSE,TRUE),OR(exact(Metadata!O500,"not collected"),exact(Metadata!O500,"not provided"))),AND(IF(Metadata!O500="",FALSE,ISNUMBER(VALUE(Metadata!O500))),Metadata!O500&gt;0))</f>
        <v>0</v>
      </c>
      <c r="AQ500">
        <f>AND(IF(Metadata!P500="",FALSE,TRUE),exact(Metadata!P500,"kg"))</f>
        <v>0</v>
      </c>
      <c r="AR500">
        <f>OR(AND(IF(Metadata!Q500="",FALSE,TRUE),OR(exact(Metadata!Q500,"not applicable"),exact(Metadata!Q500,"not collected"),exact(Metadata!Q500,"not provided"),exact(Metadata!Q500,"restricted access"))),IF(Metadata!Q500="",FALSE,IF(ISERROR(INT(Metadata!Q500)),FALSE,INT(Metadata!Q500)=Metadata!Q500)))</f>
        <v>0</v>
      </c>
      <c r="AS500">
        <f>AND(IF(Metadata!R500="",FALSE,TRUE),exact(Metadata!R500,"Not applicable"))</f>
        <v>0</v>
      </c>
    </row>
    <row r="501" spans="1:45">
      <c r="A501" s="4">
        <f>IF(B501=" "," ",HYPERLINK(CONCATENATE("#metadata!",ADDRESS(INDEX($X$2:$X$1001,MATCH(ROWS($V$2:V501),$V$2:$V$1001,0),0),2)),INDEX($AA$2:$AA$1001,MATCH(ROWS($V$2:V501),$V$2:$V$1001,0),0)))</f>
        <v>0</v>
      </c>
      <c r="B501" s="5">
        <f>IF(OR(INDEX($W$2:$W$1001,MATCH(ROWS($V$2:V501),$V$2:$V$1001,0),1)&gt;=100000,INDEX($AC$1005:$AS$1005,1,MATCH(COLUMNS($AC$1006:AC1006),$AC$1006:$AS$1006,0))&gt;=100000), " ",IF(INDEX($AC$2:$AS$1001,MATCH(ROWS($V$2:V501),$V$2:$V$1001,0),MATCH(COLUMNS($AC$1006:AC1006),$AC$1006:$AS$1006,0)), HYPERLINK("#",""), HYPERLINK(CONCATENATE("#Metadata!", ADDRESS(INDEX($X$2:$X$1001,MATCH(ROWS($V$2:V501),$V$2:$V$1001,0),0), INDEX($AC$1004:$AS$1004,1,MATCH(COLUMNS($AC$1006:AC1006),$AC$1006:$AS$1006,0)))),"Fix")))</f>
        <v>0</v>
      </c>
      <c r="C501" s="5">
        <f>IF(OR(INDEX($W$2:$W$1001,MATCH(ROWS($V$2:V501),$V$2:$V$1001,0),1)&gt;=100000,INDEX($AC$1005:$AS$1005,1,MATCH(COLUMNS($AC$1006:AD1006),$AC$1006:$AS$1006,0))&gt;=100000), " ",IF(INDEX($AC$2:$AS$1001,MATCH(ROWS($V$2:V501),$V$2:$V$1001,0),MATCH(COLUMNS($AC$1006:AD1006),$AC$1006:$AS$1006,0)), HYPERLINK("#",""), HYPERLINK(CONCATENATE("#Metadata!", ADDRESS(INDEX($X$2:$X$1001,MATCH(ROWS($V$2:V501),$V$2:$V$1001,0),0), INDEX($AC$1004:$AS$1004,1,MATCH(COLUMNS($AC$1006:AD1006),$AC$1006:$AS$1006,0)))),"Fix")))</f>
        <v>0</v>
      </c>
      <c r="D501" s="5">
        <f>IF(OR(INDEX($W$2:$W$1001,MATCH(ROWS($V$2:V501),$V$2:$V$1001,0),1)&gt;=100000,INDEX($AC$1005:$AS$1005,1,MATCH(COLUMNS($AC$1006:AE1006),$AC$1006:$AS$1006,0))&gt;=100000), " ",IF(INDEX($AC$2:$AS$1001,MATCH(ROWS($V$2:V501),$V$2:$V$1001,0),MATCH(COLUMNS($AC$1006:AE1006),$AC$1006:$AS$1006,0)), HYPERLINK("#",""), HYPERLINK(CONCATENATE("#Metadata!", ADDRESS(INDEX($X$2:$X$1001,MATCH(ROWS($V$2:V501),$V$2:$V$1001,0),0), INDEX($AC$1004:$AS$1004,1,MATCH(COLUMNS($AC$1006:AE1006),$AC$1006:$AS$1006,0)))),"Fix")))</f>
        <v>0</v>
      </c>
      <c r="E501" s="5">
        <f>IF(OR(INDEX($W$2:$W$1001,MATCH(ROWS($V$2:V501),$V$2:$V$1001,0),1)&gt;=100000,INDEX($AC$1005:$AS$1005,1,MATCH(COLUMNS($AC$1006:AF1006),$AC$1006:$AS$1006,0))&gt;=100000), " ",IF(INDEX($AC$2:$AS$1001,MATCH(ROWS($V$2:V501),$V$2:$V$1001,0),MATCH(COLUMNS($AC$1006:AF1006),$AC$1006:$AS$1006,0)), HYPERLINK("#",""), HYPERLINK(CONCATENATE("#Metadata!", ADDRESS(INDEX($X$2:$X$1001,MATCH(ROWS($V$2:V501),$V$2:$V$1001,0),0), INDEX($AC$1004:$AS$1004,1,MATCH(COLUMNS($AC$1006:AF1006),$AC$1006:$AS$1006,0)))),"Fix")))</f>
        <v>0</v>
      </c>
      <c r="F501" s="5">
        <f>IF(OR(INDEX($W$2:$W$1001,MATCH(ROWS($V$2:V501),$V$2:$V$1001,0),1)&gt;=100000,INDEX($AC$1005:$AS$1005,1,MATCH(COLUMNS($AC$1006:AG1006),$AC$1006:$AS$1006,0))&gt;=100000), " ",IF(INDEX($AC$2:$AS$1001,MATCH(ROWS($V$2:V501),$V$2:$V$1001,0),MATCH(COLUMNS($AC$1006:AG1006),$AC$1006:$AS$1006,0)), HYPERLINK("#",""), HYPERLINK(CONCATENATE("#Metadata!", ADDRESS(INDEX($X$2:$X$1001,MATCH(ROWS($V$2:V501),$V$2:$V$1001,0),0), INDEX($AC$1004:$AS$1004,1,MATCH(COLUMNS($AC$1006:AG1006),$AC$1006:$AS$1006,0)))),"Fix")))</f>
        <v>0</v>
      </c>
      <c r="G501" s="5">
        <f>IF(OR(INDEX($W$2:$W$1001,MATCH(ROWS($V$2:V501),$V$2:$V$1001,0),1)&gt;=100000,INDEX($AC$1005:$AS$1005,1,MATCH(COLUMNS($AC$1006:AH1006),$AC$1006:$AS$1006,0))&gt;=100000), " ",IF(INDEX($AC$2:$AS$1001,MATCH(ROWS($V$2:V501),$V$2:$V$1001,0),MATCH(COLUMNS($AC$1006:AH1006),$AC$1006:$AS$1006,0)), HYPERLINK("#",""), HYPERLINK(CONCATENATE("#Metadata!", ADDRESS(INDEX($X$2:$X$1001,MATCH(ROWS($V$2:V501),$V$2:$V$1001,0),0), INDEX($AC$1004:$AS$1004,1,MATCH(COLUMNS($AC$1006:AH1006),$AC$1006:$AS$1006,0)))),"Fix")))</f>
        <v>0</v>
      </c>
      <c r="H501" s="5">
        <f>IF(OR(INDEX($W$2:$W$1001,MATCH(ROWS($V$2:V501),$V$2:$V$1001,0),1)&gt;=100000,INDEX($AC$1005:$AS$1005,1,MATCH(COLUMNS($AC$1006:AI1006),$AC$1006:$AS$1006,0))&gt;=100000), " ",IF(INDEX($AC$2:$AS$1001,MATCH(ROWS($V$2:V501),$V$2:$V$1001,0),MATCH(COLUMNS($AC$1006:AI1006),$AC$1006:$AS$1006,0)), HYPERLINK("#",""), HYPERLINK(CONCATENATE("#Metadata!", ADDRESS(INDEX($X$2:$X$1001,MATCH(ROWS($V$2:V501),$V$2:$V$1001,0),0), INDEX($AC$1004:$AS$1004,1,MATCH(COLUMNS($AC$1006:AI1006),$AC$1006:$AS$1006,0)))),"Fix")))</f>
        <v>0</v>
      </c>
      <c r="I501" s="5">
        <f>IF(OR(INDEX($W$2:$W$1001,MATCH(ROWS($V$2:V501),$V$2:$V$1001,0),1)&gt;=100000,INDEX($AC$1005:$AS$1005,1,MATCH(COLUMNS($AC$1006:AJ1006),$AC$1006:$AS$1006,0))&gt;=100000), " ",IF(INDEX($AC$2:$AS$1001,MATCH(ROWS($V$2:V501),$V$2:$V$1001,0),MATCH(COLUMNS($AC$1006:AJ1006),$AC$1006:$AS$1006,0)), HYPERLINK("#",""), HYPERLINK(CONCATENATE("#Metadata!", ADDRESS(INDEX($X$2:$X$1001,MATCH(ROWS($V$2:V501),$V$2:$V$1001,0),0), INDEX($AC$1004:$AS$1004,1,MATCH(COLUMNS($AC$1006:AJ1006),$AC$1006:$AS$1006,0)))),"Fix")))</f>
        <v>0</v>
      </c>
      <c r="J501" s="5">
        <f>IF(OR(INDEX($W$2:$W$1001,MATCH(ROWS($V$2:V501),$V$2:$V$1001,0),1)&gt;=100000,INDEX($AC$1005:$AS$1005,1,MATCH(COLUMNS($AC$1006:AK1006),$AC$1006:$AS$1006,0))&gt;=100000), " ",IF(INDEX($AC$2:$AS$1001,MATCH(ROWS($V$2:V501),$V$2:$V$1001,0),MATCH(COLUMNS($AC$1006:AK1006),$AC$1006:$AS$1006,0)), HYPERLINK("#",""), HYPERLINK(CONCATENATE("#Metadata!", ADDRESS(INDEX($X$2:$X$1001,MATCH(ROWS($V$2:V501),$V$2:$V$1001,0),0), INDEX($AC$1004:$AS$1004,1,MATCH(COLUMNS($AC$1006:AK1006),$AC$1006:$AS$1006,0)))),"Fix")))</f>
        <v>0</v>
      </c>
      <c r="K501" s="5">
        <f>IF(OR(INDEX($W$2:$W$1001,MATCH(ROWS($V$2:V501),$V$2:$V$1001,0),1)&gt;=100000,INDEX($AC$1005:$AS$1005,1,MATCH(COLUMNS($AC$1006:AL1006),$AC$1006:$AS$1006,0))&gt;=100000), " ",IF(INDEX($AC$2:$AS$1001,MATCH(ROWS($V$2:V501),$V$2:$V$1001,0),MATCH(COLUMNS($AC$1006:AL1006),$AC$1006:$AS$1006,0)), HYPERLINK("#",""), HYPERLINK(CONCATENATE("#Metadata!", ADDRESS(INDEX($X$2:$X$1001,MATCH(ROWS($V$2:V501),$V$2:$V$1001,0),0), INDEX($AC$1004:$AS$1004,1,MATCH(COLUMNS($AC$1006:AL1006),$AC$1006:$AS$1006,0)))),"Fix")))</f>
        <v>0</v>
      </c>
      <c r="L501" s="5">
        <f>IF(OR(INDEX($W$2:$W$1001,MATCH(ROWS($V$2:V501),$V$2:$V$1001,0),1)&gt;=100000,INDEX($AC$1005:$AS$1005,1,MATCH(COLUMNS($AC$1006:AM1006),$AC$1006:$AS$1006,0))&gt;=100000), " ",IF(INDEX($AC$2:$AS$1001,MATCH(ROWS($V$2:V501),$V$2:$V$1001,0),MATCH(COLUMNS($AC$1006:AM1006),$AC$1006:$AS$1006,0)), HYPERLINK("#",""), HYPERLINK(CONCATENATE("#Metadata!", ADDRESS(INDEX($X$2:$X$1001,MATCH(ROWS($V$2:V501),$V$2:$V$1001,0),0), INDEX($AC$1004:$AS$1004,1,MATCH(COLUMNS($AC$1006:AM1006),$AC$1006:$AS$1006,0)))),"Fix")))</f>
        <v>0</v>
      </c>
      <c r="M501" s="5">
        <f>IF(OR(INDEX($W$2:$W$1001,MATCH(ROWS($V$2:V501),$V$2:$V$1001,0),1)&gt;=100000,INDEX($AC$1005:$AS$1005,1,MATCH(COLUMNS($AC$1006:AN1006),$AC$1006:$AS$1006,0))&gt;=100000), " ",IF(INDEX($AC$2:$AS$1001,MATCH(ROWS($V$2:V501),$V$2:$V$1001,0),MATCH(COLUMNS($AC$1006:AN1006),$AC$1006:$AS$1006,0)), HYPERLINK("#",""), HYPERLINK(CONCATENATE("#Metadata!", ADDRESS(INDEX($X$2:$X$1001,MATCH(ROWS($V$2:V501),$V$2:$V$1001,0),0), INDEX($AC$1004:$AS$1004,1,MATCH(COLUMNS($AC$1006:AN1006),$AC$1006:$AS$1006,0)))),"Fix")))</f>
        <v>0</v>
      </c>
      <c r="N501" s="5">
        <f>IF(OR(INDEX($W$2:$W$1001,MATCH(ROWS($V$2:V501),$V$2:$V$1001,0),1)&gt;=100000,INDEX($AC$1005:$AS$1005,1,MATCH(COLUMNS($AC$1006:AO1006),$AC$1006:$AS$1006,0))&gt;=100000), " ",IF(INDEX($AC$2:$AS$1001,MATCH(ROWS($V$2:V501),$V$2:$V$1001,0),MATCH(COLUMNS($AC$1006:AO1006),$AC$1006:$AS$1006,0)), HYPERLINK("#",""), HYPERLINK(CONCATENATE("#Metadata!", ADDRESS(INDEX($X$2:$X$1001,MATCH(ROWS($V$2:V501),$V$2:$V$1001,0),0), INDEX($AC$1004:$AS$1004,1,MATCH(COLUMNS($AC$1006:AO1006),$AC$1006:$AS$1006,0)))),"Fix")))</f>
        <v>0</v>
      </c>
      <c r="O501" s="5">
        <f>IF(OR(INDEX($W$2:$W$1001,MATCH(ROWS($V$2:V501),$V$2:$V$1001,0),1)&gt;=100000,INDEX($AC$1005:$AS$1005,1,MATCH(COLUMNS($AC$1006:AP1006),$AC$1006:$AS$1006,0))&gt;=100000), " ",IF(INDEX($AC$2:$AS$1001,MATCH(ROWS($V$2:V501),$V$2:$V$1001,0),MATCH(COLUMNS($AC$1006:AP1006),$AC$1006:$AS$1006,0)), HYPERLINK("#",""), HYPERLINK(CONCATENATE("#Metadata!", ADDRESS(INDEX($X$2:$X$1001,MATCH(ROWS($V$2:V501),$V$2:$V$1001,0),0), INDEX($AC$1004:$AS$1004,1,MATCH(COLUMNS($AC$1006:AP1006),$AC$1006:$AS$1006,0)))),"Fix")))</f>
        <v>0</v>
      </c>
      <c r="P501" s="5">
        <f>IF(OR(INDEX($W$2:$W$1001,MATCH(ROWS($V$2:V501),$V$2:$V$1001,0),1)&gt;=100000,INDEX($AC$1005:$AS$1005,1,MATCH(COLUMNS($AC$1006:AQ1006),$AC$1006:$AS$1006,0))&gt;=100000), " ",IF(INDEX($AC$2:$AS$1001,MATCH(ROWS($V$2:V501),$V$2:$V$1001,0),MATCH(COLUMNS($AC$1006:AQ1006),$AC$1006:$AS$1006,0)), HYPERLINK("#",""), HYPERLINK(CONCATENATE("#Metadata!", ADDRESS(INDEX($X$2:$X$1001,MATCH(ROWS($V$2:V501),$V$2:$V$1001,0),0), INDEX($AC$1004:$AS$1004,1,MATCH(COLUMNS($AC$1006:AQ1006),$AC$1006:$AS$1006,0)))),"Fix")))</f>
        <v>0</v>
      </c>
      <c r="Q501" s="5">
        <f>IF(OR(INDEX($W$2:$W$1001,MATCH(ROWS($V$2:V501),$V$2:$V$1001,0),1)&gt;=100000,INDEX($AC$1005:$AS$1005,1,MATCH(COLUMNS($AC$1006:AR1006),$AC$1006:$AS$1006,0))&gt;=100000), " ",IF(INDEX($AC$2:$AS$1001,MATCH(ROWS($V$2:V501),$V$2:$V$1001,0),MATCH(COLUMNS($AC$1006:AR1006),$AC$1006:$AS$1006,0)), HYPERLINK("#",""), HYPERLINK(CONCATENATE("#Metadata!", ADDRESS(INDEX($X$2:$X$1001,MATCH(ROWS($V$2:V501),$V$2:$V$1001,0),0), INDEX($AC$1004:$AS$1004,1,MATCH(COLUMNS($AC$1006:AR1006),$AC$1006:$AS$1006,0)))),"Fix")))</f>
        <v>0</v>
      </c>
      <c r="R501" s="5">
        <f>IF(OR(INDEX($W$2:$W$1001,MATCH(ROWS($V$2:V501),$V$2:$V$1001,0),1)&gt;=100000,INDEX($AC$1005:$AS$1005,1,MATCH(COLUMNS($AC$1006:AS1006),$AC$1006:$AS$1006,0))&gt;=100000), " ",IF(INDEX($AC$2:$AS$1001,MATCH(ROWS($V$2:V501),$V$2:$V$1001,0),MATCH(COLUMNS($AC$1006:AS1006),$AC$1006:$AS$1006,0)), HYPERLINK("#",""), HYPERLINK(CONCATENATE("#Metadata!", ADDRESS(INDEX($X$2:$X$1001,MATCH(ROWS($V$2:V501),$V$2:$V$1001,0),0), INDEX($AC$1004:$AS$1004,1,MATCH(COLUMNS($AC$1006:AS1006),$AC$1006:$AS$1006,0)))),"Fix")))</f>
        <v>0</v>
      </c>
      <c r="V501">
        <v>0</v>
      </c>
      <c r="W501">
        <v>0</v>
      </c>
      <c r="X501">
        <v>0</v>
      </c>
      <c r="Y501">
        <f>IF(Z501,TRUE,AND(AC501:AS501))</f>
        <v>0</v>
      </c>
      <c r="Z501">
        <f>COUNTBLANK(Metadata!B501:R501)=COLUMNS(Metadata!B501:R501)</f>
        <v>0</v>
      </c>
      <c r="AA501">
        <v>0</v>
      </c>
      <c r="AC501">
        <f>AND(IF(Metadata!B501="",FALSE,TRUE),COUNTIF(Metadata!B:B, Metadata!B501) = 1,NOT(ISERROR(SUMPRODUCT(SEARCH(MID(Metadata!B501,ROW(INDIRECT("1:"&amp;LEN(Metadata!B501))), 1),"0123456789abcdefghijklmnopqrstuvwxyzABCDEFGHIJKLMNOPQRSTUVWXYZ.")))))</f>
        <v>0</v>
      </c>
      <c r="AD501">
        <f>AND(IF(Metadata!C501="",FALSE,TRUE),exact(Metadata!C501,"Host-associated"))</f>
        <v>0</v>
      </c>
      <c r="AE501">
        <f>AND(IF(Metadata!D501="",FALSE,TRUE),OR(exact(Metadata!D501,"Animal"),exact(Metadata!D501,"Fungus"),exact(Metadata!D501,"Plant")))</f>
        <v>0</v>
      </c>
      <c r="AF501">
        <f>AND(IF(Metadata!E501="",FALSE,TRUE),OR(exact(Metadata!E501,"Plant secretion"),exact(Metadata!E501,"Plant rhizosphere"),exact(Metadata!E501,"Plant surface"),exact(Metadata!E501,"Plant corpus"),exact(Metadata!E501,"Fungus surface"),exact(Metadata!E501,"Fungus corpus"),exact(Metadata!E501,"Animal surface"),exact(Metadata!E501,"Animal proximal gut"),exact(Metadata!E501,"Animal corpus"),exact(Metadata!E501,"Animal distal gut"),exact(Metadata!E501,"Animal secretion")))</f>
        <v>0</v>
      </c>
      <c r="AG501">
        <f>OR(AND(IF(Metadata!F501="",FALSE,TRUE),OR(exact(Metadata!F501,"not collected"),exact(Metadata!F501,"not provided"),exact(Metadata!F501,"restricted access"))),AND(IF(Metadata!F501="",FALSE,TRUE),OR(exact(Metadata!F501,"organism-associated habitat"),exact(Metadata!F501,"plant-associated habitat"),exact(Metadata!F501,"animal-associated habitat"),exact(Metadata!F501,"insecta-associated habitat"),exact(Metadata!F501,"mammalia-associated habitat"),exact(Metadata!F501,"human-associated habitat"),exact(Metadata!F501,"livestock-associated habitat"))))</f>
        <v>0</v>
      </c>
      <c r="AH501">
        <f>AND(IF(Metadata!G501="",FALSE,TRUE),exact(Metadata!G501,"host-associated"))</f>
        <v>0</v>
      </c>
      <c r="AI501">
        <f>OR(AND(IF(Metadata!H501="",FALSE,TRUE),OR(exact(Metadata!H501,"not collected"),exact(Metadata!H501,"not provided"))),AND(IF(Metadata!H501="",FALSE,ISNUMBER(VALUE(Metadata!H501))),Metadata!H501&gt;0))</f>
        <v>0</v>
      </c>
      <c r="AJ501">
        <f>AND(IF(Metadata!I501="",FALSE,TRUE),exact(Metadata!I501,"years"))</f>
        <v>0</v>
      </c>
      <c r="AK501">
        <f>IF(Metadata!J501="",FALSE,TRUE)</f>
        <v>0</v>
      </c>
      <c r="AL501">
        <f>OR(AND(IF(Metadata!K501="",FALSE,TRUE),OR(exact(Metadata!K501,"not collected"),exact(Metadata!K501,"not provided"))),AND(IF(Metadata!K501="",FALSE,ISNUMBER(VALUE(Metadata!K501))),Metadata!K501&gt;0))</f>
        <v>0</v>
      </c>
      <c r="AM501">
        <f>AND(IF(Metadata!L501="",FALSE,TRUE),exact(Metadata!L501,"cm"))</f>
        <v>0</v>
      </c>
      <c r="AN501">
        <f>IF(Metadata!M501="",FALSE,TRUE)</f>
        <v>0</v>
      </c>
      <c r="AO501">
        <f>OR(AND(IF(Metadata!N501="",FALSE,TRUE),OR(exact(Metadata!N501,"not applicable"),exact(Metadata!N501,"not collected"),exact(Metadata!N501,"not provided"))),AND(IF(Metadata!N501="",FALSE,IF(ISERROR(INT(Metadata!N501)),FALSE,INT(Metadata!N501)=Metadata!N501)),Metadata!N501&gt;0))</f>
        <v>0</v>
      </c>
      <c r="AP501">
        <f>OR(AND(IF(Metadata!O501="",FALSE,TRUE),OR(exact(Metadata!O501,"not collected"),exact(Metadata!O501,"not provided"))),AND(IF(Metadata!O501="",FALSE,ISNUMBER(VALUE(Metadata!O501))),Metadata!O501&gt;0))</f>
        <v>0</v>
      </c>
      <c r="AQ501">
        <f>AND(IF(Metadata!P501="",FALSE,TRUE),exact(Metadata!P501,"kg"))</f>
        <v>0</v>
      </c>
      <c r="AR501">
        <f>OR(AND(IF(Metadata!Q501="",FALSE,TRUE),OR(exact(Metadata!Q501,"not applicable"),exact(Metadata!Q501,"not collected"),exact(Metadata!Q501,"not provided"),exact(Metadata!Q501,"restricted access"))),IF(Metadata!Q501="",FALSE,IF(ISERROR(INT(Metadata!Q501)),FALSE,INT(Metadata!Q501)=Metadata!Q501)))</f>
        <v>0</v>
      </c>
      <c r="AS501">
        <f>AND(IF(Metadata!R501="",FALSE,TRUE),exact(Metadata!R501,"Not applicable"))</f>
        <v>0</v>
      </c>
    </row>
    <row r="502" spans="1:45">
      <c r="A502" s="4">
        <f>IF(B502=" "," ",HYPERLINK(CONCATENATE("#metadata!",ADDRESS(INDEX($X$2:$X$1001,MATCH(ROWS($V$2:V502),$V$2:$V$1001,0),0),2)),INDEX($AA$2:$AA$1001,MATCH(ROWS($V$2:V502),$V$2:$V$1001,0),0)))</f>
        <v>0</v>
      </c>
      <c r="B502" s="5">
        <f>IF(OR(INDEX($W$2:$W$1001,MATCH(ROWS($V$2:V502),$V$2:$V$1001,0),1)&gt;=100000,INDEX($AC$1005:$AS$1005,1,MATCH(COLUMNS($AC$1006:AC1006),$AC$1006:$AS$1006,0))&gt;=100000), " ",IF(INDEX($AC$2:$AS$1001,MATCH(ROWS($V$2:V502),$V$2:$V$1001,0),MATCH(COLUMNS($AC$1006:AC1006),$AC$1006:$AS$1006,0)), HYPERLINK("#",""), HYPERLINK(CONCATENATE("#Metadata!", ADDRESS(INDEX($X$2:$X$1001,MATCH(ROWS($V$2:V502),$V$2:$V$1001,0),0), INDEX($AC$1004:$AS$1004,1,MATCH(COLUMNS($AC$1006:AC1006),$AC$1006:$AS$1006,0)))),"Fix")))</f>
        <v>0</v>
      </c>
      <c r="C502" s="5">
        <f>IF(OR(INDEX($W$2:$W$1001,MATCH(ROWS($V$2:V502),$V$2:$V$1001,0),1)&gt;=100000,INDEX($AC$1005:$AS$1005,1,MATCH(COLUMNS($AC$1006:AD1006),$AC$1006:$AS$1006,0))&gt;=100000), " ",IF(INDEX($AC$2:$AS$1001,MATCH(ROWS($V$2:V502),$V$2:$V$1001,0),MATCH(COLUMNS($AC$1006:AD1006),$AC$1006:$AS$1006,0)), HYPERLINK("#",""), HYPERLINK(CONCATENATE("#Metadata!", ADDRESS(INDEX($X$2:$X$1001,MATCH(ROWS($V$2:V502),$V$2:$V$1001,0),0), INDEX($AC$1004:$AS$1004,1,MATCH(COLUMNS($AC$1006:AD1006),$AC$1006:$AS$1006,0)))),"Fix")))</f>
        <v>0</v>
      </c>
      <c r="D502" s="5">
        <f>IF(OR(INDEX($W$2:$W$1001,MATCH(ROWS($V$2:V502),$V$2:$V$1001,0),1)&gt;=100000,INDEX($AC$1005:$AS$1005,1,MATCH(COLUMNS($AC$1006:AE1006),$AC$1006:$AS$1006,0))&gt;=100000), " ",IF(INDEX($AC$2:$AS$1001,MATCH(ROWS($V$2:V502),$V$2:$V$1001,0),MATCH(COLUMNS($AC$1006:AE1006),$AC$1006:$AS$1006,0)), HYPERLINK("#",""), HYPERLINK(CONCATENATE("#Metadata!", ADDRESS(INDEX($X$2:$X$1001,MATCH(ROWS($V$2:V502),$V$2:$V$1001,0),0), INDEX($AC$1004:$AS$1004,1,MATCH(COLUMNS($AC$1006:AE1006),$AC$1006:$AS$1006,0)))),"Fix")))</f>
        <v>0</v>
      </c>
      <c r="E502" s="5">
        <f>IF(OR(INDEX($W$2:$W$1001,MATCH(ROWS($V$2:V502),$V$2:$V$1001,0),1)&gt;=100000,INDEX($AC$1005:$AS$1005,1,MATCH(COLUMNS($AC$1006:AF1006),$AC$1006:$AS$1006,0))&gt;=100000), " ",IF(INDEX($AC$2:$AS$1001,MATCH(ROWS($V$2:V502),$V$2:$V$1001,0),MATCH(COLUMNS($AC$1006:AF1006),$AC$1006:$AS$1006,0)), HYPERLINK("#",""), HYPERLINK(CONCATENATE("#Metadata!", ADDRESS(INDEX($X$2:$X$1001,MATCH(ROWS($V$2:V502),$V$2:$V$1001,0),0), INDEX($AC$1004:$AS$1004,1,MATCH(COLUMNS($AC$1006:AF1006),$AC$1006:$AS$1006,0)))),"Fix")))</f>
        <v>0</v>
      </c>
      <c r="F502" s="5">
        <f>IF(OR(INDEX($W$2:$W$1001,MATCH(ROWS($V$2:V502),$V$2:$V$1001,0),1)&gt;=100000,INDEX($AC$1005:$AS$1005,1,MATCH(COLUMNS($AC$1006:AG1006),$AC$1006:$AS$1006,0))&gt;=100000), " ",IF(INDEX($AC$2:$AS$1001,MATCH(ROWS($V$2:V502),$V$2:$V$1001,0),MATCH(COLUMNS($AC$1006:AG1006),$AC$1006:$AS$1006,0)), HYPERLINK("#",""), HYPERLINK(CONCATENATE("#Metadata!", ADDRESS(INDEX($X$2:$X$1001,MATCH(ROWS($V$2:V502),$V$2:$V$1001,0),0), INDEX($AC$1004:$AS$1004,1,MATCH(COLUMNS($AC$1006:AG1006),$AC$1006:$AS$1006,0)))),"Fix")))</f>
        <v>0</v>
      </c>
      <c r="G502" s="5">
        <f>IF(OR(INDEX($W$2:$W$1001,MATCH(ROWS($V$2:V502),$V$2:$V$1001,0),1)&gt;=100000,INDEX($AC$1005:$AS$1005,1,MATCH(COLUMNS($AC$1006:AH1006),$AC$1006:$AS$1006,0))&gt;=100000), " ",IF(INDEX($AC$2:$AS$1001,MATCH(ROWS($V$2:V502),$V$2:$V$1001,0),MATCH(COLUMNS($AC$1006:AH1006),$AC$1006:$AS$1006,0)), HYPERLINK("#",""), HYPERLINK(CONCATENATE("#Metadata!", ADDRESS(INDEX($X$2:$X$1001,MATCH(ROWS($V$2:V502),$V$2:$V$1001,0),0), INDEX($AC$1004:$AS$1004,1,MATCH(COLUMNS($AC$1006:AH1006),$AC$1006:$AS$1006,0)))),"Fix")))</f>
        <v>0</v>
      </c>
      <c r="H502" s="5">
        <f>IF(OR(INDEX($W$2:$W$1001,MATCH(ROWS($V$2:V502),$V$2:$V$1001,0),1)&gt;=100000,INDEX($AC$1005:$AS$1005,1,MATCH(COLUMNS($AC$1006:AI1006),$AC$1006:$AS$1006,0))&gt;=100000), " ",IF(INDEX($AC$2:$AS$1001,MATCH(ROWS($V$2:V502),$V$2:$V$1001,0),MATCH(COLUMNS($AC$1006:AI1006),$AC$1006:$AS$1006,0)), HYPERLINK("#",""), HYPERLINK(CONCATENATE("#Metadata!", ADDRESS(INDEX($X$2:$X$1001,MATCH(ROWS($V$2:V502),$V$2:$V$1001,0),0), INDEX($AC$1004:$AS$1004,1,MATCH(COLUMNS($AC$1006:AI1006),$AC$1006:$AS$1006,0)))),"Fix")))</f>
        <v>0</v>
      </c>
      <c r="I502" s="5">
        <f>IF(OR(INDEX($W$2:$W$1001,MATCH(ROWS($V$2:V502),$V$2:$V$1001,0),1)&gt;=100000,INDEX($AC$1005:$AS$1005,1,MATCH(COLUMNS($AC$1006:AJ1006),$AC$1006:$AS$1006,0))&gt;=100000), " ",IF(INDEX($AC$2:$AS$1001,MATCH(ROWS($V$2:V502),$V$2:$V$1001,0),MATCH(COLUMNS($AC$1006:AJ1006),$AC$1006:$AS$1006,0)), HYPERLINK("#",""), HYPERLINK(CONCATENATE("#Metadata!", ADDRESS(INDEX($X$2:$X$1001,MATCH(ROWS($V$2:V502),$V$2:$V$1001,0),0), INDEX($AC$1004:$AS$1004,1,MATCH(COLUMNS($AC$1006:AJ1006),$AC$1006:$AS$1006,0)))),"Fix")))</f>
        <v>0</v>
      </c>
      <c r="J502" s="5">
        <f>IF(OR(INDEX($W$2:$W$1001,MATCH(ROWS($V$2:V502),$V$2:$V$1001,0),1)&gt;=100000,INDEX($AC$1005:$AS$1005,1,MATCH(COLUMNS($AC$1006:AK1006),$AC$1006:$AS$1006,0))&gt;=100000), " ",IF(INDEX($AC$2:$AS$1001,MATCH(ROWS($V$2:V502),$V$2:$V$1001,0),MATCH(COLUMNS($AC$1006:AK1006),$AC$1006:$AS$1006,0)), HYPERLINK("#",""), HYPERLINK(CONCATENATE("#Metadata!", ADDRESS(INDEX($X$2:$X$1001,MATCH(ROWS($V$2:V502),$V$2:$V$1001,0),0), INDEX($AC$1004:$AS$1004,1,MATCH(COLUMNS($AC$1006:AK1006),$AC$1006:$AS$1006,0)))),"Fix")))</f>
        <v>0</v>
      </c>
      <c r="K502" s="5">
        <f>IF(OR(INDEX($W$2:$W$1001,MATCH(ROWS($V$2:V502),$V$2:$V$1001,0),1)&gt;=100000,INDEX($AC$1005:$AS$1005,1,MATCH(COLUMNS($AC$1006:AL1006),$AC$1006:$AS$1006,0))&gt;=100000), " ",IF(INDEX($AC$2:$AS$1001,MATCH(ROWS($V$2:V502),$V$2:$V$1001,0),MATCH(COLUMNS($AC$1006:AL1006),$AC$1006:$AS$1006,0)), HYPERLINK("#",""), HYPERLINK(CONCATENATE("#Metadata!", ADDRESS(INDEX($X$2:$X$1001,MATCH(ROWS($V$2:V502),$V$2:$V$1001,0),0), INDEX($AC$1004:$AS$1004,1,MATCH(COLUMNS($AC$1006:AL1006),$AC$1006:$AS$1006,0)))),"Fix")))</f>
        <v>0</v>
      </c>
      <c r="L502" s="5">
        <f>IF(OR(INDEX($W$2:$W$1001,MATCH(ROWS($V$2:V502),$V$2:$V$1001,0),1)&gt;=100000,INDEX($AC$1005:$AS$1005,1,MATCH(COLUMNS($AC$1006:AM1006),$AC$1006:$AS$1006,0))&gt;=100000), " ",IF(INDEX($AC$2:$AS$1001,MATCH(ROWS($V$2:V502),$V$2:$V$1001,0),MATCH(COLUMNS($AC$1006:AM1006),$AC$1006:$AS$1006,0)), HYPERLINK("#",""), HYPERLINK(CONCATENATE("#Metadata!", ADDRESS(INDEX($X$2:$X$1001,MATCH(ROWS($V$2:V502),$V$2:$V$1001,0),0), INDEX($AC$1004:$AS$1004,1,MATCH(COLUMNS($AC$1006:AM1006),$AC$1006:$AS$1006,0)))),"Fix")))</f>
        <v>0</v>
      </c>
      <c r="M502" s="5">
        <f>IF(OR(INDEX($W$2:$W$1001,MATCH(ROWS($V$2:V502),$V$2:$V$1001,0),1)&gt;=100000,INDEX($AC$1005:$AS$1005,1,MATCH(COLUMNS($AC$1006:AN1006),$AC$1006:$AS$1006,0))&gt;=100000), " ",IF(INDEX($AC$2:$AS$1001,MATCH(ROWS($V$2:V502),$V$2:$V$1001,0),MATCH(COLUMNS($AC$1006:AN1006),$AC$1006:$AS$1006,0)), HYPERLINK("#",""), HYPERLINK(CONCATENATE("#Metadata!", ADDRESS(INDEX($X$2:$X$1001,MATCH(ROWS($V$2:V502),$V$2:$V$1001,0),0), INDEX($AC$1004:$AS$1004,1,MATCH(COLUMNS($AC$1006:AN1006),$AC$1006:$AS$1006,0)))),"Fix")))</f>
        <v>0</v>
      </c>
      <c r="N502" s="5">
        <f>IF(OR(INDEX($W$2:$W$1001,MATCH(ROWS($V$2:V502),$V$2:$V$1001,0),1)&gt;=100000,INDEX($AC$1005:$AS$1005,1,MATCH(COLUMNS($AC$1006:AO1006),$AC$1006:$AS$1006,0))&gt;=100000), " ",IF(INDEX($AC$2:$AS$1001,MATCH(ROWS($V$2:V502),$V$2:$V$1001,0),MATCH(COLUMNS($AC$1006:AO1006),$AC$1006:$AS$1006,0)), HYPERLINK("#",""), HYPERLINK(CONCATENATE("#Metadata!", ADDRESS(INDEX($X$2:$X$1001,MATCH(ROWS($V$2:V502),$V$2:$V$1001,0),0), INDEX($AC$1004:$AS$1004,1,MATCH(COLUMNS($AC$1006:AO1006),$AC$1006:$AS$1006,0)))),"Fix")))</f>
        <v>0</v>
      </c>
      <c r="O502" s="5">
        <f>IF(OR(INDEX($W$2:$W$1001,MATCH(ROWS($V$2:V502),$V$2:$V$1001,0),1)&gt;=100000,INDEX($AC$1005:$AS$1005,1,MATCH(COLUMNS($AC$1006:AP1006),$AC$1006:$AS$1006,0))&gt;=100000), " ",IF(INDEX($AC$2:$AS$1001,MATCH(ROWS($V$2:V502),$V$2:$V$1001,0),MATCH(COLUMNS($AC$1006:AP1006),$AC$1006:$AS$1006,0)), HYPERLINK("#",""), HYPERLINK(CONCATENATE("#Metadata!", ADDRESS(INDEX($X$2:$X$1001,MATCH(ROWS($V$2:V502),$V$2:$V$1001,0),0), INDEX($AC$1004:$AS$1004,1,MATCH(COLUMNS($AC$1006:AP1006),$AC$1006:$AS$1006,0)))),"Fix")))</f>
        <v>0</v>
      </c>
      <c r="P502" s="5">
        <f>IF(OR(INDEX($W$2:$W$1001,MATCH(ROWS($V$2:V502),$V$2:$V$1001,0),1)&gt;=100000,INDEX($AC$1005:$AS$1005,1,MATCH(COLUMNS($AC$1006:AQ1006),$AC$1006:$AS$1006,0))&gt;=100000), " ",IF(INDEX($AC$2:$AS$1001,MATCH(ROWS($V$2:V502),$V$2:$V$1001,0),MATCH(COLUMNS($AC$1006:AQ1006),$AC$1006:$AS$1006,0)), HYPERLINK("#",""), HYPERLINK(CONCATENATE("#Metadata!", ADDRESS(INDEX($X$2:$X$1001,MATCH(ROWS($V$2:V502),$V$2:$V$1001,0),0), INDEX($AC$1004:$AS$1004,1,MATCH(COLUMNS($AC$1006:AQ1006),$AC$1006:$AS$1006,0)))),"Fix")))</f>
        <v>0</v>
      </c>
      <c r="Q502" s="5">
        <f>IF(OR(INDEX($W$2:$W$1001,MATCH(ROWS($V$2:V502),$V$2:$V$1001,0),1)&gt;=100000,INDEX($AC$1005:$AS$1005,1,MATCH(COLUMNS($AC$1006:AR1006),$AC$1006:$AS$1006,0))&gt;=100000), " ",IF(INDEX($AC$2:$AS$1001,MATCH(ROWS($V$2:V502),$V$2:$V$1001,0),MATCH(COLUMNS($AC$1006:AR1006),$AC$1006:$AS$1006,0)), HYPERLINK("#",""), HYPERLINK(CONCATENATE("#Metadata!", ADDRESS(INDEX($X$2:$X$1001,MATCH(ROWS($V$2:V502),$V$2:$V$1001,0),0), INDEX($AC$1004:$AS$1004,1,MATCH(COLUMNS($AC$1006:AR1006),$AC$1006:$AS$1006,0)))),"Fix")))</f>
        <v>0</v>
      </c>
      <c r="R502" s="5">
        <f>IF(OR(INDEX($W$2:$W$1001,MATCH(ROWS($V$2:V502),$V$2:$V$1001,0),1)&gt;=100000,INDEX($AC$1005:$AS$1005,1,MATCH(COLUMNS($AC$1006:AS1006),$AC$1006:$AS$1006,0))&gt;=100000), " ",IF(INDEX($AC$2:$AS$1001,MATCH(ROWS($V$2:V502),$V$2:$V$1001,0),MATCH(COLUMNS($AC$1006:AS1006),$AC$1006:$AS$1006,0)), HYPERLINK("#",""), HYPERLINK(CONCATENATE("#Metadata!", ADDRESS(INDEX($X$2:$X$1001,MATCH(ROWS($V$2:V502),$V$2:$V$1001,0),0), INDEX($AC$1004:$AS$1004,1,MATCH(COLUMNS($AC$1006:AS1006),$AC$1006:$AS$1006,0)))),"Fix")))</f>
        <v>0</v>
      </c>
      <c r="V502">
        <v>0</v>
      </c>
      <c r="W502">
        <v>0</v>
      </c>
      <c r="X502">
        <v>0</v>
      </c>
      <c r="Y502">
        <f>IF(Z502,TRUE,AND(AC502:AS502))</f>
        <v>0</v>
      </c>
      <c r="Z502">
        <f>COUNTBLANK(Metadata!B502:R502)=COLUMNS(Metadata!B502:R502)</f>
        <v>0</v>
      </c>
      <c r="AA502">
        <v>0</v>
      </c>
      <c r="AC502">
        <f>AND(IF(Metadata!B502="",FALSE,TRUE),COUNTIF(Metadata!B:B, Metadata!B502) = 1,NOT(ISERROR(SUMPRODUCT(SEARCH(MID(Metadata!B502,ROW(INDIRECT("1:"&amp;LEN(Metadata!B502))), 1),"0123456789abcdefghijklmnopqrstuvwxyzABCDEFGHIJKLMNOPQRSTUVWXYZ.")))))</f>
        <v>0</v>
      </c>
      <c r="AD502">
        <f>AND(IF(Metadata!C502="",FALSE,TRUE),exact(Metadata!C502,"Host-associated"))</f>
        <v>0</v>
      </c>
      <c r="AE502">
        <f>AND(IF(Metadata!D502="",FALSE,TRUE),OR(exact(Metadata!D502,"Animal"),exact(Metadata!D502,"Fungus"),exact(Metadata!D502,"Plant")))</f>
        <v>0</v>
      </c>
      <c r="AF502">
        <f>AND(IF(Metadata!E502="",FALSE,TRUE),OR(exact(Metadata!E502,"Plant secretion"),exact(Metadata!E502,"Plant rhizosphere"),exact(Metadata!E502,"Plant surface"),exact(Metadata!E502,"Plant corpus"),exact(Metadata!E502,"Fungus surface"),exact(Metadata!E502,"Fungus corpus"),exact(Metadata!E502,"Animal surface"),exact(Metadata!E502,"Animal proximal gut"),exact(Metadata!E502,"Animal corpus"),exact(Metadata!E502,"Animal distal gut"),exact(Metadata!E502,"Animal secretion")))</f>
        <v>0</v>
      </c>
      <c r="AG502">
        <f>OR(AND(IF(Metadata!F502="",FALSE,TRUE),OR(exact(Metadata!F502,"not collected"),exact(Metadata!F502,"not provided"),exact(Metadata!F502,"restricted access"))),AND(IF(Metadata!F502="",FALSE,TRUE),OR(exact(Metadata!F502,"organism-associated habitat"),exact(Metadata!F502,"plant-associated habitat"),exact(Metadata!F502,"animal-associated habitat"),exact(Metadata!F502,"insecta-associated habitat"),exact(Metadata!F502,"mammalia-associated habitat"),exact(Metadata!F502,"human-associated habitat"),exact(Metadata!F502,"livestock-associated habitat"))))</f>
        <v>0</v>
      </c>
      <c r="AH502">
        <f>AND(IF(Metadata!G502="",FALSE,TRUE),exact(Metadata!G502,"host-associated"))</f>
        <v>0</v>
      </c>
      <c r="AI502">
        <f>OR(AND(IF(Metadata!H502="",FALSE,TRUE),OR(exact(Metadata!H502,"not collected"),exact(Metadata!H502,"not provided"))),AND(IF(Metadata!H502="",FALSE,ISNUMBER(VALUE(Metadata!H502))),Metadata!H502&gt;0))</f>
        <v>0</v>
      </c>
      <c r="AJ502">
        <f>AND(IF(Metadata!I502="",FALSE,TRUE),exact(Metadata!I502,"years"))</f>
        <v>0</v>
      </c>
      <c r="AK502">
        <f>IF(Metadata!J502="",FALSE,TRUE)</f>
        <v>0</v>
      </c>
      <c r="AL502">
        <f>OR(AND(IF(Metadata!K502="",FALSE,TRUE),OR(exact(Metadata!K502,"not collected"),exact(Metadata!K502,"not provided"))),AND(IF(Metadata!K502="",FALSE,ISNUMBER(VALUE(Metadata!K502))),Metadata!K502&gt;0))</f>
        <v>0</v>
      </c>
      <c r="AM502">
        <f>AND(IF(Metadata!L502="",FALSE,TRUE),exact(Metadata!L502,"cm"))</f>
        <v>0</v>
      </c>
      <c r="AN502">
        <f>IF(Metadata!M502="",FALSE,TRUE)</f>
        <v>0</v>
      </c>
      <c r="AO502">
        <f>OR(AND(IF(Metadata!N502="",FALSE,TRUE),OR(exact(Metadata!N502,"not applicable"),exact(Metadata!N502,"not collected"),exact(Metadata!N502,"not provided"))),AND(IF(Metadata!N502="",FALSE,IF(ISERROR(INT(Metadata!N502)),FALSE,INT(Metadata!N502)=Metadata!N502)),Metadata!N502&gt;0))</f>
        <v>0</v>
      </c>
      <c r="AP502">
        <f>OR(AND(IF(Metadata!O502="",FALSE,TRUE),OR(exact(Metadata!O502,"not collected"),exact(Metadata!O502,"not provided"))),AND(IF(Metadata!O502="",FALSE,ISNUMBER(VALUE(Metadata!O502))),Metadata!O502&gt;0))</f>
        <v>0</v>
      </c>
      <c r="AQ502">
        <f>AND(IF(Metadata!P502="",FALSE,TRUE),exact(Metadata!P502,"kg"))</f>
        <v>0</v>
      </c>
      <c r="AR502">
        <f>OR(AND(IF(Metadata!Q502="",FALSE,TRUE),OR(exact(Metadata!Q502,"not applicable"),exact(Metadata!Q502,"not collected"),exact(Metadata!Q502,"not provided"),exact(Metadata!Q502,"restricted access"))),IF(Metadata!Q502="",FALSE,IF(ISERROR(INT(Metadata!Q502)),FALSE,INT(Metadata!Q502)=Metadata!Q502)))</f>
        <v>0</v>
      </c>
      <c r="AS502">
        <f>AND(IF(Metadata!R502="",FALSE,TRUE),exact(Metadata!R502,"Not applicable"))</f>
        <v>0</v>
      </c>
    </row>
    <row r="503" spans="1:45">
      <c r="A503" s="4">
        <f>IF(B503=" "," ",HYPERLINK(CONCATENATE("#metadata!",ADDRESS(INDEX($X$2:$X$1001,MATCH(ROWS($V$2:V503),$V$2:$V$1001,0),0),2)),INDEX($AA$2:$AA$1001,MATCH(ROWS($V$2:V503),$V$2:$V$1001,0),0)))</f>
        <v>0</v>
      </c>
      <c r="B503" s="5">
        <f>IF(OR(INDEX($W$2:$W$1001,MATCH(ROWS($V$2:V503),$V$2:$V$1001,0),1)&gt;=100000,INDEX($AC$1005:$AS$1005,1,MATCH(COLUMNS($AC$1006:AC1006),$AC$1006:$AS$1006,0))&gt;=100000), " ",IF(INDEX($AC$2:$AS$1001,MATCH(ROWS($V$2:V503),$V$2:$V$1001,0),MATCH(COLUMNS($AC$1006:AC1006),$AC$1006:$AS$1006,0)), HYPERLINK("#",""), HYPERLINK(CONCATENATE("#Metadata!", ADDRESS(INDEX($X$2:$X$1001,MATCH(ROWS($V$2:V503),$V$2:$V$1001,0),0), INDEX($AC$1004:$AS$1004,1,MATCH(COLUMNS($AC$1006:AC1006),$AC$1006:$AS$1006,0)))),"Fix")))</f>
        <v>0</v>
      </c>
      <c r="C503" s="5">
        <f>IF(OR(INDEX($W$2:$W$1001,MATCH(ROWS($V$2:V503),$V$2:$V$1001,0),1)&gt;=100000,INDEX($AC$1005:$AS$1005,1,MATCH(COLUMNS($AC$1006:AD1006),$AC$1006:$AS$1006,0))&gt;=100000), " ",IF(INDEX($AC$2:$AS$1001,MATCH(ROWS($V$2:V503),$V$2:$V$1001,0),MATCH(COLUMNS($AC$1006:AD1006),$AC$1006:$AS$1006,0)), HYPERLINK("#",""), HYPERLINK(CONCATENATE("#Metadata!", ADDRESS(INDEX($X$2:$X$1001,MATCH(ROWS($V$2:V503),$V$2:$V$1001,0),0), INDEX($AC$1004:$AS$1004,1,MATCH(COLUMNS($AC$1006:AD1006),$AC$1006:$AS$1006,0)))),"Fix")))</f>
        <v>0</v>
      </c>
      <c r="D503" s="5">
        <f>IF(OR(INDEX($W$2:$W$1001,MATCH(ROWS($V$2:V503),$V$2:$V$1001,0),1)&gt;=100000,INDEX($AC$1005:$AS$1005,1,MATCH(COLUMNS($AC$1006:AE1006),$AC$1006:$AS$1006,0))&gt;=100000), " ",IF(INDEX($AC$2:$AS$1001,MATCH(ROWS($V$2:V503),$V$2:$V$1001,0),MATCH(COLUMNS($AC$1006:AE1006),$AC$1006:$AS$1006,0)), HYPERLINK("#",""), HYPERLINK(CONCATENATE("#Metadata!", ADDRESS(INDEX($X$2:$X$1001,MATCH(ROWS($V$2:V503),$V$2:$V$1001,0),0), INDEX($AC$1004:$AS$1004,1,MATCH(COLUMNS($AC$1006:AE1006),$AC$1006:$AS$1006,0)))),"Fix")))</f>
        <v>0</v>
      </c>
      <c r="E503" s="5">
        <f>IF(OR(INDEX($W$2:$W$1001,MATCH(ROWS($V$2:V503),$V$2:$V$1001,0),1)&gt;=100000,INDEX($AC$1005:$AS$1005,1,MATCH(COLUMNS($AC$1006:AF1006),$AC$1006:$AS$1006,0))&gt;=100000), " ",IF(INDEX($AC$2:$AS$1001,MATCH(ROWS($V$2:V503),$V$2:$V$1001,0),MATCH(COLUMNS($AC$1006:AF1006),$AC$1006:$AS$1006,0)), HYPERLINK("#",""), HYPERLINK(CONCATENATE("#Metadata!", ADDRESS(INDEX($X$2:$X$1001,MATCH(ROWS($V$2:V503),$V$2:$V$1001,0),0), INDEX($AC$1004:$AS$1004,1,MATCH(COLUMNS($AC$1006:AF1006),$AC$1006:$AS$1006,0)))),"Fix")))</f>
        <v>0</v>
      </c>
      <c r="F503" s="5">
        <f>IF(OR(INDEX($W$2:$W$1001,MATCH(ROWS($V$2:V503),$V$2:$V$1001,0),1)&gt;=100000,INDEX($AC$1005:$AS$1005,1,MATCH(COLUMNS($AC$1006:AG1006),$AC$1006:$AS$1006,0))&gt;=100000), " ",IF(INDEX($AC$2:$AS$1001,MATCH(ROWS($V$2:V503),$V$2:$V$1001,0),MATCH(COLUMNS($AC$1006:AG1006),$AC$1006:$AS$1006,0)), HYPERLINK("#",""), HYPERLINK(CONCATENATE("#Metadata!", ADDRESS(INDEX($X$2:$X$1001,MATCH(ROWS($V$2:V503),$V$2:$V$1001,0),0), INDEX($AC$1004:$AS$1004,1,MATCH(COLUMNS($AC$1006:AG1006),$AC$1006:$AS$1006,0)))),"Fix")))</f>
        <v>0</v>
      </c>
      <c r="G503" s="5">
        <f>IF(OR(INDEX($W$2:$W$1001,MATCH(ROWS($V$2:V503),$V$2:$V$1001,0),1)&gt;=100000,INDEX($AC$1005:$AS$1005,1,MATCH(COLUMNS($AC$1006:AH1006),$AC$1006:$AS$1006,0))&gt;=100000), " ",IF(INDEX($AC$2:$AS$1001,MATCH(ROWS($V$2:V503),$V$2:$V$1001,0),MATCH(COLUMNS($AC$1006:AH1006),$AC$1006:$AS$1006,0)), HYPERLINK("#",""), HYPERLINK(CONCATENATE("#Metadata!", ADDRESS(INDEX($X$2:$X$1001,MATCH(ROWS($V$2:V503),$V$2:$V$1001,0),0), INDEX($AC$1004:$AS$1004,1,MATCH(COLUMNS($AC$1006:AH1006),$AC$1006:$AS$1006,0)))),"Fix")))</f>
        <v>0</v>
      </c>
      <c r="H503" s="5">
        <f>IF(OR(INDEX($W$2:$W$1001,MATCH(ROWS($V$2:V503),$V$2:$V$1001,0),1)&gt;=100000,INDEX($AC$1005:$AS$1005,1,MATCH(COLUMNS($AC$1006:AI1006),$AC$1006:$AS$1006,0))&gt;=100000), " ",IF(INDEX($AC$2:$AS$1001,MATCH(ROWS($V$2:V503),$V$2:$V$1001,0),MATCH(COLUMNS($AC$1006:AI1006),$AC$1006:$AS$1006,0)), HYPERLINK("#",""), HYPERLINK(CONCATENATE("#Metadata!", ADDRESS(INDEX($X$2:$X$1001,MATCH(ROWS($V$2:V503),$V$2:$V$1001,0),0), INDEX($AC$1004:$AS$1004,1,MATCH(COLUMNS($AC$1006:AI1006),$AC$1006:$AS$1006,0)))),"Fix")))</f>
        <v>0</v>
      </c>
      <c r="I503" s="5">
        <f>IF(OR(INDEX($W$2:$W$1001,MATCH(ROWS($V$2:V503),$V$2:$V$1001,0),1)&gt;=100000,INDEX($AC$1005:$AS$1005,1,MATCH(COLUMNS($AC$1006:AJ1006),$AC$1006:$AS$1006,0))&gt;=100000), " ",IF(INDEX($AC$2:$AS$1001,MATCH(ROWS($V$2:V503),$V$2:$V$1001,0),MATCH(COLUMNS($AC$1006:AJ1006),$AC$1006:$AS$1006,0)), HYPERLINK("#",""), HYPERLINK(CONCATENATE("#Metadata!", ADDRESS(INDEX($X$2:$X$1001,MATCH(ROWS($V$2:V503),$V$2:$V$1001,0),0), INDEX($AC$1004:$AS$1004,1,MATCH(COLUMNS($AC$1006:AJ1006),$AC$1006:$AS$1006,0)))),"Fix")))</f>
        <v>0</v>
      </c>
      <c r="J503" s="5">
        <f>IF(OR(INDEX($W$2:$W$1001,MATCH(ROWS($V$2:V503),$V$2:$V$1001,0),1)&gt;=100000,INDEX($AC$1005:$AS$1005,1,MATCH(COLUMNS($AC$1006:AK1006),$AC$1006:$AS$1006,0))&gt;=100000), " ",IF(INDEX($AC$2:$AS$1001,MATCH(ROWS($V$2:V503),$V$2:$V$1001,0),MATCH(COLUMNS($AC$1006:AK1006),$AC$1006:$AS$1006,0)), HYPERLINK("#",""), HYPERLINK(CONCATENATE("#Metadata!", ADDRESS(INDEX($X$2:$X$1001,MATCH(ROWS($V$2:V503),$V$2:$V$1001,0),0), INDEX($AC$1004:$AS$1004,1,MATCH(COLUMNS($AC$1006:AK1006),$AC$1006:$AS$1006,0)))),"Fix")))</f>
        <v>0</v>
      </c>
      <c r="K503" s="5">
        <f>IF(OR(INDEX($W$2:$W$1001,MATCH(ROWS($V$2:V503),$V$2:$V$1001,0),1)&gt;=100000,INDEX($AC$1005:$AS$1005,1,MATCH(COLUMNS($AC$1006:AL1006),$AC$1006:$AS$1006,0))&gt;=100000), " ",IF(INDEX($AC$2:$AS$1001,MATCH(ROWS($V$2:V503),$V$2:$V$1001,0),MATCH(COLUMNS($AC$1006:AL1006),$AC$1006:$AS$1006,0)), HYPERLINK("#",""), HYPERLINK(CONCATENATE("#Metadata!", ADDRESS(INDEX($X$2:$X$1001,MATCH(ROWS($V$2:V503),$V$2:$V$1001,0),0), INDEX($AC$1004:$AS$1004,1,MATCH(COLUMNS($AC$1006:AL1006),$AC$1006:$AS$1006,0)))),"Fix")))</f>
        <v>0</v>
      </c>
      <c r="L503" s="5">
        <f>IF(OR(INDEX($W$2:$W$1001,MATCH(ROWS($V$2:V503),$V$2:$V$1001,0),1)&gt;=100000,INDEX($AC$1005:$AS$1005,1,MATCH(COLUMNS($AC$1006:AM1006),$AC$1006:$AS$1006,0))&gt;=100000), " ",IF(INDEX($AC$2:$AS$1001,MATCH(ROWS($V$2:V503),$V$2:$V$1001,0),MATCH(COLUMNS($AC$1006:AM1006),$AC$1006:$AS$1006,0)), HYPERLINK("#",""), HYPERLINK(CONCATENATE("#Metadata!", ADDRESS(INDEX($X$2:$X$1001,MATCH(ROWS($V$2:V503),$V$2:$V$1001,0),0), INDEX($AC$1004:$AS$1004,1,MATCH(COLUMNS($AC$1006:AM1006),$AC$1006:$AS$1006,0)))),"Fix")))</f>
        <v>0</v>
      </c>
      <c r="M503" s="5">
        <f>IF(OR(INDEX($W$2:$W$1001,MATCH(ROWS($V$2:V503),$V$2:$V$1001,0),1)&gt;=100000,INDEX($AC$1005:$AS$1005,1,MATCH(COLUMNS($AC$1006:AN1006),$AC$1006:$AS$1006,0))&gt;=100000), " ",IF(INDEX($AC$2:$AS$1001,MATCH(ROWS($V$2:V503),$V$2:$V$1001,0),MATCH(COLUMNS($AC$1006:AN1006),$AC$1006:$AS$1006,0)), HYPERLINK("#",""), HYPERLINK(CONCATENATE("#Metadata!", ADDRESS(INDEX($X$2:$X$1001,MATCH(ROWS($V$2:V503),$V$2:$V$1001,0),0), INDEX($AC$1004:$AS$1004,1,MATCH(COLUMNS($AC$1006:AN1006),$AC$1006:$AS$1006,0)))),"Fix")))</f>
        <v>0</v>
      </c>
      <c r="N503" s="5">
        <f>IF(OR(INDEX($W$2:$W$1001,MATCH(ROWS($V$2:V503),$V$2:$V$1001,0),1)&gt;=100000,INDEX($AC$1005:$AS$1005,1,MATCH(COLUMNS($AC$1006:AO1006),$AC$1006:$AS$1006,0))&gt;=100000), " ",IF(INDEX($AC$2:$AS$1001,MATCH(ROWS($V$2:V503),$V$2:$V$1001,0),MATCH(COLUMNS($AC$1006:AO1006),$AC$1006:$AS$1006,0)), HYPERLINK("#",""), HYPERLINK(CONCATENATE("#Metadata!", ADDRESS(INDEX($X$2:$X$1001,MATCH(ROWS($V$2:V503),$V$2:$V$1001,0),0), INDEX($AC$1004:$AS$1004,1,MATCH(COLUMNS($AC$1006:AO1006),$AC$1006:$AS$1006,0)))),"Fix")))</f>
        <v>0</v>
      </c>
      <c r="O503" s="5">
        <f>IF(OR(INDEX($W$2:$W$1001,MATCH(ROWS($V$2:V503),$V$2:$V$1001,0),1)&gt;=100000,INDEX($AC$1005:$AS$1005,1,MATCH(COLUMNS($AC$1006:AP1006),$AC$1006:$AS$1006,0))&gt;=100000), " ",IF(INDEX($AC$2:$AS$1001,MATCH(ROWS($V$2:V503),$V$2:$V$1001,0),MATCH(COLUMNS($AC$1006:AP1006),$AC$1006:$AS$1006,0)), HYPERLINK("#",""), HYPERLINK(CONCATENATE("#Metadata!", ADDRESS(INDEX($X$2:$X$1001,MATCH(ROWS($V$2:V503),$V$2:$V$1001,0),0), INDEX($AC$1004:$AS$1004,1,MATCH(COLUMNS($AC$1006:AP1006),$AC$1006:$AS$1006,0)))),"Fix")))</f>
        <v>0</v>
      </c>
      <c r="P503" s="5">
        <f>IF(OR(INDEX($W$2:$W$1001,MATCH(ROWS($V$2:V503),$V$2:$V$1001,0),1)&gt;=100000,INDEX($AC$1005:$AS$1005,1,MATCH(COLUMNS($AC$1006:AQ1006),$AC$1006:$AS$1006,0))&gt;=100000), " ",IF(INDEX($AC$2:$AS$1001,MATCH(ROWS($V$2:V503),$V$2:$V$1001,0),MATCH(COLUMNS($AC$1006:AQ1006),$AC$1006:$AS$1006,0)), HYPERLINK("#",""), HYPERLINK(CONCATENATE("#Metadata!", ADDRESS(INDEX($X$2:$X$1001,MATCH(ROWS($V$2:V503),$V$2:$V$1001,0),0), INDEX($AC$1004:$AS$1004,1,MATCH(COLUMNS($AC$1006:AQ1006),$AC$1006:$AS$1006,0)))),"Fix")))</f>
        <v>0</v>
      </c>
      <c r="Q503" s="5">
        <f>IF(OR(INDEX($W$2:$W$1001,MATCH(ROWS($V$2:V503),$V$2:$V$1001,0),1)&gt;=100000,INDEX($AC$1005:$AS$1005,1,MATCH(COLUMNS($AC$1006:AR1006),$AC$1006:$AS$1006,0))&gt;=100000), " ",IF(INDEX($AC$2:$AS$1001,MATCH(ROWS($V$2:V503),$V$2:$V$1001,0),MATCH(COLUMNS($AC$1006:AR1006),$AC$1006:$AS$1006,0)), HYPERLINK("#",""), HYPERLINK(CONCATENATE("#Metadata!", ADDRESS(INDEX($X$2:$X$1001,MATCH(ROWS($V$2:V503),$V$2:$V$1001,0),0), INDEX($AC$1004:$AS$1004,1,MATCH(COLUMNS($AC$1006:AR1006),$AC$1006:$AS$1006,0)))),"Fix")))</f>
        <v>0</v>
      </c>
      <c r="R503" s="5">
        <f>IF(OR(INDEX($W$2:$W$1001,MATCH(ROWS($V$2:V503),$V$2:$V$1001,0),1)&gt;=100000,INDEX($AC$1005:$AS$1005,1,MATCH(COLUMNS($AC$1006:AS1006),$AC$1006:$AS$1006,0))&gt;=100000), " ",IF(INDEX($AC$2:$AS$1001,MATCH(ROWS($V$2:V503),$V$2:$V$1001,0),MATCH(COLUMNS($AC$1006:AS1006),$AC$1006:$AS$1006,0)), HYPERLINK("#",""), HYPERLINK(CONCATENATE("#Metadata!", ADDRESS(INDEX($X$2:$X$1001,MATCH(ROWS($V$2:V503),$V$2:$V$1001,0),0), INDEX($AC$1004:$AS$1004,1,MATCH(COLUMNS($AC$1006:AS1006),$AC$1006:$AS$1006,0)))),"Fix")))</f>
        <v>0</v>
      </c>
      <c r="V503">
        <v>0</v>
      </c>
      <c r="W503">
        <v>0</v>
      </c>
      <c r="X503">
        <v>0</v>
      </c>
      <c r="Y503">
        <f>IF(Z503,TRUE,AND(AC503:AS503))</f>
        <v>0</v>
      </c>
      <c r="Z503">
        <f>COUNTBLANK(Metadata!B503:R503)=COLUMNS(Metadata!B503:R503)</f>
        <v>0</v>
      </c>
      <c r="AA503">
        <v>0</v>
      </c>
      <c r="AC503">
        <f>AND(IF(Metadata!B503="",FALSE,TRUE),COUNTIF(Metadata!B:B, Metadata!B503) = 1,NOT(ISERROR(SUMPRODUCT(SEARCH(MID(Metadata!B503,ROW(INDIRECT("1:"&amp;LEN(Metadata!B503))), 1),"0123456789abcdefghijklmnopqrstuvwxyzABCDEFGHIJKLMNOPQRSTUVWXYZ.")))))</f>
        <v>0</v>
      </c>
      <c r="AD503">
        <f>AND(IF(Metadata!C503="",FALSE,TRUE),exact(Metadata!C503,"Host-associated"))</f>
        <v>0</v>
      </c>
      <c r="AE503">
        <f>AND(IF(Metadata!D503="",FALSE,TRUE),OR(exact(Metadata!D503,"Animal"),exact(Metadata!D503,"Fungus"),exact(Metadata!D503,"Plant")))</f>
        <v>0</v>
      </c>
      <c r="AF503">
        <f>AND(IF(Metadata!E503="",FALSE,TRUE),OR(exact(Metadata!E503,"Plant secretion"),exact(Metadata!E503,"Plant rhizosphere"),exact(Metadata!E503,"Plant surface"),exact(Metadata!E503,"Plant corpus"),exact(Metadata!E503,"Fungus surface"),exact(Metadata!E503,"Fungus corpus"),exact(Metadata!E503,"Animal surface"),exact(Metadata!E503,"Animal proximal gut"),exact(Metadata!E503,"Animal corpus"),exact(Metadata!E503,"Animal distal gut"),exact(Metadata!E503,"Animal secretion")))</f>
        <v>0</v>
      </c>
      <c r="AG503">
        <f>OR(AND(IF(Metadata!F503="",FALSE,TRUE),OR(exact(Metadata!F503,"not collected"),exact(Metadata!F503,"not provided"),exact(Metadata!F503,"restricted access"))),AND(IF(Metadata!F503="",FALSE,TRUE),OR(exact(Metadata!F503,"organism-associated habitat"),exact(Metadata!F503,"plant-associated habitat"),exact(Metadata!F503,"animal-associated habitat"),exact(Metadata!F503,"insecta-associated habitat"),exact(Metadata!F503,"mammalia-associated habitat"),exact(Metadata!F503,"human-associated habitat"),exact(Metadata!F503,"livestock-associated habitat"))))</f>
        <v>0</v>
      </c>
      <c r="AH503">
        <f>AND(IF(Metadata!G503="",FALSE,TRUE),exact(Metadata!G503,"host-associated"))</f>
        <v>0</v>
      </c>
      <c r="AI503">
        <f>OR(AND(IF(Metadata!H503="",FALSE,TRUE),OR(exact(Metadata!H503,"not collected"),exact(Metadata!H503,"not provided"))),AND(IF(Metadata!H503="",FALSE,ISNUMBER(VALUE(Metadata!H503))),Metadata!H503&gt;0))</f>
        <v>0</v>
      </c>
      <c r="AJ503">
        <f>AND(IF(Metadata!I503="",FALSE,TRUE),exact(Metadata!I503,"years"))</f>
        <v>0</v>
      </c>
      <c r="AK503">
        <f>IF(Metadata!J503="",FALSE,TRUE)</f>
        <v>0</v>
      </c>
      <c r="AL503">
        <f>OR(AND(IF(Metadata!K503="",FALSE,TRUE),OR(exact(Metadata!K503,"not collected"),exact(Metadata!K503,"not provided"))),AND(IF(Metadata!K503="",FALSE,ISNUMBER(VALUE(Metadata!K503))),Metadata!K503&gt;0))</f>
        <v>0</v>
      </c>
      <c r="AM503">
        <f>AND(IF(Metadata!L503="",FALSE,TRUE),exact(Metadata!L503,"cm"))</f>
        <v>0</v>
      </c>
      <c r="AN503">
        <f>IF(Metadata!M503="",FALSE,TRUE)</f>
        <v>0</v>
      </c>
      <c r="AO503">
        <f>OR(AND(IF(Metadata!N503="",FALSE,TRUE),OR(exact(Metadata!N503,"not applicable"),exact(Metadata!N503,"not collected"),exact(Metadata!N503,"not provided"))),AND(IF(Metadata!N503="",FALSE,IF(ISERROR(INT(Metadata!N503)),FALSE,INT(Metadata!N503)=Metadata!N503)),Metadata!N503&gt;0))</f>
        <v>0</v>
      </c>
      <c r="AP503">
        <f>OR(AND(IF(Metadata!O503="",FALSE,TRUE),OR(exact(Metadata!O503,"not collected"),exact(Metadata!O503,"not provided"))),AND(IF(Metadata!O503="",FALSE,ISNUMBER(VALUE(Metadata!O503))),Metadata!O503&gt;0))</f>
        <v>0</v>
      </c>
      <c r="AQ503">
        <f>AND(IF(Metadata!P503="",FALSE,TRUE),exact(Metadata!P503,"kg"))</f>
        <v>0</v>
      </c>
      <c r="AR503">
        <f>OR(AND(IF(Metadata!Q503="",FALSE,TRUE),OR(exact(Metadata!Q503,"not applicable"),exact(Metadata!Q503,"not collected"),exact(Metadata!Q503,"not provided"),exact(Metadata!Q503,"restricted access"))),IF(Metadata!Q503="",FALSE,IF(ISERROR(INT(Metadata!Q503)),FALSE,INT(Metadata!Q503)=Metadata!Q503)))</f>
        <v>0</v>
      </c>
      <c r="AS503">
        <f>AND(IF(Metadata!R503="",FALSE,TRUE),exact(Metadata!R503,"Not applicable"))</f>
        <v>0</v>
      </c>
    </row>
    <row r="504" spans="1:45">
      <c r="A504" s="4">
        <f>IF(B504=" "," ",HYPERLINK(CONCATENATE("#metadata!",ADDRESS(INDEX($X$2:$X$1001,MATCH(ROWS($V$2:V504),$V$2:$V$1001,0),0),2)),INDEX($AA$2:$AA$1001,MATCH(ROWS($V$2:V504),$V$2:$V$1001,0),0)))</f>
        <v>0</v>
      </c>
      <c r="B504" s="5">
        <f>IF(OR(INDEX($W$2:$W$1001,MATCH(ROWS($V$2:V504),$V$2:$V$1001,0),1)&gt;=100000,INDEX($AC$1005:$AS$1005,1,MATCH(COLUMNS($AC$1006:AC1006),$AC$1006:$AS$1006,0))&gt;=100000), " ",IF(INDEX($AC$2:$AS$1001,MATCH(ROWS($V$2:V504),$V$2:$V$1001,0),MATCH(COLUMNS($AC$1006:AC1006),$AC$1006:$AS$1006,0)), HYPERLINK("#",""), HYPERLINK(CONCATENATE("#Metadata!", ADDRESS(INDEX($X$2:$X$1001,MATCH(ROWS($V$2:V504),$V$2:$V$1001,0),0), INDEX($AC$1004:$AS$1004,1,MATCH(COLUMNS($AC$1006:AC1006),$AC$1006:$AS$1006,0)))),"Fix")))</f>
        <v>0</v>
      </c>
      <c r="C504" s="5">
        <f>IF(OR(INDEX($W$2:$W$1001,MATCH(ROWS($V$2:V504),$V$2:$V$1001,0),1)&gt;=100000,INDEX($AC$1005:$AS$1005,1,MATCH(COLUMNS($AC$1006:AD1006),$AC$1006:$AS$1006,0))&gt;=100000), " ",IF(INDEX($AC$2:$AS$1001,MATCH(ROWS($V$2:V504),$V$2:$V$1001,0),MATCH(COLUMNS($AC$1006:AD1006),$AC$1006:$AS$1006,0)), HYPERLINK("#",""), HYPERLINK(CONCATENATE("#Metadata!", ADDRESS(INDEX($X$2:$X$1001,MATCH(ROWS($V$2:V504),$V$2:$V$1001,0),0), INDEX($AC$1004:$AS$1004,1,MATCH(COLUMNS($AC$1006:AD1006),$AC$1006:$AS$1006,0)))),"Fix")))</f>
        <v>0</v>
      </c>
      <c r="D504" s="5">
        <f>IF(OR(INDEX($W$2:$W$1001,MATCH(ROWS($V$2:V504),$V$2:$V$1001,0),1)&gt;=100000,INDEX($AC$1005:$AS$1005,1,MATCH(COLUMNS($AC$1006:AE1006),$AC$1006:$AS$1006,0))&gt;=100000), " ",IF(INDEX($AC$2:$AS$1001,MATCH(ROWS($V$2:V504),$V$2:$V$1001,0),MATCH(COLUMNS($AC$1006:AE1006),$AC$1006:$AS$1006,0)), HYPERLINK("#",""), HYPERLINK(CONCATENATE("#Metadata!", ADDRESS(INDEX($X$2:$X$1001,MATCH(ROWS($V$2:V504),$V$2:$V$1001,0),0), INDEX($AC$1004:$AS$1004,1,MATCH(COLUMNS($AC$1006:AE1006),$AC$1006:$AS$1006,0)))),"Fix")))</f>
        <v>0</v>
      </c>
      <c r="E504" s="5">
        <f>IF(OR(INDEX($W$2:$W$1001,MATCH(ROWS($V$2:V504),$V$2:$V$1001,0),1)&gt;=100000,INDEX($AC$1005:$AS$1005,1,MATCH(COLUMNS($AC$1006:AF1006),$AC$1006:$AS$1006,0))&gt;=100000), " ",IF(INDEX($AC$2:$AS$1001,MATCH(ROWS($V$2:V504),$V$2:$V$1001,0),MATCH(COLUMNS($AC$1006:AF1006),$AC$1006:$AS$1006,0)), HYPERLINK("#",""), HYPERLINK(CONCATENATE("#Metadata!", ADDRESS(INDEX($X$2:$X$1001,MATCH(ROWS($V$2:V504),$V$2:$V$1001,0),0), INDEX($AC$1004:$AS$1004,1,MATCH(COLUMNS($AC$1006:AF1006),$AC$1006:$AS$1006,0)))),"Fix")))</f>
        <v>0</v>
      </c>
      <c r="F504" s="5">
        <f>IF(OR(INDEX($W$2:$W$1001,MATCH(ROWS($V$2:V504),$V$2:$V$1001,0),1)&gt;=100000,INDEX($AC$1005:$AS$1005,1,MATCH(COLUMNS($AC$1006:AG1006),$AC$1006:$AS$1006,0))&gt;=100000), " ",IF(INDEX($AC$2:$AS$1001,MATCH(ROWS($V$2:V504),$V$2:$V$1001,0),MATCH(COLUMNS($AC$1006:AG1006),$AC$1006:$AS$1006,0)), HYPERLINK("#",""), HYPERLINK(CONCATENATE("#Metadata!", ADDRESS(INDEX($X$2:$X$1001,MATCH(ROWS($V$2:V504),$V$2:$V$1001,0),0), INDEX($AC$1004:$AS$1004,1,MATCH(COLUMNS($AC$1006:AG1006),$AC$1006:$AS$1006,0)))),"Fix")))</f>
        <v>0</v>
      </c>
      <c r="G504" s="5">
        <f>IF(OR(INDEX($W$2:$W$1001,MATCH(ROWS($V$2:V504),$V$2:$V$1001,0),1)&gt;=100000,INDEX($AC$1005:$AS$1005,1,MATCH(COLUMNS($AC$1006:AH1006),$AC$1006:$AS$1006,0))&gt;=100000), " ",IF(INDEX($AC$2:$AS$1001,MATCH(ROWS($V$2:V504),$V$2:$V$1001,0),MATCH(COLUMNS($AC$1006:AH1006),$AC$1006:$AS$1006,0)), HYPERLINK("#",""), HYPERLINK(CONCATENATE("#Metadata!", ADDRESS(INDEX($X$2:$X$1001,MATCH(ROWS($V$2:V504),$V$2:$V$1001,0),0), INDEX($AC$1004:$AS$1004,1,MATCH(COLUMNS($AC$1006:AH1006),$AC$1006:$AS$1006,0)))),"Fix")))</f>
        <v>0</v>
      </c>
      <c r="H504" s="5">
        <f>IF(OR(INDEX($W$2:$W$1001,MATCH(ROWS($V$2:V504),$V$2:$V$1001,0),1)&gt;=100000,INDEX($AC$1005:$AS$1005,1,MATCH(COLUMNS($AC$1006:AI1006),$AC$1006:$AS$1006,0))&gt;=100000), " ",IF(INDEX($AC$2:$AS$1001,MATCH(ROWS($V$2:V504),$V$2:$V$1001,0),MATCH(COLUMNS($AC$1006:AI1006),$AC$1006:$AS$1006,0)), HYPERLINK("#",""), HYPERLINK(CONCATENATE("#Metadata!", ADDRESS(INDEX($X$2:$X$1001,MATCH(ROWS($V$2:V504),$V$2:$V$1001,0),0), INDEX($AC$1004:$AS$1004,1,MATCH(COLUMNS($AC$1006:AI1006),$AC$1006:$AS$1006,0)))),"Fix")))</f>
        <v>0</v>
      </c>
      <c r="I504" s="5">
        <f>IF(OR(INDEX($W$2:$W$1001,MATCH(ROWS($V$2:V504),$V$2:$V$1001,0),1)&gt;=100000,INDEX($AC$1005:$AS$1005,1,MATCH(COLUMNS($AC$1006:AJ1006),$AC$1006:$AS$1006,0))&gt;=100000), " ",IF(INDEX($AC$2:$AS$1001,MATCH(ROWS($V$2:V504),$V$2:$V$1001,0),MATCH(COLUMNS($AC$1006:AJ1006),$AC$1006:$AS$1006,0)), HYPERLINK("#",""), HYPERLINK(CONCATENATE("#Metadata!", ADDRESS(INDEX($X$2:$X$1001,MATCH(ROWS($V$2:V504),$V$2:$V$1001,0),0), INDEX($AC$1004:$AS$1004,1,MATCH(COLUMNS($AC$1006:AJ1006),$AC$1006:$AS$1006,0)))),"Fix")))</f>
        <v>0</v>
      </c>
      <c r="J504" s="5">
        <f>IF(OR(INDEX($W$2:$W$1001,MATCH(ROWS($V$2:V504),$V$2:$V$1001,0),1)&gt;=100000,INDEX($AC$1005:$AS$1005,1,MATCH(COLUMNS($AC$1006:AK1006),$AC$1006:$AS$1006,0))&gt;=100000), " ",IF(INDEX($AC$2:$AS$1001,MATCH(ROWS($V$2:V504),$V$2:$V$1001,0),MATCH(COLUMNS($AC$1006:AK1006),$AC$1006:$AS$1006,0)), HYPERLINK("#",""), HYPERLINK(CONCATENATE("#Metadata!", ADDRESS(INDEX($X$2:$X$1001,MATCH(ROWS($V$2:V504),$V$2:$V$1001,0),0), INDEX($AC$1004:$AS$1004,1,MATCH(COLUMNS($AC$1006:AK1006),$AC$1006:$AS$1006,0)))),"Fix")))</f>
        <v>0</v>
      </c>
      <c r="K504" s="5">
        <f>IF(OR(INDEX($W$2:$W$1001,MATCH(ROWS($V$2:V504),$V$2:$V$1001,0),1)&gt;=100000,INDEX($AC$1005:$AS$1005,1,MATCH(COLUMNS($AC$1006:AL1006),$AC$1006:$AS$1006,0))&gt;=100000), " ",IF(INDEX($AC$2:$AS$1001,MATCH(ROWS($V$2:V504),$V$2:$V$1001,0),MATCH(COLUMNS($AC$1006:AL1006),$AC$1006:$AS$1006,0)), HYPERLINK("#",""), HYPERLINK(CONCATENATE("#Metadata!", ADDRESS(INDEX($X$2:$X$1001,MATCH(ROWS($V$2:V504),$V$2:$V$1001,0),0), INDEX($AC$1004:$AS$1004,1,MATCH(COLUMNS($AC$1006:AL1006),$AC$1006:$AS$1006,0)))),"Fix")))</f>
        <v>0</v>
      </c>
      <c r="L504" s="5">
        <f>IF(OR(INDEX($W$2:$W$1001,MATCH(ROWS($V$2:V504),$V$2:$V$1001,0),1)&gt;=100000,INDEX($AC$1005:$AS$1005,1,MATCH(COLUMNS($AC$1006:AM1006),$AC$1006:$AS$1006,0))&gt;=100000), " ",IF(INDEX($AC$2:$AS$1001,MATCH(ROWS($V$2:V504),$V$2:$V$1001,0),MATCH(COLUMNS($AC$1006:AM1006),$AC$1006:$AS$1006,0)), HYPERLINK("#",""), HYPERLINK(CONCATENATE("#Metadata!", ADDRESS(INDEX($X$2:$X$1001,MATCH(ROWS($V$2:V504),$V$2:$V$1001,0),0), INDEX($AC$1004:$AS$1004,1,MATCH(COLUMNS($AC$1006:AM1006),$AC$1006:$AS$1006,0)))),"Fix")))</f>
        <v>0</v>
      </c>
      <c r="M504" s="5">
        <f>IF(OR(INDEX($W$2:$W$1001,MATCH(ROWS($V$2:V504),$V$2:$V$1001,0),1)&gt;=100000,INDEX($AC$1005:$AS$1005,1,MATCH(COLUMNS($AC$1006:AN1006),$AC$1006:$AS$1006,0))&gt;=100000), " ",IF(INDEX($AC$2:$AS$1001,MATCH(ROWS($V$2:V504),$V$2:$V$1001,0),MATCH(COLUMNS($AC$1006:AN1006),$AC$1006:$AS$1006,0)), HYPERLINK("#",""), HYPERLINK(CONCATENATE("#Metadata!", ADDRESS(INDEX($X$2:$X$1001,MATCH(ROWS($V$2:V504),$V$2:$V$1001,0),0), INDEX($AC$1004:$AS$1004,1,MATCH(COLUMNS($AC$1006:AN1006),$AC$1006:$AS$1006,0)))),"Fix")))</f>
        <v>0</v>
      </c>
      <c r="N504" s="5">
        <f>IF(OR(INDEX($W$2:$W$1001,MATCH(ROWS($V$2:V504),$V$2:$V$1001,0),1)&gt;=100000,INDEX($AC$1005:$AS$1005,1,MATCH(COLUMNS($AC$1006:AO1006),$AC$1006:$AS$1006,0))&gt;=100000), " ",IF(INDEX($AC$2:$AS$1001,MATCH(ROWS($V$2:V504),$V$2:$V$1001,0),MATCH(COLUMNS($AC$1006:AO1006),$AC$1006:$AS$1006,0)), HYPERLINK("#",""), HYPERLINK(CONCATENATE("#Metadata!", ADDRESS(INDEX($X$2:$X$1001,MATCH(ROWS($V$2:V504),$V$2:$V$1001,0),0), INDEX($AC$1004:$AS$1004,1,MATCH(COLUMNS($AC$1006:AO1006),$AC$1006:$AS$1006,0)))),"Fix")))</f>
        <v>0</v>
      </c>
      <c r="O504" s="5">
        <f>IF(OR(INDEX($W$2:$W$1001,MATCH(ROWS($V$2:V504),$V$2:$V$1001,0),1)&gt;=100000,INDEX($AC$1005:$AS$1005,1,MATCH(COLUMNS($AC$1006:AP1006),$AC$1006:$AS$1006,0))&gt;=100000), " ",IF(INDEX($AC$2:$AS$1001,MATCH(ROWS($V$2:V504),$V$2:$V$1001,0),MATCH(COLUMNS($AC$1006:AP1006),$AC$1006:$AS$1006,0)), HYPERLINK("#",""), HYPERLINK(CONCATENATE("#Metadata!", ADDRESS(INDEX($X$2:$X$1001,MATCH(ROWS($V$2:V504),$V$2:$V$1001,0),0), INDEX($AC$1004:$AS$1004,1,MATCH(COLUMNS($AC$1006:AP1006),$AC$1006:$AS$1006,0)))),"Fix")))</f>
        <v>0</v>
      </c>
      <c r="P504" s="5">
        <f>IF(OR(INDEX($W$2:$W$1001,MATCH(ROWS($V$2:V504),$V$2:$V$1001,0),1)&gt;=100000,INDEX($AC$1005:$AS$1005,1,MATCH(COLUMNS($AC$1006:AQ1006),$AC$1006:$AS$1006,0))&gt;=100000), " ",IF(INDEX($AC$2:$AS$1001,MATCH(ROWS($V$2:V504),$V$2:$V$1001,0),MATCH(COLUMNS($AC$1006:AQ1006),$AC$1006:$AS$1006,0)), HYPERLINK("#",""), HYPERLINK(CONCATENATE("#Metadata!", ADDRESS(INDEX($X$2:$X$1001,MATCH(ROWS($V$2:V504),$V$2:$V$1001,0),0), INDEX($AC$1004:$AS$1004,1,MATCH(COLUMNS($AC$1006:AQ1006),$AC$1006:$AS$1006,0)))),"Fix")))</f>
        <v>0</v>
      </c>
      <c r="Q504" s="5">
        <f>IF(OR(INDEX($W$2:$W$1001,MATCH(ROWS($V$2:V504),$V$2:$V$1001,0),1)&gt;=100000,INDEX($AC$1005:$AS$1005,1,MATCH(COLUMNS($AC$1006:AR1006),$AC$1006:$AS$1006,0))&gt;=100000), " ",IF(INDEX($AC$2:$AS$1001,MATCH(ROWS($V$2:V504),$V$2:$V$1001,0),MATCH(COLUMNS($AC$1006:AR1006),$AC$1006:$AS$1006,0)), HYPERLINK("#",""), HYPERLINK(CONCATENATE("#Metadata!", ADDRESS(INDEX($X$2:$X$1001,MATCH(ROWS($V$2:V504),$V$2:$V$1001,0),0), INDEX($AC$1004:$AS$1004,1,MATCH(COLUMNS($AC$1006:AR1006),$AC$1006:$AS$1006,0)))),"Fix")))</f>
        <v>0</v>
      </c>
      <c r="R504" s="5">
        <f>IF(OR(INDEX($W$2:$W$1001,MATCH(ROWS($V$2:V504),$V$2:$V$1001,0),1)&gt;=100000,INDEX($AC$1005:$AS$1005,1,MATCH(COLUMNS($AC$1006:AS1006),$AC$1006:$AS$1006,0))&gt;=100000), " ",IF(INDEX($AC$2:$AS$1001,MATCH(ROWS($V$2:V504),$V$2:$V$1001,0),MATCH(COLUMNS($AC$1006:AS1006),$AC$1006:$AS$1006,0)), HYPERLINK("#",""), HYPERLINK(CONCATENATE("#Metadata!", ADDRESS(INDEX($X$2:$X$1001,MATCH(ROWS($V$2:V504),$V$2:$V$1001,0),0), INDEX($AC$1004:$AS$1004,1,MATCH(COLUMNS($AC$1006:AS1006),$AC$1006:$AS$1006,0)))),"Fix")))</f>
        <v>0</v>
      </c>
      <c r="V504">
        <v>0</v>
      </c>
      <c r="W504">
        <v>0</v>
      </c>
      <c r="X504">
        <v>0</v>
      </c>
      <c r="Y504">
        <f>IF(Z504,TRUE,AND(AC504:AS504))</f>
        <v>0</v>
      </c>
      <c r="Z504">
        <f>COUNTBLANK(Metadata!B504:R504)=COLUMNS(Metadata!B504:R504)</f>
        <v>0</v>
      </c>
      <c r="AA504">
        <v>0</v>
      </c>
      <c r="AC504">
        <f>AND(IF(Metadata!B504="",FALSE,TRUE),COUNTIF(Metadata!B:B, Metadata!B504) = 1,NOT(ISERROR(SUMPRODUCT(SEARCH(MID(Metadata!B504,ROW(INDIRECT("1:"&amp;LEN(Metadata!B504))), 1),"0123456789abcdefghijklmnopqrstuvwxyzABCDEFGHIJKLMNOPQRSTUVWXYZ.")))))</f>
        <v>0</v>
      </c>
      <c r="AD504">
        <f>AND(IF(Metadata!C504="",FALSE,TRUE),exact(Metadata!C504,"Host-associated"))</f>
        <v>0</v>
      </c>
      <c r="AE504">
        <f>AND(IF(Metadata!D504="",FALSE,TRUE),OR(exact(Metadata!D504,"Animal"),exact(Metadata!D504,"Fungus"),exact(Metadata!D504,"Plant")))</f>
        <v>0</v>
      </c>
      <c r="AF504">
        <f>AND(IF(Metadata!E504="",FALSE,TRUE),OR(exact(Metadata!E504,"Plant secretion"),exact(Metadata!E504,"Plant rhizosphere"),exact(Metadata!E504,"Plant surface"),exact(Metadata!E504,"Plant corpus"),exact(Metadata!E504,"Fungus surface"),exact(Metadata!E504,"Fungus corpus"),exact(Metadata!E504,"Animal surface"),exact(Metadata!E504,"Animal proximal gut"),exact(Metadata!E504,"Animal corpus"),exact(Metadata!E504,"Animal distal gut"),exact(Metadata!E504,"Animal secretion")))</f>
        <v>0</v>
      </c>
      <c r="AG504">
        <f>OR(AND(IF(Metadata!F504="",FALSE,TRUE),OR(exact(Metadata!F504,"not collected"),exact(Metadata!F504,"not provided"),exact(Metadata!F504,"restricted access"))),AND(IF(Metadata!F504="",FALSE,TRUE),OR(exact(Metadata!F504,"organism-associated habitat"),exact(Metadata!F504,"plant-associated habitat"),exact(Metadata!F504,"animal-associated habitat"),exact(Metadata!F504,"insecta-associated habitat"),exact(Metadata!F504,"mammalia-associated habitat"),exact(Metadata!F504,"human-associated habitat"),exact(Metadata!F504,"livestock-associated habitat"))))</f>
        <v>0</v>
      </c>
      <c r="AH504">
        <f>AND(IF(Metadata!G504="",FALSE,TRUE),exact(Metadata!G504,"host-associated"))</f>
        <v>0</v>
      </c>
      <c r="AI504">
        <f>OR(AND(IF(Metadata!H504="",FALSE,TRUE),OR(exact(Metadata!H504,"not collected"),exact(Metadata!H504,"not provided"))),AND(IF(Metadata!H504="",FALSE,ISNUMBER(VALUE(Metadata!H504))),Metadata!H504&gt;0))</f>
        <v>0</v>
      </c>
      <c r="AJ504">
        <f>AND(IF(Metadata!I504="",FALSE,TRUE),exact(Metadata!I504,"years"))</f>
        <v>0</v>
      </c>
      <c r="AK504">
        <f>IF(Metadata!J504="",FALSE,TRUE)</f>
        <v>0</v>
      </c>
      <c r="AL504">
        <f>OR(AND(IF(Metadata!K504="",FALSE,TRUE),OR(exact(Metadata!K504,"not collected"),exact(Metadata!K504,"not provided"))),AND(IF(Metadata!K504="",FALSE,ISNUMBER(VALUE(Metadata!K504))),Metadata!K504&gt;0))</f>
        <v>0</v>
      </c>
      <c r="AM504">
        <f>AND(IF(Metadata!L504="",FALSE,TRUE),exact(Metadata!L504,"cm"))</f>
        <v>0</v>
      </c>
      <c r="AN504">
        <f>IF(Metadata!M504="",FALSE,TRUE)</f>
        <v>0</v>
      </c>
      <c r="AO504">
        <f>OR(AND(IF(Metadata!N504="",FALSE,TRUE),OR(exact(Metadata!N504,"not applicable"),exact(Metadata!N504,"not collected"),exact(Metadata!N504,"not provided"))),AND(IF(Metadata!N504="",FALSE,IF(ISERROR(INT(Metadata!N504)),FALSE,INT(Metadata!N504)=Metadata!N504)),Metadata!N504&gt;0))</f>
        <v>0</v>
      </c>
      <c r="AP504">
        <f>OR(AND(IF(Metadata!O504="",FALSE,TRUE),OR(exact(Metadata!O504,"not collected"),exact(Metadata!O504,"not provided"))),AND(IF(Metadata!O504="",FALSE,ISNUMBER(VALUE(Metadata!O504))),Metadata!O504&gt;0))</f>
        <v>0</v>
      </c>
      <c r="AQ504">
        <f>AND(IF(Metadata!P504="",FALSE,TRUE),exact(Metadata!P504,"kg"))</f>
        <v>0</v>
      </c>
      <c r="AR504">
        <f>OR(AND(IF(Metadata!Q504="",FALSE,TRUE),OR(exact(Metadata!Q504,"not applicable"),exact(Metadata!Q504,"not collected"),exact(Metadata!Q504,"not provided"),exact(Metadata!Q504,"restricted access"))),IF(Metadata!Q504="",FALSE,IF(ISERROR(INT(Metadata!Q504)),FALSE,INT(Metadata!Q504)=Metadata!Q504)))</f>
        <v>0</v>
      </c>
      <c r="AS504">
        <f>AND(IF(Metadata!R504="",FALSE,TRUE),exact(Metadata!R504,"Not applicable"))</f>
        <v>0</v>
      </c>
    </row>
    <row r="505" spans="1:45">
      <c r="A505" s="4">
        <f>IF(B505=" "," ",HYPERLINK(CONCATENATE("#metadata!",ADDRESS(INDEX($X$2:$X$1001,MATCH(ROWS($V$2:V505),$V$2:$V$1001,0),0),2)),INDEX($AA$2:$AA$1001,MATCH(ROWS($V$2:V505),$V$2:$V$1001,0),0)))</f>
        <v>0</v>
      </c>
      <c r="B505" s="5">
        <f>IF(OR(INDEX($W$2:$W$1001,MATCH(ROWS($V$2:V505),$V$2:$V$1001,0),1)&gt;=100000,INDEX($AC$1005:$AS$1005,1,MATCH(COLUMNS($AC$1006:AC1006),$AC$1006:$AS$1006,0))&gt;=100000), " ",IF(INDEX($AC$2:$AS$1001,MATCH(ROWS($V$2:V505),$V$2:$V$1001,0),MATCH(COLUMNS($AC$1006:AC1006),$AC$1006:$AS$1006,0)), HYPERLINK("#",""), HYPERLINK(CONCATENATE("#Metadata!", ADDRESS(INDEX($X$2:$X$1001,MATCH(ROWS($V$2:V505),$V$2:$V$1001,0),0), INDEX($AC$1004:$AS$1004,1,MATCH(COLUMNS($AC$1006:AC1006),$AC$1006:$AS$1006,0)))),"Fix")))</f>
        <v>0</v>
      </c>
      <c r="C505" s="5">
        <f>IF(OR(INDEX($W$2:$W$1001,MATCH(ROWS($V$2:V505),$V$2:$V$1001,0),1)&gt;=100000,INDEX($AC$1005:$AS$1005,1,MATCH(COLUMNS($AC$1006:AD1006),$AC$1006:$AS$1006,0))&gt;=100000), " ",IF(INDEX($AC$2:$AS$1001,MATCH(ROWS($V$2:V505),$V$2:$V$1001,0),MATCH(COLUMNS($AC$1006:AD1006),$AC$1006:$AS$1006,0)), HYPERLINK("#",""), HYPERLINK(CONCATENATE("#Metadata!", ADDRESS(INDEX($X$2:$X$1001,MATCH(ROWS($V$2:V505),$V$2:$V$1001,0),0), INDEX($AC$1004:$AS$1004,1,MATCH(COLUMNS($AC$1006:AD1006),$AC$1006:$AS$1006,0)))),"Fix")))</f>
        <v>0</v>
      </c>
      <c r="D505" s="5">
        <f>IF(OR(INDEX($W$2:$W$1001,MATCH(ROWS($V$2:V505),$V$2:$V$1001,0),1)&gt;=100000,INDEX($AC$1005:$AS$1005,1,MATCH(COLUMNS($AC$1006:AE1006),$AC$1006:$AS$1006,0))&gt;=100000), " ",IF(INDEX($AC$2:$AS$1001,MATCH(ROWS($V$2:V505),$V$2:$V$1001,0),MATCH(COLUMNS($AC$1006:AE1006),$AC$1006:$AS$1006,0)), HYPERLINK("#",""), HYPERLINK(CONCATENATE("#Metadata!", ADDRESS(INDEX($X$2:$X$1001,MATCH(ROWS($V$2:V505),$V$2:$V$1001,0),0), INDEX($AC$1004:$AS$1004,1,MATCH(COLUMNS($AC$1006:AE1006),$AC$1006:$AS$1006,0)))),"Fix")))</f>
        <v>0</v>
      </c>
      <c r="E505" s="5">
        <f>IF(OR(INDEX($W$2:$W$1001,MATCH(ROWS($V$2:V505),$V$2:$V$1001,0),1)&gt;=100000,INDEX($AC$1005:$AS$1005,1,MATCH(COLUMNS($AC$1006:AF1006),$AC$1006:$AS$1006,0))&gt;=100000), " ",IF(INDEX($AC$2:$AS$1001,MATCH(ROWS($V$2:V505),$V$2:$V$1001,0),MATCH(COLUMNS($AC$1006:AF1006),$AC$1006:$AS$1006,0)), HYPERLINK("#",""), HYPERLINK(CONCATENATE("#Metadata!", ADDRESS(INDEX($X$2:$X$1001,MATCH(ROWS($V$2:V505),$V$2:$V$1001,0),0), INDEX($AC$1004:$AS$1004,1,MATCH(COLUMNS($AC$1006:AF1006),$AC$1006:$AS$1006,0)))),"Fix")))</f>
        <v>0</v>
      </c>
      <c r="F505" s="5">
        <f>IF(OR(INDEX($W$2:$W$1001,MATCH(ROWS($V$2:V505),$V$2:$V$1001,0),1)&gt;=100000,INDEX($AC$1005:$AS$1005,1,MATCH(COLUMNS($AC$1006:AG1006),$AC$1006:$AS$1006,0))&gt;=100000), " ",IF(INDEX($AC$2:$AS$1001,MATCH(ROWS($V$2:V505),$V$2:$V$1001,0),MATCH(COLUMNS($AC$1006:AG1006),$AC$1006:$AS$1006,0)), HYPERLINK("#",""), HYPERLINK(CONCATENATE("#Metadata!", ADDRESS(INDEX($X$2:$X$1001,MATCH(ROWS($V$2:V505),$V$2:$V$1001,0),0), INDEX($AC$1004:$AS$1004,1,MATCH(COLUMNS($AC$1006:AG1006),$AC$1006:$AS$1006,0)))),"Fix")))</f>
        <v>0</v>
      </c>
      <c r="G505" s="5">
        <f>IF(OR(INDEX($W$2:$W$1001,MATCH(ROWS($V$2:V505),$V$2:$V$1001,0),1)&gt;=100000,INDEX($AC$1005:$AS$1005,1,MATCH(COLUMNS($AC$1006:AH1006),$AC$1006:$AS$1006,0))&gt;=100000), " ",IF(INDEX($AC$2:$AS$1001,MATCH(ROWS($V$2:V505),$V$2:$V$1001,0),MATCH(COLUMNS($AC$1006:AH1006),$AC$1006:$AS$1006,0)), HYPERLINK("#",""), HYPERLINK(CONCATENATE("#Metadata!", ADDRESS(INDEX($X$2:$X$1001,MATCH(ROWS($V$2:V505),$V$2:$V$1001,0),0), INDEX($AC$1004:$AS$1004,1,MATCH(COLUMNS($AC$1006:AH1006),$AC$1006:$AS$1006,0)))),"Fix")))</f>
        <v>0</v>
      </c>
      <c r="H505" s="5">
        <f>IF(OR(INDEX($W$2:$W$1001,MATCH(ROWS($V$2:V505),$V$2:$V$1001,0),1)&gt;=100000,INDEX($AC$1005:$AS$1005,1,MATCH(COLUMNS($AC$1006:AI1006),$AC$1006:$AS$1006,0))&gt;=100000), " ",IF(INDEX($AC$2:$AS$1001,MATCH(ROWS($V$2:V505),$V$2:$V$1001,0),MATCH(COLUMNS($AC$1006:AI1006),$AC$1006:$AS$1006,0)), HYPERLINK("#",""), HYPERLINK(CONCATENATE("#Metadata!", ADDRESS(INDEX($X$2:$X$1001,MATCH(ROWS($V$2:V505),$V$2:$V$1001,0),0), INDEX($AC$1004:$AS$1004,1,MATCH(COLUMNS($AC$1006:AI1006),$AC$1006:$AS$1006,0)))),"Fix")))</f>
        <v>0</v>
      </c>
      <c r="I505" s="5">
        <f>IF(OR(INDEX($W$2:$W$1001,MATCH(ROWS($V$2:V505),$V$2:$V$1001,0),1)&gt;=100000,INDEX($AC$1005:$AS$1005,1,MATCH(COLUMNS($AC$1006:AJ1006),$AC$1006:$AS$1006,0))&gt;=100000), " ",IF(INDEX($AC$2:$AS$1001,MATCH(ROWS($V$2:V505),$V$2:$V$1001,0),MATCH(COLUMNS($AC$1006:AJ1006),$AC$1006:$AS$1006,0)), HYPERLINK("#",""), HYPERLINK(CONCATENATE("#Metadata!", ADDRESS(INDEX($X$2:$X$1001,MATCH(ROWS($V$2:V505),$V$2:$V$1001,0),0), INDEX($AC$1004:$AS$1004,1,MATCH(COLUMNS($AC$1006:AJ1006),$AC$1006:$AS$1006,0)))),"Fix")))</f>
        <v>0</v>
      </c>
      <c r="J505" s="5">
        <f>IF(OR(INDEX($W$2:$W$1001,MATCH(ROWS($V$2:V505),$V$2:$V$1001,0),1)&gt;=100000,INDEX($AC$1005:$AS$1005,1,MATCH(COLUMNS($AC$1006:AK1006),$AC$1006:$AS$1006,0))&gt;=100000), " ",IF(INDEX($AC$2:$AS$1001,MATCH(ROWS($V$2:V505),$V$2:$V$1001,0),MATCH(COLUMNS($AC$1006:AK1006),$AC$1006:$AS$1006,0)), HYPERLINK("#",""), HYPERLINK(CONCATENATE("#Metadata!", ADDRESS(INDEX($X$2:$X$1001,MATCH(ROWS($V$2:V505),$V$2:$V$1001,0),0), INDEX($AC$1004:$AS$1004,1,MATCH(COLUMNS($AC$1006:AK1006),$AC$1006:$AS$1006,0)))),"Fix")))</f>
        <v>0</v>
      </c>
      <c r="K505" s="5">
        <f>IF(OR(INDEX($W$2:$W$1001,MATCH(ROWS($V$2:V505),$V$2:$V$1001,0),1)&gt;=100000,INDEX($AC$1005:$AS$1005,1,MATCH(COLUMNS($AC$1006:AL1006),$AC$1006:$AS$1006,0))&gt;=100000), " ",IF(INDEX($AC$2:$AS$1001,MATCH(ROWS($V$2:V505),$V$2:$V$1001,0),MATCH(COLUMNS($AC$1006:AL1006),$AC$1006:$AS$1006,0)), HYPERLINK("#",""), HYPERLINK(CONCATENATE("#Metadata!", ADDRESS(INDEX($X$2:$X$1001,MATCH(ROWS($V$2:V505),$V$2:$V$1001,0),0), INDEX($AC$1004:$AS$1004,1,MATCH(COLUMNS($AC$1006:AL1006),$AC$1006:$AS$1006,0)))),"Fix")))</f>
        <v>0</v>
      </c>
      <c r="L505" s="5">
        <f>IF(OR(INDEX($W$2:$W$1001,MATCH(ROWS($V$2:V505),$V$2:$V$1001,0),1)&gt;=100000,INDEX($AC$1005:$AS$1005,1,MATCH(COLUMNS($AC$1006:AM1006),$AC$1006:$AS$1006,0))&gt;=100000), " ",IF(INDEX($AC$2:$AS$1001,MATCH(ROWS($V$2:V505),$V$2:$V$1001,0),MATCH(COLUMNS($AC$1006:AM1006),$AC$1006:$AS$1006,0)), HYPERLINK("#",""), HYPERLINK(CONCATENATE("#Metadata!", ADDRESS(INDEX($X$2:$X$1001,MATCH(ROWS($V$2:V505),$V$2:$V$1001,0),0), INDEX($AC$1004:$AS$1004,1,MATCH(COLUMNS($AC$1006:AM1006),$AC$1006:$AS$1006,0)))),"Fix")))</f>
        <v>0</v>
      </c>
      <c r="M505" s="5">
        <f>IF(OR(INDEX($W$2:$W$1001,MATCH(ROWS($V$2:V505),$V$2:$V$1001,0),1)&gt;=100000,INDEX($AC$1005:$AS$1005,1,MATCH(COLUMNS($AC$1006:AN1006),$AC$1006:$AS$1006,0))&gt;=100000), " ",IF(INDEX($AC$2:$AS$1001,MATCH(ROWS($V$2:V505),$V$2:$V$1001,0),MATCH(COLUMNS($AC$1006:AN1006),$AC$1006:$AS$1006,0)), HYPERLINK("#",""), HYPERLINK(CONCATENATE("#Metadata!", ADDRESS(INDEX($X$2:$X$1001,MATCH(ROWS($V$2:V505),$V$2:$V$1001,0),0), INDEX($AC$1004:$AS$1004,1,MATCH(COLUMNS($AC$1006:AN1006),$AC$1006:$AS$1006,0)))),"Fix")))</f>
        <v>0</v>
      </c>
      <c r="N505" s="5">
        <f>IF(OR(INDEX($W$2:$W$1001,MATCH(ROWS($V$2:V505),$V$2:$V$1001,0),1)&gt;=100000,INDEX($AC$1005:$AS$1005,1,MATCH(COLUMNS($AC$1006:AO1006),$AC$1006:$AS$1006,0))&gt;=100000), " ",IF(INDEX($AC$2:$AS$1001,MATCH(ROWS($V$2:V505),$V$2:$V$1001,0),MATCH(COLUMNS($AC$1006:AO1006),$AC$1006:$AS$1006,0)), HYPERLINK("#",""), HYPERLINK(CONCATENATE("#Metadata!", ADDRESS(INDEX($X$2:$X$1001,MATCH(ROWS($V$2:V505),$V$2:$V$1001,0),0), INDEX($AC$1004:$AS$1004,1,MATCH(COLUMNS($AC$1006:AO1006),$AC$1006:$AS$1006,0)))),"Fix")))</f>
        <v>0</v>
      </c>
      <c r="O505" s="5">
        <f>IF(OR(INDEX($W$2:$W$1001,MATCH(ROWS($V$2:V505),$V$2:$V$1001,0),1)&gt;=100000,INDEX($AC$1005:$AS$1005,1,MATCH(COLUMNS($AC$1006:AP1006),$AC$1006:$AS$1006,0))&gt;=100000), " ",IF(INDEX($AC$2:$AS$1001,MATCH(ROWS($V$2:V505),$V$2:$V$1001,0),MATCH(COLUMNS($AC$1006:AP1006),$AC$1006:$AS$1006,0)), HYPERLINK("#",""), HYPERLINK(CONCATENATE("#Metadata!", ADDRESS(INDEX($X$2:$X$1001,MATCH(ROWS($V$2:V505),$V$2:$V$1001,0),0), INDEX($AC$1004:$AS$1004,1,MATCH(COLUMNS($AC$1006:AP1006),$AC$1006:$AS$1006,0)))),"Fix")))</f>
        <v>0</v>
      </c>
      <c r="P505" s="5">
        <f>IF(OR(INDEX($W$2:$W$1001,MATCH(ROWS($V$2:V505),$V$2:$V$1001,0),1)&gt;=100000,INDEX($AC$1005:$AS$1005,1,MATCH(COLUMNS($AC$1006:AQ1006),$AC$1006:$AS$1006,0))&gt;=100000), " ",IF(INDEX($AC$2:$AS$1001,MATCH(ROWS($V$2:V505),$V$2:$V$1001,0),MATCH(COLUMNS($AC$1006:AQ1006),$AC$1006:$AS$1006,0)), HYPERLINK("#",""), HYPERLINK(CONCATENATE("#Metadata!", ADDRESS(INDEX($X$2:$X$1001,MATCH(ROWS($V$2:V505),$V$2:$V$1001,0),0), INDEX($AC$1004:$AS$1004,1,MATCH(COLUMNS($AC$1006:AQ1006),$AC$1006:$AS$1006,0)))),"Fix")))</f>
        <v>0</v>
      </c>
      <c r="Q505" s="5">
        <f>IF(OR(INDEX($W$2:$W$1001,MATCH(ROWS($V$2:V505),$V$2:$V$1001,0),1)&gt;=100000,INDEX($AC$1005:$AS$1005,1,MATCH(COLUMNS($AC$1006:AR1006),$AC$1006:$AS$1006,0))&gt;=100000), " ",IF(INDEX($AC$2:$AS$1001,MATCH(ROWS($V$2:V505),$V$2:$V$1001,0),MATCH(COLUMNS($AC$1006:AR1006),$AC$1006:$AS$1006,0)), HYPERLINK("#",""), HYPERLINK(CONCATENATE("#Metadata!", ADDRESS(INDEX($X$2:$X$1001,MATCH(ROWS($V$2:V505),$V$2:$V$1001,0),0), INDEX($AC$1004:$AS$1004,1,MATCH(COLUMNS($AC$1006:AR1006),$AC$1006:$AS$1006,0)))),"Fix")))</f>
        <v>0</v>
      </c>
      <c r="R505" s="5">
        <f>IF(OR(INDEX($W$2:$W$1001,MATCH(ROWS($V$2:V505),$V$2:$V$1001,0),1)&gt;=100000,INDEX($AC$1005:$AS$1005,1,MATCH(COLUMNS($AC$1006:AS1006),$AC$1006:$AS$1006,0))&gt;=100000), " ",IF(INDEX($AC$2:$AS$1001,MATCH(ROWS($V$2:V505),$V$2:$V$1001,0),MATCH(COLUMNS($AC$1006:AS1006),$AC$1006:$AS$1006,0)), HYPERLINK("#",""), HYPERLINK(CONCATENATE("#Metadata!", ADDRESS(INDEX($X$2:$X$1001,MATCH(ROWS($V$2:V505),$V$2:$V$1001,0),0), INDEX($AC$1004:$AS$1004,1,MATCH(COLUMNS($AC$1006:AS1006),$AC$1006:$AS$1006,0)))),"Fix")))</f>
        <v>0</v>
      </c>
      <c r="V505">
        <v>0</v>
      </c>
      <c r="W505">
        <v>0</v>
      </c>
      <c r="X505">
        <v>0</v>
      </c>
      <c r="Y505">
        <f>IF(Z505,TRUE,AND(AC505:AS505))</f>
        <v>0</v>
      </c>
      <c r="Z505">
        <f>COUNTBLANK(Metadata!B505:R505)=COLUMNS(Metadata!B505:R505)</f>
        <v>0</v>
      </c>
      <c r="AA505">
        <v>0</v>
      </c>
      <c r="AC505">
        <f>AND(IF(Metadata!B505="",FALSE,TRUE),COUNTIF(Metadata!B:B, Metadata!B505) = 1,NOT(ISERROR(SUMPRODUCT(SEARCH(MID(Metadata!B505,ROW(INDIRECT("1:"&amp;LEN(Metadata!B505))), 1),"0123456789abcdefghijklmnopqrstuvwxyzABCDEFGHIJKLMNOPQRSTUVWXYZ.")))))</f>
        <v>0</v>
      </c>
      <c r="AD505">
        <f>AND(IF(Metadata!C505="",FALSE,TRUE),exact(Metadata!C505,"Host-associated"))</f>
        <v>0</v>
      </c>
      <c r="AE505">
        <f>AND(IF(Metadata!D505="",FALSE,TRUE),OR(exact(Metadata!D505,"Animal"),exact(Metadata!D505,"Fungus"),exact(Metadata!D505,"Plant")))</f>
        <v>0</v>
      </c>
      <c r="AF505">
        <f>AND(IF(Metadata!E505="",FALSE,TRUE),OR(exact(Metadata!E505,"Plant secretion"),exact(Metadata!E505,"Plant rhizosphere"),exact(Metadata!E505,"Plant surface"),exact(Metadata!E505,"Plant corpus"),exact(Metadata!E505,"Fungus surface"),exact(Metadata!E505,"Fungus corpus"),exact(Metadata!E505,"Animal surface"),exact(Metadata!E505,"Animal proximal gut"),exact(Metadata!E505,"Animal corpus"),exact(Metadata!E505,"Animal distal gut"),exact(Metadata!E505,"Animal secretion")))</f>
        <v>0</v>
      </c>
      <c r="AG505">
        <f>OR(AND(IF(Metadata!F505="",FALSE,TRUE),OR(exact(Metadata!F505,"not collected"),exact(Metadata!F505,"not provided"),exact(Metadata!F505,"restricted access"))),AND(IF(Metadata!F505="",FALSE,TRUE),OR(exact(Metadata!F505,"organism-associated habitat"),exact(Metadata!F505,"plant-associated habitat"),exact(Metadata!F505,"animal-associated habitat"),exact(Metadata!F505,"insecta-associated habitat"),exact(Metadata!F505,"mammalia-associated habitat"),exact(Metadata!F505,"human-associated habitat"),exact(Metadata!F505,"livestock-associated habitat"))))</f>
        <v>0</v>
      </c>
      <c r="AH505">
        <f>AND(IF(Metadata!G505="",FALSE,TRUE),exact(Metadata!G505,"host-associated"))</f>
        <v>0</v>
      </c>
      <c r="AI505">
        <f>OR(AND(IF(Metadata!H505="",FALSE,TRUE),OR(exact(Metadata!H505,"not collected"),exact(Metadata!H505,"not provided"))),AND(IF(Metadata!H505="",FALSE,ISNUMBER(VALUE(Metadata!H505))),Metadata!H505&gt;0))</f>
        <v>0</v>
      </c>
      <c r="AJ505">
        <f>AND(IF(Metadata!I505="",FALSE,TRUE),exact(Metadata!I505,"years"))</f>
        <v>0</v>
      </c>
      <c r="AK505">
        <f>IF(Metadata!J505="",FALSE,TRUE)</f>
        <v>0</v>
      </c>
      <c r="AL505">
        <f>OR(AND(IF(Metadata!K505="",FALSE,TRUE),OR(exact(Metadata!K505,"not collected"),exact(Metadata!K505,"not provided"))),AND(IF(Metadata!K505="",FALSE,ISNUMBER(VALUE(Metadata!K505))),Metadata!K505&gt;0))</f>
        <v>0</v>
      </c>
      <c r="AM505">
        <f>AND(IF(Metadata!L505="",FALSE,TRUE),exact(Metadata!L505,"cm"))</f>
        <v>0</v>
      </c>
      <c r="AN505">
        <f>IF(Metadata!M505="",FALSE,TRUE)</f>
        <v>0</v>
      </c>
      <c r="AO505">
        <f>OR(AND(IF(Metadata!N505="",FALSE,TRUE),OR(exact(Metadata!N505,"not applicable"),exact(Metadata!N505,"not collected"),exact(Metadata!N505,"not provided"))),AND(IF(Metadata!N505="",FALSE,IF(ISERROR(INT(Metadata!N505)),FALSE,INT(Metadata!N505)=Metadata!N505)),Metadata!N505&gt;0))</f>
        <v>0</v>
      </c>
      <c r="AP505">
        <f>OR(AND(IF(Metadata!O505="",FALSE,TRUE),OR(exact(Metadata!O505,"not collected"),exact(Metadata!O505,"not provided"))),AND(IF(Metadata!O505="",FALSE,ISNUMBER(VALUE(Metadata!O505))),Metadata!O505&gt;0))</f>
        <v>0</v>
      </c>
      <c r="AQ505">
        <f>AND(IF(Metadata!P505="",FALSE,TRUE),exact(Metadata!P505,"kg"))</f>
        <v>0</v>
      </c>
      <c r="AR505">
        <f>OR(AND(IF(Metadata!Q505="",FALSE,TRUE),OR(exact(Metadata!Q505,"not applicable"),exact(Metadata!Q505,"not collected"),exact(Metadata!Q505,"not provided"),exact(Metadata!Q505,"restricted access"))),IF(Metadata!Q505="",FALSE,IF(ISERROR(INT(Metadata!Q505)),FALSE,INT(Metadata!Q505)=Metadata!Q505)))</f>
        <v>0</v>
      </c>
      <c r="AS505">
        <f>AND(IF(Metadata!R505="",FALSE,TRUE),exact(Metadata!R505,"Not applicable"))</f>
        <v>0</v>
      </c>
    </row>
    <row r="506" spans="1:45">
      <c r="A506" s="4">
        <f>IF(B506=" "," ",HYPERLINK(CONCATENATE("#metadata!",ADDRESS(INDEX($X$2:$X$1001,MATCH(ROWS($V$2:V506),$V$2:$V$1001,0),0),2)),INDEX($AA$2:$AA$1001,MATCH(ROWS($V$2:V506),$V$2:$V$1001,0),0)))</f>
        <v>0</v>
      </c>
      <c r="B506" s="5">
        <f>IF(OR(INDEX($W$2:$W$1001,MATCH(ROWS($V$2:V506),$V$2:$V$1001,0),1)&gt;=100000,INDEX($AC$1005:$AS$1005,1,MATCH(COLUMNS($AC$1006:AC1006),$AC$1006:$AS$1006,0))&gt;=100000), " ",IF(INDEX($AC$2:$AS$1001,MATCH(ROWS($V$2:V506),$V$2:$V$1001,0),MATCH(COLUMNS($AC$1006:AC1006),$AC$1006:$AS$1006,0)), HYPERLINK("#",""), HYPERLINK(CONCATENATE("#Metadata!", ADDRESS(INDEX($X$2:$X$1001,MATCH(ROWS($V$2:V506),$V$2:$V$1001,0),0), INDEX($AC$1004:$AS$1004,1,MATCH(COLUMNS($AC$1006:AC1006),$AC$1006:$AS$1006,0)))),"Fix")))</f>
        <v>0</v>
      </c>
      <c r="C506" s="5">
        <f>IF(OR(INDEX($W$2:$W$1001,MATCH(ROWS($V$2:V506),$V$2:$V$1001,0),1)&gt;=100000,INDEX($AC$1005:$AS$1005,1,MATCH(COLUMNS($AC$1006:AD1006),$AC$1006:$AS$1006,0))&gt;=100000), " ",IF(INDEX($AC$2:$AS$1001,MATCH(ROWS($V$2:V506),$V$2:$V$1001,0),MATCH(COLUMNS($AC$1006:AD1006),$AC$1006:$AS$1006,0)), HYPERLINK("#",""), HYPERLINK(CONCATENATE("#Metadata!", ADDRESS(INDEX($X$2:$X$1001,MATCH(ROWS($V$2:V506),$V$2:$V$1001,0),0), INDEX($AC$1004:$AS$1004,1,MATCH(COLUMNS($AC$1006:AD1006),$AC$1006:$AS$1006,0)))),"Fix")))</f>
        <v>0</v>
      </c>
      <c r="D506" s="5">
        <f>IF(OR(INDEX($W$2:$W$1001,MATCH(ROWS($V$2:V506),$V$2:$V$1001,0),1)&gt;=100000,INDEX($AC$1005:$AS$1005,1,MATCH(COLUMNS($AC$1006:AE1006),$AC$1006:$AS$1006,0))&gt;=100000), " ",IF(INDEX($AC$2:$AS$1001,MATCH(ROWS($V$2:V506),$V$2:$V$1001,0),MATCH(COLUMNS($AC$1006:AE1006),$AC$1006:$AS$1006,0)), HYPERLINK("#",""), HYPERLINK(CONCATENATE("#Metadata!", ADDRESS(INDEX($X$2:$X$1001,MATCH(ROWS($V$2:V506),$V$2:$V$1001,0),0), INDEX($AC$1004:$AS$1004,1,MATCH(COLUMNS($AC$1006:AE1006),$AC$1006:$AS$1006,0)))),"Fix")))</f>
        <v>0</v>
      </c>
      <c r="E506" s="5">
        <f>IF(OR(INDEX($W$2:$W$1001,MATCH(ROWS($V$2:V506),$V$2:$V$1001,0),1)&gt;=100000,INDEX($AC$1005:$AS$1005,1,MATCH(COLUMNS($AC$1006:AF1006),$AC$1006:$AS$1006,0))&gt;=100000), " ",IF(INDEX($AC$2:$AS$1001,MATCH(ROWS($V$2:V506),$V$2:$V$1001,0),MATCH(COLUMNS($AC$1006:AF1006),$AC$1006:$AS$1006,0)), HYPERLINK("#",""), HYPERLINK(CONCATENATE("#Metadata!", ADDRESS(INDEX($X$2:$X$1001,MATCH(ROWS($V$2:V506),$V$2:$V$1001,0),0), INDEX($AC$1004:$AS$1004,1,MATCH(COLUMNS($AC$1006:AF1006),$AC$1006:$AS$1006,0)))),"Fix")))</f>
        <v>0</v>
      </c>
      <c r="F506" s="5">
        <f>IF(OR(INDEX($W$2:$W$1001,MATCH(ROWS($V$2:V506),$V$2:$V$1001,0),1)&gt;=100000,INDEX($AC$1005:$AS$1005,1,MATCH(COLUMNS($AC$1006:AG1006),$AC$1006:$AS$1006,0))&gt;=100000), " ",IF(INDEX($AC$2:$AS$1001,MATCH(ROWS($V$2:V506),$V$2:$V$1001,0),MATCH(COLUMNS($AC$1006:AG1006),$AC$1006:$AS$1006,0)), HYPERLINK("#",""), HYPERLINK(CONCATENATE("#Metadata!", ADDRESS(INDEX($X$2:$X$1001,MATCH(ROWS($V$2:V506),$V$2:$V$1001,0),0), INDEX($AC$1004:$AS$1004,1,MATCH(COLUMNS($AC$1006:AG1006),$AC$1006:$AS$1006,0)))),"Fix")))</f>
        <v>0</v>
      </c>
      <c r="G506" s="5">
        <f>IF(OR(INDEX($W$2:$W$1001,MATCH(ROWS($V$2:V506),$V$2:$V$1001,0),1)&gt;=100000,INDEX($AC$1005:$AS$1005,1,MATCH(COLUMNS($AC$1006:AH1006),$AC$1006:$AS$1006,0))&gt;=100000), " ",IF(INDEX($AC$2:$AS$1001,MATCH(ROWS($V$2:V506),$V$2:$V$1001,0),MATCH(COLUMNS($AC$1006:AH1006),$AC$1006:$AS$1006,0)), HYPERLINK("#",""), HYPERLINK(CONCATENATE("#Metadata!", ADDRESS(INDEX($X$2:$X$1001,MATCH(ROWS($V$2:V506),$V$2:$V$1001,0),0), INDEX($AC$1004:$AS$1004,1,MATCH(COLUMNS($AC$1006:AH1006),$AC$1006:$AS$1006,0)))),"Fix")))</f>
        <v>0</v>
      </c>
      <c r="H506" s="5">
        <f>IF(OR(INDEX($W$2:$W$1001,MATCH(ROWS($V$2:V506),$V$2:$V$1001,0),1)&gt;=100000,INDEX($AC$1005:$AS$1005,1,MATCH(COLUMNS($AC$1006:AI1006),$AC$1006:$AS$1006,0))&gt;=100000), " ",IF(INDEX($AC$2:$AS$1001,MATCH(ROWS($V$2:V506),$V$2:$V$1001,0),MATCH(COLUMNS($AC$1006:AI1006),$AC$1006:$AS$1006,0)), HYPERLINK("#",""), HYPERLINK(CONCATENATE("#Metadata!", ADDRESS(INDEX($X$2:$X$1001,MATCH(ROWS($V$2:V506),$V$2:$V$1001,0),0), INDEX($AC$1004:$AS$1004,1,MATCH(COLUMNS($AC$1006:AI1006),$AC$1006:$AS$1006,0)))),"Fix")))</f>
        <v>0</v>
      </c>
      <c r="I506" s="5">
        <f>IF(OR(INDEX($W$2:$W$1001,MATCH(ROWS($V$2:V506),$V$2:$V$1001,0),1)&gt;=100000,INDEX($AC$1005:$AS$1005,1,MATCH(COLUMNS($AC$1006:AJ1006),$AC$1006:$AS$1006,0))&gt;=100000), " ",IF(INDEX($AC$2:$AS$1001,MATCH(ROWS($V$2:V506),$V$2:$V$1001,0),MATCH(COLUMNS($AC$1006:AJ1006),$AC$1006:$AS$1006,0)), HYPERLINK("#",""), HYPERLINK(CONCATENATE("#Metadata!", ADDRESS(INDEX($X$2:$X$1001,MATCH(ROWS($V$2:V506),$V$2:$V$1001,0),0), INDEX($AC$1004:$AS$1004,1,MATCH(COLUMNS($AC$1006:AJ1006),$AC$1006:$AS$1006,0)))),"Fix")))</f>
        <v>0</v>
      </c>
      <c r="J506" s="5">
        <f>IF(OR(INDEX($W$2:$W$1001,MATCH(ROWS($V$2:V506),$V$2:$V$1001,0),1)&gt;=100000,INDEX($AC$1005:$AS$1005,1,MATCH(COLUMNS($AC$1006:AK1006),$AC$1006:$AS$1006,0))&gt;=100000), " ",IF(INDEX($AC$2:$AS$1001,MATCH(ROWS($V$2:V506),$V$2:$V$1001,0),MATCH(COLUMNS($AC$1006:AK1006),$AC$1006:$AS$1006,0)), HYPERLINK("#",""), HYPERLINK(CONCATENATE("#Metadata!", ADDRESS(INDEX($X$2:$X$1001,MATCH(ROWS($V$2:V506),$V$2:$V$1001,0),0), INDEX($AC$1004:$AS$1004,1,MATCH(COLUMNS($AC$1006:AK1006),$AC$1006:$AS$1006,0)))),"Fix")))</f>
        <v>0</v>
      </c>
      <c r="K506" s="5">
        <f>IF(OR(INDEX($W$2:$W$1001,MATCH(ROWS($V$2:V506),$V$2:$V$1001,0),1)&gt;=100000,INDEX($AC$1005:$AS$1005,1,MATCH(COLUMNS($AC$1006:AL1006),$AC$1006:$AS$1006,0))&gt;=100000), " ",IF(INDEX($AC$2:$AS$1001,MATCH(ROWS($V$2:V506),$V$2:$V$1001,0),MATCH(COLUMNS($AC$1006:AL1006),$AC$1006:$AS$1006,0)), HYPERLINK("#",""), HYPERLINK(CONCATENATE("#Metadata!", ADDRESS(INDEX($X$2:$X$1001,MATCH(ROWS($V$2:V506),$V$2:$V$1001,0),0), INDEX($AC$1004:$AS$1004,1,MATCH(COLUMNS($AC$1006:AL1006),$AC$1006:$AS$1006,0)))),"Fix")))</f>
        <v>0</v>
      </c>
      <c r="L506" s="5">
        <f>IF(OR(INDEX($W$2:$W$1001,MATCH(ROWS($V$2:V506),$V$2:$V$1001,0),1)&gt;=100000,INDEX($AC$1005:$AS$1005,1,MATCH(COLUMNS($AC$1006:AM1006),$AC$1006:$AS$1006,0))&gt;=100000), " ",IF(INDEX($AC$2:$AS$1001,MATCH(ROWS($V$2:V506),$V$2:$V$1001,0),MATCH(COLUMNS($AC$1006:AM1006),$AC$1006:$AS$1006,0)), HYPERLINK("#",""), HYPERLINK(CONCATENATE("#Metadata!", ADDRESS(INDEX($X$2:$X$1001,MATCH(ROWS($V$2:V506),$V$2:$V$1001,0),0), INDEX($AC$1004:$AS$1004,1,MATCH(COLUMNS($AC$1006:AM1006),$AC$1006:$AS$1006,0)))),"Fix")))</f>
        <v>0</v>
      </c>
      <c r="M506" s="5">
        <f>IF(OR(INDEX($W$2:$W$1001,MATCH(ROWS($V$2:V506),$V$2:$V$1001,0),1)&gt;=100000,INDEX($AC$1005:$AS$1005,1,MATCH(COLUMNS($AC$1006:AN1006),$AC$1006:$AS$1006,0))&gt;=100000), " ",IF(INDEX($AC$2:$AS$1001,MATCH(ROWS($V$2:V506),$V$2:$V$1001,0),MATCH(COLUMNS($AC$1006:AN1006),$AC$1006:$AS$1006,0)), HYPERLINK("#",""), HYPERLINK(CONCATENATE("#Metadata!", ADDRESS(INDEX($X$2:$X$1001,MATCH(ROWS($V$2:V506),$V$2:$V$1001,0),0), INDEX($AC$1004:$AS$1004,1,MATCH(COLUMNS($AC$1006:AN1006),$AC$1006:$AS$1006,0)))),"Fix")))</f>
        <v>0</v>
      </c>
      <c r="N506" s="5">
        <f>IF(OR(INDEX($W$2:$W$1001,MATCH(ROWS($V$2:V506),$V$2:$V$1001,0),1)&gt;=100000,INDEX($AC$1005:$AS$1005,1,MATCH(COLUMNS($AC$1006:AO1006),$AC$1006:$AS$1006,0))&gt;=100000), " ",IF(INDEX($AC$2:$AS$1001,MATCH(ROWS($V$2:V506),$V$2:$V$1001,0),MATCH(COLUMNS($AC$1006:AO1006),$AC$1006:$AS$1006,0)), HYPERLINK("#",""), HYPERLINK(CONCATENATE("#Metadata!", ADDRESS(INDEX($X$2:$X$1001,MATCH(ROWS($V$2:V506),$V$2:$V$1001,0),0), INDEX($AC$1004:$AS$1004,1,MATCH(COLUMNS($AC$1006:AO1006),$AC$1006:$AS$1006,0)))),"Fix")))</f>
        <v>0</v>
      </c>
      <c r="O506" s="5">
        <f>IF(OR(INDEX($W$2:$W$1001,MATCH(ROWS($V$2:V506),$V$2:$V$1001,0),1)&gt;=100000,INDEX($AC$1005:$AS$1005,1,MATCH(COLUMNS($AC$1006:AP1006),$AC$1006:$AS$1006,0))&gt;=100000), " ",IF(INDEX($AC$2:$AS$1001,MATCH(ROWS($V$2:V506),$V$2:$V$1001,0),MATCH(COLUMNS($AC$1006:AP1006),$AC$1006:$AS$1006,0)), HYPERLINK("#",""), HYPERLINK(CONCATENATE("#Metadata!", ADDRESS(INDEX($X$2:$X$1001,MATCH(ROWS($V$2:V506),$V$2:$V$1001,0),0), INDEX($AC$1004:$AS$1004,1,MATCH(COLUMNS($AC$1006:AP1006),$AC$1006:$AS$1006,0)))),"Fix")))</f>
        <v>0</v>
      </c>
      <c r="P506" s="5">
        <f>IF(OR(INDEX($W$2:$W$1001,MATCH(ROWS($V$2:V506),$V$2:$V$1001,0),1)&gt;=100000,INDEX($AC$1005:$AS$1005,1,MATCH(COLUMNS($AC$1006:AQ1006),$AC$1006:$AS$1006,0))&gt;=100000), " ",IF(INDEX($AC$2:$AS$1001,MATCH(ROWS($V$2:V506),$V$2:$V$1001,0),MATCH(COLUMNS($AC$1006:AQ1006),$AC$1006:$AS$1006,0)), HYPERLINK("#",""), HYPERLINK(CONCATENATE("#Metadata!", ADDRESS(INDEX($X$2:$X$1001,MATCH(ROWS($V$2:V506),$V$2:$V$1001,0),0), INDEX($AC$1004:$AS$1004,1,MATCH(COLUMNS($AC$1006:AQ1006),$AC$1006:$AS$1006,0)))),"Fix")))</f>
        <v>0</v>
      </c>
      <c r="Q506" s="5">
        <f>IF(OR(INDEX($W$2:$W$1001,MATCH(ROWS($V$2:V506),$V$2:$V$1001,0),1)&gt;=100000,INDEX($AC$1005:$AS$1005,1,MATCH(COLUMNS($AC$1006:AR1006),$AC$1006:$AS$1006,0))&gt;=100000), " ",IF(INDEX($AC$2:$AS$1001,MATCH(ROWS($V$2:V506),$V$2:$V$1001,0),MATCH(COLUMNS($AC$1006:AR1006),$AC$1006:$AS$1006,0)), HYPERLINK("#",""), HYPERLINK(CONCATENATE("#Metadata!", ADDRESS(INDEX($X$2:$X$1001,MATCH(ROWS($V$2:V506),$V$2:$V$1001,0),0), INDEX($AC$1004:$AS$1004,1,MATCH(COLUMNS($AC$1006:AR1006),$AC$1006:$AS$1006,0)))),"Fix")))</f>
        <v>0</v>
      </c>
      <c r="R506" s="5">
        <f>IF(OR(INDEX($W$2:$W$1001,MATCH(ROWS($V$2:V506),$V$2:$V$1001,0),1)&gt;=100000,INDEX($AC$1005:$AS$1005,1,MATCH(COLUMNS($AC$1006:AS1006),$AC$1006:$AS$1006,0))&gt;=100000), " ",IF(INDEX($AC$2:$AS$1001,MATCH(ROWS($V$2:V506),$V$2:$V$1001,0),MATCH(COLUMNS($AC$1006:AS1006),$AC$1006:$AS$1006,0)), HYPERLINK("#",""), HYPERLINK(CONCATENATE("#Metadata!", ADDRESS(INDEX($X$2:$X$1001,MATCH(ROWS($V$2:V506),$V$2:$V$1001,0),0), INDEX($AC$1004:$AS$1004,1,MATCH(COLUMNS($AC$1006:AS1006),$AC$1006:$AS$1006,0)))),"Fix")))</f>
        <v>0</v>
      </c>
      <c r="V506">
        <v>0</v>
      </c>
      <c r="W506">
        <v>0</v>
      </c>
      <c r="X506">
        <v>0</v>
      </c>
      <c r="Y506">
        <f>IF(Z506,TRUE,AND(AC506:AS506))</f>
        <v>0</v>
      </c>
      <c r="Z506">
        <f>COUNTBLANK(Metadata!B506:R506)=COLUMNS(Metadata!B506:R506)</f>
        <v>0</v>
      </c>
      <c r="AA506">
        <v>0</v>
      </c>
      <c r="AC506">
        <f>AND(IF(Metadata!B506="",FALSE,TRUE),COUNTIF(Metadata!B:B, Metadata!B506) = 1,NOT(ISERROR(SUMPRODUCT(SEARCH(MID(Metadata!B506,ROW(INDIRECT("1:"&amp;LEN(Metadata!B506))), 1),"0123456789abcdefghijklmnopqrstuvwxyzABCDEFGHIJKLMNOPQRSTUVWXYZ.")))))</f>
        <v>0</v>
      </c>
      <c r="AD506">
        <f>AND(IF(Metadata!C506="",FALSE,TRUE),exact(Metadata!C506,"Host-associated"))</f>
        <v>0</v>
      </c>
      <c r="AE506">
        <f>AND(IF(Metadata!D506="",FALSE,TRUE),OR(exact(Metadata!D506,"Animal"),exact(Metadata!D506,"Fungus"),exact(Metadata!D506,"Plant")))</f>
        <v>0</v>
      </c>
      <c r="AF506">
        <f>AND(IF(Metadata!E506="",FALSE,TRUE),OR(exact(Metadata!E506,"Plant secretion"),exact(Metadata!E506,"Plant rhizosphere"),exact(Metadata!E506,"Plant surface"),exact(Metadata!E506,"Plant corpus"),exact(Metadata!E506,"Fungus surface"),exact(Metadata!E506,"Fungus corpus"),exact(Metadata!E506,"Animal surface"),exact(Metadata!E506,"Animal proximal gut"),exact(Metadata!E506,"Animal corpus"),exact(Metadata!E506,"Animal distal gut"),exact(Metadata!E506,"Animal secretion")))</f>
        <v>0</v>
      </c>
      <c r="AG506">
        <f>OR(AND(IF(Metadata!F506="",FALSE,TRUE),OR(exact(Metadata!F506,"not collected"),exact(Metadata!F506,"not provided"),exact(Metadata!F506,"restricted access"))),AND(IF(Metadata!F506="",FALSE,TRUE),OR(exact(Metadata!F506,"organism-associated habitat"),exact(Metadata!F506,"plant-associated habitat"),exact(Metadata!F506,"animal-associated habitat"),exact(Metadata!F506,"insecta-associated habitat"),exact(Metadata!F506,"mammalia-associated habitat"),exact(Metadata!F506,"human-associated habitat"),exact(Metadata!F506,"livestock-associated habitat"))))</f>
        <v>0</v>
      </c>
      <c r="AH506">
        <f>AND(IF(Metadata!G506="",FALSE,TRUE),exact(Metadata!G506,"host-associated"))</f>
        <v>0</v>
      </c>
      <c r="AI506">
        <f>OR(AND(IF(Metadata!H506="",FALSE,TRUE),OR(exact(Metadata!H506,"not collected"),exact(Metadata!H506,"not provided"))),AND(IF(Metadata!H506="",FALSE,ISNUMBER(VALUE(Metadata!H506))),Metadata!H506&gt;0))</f>
        <v>0</v>
      </c>
      <c r="AJ506">
        <f>AND(IF(Metadata!I506="",FALSE,TRUE),exact(Metadata!I506,"years"))</f>
        <v>0</v>
      </c>
      <c r="AK506">
        <f>IF(Metadata!J506="",FALSE,TRUE)</f>
        <v>0</v>
      </c>
      <c r="AL506">
        <f>OR(AND(IF(Metadata!K506="",FALSE,TRUE),OR(exact(Metadata!K506,"not collected"),exact(Metadata!K506,"not provided"))),AND(IF(Metadata!K506="",FALSE,ISNUMBER(VALUE(Metadata!K506))),Metadata!K506&gt;0))</f>
        <v>0</v>
      </c>
      <c r="AM506">
        <f>AND(IF(Metadata!L506="",FALSE,TRUE),exact(Metadata!L506,"cm"))</f>
        <v>0</v>
      </c>
      <c r="AN506">
        <f>IF(Metadata!M506="",FALSE,TRUE)</f>
        <v>0</v>
      </c>
      <c r="AO506">
        <f>OR(AND(IF(Metadata!N506="",FALSE,TRUE),OR(exact(Metadata!N506,"not applicable"),exact(Metadata!N506,"not collected"),exact(Metadata!N506,"not provided"))),AND(IF(Metadata!N506="",FALSE,IF(ISERROR(INT(Metadata!N506)),FALSE,INT(Metadata!N506)=Metadata!N506)),Metadata!N506&gt;0))</f>
        <v>0</v>
      </c>
      <c r="AP506">
        <f>OR(AND(IF(Metadata!O506="",FALSE,TRUE),OR(exact(Metadata!O506,"not collected"),exact(Metadata!O506,"not provided"))),AND(IF(Metadata!O506="",FALSE,ISNUMBER(VALUE(Metadata!O506))),Metadata!O506&gt;0))</f>
        <v>0</v>
      </c>
      <c r="AQ506">
        <f>AND(IF(Metadata!P506="",FALSE,TRUE),exact(Metadata!P506,"kg"))</f>
        <v>0</v>
      </c>
      <c r="AR506">
        <f>OR(AND(IF(Metadata!Q506="",FALSE,TRUE),OR(exact(Metadata!Q506,"not applicable"),exact(Metadata!Q506,"not collected"),exact(Metadata!Q506,"not provided"),exact(Metadata!Q506,"restricted access"))),IF(Metadata!Q506="",FALSE,IF(ISERROR(INT(Metadata!Q506)),FALSE,INT(Metadata!Q506)=Metadata!Q506)))</f>
        <v>0</v>
      </c>
      <c r="AS506">
        <f>AND(IF(Metadata!R506="",FALSE,TRUE),exact(Metadata!R506,"Not applicable"))</f>
        <v>0</v>
      </c>
    </row>
    <row r="507" spans="1:45">
      <c r="A507" s="4">
        <f>IF(B507=" "," ",HYPERLINK(CONCATENATE("#metadata!",ADDRESS(INDEX($X$2:$X$1001,MATCH(ROWS($V$2:V507),$V$2:$V$1001,0),0),2)),INDEX($AA$2:$AA$1001,MATCH(ROWS($V$2:V507),$V$2:$V$1001,0),0)))</f>
        <v>0</v>
      </c>
      <c r="B507" s="5">
        <f>IF(OR(INDEX($W$2:$W$1001,MATCH(ROWS($V$2:V507),$V$2:$V$1001,0),1)&gt;=100000,INDEX($AC$1005:$AS$1005,1,MATCH(COLUMNS($AC$1006:AC1006),$AC$1006:$AS$1006,0))&gt;=100000), " ",IF(INDEX($AC$2:$AS$1001,MATCH(ROWS($V$2:V507),$V$2:$V$1001,0),MATCH(COLUMNS($AC$1006:AC1006),$AC$1006:$AS$1006,0)), HYPERLINK("#",""), HYPERLINK(CONCATENATE("#Metadata!", ADDRESS(INDEX($X$2:$X$1001,MATCH(ROWS($V$2:V507),$V$2:$V$1001,0),0), INDEX($AC$1004:$AS$1004,1,MATCH(COLUMNS($AC$1006:AC1006),$AC$1006:$AS$1006,0)))),"Fix")))</f>
        <v>0</v>
      </c>
      <c r="C507" s="5">
        <f>IF(OR(INDEX($W$2:$W$1001,MATCH(ROWS($V$2:V507),$V$2:$V$1001,0),1)&gt;=100000,INDEX($AC$1005:$AS$1005,1,MATCH(COLUMNS($AC$1006:AD1006),$AC$1006:$AS$1006,0))&gt;=100000), " ",IF(INDEX($AC$2:$AS$1001,MATCH(ROWS($V$2:V507),$V$2:$V$1001,0),MATCH(COLUMNS($AC$1006:AD1006),$AC$1006:$AS$1006,0)), HYPERLINK("#",""), HYPERLINK(CONCATENATE("#Metadata!", ADDRESS(INDEX($X$2:$X$1001,MATCH(ROWS($V$2:V507),$V$2:$V$1001,0),0), INDEX($AC$1004:$AS$1004,1,MATCH(COLUMNS($AC$1006:AD1006),$AC$1006:$AS$1006,0)))),"Fix")))</f>
        <v>0</v>
      </c>
      <c r="D507" s="5">
        <f>IF(OR(INDEX($W$2:$W$1001,MATCH(ROWS($V$2:V507),$V$2:$V$1001,0),1)&gt;=100000,INDEX($AC$1005:$AS$1005,1,MATCH(COLUMNS($AC$1006:AE1006),$AC$1006:$AS$1006,0))&gt;=100000), " ",IF(INDEX($AC$2:$AS$1001,MATCH(ROWS($V$2:V507),$V$2:$V$1001,0),MATCH(COLUMNS($AC$1006:AE1006),$AC$1006:$AS$1006,0)), HYPERLINK("#",""), HYPERLINK(CONCATENATE("#Metadata!", ADDRESS(INDEX($X$2:$X$1001,MATCH(ROWS($V$2:V507),$V$2:$V$1001,0),0), INDEX($AC$1004:$AS$1004,1,MATCH(COLUMNS($AC$1006:AE1006),$AC$1006:$AS$1006,0)))),"Fix")))</f>
        <v>0</v>
      </c>
      <c r="E507" s="5">
        <f>IF(OR(INDEX($W$2:$W$1001,MATCH(ROWS($V$2:V507),$V$2:$V$1001,0),1)&gt;=100000,INDEX($AC$1005:$AS$1005,1,MATCH(COLUMNS($AC$1006:AF1006),$AC$1006:$AS$1006,0))&gt;=100000), " ",IF(INDEX($AC$2:$AS$1001,MATCH(ROWS($V$2:V507),$V$2:$V$1001,0),MATCH(COLUMNS($AC$1006:AF1006),$AC$1006:$AS$1006,0)), HYPERLINK("#",""), HYPERLINK(CONCATENATE("#Metadata!", ADDRESS(INDEX($X$2:$X$1001,MATCH(ROWS($V$2:V507),$V$2:$V$1001,0),0), INDEX($AC$1004:$AS$1004,1,MATCH(COLUMNS($AC$1006:AF1006),$AC$1006:$AS$1006,0)))),"Fix")))</f>
        <v>0</v>
      </c>
      <c r="F507" s="5">
        <f>IF(OR(INDEX($W$2:$W$1001,MATCH(ROWS($V$2:V507),$V$2:$V$1001,0),1)&gt;=100000,INDEX($AC$1005:$AS$1005,1,MATCH(COLUMNS($AC$1006:AG1006),$AC$1006:$AS$1006,0))&gt;=100000), " ",IF(INDEX($AC$2:$AS$1001,MATCH(ROWS($V$2:V507),$V$2:$V$1001,0),MATCH(COLUMNS($AC$1006:AG1006),$AC$1006:$AS$1006,0)), HYPERLINK("#",""), HYPERLINK(CONCATENATE("#Metadata!", ADDRESS(INDEX($X$2:$X$1001,MATCH(ROWS($V$2:V507),$V$2:$V$1001,0),0), INDEX($AC$1004:$AS$1004,1,MATCH(COLUMNS($AC$1006:AG1006),$AC$1006:$AS$1006,0)))),"Fix")))</f>
        <v>0</v>
      </c>
      <c r="G507" s="5">
        <f>IF(OR(INDEX($W$2:$W$1001,MATCH(ROWS($V$2:V507),$V$2:$V$1001,0),1)&gt;=100000,INDEX($AC$1005:$AS$1005,1,MATCH(COLUMNS($AC$1006:AH1006),$AC$1006:$AS$1006,0))&gt;=100000), " ",IF(INDEX($AC$2:$AS$1001,MATCH(ROWS($V$2:V507),$V$2:$V$1001,0),MATCH(COLUMNS($AC$1006:AH1006),$AC$1006:$AS$1006,0)), HYPERLINK("#",""), HYPERLINK(CONCATENATE("#Metadata!", ADDRESS(INDEX($X$2:$X$1001,MATCH(ROWS($V$2:V507),$V$2:$V$1001,0),0), INDEX($AC$1004:$AS$1004,1,MATCH(COLUMNS($AC$1006:AH1006),$AC$1006:$AS$1006,0)))),"Fix")))</f>
        <v>0</v>
      </c>
      <c r="H507" s="5">
        <f>IF(OR(INDEX($W$2:$W$1001,MATCH(ROWS($V$2:V507),$V$2:$V$1001,0),1)&gt;=100000,INDEX($AC$1005:$AS$1005,1,MATCH(COLUMNS($AC$1006:AI1006),$AC$1006:$AS$1006,0))&gt;=100000), " ",IF(INDEX($AC$2:$AS$1001,MATCH(ROWS($V$2:V507),$V$2:$V$1001,0),MATCH(COLUMNS($AC$1006:AI1006),$AC$1006:$AS$1006,0)), HYPERLINK("#",""), HYPERLINK(CONCATENATE("#Metadata!", ADDRESS(INDEX($X$2:$X$1001,MATCH(ROWS($V$2:V507),$V$2:$V$1001,0),0), INDEX($AC$1004:$AS$1004,1,MATCH(COLUMNS($AC$1006:AI1006),$AC$1006:$AS$1006,0)))),"Fix")))</f>
        <v>0</v>
      </c>
      <c r="I507" s="5">
        <f>IF(OR(INDEX($W$2:$W$1001,MATCH(ROWS($V$2:V507),$V$2:$V$1001,0),1)&gt;=100000,INDEX($AC$1005:$AS$1005,1,MATCH(COLUMNS($AC$1006:AJ1006),$AC$1006:$AS$1006,0))&gt;=100000), " ",IF(INDEX($AC$2:$AS$1001,MATCH(ROWS($V$2:V507),$V$2:$V$1001,0),MATCH(COLUMNS($AC$1006:AJ1006),$AC$1006:$AS$1006,0)), HYPERLINK("#",""), HYPERLINK(CONCATENATE("#Metadata!", ADDRESS(INDEX($X$2:$X$1001,MATCH(ROWS($V$2:V507),$V$2:$V$1001,0),0), INDEX($AC$1004:$AS$1004,1,MATCH(COLUMNS($AC$1006:AJ1006),$AC$1006:$AS$1006,0)))),"Fix")))</f>
        <v>0</v>
      </c>
      <c r="J507" s="5">
        <f>IF(OR(INDEX($W$2:$W$1001,MATCH(ROWS($V$2:V507),$V$2:$V$1001,0),1)&gt;=100000,INDEX($AC$1005:$AS$1005,1,MATCH(COLUMNS($AC$1006:AK1006),$AC$1006:$AS$1006,0))&gt;=100000), " ",IF(INDEX($AC$2:$AS$1001,MATCH(ROWS($V$2:V507),$V$2:$V$1001,0),MATCH(COLUMNS($AC$1006:AK1006),$AC$1006:$AS$1006,0)), HYPERLINK("#",""), HYPERLINK(CONCATENATE("#Metadata!", ADDRESS(INDEX($X$2:$X$1001,MATCH(ROWS($V$2:V507),$V$2:$V$1001,0),0), INDEX($AC$1004:$AS$1004,1,MATCH(COLUMNS($AC$1006:AK1006),$AC$1006:$AS$1006,0)))),"Fix")))</f>
        <v>0</v>
      </c>
      <c r="K507" s="5">
        <f>IF(OR(INDEX($W$2:$W$1001,MATCH(ROWS($V$2:V507),$V$2:$V$1001,0),1)&gt;=100000,INDEX($AC$1005:$AS$1005,1,MATCH(COLUMNS($AC$1006:AL1006),$AC$1006:$AS$1006,0))&gt;=100000), " ",IF(INDEX($AC$2:$AS$1001,MATCH(ROWS($V$2:V507),$V$2:$V$1001,0),MATCH(COLUMNS($AC$1006:AL1006),$AC$1006:$AS$1006,0)), HYPERLINK("#",""), HYPERLINK(CONCATENATE("#Metadata!", ADDRESS(INDEX($X$2:$X$1001,MATCH(ROWS($V$2:V507),$V$2:$V$1001,0),0), INDEX($AC$1004:$AS$1004,1,MATCH(COLUMNS($AC$1006:AL1006),$AC$1006:$AS$1006,0)))),"Fix")))</f>
        <v>0</v>
      </c>
      <c r="L507" s="5">
        <f>IF(OR(INDEX($W$2:$W$1001,MATCH(ROWS($V$2:V507),$V$2:$V$1001,0),1)&gt;=100000,INDEX($AC$1005:$AS$1005,1,MATCH(COLUMNS($AC$1006:AM1006),$AC$1006:$AS$1006,0))&gt;=100000), " ",IF(INDEX($AC$2:$AS$1001,MATCH(ROWS($V$2:V507),$V$2:$V$1001,0),MATCH(COLUMNS($AC$1006:AM1006),$AC$1006:$AS$1006,0)), HYPERLINK("#",""), HYPERLINK(CONCATENATE("#Metadata!", ADDRESS(INDEX($X$2:$X$1001,MATCH(ROWS($V$2:V507),$V$2:$V$1001,0),0), INDEX($AC$1004:$AS$1004,1,MATCH(COLUMNS($AC$1006:AM1006),$AC$1006:$AS$1006,0)))),"Fix")))</f>
        <v>0</v>
      </c>
      <c r="M507" s="5">
        <f>IF(OR(INDEX($W$2:$W$1001,MATCH(ROWS($V$2:V507),$V$2:$V$1001,0),1)&gt;=100000,INDEX($AC$1005:$AS$1005,1,MATCH(COLUMNS($AC$1006:AN1006),$AC$1006:$AS$1006,0))&gt;=100000), " ",IF(INDEX($AC$2:$AS$1001,MATCH(ROWS($V$2:V507),$V$2:$V$1001,0),MATCH(COLUMNS($AC$1006:AN1006),$AC$1006:$AS$1006,0)), HYPERLINK("#",""), HYPERLINK(CONCATENATE("#Metadata!", ADDRESS(INDEX($X$2:$X$1001,MATCH(ROWS($V$2:V507),$V$2:$V$1001,0),0), INDEX($AC$1004:$AS$1004,1,MATCH(COLUMNS($AC$1006:AN1006),$AC$1006:$AS$1006,0)))),"Fix")))</f>
        <v>0</v>
      </c>
      <c r="N507" s="5">
        <f>IF(OR(INDEX($W$2:$W$1001,MATCH(ROWS($V$2:V507),$V$2:$V$1001,0),1)&gt;=100000,INDEX($AC$1005:$AS$1005,1,MATCH(COLUMNS($AC$1006:AO1006),$AC$1006:$AS$1006,0))&gt;=100000), " ",IF(INDEX($AC$2:$AS$1001,MATCH(ROWS($V$2:V507),$V$2:$V$1001,0),MATCH(COLUMNS($AC$1006:AO1006),$AC$1006:$AS$1006,0)), HYPERLINK("#",""), HYPERLINK(CONCATENATE("#Metadata!", ADDRESS(INDEX($X$2:$X$1001,MATCH(ROWS($V$2:V507),$V$2:$V$1001,0),0), INDEX($AC$1004:$AS$1004,1,MATCH(COLUMNS($AC$1006:AO1006),$AC$1006:$AS$1006,0)))),"Fix")))</f>
        <v>0</v>
      </c>
      <c r="O507" s="5">
        <f>IF(OR(INDEX($W$2:$W$1001,MATCH(ROWS($V$2:V507),$V$2:$V$1001,0),1)&gt;=100000,INDEX($AC$1005:$AS$1005,1,MATCH(COLUMNS($AC$1006:AP1006),$AC$1006:$AS$1006,0))&gt;=100000), " ",IF(INDEX($AC$2:$AS$1001,MATCH(ROWS($V$2:V507),$V$2:$V$1001,0),MATCH(COLUMNS($AC$1006:AP1006),$AC$1006:$AS$1006,0)), HYPERLINK("#",""), HYPERLINK(CONCATENATE("#Metadata!", ADDRESS(INDEX($X$2:$X$1001,MATCH(ROWS($V$2:V507),$V$2:$V$1001,0),0), INDEX($AC$1004:$AS$1004,1,MATCH(COLUMNS($AC$1006:AP1006),$AC$1006:$AS$1006,0)))),"Fix")))</f>
        <v>0</v>
      </c>
      <c r="P507" s="5">
        <f>IF(OR(INDEX($W$2:$W$1001,MATCH(ROWS($V$2:V507),$V$2:$V$1001,0),1)&gt;=100000,INDEX($AC$1005:$AS$1005,1,MATCH(COLUMNS($AC$1006:AQ1006),$AC$1006:$AS$1006,0))&gt;=100000), " ",IF(INDEX($AC$2:$AS$1001,MATCH(ROWS($V$2:V507),$V$2:$V$1001,0),MATCH(COLUMNS($AC$1006:AQ1006),$AC$1006:$AS$1006,0)), HYPERLINK("#",""), HYPERLINK(CONCATENATE("#Metadata!", ADDRESS(INDEX($X$2:$X$1001,MATCH(ROWS($V$2:V507),$V$2:$V$1001,0),0), INDEX($AC$1004:$AS$1004,1,MATCH(COLUMNS($AC$1006:AQ1006),$AC$1006:$AS$1006,0)))),"Fix")))</f>
        <v>0</v>
      </c>
      <c r="Q507" s="5">
        <f>IF(OR(INDEX($W$2:$W$1001,MATCH(ROWS($V$2:V507),$V$2:$V$1001,0),1)&gt;=100000,INDEX($AC$1005:$AS$1005,1,MATCH(COLUMNS($AC$1006:AR1006),$AC$1006:$AS$1006,0))&gt;=100000), " ",IF(INDEX($AC$2:$AS$1001,MATCH(ROWS($V$2:V507),$V$2:$V$1001,0),MATCH(COLUMNS($AC$1006:AR1006),$AC$1006:$AS$1006,0)), HYPERLINK("#",""), HYPERLINK(CONCATENATE("#Metadata!", ADDRESS(INDEX($X$2:$X$1001,MATCH(ROWS($V$2:V507),$V$2:$V$1001,0),0), INDEX($AC$1004:$AS$1004,1,MATCH(COLUMNS($AC$1006:AR1006),$AC$1006:$AS$1006,0)))),"Fix")))</f>
        <v>0</v>
      </c>
      <c r="R507" s="5">
        <f>IF(OR(INDEX($W$2:$W$1001,MATCH(ROWS($V$2:V507),$V$2:$V$1001,0),1)&gt;=100000,INDEX($AC$1005:$AS$1005,1,MATCH(COLUMNS($AC$1006:AS1006),$AC$1006:$AS$1006,0))&gt;=100000), " ",IF(INDEX($AC$2:$AS$1001,MATCH(ROWS($V$2:V507),$V$2:$V$1001,0),MATCH(COLUMNS($AC$1006:AS1006),$AC$1006:$AS$1006,0)), HYPERLINK("#",""), HYPERLINK(CONCATENATE("#Metadata!", ADDRESS(INDEX($X$2:$X$1001,MATCH(ROWS($V$2:V507),$V$2:$V$1001,0),0), INDEX($AC$1004:$AS$1004,1,MATCH(COLUMNS($AC$1006:AS1006),$AC$1006:$AS$1006,0)))),"Fix")))</f>
        <v>0</v>
      </c>
      <c r="V507">
        <v>0</v>
      </c>
      <c r="W507">
        <v>0</v>
      </c>
      <c r="X507">
        <v>0</v>
      </c>
      <c r="Y507">
        <f>IF(Z507,TRUE,AND(AC507:AS507))</f>
        <v>0</v>
      </c>
      <c r="Z507">
        <f>COUNTBLANK(Metadata!B507:R507)=COLUMNS(Metadata!B507:R507)</f>
        <v>0</v>
      </c>
      <c r="AA507">
        <v>0</v>
      </c>
      <c r="AC507">
        <f>AND(IF(Metadata!B507="",FALSE,TRUE),COUNTIF(Metadata!B:B, Metadata!B507) = 1,NOT(ISERROR(SUMPRODUCT(SEARCH(MID(Metadata!B507,ROW(INDIRECT("1:"&amp;LEN(Metadata!B507))), 1),"0123456789abcdefghijklmnopqrstuvwxyzABCDEFGHIJKLMNOPQRSTUVWXYZ.")))))</f>
        <v>0</v>
      </c>
      <c r="AD507">
        <f>AND(IF(Metadata!C507="",FALSE,TRUE),exact(Metadata!C507,"Host-associated"))</f>
        <v>0</v>
      </c>
      <c r="AE507">
        <f>AND(IF(Metadata!D507="",FALSE,TRUE),OR(exact(Metadata!D507,"Animal"),exact(Metadata!D507,"Fungus"),exact(Metadata!D507,"Plant")))</f>
        <v>0</v>
      </c>
      <c r="AF507">
        <f>AND(IF(Metadata!E507="",FALSE,TRUE),OR(exact(Metadata!E507,"Plant secretion"),exact(Metadata!E507,"Plant rhizosphere"),exact(Metadata!E507,"Plant surface"),exact(Metadata!E507,"Plant corpus"),exact(Metadata!E507,"Fungus surface"),exact(Metadata!E507,"Fungus corpus"),exact(Metadata!E507,"Animal surface"),exact(Metadata!E507,"Animal proximal gut"),exact(Metadata!E507,"Animal corpus"),exact(Metadata!E507,"Animal distal gut"),exact(Metadata!E507,"Animal secretion")))</f>
        <v>0</v>
      </c>
      <c r="AG507">
        <f>OR(AND(IF(Metadata!F507="",FALSE,TRUE),OR(exact(Metadata!F507,"not collected"),exact(Metadata!F507,"not provided"),exact(Metadata!F507,"restricted access"))),AND(IF(Metadata!F507="",FALSE,TRUE),OR(exact(Metadata!F507,"organism-associated habitat"),exact(Metadata!F507,"plant-associated habitat"),exact(Metadata!F507,"animal-associated habitat"),exact(Metadata!F507,"insecta-associated habitat"),exact(Metadata!F507,"mammalia-associated habitat"),exact(Metadata!F507,"human-associated habitat"),exact(Metadata!F507,"livestock-associated habitat"))))</f>
        <v>0</v>
      </c>
      <c r="AH507">
        <f>AND(IF(Metadata!G507="",FALSE,TRUE),exact(Metadata!G507,"host-associated"))</f>
        <v>0</v>
      </c>
      <c r="AI507">
        <f>OR(AND(IF(Metadata!H507="",FALSE,TRUE),OR(exact(Metadata!H507,"not collected"),exact(Metadata!H507,"not provided"))),AND(IF(Metadata!H507="",FALSE,ISNUMBER(VALUE(Metadata!H507))),Metadata!H507&gt;0))</f>
        <v>0</v>
      </c>
      <c r="AJ507">
        <f>AND(IF(Metadata!I507="",FALSE,TRUE),exact(Metadata!I507,"years"))</f>
        <v>0</v>
      </c>
      <c r="AK507">
        <f>IF(Metadata!J507="",FALSE,TRUE)</f>
        <v>0</v>
      </c>
      <c r="AL507">
        <f>OR(AND(IF(Metadata!K507="",FALSE,TRUE),OR(exact(Metadata!K507,"not collected"),exact(Metadata!K507,"not provided"))),AND(IF(Metadata!K507="",FALSE,ISNUMBER(VALUE(Metadata!K507))),Metadata!K507&gt;0))</f>
        <v>0</v>
      </c>
      <c r="AM507">
        <f>AND(IF(Metadata!L507="",FALSE,TRUE),exact(Metadata!L507,"cm"))</f>
        <v>0</v>
      </c>
      <c r="AN507">
        <f>IF(Metadata!M507="",FALSE,TRUE)</f>
        <v>0</v>
      </c>
      <c r="AO507">
        <f>OR(AND(IF(Metadata!N507="",FALSE,TRUE),OR(exact(Metadata!N507,"not applicable"),exact(Metadata!N507,"not collected"),exact(Metadata!N507,"not provided"))),AND(IF(Metadata!N507="",FALSE,IF(ISERROR(INT(Metadata!N507)),FALSE,INT(Metadata!N507)=Metadata!N507)),Metadata!N507&gt;0))</f>
        <v>0</v>
      </c>
      <c r="AP507">
        <f>OR(AND(IF(Metadata!O507="",FALSE,TRUE),OR(exact(Metadata!O507,"not collected"),exact(Metadata!O507,"not provided"))),AND(IF(Metadata!O507="",FALSE,ISNUMBER(VALUE(Metadata!O507))),Metadata!O507&gt;0))</f>
        <v>0</v>
      </c>
      <c r="AQ507">
        <f>AND(IF(Metadata!P507="",FALSE,TRUE),exact(Metadata!P507,"kg"))</f>
        <v>0</v>
      </c>
      <c r="AR507">
        <f>OR(AND(IF(Metadata!Q507="",FALSE,TRUE),OR(exact(Metadata!Q507,"not applicable"),exact(Metadata!Q507,"not collected"),exact(Metadata!Q507,"not provided"),exact(Metadata!Q507,"restricted access"))),IF(Metadata!Q507="",FALSE,IF(ISERROR(INT(Metadata!Q507)),FALSE,INT(Metadata!Q507)=Metadata!Q507)))</f>
        <v>0</v>
      </c>
      <c r="AS507">
        <f>AND(IF(Metadata!R507="",FALSE,TRUE),exact(Metadata!R507,"Not applicable"))</f>
        <v>0</v>
      </c>
    </row>
    <row r="508" spans="1:45">
      <c r="A508" s="4">
        <f>IF(B508=" "," ",HYPERLINK(CONCATENATE("#metadata!",ADDRESS(INDEX($X$2:$X$1001,MATCH(ROWS($V$2:V508),$V$2:$V$1001,0),0),2)),INDEX($AA$2:$AA$1001,MATCH(ROWS($V$2:V508),$V$2:$V$1001,0),0)))</f>
        <v>0</v>
      </c>
      <c r="B508" s="5">
        <f>IF(OR(INDEX($W$2:$W$1001,MATCH(ROWS($V$2:V508),$V$2:$V$1001,0),1)&gt;=100000,INDEX($AC$1005:$AS$1005,1,MATCH(COLUMNS($AC$1006:AC1006),$AC$1006:$AS$1006,0))&gt;=100000), " ",IF(INDEX($AC$2:$AS$1001,MATCH(ROWS($V$2:V508),$V$2:$V$1001,0),MATCH(COLUMNS($AC$1006:AC1006),$AC$1006:$AS$1006,0)), HYPERLINK("#",""), HYPERLINK(CONCATENATE("#Metadata!", ADDRESS(INDEX($X$2:$X$1001,MATCH(ROWS($V$2:V508),$V$2:$V$1001,0),0), INDEX($AC$1004:$AS$1004,1,MATCH(COLUMNS($AC$1006:AC1006),$AC$1006:$AS$1006,0)))),"Fix")))</f>
        <v>0</v>
      </c>
      <c r="C508" s="5">
        <f>IF(OR(INDEX($W$2:$W$1001,MATCH(ROWS($V$2:V508),$V$2:$V$1001,0),1)&gt;=100000,INDEX($AC$1005:$AS$1005,1,MATCH(COLUMNS($AC$1006:AD1006),$AC$1006:$AS$1006,0))&gt;=100000), " ",IF(INDEX($AC$2:$AS$1001,MATCH(ROWS($V$2:V508),$V$2:$V$1001,0),MATCH(COLUMNS($AC$1006:AD1006),$AC$1006:$AS$1006,0)), HYPERLINK("#",""), HYPERLINK(CONCATENATE("#Metadata!", ADDRESS(INDEX($X$2:$X$1001,MATCH(ROWS($V$2:V508),$V$2:$V$1001,0),0), INDEX($AC$1004:$AS$1004,1,MATCH(COLUMNS($AC$1006:AD1006),$AC$1006:$AS$1006,0)))),"Fix")))</f>
        <v>0</v>
      </c>
      <c r="D508" s="5">
        <f>IF(OR(INDEX($W$2:$W$1001,MATCH(ROWS($V$2:V508),$V$2:$V$1001,0),1)&gt;=100000,INDEX($AC$1005:$AS$1005,1,MATCH(COLUMNS($AC$1006:AE1006),$AC$1006:$AS$1006,0))&gt;=100000), " ",IF(INDEX($AC$2:$AS$1001,MATCH(ROWS($V$2:V508),$V$2:$V$1001,0),MATCH(COLUMNS($AC$1006:AE1006),$AC$1006:$AS$1006,0)), HYPERLINK("#",""), HYPERLINK(CONCATENATE("#Metadata!", ADDRESS(INDEX($X$2:$X$1001,MATCH(ROWS($V$2:V508),$V$2:$V$1001,0),0), INDEX($AC$1004:$AS$1004,1,MATCH(COLUMNS($AC$1006:AE1006),$AC$1006:$AS$1006,0)))),"Fix")))</f>
        <v>0</v>
      </c>
      <c r="E508" s="5">
        <f>IF(OR(INDEX($W$2:$W$1001,MATCH(ROWS($V$2:V508),$V$2:$V$1001,0),1)&gt;=100000,INDEX($AC$1005:$AS$1005,1,MATCH(COLUMNS($AC$1006:AF1006),$AC$1006:$AS$1006,0))&gt;=100000), " ",IF(INDEX($AC$2:$AS$1001,MATCH(ROWS($V$2:V508),$V$2:$V$1001,0),MATCH(COLUMNS($AC$1006:AF1006),$AC$1006:$AS$1006,0)), HYPERLINK("#",""), HYPERLINK(CONCATENATE("#Metadata!", ADDRESS(INDEX($X$2:$X$1001,MATCH(ROWS($V$2:V508),$V$2:$V$1001,0),0), INDEX($AC$1004:$AS$1004,1,MATCH(COLUMNS($AC$1006:AF1006),$AC$1006:$AS$1006,0)))),"Fix")))</f>
        <v>0</v>
      </c>
      <c r="F508" s="5">
        <f>IF(OR(INDEX($W$2:$W$1001,MATCH(ROWS($V$2:V508),$V$2:$V$1001,0),1)&gt;=100000,INDEX($AC$1005:$AS$1005,1,MATCH(COLUMNS($AC$1006:AG1006),$AC$1006:$AS$1006,0))&gt;=100000), " ",IF(INDEX($AC$2:$AS$1001,MATCH(ROWS($V$2:V508),$V$2:$V$1001,0),MATCH(COLUMNS($AC$1006:AG1006),$AC$1006:$AS$1006,0)), HYPERLINK("#",""), HYPERLINK(CONCATENATE("#Metadata!", ADDRESS(INDEX($X$2:$X$1001,MATCH(ROWS($V$2:V508),$V$2:$V$1001,0),0), INDEX($AC$1004:$AS$1004,1,MATCH(COLUMNS($AC$1006:AG1006),$AC$1006:$AS$1006,0)))),"Fix")))</f>
        <v>0</v>
      </c>
      <c r="G508" s="5">
        <f>IF(OR(INDEX($W$2:$W$1001,MATCH(ROWS($V$2:V508),$V$2:$V$1001,0),1)&gt;=100000,INDEX($AC$1005:$AS$1005,1,MATCH(COLUMNS($AC$1006:AH1006),$AC$1006:$AS$1006,0))&gt;=100000), " ",IF(INDEX($AC$2:$AS$1001,MATCH(ROWS($V$2:V508),$V$2:$V$1001,0),MATCH(COLUMNS($AC$1006:AH1006),$AC$1006:$AS$1006,0)), HYPERLINK("#",""), HYPERLINK(CONCATENATE("#Metadata!", ADDRESS(INDEX($X$2:$X$1001,MATCH(ROWS($V$2:V508),$V$2:$V$1001,0),0), INDEX($AC$1004:$AS$1004,1,MATCH(COLUMNS($AC$1006:AH1006),$AC$1006:$AS$1006,0)))),"Fix")))</f>
        <v>0</v>
      </c>
      <c r="H508" s="5">
        <f>IF(OR(INDEX($W$2:$W$1001,MATCH(ROWS($V$2:V508),$V$2:$V$1001,0),1)&gt;=100000,INDEX($AC$1005:$AS$1005,1,MATCH(COLUMNS($AC$1006:AI1006),$AC$1006:$AS$1006,0))&gt;=100000), " ",IF(INDEX($AC$2:$AS$1001,MATCH(ROWS($V$2:V508),$V$2:$V$1001,0),MATCH(COLUMNS($AC$1006:AI1006),$AC$1006:$AS$1006,0)), HYPERLINK("#",""), HYPERLINK(CONCATENATE("#Metadata!", ADDRESS(INDEX($X$2:$X$1001,MATCH(ROWS($V$2:V508),$V$2:$V$1001,0),0), INDEX($AC$1004:$AS$1004,1,MATCH(COLUMNS($AC$1006:AI1006),$AC$1006:$AS$1006,0)))),"Fix")))</f>
        <v>0</v>
      </c>
      <c r="I508" s="5">
        <f>IF(OR(INDEX($W$2:$W$1001,MATCH(ROWS($V$2:V508),$V$2:$V$1001,0),1)&gt;=100000,INDEX($AC$1005:$AS$1005,1,MATCH(COLUMNS($AC$1006:AJ1006),$AC$1006:$AS$1006,0))&gt;=100000), " ",IF(INDEX($AC$2:$AS$1001,MATCH(ROWS($V$2:V508),$V$2:$V$1001,0),MATCH(COLUMNS($AC$1006:AJ1006),$AC$1006:$AS$1006,0)), HYPERLINK("#",""), HYPERLINK(CONCATENATE("#Metadata!", ADDRESS(INDEX($X$2:$X$1001,MATCH(ROWS($V$2:V508),$V$2:$V$1001,0),0), INDEX($AC$1004:$AS$1004,1,MATCH(COLUMNS($AC$1006:AJ1006),$AC$1006:$AS$1006,0)))),"Fix")))</f>
        <v>0</v>
      </c>
      <c r="J508" s="5">
        <f>IF(OR(INDEX($W$2:$W$1001,MATCH(ROWS($V$2:V508),$V$2:$V$1001,0),1)&gt;=100000,INDEX($AC$1005:$AS$1005,1,MATCH(COLUMNS($AC$1006:AK1006),$AC$1006:$AS$1006,0))&gt;=100000), " ",IF(INDEX($AC$2:$AS$1001,MATCH(ROWS($V$2:V508),$V$2:$V$1001,0),MATCH(COLUMNS($AC$1006:AK1006),$AC$1006:$AS$1006,0)), HYPERLINK("#",""), HYPERLINK(CONCATENATE("#Metadata!", ADDRESS(INDEX($X$2:$X$1001,MATCH(ROWS($V$2:V508),$V$2:$V$1001,0),0), INDEX($AC$1004:$AS$1004,1,MATCH(COLUMNS($AC$1006:AK1006),$AC$1006:$AS$1006,0)))),"Fix")))</f>
        <v>0</v>
      </c>
      <c r="K508" s="5">
        <f>IF(OR(INDEX($W$2:$W$1001,MATCH(ROWS($V$2:V508),$V$2:$V$1001,0),1)&gt;=100000,INDEX($AC$1005:$AS$1005,1,MATCH(COLUMNS($AC$1006:AL1006),$AC$1006:$AS$1006,0))&gt;=100000), " ",IF(INDEX($AC$2:$AS$1001,MATCH(ROWS($V$2:V508),$V$2:$V$1001,0),MATCH(COLUMNS($AC$1006:AL1006),$AC$1006:$AS$1006,0)), HYPERLINK("#",""), HYPERLINK(CONCATENATE("#Metadata!", ADDRESS(INDEX($X$2:$X$1001,MATCH(ROWS($V$2:V508),$V$2:$V$1001,0),0), INDEX($AC$1004:$AS$1004,1,MATCH(COLUMNS($AC$1006:AL1006),$AC$1006:$AS$1006,0)))),"Fix")))</f>
        <v>0</v>
      </c>
      <c r="L508" s="5">
        <f>IF(OR(INDEX($W$2:$W$1001,MATCH(ROWS($V$2:V508),$V$2:$V$1001,0),1)&gt;=100000,INDEX($AC$1005:$AS$1005,1,MATCH(COLUMNS($AC$1006:AM1006),$AC$1006:$AS$1006,0))&gt;=100000), " ",IF(INDEX($AC$2:$AS$1001,MATCH(ROWS($V$2:V508),$V$2:$V$1001,0),MATCH(COLUMNS($AC$1006:AM1006),$AC$1006:$AS$1006,0)), HYPERLINK("#",""), HYPERLINK(CONCATENATE("#Metadata!", ADDRESS(INDEX($X$2:$X$1001,MATCH(ROWS($V$2:V508),$V$2:$V$1001,0),0), INDEX($AC$1004:$AS$1004,1,MATCH(COLUMNS($AC$1006:AM1006),$AC$1006:$AS$1006,0)))),"Fix")))</f>
        <v>0</v>
      </c>
      <c r="M508" s="5">
        <f>IF(OR(INDEX($W$2:$W$1001,MATCH(ROWS($V$2:V508),$V$2:$V$1001,0),1)&gt;=100000,INDEX($AC$1005:$AS$1005,1,MATCH(COLUMNS($AC$1006:AN1006),$AC$1006:$AS$1006,0))&gt;=100000), " ",IF(INDEX($AC$2:$AS$1001,MATCH(ROWS($V$2:V508),$V$2:$V$1001,0),MATCH(COLUMNS($AC$1006:AN1006),$AC$1006:$AS$1006,0)), HYPERLINK("#",""), HYPERLINK(CONCATENATE("#Metadata!", ADDRESS(INDEX($X$2:$X$1001,MATCH(ROWS($V$2:V508),$V$2:$V$1001,0),0), INDEX($AC$1004:$AS$1004,1,MATCH(COLUMNS($AC$1006:AN1006),$AC$1006:$AS$1006,0)))),"Fix")))</f>
        <v>0</v>
      </c>
      <c r="N508" s="5">
        <f>IF(OR(INDEX($W$2:$W$1001,MATCH(ROWS($V$2:V508),$V$2:$V$1001,0),1)&gt;=100000,INDEX($AC$1005:$AS$1005,1,MATCH(COLUMNS($AC$1006:AO1006),$AC$1006:$AS$1006,0))&gt;=100000), " ",IF(INDEX($AC$2:$AS$1001,MATCH(ROWS($V$2:V508),$V$2:$V$1001,0),MATCH(COLUMNS($AC$1006:AO1006),$AC$1006:$AS$1006,0)), HYPERLINK("#",""), HYPERLINK(CONCATENATE("#Metadata!", ADDRESS(INDEX($X$2:$X$1001,MATCH(ROWS($V$2:V508),$V$2:$V$1001,0),0), INDEX($AC$1004:$AS$1004,1,MATCH(COLUMNS($AC$1006:AO1006),$AC$1006:$AS$1006,0)))),"Fix")))</f>
        <v>0</v>
      </c>
      <c r="O508" s="5">
        <f>IF(OR(INDEX($W$2:$W$1001,MATCH(ROWS($V$2:V508),$V$2:$V$1001,0),1)&gt;=100000,INDEX($AC$1005:$AS$1005,1,MATCH(COLUMNS($AC$1006:AP1006),$AC$1006:$AS$1006,0))&gt;=100000), " ",IF(INDEX($AC$2:$AS$1001,MATCH(ROWS($V$2:V508),$V$2:$V$1001,0),MATCH(COLUMNS($AC$1006:AP1006),$AC$1006:$AS$1006,0)), HYPERLINK("#",""), HYPERLINK(CONCATENATE("#Metadata!", ADDRESS(INDEX($X$2:$X$1001,MATCH(ROWS($V$2:V508),$V$2:$V$1001,0),0), INDEX($AC$1004:$AS$1004,1,MATCH(COLUMNS($AC$1006:AP1006),$AC$1006:$AS$1006,0)))),"Fix")))</f>
        <v>0</v>
      </c>
      <c r="P508" s="5">
        <f>IF(OR(INDEX($W$2:$W$1001,MATCH(ROWS($V$2:V508),$V$2:$V$1001,0),1)&gt;=100000,INDEX($AC$1005:$AS$1005,1,MATCH(COLUMNS($AC$1006:AQ1006),$AC$1006:$AS$1006,0))&gt;=100000), " ",IF(INDEX($AC$2:$AS$1001,MATCH(ROWS($V$2:V508),$V$2:$V$1001,0),MATCH(COLUMNS($AC$1006:AQ1006),$AC$1006:$AS$1006,0)), HYPERLINK("#",""), HYPERLINK(CONCATENATE("#Metadata!", ADDRESS(INDEX($X$2:$X$1001,MATCH(ROWS($V$2:V508),$V$2:$V$1001,0),0), INDEX($AC$1004:$AS$1004,1,MATCH(COLUMNS($AC$1006:AQ1006),$AC$1006:$AS$1006,0)))),"Fix")))</f>
        <v>0</v>
      </c>
      <c r="Q508" s="5">
        <f>IF(OR(INDEX($W$2:$W$1001,MATCH(ROWS($V$2:V508),$V$2:$V$1001,0),1)&gt;=100000,INDEX($AC$1005:$AS$1005,1,MATCH(COLUMNS($AC$1006:AR1006),$AC$1006:$AS$1006,0))&gt;=100000), " ",IF(INDEX($AC$2:$AS$1001,MATCH(ROWS($V$2:V508),$V$2:$V$1001,0),MATCH(COLUMNS($AC$1006:AR1006),$AC$1006:$AS$1006,0)), HYPERLINK("#",""), HYPERLINK(CONCATENATE("#Metadata!", ADDRESS(INDEX($X$2:$X$1001,MATCH(ROWS($V$2:V508),$V$2:$V$1001,0),0), INDEX($AC$1004:$AS$1004,1,MATCH(COLUMNS($AC$1006:AR1006),$AC$1006:$AS$1006,0)))),"Fix")))</f>
        <v>0</v>
      </c>
      <c r="R508" s="5">
        <f>IF(OR(INDEX($W$2:$W$1001,MATCH(ROWS($V$2:V508),$V$2:$V$1001,0),1)&gt;=100000,INDEX($AC$1005:$AS$1005,1,MATCH(COLUMNS($AC$1006:AS1006),$AC$1006:$AS$1006,0))&gt;=100000), " ",IF(INDEX($AC$2:$AS$1001,MATCH(ROWS($V$2:V508),$V$2:$V$1001,0),MATCH(COLUMNS($AC$1006:AS1006),$AC$1006:$AS$1006,0)), HYPERLINK("#",""), HYPERLINK(CONCATENATE("#Metadata!", ADDRESS(INDEX($X$2:$X$1001,MATCH(ROWS($V$2:V508),$V$2:$V$1001,0),0), INDEX($AC$1004:$AS$1004,1,MATCH(COLUMNS($AC$1006:AS1006),$AC$1006:$AS$1006,0)))),"Fix")))</f>
        <v>0</v>
      </c>
      <c r="V508">
        <v>0</v>
      </c>
      <c r="W508">
        <v>0</v>
      </c>
      <c r="X508">
        <v>0</v>
      </c>
      <c r="Y508">
        <f>IF(Z508,TRUE,AND(AC508:AS508))</f>
        <v>0</v>
      </c>
      <c r="Z508">
        <f>COUNTBLANK(Metadata!B508:R508)=COLUMNS(Metadata!B508:R508)</f>
        <v>0</v>
      </c>
      <c r="AA508">
        <v>0</v>
      </c>
      <c r="AC508">
        <f>AND(IF(Metadata!B508="",FALSE,TRUE),COUNTIF(Metadata!B:B, Metadata!B508) = 1,NOT(ISERROR(SUMPRODUCT(SEARCH(MID(Metadata!B508,ROW(INDIRECT("1:"&amp;LEN(Metadata!B508))), 1),"0123456789abcdefghijklmnopqrstuvwxyzABCDEFGHIJKLMNOPQRSTUVWXYZ.")))))</f>
        <v>0</v>
      </c>
      <c r="AD508">
        <f>AND(IF(Metadata!C508="",FALSE,TRUE),exact(Metadata!C508,"Host-associated"))</f>
        <v>0</v>
      </c>
      <c r="AE508">
        <f>AND(IF(Metadata!D508="",FALSE,TRUE),OR(exact(Metadata!D508,"Animal"),exact(Metadata!D508,"Fungus"),exact(Metadata!D508,"Plant")))</f>
        <v>0</v>
      </c>
      <c r="AF508">
        <f>AND(IF(Metadata!E508="",FALSE,TRUE),OR(exact(Metadata!E508,"Plant secretion"),exact(Metadata!E508,"Plant rhizosphere"),exact(Metadata!E508,"Plant surface"),exact(Metadata!E508,"Plant corpus"),exact(Metadata!E508,"Fungus surface"),exact(Metadata!E508,"Fungus corpus"),exact(Metadata!E508,"Animal surface"),exact(Metadata!E508,"Animal proximal gut"),exact(Metadata!E508,"Animal corpus"),exact(Metadata!E508,"Animal distal gut"),exact(Metadata!E508,"Animal secretion")))</f>
        <v>0</v>
      </c>
      <c r="AG508">
        <f>OR(AND(IF(Metadata!F508="",FALSE,TRUE),OR(exact(Metadata!F508,"not collected"),exact(Metadata!F508,"not provided"),exact(Metadata!F508,"restricted access"))),AND(IF(Metadata!F508="",FALSE,TRUE),OR(exact(Metadata!F508,"organism-associated habitat"),exact(Metadata!F508,"plant-associated habitat"),exact(Metadata!F508,"animal-associated habitat"),exact(Metadata!F508,"insecta-associated habitat"),exact(Metadata!F508,"mammalia-associated habitat"),exact(Metadata!F508,"human-associated habitat"),exact(Metadata!F508,"livestock-associated habitat"))))</f>
        <v>0</v>
      </c>
      <c r="AH508">
        <f>AND(IF(Metadata!G508="",FALSE,TRUE),exact(Metadata!G508,"host-associated"))</f>
        <v>0</v>
      </c>
      <c r="AI508">
        <f>OR(AND(IF(Metadata!H508="",FALSE,TRUE),OR(exact(Metadata!H508,"not collected"),exact(Metadata!H508,"not provided"))),AND(IF(Metadata!H508="",FALSE,ISNUMBER(VALUE(Metadata!H508))),Metadata!H508&gt;0))</f>
        <v>0</v>
      </c>
      <c r="AJ508">
        <f>AND(IF(Metadata!I508="",FALSE,TRUE),exact(Metadata!I508,"years"))</f>
        <v>0</v>
      </c>
      <c r="AK508">
        <f>IF(Metadata!J508="",FALSE,TRUE)</f>
        <v>0</v>
      </c>
      <c r="AL508">
        <f>OR(AND(IF(Metadata!K508="",FALSE,TRUE),OR(exact(Metadata!K508,"not collected"),exact(Metadata!K508,"not provided"))),AND(IF(Metadata!K508="",FALSE,ISNUMBER(VALUE(Metadata!K508))),Metadata!K508&gt;0))</f>
        <v>0</v>
      </c>
      <c r="AM508">
        <f>AND(IF(Metadata!L508="",FALSE,TRUE),exact(Metadata!L508,"cm"))</f>
        <v>0</v>
      </c>
      <c r="AN508">
        <f>IF(Metadata!M508="",FALSE,TRUE)</f>
        <v>0</v>
      </c>
      <c r="AO508">
        <f>OR(AND(IF(Metadata!N508="",FALSE,TRUE),OR(exact(Metadata!N508,"not applicable"),exact(Metadata!N508,"not collected"),exact(Metadata!N508,"not provided"))),AND(IF(Metadata!N508="",FALSE,IF(ISERROR(INT(Metadata!N508)),FALSE,INT(Metadata!N508)=Metadata!N508)),Metadata!N508&gt;0))</f>
        <v>0</v>
      </c>
      <c r="AP508">
        <f>OR(AND(IF(Metadata!O508="",FALSE,TRUE),OR(exact(Metadata!O508,"not collected"),exact(Metadata!O508,"not provided"))),AND(IF(Metadata!O508="",FALSE,ISNUMBER(VALUE(Metadata!O508))),Metadata!O508&gt;0))</f>
        <v>0</v>
      </c>
      <c r="AQ508">
        <f>AND(IF(Metadata!P508="",FALSE,TRUE),exact(Metadata!P508,"kg"))</f>
        <v>0</v>
      </c>
      <c r="AR508">
        <f>OR(AND(IF(Metadata!Q508="",FALSE,TRUE),OR(exact(Metadata!Q508,"not applicable"),exact(Metadata!Q508,"not collected"),exact(Metadata!Q508,"not provided"),exact(Metadata!Q508,"restricted access"))),IF(Metadata!Q508="",FALSE,IF(ISERROR(INT(Metadata!Q508)),FALSE,INT(Metadata!Q508)=Metadata!Q508)))</f>
        <v>0</v>
      </c>
      <c r="AS508">
        <f>AND(IF(Metadata!R508="",FALSE,TRUE),exact(Metadata!R508,"Not applicable"))</f>
        <v>0</v>
      </c>
    </row>
    <row r="509" spans="1:45">
      <c r="A509" s="4">
        <f>IF(B509=" "," ",HYPERLINK(CONCATENATE("#metadata!",ADDRESS(INDEX($X$2:$X$1001,MATCH(ROWS($V$2:V509),$V$2:$V$1001,0),0),2)),INDEX($AA$2:$AA$1001,MATCH(ROWS($V$2:V509),$V$2:$V$1001,0),0)))</f>
        <v>0</v>
      </c>
      <c r="B509" s="5">
        <f>IF(OR(INDEX($W$2:$W$1001,MATCH(ROWS($V$2:V509),$V$2:$V$1001,0),1)&gt;=100000,INDEX($AC$1005:$AS$1005,1,MATCH(COLUMNS($AC$1006:AC1006),$AC$1006:$AS$1006,0))&gt;=100000), " ",IF(INDEX($AC$2:$AS$1001,MATCH(ROWS($V$2:V509),$V$2:$V$1001,0),MATCH(COLUMNS($AC$1006:AC1006),$AC$1006:$AS$1006,0)), HYPERLINK("#",""), HYPERLINK(CONCATENATE("#Metadata!", ADDRESS(INDEX($X$2:$X$1001,MATCH(ROWS($V$2:V509),$V$2:$V$1001,0),0), INDEX($AC$1004:$AS$1004,1,MATCH(COLUMNS($AC$1006:AC1006),$AC$1006:$AS$1006,0)))),"Fix")))</f>
        <v>0</v>
      </c>
      <c r="C509" s="5">
        <f>IF(OR(INDEX($W$2:$W$1001,MATCH(ROWS($V$2:V509),$V$2:$V$1001,0),1)&gt;=100000,INDEX($AC$1005:$AS$1005,1,MATCH(COLUMNS($AC$1006:AD1006),$AC$1006:$AS$1006,0))&gt;=100000), " ",IF(INDEX($AC$2:$AS$1001,MATCH(ROWS($V$2:V509),$V$2:$V$1001,0),MATCH(COLUMNS($AC$1006:AD1006),$AC$1006:$AS$1006,0)), HYPERLINK("#",""), HYPERLINK(CONCATENATE("#Metadata!", ADDRESS(INDEX($X$2:$X$1001,MATCH(ROWS($V$2:V509),$V$2:$V$1001,0),0), INDEX($AC$1004:$AS$1004,1,MATCH(COLUMNS($AC$1006:AD1006),$AC$1006:$AS$1006,0)))),"Fix")))</f>
        <v>0</v>
      </c>
      <c r="D509" s="5">
        <f>IF(OR(INDEX($W$2:$W$1001,MATCH(ROWS($V$2:V509),$V$2:$V$1001,0),1)&gt;=100000,INDEX($AC$1005:$AS$1005,1,MATCH(COLUMNS($AC$1006:AE1006),$AC$1006:$AS$1006,0))&gt;=100000), " ",IF(INDEX($AC$2:$AS$1001,MATCH(ROWS($V$2:V509),$V$2:$V$1001,0),MATCH(COLUMNS($AC$1006:AE1006),$AC$1006:$AS$1006,0)), HYPERLINK("#",""), HYPERLINK(CONCATENATE("#Metadata!", ADDRESS(INDEX($X$2:$X$1001,MATCH(ROWS($V$2:V509),$V$2:$V$1001,0),0), INDEX($AC$1004:$AS$1004,1,MATCH(COLUMNS($AC$1006:AE1006),$AC$1006:$AS$1006,0)))),"Fix")))</f>
        <v>0</v>
      </c>
      <c r="E509" s="5">
        <f>IF(OR(INDEX($W$2:$W$1001,MATCH(ROWS($V$2:V509),$V$2:$V$1001,0),1)&gt;=100000,INDEX($AC$1005:$AS$1005,1,MATCH(COLUMNS($AC$1006:AF1006),$AC$1006:$AS$1006,0))&gt;=100000), " ",IF(INDEX($AC$2:$AS$1001,MATCH(ROWS($V$2:V509),$V$2:$V$1001,0),MATCH(COLUMNS($AC$1006:AF1006),$AC$1006:$AS$1006,0)), HYPERLINK("#",""), HYPERLINK(CONCATENATE("#Metadata!", ADDRESS(INDEX($X$2:$X$1001,MATCH(ROWS($V$2:V509),$V$2:$V$1001,0),0), INDEX($AC$1004:$AS$1004,1,MATCH(COLUMNS($AC$1006:AF1006),$AC$1006:$AS$1006,0)))),"Fix")))</f>
        <v>0</v>
      </c>
      <c r="F509" s="5">
        <f>IF(OR(INDEX($W$2:$W$1001,MATCH(ROWS($V$2:V509),$V$2:$V$1001,0),1)&gt;=100000,INDEX($AC$1005:$AS$1005,1,MATCH(COLUMNS($AC$1006:AG1006),$AC$1006:$AS$1006,0))&gt;=100000), " ",IF(INDEX($AC$2:$AS$1001,MATCH(ROWS($V$2:V509),$V$2:$V$1001,0),MATCH(COLUMNS($AC$1006:AG1006),$AC$1006:$AS$1006,0)), HYPERLINK("#",""), HYPERLINK(CONCATENATE("#Metadata!", ADDRESS(INDEX($X$2:$X$1001,MATCH(ROWS($V$2:V509),$V$2:$V$1001,0),0), INDEX($AC$1004:$AS$1004,1,MATCH(COLUMNS($AC$1006:AG1006),$AC$1006:$AS$1006,0)))),"Fix")))</f>
        <v>0</v>
      </c>
      <c r="G509" s="5">
        <f>IF(OR(INDEX($W$2:$W$1001,MATCH(ROWS($V$2:V509),$V$2:$V$1001,0),1)&gt;=100000,INDEX($AC$1005:$AS$1005,1,MATCH(COLUMNS($AC$1006:AH1006),$AC$1006:$AS$1006,0))&gt;=100000), " ",IF(INDEX($AC$2:$AS$1001,MATCH(ROWS($V$2:V509),$V$2:$V$1001,0),MATCH(COLUMNS($AC$1006:AH1006),$AC$1006:$AS$1006,0)), HYPERLINK("#",""), HYPERLINK(CONCATENATE("#Metadata!", ADDRESS(INDEX($X$2:$X$1001,MATCH(ROWS($V$2:V509),$V$2:$V$1001,0),0), INDEX($AC$1004:$AS$1004,1,MATCH(COLUMNS($AC$1006:AH1006),$AC$1006:$AS$1006,0)))),"Fix")))</f>
        <v>0</v>
      </c>
      <c r="H509" s="5">
        <f>IF(OR(INDEX($W$2:$W$1001,MATCH(ROWS($V$2:V509),$V$2:$V$1001,0),1)&gt;=100000,INDEX($AC$1005:$AS$1005,1,MATCH(COLUMNS($AC$1006:AI1006),$AC$1006:$AS$1006,0))&gt;=100000), " ",IF(INDEX($AC$2:$AS$1001,MATCH(ROWS($V$2:V509),$V$2:$V$1001,0),MATCH(COLUMNS($AC$1006:AI1006),$AC$1006:$AS$1006,0)), HYPERLINK("#",""), HYPERLINK(CONCATENATE("#Metadata!", ADDRESS(INDEX($X$2:$X$1001,MATCH(ROWS($V$2:V509),$V$2:$V$1001,0),0), INDEX($AC$1004:$AS$1004,1,MATCH(COLUMNS($AC$1006:AI1006),$AC$1006:$AS$1006,0)))),"Fix")))</f>
        <v>0</v>
      </c>
      <c r="I509" s="5">
        <f>IF(OR(INDEX($W$2:$W$1001,MATCH(ROWS($V$2:V509),$V$2:$V$1001,0),1)&gt;=100000,INDEX($AC$1005:$AS$1005,1,MATCH(COLUMNS($AC$1006:AJ1006),$AC$1006:$AS$1006,0))&gt;=100000), " ",IF(INDEX($AC$2:$AS$1001,MATCH(ROWS($V$2:V509),$V$2:$V$1001,0),MATCH(COLUMNS($AC$1006:AJ1006),$AC$1006:$AS$1006,0)), HYPERLINK("#",""), HYPERLINK(CONCATENATE("#Metadata!", ADDRESS(INDEX($X$2:$X$1001,MATCH(ROWS($V$2:V509),$V$2:$V$1001,0),0), INDEX($AC$1004:$AS$1004,1,MATCH(COLUMNS($AC$1006:AJ1006),$AC$1006:$AS$1006,0)))),"Fix")))</f>
        <v>0</v>
      </c>
      <c r="J509" s="5">
        <f>IF(OR(INDEX($W$2:$W$1001,MATCH(ROWS($V$2:V509),$V$2:$V$1001,0),1)&gt;=100000,INDEX($AC$1005:$AS$1005,1,MATCH(COLUMNS($AC$1006:AK1006),$AC$1006:$AS$1006,0))&gt;=100000), " ",IF(INDEX($AC$2:$AS$1001,MATCH(ROWS($V$2:V509),$V$2:$V$1001,0),MATCH(COLUMNS($AC$1006:AK1006),$AC$1006:$AS$1006,0)), HYPERLINK("#",""), HYPERLINK(CONCATENATE("#Metadata!", ADDRESS(INDEX($X$2:$X$1001,MATCH(ROWS($V$2:V509),$V$2:$V$1001,0),0), INDEX($AC$1004:$AS$1004,1,MATCH(COLUMNS($AC$1006:AK1006),$AC$1006:$AS$1006,0)))),"Fix")))</f>
        <v>0</v>
      </c>
      <c r="K509" s="5">
        <f>IF(OR(INDEX($W$2:$W$1001,MATCH(ROWS($V$2:V509),$V$2:$V$1001,0),1)&gt;=100000,INDEX($AC$1005:$AS$1005,1,MATCH(COLUMNS($AC$1006:AL1006),$AC$1006:$AS$1006,0))&gt;=100000), " ",IF(INDEX($AC$2:$AS$1001,MATCH(ROWS($V$2:V509),$V$2:$V$1001,0),MATCH(COLUMNS($AC$1006:AL1006),$AC$1006:$AS$1006,0)), HYPERLINK("#",""), HYPERLINK(CONCATENATE("#Metadata!", ADDRESS(INDEX($X$2:$X$1001,MATCH(ROWS($V$2:V509),$V$2:$V$1001,0),0), INDEX($AC$1004:$AS$1004,1,MATCH(COLUMNS($AC$1006:AL1006),$AC$1006:$AS$1006,0)))),"Fix")))</f>
        <v>0</v>
      </c>
      <c r="L509" s="5">
        <f>IF(OR(INDEX($W$2:$W$1001,MATCH(ROWS($V$2:V509),$V$2:$V$1001,0),1)&gt;=100000,INDEX($AC$1005:$AS$1005,1,MATCH(COLUMNS($AC$1006:AM1006),$AC$1006:$AS$1006,0))&gt;=100000), " ",IF(INDEX($AC$2:$AS$1001,MATCH(ROWS($V$2:V509),$V$2:$V$1001,0),MATCH(COLUMNS($AC$1006:AM1006),$AC$1006:$AS$1006,0)), HYPERLINK("#",""), HYPERLINK(CONCATENATE("#Metadata!", ADDRESS(INDEX($X$2:$X$1001,MATCH(ROWS($V$2:V509),$V$2:$V$1001,0),0), INDEX($AC$1004:$AS$1004,1,MATCH(COLUMNS($AC$1006:AM1006),$AC$1006:$AS$1006,0)))),"Fix")))</f>
        <v>0</v>
      </c>
      <c r="M509" s="5">
        <f>IF(OR(INDEX($W$2:$W$1001,MATCH(ROWS($V$2:V509),$V$2:$V$1001,0),1)&gt;=100000,INDEX($AC$1005:$AS$1005,1,MATCH(COLUMNS($AC$1006:AN1006),$AC$1006:$AS$1006,0))&gt;=100000), " ",IF(INDEX($AC$2:$AS$1001,MATCH(ROWS($V$2:V509),$V$2:$V$1001,0),MATCH(COLUMNS($AC$1006:AN1006),$AC$1006:$AS$1006,0)), HYPERLINK("#",""), HYPERLINK(CONCATENATE("#Metadata!", ADDRESS(INDEX($X$2:$X$1001,MATCH(ROWS($V$2:V509),$V$2:$V$1001,0),0), INDEX($AC$1004:$AS$1004,1,MATCH(COLUMNS($AC$1006:AN1006),$AC$1006:$AS$1006,0)))),"Fix")))</f>
        <v>0</v>
      </c>
      <c r="N509" s="5">
        <f>IF(OR(INDEX($W$2:$W$1001,MATCH(ROWS($V$2:V509),$V$2:$V$1001,0),1)&gt;=100000,INDEX($AC$1005:$AS$1005,1,MATCH(COLUMNS($AC$1006:AO1006),$AC$1006:$AS$1006,0))&gt;=100000), " ",IF(INDEX($AC$2:$AS$1001,MATCH(ROWS($V$2:V509),$V$2:$V$1001,0),MATCH(COLUMNS($AC$1006:AO1006),$AC$1006:$AS$1006,0)), HYPERLINK("#",""), HYPERLINK(CONCATENATE("#Metadata!", ADDRESS(INDEX($X$2:$X$1001,MATCH(ROWS($V$2:V509),$V$2:$V$1001,0),0), INDEX($AC$1004:$AS$1004,1,MATCH(COLUMNS($AC$1006:AO1006),$AC$1006:$AS$1006,0)))),"Fix")))</f>
        <v>0</v>
      </c>
      <c r="O509" s="5">
        <f>IF(OR(INDEX($W$2:$W$1001,MATCH(ROWS($V$2:V509),$V$2:$V$1001,0),1)&gt;=100000,INDEX($AC$1005:$AS$1005,1,MATCH(COLUMNS($AC$1006:AP1006),$AC$1006:$AS$1006,0))&gt;=100000), " ",IF(INDEX($AC$2:$AS$1001,MATCH(ROWS($V$2:V509),$V$2:$V$1001,0),MATCH(COLUMNS($AC$1006:AP1006),$AC$1006:$AS$1006,0)), HYPERLINK("#",""), HYPERLINK(CONCATENATE("#Metadata!", ADDRESS(INDEX($X$2:$X$1001,MATCH(ROWS($V$2:V509),$V$2:$V$1001,0),0), INDEX($AC$1004:$AS$1004,1,MATCH(COLUMNS($AC$1006:AP1006),$AC$1006:$AS$1006,0)))),"Fix")))</f>
        <v>0</v>
      </c>
      <c r="P509" s="5">
        <f>IF(OR(INDEX($W$2:$W$1001,MATCH(ROWS($V$2:V509),$V$2:$V$1001,0),1)&gt;=100000,INDEX($AC$1005:$AS$1005,1,MATCH(COLUMNS($AC$1006:AQ1006),$AC$1006:$AS$1006,0))&gt;=100000), " ",IF(INDEX($AC$2:$AS$1001,MATCH(ROWS($V$2:V509),$V$2:$V$1001,0),MATCH(COLUMNS($AC$1006:AQ1006),$AC$1006:$AS$1006,0)), HYPERLINK("#",""), HYPERLINK(CONCATENATE("#Metadata!", ADDRESS(INDEX($X$2:$X$1001,MATCH(ROWS($V$2:V509),$V$2:$V$1001,0),0), INDEX($AC$1004:$AS$1004,1,MATCH(COLUMNS($AC$1006:AQ1006),$AC$1006:$AS$1006,0)))),"Fix")))</f>
        <v>0</v>
      </c>
      <c r="Q509" s="5">
        <f>IF(OR(INDEX($W$2:$W$1001,MATCH(ROWS($V$2:V509),$V$2:$V$1001,0),1)&gt;=100000,INDEX($AC$1005:$AS$1005,1,MATCH(COLUMNS($AC$1006:AR1006),$AC$1006:$AS$1006,0))&gt;=100000), " ",IF(INDEX($AC$2:$AS$1001,MATCH(ROWS($V$2:V509),$V$2:$V$1001,0),MATCH(COLUMNS($AC$1006:AR1006),$AC$1006:$AS$1006,0)), HYPERLINK("#",""), HYPERLINK(CONCATENATE("#Metadata!", ADDRESS(INDEX($X$2:$X$1001,MATCH(ROWS($V$2:V509),$V$2:$V$1001,0),0), INDEX($AC$1004:$AS$1004,1,MATCH(COLUMNS($AC$1006:AR1006),$AC$1006:$AS$1006,0)))),"Fix")))</f>
        <v>0</v>
      </c>
      <c r="R509" s="5">
        <f>IF(OR(INDEX($W$2:$W$1001,MATCH(ROWS($V$2:V509),$V$2:$V$1001,0),1)&gt;=100000,INDEX($AC$1005:$AS$1005,1,MATCH(COLUMNS($AC$1006:AS1006),$AC$1006:$AS$1006,0))&gt;=100000), " ",IF(INDEX($AC$2:$AS$1001,MATCH(ROWS($V$2:V509),$V$2:$V$1001,0),MATCH(COLUMNS($AC$1006:AS1006),$AC$1006:$AS$1006,0)), HYPERLINK("#",""), HYPERLINK(CONCATENATE("#Metadata!", ADDRESS(INDEX($X$2:$X$1001,MATCH(ROWS($V$2:V509),$V$2:$V$1001,0),0), INDEX($AC$1004:$AS$1004,1,MATCH(COLUMNS($AC$1006:AS1006),$AC$1006:$AS$1006,0)))),"Fix")))</f>
        <v>0</v>
      </c>
      <c r="V509">
        <v>0</v>
      </c>
      <c r="W509">
        <v>0</v>
      </c>
      <c r="X509">
        <v>0</v>
      </c>
      <c r="Y509">
        <f>IF(Z509,TRUE,AND(AC509:AS509))</f>
        <v>0</v>
      </c>
      <c r="Z509">
        <f>COUNTBLANK(Metadata!B509:R509)=COLUMNS(Metadata!B509:R509)</f>
        <v>0</v>
      </c>
      <c r="AA509">
        <v>0</v>
      </c>
      <c r="AC509">
        <f>AND(IF(Metadata!B509="",FALSE,TRUE),COUNTIF(Metadata!B:B, Metadata!B509) = 1,NOT(ISERROR(SUMPRODUCT(SEARCH(MID(Metadata!B509,ROW(INDIRECT("1:"&amp;LEN(Metadata!B509))), 1),"0123456789abcdefghijklmnopqrstuvwxyzABCDEFGHIJKLMNOPQRSTUVWXYZ.")))))</f>
        <v>0</v>
      </c>
      <c r="AD509">
        <f>AND(IF(Metadata!C509="",FALSE,TRUE),exact(Metadata!C509,"Host-associated"))</f>
        <v>0</v>
      </c>
      <c r="AE509">
        <f>AND(IF(Metadata!D509="",FALSE,TRUE),OR(exact(Metadata!D509,"Animal"),exact(Metadata!D509,"Fungus"),exact(Metadata!D509,"Plant")))</f>
        <v>0</v>
      </c>
      <c r="AF509">
        <f>AND(IF(Metadata!E509="",FALSE,TRUE),OR(exact(Metadata!E509,"Plant secretion"),exact(Metadata!E509,"Plant rhizosphere"),exact(Metadata!E509,"Plant surface"),exact(Metadata!E509,"Plant corpus"),exact(Metadata!E509,"Fungus surface"),exact(Metadata!E509,"Fungus corpus"),exact(Metadata!E509,"Animal surface"),exact(Metadata!E509,"Animal proximal gut"),exact(Metadata!E509,"Animal corpus"),exact(Metadata!E509,"Animal distal gut"),exact(Metadata!E509,"Animal secretion")))</f>
        <v>0</v>
      </c>
      <c r="AG509">
        <f>OR(AND(IF(Metadata!F509="",FALSE,TRUE),OR(exact(Metadata!F509,"not collected"),exact(Metadata!F509,"not provided"),exact(Metadata!F509,"restricted access"))),AND(IF(Metadata!F509="",FALSE,TRUE),OR(exact(Metadata!F509,"organism-associated habitat"),exact(Metadata!F509,"plant-associated habitat"),exact(Metadata!F509,"animal-associated habitat"),exact(Metadata!F509,"insecta-associated habitat"),exact(Metadata!F509,"mammalia-associated habitat"),exact(Metadata!F509,"human-associated habitat"),exact(Metadata!F509,"livestock-associated habitat"))))</f>
        <v>0</v>
      </c>
      <c r="AH509">
        <f>AND(IF(Metadata!G509="",FALSE,TRUE),exact(Metadata!G509,"host-associated"))</f>
        <v>0</v>
      </c>
      <c r="AI509">
        <f>OR(AND(IF(Metadata!H509="",FALSE,TRUE),OR(exact(Metadata!H509,"not collected"),exact(Metadata!H509,"not provided"))),AND(IF(Metadata!H509="",FALSE,ISNUMBER(VALUE(Metadata!H509))),Metadata!H509&gt;0))</f>
        <v>0</v>
      </c>
      <c r="AJ509">
        <f>AND(IF(Metadata!I509="",FALSE,TRUE),exact(Metadata!I509,"years"))</f>
        <v>0</v>
      </c>
      <c r="AK509">
        <f>IF(Metadata!J509="",FALSE,TRUE)</f>
        <v>0</v>
      </c>
      <c r="AL509">
        <f>OR(AND(IF(Metadata!K509="",FALSE,TRUE),OR(exact(Metadata!K509,"not collected"),exact(Metadata!K509,"not provided"))),AND(IF(Metadata!K509="",FALSE,ISNUMBER(VALUE(Metadata!K509))),Metadata!K509&gt;0))</f>
        <v>0</v>
      </c>
      <c r="AM509">
        <f>AND(IF(Metadata!L509="",FALSE,TRUE),exact(Metadata!L509,"cm"))</f>
        <v>0</v>
      </c>
      <c r="AN509">
        <f>IF(Metadata!M509="",FALSE,TRUE)</f>
        <v>0</v>
      </c>
      <c r="AO509">
        <f>OR(AND(IF(Metadata!N509="",FALSE,TRUE),OR(exact(Metadata!N509,"not applicable"),exact(Metadata!N509,"not collected"),exact(Metadata!N509,"not provided"))),AND(IF(Metadata!N509="",FALSE,IF(ISERROR(INT(Metadata!N509)),FALSE,INT(Metadata!N509)=Metadata!N509)),Metadata!N509&gt;0))</f>
        <v>0</v>
      </c>
      <c r="AP509">
        <f>OR(AND(IF(Metadata!O509="",FALSE,TRUE),OR(exact(Metadata!O509,"not collected"),exact(Metadata!O509,"not provided"))),AND(IF(Metadata!O509="",FALSE,ISNUMBER(VALUE(Metadata!O509))),Metadata!O509&gt;0))</f>
        <v>0</v>
      </c>
      <c r="AQ509">
        <f>AND(IF(Metadata!P509="",FALSE,TRUE),exact(Metadata!P509,"kg"))</f>
        <v>0</v>
      </c>
      <c r="AR509">
        <f>OR(AND(IF(Metadata!Q509="",FALSE,TRUE),OR(exact(Metadata!Q509,"not applicable"),exact(Metadata!Q509,"not collected"),exact(Metadata!Q509,"not provided"),exact(Metadata!Q509,"restricted access"))),IF(Metadata!Q509="",FALSE,IF(ISERROR(INT(Metadata!Q509)),FALSE,INT(Metadata!Q509)=Metadata!Q509)))</f>
        <v>0</v>
      </c>
      <c r="AS509">
        <f>AND(IF(Metadata!R509="",FALSE,TRUE),exact(Metadata!R509,"Not applicable"))</f>
        <v>0</v>
      </c>
    </row>
    <row r="510" spans="1:45">
      <c r="A510" s="4">
        <f>IF(B510=" "," ",HYPERLINK(CONCATENATE("#metadata!",ADDRESS(INDEX($X$2:$X$1001,MATCH(ROWS($V$2:V510),$V$2:$V$1001,0),0),2)),INDEX($AA$2:$AA$1001,MATCH(ROWS($V$2:V510),$V$2:$V$1001,0),0)))</f>
        <v>0</v>
      </c>
      <c r="B510" s="5">
        <f>IF(OR(INDEX($W$2:$W$1001,MATCH(ROWS($V$2:V510),$V$2:$V$1001,0),1)&gt;=100000,INDEX($AC$1005:$AS$1005,1,MATCH(COLUMNS($AC$1006:AC1006),$AC$1006:$AS$1006,0))&gt;=100000), " ",IF(INDEX($AC$2:$AS$1001,MATCH(ROWS($V$2:V510),$V$2:$V$1001,0),MATCH(COLUMNS($AC$1006:AC1006),$AC$1006:$AS$1006,0)), HYPERLINK("#",""), HYPERLINK(CONCATENATE("#Metadata!", ADDRESS(INDEX($X$2:$X$1001,MATCH(ROWS($V$2:V510),$V$2:$V$1001,0),0), INDEX($AC$1004:$AS$1004,1,MATCH(COLUMNS($AC$1006:AC1006),$AC$1006:$AS$1006,0)))),"Fix")))</f>
        <v>0</v>
      </c>
      <c r="C510" s="5">
        <f>IF(OR(INDEX($W$2:$W$1001,MATCH(ROWS($V$2:V510),$V$2:$V$1001,0),1)&gt;=100000,INDEX($AC$1005:$AS$1005,1,MATCH(COLUMNS($AC$1006:AD1006),$AC$1006:$AS$1006,0))&gt;=100000), " ",IF(INDEX($AC$2:$AS$1001,MATCH(ROWS($V$2:V510),$V$2:$V$1001,0),MATCH(COLUMNS($AC$1006:AD1006),$AC$1006:$AS$1006,0)), HYPERLINK("#",""), HYPERLINK(CONCATENATE("#Metadata!", ADDRESS(INDEX($X$2:$X$1001,MATCH(ROWS($V$2:V510),$V$2:$V$1001,0),0), INDEX($AC$1004:$AS$1004,1,MATCH(COLUMNS($AC$1006:AD1006),$AC$1006:$AS$1006,0)))),"Fix")))</f>
        <v>0</v>
      </c>
      <c r="D510" s="5">
        <f>IF(OR(INDEX($W$2:$W$1001,MATCH(ROWS($V$2:V510),$V$2:$V$1001,0),1)&gt;=100000,INDEX($AC$1005:$AS$1005,1,MATCH(COLUMNS($AC$1006:AE1006),$AC$1006:$AS$1006,0))&gt;=100000), " ",IF(INDEX($AC$2:$AS$1001,MATCH(ROWS($V$2:V510),$V$2:$V$1001,0),MATCH(COLUMNS($AC$1006:AE1006),$AC$1006:$AS$1006,0)), HYPERLINK("#",""), HYPERLINK(CONCATENATE("#Metadata!", ADDRESS(INDEX($X$2:$X$1001,MATCH(ROWS($V$2:V510),$V$2:$V$1001,0),0), INDEX($AC$1004:$AS$1004,1,MATCH(COLUMNS($AC$1006:AE1006),$AC$1006:$AS$1006,0)))),"Fix")))</f>
        <v>0</v>
      </c>
      <c r="E510" s="5">
        <f>IF(OR(INDEX($W$2:$W$1001,MATCH(ROWS($V$2:V510),$V$2:$V$1001,0),1)&gt;=100000,INDEX($AC$1005:$AS$1005,1,MATCH(COLUMNS($AC$1006:AF1006),$AC$1006:$AS$1006,0))&gt;=100000), " ",IF(INDEX($AC$2:$AS$1001,MATCH(ROWS($V$2:V510),$V$2:$V$1001,0),MATCH(COLUMNS($AC$1006:AF1006),$AC$1006:$AS$1006,0)), HYPERLINK("#",""), HYPERLINK(CONCATENATE("#Metadata!", ADDRESS(INDEX($X$2:$X$1001,MATCH(ROWS($V$2:V510),$V$2:$V$1001,0),0), INDEX($AC$1004:$AS$1004,1,MATCH(COLUMNS($AC$1006:AF1006),$AC$1006:$AS$1006,0)))),"Fix")))</f>
        <v>0</v>
      </c>
      <c r="F510" s="5">
        <f>IF(OR(INDEX($W$2:$W$1001,MATCH(ROWS($V$2:V510),$V$2:$V$1001,0),1)&gt;=100000,INDEX($AC$1005:$AS$1005,1,MATCH(COLUMNS($AC$1006:AG1006),$AC$1006:$AS$1006,0))&gt;=100000), " ",IF(INDEX($AC$2:$AS$1001,MATCH(ROWS($V$2:V510),$V$2:$V$1001,0),MATCH(COLUMNS($AC$1006:AG1006),$AC$1006:$AS$1006,0)), HYPERLINK("#",""), HYPERLINK(CONCATENATE("#Metadata!", ADDRESS(INDEX($X$2:$X$1001,MATCH(ROWS($V$2:V510),$V$2:$V$1001,0),0), INDEX($AC$1004:$AS$1004,1,MATCH(COLUMNS($AC$1006:AG1006),$AC$1006:$AS$1006,0)))),"Fix")))</f>
        <v>0</v>
      </c>
      <c r="G510" s="5">
        <f>IF(OR(INDEX($W$2:$W$1001,MATCH(ROWS($V$2:V510),$V$2:$V$1001,0),1)&gt;=100000,INDEX($AC$1005:$AS$1005,1,MATCH(COLUMNS($AC$1006:AH1006),$AC$1006:$AS$1006,0))&gt;=100000), " ",IF(INDEX($AC$2:$AS$1001,MATCH(ROWS($V$2:V510),$V$2:$V$1001,0),MATCH(COLUMNS($AC$1006:AH1006),$AC$1006:$AS$1006,0)), HYPERLINK("#",""), HYPERLINK(CONCATENATE("#Metadata!", ADDRESS(INDEX($X$2:$X$1001,MATCH(ROWS($V$2:V510),$V$2:$V$1001,0),0), INDEX($AC$1004:$AS$1004,1,MATCH(COLUMNS($AC$1006:AH1006),$AC$1006:$AS$1006,0)))),"Fix")))</f>
        <v>0</v>
      </c>
      <c r="H510" s="5">
        <f>IF(OR(INDEX($W$2:$W$1001,MATCH(ROWS($V$2:V510),$V$2:$V$1001,0),1)&gt;=100000,INDEX($AC$1005:$AS$1005,1,MATCH(COLUMNS($AC$1006:AI1006),$AC$1006:$AS$1006,0))&gt;=100000), " ",IF(INDEX($AC$2:$AS$1001,MATCH(ROWS($V$2:V510),$V$2:$V$1001,0),MATCH(COLUMNS($AC$1006:AI1006),$AC$1006:$AS$1006,0)), HYPERLINK("#",""), HYPERLINK(CONCATENATE("#Metadata!", ADDRESS(INDEX($X$2:$X$1001,MATCH(ROWS($V$2:V510),$V$2:$V$1001,0),0), INDEX($AC$1004:$AS$1004,1,MATCH(COLUMNS($AC$1006:AI1006),$AC$1006:$AS$1006,0)))),"Fix")))</f>
        <v>0</v>
      </c>
      <c r="I510" s="5">
        <f>IF(OR(INDEX($W$2:$W$1001,MATCH(ROWS($V$2:V510),$V$2:$V$1001,0),1)&gt;=100000,INDEX($AC$1005:$AS$1005,1,MATCH(COLUMNS($AC$1006:AJ1006),$AC$1006:$AS$1006,0))&gt;=100000), " ",IF(INDEX($AC$2:$AS$1001,MATCH(ROWS($V$2:V510),$V$2:$V$1001,0),MATCH(COLUMNS($AC$1006:AJ1006),$AC$1006:$AS$1006,0)), HYPERLINK("#",""), HYPERLINK(CONCATENATE("#Metadata!", ADDRESS(INDEX($X$2:$X$1001,MATCH(ROWS($V$2:V510),$V$2:$V$1001,0),0), INDEX($AC$1004:$AS$1004,1,MATCH(COLUMNS($AC$1006:AJ1006),$AC$1006:$AS$1006,0)))),"Fix")))</f>
        <v>0</v>
      </c>
      <c r="J510" s="5">
        <f>IF(OR(INDEX($W$2:$W$1001,MATCH(ROWS($V$2:V510),$V$2:$V$1001,0),1)&gt;=100000,INDEX($AC$1005:$AS$1005,1,MATCH(COLUMNS($AC$1006:AK1006),$AC$1006:$AS$1006,0))&gt;=100000), " ",IF(INDEX($AC$2:$AS$1001,MATCH(ROWS($V$2:V510),$V$2:$V$1001,0),MATCH(COLUMNS($AC$1006:AK1006),$AC$1006:$AS$1006,0)), HYPERLINK("#",""), HYPERLINK(CONCATENATE("#Metadata!", ADDRESS(INDEX($X$2:$X$1001,MATCH(ROWS($V$2:V510),$V$2:$V$1001,0),0), INDEX($AC$1004:$AS$1004,1,MATCH(COLUMNS($AC$1006:AK1006),$AC$1006:$AS$1006,0)))),"Fix")))</f>
        <v>0</v>
      </c>
      <c r="K510" s="5">
        <f>IF(OR(INDEX($W$2:$W$1001,MATCH(ROWS($V$2:V510),$V$2:$V$1001,0),1)&gt;=100000,INDEX($AC$1005:$AS$1005,1,MATCH(COLUMNS($AC$1006:AL1006),$AC$1006:$AS$1006,0))&gt;=100000), " ",IF(INDEX($AC$2:$AS$1001,MATCH(ROWS($V$2:V510),$V$2:$V$1001,0),MATCH(COLUMNS($AC$1006:AL1006),$AC$1006:$AS$1006,0)), HYPERLINK("#",""), HYPERLINK(CONCATENATE("#Metadata!", ADDRESS(INDEX($X$2:$X$1001,MATCH(ROWS($V$2:V510),$V$2:$V$1001,0),0), INDEX($AC$1004:$AS$1004,1,MATCH(COLUMNS($AC$1006:AL1006),$AC$1006:$AS$1006,0)))),"Fix")))</f>
        <v>0</v>
      </c>
      <c r="L510" s="5">
        <f>IF(OR(INDEX($W$2:$W$1001,MATCH(ROWS($V$2:V510),$V$2:$V$1001,0),1)&gt;=100000,INDEX($AC$1005:$AS$1005,1,MATCH(COLUMNS($AC$1006:AM1006),$AC$1006:$AS$1006,0))&gt;=100000), " ",IF(INDEX($AC$2:$AS$1001,MATCH(ROWS($V$2:V510),$V$2:$V$1001,0),MATCH(COLUMNS($AC$1006:AM1006),$AC$1006:$AS$1006,0)), HYPERLINK("#",""), HYPERLINK(CONCATENATE("#Metadata!", ADDRESS(INDEX($X$2:$X$1001,MATCH(ROWS($V$2:V510),$V$2:$V$1001,0),0), INDEX($AC$1004:$AS$1004,1,MATCH(COLUMNS($AC$1006:AM1006),$AC$1006:$AS$1006,0)))),"Fix")))</f>
        <v>0</v>
      </c>
      <c r="M510" s="5">
        <f>IF(OR(INDEX($W$2:$W$1001,MATCH(ROWS($V$2:V510),$V$2:$V$1001,0),1)&gt;=100000,INDEX($AC$1005:$AS$1005,1,MATCH(COLUMNS($AC$1006:AN1006),$AC$1006:$AS$1006,0))&gt;=100000), " ",IF(INDEX($AC$2:$AS$1001,MATCH(ROWS($V$2:V510),$V$2:$V$1001,0),MATCH(COLUMNS($AC$1006:AN1006),$AC$1006:$AS$1006,0)), HYPERLINK("#",""), HYPERLINK(CONCATENATE("#Metadata!", ADDRESS(INDEX($X$2:$X$1001,MATCH(ROWS($V$2:V510),$V$2:$V$1001,0),0), INDEX($AC$1004:$AS$1004,1,MATCH(COLUMNS($AC$1006:AN1006),$AC$1006:$AS$1006,0)))),"Fix")))</f>
        <v>0</v>
      </c>
      <c r="N510" s="5">
        <f>IF(OR(INDEX($W$2:$W$1001,MATCH(ROWS($V$2:V510),$V$2:$V$1001,0),1)&gt;=100000,INDEX($AC$1005:$AS$1005,1,MATCH(COLUMNS($AC$1006:AO1006),$AC$1006:$AS$1006,0))&gt;=100000), " ",IF(INDEX($AC$2:$AS$1001,MATCH(ROWS($V$2:V510),$V$2:$V$1001,0),MATCH(COLUMNS($AC$1006:AO1006),$AC$1006:$AS$1006,0)), HYPERLINK("#",""), HYPERLINK(CONCATENATE("#Metadata!", ADDRESS(INDEX($X$2:$X$1001,MATCH(ROWS($V$2:V510),$V$2:$V$1001,0),0), INDEX($AC$1004:$AS$1004,1,MATCH(COLUMNS($AC$1006:AO1006),$AC$1006:$AS$1006,0)))),"Fix")))</f>
        <v>0</v>
      </c>
      <c r="O510" s="5">
        <f>IF(OR(INDEX($W$2:$W$1001,MATCH(ROWS($V$2:V510),$V$2:$V$1001,0),1)&gt;=100000,INDEX($AC$1005:$AS$1005,1,MATCH(COLUMNS($AC$1006:AP1006),$AC$1006:$AS$1006,0))&gt;=100000), " ",IF(INDEX($AC$2:$AS$1001,MATCH(ROWS($V$2:V510),$V$2:$V$1001,0),MATCH(COLUMNS($AC$1006:AP1006),$AC$1006:$AS$1006,0)), HYPERLINK("#",""), HYPERLINK(CONCATENATE("#Metadata!", ADDRESS(INDEX($X$2:$X$1001,MATCH(ROWS($V$2:V510),$V$2:$V$1001,0),0), INDEX($AC$1004:$AS$1004,1,MATCH(COLUMNS($AC$1006:AP1006),$AC$1006:$AS$1006,0)))),"Fix")))</f>
        <v>0</v>
      </c>
      <c r="P510" s="5">
        <f>IF(OR(INDEX($W$2:$W$1001,MATCH(ROWS($V$2:V510),$V$2:$V$1001,0),1)&gt;=100000,INDEX($AC$1005:$AS$1005,1,MATCH(COLUMNS($AC$1006:AQ1006),$AC$1006:$AS$1006,0))&gt;=100000), " ",IF(INDEX($AC$2:$AS$1001,MATCH(ROWS($V$2:V510),$V$2:$V$1001,0),MATCH(COLUMNS($AC$1006:AQ1006),$AC$1006:$AS$1006,0)), HYPERLINK("#",""), HYPERLINK(CONCATENATE("#Metadata!", ADDRESS(INDEX($X$2:$X$1001,MATCH(ROWS($V$2:V510),$V$2:$V$1001,0),0), INDEX($AC$1004:$AS$1004,1,MATCH(COLUMNS($AC$1006:AQ1006),$AC$1006:$AS$1006,0)))),"Fix")))</f>
        <v>0</v>
      </c>
      <c r="Q510" s="5">
        <f>IF(OR(INDEX($W$2:$W$1001,MATCH(ROWS($V$2:V510),$V$2:$V$1001,0),1)&gt;=100000,INDEX($AC$1005:$AS$1005,1,MATCH(COLUMNS($AC$1006:AR1006),$AC$1006:$AS$1006,0))&gt;=100000), " ",IF(INDEX($AC$2:$AS$1001,MATCH(ROWS($V$2:V510),$V$2:$V$1001,0),MATCH(COLUMNS($AC$1006:AR1006),$AC$1006:$AS$1006,0)), HYPERLINK("#",""), HYPERLINK(CONCATENATE("#Metadata!", ADDRESS(INDEX($X$2:$X$1001,MATCH(ROWS($V$2:V510),$V$2:$V$1001,0),0), INDEX($AC$1004:$AS$1004,1,MATCH(COLUMNS($AC$1006:AR1006),$AC$1006:$AS$1006,0)))),"Fix")))</f>
        <v>0</v>
      </c>
      <c r="R510" s="5">
        <f>IF(OR(INDEX($W$2:$W$1001,MATCH(ROWS($V$2:V510),$V$2:$V$1001,0),1)&gt;=100000,INDEX($AC$1005:$AS$1005,1,MATCH(COLUMNS($AC$1006:AS1006),$AC$1006:$AS$1006,0))&gt;=100000), " ",IF(INDEX($AC$2:$AS$1001,MATCH(ROWS($V$2:V510),$V$2:$V$1001,0),MATCH(COLUMNS($AC$1006:AS1006),$AC$1006:$AS$1006,0)), HYPERLINK("#",""), HYPERLINK(CONCATENATE("#Metadata!", ADDRESS(INDEX($X$2:$X$1001,MATCH(ROWS($V$2:V510),$V$2:$V$1001,0),0), INDEX($AC$1004:$AS$1004,1,MATCH(COLUMNS($AC$1006:AS1006),$AC$1006:$AS$1006,0)))),"Fix")))</f>
        <v>0</v>
      </c>
      <c r="V510">
        <v>0</v>
      </c>
      <c r="W510">
        <v>0</v>
      </c>
      <c r="X510">
        <v>0</v>
      </c>
      <c r="Y510">
        <f>IF(Z510,TRUE,AND(AC510:AS510))</f>
        <v>0</v>
      </c>
      <c r="Z510">
        <f>COUNTBLANK(Metadata!B510:R510)=COLUMNS(Metadata!B510:R510)</f>
        <v>0</v>
      </c>
      <c r="AA510">
        <v>0</v>
      </c>
      <c r="AC510">
        <f>AND(IF(Metadata!B510="",FALSE,TRUE),COUNTIF(Metadata!B:B, Metadata!B510) = 1,NOT(ISERROR(SUMPRODUCT(SEARCH(MID(Metadata!B510,ROW(INDIRECT("1:"&amp;LEN(Metadata!B510))), 1),"0123456789abcdefghijklmnopqrstuvwxyzABCDEFGHIJKLMNOPQRSTUVWXYZ.")))))</f>
        <v>0</v>
      </c>
      <c r="AD510">
        <f>AND(IF(Metadata!C510="",FALSE,TRUE),exact(Metadata!C510,"Host-associated"))</f>
        <v>0</v>
      </c>
      <c r="AE510">
        <f>AND(IF(Metadata!D510="",FALSE,TRUE),OR(exact(Metadata!D510,"Animal"),exact(Metadata!D510,"Fungus"),exact(Metadata!D510,"Plant")))</f>
        <v>0</v>
      </c>
      <c r="AF510">
        <f>AND(IF(Metadata!E510="",FALSE,TRUE),OR(exact(Metadata!E510,"Plant secretion"),exact(Metadata!E510,"Plant rhizosphere"),exact(Metadata!E510,"Plant surface"),exact(Metadata!E510,"Plant corpus"),exact(Metadata!E510,"Fungus surface"),exact(Metadata!E510,"Fungus corpus"),exact(Metadata!E510,"Animal surface"),exact(Metadata!E510,"Animal proximal gut"),exact(Metadata!E510,"Animal corpus"),exact(Metadata!E510,"Animal distal gut"),exact(Metadata!E510,"Animal secretion")))</f>
        <v>0</v>
      </c>
      <c r="AG510">
        <f>OR(AND(IF(Metadata!F510="",FALSE,TRUE),OR(exact(Metadata!F510,"not collected"),exact(Metadata!F510,"not provided"),exact(Metadata!F510,"restricted access"))),AND(IF(Metadata!F510="",FALSE,TRUE),OR(exact(Metadata!F510,"organism-associated habitat"),exact(Metadata!F510,"plant-associated habitat"),exact(Metadata!F510,"animal-associated habitat"),exact(Metadata!F510,"insecta-associated habitat"),exact(Metadata!F510,"mammalia-associated habitat"),exact(Metadata!F510,"human-associated habitat"),exact(Metadata!F510,"livestock-associated habitat"))))</f>
        <v>0</v>
      </c>
      <c r="AH510">
        <f>AND(IF(Metadata!G510="",FALSE,TRUE),exact(Metadata!G510,"host-associated"))</f>
        <v>0</v>
      </c>
      <c r="AI510">
        <f>OR(AND(IF(Metadata!H510="",FALSE,TRUE),OR(exact(Metadata!H510,"not collected"),exact(Metadata!H510,"not provided"))),AND(IF(Metadata!H510="",FALSE,ISNUMBER(VALUE(Metadata!H510))),Metadata!H510&gt;0))</f>
        <v>0</v>
      </c>
      <c r="AJ510">
        <f>AND(IF(Metadata!I510="",FALSE,TRUE),exact(Metadata!I510,"years"))</f>
        <v>0</v>
      </c>
      <c r="AK510">
        <f>IF(Metadata!J510="",FALSE,TRUE)</f>
        <v>0</v>
      </c>
      <c r="AL510">
        <f>OR(AND(IF(Metadata!K510="",FALSE,TRUE),OR(exact(Metadata!K510,"not collected"),exact(Metadata!K510,"not provided"))),AND(IF(Metadata!K510="",FALSE,ISNUMBER(VALUE(Metadata!K510))),Metadata!K510&gt;0))</f>
        <v>0</v>
      </c>
      <c r="AM510">
        <f>AND(IF(Metadata!L510="",FALSE,TRUE),exact(Metadata!L510,"cm"))</f>
        <v>0</v>
      </c>
      <c r="AN510">
        <f>IF(Metadata!M510="",FALSE,TRUE)</f>
        <v>0</v>
      </c>
      <c r="AO510">
        <f>OR(AND(IF(Metadata!N510="",FALSE,TRUE),OR(exact(Metadata!N510,"not applicable"),exact(Metadata!N510,"not collected"),exact(Metadata!N510,"not provided"))),AND(IF(Metadata!N510="",FALSE,IF(ISERROR(INT(Metadata!N510)),FALSE,INT(Metadata!N510)=Metadata!N510)),Metadata!N510&gt;0))</f>
        <v>0</v>
      </c>
      <c r="AP510">
        <f>OR(AND(IF(Metadata!O510="",FALSE,TRUE),OR(exact(Metadata!O510,"not collected"),exact(Metadata!O510,"not provided"))),AND(IF(Metadata!O510="",FALSE,ISNUMBER(VALUE(Metadata!O510))),Metadata!O510&gt;0))</f>
        <v>0</v>
      </c>
      <c r="AQ510">
        <f>AND(IF(Metadata!P510="",FALSE,TRUE),exact(Metadata!P510,"kg"))</f>
        <v>0</v>
      </c>
      <c r="AR510">
        <f>OR(AND(IF(Metadata!Q510="",FALSE,TRUE),OR(exact(Metadata!Q510,"not applicable"),exact(Metadata!Q510,"not collected"),exact(Metadata!Q510,"not provided"),exact(Metadata!Q510,"restricted access"))),IF(Metadata!Q510="",FALSE,IF(ISERROR(INT(Metadata!Q510)),FALSE,INT(Metadata!Q510)=Metadata!Q510)))</f>
        <v>0</v>
      </c>
      <c r="AS510">
        <f>AND(IF(Metadata!R510="",FALSE,TRUE),exact(Metadata!R510,"Not applicable"))</f>
        <v>0</v>
      </c>
    </row>
    <row r="511" spans="1:45">
      <c r="A511" s="4">
        <f>IF(B511=" "," ",HYPERLINK(CONCATENATE("#metadata!",ADDRESS(INDEX($X$2:$X$1001,MATCH(ROWS($V$2:V511),$V$2:$V$1001,0),0),2)),INDEX($AA$2:$AA$1001,MATCH(ROWS($V$2:V511),$V$2:$V$1001,0),0)))</f>
        <v>0</v>
      </c>
      <c r="B511" s="5">
        <f>IF(OR(INDEX($W$2:$W$1001,MATCH(ROWS($V$2:V511),$V$2:$V$1001,0),1)&gt;=100000,INDEX($AC$1005:$AS$1005,1,MATCH(COLUMNS($AC$1006:AC1006),$AC$1006:$AS$1006,0))&gt;=100000), " ",IF(INDEX($AC$2:$AS$1001,MATCH(ROWS($V$2:V511),$V$2:$V$1001,0),MATCH(COLUMNS($AC$1006:AC1006),$AC$1006:$AS$1006,0)), HYPERLINK("#",""), HYPERLINK(CONCATENATE("#Metadata!", ADDRESS(INDEX($X$2:$X$1001,MATCH(ROWS($V$2:V511),$V$2:$V$1001,0),0), INDEX($AC$1004:$AS$1004,1,MATCH(COLUMNS($AC$1006:AC1006),$AC$1006:$AS$1006,0)))),"Fix")))</f>
        <v>0</v>
      </c>
      <c r="C511" s="5">
        <f>IF(OR(INDEX($W$2:$W$1001,MATCH(ROWS($V$2:V511),$V$2:$V$1001,0),1)&gt;=100000,INDEX($AC$1005:$AS$1005,1,MATCH(COLUMNS($AC$1006:AD1006),$AC$1006:$AS$1006,0))&gt;=100000), " ",IF(INDEX($AC$2:$AS$1001,MATCH(ROWS($V$2:V511),$V$2:$V$1001,0),MATCH(COLUMNS($AC$1006:AD1006),$AC$1006:$AS$1006,0)), HYPERLINK("#",""), HYPERLINK(CONCATENATE("#Metadata!", ADDRESS(INDEX($X$2:$X$1001,MATCH(ROWS($V$2:V511),$V$2:$V$1001,0),0), INDEX($AC$1004:$AS$1004,1,MATCH(COLUMNS($AC$1006:AD1006),$AC$1006:$AS$1006,0)))),"Fix")))</f>
        <v>0</v>
      </c>
      <c r="D511" s="5">
        <f>IF(OR(INDEX($W$2:$W$1001,MATCH(ROWS($V$2:V511),$V$2:$V$1001,0),1)&gt;=100000,INDEX($AC$1005:$AS$1005,1,MATCH(COLUMNS($AC$1006:AE1006),$AC$1006:$AS$1006,0))&gt;=100000), " ",IF(INDEX($AC$2:$AS$1001,MATCH(ROWS($V$2:V511),$V$2:$V$1001,0),MATCH(COLUMNS($AC$1006:AE1006),$AC$1006:$AS$1006,0)), HYPERLINK("#",""), HYPERLINK(CONCATENATE("#Metadata!", ADDRESS(INDEX($X$2:$X$1001,MATCH(ROWS($V$2:V511),$V$2:$V$1001,0),0), INDEX($AC$1004:$AS$1004,1,MATCH(COLUMNS($AC$1006:AE1006),$AC$1006:$AS$1006,0)))),"Fix")))</f>
        <v>0</v>
      </c>
      <c r="E511" s="5">
        <f>IF(OR(INDEX($W$2:$W$1001,MATCH(ROWS($V$2:V511),$V$2:$V$1001,0),1)&gt;=100000,INDEX($AC$1005:$AS$1005,1,MATCH(COLUMNS($AC$1006:AF1006),$AC$1006:$AS$1006,0))&gt;=100000), " ",IF(INDEX($AC$2:$AS$1001,MATCH(ROWS($V$2:V511),$V$2:$V$1001,0),MATCH(COLUMNS($AC$1006:AF1006),$AC$1006:$AS$1006,0)), HYPERLINK("#",""), HYPERLINK(CONCATENATE("#Metadata!", ADDRESS(INDEX($X$2:$X$1001,MATCH(ROWS($V$2:V511),$V$2:$V$1001,0),0), INDEX($AC$1004:$AS$1004,1,MATCH(COLUMNS($AC$1006:AF1006),$AC$1006:$AS$1006,0)))),"Fix")))</f>
        <v>0</v>
      </c>
      <c r="F511" s="5">
        <f>IF(OR(INDEX($W$2:$W$1001,MATCH(ROWS($V$2:V511),$V$2:$V$1001,0),1)&gt;=100000,INDEX($AC$1005:$AS$1005,1,MATCH(COLUMNS($AC$1006:AG1006),$AC$1006:$AS$1006,0))&gt;=100000), " ",IF(INDEX($AC$2:$AS$1001,MATCH(ROWS($V$2:V511),$V$2:$V$1001,0),MATCH(COLUMNS($AC$1006:AG1006),$AC$1006:$AS$1006,0)), HYPERLINK("#",""), HYPERLINK(CONCATENATE("#Metadata!", ADDRESS(INDEX($X$2:$X$1001,MATCH(ROWS($V$2:V511),$V$2:$V$1001,0),0), INDEX($AC$1004:$AS$1004,1,MATCH(COLUMNS($AC$1006:AG1006),$AC$1006:$AS$1006,0)))),"Fix")))</f>
        <v>0</v>
      </c>
      <c r="G511" s="5">
        <f>IF(OR(INDEX($W$2:$W$1001,MATCH(ROWS($V$2:V511),$V$2:$V$1001,0),1)&gt;=100000,INDEX($AC$1005:$AS$1005,1,MATCH(COLUMNS($AC$1006:AH1006),$AC$1006:$AS$1006,0))&gt;=100000), " ",IF(INDEX($AC$2:$AS$1001,MATCH(ROWS($V$2:V511),$V$2:$V$1001,0),MATCH(COLUMNS($AC$1006:AH1006),$AC$1006:$AS$1006,0)), HYPERLINK("#",""), HYPERLINK(CONCATENATE("#Metadata!", ADDRESS(INDEX($X$2:$X$1001,MATCH(ROWS($V$2:V511),$V$2:$V$1001,0),0), INDEX($AC$1004:$AS$1004,1,MATCH(COLUMNS($AC$1006:AH1006),$AC$1006:$AS$1006,0)))),"Fix")))</f>
        <v>0</v>
      </c>
      <c r="H511" s="5">
        <f>IF(OR(INDEX($W$2:$W$1001,MATCH(ROWS($V$2:V511),$V$2:$V$1001,0),1)&gt;=100000,INDEX($AC$1005:$AS$1005,1,MATCH(COLUMNS($AC$1006:AI1006),$AC$1006:$AS$1006,0))&gt;=100000), " ",IF(INDEX($AC$2:$AS$1001,MATCH(ROWS($V$2:V511),$V$2:$V$1001,0),MATCH(COLUMNS($AC$1006:AI1006),$AC$1006:$AS$1006,0)), HYPERLINK("#",""), HYPERLINK(CONCATENATE("#Metadata!", ADDRESS(INDEX($X$2:$X$1001,MATCH(ROWS($V$2:V511),$V$2:$V$1001,0),0), INDEX($AC$1004:$AS$1004,1,MATCH(COLUMNS($AC$1006:AI1006),$AC$1006:$AS$1006,0)))),"Fix")))</f>
        <v>0</v>
      </c>
      <c r="I511" s="5">
        <f>IF(OR(INDEX($W$2:$W$1001,MATCH(ROWS($V$2:V511),$V$2:$V$1001,0),1)&gt;=100000,INDEX($AC$1005:$AS$1005,1,MATCH(COLUMNS($AC$1006:AJ1006),$AC$1006:$AS$1006,0))&gt;=100000), " ",IF(INDEX($AC$2:$AS$1001,MATCH(ROWS($V$2:V511),$V$2:$V$1001,0),MATCH(COLUMNS($AC$1006:AJ1006),$AC$1006:$AS$1006,0)), HYPERLINK("#",""), HYPERLINK(CONCATENATE("#Metadata!", ADDRESS(INDEX($X$2:$X$1001,MATCH(ROWS($V$2:V511),$V$2:$V$1001,0),0), INDEX($AC$1004:$AS$1004,1,MATCH(COLUMNS($AC$1006:AJ1006),$AC$1006:$AS$1006,0)))),"Fix")))</f>
        <v>0</v>
      </c>
      <c r="J511" s="5">
        <f>IF(OR(INDEX($W$2:$W$1001,MATCH(ROWS($V$2:V511),$V$2:$V$1001,0),1)&gt;=100000,INDEX($AC$1005:$AS$1005,1,MATCH(COLUMNS($AC$1006:AK1006),$AC$1006:$AS$1006,0))&gt;=100000), " ",IF(INDEX($AC$2:$AS$1001,MATCH(ROWS($V$2:V511),$V$2:$V$1001,0),MATCH(COLUMNS($AC$1006:AK1006),$AC$1006:$AS$1006,0)), HYPERLINK("#",""), HYPERLINK(CONCATENATE("#Metadata!", ADDRESS(INDEX($X$2:$X$1001,MATCH(ROWS($V$2:V511),$V$2:$V$1001,0),0), INDEX($AC$1004:$AS$1004,1,MATCH(COLUMNS($AC$1006:AK1006),$AC$1006:$AS$1006,0)))),"Fix")))</f>
        <v>0</v>
      </c>
      <c r="K511" s="5">
        <f>IF(OR(INDEX($W$2:$W$1001,MATCH(ROWS($V$2:V511),$V$2:$V$1001,0),1)&gt;=100000,INDEX($AC$1005:$AS$1005,1,MATCH(COLUMNS($AC$1006:AL1006),$AC$1006:$AS$1006,0))&gt;=100000), " ",IF(INDEX($AC$2:$AS$1001,MATCH(ROWS($V$2:V511),$V$2:$V$1001,0),MATCH(COLUMNS($AC$1006:AL1006),$AC$1006:$AS$1006,0)), HYPERLINK("#",""), HYPERLINK(CONCATENATE("#Metadata!", ADDRESS(INDEX($X$2:$X$1001,MATCH(ROWS($V$2:V511),$V$2:$V$1001,0),0), INDEX($AC$1004:$AS$1004,1,MATCH(COLUMNS($AC$1006:AL1006),$AC$1006:$AS$1006,0)))),"Fix")))</f>
        <v>0</v>
      </c>
      <c r="L511" s="5">
        <f>IF(OR(INDEX($W$2:$W$1001,MATCH(ROWS($V$2:V511),$V$2:$V$1001,0),1)&gt;=100000,INDEX($AC$1005:$AS$1005,1,MATCH(COLUMNS($AC$1006:AM1006),$AC$1006:$AS$1006,0))&gt;=100000), " ",IF(INDEX($AC$2:$AS$1001,MATCH(ROWS($V$2:V511),$V$2:$V$1001,0),MATCH(COLUMNS($AC$1006:AM1006),$AC$1006:$AS$1006,0)), HYPERLINK("#",""), HYPERLINK(CONCATENATE("#Metadata!", ADDRESS(INDEX($X$2:$X$1001,MATCH(ROWS($V$2:V511),$V$2:$V$1001,0),0), INDEX($AC$1004:$AS$1004,1,MATCH(COLUMNS($AC$1006:AM1006),$AC$1006:$AS$1006,0)))),"Fix")))</f>
        <v>0</v>
      </c>
      <c r="M511" s="5">
        <f>IF(OR(INDEX($W$2:$W$1001,MATCH(ROWS($V$2:V511),$V$2:$V$1001,0),1)&gt;=100000,INDEX($AC$1005:$AS$1005,1,MATCH(COLUMNS($AC$1006:AN1006),$AC$1006:$AS$1006,0))&gt;=100000), " ",IF(INDEX($AC$2:$AS$1001,MATCH(ROWS($V$2:V511),$V$2:$V$1001,0),MATCH(COLUMNS($AC$1006:AN1006),$AC$1006:$AS$1006,0)), HYPERLINK("#",""), HYPERLINK(CONCATENATE("#Metadata!", ADDRESS(INDEX($X$2:$X$1001,MATCH(ROWS($V$2:V511),$V$2:$V$1001,0),0), INDEX($AC$1004:$AS$1004,1,MATCH(COLUMNS($AC$1006:AN1006),$AC$1006:$AS$1006,0)))),"Fix")))</f>
        <v>0</v>
      </c>
      <c r="N511" s="5">
        <f>IF(OR(INDEX($W$2:$W$1001,MATCH(ROWS($V$2:V511),$V$2:$V$1001,0),1)&gt;=100000,INDEX($AC$1005:$AS$1005,1,MATCH(COLUMNS($AC$1006:AO1006),$AC$1006:$AS$1006,0))&gt;=100000), " ",IF(INDEX($AC$2:$AS$1001,MATCH(ROWS($V$2:V511),$V$2:$V$1001,0),MATCH(COLUMNS($AC$1006:AO1006),$AC$1006:$AS$1006,0)), HYPERLINK("#",""), HYPERLINK(CONCATENATE("#Metadata!", ADDRESS(INDEX($X$2:$X$1001,MATCH(ROWS($V$2:V511),$V$2:$V$1001,0),0), INDEX($AC$1004:$AS$1004,1,MATCH(COLUMNS($AC$1006:AO1006),$AC$1006:$AS$1006,0)))),"Fix")))</f>
        <v>0</v>
      </c>
      <c r="O511" s="5">
        <f>IF(OR(INDEX($W$2:$W$1001,MATCH(ROWS($V$2:V511),$V$2:$V$1001,0),1)&gt;=100000,INDEX($AC$1005:$AS$1005,1,MATCH(COLUMNS($AC$1006:AP1006),$AC$1006:$AS$1006,0))&gt;=100000), " ",IF(INDEX($AC$2:$AS$1001,MATCH(ROWS($V$2:V511),$V$2:$V$1001,0),MATCH(COLUMNS($AC$1006:AP1006),$AC$1006:$AS$1006,0)), HYPERLINK("#",""), HYPERLINK(CONCATENATE("#Metadata!", ADDRESS(INDEX($X$2:$X$1001,MATCH(ROWS($V$2:V511),$V$2:$V$1001,0),0), INDEX($AC$1004:$AS$1004,1,MATCH(COLUMNS($AC$1006:AP1006),$AC$1006:$AS$1006,0)))),"Fix")))</f>
        <v>0</v>
      </c>
      <c r="P511" s="5">
        <f>IF(OR(INDEX($W$2:$W$1001,MATCH(ROWS($V$2:V511),$V$2:$V$1001,0),1)&gt;=100000,INDEX($AC$1005:$AS$1005,1,MATCH(COLUMNS($AC$1006:AQ1006),$AC$1006:$AS$1006,0))&gt;=100000), " ",IF(INDEX($AC$2:$AS$1001,MATCH(ROWS($V$2:V511),$V$2:$V$1001,0),MATCH(COLUMNS($AC$1006:AQ1006),$AC$1006:$AS$1006,0)), HYPERLINK("#",""), HYPERLINK(CONCATENATE("#Metadata!", ADDRESS(INDEX($X$2:$X$1001,MATCH(ROWS($V$2:V511),$V$2:$V$1001,0),0), INDEX($AC$1004:$AS$1004,1,MATCH(COLUMNS($AC$1006:AQ1006),$AC$1006:$AS$1006,0)))),"Fix")))</f>
        <v>0</v>
      </c>
      <c r="Q511" s="5">
        <f>IF(OR(INDEX($W$2:$W$1001,MATCH(ROWS($V$2:V511),$V$2:$V$1001,0),1)&gt;=100000,INDEX($AC$1005:$AS$1005,1,MATCH(COLUMNS($AC$1006:AR1006),$AC$1006:$AS$1006,0))&gt;=100000), " ",IF(INDEX($AC$2:$AS$1001,MATCH(ROWS($V$2:V511),$V$2:$V$1001,0),MATCH(COLUMNS($AC$1006:AR1006),$AC$1006:$AS$1006,0)), HYPERLINK("#",""), HYPERLINK(CONCATENATE("#Metadata!", ADDRESS(INDEX($X$2:$X$1001,MATCH(ROWS($V$2:V511),$V$2:$V$1001,0),0), INDEX($AC$1004:$AS$1004,1,MATCH(COLUMNS($AC$1006:AR1006),$AC$1006:$AS$1006,0)))),"Fix")))</f>
        <v>0</v>
      </c>
      <c r="R511" s="5">
        <f>IF(OR(INDEX($W$2:$W$1001,MATCH(ROWS($V$2:V511),$V$2:$V$1001,0),1)&gt;=100000,INDEX($AC$1005:$AS$1005,1,MATCH(COLUMNS($AC$1006:AS1006),$AC$1006:$AS$1006,0))&gt;=100000), " ",IF(INDEX($AC$2:$AS$1001,MATCH(ROWS($V$2:V511),$V$2:$V$1001,0),MATCH(COLUMNS($AC$1006:AS1006),$AC$1006:$AS$1006,0)), HYPERLINK("#",""), HYPERLINK(CONCATENATE("#Metadata!", ADDRESS(INDEX($X$2:$X$1001,MATCH(ROWS($V$2:V511),$V$2:$V$1001,0),0), INDEX($AC$1004:$AS$1004,1,MATCH(COLUMNS($AC$1006:AS1006),$AC$1006:$AS$1006,0)))),"Fix")))</f>
        <v>0</v>
      </c>
      <c r="V511">
        <v>0</v>
      </c>
      <c r="W511">
        <v>0</v>
      </c>
      <c r="X511">
        <v>0</v>
      </c>
      <c r="Y511">
        <f>IF(Z511,TRUE,AND(AC511:AS511))</f>
        <v>0</v>
      </c>
      <c r="Z511">
        <f>COUNTBLANK(Metadata!B511:R511)=COLUMNS(Metadata!B511:R511)</f>
        <v>0</v>
      </c>
      <c r="AA511">
        <v>0</v>
      </c>
      <c r="AC511">
        <f>AND(IF(Metadata!B511="",FALSE,TRUE),COUNTIF(Metadata!B:B, Metadata!B511) = 1,NOT(ISERROR(SUMPRODUCT(SEARCH(MID(Metadata!B511,ROW(INDIRECT("1:"&amp;LEN(Metadata!B511))), 1),"0123456789abcdefghijklmnopqrstuvwxyzABCDEFGHIJKLMNOPQRSTUVWXYZ.")))))</f>
        <v>0</v>
      </c>
      <c r="AD511">
        <f>AND(IF(Metadata!C511="",FALSE,TRUE),exact(Metadata!C511,"Host-associated"))</f>
        <v>0</v>
      </c>
      <c r="AE511">
        <f>AND(IF(Metadata!D511="",FALSE,TRUE),OR(exact(Metadata!D511,"Animal"),exact(Metadata!D511,"Fungus"),exact(Metadata!D511,"Plant")))</f>
        <v>0</v>
      </c>
      <c r="AF511">
        <f>AND(IF(Metadata!E511="",FALSE,TRUE),OR(exact(Metadata!E511,"Plant secretion"),exact(Metadata!E511,"Plant rhizosphere"),exact(Metadata!E511,"Plant surface"),exact(Metadata!E511,"Plant corpus"),exact(Metadata!E511,"Fungus surface"),exact(Metadata!E511,"Fungus corpus"),exact(Metadata!E511,"Animal surface"),exact(Metadata!E511,"Animal proximal gut"),exact(Metadata!E511,"Animal corpus"),exact(Metadata!E511,"Animal distal gut"),exact(Metadata!E511,"Animal secretion")))</f>
        <v>0</v>
      </c>
      <c r="AG511">
        <f>OR(AND(IF(Metadata!F511="",FALSE,TRUE),OR(exact(Metadata!F511,"not collected"),exact(Metadata!F511,"not provided"),exact(Metadata!F511,"restricted access"))),AND(IF(Metadata!F511="",FALSE,TRUE),OR(exact(Metadata!F511,"organism-associated habitat"),exact(Metadata!F511,"plant-associated habitat"),exact(Metadata!F511,"animal-associated habitat"),exact(Metadata!F511,"insecta-associated habitat"),exact(Metadata!F511,"mammalia-associated habitat"),exact(Metadata!F511,"human-associated habitat"),exact(Metadata!F511,"livestock-associated habitat"))))</f>
        <v>0</v>
      </c>
      <c r="AH511">
        <f>AND(IF(Metadata!G511="",FALSE,TRUE),exact(Metadata!G511,"host-associated"))</f>
        <v>0</v>
      </c>
      <c r="AI511">
        <f>OR(AND(IF(Metadata!H511="",FALSE,TRUE),OR(exact(Metadata!H511,"not collected"),exact(Metadata!H511,"not provided"))),AND(IF(Metadata!H511="",FALSE,ISNUMBER(VALUE(Metadata!H511))),Metadata!H511&gt;0))</f>
        <v>0</v>
      </c>
      <c r="AJ511">
        <f>AND(IF(Metadata!I511="",FALSE,TRUE),exact(Metadata!I511,"years"))</f>
        <v>0</v>
      </c>
      <c r="AK511">
        <f>IF(Metadata!J511="",FALSE,TRUE)</f>
        <v>0</v>
      </c>
      <c r="AL511">
        <f>OR(AND(IF(Metadata!K511="",FALSE,TRUE),OR(exact(Metadata!K511,"not collected"),exact(Metadata!K511,"not provided"))),AND(IF(Metadata!K511="",FALSE,ISNUMBER(VALUE(Metadata!K511))),Metadata!K511&gt;0))</f>
        <v>0</v>
      </c>
      <c r="AM511">
        <f>AND(IF(Metadata!L511="",FALSE,TRUE),exact(Metadata!L511,"cm"))</f>
        <v>0</v>
      </c>
      <c r="AN511">
        <f>IF(Metadata!M511="",FALSE,TRUE)</f>
        <v>0</v>
      </c>
      <c r="AO511">
        <f>OR(AND(IF(Metadata!N511="",FALSE,TRUE),OR(exact(Metadata!N511,"not applicable"),exact(Metadata!N511,"not collected"),exact(Metadata!N511,"not provided"))),AND(IF(Metadata!N511="",FALSE,IF(ISERROR(INT(Metadata!N511)),FALSE,INT(Metadata!N511)=Metadata!N511)),Metadata!N511&gt;0))</f>
        <v>0</v>
      </c>
      <c r="AP511">
        <f>OR(AND(IF(Metadata!O511="",FALSE,TRUE),OR(exact(Metadata!O511,"not collected"),exact(Metadata!O511,"not provided"))),AND(IF(Metadata!O511="",FALSE,ISNUMBER(VALUE(Metadata!O511))),Metadata!O511&gt;0))</f>
        <v>0</v>
      </c>
      <c r="AQ511">
        <f>AND(IF(Metadata!P511="",FALSE,TRUE),exact(Metadata!P511,"kg"))</f>
        <v>0</v>
      </c>
      <c r="AR511">
        <f>OR(AND(IF(Metadata!Q511="",FALSE,TRUE),OR(exact(Metadata!Q511,"not applicable"),exact(Metadata!Q511,"not collected"),exact(Metadata!Q511,"not provided"),exact(Metadata!Q511,"restricted access"))),IF(Metadata!Q511="",FALSE,IF(ISERROR(INT(Metadata!Q511)),FALSE,INT(Metadata!Q511)=Metadata!Q511)))</f>
        <v>0</v>
      </c>
      <c r="AS511">
        <f>AND(IF(Metadata!R511="",FALSE,TRUE),exact(Metadata!R511,"Not applicable"))</f>
        <v>0</v>
      </c>
    </row>
    <row r="512" spans="1:45">
      <c r="A512" s="4">
        <f>IF(B512=" "," ",HYPERLINK(CONCATENATE("#metadata!",ADDRESS(INDEX($X$2:$X$1001,MATCH(ROWS($V$2:V512),$V$2:$V$1001,0),0),2)),INDEX($AA$2:$AA$1001,MATCH(ROWS($V$2:V512),$V$2:$V$1001,0),0)))</f>
        <v>0</v>
      </c>
      <c r="B512" s="5">
        <f>IF(OR(INDEX($W$2:$W$1001,MATCH(ROWS($V$2:V512),$V$2:$V$1001,0),1)&gt;=100000,INDEX($AC$1005:$AS$1005,1,MATCH(COLUMNS($AC$1006:AC1006),$AC$1006:$AS$1006,0))&gt;=100000), " ",IF(INDEX($AC$2:$AS$1001,MATCH(ROWS($V$2:V512),$V$2:$V$1001,0),MATCH(COLUMNS($AC$1006:AC1006),$AC$1006:$AS$1006,0)), HYPERLINK("#",""), HYPERLINK(CONCATENATE("#Metadata!", ADDRESS(INDEX($X$2:$X$1001,MATCH(ROWS($V$2:V512),$V$2:$V$1001,0),0), INDEX($AC$1004:$AS$1004,1,MATCH(COLUMNS($AC$1006:AC1006),$AC$1006:$AS$1006,0)))),"Fix")))</f>
        <v>0</v>
      </c>
      <c r="C512" s="5">
        <f>IF(OR(INDEX($W$2:$W$1001,MATCH(ROWS($V$2:V512),$V$2:$V$1001,0),1)&gt;=100000,INDEX($AC$1005:$AS$1005,1,MATCH(COLUMNS($AC$1006:AD1006),$AC$1006:$AS$1006,0))&gt;=100000), " ",IF(INDEX($AC$2:$AS$1001,MATCH(ROWS($V$2:V512),$V$2:$V$1001,0),MATCH(COLUMNS($AC$1006:AD1006),$AC$1006:$AS$1006,0)), HYPERLINK("#",""), HYPERLINK(CONCATENATE("#Metadata!", ADDRESS(INDEX($X$2:$X$1001,MATCH(ROWS($V$2:V512),$V$2:$V$1001,0),0), INDEX($AC$1004:$AS$1004,1,MATCH(COLUMNS($AC$1006:AD1006),$AC$1006:$AS$1006,0)))),"Fix")))</f>
        <v>0</v>
      </c>
      <c r="D512" s="5">
        <f>IF(OR(INDEX($W$2:$W$1001,MATCH(ROWS($V$2:V512),$V$2:$V$1001,0),1)&gt;=100000,INDEX($AC$1005:$AS$1005,1,MATCH(COLUMNS($AC$1006:AE1006),$AC$1006:$AS$1006,0))&gt;=100000), " ",IF(INDEX($AC$2:$AS$1001,MATCH(ROWS($V$2:V512),$V$2:$V$1001,0),MATCH(COLUMNS($AC$1006:AE1006),$AC$1006:$AS$1006,0)), HYPERLINK("#",""), HYPERLINK(CONCATENATE("#Metadata!", ADDRESS(INDEX($X$2:$X$1001,MATCH(ROWS($V$2:V512),$V$2:$V$1001,0),0), INDEX($AC$1004:$AS$1004,1,MATCH(COLUMNS($AC$1006:AE1006),$AC$1006:$AS$1006,0)))),"Fix")))</f>
        <v>0</v>
      </c>
      <c r="E512" s="5">
        <f>IF(OR(INDEX($W$2:$W$1001,MATCH(ROWS($V$2:V512),$V$2:$V$1001,0),1)&gt;=100000,INDEX($AC$1005:$AS$1005,1,MATCH(COLUMNS($AC$1006:AF1006),$AC$1006:$AS$1006,0))&gt;=100000), " ",IF(INDEX($AC$2:$AS$1001,MATCH(ROWS($V$2:V512),$V$2:$V$1001,0),MATCH(COLUMNS($AC$1006:AF1006),$AC$1006:$AS$1006,0)), HYPERLINK("#",""), HYPERLINK(CONCATENATE("#Metadata!", ADDRESS(INDEX($X$2:$X$1001,MATCH(ROWS($V$2:V512),$V$2:$V$1001,0),0), INDEX($AC$1004:$AS$1004,1,MATCH(COLUMNS($AC$1006:AF1006),$AC$1006:$AS$1006,0)))),"Fix")))</f>
        <v>0</v>
      </c>
      <c r="F512" s="5">
        <f>IF(OR(INDEX($W$2:$W$1001,MATCH(ROWS($V$2:V512),$V$2:$V$1001,0),1)&gt;=100000,INDEX($AC$1005:$AS$1005,1,MATCH(COLUMNS($AC$1006:AG1006),$AC$1006:$AS$1006,0))&gt;=100000), " ",IF(INDEX($AC$2:$AS$1001,MATCH(ROWS($V$2:V512),$V$2:$V$1001,0),MATCH(COLUMNS($AC$1006:AG1006),$AC$1006:$AS$1006,0)), HYPERLINK("#",""), HYPERLINK(CONCATENATE("#Metadata!", ADDRESS(INDEX($X$2:$X$1001,MATCH(ROWS($V$2:V512),$V$2:$V$1001,0),0), INDEX($AC$1004:$AS$1004,1,MATCH(COLUMNS($AC$1006:AG1006),$AC$1006:$AS$1006,0)))),"Fix")))</f>
        <v>0</v>
      </c>
      <c r="G512" s="5">
        <f>IF(OR(INDEX($W$2:$W$1001,MATCH(ROWS($V$2:V512),$V$2:$V$1001,0),1)&gt;=100000,INDEX($AC$1005:$AS$1005,1,MATCH(COLUMNS($AC$1006:AH1006),$AC$1006:$AS$1006,0))&gt;=100000), " ",IF(INDEX($AC$2:$AS$1001,MATCH(ROWS($V$2:V512),$V$2:$V$1001,0),MATCH(COLUMNS($AC$1006:AH1006),$AC$1006:$AS$1006,0)), HYPERLINK("#",""), HYPERLINK(CONCATENATE("#Metadata!", ADDRESS(INDEX($X$2:$X$1001,MATCH(ROWS($V$2:V512),$V$2:$V$1001,0),0), INDEX($AC$1004:$AS$1004,1,MATCH(COLUMNS($AC$1006:AH1006),$AC$1006:$AS$1006,0)))),"Fix")))</f>
        <v>0</v>
      </c>
      <c r="H512" s="5">
        <f>IF(OR(INDEX($W$2:$W$1001,MATCH(ROWS($V$2:V512),$V$2:$V$1001,0),1)&gt;=100000,INDEX($AC$1005:$AS$1005,1,MATCH(COLUMNS($AC$1006:AI1006),$AC$1006:$AS$1006,0))&gt;=100000), " ",IF(INDEX($AC$2:$AS$1001,MATCH(ROWS($V$2:V512),$V$2:$V$1001,0),MATCH(COLUMNS($AC$1006:AI1006),$AC$1006:$AS$1006,0)), HYPERLINK("#",""), HYPERLINK(CONCATENATE("#Metadata!", ADDRESS(INDEX($X$2:$X$1001,MATCH(ROWS($V$2:V512),$V$2:$V$1001,0),0), INDEX($AC$1004:$AS$1004,1,MATCH(COLUMNS($AC$1006:AI1006),$AC$1006:$AS$1006,0)))),"Fix")))</f>
        <v>0</v>
      </c>
      <c r="I512" s="5">
        <f>IF(OR(INDEX($W$2:$W$1001,MATCH(ROWS($V$2:V512),$V$2:$V$1001,0),1)&gt;=100000,INDEX($AC$1005:$AS$1005,1,MATCH(COLUMNS($AC$1006:AJ1006),$AC$1006:$AS$1006,0))&gt;=100000), " ",IF(INDEX($AC$2:$AS$1001,MATCH(ROWS($V$2:V512),$V$2:$V$1001,0),MATCH(COLUMNS($AC$1006:AJ1006),$AC$1006:$AS$1006,0)), HYPERLINK("#",""), HYPERLINK(CONCATENATE("#Metadata!", ADDRESS(INDEX($X$2:$X$1001,MATCH(ROWS($V$2:V512),$V$2:$V$1001,0),0), INDEX($AC$1004:$AS$1004,1,MATCH(COLUMNS($AC$1006:AJ1006),$AC$1006:$AS$1006,0)))),"Fix")))</f>
        <v>0</v>
      </c>
      <c r="J512" s="5">
        <f>IF(OR(INDEX($W$2:$W$1001,MATCH(ROWS($V$2:V512),$V$2:$V$1001,0),1)&gt;=100000,INDEX($AC$1005:$AS$1005,1,MATCH(COLUMNS($AC$1006:AK1006),$AC$1006:$AS$1006,0))&gt;=100000), " ",IF(INDEX($AC$2:$AS$1001,MATCH(ROWS($V$2:V512),$V$2:$V$1001,0),MATCH(COLUMNS($AC$1006:AK1006),$AC$1006:$AS$1006,0)), HYPERLINK("#",""), HYPERLINK(CONCATENATE("#Metadata!", ADDRESS(INDEX($X$2:$X$1001,MATCH(ROWS($V$2:V512),$V$2:$V$1001,0),0), INDEX($AC$1004:$AS$1004,1,MATCH(COLUMNS($AC$1006:AK1006),$AC$1006:$AS$1006,0)))),"Fix")))</f>
        <v>0</v>
      </c>
      <c r="K512" s="5">
        <f>IF(OR(INDEX($W$2:$W$1001,MATCH(ROWS($V$2:V512),$V$2:$V$1001,0),1)&gt;=100000,INDEX($AC$1005:$AS$1005,1,MATCH(COLUMNS($AC$1006:AL1006),$AC$1006:$AS$1006,0))&gt;=100000), " ",IF(INDEX($AC$2:$AS$1001,MATCH(ROWS($V$2:V512),$V$2:$V$1001,0),MATCH(COLUMNS($AC$1006:AL1006),$AC$1006:$AS$1006,0)), HYPERLINK("#",""), HYPERLINK(CONCATENATE("#Metadata!", ADDRESS(INDEX($X$2:$X$1001,MATCH(ROWS($V$2:V512),$V$2:$V$1001,0),0), INDEX($AC$1004:$AS$1004,1,MATCH(COLUMNS($AC$1006:AL1006),$AC$1006:$AS$1006,0)))),"Fix")))</f>
        <v>0</v>
      </c>
      <c r="L512" s="5">
        <f>IF(OR(INDEX($W$2:$W$1001,MATCH(ROWS($V$2:V512),$V$2:$V$1001,0),1)&gt;=100000,INDEX($AC$1005:$AS$1005,1,MATCH(COLUMNS($AC$1006:AM1006),$AC$1006:$AS$1006,0))&gt;=100000), " ",IF(INDEX($AC$2:$AS$1001,MATCH(ROWS($V$2:V512),$V$2:$V$1001,0),MATCH(COLUMNS($AC$1006:AM1006),$AC$1006:$AS$1006,0)), HYPERLINK("#",""), HYPERLINK(CONCATENATE("#Metadata!", ADDRESS(INDEX($X$2:$X$1001,MATCH(ROWS($V$2:V512),$V$2:$V$1001,0),0), INDEX($AC$1004:$AS$1004,1,MATCH(COLUMNS($AC$1006:AM1006),$AC$1006:$AS$1006,0)))),"Fix")))</f>
        <v>0</v>
      </c>
      <c r="M512" s="5">
        <f>IF(OR(INDEX($W$2:$W$1001,MATCH(ROWS($V$2:V512),$V$2:$V$1001,0),1)&gt;=100000,INDEX($AC$1005:$AS$1005,1,MATCH(COLUMNS($AC$1006:AN1006),$AC$1006:$AS$1006,0))&gt;=100000), " ",IF(INDEX($AC$2:$AS$1001,MATCH(ROWS($V$2:V512),$V$2:$V$1001,0),MATCH(COLUMNS($AC$1006:AN1006),$AC$1006:$AS$1006,0)), HYPERLINK("#",""), HYPERLINK(CONCATENATE("#Metadata!", ADDRESS(INDEX($X$2:$X$1001,MATCH(ROWS($V$2:V512),$V$2:$V$1001,0),0), INDEX($AC$1004:$AS$1004,1,MATCH(COLUMNS($AC$1006:AN1006),$AC$1006:$AS$1006,0)))),"Fix")))</f>
        <v>0</v>
      </c>
      <c r="N512" s="5">
        <f>IF(OR(INDEX($W$2:$W$1001,MATCH(ROWS($V$2:V512),$V$2:$V$1001,0),1)&gt;=100000,INDEX($AC$1005:$AS$1005,1,MATCH(COLUMNS($AC$1006:AO1006),$AC$1006:$AS$1006,0))&gt;=100000), " ",IF(INDEX($AC$2:$AS$1001,MATCH(ROWS($V$2:V512),$V$2:$V$1001,0),MATCH(COLUMNS($AC$1006:AO1006),$AC$1006:$AS$1006,0)), HYPERLINK("#",""), HYPERLINK(CONCATENATE("#Metadata!", ADDRESS(INDEX($X$2:$X$1001,MATCH(ROWS($V$2:V512),$V$2:$V$1001,0),0), INDEX($AC$1004:$AS$1004,1,MATCH(COLUMNS($AC$1006:AO1006),$AC$1006:$AS$1006,0)))),"Fix")))</f>
        <v>0</v>
      </c>
      <c r="O512" s="5">
        <f>IF(OR(INDEX($W$2:$W$1001,MATCH(ROWS($V$2:V512),$V$2:$V$1001,0),1)&gt;=100000,INDEX($AC$1005:$AS$1005,1,MATCH(COLUMNS($AC$1006:AP1006),$AC$1006:$AS$1006,0))&gt;=100000), " ",IF(INDEX($AC$2:$AS$1001,MATCH(ROWS($V$2:V512),$V$2:$V$1001,0),MATCH(COLUMNS($AC$1006:AP1006),$AC$1006:$AS$1006,0)), HYPERLINK("#",""), HYPERLINK(CONCATENATE("#Metadata!", ADDRESS(INDEX($X$2:$X$1001,MATCH(ROWS($V$2:V512),$V$2:$V$1001,0),0), INDEX($AC$1004:$AS$1004,1,MATCH(COLUMNS($AC$1006:AP1006),$AC$1006:$AS$1006,0)))),"Fix")))</f>
        <v>0</v>
      </c>
      <c r="P512" s="5">
        <f>IF(OR(INDEX($W$2:$W$1001,MATCH(ROWS($V$2:V512),$V$2:$V$1001,0),1)&gt;=100000,INDEX($AC$1005:$AS$1005,1,MATCH(COLUMNS($AC$1006:AQ1006),$AC$1006:$AS$1006,0))&gt;=100000), " ",IF(INDEX($AC$2:$AS$1001,MATCH(ROWS($V$2:V512),$V$2:$V$1001,0),MATCH(COLUMNS($AC$1006:AQ1006),$AC$1006:$AS$1006,0)), HYPERLINK("#",""), HYPERLINK(CONCATENATE("#Metadata!", ADDRESS(INDEX($X$2:$X$1001,MATCH(ROWS($V$2:V512),$V$2:$V$1001,0),0), INDEX($AC$1004:$AS$1004,1,MATCH(COLUMNS($AC$1006:AQ1006),$AC$1006:$AS$1006,0)))),"Fix")))</f>
        <v>0</v>
      </c>
      <c r="Q512" s="5">
        <f>IF(OR(INDEX($W$2:$W$1001,MATCH(ROWS($V$2:V512),$V$2:$V$1001,0),1)&gt;=100000,INDEX($AC$1005:$AS$1005,1,MATCH(COLUMNS($AC$1006:AR1006),$AC$1006:$AS$1006,0))&gt;=100000), " ",IF(INDEX($AC$2:$AS$1001,MATCH(ROWS($V$2:V512),$V$2:$V$1001,0),MATCH(COLUMNS($AC$1006:AR1006),$AC$1006:$AS$1006,0)), HYPERLINK("#",""), HYPERLINK(CONCATENATE("#Metadata!", ADDRESS(INDEX($X$2:$X$1001,MATCH(ROWS($V$2:V512),$V$2:$V$1001,0),0), INDEX($AC$1004:$AS$1004,1,MATCH(COLUMNS($AC$1006:AR1006),$AC$1006:$AS$1006,0)))),"Fix")))</f>
        <v>0</v>
      </c>
      <c r="R512" s="5">
        <f>IF(OR(INDEX($W$2:$W$1001,MATCH(ROWS($V$2:V512),$V$2:$V$1001,0),1)&gt;=100000,INDEX($AC$1005:$AS$1005,1,MATCH(COLUMNS($AC$1006:AS1006),$AC$1006:$AS$1006,0))&gt;=100000), " ",IF(INDEX($AC$2:$AS$1001,MATCH(ROWS($V$2:V512),$V$2:$V$1001,0),MATCH(COLUMNS($AC$1006:AS1006),$AC$1006:$AS$1006,0)), HYPERLINK("#",""), HYPERLINK(CONCATENATE("#Metadata!", ADDRESS(INDEX($X$2:$X$1001,MATCH(ROWS($V$2:V512),$V$2:$V$1001,0),0), INDEX($AC$1004:$AS$1004,1,MATCH(COLUMNS($AC$1006:AS1006),$AC$1006:$AS$1006,0)))),"Fix")))</f>
        <v>0</v>
      </c>
      <c r="V512">
        <v>0</v>
      </c>
      <c r="W512">
        <v>0</v>
      </c>
      <c r="X512">
        <v>0</v>
      </c>
      <c r="Y512">
        <f>IF(Z512,TRUE,AND(AC512:AS512))</f>
        <v>0</v>
      </c>
      <c r="Z512">
        <f>COUNTBLANK(Metadata!B512:R512)=COLUMNS(Metadata!B512:R512)</f>
        <v>0</v>
      </c>
      <c r="AA512">
        <v>0</v>
      </c>
      <c r="AC512">
        <f>AND(IF(Metadata!B512="",FALSE,TRUE),COUNTIF(Metadata!B:B, Metadata!B512) = 1,NOT(ISERROR(SUMPRODUCT(SEARCH(MID(Metadata!B512,ROW(INDIRECT("1:"&amp;LEN(Metadata!B512))), 1),"0123456789abcdefghijklmnopqrstuvwxyzABCDEFGHIJKLMNOPQRSTUVWXYZ.")))))</f>
        <v>0</v>
      </c>
      <c r="AD512">
        <f>AND(IF(Metadata!C512="",FALSE,TRUE),exact(Metadata!C512,"Host-associated"))</f>
        <v>0</v>
      </c>
      <c r="AE512">
        <f>AND(IF(Metadata!D512="",FALSE,TRUE),OR(exact(Metadata!D512,"Animal"),exact(Metadata!D512,"Fungus"),exact(Metadata!D512,"Plant")))</f>
        <v>0</v>
      </c>
      <c r="AF512">
        <f>AND(IF(Metadata!E512="",FALSE,TRUE),OR(exact(Metadata!E512,"Plant secretion"),exact(Metadata!E512,"Plant rhizosphere"),exact(Metadata!E512,"Plant surface"),exact(Metadata!E512,"Plant corpus"),exact(Metadata!E512,"Fungus surface"),exact(Metadata!E512,"Fungus corpus"),exact(Metadata!E512,"Animal surface"),exact(Metadata!E512,"Animal proximal gut"),exact(Metadata!E512,"Animal corpus"),exact(Metadata!E512,"Animal distal gut"),exact(Metadata!E512,"Animal secretion")))</f>
        <v>0</v>
      </c>
      <c r="AG512">
        <f>OR(AND(IF(Metadata!F512="",FALSE,TRUE),OR(exact(Metadata!F512,"not collected"),exact(Metadata!F512,"not provided"),exact(Metadata!F512,"restricted access"))),AND(IF(Metadata!F512="",FALSE,TRUE),OR(exact(Metadata!F512,"organism-associated habitat"),exact(Metadata!F512,"plant-associated habitat"),exact(Metadata!F512,"animal-associated habitat"),exact(Metadata!F512,"insecta-associated habitat"),exact(Metadata!F512,"mammalia-associated habitat"),exact(Metadata!F512,"human-associated habitat"),exact(Metadata!F512,"livestock-associated habitat"))))</f>
        <v>0</v>
      </c>
      <c r="AH512">
        <f>AND(IF(Metadata!G512="",FALSE,TRUE),exact(Metadata!G512,"host-associated"))</f>
        <v>0</v>
      </c>
      <c r="AI512">
        <f>OR(AND(IF(Metadata!H512="",FALSE,TRUE),OR(exact(Metadata!H512,"not collected"),exact(Metadata!H512,"not provided"))),AND(IF(Metadata!H512="",FALSE,ISNUMBER(VALUE(Metadata!H512))),Metadata!H512&gt;0))</f>
        <v>0</v>
      </c>
      <c r="AJ512">
        <f>AND(IF(Metadata!I512="",FALSE,TRUE),exact(Metadata!I512,"years"))</f>
        <v>0</v>
      </c>
      <c r="AK512">
        <f>IF(Metadata!J512="",FALSE,TRUE)</f>
        <v>0</v>
      </c>
      <c r="AL512">
        <f>OR(AND(IF(Metadata!K512="",FALSE,TRUE),OR(exact(Metadata!K512,"not collected"),exact(Metadata!K512,"not provided"))),AND(IF(Metadata!K512="",FALSE,ISNUMBER(VALUE(Metadata!K512))),Metadata!K512&gt;0))</f>
        <v>0</v>
      </c>
      <c r="AM512">
        <f>AND(IF(Metadata!L512="",FALSE,TRUE),exact(Metadata!L512,"cm"))</f>
        <v>0</v>
      </c>
      <c r="AN512">
        <f>IF(Metadata!M512="",FALSE,TRUE)</f>
        <v>0</v>
      </c>
      <c r="AO512">
        <f>OR(AND(IF(Metadata!N512="",FALSE,TRUE),OR(exact(Metadata!N512,"not applicable"),exact(Metadata!N512,"not collected"),exact(Metadata!N512,"not provided"))),AND(IF(Metadata!N512="",FALSE,IF(ISERROR(INT(Metadata!N512)),FALSE,INT(Metadata!N512)=Metadata!N512)),Metadata!N512&gt;0))</f>
        <v>0</v>
      </c>
      <c r="AP512">
        <f>OR(AND(IF(Metadata!O512="",FALSE,TRUE),OR(exact(Metadata!O512,"not collected"),exact(Metadata!O512,"not provided"))),AND(IF(Metadata!O512="",FALSE,ISNUMBER(VALUE(Metadata!O512))),Metadata!O512&gt;0))</f>
        <v>0</v>
      </c>
      <c r="AQ512">
        <f>AND(IF(Metadata!P512="",FALSE,TRUE),exact(Metadata!P512,"kg"))</f>
        <v>0</v>
      </c>
      <c r="AR512">
        <f>OR(AND(IF(Metadata!Q512="",FALSE,TRUE),OR(exact(Metadata!Q512,"not applicable"),exact(Metadata!Q512,"not collected"),exact(Metadata!Q512,"not provided"),exact(Metadata!Q512,"restricted access"))),IF(Metadata!Q512="",FALSE,IF(ISERROR(INT(Metadata!Q512)),FALSE,INT(Metadata!Q512)=Metadata!Q512)))</f>
        <v>0</v>
      </c>
      <c r="AS512">
        <f>AND(IF(Metadata!R512="",FALSE,TRUE),exact(Metadata!R512,"Not applicable"))</f>
        <v>0</v>
      </c>
    </row>
    <row r="513" spans="1:45">
      <c r="A513" s="4">
        <f>IF(B513=" "," ",HYPERLINK(CONCATENATE("#metadata!",ADDRESS(INDEX($X$2:$X$1001,MATCH(ROWS($V$2:V513),$V$2:$V$1001,0),0),2)),INDEX($AA$2:$AA$1001,MATCH(ROWS($V$2:V513),$V$2:$V$1001,0),0)))</f>
        <v>0</v>
      </c>
      <c r="B513" s="5">
        <f>IF(OR(INDEX($W$2:$W$1001,MATCH(ROWS($V$2:V513),$V$2:$V$1001,0),1)&gt;=100000,INDEX($AC$1005:$AS$1005,1,MATCH(COLUMNS($AC$1006:AC1006),$AC$1006:$AS$1006,0))&gt;=100000), " ",IF(INDEX($AC$2:$AS$1001,MATCH(ROWS($V$2:V513),$V$2:$V$1001,0),MATCH(COLUMNS($AC$1006:AC1006),$AC$1006:$AS$1006,0)), HYPERLINK("#",""), HYPERLINK(CONCATENATE("#Metadata!", ADDRESS(INDEX($X$2:$X$1001,MATCH(ROWS($V$2:V513),$V$2:$V$1001,0),0), INDEX($AC$1004:$AS$1004,1,MATCH(COLUMNS($AC$1006:AC1006),$AC$1006:$AS$1006,0)))),"Fix")))</f>
        <v>0</v>
      </c>
      <c r="C513" s="5">
        <f>IF(OR(INDEX($W$2:$W$1001,MATCH(ROWS($V$2:V513),$V$2:$V$1001,0),1)&gt;=100000,INDEX($AC$1005:$AS$1005,1,MATCH(COLUMNS($AC$1006:AD1006),$AC$1006:$AS$1006,0))&gt;=100000), " ",IF(INDEX($AC$2:$AS$1001,MATCH(ROWS($V$2:V513),$V$2:$V$1001,0),MATCH(COLUMNS($AC$1006:AD1006),$AC$1006:$AS$1006,0)), HYPERLINK("#",""), HYPERLINK(CONCATENATE("#Metadata!", ADDRESS(INDEX($X$2:$X$1001,MATCH(ROWS($V$2:V513),$V$2:$V$1001,0),0), INDEX($AC$1004:$AS$1004,1,MATCH(COLUMNS($AC$1006:AD1006),$AC$1006:$AS$1006,0)))),"Fix")))</f>
        <v>0</v>
      </c>
      <c r="D513" s="5">
        <f>IF(OR(INDEX($W$2:$W$1001,MATCH(ROWS($V$2:V513),$V$2:$V$1001,0),1)&gt;=100000,INDEX($AC$1005:$AS$1005,1,MATCH(COLUMNS($AC$1006:AE1006),$AC$1006:$AS$1006,0))&gt;=100000), " ",IF(INDEX($AC$2:$AS$1001,MATCH(ROWS($V$2:V513),$V$2:$V$1001,0),MATCH(COLUMNS($AC$1006:AE1006),$AC$1006:$AS$1006,0)), HYPERLINK("#",""), HYPERLINK(CONCATENATE("#Metadata!", ADDRESS(INDEX($X$2:$X$1001,MATCH(ROWS($V$2:V513),$V$2:$V$1001,0),0), INDEX($AC$1004:$AS$1004,1,MATCH(COLUMNS($AC$1006:AE1006),$AC$1006:$AS$1006,0)))),"Fix")))</f>
        <v>0</v>
      </c>
      <c r="E513" s="5">
        <f>IF(OR(INDEX($W$2:$W$1001,MATCH(ROWS($V$2:V513),$V$2:$V$1001,0),1)&gt;=100000,INDEX($AC$1005:$AS$1005,1,MATCH(COLUMNS($AC$1006:AF1006),$AC$1006:$AS$1006,0))&gt;=100000), " ",IF(INDEX($AC$2:$AS$1001,MATCH(ROWS($V$2:V513),$V$2:$V$1001,0),MATCH(COLUMNS($AC$1006:AF1006),$AC$1006:$AS$1006,0)), HYPERLINK("#",""), HYPERLINK(CONCATENATE("#Metadata!", ADDRESS(INDEX($X$2:$X$1001,MATCH(ROWS($V$2:V513),$V$2:$V$1001,0),0), INDEX($AC$1004:$AS$1004,1,MATCH(COLUMNS($AC$1006:AF1006),$AC$1006:$AS$1006,0)))),"Fix")))</f>
        <v>0</v>
      </c>
      <c r="F513" s="5">
        <f>IF(OR(INDEX($W$2:$W$1001,MATCH(ROWS($V$2:V513),$V$2:$V$1001,0),1)&gt;=100000,INDEX($AC$1005:$AS$1005,1,MATCH(COLUMNS($AC$1006:AG1006),$AC$1006:$AS$1006,0))&gt;=100000), " ",IF(INDEX($AC$2:$AS$1001,MATCH(ROWS($V$2:V513),$V$2:$V$1001,0),MATCH(COLUMNS($AC$1006:AG1006),$AC$1006:$AS$1006,0)), HYPERLINK("#",""), HYPERLINK(CONCATENATE("#Metadata!", ADDRESS(INDEX($X$2:$X$1001,MATCH(ROWS($V$2:V513),$V$2:$V$1001,0),0), INDEX($AC$1004:$AS$1004,1,MATCH(COLUMNS($AC$1006:AG1006),$AC$1006:$AS$1006,0)))),"Fix")))</f>
        <v>0</v>
      </c>
      <c r="G513" s="5">
        <f>IF(OR(INDEX($W$2:$W$1001,MATCH(ROWS($V$2:V513),$V$2:$V$1001,0),1)&gt;=100000,INDEX($AC$1005:$AS$1005,1,MATCH(COLUMNS($AC$1006:AH1006),$AC$1006:$AS$1006,0))&gt;=100000), " ",IF(INDEX($AC$2:$AS$1001,MATCH(ROWS($V$2:V513),$V$2:$V$1001,0),MATCH(COLUMNS($AC$1006:AH1006),$AC$1006:$AS$1006,0)), HYPERLINK("#",""), HYPERLINK(CONCATENATE("#Metadata!", ADDRESS(INDEX($X$2:$X$1001,MATCH(ROWS($V$2:V513),$V$2:$V$1001,0),0), INDEX($AC$1004:$AS$1004,1,MATCH(COLUMNS($AC$1006:AH1006),$AC$1006:$AS$1006,0)))),"Fix")))</f>
        <v>0</v>
      </c>
      <c r="H513" s="5">
        <f>IF(OR(INDEX($W$2:$W$1001,MATCH(ROWS($V$2:V513),$V$2:$V$1001,0),1)&gt;=100000,INDEX($AC$1005:$AS$1005,1,MATCH(COLUMNS($AC$1006:AI1006),$AC$1006:$AS$1006,0))&gt;=100000), " ",IF(INDEX($AC$2:$AS$1001,MATCH(ROWS($V$2:V513),$V$2:$V$1001,0),MATCH(COLUMNS($AC$1006:AI1006),$AC$1006:$AS$1006,0)), HYPERLINK("#",""), HYPERLINK(CONCATENATE("#Metadata!", ADDRESS(INDEX($X$2:$X$1001,MATCH(ROWS($V$2:V513),$V$2:$V$1001,0),0), INDEX($AC$1004:$AS$1004,1,MATCH(COLUMNS($AC$1006:AI1006),$AC$1006:$AS$1006,0)))),"Fix")))</f>
        <v>0</v>
      </c>
      <c r="I513" s="5">
        <f>IF(OR(INDEX($W$2:$W$1001,MATCH(ROWS($V$2:V513),$V$2:$V$1001,0),1)&gt;=100000,INDEX($AC$1005:$AS$1005,1,MATCH(COLUMNS($AC$1006:AJ1006),$AC$1006:$AS$1006,0))&gt;=100000), " ",IF(INDEX($AC$2:$AS$1001,MATCH(ROWS($V$2:V513),$V$2:$V$1001,0),MATCH(COLUMNS($AC$1006:AJ1006),$AC$1006:$AS$1006,0)), HYPERLINK("#",""), HYPERLINK(CONCATENATE("#Metadata!", ADDRESS(INDEX($X$2:$X$1001,MATCH(ROWS($V$2:V513),$V$2:$V$1001,0),0), INDEX($AC$1004:$AS$1004,1,MATCH(COLUMNS($AC$1006:AJ1006),$AC$1006:$AS$1006,0)))),"Fix")))</f>
        <v>0</v>
      </c>
      <c r="J513" s="5">
        <f>IF(OR(INDEX($W$2:$W$1001,MATCH(ROWS($V$2:V513),$V$2:$V$1001,0),1)&gt;=100000,INDEX($AC$1005:$AS$1005,1,MATCH(COLUMNS($AC$1006:AK1006),$AC$1006:$AS$1006,0))&gt;=100000), " ",IF(INDEX($AC$2:$AS$1001,MATCH(ROWS($V$2:V513),$V$2:$V$1001,0),MATCH(COLUMNS($AC$1006:AK1006),$AC$1006:$AS$1006,0)), HYPERLINK("#",""), HYPERLINK(CONCATENATE("#Metadata!", ADDRESS(INDEX($X$2:$X$1001,MATCH(ROWS($V$2:V513),$V$2:$V$1001,0),0), INDEX($AC$1004:$AS$1004,1,MATCH(COLUMNS($AC$1006:AK1006),$AC$1006:$AS$1006,0)))),"Fix")))</f>
        <v>0</v>
      </c>
      <c r="K513" s="5">
        <f>IF(OR(INDEX($W$2:$W$1001,MATCH(ROWS($V$2:V513),$V$2:$V$1001,0),1)&gt;=100000,INDEX($AC$1005:$AS$1005,1,MATCH(COLUMNS($AC$1006:AL1006),$AC$1006:$AS$1006,0))&gt;=100000), " ",IF(INDEX($AC$2:$AS$1001,MATCH(ROWS($V$2:V513),$V$2:$V$1001,0),MATCH(COLUMNS($AC$1006:AL1006),$AC$1006:$AS$1006,0)), HYPERLINK("#",""), HYPERLINK(CONCATENATE("#Metadata!", ADDRESS(INDEX($X$2:$X$1001,MATCH(ROWS($V$2:V513),$V$2:$V$1001,0),0), INDEX($AC$1004:$AS$1004,1,MATCH(COLUMNS($AC$1006:AL1006),$AC$1006:$AS$1006,0)))),"Fix")))</f>
        <v>0</v>
      </c>
      <c r="L513" s="5">
        <f>IF(OR(INDEX($W$2:$W$1001,MATCH(ROWS($V$2:V513),$V$2:$V$1001,0),1)&gt;=100000,INDEX($AC$1005:$AS$1005,1,MATCH(COLUMNS($AC$1006:AM1006),$AC$1006:$AS$1006,0))&gt;=100000), " ",IF(INDEX($AC$2:$AS$1001,MATCH(ROWS($V$2:V513),$V$2:$V$1001,0),MATCH(COLUMNS($AC$1006:AM1006),$AC$1006:$AS$1006,0)), HYPERLINK("#",""), HYPERLINK(CONCATENATE("#Metadata!", ADDRESS(INDEX($X$2:$X$1001,MATCH(ROWS($V$2:V513),$V$2:$V$1001,0),0), INDEX($AC$1004:$AS$1004,1,MATCH(COLUMNS($AC$1006:AM1006),$AC$1006:$AS$1006,0)))),"Fix")))</f>
        <v>0</v>
      </c>
      <c r="M513" s="5">
        <f>IF(OR(INDEX($W$2:$W$1001,MATCH(ROWS($V$2:V513),$V$2:$V$1001,0),1)&gt;=100000,INDEX($AC$1005:$AS$1005,1,MATCH(COLUMNS($AC$1006:AN1006),$AC$1006:$AS$1006,0))&gt;=100000), " ",IF(INDEX($AC$2:$AS$1001,MATCH(ROWS($V$2:V513),$V$2:$V$1001,0),MATCH(COLUMNS($AC$1006:AN1006),$AC$1006:$AS$1006,0)), HYPERLINK("#",""), HYPERLINK(CONCATENATE("#Metadata!", ADDRESS(INDEX($X$2:$X$1001,MATCH(ROWS($V$2:V513),$V$2:$V$1001,0),0), INDEX($AC$1004:$AS$1004,1,MATCH(COLUMNS($AC$1006:AN1006),$AC$1006:$AS$1006,0)))),"Fix")))</f>
        <v>0</v>
      </c>
      <c r="N513" s="5">
        <f>IF(OR(INDEX($W$2:$W$1001,MATCH(ROWS($V$2:V513),$V$2:$V$1001,0),1)&gt;=100000,INDEX($AC$1005:$AS$1005,1,MATCH(COLUMNS($AC$1006:AO1006),$AC$1006:$AS$1006,0))&gt;=100000), " ",IF(INDEX($AC$2:$AS$1001,MATCH(ROWS($V$2:V513),$V$2:$V$1001,0),MATCH(COLUMNS($AC$1006:AO1006),$AC$1006:$AS$1006,0)), HYPERLINK("#",""), HYPERLINK(CONCATENATE("#Metadata!", ADDRESS(INDEX($X$2:$X$1001,MATCH(ROWS($V$2:V513),$V$2:$V$1001,0),0), INDEX($AC$1004:$AS$1004,1,MATCH(COLUMNS($AC$1006:AO1006),$AC$1006:$AS$1006,0)))),"Fix")))</f>
        <v>0</v>
      </c>
      <c r="O513" s="5">
        <f>IF(OR(INDEX($W$2:$W$1001,MATCH(ROWS($V$2:V513),$V$2:$V$1001,0),1)&gt;=100000,INDEX($AC$1005:$AS$1005,1,MATCH(COLUMNS($AC$1006:AP1006),$AC$1006:$AS$1006,0))&gt;=100000), " ",IF(INDEX($AC$2:$AS$1001,MATCH(ROWS($V$2:V513),$V$2:$V$1001,0),MATCH(COLUMNS($AC$1006:AP1006),$AC$1006:$AS$1006,0)), HYPERLINK("#",""), HYPERLINK(CONCATENATE("#Metadata!", ADDRESS(INDEX($X$2:$X$1001,MATCH(ROWS($V$2:V513),$V$2:$V$1001,0),0), INDEX($AC$1004:$AS$1004,1,MATCH(COLUMNS($AC$1006:AP1006),$AC$1006:$AS$1006,0)))),"Fix")))</f>
        <v>0</v>
      </c>
      <c r="P513" s="5">
        <f>IF(OR(INDEX($W$2:$W$1001,MATCH(ROWS($V$2:V513),$V$2:$V$1001,0),1)&gt;=100000,INDEX($AC$1005:$AS$1005,1,MATCH(COLUMNS($AC$1006:AQ1006),$AC$1006:$AS$1006,0))&gt;=100000), " ",IF(INDEX($AC$2:$AS$1001,MATCH(ROWS($V$2:V513),$V$2:$V$1001,0),MATCH(COLUMNS($AC$1006:AQ1006),$AC$1006:$AS$1006,0)), HYPERLINK("#",""), HYPERLINK(CONCATENATE("#Metadata!", ADDRESS(INDEX($X$2:$X$1001,MATCH(ROWS($V$2:V513),$V$2:$V$1001,0),0), INDEX($AC$1004:$AS$1004,1,MATCH(COLUMNS($AC$1006:AQ1006),$AC$1006:$AS$1006,0)))),"Fix")))</f>
        <v>0</v>
      </c>
      <c r="Q513" s="5">
        <f>IF(OR(INDEX($W$2:$W$1001,MATCH(ROWS($V$2:V513),$V$2:$V$1001,0),1)&gt;=100000,INDEX($AC$1005:$AS$1005,1,MATCH(COLUMNS($AC$1006:AR1006),$AC$1006:$AS$1006,0))&gt;=100000), " ",IF(INDEX($AC$2:$AS$1001,MATCH(ROWS($V$2:V513),$V$2:$V$1001,0),MATCH(COLUMNS($AC$1006:AR1006),$AC$1006:$AS$1006,0)), HYPERLINK("#",""), HYPERLINK(CONCATENATE("#Metadata!", ADDRESS(INDEX($X$2:$X$1001,MATCH(ROWS($V$2:V513),$V$2:$V$1001,0),0), INDEX($AC$1004:$AS$1004,1,MATCH(COLUMNS($AC$1006:AR1006),$AC$1006:$AS$1006,0)))),"Fix")))</f>
        <v>0</v>
      </c>
      <c r="R513" s="5">
        <f>IF(OR(INDEX($W$2:$W$1001,MATCH(ROWS($V$2:V513),$V$2:$V$1001,0),1)&gt;=100000,INDEX($AC$1005:$AS$1005,1,MATCH(COLUMNS($AC$1006:AS1006),$AC$1006:$AS$1006,0))&gt;=100000), " ",IF(INDEX($AC$2:$AS$1001,MATCH(ROWS($V$2:V513),$V$2:$V$1001,0),MATCH(COLUMNS($AC$1006:AS1006),$AC$1006:$AS$1006,0)), HYPERLINK("#",""), HYPERLINK(CONCATENATE("#Metadata!", ADDRESS(INDEX($X$2:$X$1001,MATCH(ROWS($V$2:V513),$V$2:$V$1001,0),0), INDEX($AC$1004:$AS$1004,1,MATCH(COLUMNS($AC$1006:AS1006),$AC$1006:$AS$1006,0)))),"Fix")))</f>
        <v>0</v>
      </c>
      <c r="V513">
        <v>0</v>
      </c>
      <c r="W513">
        <v>0</v>
      </c>
      <c r="X513">
        <v>0</v>
      </c>
      <c r="Y513">
        <f>IF(Z513,TRUE,AND(AC513:AS513))</f>
        <v>0</v>
      </c>
      <c r="Z513">
        <f>COUNTBLANK(Metadata!B513:R513)=COLUMNS(Metadata!B513:R513)</f>
        <v>0</v>
      </c>
      <c r="AA513">
        <v>0</v>
      </c>
      <c r="AC513">
        <f>AND(IF(Metadata!B513="",FALSE,TRUE),COUNTIF(Metadata!B:B, Metadata!B513) = 1,NOT(ISERROR(SUMPRODUCT(SEARCH(MID(Metadata!B513,ROW(INDIRECT("1:"&amp;LEN(Metadata!B513))), 1),"0123456789abcdefghijklmnopqrstuvwxyzABCDEFGHIJKLMNOPQRSTUVWXYZ.")))))</f>
        <v>0</v>
      </c>
      <c r="AD513">
        <f>AND(IF(Metadata!C513="",FALSE,TRUE),exact(Metadata!C513,"Host-associated"))</f>
        <v>0</v>
      </c>
      <c r="AE513">
        <f>AND(IF(Metadata!D513="",FALSE,TRUE),OR(exact(Metadata!D513,"Animal"),exact(Metadata!D513,"Fungus"),exact(Metadata!D513,"Plant")))</f>
        <v>0</v>
      </c>
      <c r="AF513">
        <f>AND(IF(Metadata!E513="",FALSE,TRUE),OR(exact(Metadata!E513,"Plant secretion"),exact(Metadata!E513,"Plant rhizosphere"),exact(Metadata!E513,"Plant surface"),exact(Metadata!E513,"Plant corpus"),exact(Metadata!E513,"Fungus surface"),exact(Metadata!E513,"Fungus corpus"),exact(Metadata!E513,"Animal surface"),exact(Metadata!E513,"Animal proximal gut"),exact(Metadata!E513,"Animal corpus"),exact(Metadata!E513,"Animal distal gut"),exact(Metadata!E513,"Animal secretion")))</f>
        <v>0</v>
      </c>
      <c r="AG513">
        <f>OR(AND(IF(Metadata!F513="",FALSE,TRUE),OR(exact(Metadata!F513,"not collected"),exact(Metadata!F513,"not provided"),exact(Metadata!F513,"restricted access"))),AND(IF(Metadata!F513="",FALSE,TRUE),OR(exact(Metadata!F513,"organism-associated habitat"),exact(Metadata!F513,"plant-associated habitat"),exact(Metadata!F513,"animal-associated habitat"),exact(Metadata!F513,"insecta-associated habitat"),exact(Metadata!F513,"mammalia-associated habitat"),exact(Metadata!F513,"human-associated habitat"),exact(Metadata!F513,"livestock-associated habitat"))))</f>
        <v>0</v>
      </c>
      <c r="AH513">
        <f>AND(IF(Metadata!G513="",FALSE,TRUE),exact(Metadata!G513,"host-associated"))</f>
        <v>0</v>
      </c>
      <c r="AI513">
        <f>OR(AND(IF(Metadata!H513="",FALSE,TRUE),OR(exact(Metadata!H513,"not collected"),exact(Metadata!H513,"not provided"))),AND(IF(Metadata!H513="",FALSE,ISNUMBER(VALUE(Metadata!H513))),Metadata!H513&gt;0))</f>
        <v>0</v>
      </c>
      <c r="AJ513">
        <f>AND(IF(Metadata!I513="",FALSE,TRUE),exact(Metadata!I513,"years"))</f>
        <v>0</v>
      </c>
      <c r="AK513">
        <f>IF(Metadata!J513="",FALSE,TRUE)</f>
        <v>0</v>
      </c>
      <c r="AL513">
        <f>OR(AND(IF(Metadata!K513="",FALSE,TRUE),OR(exact(Metadata!K513,"not collected"),exact(Metadata!K513,"not provided"))),AND(IF(Metadata!K513="",FALSE,ISNUMBER(VALUE(Metadata!K513))),Metadata!K513&gt;0))</f>
        <v>0</v>
      </c>
      <c r="AM513">
        <f>AND(IF(Metadata!L513="",FALSE,TRUE),exact(Metadata!L513,"cm"))</f>
        <v>0</v>
      </c>
      <c r="AN513">
        <f>IF(Metadata!M513="",FALSE,TRUE)</f>
        <v>0</v>
      </c>
      <c r="AO513">
        <f>OR(AND(IF(Metadata!N513="",FALSE,TRUE),OR(exact(Metadata!N513,"not applicable"),exact(Metadata!N513,"not collected"),exact(Metadata!N513,"not provided"))),AND(IF(Metadata!N513="",FALSE,IF(ISERROR(INT(Metadata!N513)),FALSE,INT(Metadata!N513)=Metadata!N513)),Metadata!N513&gt;0))</f>
        <v>0</v>
      </c>
      <c r="AP513">
        <f>OR(AND(IF(Metadata!O513="",FALSE,TRUE),OR(exact(Metadata!O513,"not collected"),exact(Metadata!O513,"not provided"))),AND(IF(Metadata!O513="",FALSE,ISNUMBER(VALUE(Metadata!O513))),Metadata!O513&gt;0))</f>
        <v>0</v>
      </c>
      <c r="AQ513">
        <f>AND(IF(Metadata!P513="",FALSE,TRUE),exact(Metadata!P513,"kg"))</f>
        <v>0</v>
      </c>
      <c r="AR513">
        <f>OR(AND(IF(Metadata!Q513="",FALSE,TRUE),OR(exact(Metadata!Q513,"not applicable"),exact(Metadata!Q513,"not collected"),exact(Metadata!Q513,"not provided"),exact(Metadata!Q513,"restricted access"))),IF(Metadata!Q513="",FALSE,IF(ISERROR(INT(Metadata!Q513)),FALSE,INT(Metadata!Q513)=Metadata!Q513)))</f>
        <v>0</v>
      </c>
      <c r="AS513">
        <f>AND(IF(Metadata!R513="",FALSE,TRUE),exact(Metadata!R513,"Not applicable"))</f>
        <v>0</v>
      </c>
    </row>
    <row r="514" spans="1:45">
      <c r="A514" s="4">
        <f>IF(B514=" "," ",HYPERLINK(CONCATENATE("#metadata!",ADDRESS(INDEX($X$2:$X$1001,MATCH(ROWS($V$2:V514),$V$2:$V$1001,0),0),2)),INDEX($AA$2:$AA$1001,MATCH(ROWS($V$2:V514),$V$2:$V$1001,0),0)))</f>
        <v>0</v>
      </c>
      <c r="B514" s="5">
        <f>IF(OR(INDEX($W$2:$W$1001,MATCH(ROWS($V$2:V514),$V$2:$V$1001,0),1)&gt;=100000,INDEX($AC$1005:$AS$1005,1,MATCH(COLUMNS($AC$1006:AC1006),$AC$1006:$AS$1006,0))&gt;=100000), " ",IF(INDEX($AC$2:$AS$1001,MATCH(ROWS($V$2:V514),$V$2:$V$1001,0),MATCH(COLUMNS($AC$1006:AC1006),$AC$1006:$AS$1006,0)), HYPERLINK("#",""), HYPERLINK(CONCATENATE("#Metadata!", ADDRESS(INDEX($X$2:$X$1001,MATCH(ROWS($V$2:V514),$V$2:$V$1001,0),0), INDEX($AC$1004:$AS$1004,1,MATCH(COLUMNS($AC$1006:AC1006),$AC$1006:$AS$1006,0)))),"Fix")))</f>
        <v>0</v>
      </c>
      <c r="C514" s="5">
        <f>IF(OR(INDEX($W$2:$W$1001,MATCH(ROWS($V$2:V514),$V$2:$V$1001,0),1)&gt;=100000,INDEX($AC$1005:$AS$1005,1,MATCH(COLUMNS($AC$1006:AD1006),$AC$1006:$AS$1006,0))&gt;=100000), " ",IF(INDEX($AC$2:$AS$1001,MATCH(ROWS($V$2:V514),$V$2:$V$1001,0),MATCH(COLUMNS($AC$1006:AD1006),$AC$1006:$AS$1006,0)), HYPERLINK("#",""), HYPERLINK(CONCATENATE("#Metadata!", ADDRESS(INDEX($X$2:$X$1001,MATCH(ROWS($V$2:V514),$V$2:$V$1001,0),0), INDEX($AC$1004:$AS$1004,1,MATCH(COLUMNS($AC$1006:AD1006),$AC$1006:$AS$1006,0)))),"Fix")))</f>
        <v>0</v>
      </c>
      <c r="D514" s="5">
        <f>IF(OR(INDEX($W$2:$W$1001,MATCH(ROWS($V$2:V514),$V$2:$V$1001,0),1)&gt;=100000,INDEX($AC$1005:$AS$1005,1,MATCH(COLUMNS($AC$1006:AE1006),$AC$1006:$AS$1006,0))&gt;=100000), " ",IF(INDEX($AC$2:$AS$1001,MATCH(ROWS($V$2:V514),$V$2:$V$1001,0),MATCH(COLUMNS($AC$1006:AE1006),$AC$1006:$AS$1006,0)), HYPERLINK("#",""), HYPERLINK(CONCATENATE("#Metadata!", ADDRESS(INDEX($X$2:$X$1001,MATCH(ROWS($V$2:V514),$V$2:$V$1001,0),0), INDEX($AC$1004:$AS$1004,1,MATCH(COLUMNS($AC$1006:AE1006),$AC$1006:$AS$1006,0)))),"Fix")))</f>
        <v>0</v>
      </c>
      <c r="E514" s="5">
        <f>IF(OR(INDEX($W$2:$W$1001,MATCH(ROWS($V$2:V514),$V$2:$V$1001,0),1)&gt;=100000,INDEX($AC$1005:$AS$1005,1,MATCH(COLUMNS($AC$1006:AF1006),$AC$1006:$AS$1006,0))&gt;=100000), " ",IF(INDEX($AC$2:$AS$1001,MATCH(ROWS($V$2:V514),$V$2:$V$1001,0),MATCH(COLUMNS($AC$1006:AF1006),$AC$1006:$AS$1006,0)), HYPERLINK("#",""), HYPERLINK(CONCATENATE("#Metadata!", ADDRESS(INDEX($X$2:$X$1001,MATCH(ROWS($V$2:V514),$V$2:$V$1001,0),0), INDEX($AC$1004:$AS$1004,1,MATCH(COLUMNS($AC$1006:AF1006),$AC$1006:$AS$1006,0)))),"Fix")))</f>
        <v>0</v>
      </c>
      <c r="F514" s="5">
        <f>IF(OR(INDEX($W$2:$W$1001,MATCH(ROWS($V$2:V514),$V$2:$V$1001,0),1)&gt;=100000,INDEX($AC$1005:$AS$1005,1,MATCH(COLUMNS($AC$1006:AG1006),$AC$1006:$AS$1006,0))&gt;=100000), " ",IF(INDEX($AC$2:$AS$1001,MATCH(ROWS($V$2:V514),$V$2:$V$1001,0),MATCH(COLUMNS($AC$1006:AG1006),$AC$1006:$AS$1006,0)), HYPERLINK("#",""), HYPERLINK(CONCATENATE("#Metadata!", ADDRESS(INDEX($X$2:$X$1001,MATCH(ROWS($V$2:V514),$V$2:$V$1001,0),0), INDEX($AC$1004:$AS$1004,1,MATCH(COLUMNS($AC$1006:AG1006),$AC$1006:$AS$1006,0)))),"Fix")))</f>
        <v>0</v>
      </c>
      <c r="G514" s="5">
        <f>IF(OR(INDEX($W$2:$W$1001,MATCH(ROWS($V$2:V514),$V$2:$V$1001,0),1)&gt;=100000,INDEX($AC$1005:$AS$1005,1,MATCH(COLUMNS($AC$1006:AH1006),$AC$1006:$AS$1006,0))&gt;=100000), " ",IF(INDEX($AC$2:$AS$1001,MATCH(ROWS($V$2:V514),$V$2:$V$1001,0),MATCH(COLUMNS($AC$1006:AH1006),$AC$1006:$AS$1006,0)), HYPERLINK("#",""), HYPERLINK(CONCATENATE("#Metadata!", ADDRESS(INDEX($X$2:$X$1001,MATCH(ROWS($V$2:V514),$V$2:$V$1001,0),0), INDEX($AC$1004:$AS$1004,1,MATCH(COLUMNS($AC$1006:AH1006),$AC$1006:$AS$1006,0)))),"Fix")))</f>
        <v>0</v>
      </c>
      <c r="H514" s="5">
        <f>IF(OR(INDEX($W$2:$W$1001,MATCH(ROWS($V$2:V514),$V$2:$V$1001,0),1)&gt;=100000,INDEX($AC$1005:$AS$1005,1,MATCH(COLUMNS($AC$1006:AI1006),$AC$1006:$AS$1006,0))&gt;=100000), " ",IF(INDEX($AC$2:$AS$1001,MATCH(ROWS($V$2:V514),$V$2:$V$1001,0),MATCH(COLUMNS($AC$1006:AI1006),$AC$1006:$AS$1006,0)), HYPERLINK("#",""), HYPERLINK(CONCATENATE("#Metadata!", ADDRESS(INDEX($X$2:$X$1001,MATCH(ROWS($V$2:V514),$V$2:$V$1001,0),0), INDEX($AC$1004:$AS$1004,1,MATCH(COLUMNS($AC$1006:AI1006),$AC$1006:$AS$1006,0)))),"Fix")))</f>
        <v>0</v>
      </c>
      <c r="I514" s="5">
        <f>IF(OR(INDEX($W$2:$W$1001,MATCH(ROWS($V$2:V514),$V$2:$V$1001,0),1)&gt;=100000,INDEX($AC$1005:$AS$1005,1,MATCH(COLUMNS($AC$1006:AJ1006),$AC$1006:$AS$1006,0))&gt;=100000), " ",IF(INDEX($AC$2:$AS$1001,MATCH(ROWS($V$2:V514),$V$2:$V$1001,0),MATCH(COLUMNS($AC$1006:AJ1006),$AC$1006:$AS$1006,0)), HYPERLINK("#",""), HYPERLINK(CONCATENATE("#Metadata!", ADDRESS(INDEX($X$2:$X$1001,MATCH(ROWS($V$2:V514),$V$2:$V$1001,0),0), INDEX($AC$1004:$AS$1004,1,MATCH(COLUMNS($AC$1006:AJ1006),$AC$1006:$AS$1006,0)))),"Fix")))</f>
        <v>0</v>
      </c>
      <c r="J514" s="5">
        <f>IF(OR(INDEX($W$2:$W$1001,MATCH(ROWS($V$2:V514),$V$2:$V$1001,0),1)&gt;=100000,INDEX($AC$1005:$AS$1005,1,MATCH(COLUMNS($AC$1006:AK1006),$AC$1006:$AS$1006,0))&gt;=100000), " ",IF(INDEX($AC$2:$AS$1001,MATCH(ROWS($V$2:V514),$V$2:$V$1001,0),MATCH(COLUMNS($AC$1006:AK1006),$AC$1006:$AS$1006,0)), HYPERLINK("#",""), HYPERLINK(CONCATENATE("#Metadata!", ADDRESS(INDEX($X$2:$X$1001,MATCH(ROWS($V$2:V514),$V$2:$V$1001,0),0), INDEX($AC$1004:$AS$1004,1,MATCH(COLUMNS($AC$1006:AK1006),$AC$1006:$AS$1006,0)))),"Fix")))</f>
        <v>0</v>
      </c>
      <c r="K514" s="5">
        <f>IF(OR(INDEX($W$2:$W$1001,MATCH(ROWS($V$2:V514),$V$2:$V$1001,0),1)&gt;=100000,INDEX($AC$1005:$AS$1005,1,MATCH(COLUMNS($AC$1006:AL1006),$AC$1006:$AS$1006,0))&gt;=100000), " ",IF(INDEX($AC$2:$AS$1001,MATCH(ROWS($V$2:V514),$V$2:$V$1001,0),MATCH(COLUMNS($AC$1006:AL1006),$AC$1006:$AS$1006,0)), HYPERLINK("#",""), HYPERLINK(CONCATENATE("#Metadata!", ADDRESS(INDEX($X$2:$X$1001,MATCH(ROWS($V$2:V514),$V$2:$V$1001,0),0), INDEX($AC$1004:$AS$1004,1,MATCH(COLUMNS($AC$1006:AL1006),$AC$1006:$AS$1006,0)))),"Fix")))</f>
        <v>0</v>
      </c>
      <c r="L514" s="5">
        <f>IF(OR(INDEX($W$2:$W$1001,MATCH(ROWS($V$2:V514),$V$2:$V$1001,0),1)&gt;=100000,INDEX($AC$1005:$AS$1005,1,MATCH(COLUMNS($AC$1006:AM1006),$AC$1006:$AS$1006,0))&gt;=100000), " ",IF(INDEX($AC$2:$AS$1001,MATCH(ROWS($V$2:V514),$V$2:$V$1001,0),MATCH(COLUMNS($AC$1006:AM1006),$AC$1006:$AS$1006,0)), HYPERLINK("#",""), HYPERLINK(CONCATENATE("#Metadata!", ADDRESS(INDEX($X$2:$X$1001,MATCH(ROWS($V$2:V514),$V$2:$V$1001,0),0), INDEX($AC$1004:$AS$1004,1,MATCH(COLUMNS($AC$1006:AM1006),$AC$1006:$AS$1006,0)))),"Fix")))</f>
        <v>0</v>
      </c>
      <c r="M514" s="5">
        <f>IF(OR(INDEX($W$2:$W$1001,MATCH(ROWS($V$2:V514),$V$2:$V$1001,0),1)&gt;=100000,INDEX($AC$1005:$AS$1005,1,MATCH(COLUMNS($AC$1006:AN1006),$AC$1006:$AS$1006,0))&gt;=100000), " ",IF(INDEX($AC$2:$AS$1001,MATCH(ROWS($V$2:V514),$V$2:$V$1001,0),MATCH(COLUMNS($AC$1006:AN1006),$AC$1006:$AS$1006,0)), HYPERLINK("#",""), HYPERLINK(CONCATENATE("#Metadata!", ADDRESS(INDEX($X$2:$X$1001,MATCH(ROWS($V$2:V514),$V$2:$V$1001,0),0), INDEX($AC$1004:$AS$1004,1,MATCH(COLUMNS($AC$1006:AN1006),$AC$1006:$AS$1006,0)))),"Fix")))</f>
        <v>0</v>
      </c>
      <c r="N514" s="5">
        <f>IF(OR(INDEX($W$2:$W$1001,MATCH(ROWS($V$2:V514),$V$2:$V$1001,0),1)&gt;=100000,INDEX($AC$1005:$AS$1005,1,MATCH(COLUMNS($AC$1006:AO1006),$AC$1006:$AS$1006,0))&gt;=100000), " ",IF(INDEX($AC$2:$AS$1001,MATCH(ROWS($V$2:V514),$V$2:$V$1001,0),MATCH(COLUMNS($AC$1006:AO1006),$AC$1006:$AS$1006,0)), HYPERLINK("#",""), HYPERLINK(CONCATENATE("#Metadata!", ADDRESS(INDEX($X$2:$X$1001,MATCH(ROWS($V$2:V514),$V$2:$V$1001,0),0), INDEX($AC$1004:$AS$1004,1,MATCH(COLUMNS($AC$1006:AO1006),$AC$1006:$AS$1006,0)))),"Fix")))</f>
        <v>0</v>
      </c>
      <c r="O514" s="5">
        <f>IF(OR(INDEX($W$2:$W$1001,MATCH(ROWS($V$2:V514),$V$2:$V$1001,0),1)&gt;=100000,INDEX($AC$1005:$AS$1005,1,MATCH(COLUMNS($AC$1006:AP1006),$AC$1006:$AS$1006,0))&gt;=100000), " ",IF(INDEX($AC$2:$AS$1001,MATCH(ROWS($V$2:V514),$V$2:$V$1001,0),MATCH(COLUMNS($AC$1006:AP1006),$AC$1006:$AS$1006,0)), HYPERLINK("#",""), HYPERLINK(CONCATENATE("#Metadata!", ADDRESS(INDEX($X$2:$X$1001,MATCH(ROWS($V$2:V514),$V$2:$V$1001,0),0), INDEX($AC$1004:$AS$1004,1,MATCH(COLUMNS($AC$1006:AP1006),$AC$1006:$AS$1006,0)))),"Fix")))</f>
        <v>0</v>
      </c>
      <c r="P514" s="5">
        <f>IF(OR(INDEX($W$2:$W$1001,MATCH(ROWS($V$2:V514),$V$2:$V$1001,0),1)&gt;=100000,INDEX($AC$1005:$AS$1005,1,MATCH(COLUMNS($AC$1006:AQ1006),$AC$1006:$AS$1006,0))&gt;=100000), " ",IF(INDEX($AC$2:$AS$1001,MATCH(ROWS($V$2:V514),$V$2:$V$1001,0),MATCH(COLUMNS($AC$1006:AQ1006),$AC$1006:$AS$1006,0)), HYPERLINK("#",""), HYPERLINK(CONCATENATE("#Metadata!", ADDRESS(INDEX($X$2:$X$1001,MATCH(ROWS($V$2:V514),$V$2:$V$1001,0),0), INDEX($AC$1004:$AS$1004,1,MATCH(COLUMNS($AC$1006:AQ1006),$AC$1006:$AS$1006,0)))),"Fix")))</f>
        <v>0</v>
      </c>
      <c r="Q514" s="5">
        <f>IF(OR(INDEX($W$2:$W$1001,MATCH(ROWS($V$2:V514),$V$2:$V$1001,0),1)&gt;=100000,INDEX($AC$1005:$AS$1005,1,MATCH(COLUMNS($AC$1006:AR1006),$AC$1006:$AS$1006,0))&gt;=100000), " ",IF(INDEX($AC$2:$AS$1001,MATCH(ROWS($V$2:V514),$V$2:$V$1001,0),MATCH(COLUMNS($AC$1006:AR1006),$AC$1006:$AS$1006,0)), HYPERLINK("#",""), HYPERLINK(CONCATENATE("#Metadata!", ADDRESS(INDEX($X$2:$X$1001,MATCH(ROWS($V$2:V514),$V$2:$V$1001,0),0), INDEX($AC$1004:$AS$1004,1,MATCH(COLUMNS($AC$1006:AR1006),$AC$1006:$AS$1006,0)))),"Fix")))</f>
        <v>0</v>
      </c>
      <c r="R514" s="5">
        <f>IF(OR(INDEX($W$2:$W$1001,MATCH(ROWS($V$2:V514),$V$2:$V$1001,0),1)&gt;=100000,INDEX($AC$1005:$AS$1005,1,MATCH(COLUMNS($AC$1006:AS1006),$AC$1006:$AS$1006,0))&gt;=100000), " ",IF(INDEX($AC$2:$AS$1001,MATCH(ROWS($V$2:V514),$V$2:$V$1001,0),MATCH(COLUMNS($AC$1006:AS1006),$AC$1006:$AS$1006,0)), HYPERLINK("#",""), HYPERLINK(CONCATENATE("#Metadata!", ADDRESS(INDEX($X$2:$X$1001,MATCH(ROWS($V$2:V514),$V$2:$V$1001,0),0), INDEX($AC$1004:$AS$1004,1,MATCH(COLUMNS($AC$1006:AS1006),$AC$1006:$AS$1006,0)))),"Fix")))</f>
        <v>0</v>
      </c>
      <c r="V514">
        <v>0</v>
      </c>
      <c r="W514">
        <v>0</v>
      </c>
      <c r="X514">
        <v>0</v>
      </c>
      <c r="Y514">
        <f>IF(Z514,TRUE,AND(AC514:AS514))</f>
        <v>0</v>
      </c>
      <c r="Z514">
        <f>COUNTBLANK(Metadata!B514:R514)=COLUMNS(Metadata!B514:R514)</f>
        <v>0</v>
      </c>
      <c r="AA514">
        <v>0</v>
      </c>
      <c r="AC514">
        <f>AND(IF(Metadata!B514="",FALSE,TRUE),COUNTIF(Metadata!B:B, Metadata!B514) = 1,NOT(ISERROR(SUMPRODUCT(SEARCH(MID(Metadata!B514,ROW(INDIRECT("1:"&amp;LEN(Metadata!B514))), 1),"0123456789abcdefghijklmnopqrstuvwxyzABCDEFGHIJKLMNOPQRSTUVWXYZ.")))))</f>
        <v>0</v>
      </c>
      <c r="AD514">
        <f>AND(IF(Metadata!C514="",FALSE,TRUE),exact(Metadata!C514,"Host-associated"))</f>
        <v>0</v>
      </c>
      <c r="AE514">
        <f>AND(IF(Metadata!D514="",FALSE,TRUE),OR(exact(Metadata!D514,"Animal"),exact(Metadata!D514,"Fungus"),exact(Metadata!D514,"Plant")))</f>
        <v>0</v>
      </c>
      <c r="AF514">
        <f>AND(IF(Metadata!E514="",FALSE,TRUE),OR(exact(Metadata!E514,"Plant secretion"),exact(Metadata!E514,"Plant rhizosphere"),exact(Metadata!E514,"Plant surface"),exact(Metadata!E514,"Plant corpus"),exact(Metadata!E514,"Fungus surface"),exact(Metadata!E514,"Fungus corpus"),exact(Metadata!E514,"Animal surface"),exact(Metadata!E514,"Animal proximal gut"),exact(Metadata!E514,"Animal corpus"),exact(Metadata!E514,"Animal distal gut"),exact(Metadata!E514,"Animal secretion")))</f>
        <v>0</v>
      </c>
      <c r="AG514">
        <f>OR(AND(IF(Metadata!F514="",FALSE,TRUE),OR(exact(Metadata!F514,"not collected"),exact(Metadata!F514,"not provided"),exact(Metadata!F514,"restricted access"))),AND(IF(Metadata!F514="",FALSE,TRUE),OR(exact(Metadata!F514,"organism-associated habitat"),exact(Metadata!F514,"plant-associated habitat"),exact(Metadata!F514,"animal-associated habitat"),exact(Metadata!F514,"insecta-associated habitat"),exact(Metadata!F514,"mammalia-associated habitat"),exact(Metadata!F514,"human-associated habitat"),exact(Metadata!F514,"livestock-associated habitat"))))</f>
        <v>0</v>
      </c>
      <c r="AH514">
        <f>AND(IF(Metadata!G514="",FALSE,TRUE),exact(Metadata!G514,"host-associated"))</f>
        <v>0</v>
      </c>
      <c r="AI514">
        <f>OR(AND(IF(Metadata!H514="",FALSE,TRUE),OR(exact(Metadata!H514,"not collected"),exact(Metadata!H514,"not provided"))),AND(IF(Metadata!H514="",FALSE,ISNUMBER(VALUE(Metadata!H514))),Metadata!H514&gt;0))</f>
        <v>0</v>
      </c>
      <c r="AJ514">
        <f>AND(IF(Metadata!I514="",FALSE,TRUE),exact(Metadata!I514,"years"))</f>
        <v>0</v>
      </c>
      <c r="AK514">
        <f>IF(Metadata!J514="",FALSE,TRUE)</f>
        <v>0</v>
      </c>
      <c r="AL514">
        <f>OR(AND(IF(Metadata!K514="",FALSE,TRUE),OR(exact(Metadata!K514,"not collected"),exact(Metadata!K514,"not provided"))),AND(IF(Metadata!K514="",FALSE,ISNUMBER(VALUE(Metadata!K514))),Metadata!K514&gt;0))</f>
        <v>0</v>
      </c>
      <c r="AM514">
        <f>AND(IF(Metadata!L514="",FALSE,TRUE),exact(Metadata!L514,"cm"))</f>
        <v>0</v>
      </c>
      <c r="AN514">
        <f>IF(Metadata!M514="",FALSE,TRUE)</f>
        <v>0</v>
      </c>
      <c r="AO514">
        <f>OR(AND(IF(Metadata!N514="",FALSE,TRUE),OR(exact(Metadata!N514,"not applicable"),exact(Metadata!N514,"not collected"),exact(Metadata!N514,"not provided"))),AND(IF(Metadata!N514="",FALSE,IF(ISERROR(INT(Metadata!N514)),FALSE,INT(Metadata!N514)=Metadata!N514)),Metadata!N514&gt;0))</f>
        <v>0</v>
      </c>
      <c r="AP514">
        <f>OR(AND(IF(Metadata!O514="",FALSE,TRUE),OR(exact(Metadata!O514,"not collected"),exact(Metadata!O514,"not provided"))),AND(IF(Metadata!O514="",FALSE,ISNUMBER(VALUE(Metadata!O514))),Metadata!O514&gt;0))</f>
        <v>0</v>
      </c>
      <c r="AQ514">
        <f>AND(IF(Metadata!P514="",FALSE,TRUE),exact(Metadata!P514,"kg"))</f>
        <v>0</v>
      </c>
      <c r="AR514">
        <f>OR(AND(IF(Metadata!Q514="",FALSE,TRUE),OR(exact(Metadata!Q514,"not applicable"),exact(Metadata!Q514,"not collected"),exact(Metadata!Q514,"not provided"),exact(Metadata!Q514,"restricted access"))),IF(Metadata!Q514="",FALSE,IF(ISERROR(INT(Metadata!Q514)),FALSE,INT(Metadata!Q514)=Metadata!Q514)))</f>
        <v>0</v>
      </c>
      <c r="AS514">
        <f>AND(IF(Metadata!R514="",FALSE,TRUE),exact(Metadata!R514,"Not applicable"))</f>
        <v>0</v>
      </c>
    </row>
    <row r="515" spans="1:45">
      <c r="A515" s="4">
        <f>IF(B515=" "," ",HYPERLINK(CONCATENATE("#metadata!",ADDRESS(INDEX($X$2:$X$1001,MATCH(ROWS($V$2:V515),$V$2:$V$1001,0),0),2)),INDEX($AA$2:$AA$1001,MATCH(ROWS($V$2:V515),$V$2:$V$1001,0),0)))</f>
        <v>0</v>
      </c>
      <c r="B515" s="5">
        <f>IF(OR(INDEX($W$2:$W$1001,MATCH(ROWS($V$2:V515),$V$2:$V$1001,0),1)&gt;=100000,INDEX($AC$1005:$AS$1005,1,MATCH(COLUMNS($AC$1006:AC1006),$AC$1006:$AS$1006,0))&gt;=100000), " ",IF(INDEX($AC$2:$AS$1001,MATCH(ROWS($V$2:V515),$V$2:$V$1001,0),MATCH(COLUMNS($AC$1006:AC1006),$AC$1006:$AS$1006,0)), HYPERLINK("#",""), HYPERLINK(CONCATENATE("#Metadata!", ADDRESS(INDEX($X$2:$X$1001,MATCH(ROWS($V$2:V515),$V$2:$V$1001,0),0), INDEX($AC$1004:$AS$1004,1,MATCH(COLUMNS($AC$1006:AC1006),$AC$1006:$AS$1006,0)))),"Fix")))</f>
        <v>0</v>
      </c>
      <c r="C515" s="5">
        <f>IF(OR(INDEX($W$2:$W$1001,MATCH(ROWS($V$2:V515),$V$2:$V$1001,0),1)&gt;=100000,INDEX($AC$1005:$AS$1005,1,MATCH(COLUMNS($AC$1006:AD1006),$AC$1006:$AS$1006,0))&gt;=100000), " ",IF(INDEX($AC$2:$AS$1001,MATCH(ROWS($V$2:V515),$V$2:$V$1001,0),MATCH(COLUMNS($AC$1006:AD1006),$AC$1006:$AS$1006,0)), HYPERLINK("#",""), HYPERLINK(CONCATENATE("#Metadata!", ADDRESS(INDEX($X$2:$X$1001,MATCH(ROWS($V$2:V515),$V$2:$V$1001,0),0), INDEX($AC$1004:$AS$1004,1,MATCH(COLUMNS($AC$1006:AD1006),$AC$1006:$AS$1006,0)))),"Fix")))</f>
        <v>0</v>
      </c>
      <c r="D515" s="5">
        <f>IF(OR(INDEX($W$2:$W$1001,MATCH(ROWS($V$2:V515),$V$2:$V$1001,0),1)&gt;=100000,INDEX($AC$1005:$AS$1005,1,MATCH(COLUMNS($AC$1006:AE1006),$AC$1006:$AS$1006,0))&gt;=100000), " ",IF(INDEX($AC$2:$AS$1001,MATCH(ROWS($V$2:V515),$V$2:$V$1001,0),MATCH(COLUMNS($AC$1006:AE1006),$AC$1006:$AS$1006,0)), HYPERLINK("#",""), HYPERLINK(CONCATENATE("#Metadata!", ADDRESS(INDEX($X$2:$X$1001,MATCH(ROWS($V$2:V515),$V$2:$V$1001,0),0), INDEX($AC$1004:$AS$1004,1,MATCH(COLUMNS($AC$1006:AE1006),$AC$1006:$AS$1006,0)))),"Fix")))</f>
        <v>0</v>
      </c>
      <c r="E515" s="5">
        <f>IF(OR(INDEX($W$2:$W$1001,MATCH(ROWS($V$2:V515),$V$2:$V$1001,0),1)&gt;=100000,INDEX($AC$1005:$AS$1005,1,MATCH(COLUMNS($AC$1006:AF1006),$AC$1006:$AS$1006,0))&gt;=100000), " ",IF(INDEX($AC$2:$AS$1001,MATCH(ROWS($V$2:V515),$V$2:$V$1001,0),MATCH(COLUMNS($AC$1006:AF1006),$AC$1006:$AS$1006,0)), HYPERLINK("#",""), HYPERLINK(CONCATENATE("#Metadata!", ADDRESS(INDEX($X$2:$X$1001,MATCH(ROWS($V$2:V515),$V$2:$V$1001,0),0), INDEX($AC$1004:$AS$1004,1,MATCH(COLUMNS($AC$1006:AF1006),$AC$1006:$AS$1006,0)))),"Fix")))</f>
        <v>0</v>
      </c>
      <c r="F515" s="5">
        <f>IF(OR(INDEX($W$2:$W$1001,MATCH(ROWS($V$2:V515),$V$2:$V$1001,0),1)&gt;=100000,INDEX($AC$1005:$AS$1005,1,MATCH(COLUMNS($AC$1006:AG1006),$AC$1006:$AS$1006,0))&gt;=100000), " ",IF(INDEX($AC$2:$AS$1001,MATCH(ROWS($V$2:V515),$V$2:$V$1001,0),MATCH(COLUMNS($AC$1006:AG1006),$AC$1006:$AS$1006,0)), HYPERLINK("#",""), HYPERLINK(CONCATENATE("#Metadata!", ADDRESS(INDEX($X$2:$X$1001,MATCH(ROWS($V$2:V515),$V$2:$V$1001,0),0), INDEX($AC$1004:$AS$1004,1,MATCH(COLUMNS($AC$1006:AG1006),$AC$1006:$AS$1006,0)))),"Fix")))</f>
        <v>0</v>
      </c>
      <c r="G515" s="5">
        <f>IF(OR(INDEX($W$2:$W$1001,MATCH(ROWS($V$2:V515),$V$2:$V$1001,0),1)&gt;=100000,INDEX($AC$1005:$AS$1005,1,MATCH(COLUMNS($AC$1006:AH1006),$AC$1006:$AS$1006,0))&gt;=100000), " ",IF(INDEX($AC$2:$AS$1001,MATCH(ROWS($V$2:V515),$V$2:$V$1001,0),MATCH(COLUMNS($AC$1006:AH1006),$AC$1006:$AS$1006,0)), HYPERLINK("#",""), HYPERLINK(CONCATENATE("#Metadata!", ADDRESS(INDEX($X$2:$X$1001,MATCH(ROWS($V$2:V515),$V$2:$V$1001,0),0), INDEX($AC$1004:$AS$1004,1,MATCH(COLUMNS($AC$1006:AH1006),$AC$1006:$AS$1006,0)))),"Fix")))</f>
        <v>0</v>
      </c>
      <c r="H515" s="5">
        <f>IF(OR(INDEX($W$2:$W$1001,MATCH(ROWS($V$2:V515),$V$2:$V$1001,0),1)&gt;=100000,INDEX($AC$1005:$AS$1005,1,MATCH(COLUMNS($AC$1006:AI1006),$AC$1006:$AS$1006,0))&gt;=100000), " ",IF(INDEX($AC$2:$AS$1001,MATCH(ROWS($V$2:V515),$V$2:$V$1001,0),MATCH(COLUMNS($AC$1006:AI1006),$AC$1006:$AS$1006,0)), HYPERLINK("#",""), HYPERLINK(CONCATENATE("#Metadata!", ADDRESS(INDEX($X$2:$X$1001,MATCH(ROWS($V$2:V515),$V$2:$V$1001,0),0), INDEX($AC$1004:$AS$1004,1,MATCH(COLUMNS($AC$1006:AI1006),$AC$1006:$AS$1006,0)))),"Fix")))</f>
        <v>0</v>
      </c>
      <c r="I515" s="5">
        <f>IF(OR(INDEX($W$2:$W$1001,MATCH(ROWS($V$2:V515),$V$2:$V$1001,0),1)&gt;=100000,INDEX($AC$1005:$AS$1005,1,MATCH(COLUMNS($AC$1006:AJ1006),$AC$1006:$AS$1006,0))&gt;=100000), " ",IF(INDEX($AC$2:$AS$1001,MATCH(ROWS($V$2:V515),$V$2:$V$1001,0),MATCH(COLUMNS($AC$1006:AJ1006),$AC$1006:$AS$1006,0)), HYPERLINK("#",""), HYPERLINK(CONCATENATE("#Metadata!", ADDRESS(INDEX($X$2:$X$1001,MATCH(ROWS($V$2:V515),$V$2:$V$1001,0),0), INDEX($AC$1004:$AS$1004,1,MATCH(COLUMNS($AC$1006:AJ1006),$AC$1006:$AS$1006,0)))),"Fix")))</f>
        <v>0</v>
      </c>
      <c r="J515" s="5">
        <f>IF(OR(INDEX($W$2:$W$1001,MATCH(ROWS($V$2:V515),$V$2:$V$1001,0),1)&gt;=100000,INDEX($AC$1005:$AS$1005,1,MATCH(COLUMNS($AC$1006:AK1006),$AC$1006:$AS$1006,0))&gt;=100000), " ",IF(INDEX($AC$2:$AS$1001,MATCH(ROWS($V$2:V515),$V$2:$V$1001,0),MATCH(COLUMNS($AC$1006:AK1006),$AC$1006:$AS$1006,0)), HYPERLINK("#",""), HYPERLINK(CONCATENATE("#Metadata!", ADDRESS(INDEX($X$2:$X$1001,MATCH(ROWS($V$2:V515),$V$2:$V$1001,0),0), INDEX($AC$1004:$AS$1004,1,MATCH(COLUMNS($AC$1006:AK1006),$AC$1006:$AS$1006,0)))),"Fix")))</f>
        <v>0</v>
      </c>
      <c r="K515" s="5">
        <f>IF(OR(INDEX($W$2:$W$1001,MATCH(ROWS($V$2:V515),$V$2:$V$1001,0),1)&gt;=100000,INDEX($AC$1005:$AS$1005,1,MATCH(COLUMNS($AC$1006:AL1006),$AC$1006:$AS$1006,0))&gt;=100000), " ",IF(INDEX($AC$2:$AS$1001,MATCH(ROWS($V$2:V515),$V$2:$V$1001,0),MATCH(COLUMNS($AC$1006:AL1006),$AC$1006:$AS$1006,0)), HYPERLINK("#",""), HYPERLINK(CONCATENATE("#Metadata!", ADDRESS(INDEX($X$2:$X$1001,MATCH(ROWS($V$2:V515),$V$2:$V$1001,0),0), INDEX($AC$1004:$AS$1004,1,MATCH(COLUMNS($AC$1006:AL1006),$AC$1006:$AS$1006,0)))),"Fix")))</f>
        <v>0</v>
      </c>
      <c r="L515" s="5">
        <f>IF(OR(INDEX($W$2:$W$1001,MATCH(ROWS($V$2:V515),$V$2:$V$1001,0),1)&gt;=100000,INDEX($AC$1005:$AS$1005,1,MATCH(COLUMNS($AC$1006:AM1006),$AC$1006:$AS$1006,0))&gt;=100000), " ",IF(INDEX($AC$2:$AS$1001,MATCH(ROWS($V$2:V515),$V$2:$V$1001,0),MATCH(COLUMNS($AC$1006:AM1006),$AC$1006:$AS$1006,0)), HYPERLINK("#",""), HYPERLINK(CONCATENATE("#Metadata!", ADDRESS(INDEX($X$2:$X$1001,MATCH(ROWS($V$2:V515),$V$2:$V$1001,0),0), INDEX($AC$1004:$AS$1004,1,MATCH(COLUMNS($AC$1006:AM1006),$AC$1006:$AS$1006,0)))),"Fix")))</f>
        <v>0</v>
      </c>
      <c r="M515" s="5">
        <f>IF(OR(INDEX($W$2:$W$1001,MATCH(ROWS($V$2:V515),$V$2:$V$1001,0),1)&gt;=100000,INDEX($AC$1005:$AS$1005,1,MATCH(COLUMNS($AC$1006:AN1006),$AC$1006:$AS$1006,0))&gt;=100000), " ",IF(INDEX($AC$2:$AS$1001,MATCH(ROWS($V$2:V515),$V$2:$V$1001,0),MATCH(COLUMNS($AC$1006:AN1006),$AC$1006:$AS$1006,0)), HYPERLINK("#",""), HYPERLINK(CONCATENATE("#Metadata!", ADDRESS(INDEX($X$2:$X$1001,MATCH(ROWS($V$2:V515),$V$2:$V$1001,0),0), INDEX($AC$1004:$AS$1004,1,MATCH(COLUMNS($AC$1006:AN1006),$AC$1006:$AS$1006,0)))),"Fix")))</f>
        <v>0</v>
      </c>
      <c r="N515" s="5">
        <f>IF(OR(INDEX($W$2:$W$1001,MATCH(ROWS($V$2:V515),$V$2:$V$1001,0),1)&gt;=100000,INDEX($AC$1005:$AS$1005,1,MATCH(COLUMNS($AC$1006:AO1006),$AC$1006:$AS$1006,0))&gt;=100000), " ",IF(INDEX($AC$2:$AS$1001,MATCH(ROWS($V$2:V515),$V$2:$V$1001,0),MATCH(COLUMNS($AC$1006:AO1006),$AC$1006:$AS$1006,0)), HYPERLINK("#",""), HYPERLINK(CONCATENATE("#Metadata!", ADDRESS(INDEX($X$2:$X$1001,MATCH(ROWS($V$2:V515),$V$2:$V$1001,0),0), INDEX($AC$1004:$AS$1004,1,MATCH(COLUMNS($AC$1006:AO1006),$AC$1006:$AS$1006,0)))),"Fix")))</f>
        <v>0</v>
      </c>
      <c r="O515" s="5">
        <f>IF(OR(INDEX($W$2:$W$1001,MATCH(ROWS($V$2:V515),$V$2:$V$1001,0),1)&gt;=100000,INDEX($AC$1005:$AS$1005,1,MATCH(COLUMNS($AC$1006:AP1006),$AC$1006:$AS$1006,0))&gt;=100000), " ",IF(INDEX($AC$2:$AS$1001,MATCH(ROWS($V$2:V515),$V$2:$V$1001,0),MATCH(COLUMNS($AC$1006:AP1006),$AC$1006:$AS$1006,0)), HYPERLINK("#",""), HYPERLINK(CONCATENATE("#Metadata!", ADDRESS(INDEX($X$2:$X$1001,MATCH(ROWS($V$2:V515),$V$2:$V$1001,0),0), INDEX($AC$1004:$AS$1004,1,MATCH(COLUMNS($AC$1006:AP1006),$AC$1006:$AS$1006,0)))),"Fix")))</f>
        <v>0</v>
      </c>
      <c r="P515" s="5">
        <f>IF(OR(INDEX($W$2:$W$1001,MATCH(ROWS($V$2:V515),$V$2:$V$1001,0),1)&gt;=100000,INDEX($AC$1005:$AS$1005,1,MATCH(COLUMNS($AC$1006:AQ1006),$AC$1006:$AS$1006,0))&gt;=100000), " ",IF(INDEX($AC$2:$AS$1001,MATCH(ROWS($V$2:V515),$V$2:$V$1001,0),MATCH(COLUMNS($AC$1006:AQ1006),$AC$1006:$AS$1006,0)), HYPERLINK("#",""), HYPERLINK(CONCATENATE("#Metadata!", ADDRESS(INDEX($X$2:$X$1001,MATCH(ROWS($V$2:V515),$V$2:$V$1001,0),0), INDEX($AC$1004:$AS$1004,1,MATCH(COLUMNS($AC$1006:AQ1006),$AC$1006:$AS$1006,0)))),"Fix")))</f>
        <v>0</v>
      </c>
      <c r="Q515" s="5">
        <f>IF(OR(INDEX($W$2:$W$1001,MATCH(ROWS($V$2:V515),$V$2:$V$1001,0),1)&gt;=100000,INDEX($AC$1005:$AS$1005,1,MATCH(COLUMNS($AC$1006:AR1006),$AC$1006:$AS$1006,0))&gt;=100000), " ",IF(INDEX($AC$2:$AS$1001,MATCH(ROWS($V$2:V515),$V$2:$V$1001,0),MATCH(COLUMNS($AC$1006:AR1006),$AC$1006:$AS$1006,0)), HYPERLINK("#",""), HYPERLINK(CONCATENATE("#Metadata!", ADDRESS(INDEX($X$2:$X$1001,MATCH(ROWS($V$2:V515),$V$2:$V$1001,0),0), INDEX($AC$1004:$AS$1004,1,MATCH(COLUMNS($AC$1006:AR1006),$AC$1006:$AS$1006,0)))),"Fix")))</f>
        <v>0</v>
      </c>
      <c r="R515" s="5">
        <f>IF(OR(INDEX($W$2:$W$1001,MATCH(ROWS($V$2:V515),$V$2:$V$1001,0),1)&gt;=100000,INDEX($AC$1005:$AS$1005,1,MATCH(COLUMNS($AC$1006:AS1006),$AC$1006:$AS$1006,0))&gt;=100000), " ",IF(INDEX($AC$2:$AS$1001,MATCH(ROWS($V$2:V515),$V$2:$V$1001,0),MATCH(COLUMNS($AC$1006:AS1006),$AC$1006:$AS$1006,0)), HYPERLINK("#",""), HYPERLINK(CONCATENATE("#Metadata!", ADDRESS(INDEX($X$2:$X$1001,MATCH(ROWS($V$2:V515),$V$2:$V$1001,0),0), INDEX($AC$1004:$AS$1004,1,MATCH(COLUMNS($AC$1006:AS1006),$AC$1006:$AS$1006,0)))),"Fix")))</f>
        <v>0</v>
      </c>
      <c r="V515">
        <v>0</v>
      </c>
      <c r="W515">
        <v>0</v>
      </c>
      <c r="X515">
        <v>0</v>
      </c>
      <c r="Y515">
        <f>IF(Z515,TRUE,AND(AC515:AS515))</f>
        <v>0</v>
      </c>
      <c r="Z515">
        <f>COUNTBLANK(Metadata!B515:R515)=COLUMNS(Metadata!B515:R515)</f>
        <v>0</v>
      </c>
      <c r="AA515">
        <v>0</v>
      </c>
      <c r="AC515">
        <f>AND(IF(Metadata!B515="",FALSE,TRUE),COUNTIF(Metadata!B:B, Metadata!B515) = 1,NOT(ISERROR(SUMPRODUCT(SEARCH(MID(Metadata!B515,ROW(INDIRECT("1:"&amp;LEN(Metadata!B515))), 1),"0123456789abcdefghijklmnopqrstuvwxyzABCDEFGHIJKLMNOPQRSTUVWXYZ.")))))</f>
        <v>0</v>
      </c>
      <c r="AD515">
        <f>AND(IF(Metadata!C515="",FALSE,TRUE),exact(Metadata!C515,"Host-associated"))</f>
        <v>0</v>
      </c>
      <c r="AE515">
        <f>AND(IF(Metadata!D515="",FALSE,TRUE),OR(exact(Metadata!D515,"Animal"),exact(Metadata!D515,"Fungus"),exact(Metadata!D515,"Plant")))</f>
        <v>0</v>
      </c>
      <c r="AF515">
        <f>AND(IF(Metadata!E515="",FALSE,TRUE),OR(exact(Metadata!E515,"Plant secretion"),exact(Metadata!E515,"Plant rhizosphere"),exact(Metadata!E515,"Plant surface"),exact(Metadata!E515,"Plant corpus"),exact(Metadata!E515,"Fungus surface"),exact(Metadata!E515,"Fungus corpus"),exact(Metadata!E515,"Animal surface"),exact(Metadata!E515,"Animal proximal gut"),exact(Metadata!E515,"Animal corpus"),exact(Metadata!E515,"Animal distal gut"),exact(Metadata!E515,"Animal secretion")))</f>
        <v>0</v>
      </c>
      <c r="AG515">
        <f>OR(AND(IF(Metadata!F515="",FALSE,TRUE),OR(exact(Metadata!F515,"not collected"),exact(Metadata!F515,"not provided"),exact(Metadata!F515,"restricted access"))),AND(IF(Metadata!F515="",FALSE,TRUE),OR(exact(Metadata!F515,"organism-associated habitat"),exact(Metadata!F515,"plant-associated habitat"),exact(Metadata!F515,"animal-associated habitat"),exact(Metadata!F515,"insecta-associated habitat"),exact(Metadata!F515,"mammalia-associated habitat"),exact(Metadata!F515,"human-associated habitat"),exact(Metadata!F515,"livestock-associated habitat"))))</f>
        <v>0</v>
      </c>
      <c r="AH515">
        <f>AND(IF(Metadata!G515="",FALSE,TRUE),exact(Metadata!G515,"host-associated"))</f>
        <v>0</v>
      </c>
      <c r="AI515">
        <f>OR(AND(IF(Metadata!H515="",FALSE,TRUE),OR(exact(Metadata!H515,"not collected"),exact(Metadata!H515,"not provided"))),AND(IF(Metadata!H515="",FALSE,ISNUMBER(VALUE(Metadata!H515))),Metadata!H515&gt;0))</f>
        <v>0</v>
      </c>
      <c r="AJ515">
        <f>AND(IF(Metadata!I515="",FALSE,TRUE),exact(Metadata!I515,"years"))</f>
        <v>0</v>
      </c>
      <c r="AK515">
        <f>IF(Metadata!J515="",FALSE,TRUE)</f>
        <v>0</v>
      </c>
      <c r="AL515">
        <f>OR(AND(IF(Metadata!K515="",FALSE,TRUE),OR(exact(Metadata!K515,"not collected"),exact(Metadata!K515,"not provided"))),AND(IF(Metadata!K515="",FALSE,ISNUMBER(VALUE(Metadata!K515))),Metadata!K515&gt;0))</f>
        <v>0</v>
      </c>
      <c r="AM515">
        <f>AND(IF(Metadata!L515="",FALSE,TRUE),exact(Metadata!L515,"cm"))</f>
        <v>0</v>
      </c>
      <c r="AN515">
        <f>IF(Metadata!M515="",FALSE,TRUE)</f>
        <v>0</v>
      </c>
      <c r="AO515">
        <f>OR(AND(IF(Metadata!N515="",FALSE,TRUE),OR(exact(Metadata!N515,"not applicable"),exact(Metadata!N515,"not collected"),exact(Metadata!N515,"not provided"))),AND(IF(Metadata!N515="",FALSE,IF(ISERROR(INT(Metadata!N515)),FALSE,INT(Metadata!N515)=Metadata!N515)),Metadata!N515&gt;0))</f>
        <v>0</v>
      </c>
      <c r="AP515">
        <f>OR(AND(IF(Metadata!O515="",FALSE,TRUE),OR(exact(Metadata!O515,"not collected"),exact(Metadata!O515,"not provided"))),AND(IF(Metadata!O515="",FALSE,ISNUMBER(VALUE(Metadata!O515))),Metadata!O515&gt;0))</f>
        <v>0</v>
      </c>
      <c r="AQ515">
        <f>AND(IF(Metadata!P515="",FALSE,TRUE),exact(Metadata!P515,"kg"))</f>
        <v>0</v>
      </c>
      <c r="AR515">
        <f>OR(AND(IF(Metadata!Q515="",FALSE,TRUE),OR(exact(Metadata!Q515,"not applicable"),exact(Metadata!Q515,"not collected"),exact(Metadata!Q515,"not provided"),exact(Metadata!Q515,"restricted access"))),IF(Metadata!Q515="",FALSE,IF(ISERROR(INT(Metadata!Q515)),FALSE,INT(Metadata!Q515)=Metadata!Q515)))</f>
        <v>0</v>
      </c>
      <c r="AS515">
        <f>AND(IF(Metadata!R515="",FALSE,TRUE),exact(Metadata!R515,"Not applicable"))</f>
        <v>0</v>
      </c>
    </row>
    <row r="516" spans="1:45">
      <c r="A516" s="4">
        <f>IF(B516=" "," ",HYPERLINK(CONCATENATE("#metadata!",ADDRESS(INDEX($X$2:$X$1001,MATCH(ROWS($V$2:V516),$V$2:$V$1001,0),0),2)),INDEX($AA$2:$AA$1001,MATCH(ROWS($V$2:V516),$V$2:$V$1001,0),0)))</f>
        <v>0</v>
      </c>
      <c r="B516" s="5">
        <f>IF(OR(INDEX($W$2:$W$1001,MATCH(ROWS($V$2:V516),$V$2:$V$1001,0),1)&gt;=100000,INDEX($AC$1005:$AS$1005,1,MATCH(COLUMNS($AC$1006:AC1006),$AC$1006:$AS$1006,0))&gt;=100000), " ",IF(INDEX($AC$2:$AS$1001,MATCH(ROWS($V$2:V516),$V$2:$V$1001,0),MATCH(COLUMNS($AC$1006:AC1006),$AC$1006:$AS$1006,0)), HYPERLINK("#",""), HYPERLINK(CONCATENATE("#Metadata!", ADDRESS(INDEX($X$2:$X$1001,MATCH(ROWS($V$2:V516),$V$2:$V$1001,0),0), INDEX($AC$1004:$AS$1004,1,MATCH(COLUMNS($AC$1006:AC1006),$AC$1006:$AS$1006,0)))),"Fix")))</f>
        <v>0</v>
      </c>
      <c r="C516" s="5">
        <f>IF(OR(INDEX($W$2:$W$1001,MATCH(ROWS($V$2:V516),$V$2:$V$1001,0),1)&gt;=100000,INDEX($AC$1005:$AS$1005,1,MATCH(COLUMNS($AC$1006:AD1006),$AC$1006:$AS$1006,0))&gt;=100000), " ",IF(INDEX($AC$2:$AS$1001,MATCH(ROWS($V$2:V516),$V$2:$V$1001,0),MATCH(COLUMNS($AC$1006:AD1006),$AC$1006:$AS$1006,0)), HYPERLINK("#",""), HYPERLINK(CONCATENATE("#Metadata!", ADDRESS(INDEX($X$2:$X$1001,MATCH(ROWS($V$2:V516),$V$2:$V$1001,0),0), INDEX($AC$1004:$AS$1004,1,MATCH(COLUMNS($AC$1006:AD1006),$AC$1006:$AS$1006,0)))),"Fix")))</f>
        <v>0</v>
      </c>
      <c r="D516" s="5">
        <f>IF(OR(INDEX($W$2:$W$1001,MATCH(ROWS($V$2:V516),$V$2:$V$1001,0),1)&gt;=100000,INDEX($AC$1005:$AS$1005,1,MATCH(COLUMNS($AC$1006:AE1006),$AC$1006:$AS$1006,0))&gt;=100000), " ",IF(INDEX($AC$2:$AS$1001,MATCH(ROWS($V$2:V516),$V$2:$V$1001,0),MATCH(COLUMNS($AC$1006:AE1006),$AC$1006:$AS$1006,0)), HYPERLINK("#",""), HYPERLINK(CONCATENATE("#Metadata!", ADDRESS(INDEX($X$2:$X$1001,MATCH(ROWS($V$2:V516),$V$2:$V$1001,0),0), INDEX($AC$1004:$AS$1004,1,MATCH(COLUMNS($AC$1006:AE1006),$AC$1006:$AS$1006,0)))),"Fix")))</f>
        <v>0</v>
      </c>
      <c r="E516" s="5">
        <f>IF(OR(INDEX($W$2:$W$1001,MATCH(ROWS($V$2:V516),$V$2:$V$1001,0),1)&gt;=100000,INDEX($AC$1005:$AS$1005,1,MATCH(COLUMNS($AC$1006:AF1006),$AC$1006:$AS$1006,0))&gt;=100000), " ",IF(INDEX($AC$2:$AS$1001,MATCH(ROWS($V$2:V516),$V$2:$V$1001,0),MATCH(COLUMNS($AC$1006:AF1006),$AC$1006:$AS$1006,0)), HYPERLINK("#",""), HYPERLINK(CONCATENATE("#Metadata!", ADDRESS(INDEX($X$2:$X$1001,MATCH(ROWS($V$2:V516),$V$2:$V$1001,0),0), INDEX($AC$1004:$AS$1004,1,MATCH(COLUMNS($AC$1006:AF1006),$AC$1006:$AS$1006,0)))),"Fix")))</f>
        <v>0</v>
      </c>
      <c r="F516" s="5">
        <f>IF(OR(INDEX($W$2:$W$1001,MATCH(ROWS($V$2:V516),$V$2:$V$1001,0),1)&gt;=100000,INDEX($AC$1005:$AS$1005,1,MATCH(COLUMNS($AC$1006:AG1006),$AC$1006:$AS$1006,0))&gt;=100000), " ",IF(INDEX($AC$2:$AS$1001,MATCH(ROWS($V$2:V516),$V$2:$V$1001,0),MATCH(COLUMNS($AC$1006:AG1006),$AC$1006:$AS$1006,0)), HYPERLINK("#",""), HYPERLINK(CONCATENATE("#Metadata!", ADDRESS(INDEX($X$2:$X$1001,MATCH(ROWS($V$2:V516),$V$2:$V$1001,0),0), INDEX($AC$1004:$AS$1004,1,MATCH(COLUMNS($AC$1006:AG1006),$AC$1006:$AS$1006,0)))),"Fix")))</f>
        <v>0</v>
      </c>
      <c r="G516" s="5">
        <f>IF(OR(INDEX($W$2:$W$1001,MATCH(ROWS($V$2:V516),$V$2:$V$1001,0),1)&gt;=100000,INDEX($AC$1005:$AS$1005,1,MATCH(COLUMNS($AC$1006:AH1006),$AC$1006:$AS$1006,0))&gt;=100000), " ",IF(INDEX($AC$2:$AS$1001,MATCH(ROWS($V$2:V516),$V$2:$V$1001,0),MATCH(COLUMNS($AC$1006:AH1006),$AC$1006:$AS$1006,0)), HYPERLINK("#",""), HYPERLINK(CONCATENATE("#Metadata!", ADDRESS(INDEX($X$2:$X$1001,MATCH(ROWS($V$2:V516),$V$2:$V$1001,0),0), INDEX($AC$1004:$AS$1004,1,MATCH(COLUMNS($AC$1006:AH1006),$AC$1006:$AS$1006,0)))),"Fix")))</f>
        <v>0</v>
      </c>
      <c r="H516" s="5">
        <f>IF(OR(INDEX($W$2:$W$1001,MATCH(ROWS($V$2:V516),$V$2:$V$1001,0),1)&gt;=100000,INDEX($AC$1005:$AS$1005,1,MATCH(COLUMNS($AC$1006:AI1006),$AC$1006:$AS$1006,0))&gt;=100000), " ",IF(INDEX($AC$2:$AS$1001,MATCH(ROWS($V$2:V516),$V$2:$V$1001,0),MATCH(COLUMNS($AC$1006:AI1006),$AC$1006:$AS$1006,0)), HYPERLINK("#",""), HYPERLINK(CONCATENATE("#Metadata!", ADDRESS(INDEX($X$2:$X$1001,MATCH(ROWS($V$2:V516),$V$2:$V$1001,0),0), INDEX($AC$1004:$AS$1004,1,MATCH(COLUMNS($AC$1006:AI1006),$AC$1006:$AS$1006,0)))),"Fix")))</f>
        <v>0</v>
      </c>
      <c r="I516" s="5">
        <f>IF(OR(INDEX($W$2:$W$1001,MATCH(ROWS($V$2:V516),$V$2:$V$1001,0),1)&gt;=100000,INDEX($AC$1005:$AS$1005,1,MATCH(COLUMNS($AC$1006:AJ1006),$AC$1006:$AS$1006,0))&gt;=100000), " ",IF(INDEX($AC$2:$AS$1001,MATCH(ROWS($V$2:V516),$V$2:$V$1001,0),MATCH(COLUMNS($AC$1006:AJ1006),$AC$1006:$AS$1006,0)), HYPERLINK("#",""), HYPERLINK(CONCATENATE("#Metadata!", ADDRESS(INDEX($X$2:$X$1001,MATCH(ROWS($V$2:V516),$V$2:$V$1001,0),0), INDEX($AC$1004:$AS$1004,1,MATCH(COLUMNS($AC$1006:AJ1006),$AC$1006:$AS$1006,0)))),"Fix")))</f>
        <v>0</v>
      </c>
      <c r="J516" s="5">
        <f>IF(OR(INDEX($W$2:$W$1001,MATCH(ROWS($V$2:V516),$V$2:$V$1001,0),1)&gt;=100000,INDEX($AC$1005:$AS$1005,1,MATCH(COLUMNS($AC$1006:AK1006),$AC$1006:$AS$1006,0))&gt;=100000), " ",IF(INDEX($AC$2:$AS$1001,MATCH(ROWS($V$2:V516),$V$2:$V$1001,0),MATCH(COLUMNS($AC$1006:AK1006),$AC$1006:$AS$1006,0)), HYPERLINK("#",""), HYPERLINK(CONCATENATE("#Metadata!", ADDRESS(INDEX($X$2:$X$1001,MATCH(ROWS($V$2:V516),$V$2:$V$1001,0),0), INDEX($AC$1004:$AS$1004,1,MATCH(COLUMNS($AC$1006:AK1006),$AC$1006:$AS$1006,0)))),"Fix")))</f>
        <v>0</v>
      </c>
      <c r="K516" s="5">
        <f>IF(OR(INDEX($W$2:$W$1001,MATCH(ROWS($V$2:V516),$V$2:$V$1001,0),1)&gt;=100000,INDEX($AC$1005:$AS$1005,1,MATCH(COLUMNS($AC$1006:AL1006),$AC$1006:$AS$1006,0))&gt;=100000), " ",IF(INDEX($AC$2:$AS$1001,MATCH(ROWS($V$2:V516),$V$2:$V$1001,0),MATCH(COLUMNS($AC$1006:AL1006),$AC$1006:$AS$1006,0)), HYPERLINK("#",""), HYPERLINK(CONCATENATE("#Metadata!", ADDRESS(INDEX($X$2:$X$1001,MATCH(ROWS($V$2:V516),$V$2:$V$1001,0),0), INDEX($AC$1004:$AS$1004,1,MATCH(COLUMNS($AC$1006:AL1006),$AC$1006:$AS$1006,0)))),"Fix")))</f>
        <v>0</v>
      </c>
      <c r="L516" s="5">
        <f>IF(OR(INDEX($W$2:$W$1001,MATCH(ROWS($V$2:V516),$V$2:$V$1001,0),1)&gt;=100000,INDEX($AC$1005:$AS$1005,1,MATCH(COLUMNS($AC$1006:AM1006),$AC$1006:$AS$1006,0))&gt;=100000), " ",IF(INDEX($AC$2:$AS$1001,MATCH(ROWS($V$2:V516),$V$2:$V$1001,0),MATCH(COLUMNS($AC$1006:AM1006),$AC$1006:$AS$1006,0)), HYPERLINK("#",""), HYPERLINK(CONCATENATE("#Metadata!", ADDRESS(INDEX($X$2:$X$1001,MATCH(ROWS($V$2:V516),$V$2:$V$1001,0),0), INDEX($AC$1004:$AS$1004,1,MATCH(COLUMNS($AC$1006:AM1006),$AC$1006:$AS$1006,0)))),"Fix")))</f>
        <v>0</v>
      </c>
      <c r="M516" s="5">
        <f>IF(OR(INDEX($W$2:$W$1001,MATCH(ROWS($V$2:V516),$V$2:$V$1001,0),1)&gt;=100000,INDEX($AC$1005:$AS$1005,1,MATCH(COLUMNS($AC$1006:AN1006),$AC$1006:$AS$1006,0))&gt;=100000), " ",IF(INDEX($AC$2:$AS$1001,MATCH(ROWS($V$2:V516),$V$2:$V$1001,0),MATCH(COLUMNS($AC$1006:AN1006),$AC$1006:$AS$1006,0)), HYPERLINK("#",""), HYPERLINK(CONCATENATE("#Metadata!", ADDRESS(INDEX($X$2:$X$1001,MATCH(ROWS($V$2:V516),$V$2:$V$1001,0),0), INDEX($AC$1004:$AS$1004,1,MATCH(COLUMNS($AC$1006:AN1006),$AC$1006:$AS$1006,0)))),"Fix")))</f>
        <v>0</v>
      </c>
      <c r="N516" s="5">
        <f>IF(OR(INDEX($W$2:$W$1001,MATCH(ROWS($V$2:V516),$V$2:$V$1001,0),1)&gt;=100000,INDEX($AC$1005:$AS$1005,1,MATCH(COLUMNS($AC$1006:AO1006),$AC$1006:$AS$1006,0))&gt;=100000), " ",IF(INDEX($AC$2:$AS$1001,MATCH(ROWS($V$2:V516),$V$2:$V$1001,0),MATCH(COLUMNS($AC$1006:AO1006),$AC$1006:$AS$1006,0)), HYPERLINK("#",""), HYPERLINK(CONCATENATE("#Metadata!", ADDRESS(INDEX($X$2:$X$1001,MATCH(ROWS($V$2:V516),$V$2:$V$1001,0),0), INDEX($AC$1004:$AS$1004,1,MATCH(COLUMNS($AC$1006:AO1006),$AC$1006:$AS$1006,0)))),"Fix")))</f>
        <v>0</v>
      </c>
      <c r="O516" s="5">
        <f>IF(OR(INDEX($W$2:$W$1001,MATCH(ROWS($V$2:V516),$V$2:$V$1001,0),1)&gt;=100000,INDEX($AC$1005:$AS$1005,1,MATCH(COLUMNS($AC$1006:AP1006),$AC$1006:$AS$1006,0))&gt;=100000), " ",IF(INDEX($AC$2:$AS$1001,MATCH(ROWS($V$2:V516),$V$2:$V$1001,0),MATCH(COLUMNS($AC$1006:AP1006),$AC$1006:$AS$1006,0)), HYPERLINK("#",""), HYPERLINK(CONCATENATE("#Metadata!", ADDRESS(INDEX($X$2:$X$1001,MATCH(ROWS($V$2:V516),$V$2:$V$1001,0),0), INDEX($AC$1004:$AS$1004,1,MATCH(COLUMNS($AC$1006:AP1006),$AC$1006:$AS$1006,0)))),"Fix")))</f>
        <v>0</v>
      </c>
      <c r="P516" s="5">
        <f>IF(OR(INDEX($W$2:$W$1001,MATCH(ROWS($V$2:V516),$V$2:$V$1001,0),1)&gt;=100000,INDEX($AC$1005:$AS$1005,1,MATCH(COLUMNS($AC$1006:AQ1006),$AC$1006:$AS$1006,0))&gt;=100000), " ",IF(INDEX($AC$2:$AS$1001,MATCH(ROWS($V$2:V516),$V$2:$V$1001,0),MATCH(COLUMNS($AC$1006:AQ1006),$AC$1006:$AS$1006,0)), HYPERLINK("#",""), HYPERLINK(CONCATENATE("#Metadata!", ADDRESS(INDEX($X$2:$X$1001,MATCH(ROWS($V$2:V516),$V$2:$V$1001,0),0), INDEX($AC$1004:$AS$1004,1,MATCH(COLUMNS($AC$1006:AQ1006),$AC$1006:$AS$1006,0)))),"Fix")))</f>
        <v>0</v>
      </c>
      <c r="Q516" s="5">
        <f>IF(OR(INDEX($W$2:$W$1001,MATCH(ROWS($V$2:V516),$V$2:$V$1001,0),1)&gt;=100000,INDEX($AC$1005:$AS$1005,1,MATCH(COLUMNS($AC$1006:AR1006),$AC$1006:$AS$1006,0))&gt;=100000), " ",IF(INDEX($AC$2:$AS$1001,MATCH(ROWS($V$2:V516),$V$2:$V$1001,0),MATCH(COLUMNS($AC$1006:AR1006),$AC$1006:$AS$1006,0)), HYPERLINK("#",""), HYPERLINK(CONCATENATE("#Metadata!", ADDRESS(INDEX($X$2:$X$1001,MATCH(ROWS($V$2:V516),$V$2:$V$1001,0),0), INDEX($AC$1004:$AS$1004,1,MATCH(COLUMNS($AC$1006:AR1006),$AC$1006:$AS$1006,0)))),"Fix")))</f>
        <v>0</v>
      </c>
      <c r="R516" s="5">
        <f>IF(OR(INDEX($W$2:$W$1001,MATCH(ROWS($V$2:V516),$V$2:$V$1001,0),1)&gt;=100000,INDEX($AC$1005:$AS$1005,1,MATCH(COLUMNS($AC$1006:AS1006),$AC$1006:$AS$1006,0))&gt;=100000), " ",IF(INDEX($AC$2:$AS$1001,MATCH(ROWS($V$2:V516),$V$2:$V$1001,0),MATCH(COLUMNS($AC$1006:AS1006),$AC$1006:$AS$1006,0)), HYPERLINK("#",""), HYPERLINK(CONCATENATE("#Metadata!", ADDRESS(INDEX($X$2:$X$1001,MATCH(ROWS($V$2:V516),$V$2:$V$1001,0),0), INDEX($AC$1004:$AS$1004,1,MATCH(COLUMNS($AC$1006:AS1006),$AC$1006:$AS$1006,0)))),"Fix")))</f>
        <v>0</v>
      </c>
      <c r="V516">
        <v>0</v>
      </c>
      <c r="W516">
        <v>0</v>
      </c>
      <c r="X516">
        <v>0</v>
      </c>
      <c r="Y516">
        <f>IF(Z516,TRUE,AND(AC516:AS516))</f>
        <v>0</v>
      </c>
      <c r="Z516">
        <f>COUNTBLANK(Metadata!B516:R516)=COLUMNS(Metadata!B516:R516)</f>
        <v>0</v>
      </c>
      <c r="AA516">
        <v>0</v>
      </c>
      <c r="AC516">
        <f>AND(IF(Metadata!B516="",FALSE,TRUE),COUNTIF(Metadata!B:B, Metadata!B516) = 1,NOT(ISERROR(SUMPRODUCT(SEARCH(MID(Metadata!B516,ROW(INDIRECT("1:"&amp;LEN(Metadata!B516))), 1),"0123456789abcdefghijklmnopqrstuvwxyzABCDEFGHIJKLMNOPQRSTUVWXYZ.")))))</f>
        <v>0</v>
      </c>
      <c r="AD516">
        <f>AND(IF(Metadata!C516="",FALSE,TRUE),exact(Metadata!C516,"Host-associated"))</f>
        <v>0</v>
      </c>
      <c r="AE516">
        <f>AND(IF(Metadata!D516="",FALSE,TRUE),OR(exact(Metadata!D516,"Animal"),exact(Metadata!D516,"Fungus"),exact(Metadata!D516,"Plant")))</f>
        <v>0</v>
      </c>
      <c r="AF516">
        <f>AND(IF(Metadata!E516="",FALSE,TRUE),OR(exact(Metadata!E516,"Plant secretion"),exact(Metadata!E516,"Plant rhizosphere"),exact(Metadata!E516,"Plant surface"),exact(Metadata!E516,"Plant corpus"),exact(Metadata!E516,"Fungus surface"),exact(Metadata!E516,"Fungus corpus"),exact(Metadata!E516,"Animal surface"),exact(Metadata!E516,"Animal proximal gut"),exact(Metadata!E516,"Animal corpus"),exact(Metadata!E516,"Animal distal gut"),exact(Metadata!E516,"Animal secretion")))</f>
        <v>0</v>
      </c>
      <c r="AG516">
        <f>OR(AND(IF(Metadata!F516="",FALSE,TRUE),OR(exact(Metadata!F516,"not collected"),exact(Metadata!F516,"not provided"),exact(Metadata!F516,"restricted access"))),AND(IF(Metadata!F516="",FALSE,TRUE),OR(exact(Metadata!F516,"organism-associated habitat"),exact(Metadata!F516,"plant-associated habitat"),exact(Metadata!F516,"animal-associated habitat"),exact(Metadata!F516,"insecta-associated habitat"),exact(Metadata!F516,"mammalia-associated habitat"),exact(Metadata!F516,"human-associated habitat"),exact(Metadata!F516,"livestock-associated habitat"))))</f>
        <v>0</v>
      </c>
      <c r="AH516">
        <f>AND(IF(Metadata!G516="",FALSE,TRUE),exact(Metadata!G516,"host-associated"))</f>
        <v>0</v>
      </c>
      <c r="AI516">
        <f>OR(AND(IF(Metadata!H516="",FALSE,TRUE),OR(exact(Metadata!H516,"not collected"),exact(Metadata!H516,"not provided"))),AND(IF(Metadata!H516="",FALSE,ISNUMBER(VALUE(Metadata!H516))),Metadata!H516&gt;0))</f>
        <v>0</v>
      </c>
      <c r="AJ516">
        <f>AND(IF(Metadata!I516="",FALSE,TRUE),exact(Metadata!I516,"years"))</f>
        <v>0</v>
      </c>
      <c r="AK516">
        <f>IF(Metadata!J516="",FALSE,TRUE)</f>
        <v>0</v>
      </c>
      <c r="AL516">
        <f>OR(AND(IF(Metadata!K516="",FALSE,TRUE),OR(exact(Metadata!K516,"not collected"),exact(Metadata!K516,"not provided"))),AND(IF(Metadata!K516="",FALSE,ISNUMBER(VALUE(Metadata!K516))),Metadata!K516&gt;0))</f>
        <v>0</v>
      </c>
      <c r="AM516">
        <f>AND(IF(Metadata!L516="",FALSE,TRUE),exact(Metadata!L516,"cm"))</f>
        <v>0</v>
      </c>
      <c r="AN516">
        <f>IF(Metadata!M516="",FALSE,TRUE)</f>
        <v>0</v>
      </c>
      <c r="AO516">
        <f>OR(AND(IF(Metadata!N516="",FALSE,TRUE),OR(exact(Metadata!N516,"not applicable"),exact(Metadata!N516,"not collected"),exact(Metadata!N516,"not provided"))),AND(IF(Metadata!N516="",FALSE,IF(ISERROR(INT(Metadata!N516)),FALSE,INT(Metadata!N516)=Metadata!N516)),Metadata!N516&gt;0))</f>
        <v>0</v>
      </c>
      <c r="AP516">
        <f>OR(AND(IF(Metadata!O516="",FALSE,TRUE),OR(exact(Metadata!O516,"not collected"),exact(Metadata!O516,"not provided"))),AND(IF(Metadata!O516="",FALSE,ISNUMBER(VALUE(Metadata!O516))),Metadata!O516&gt;0))</f>
        <v>0</v>
      </c>
      <c r="AQ516">
        <f>AND(IF(Metadata!P516="",FALSE,TRUE),exact(Metadata!P516,"kg"))</f>
        <v>0</v>
      </c>
      <c r="AR516">
        <f>OR(AND(IF(Metadata!Q516="",FALSE,TRUE),OR(exact(Metadata!Q516,"not applicable"),exact(Metadata!Q516,"not collected"),exact(Metadata!Q516,"not provided"),exact(Metadata!Q516,"restricted access"))),IF(Metadata!Q516="",FALSE,IF(ISERROR(INT(Metadata!Q516)),FALSE,INT(Metadata!Q516)=Metadata!Q516)))</f>
        <v>0</v>
      </c>
      <c r="AS516">
        <f>AND(IF(Metadata!R516="",FALSE,TRUE),exact(Metadata!R516,"Not applicable"))</f>
        <v>0</v>
      </c>
    </row>
    <row r="517" spans="1:45">
      <c r="A517" s="4">
        <f>IF(B517=" "," ",HYPERLINK(CONCATENATE("#metadata!",ADDRESS(INDEX($X$2:$X$1001,MATCH(ROWS($V$2:V517),$V$2:$V$1001,0),0),2)),INDEX($AA$2:$AA$1001,MATCH(ROWS($V$2:V517),$V$2:$V$1001,0),0)))</f>
        <v>0</v>
      </c>
      <c r="B517" s="5">
        <f>IF(OR(INDEX($W$2:$W$1001,MATCH(ROWS($V$2:V517),$V$2:$V$1001,0),1)&gt;=100000,INDEX($AC$1005:$AS$1005,1,MATCH(COLUMNS($AC$1006:AC1006),$AC$1006:$AS$1006,0))&gt;=100000), " ",IF(INDEX($AC$2:$AS$1001,MATCH(ROWS($V$2:V517),$V$2:$V$1001,0),MATCH(COLUMNS($AC$1006:AC1006),$AC$1006:$AS$1006,0)), HYPERLINK("#",""), HYPERLINK(CONCATENATE("#Metadata!", ADDRESS(INDEX($X$2:$X$1001,MATCH(ROWS($V$2:V517),$V$2:$V$1001,0),0), INDEX($AC$1004:$AS$1004,1,MATCH(COLUMNS($AC$1006:AC1006),$AC$1006:$AS$1006,0)))),"Fix")))</f>
        <v>0</v>
      </c>
      <c r="C517" s="5">
        <f>IF(OR(INDEX($W$2:$W$1001,MATCH(ROWS($V$2:V517),$V$2:$V$1001,0),1)&gt;=100000,INDEX($AC$1005:$AS$1005,1,MATCH(COLUMNS($AC$1006:AD1006),$AC$1006:$AS$1006,0))&gt;=100000), " ",IF(INDEX($AC$2:$AS$1001,MATCH(ROWS($V$2:V517),$V$2:$V$1001,0),MATCH(COLUMNS($AC$1006:AD1006),$AC$1006:$AS$1006,0)), HYPERLINK("#",""), HYPERLINK(CONCATENATE("#Metadata!", ADDRESS(INDEX($X$2:$X$1001,MATCH(ROWS($V$2:V517),$V$2:$V$1001,0),0), INDEX($AC$1004:$AS$1004,1,MATCH(COLUMNS($AC$1006:AD1006),$AC$1006:$AS$1006,0)))),"Fix")))</f>
        <v>0</v>
      </c>
      <c r="D517" s="5">
        <f>IF(OR(INDEX($W$2:$W$1001,MATCH(ROWS($V$2:V517),$V$2:$V$1001,0),1)&gt;=100000,INDEX($AC$1005:$AS$1005,1,MATCH(COLUMNS($AC$1006:AE1006),$AC$1006:$AS$1006,0))&gt;=100000), " ",IF(INDEX($AC$2:$AS$1001,MATCH(ROWS($V$2:V517),$V$2:$V$1001,0),MATCH(COLUMNS($AC$1006:AE1006),$AC$1006:$AS$1006,0)), HYPERLINK("#",""), HYPERLINK(CONCATENATE("#Metadata!", ADDRESS(INDEX($X$2:$X$1001,MATCH(ROWS($V$2:V517),$V$2:$V$1001,0),0), INDEX($AC$1004:$AS$1004,1,MATCH(COLUMNS($AC$1006:AE1006),$AC$1006:$AS$1006,0)))),"Fix")))</f>
        <v>0</v>
      </c>
      <c r="E517" s="5">
        <f>IF(OR(INDEX($W$2:$W$1001,MATCH(ROWS($V$2:V517),$V$2:$V$1001,0),1)&gt;=100000,INDEX($AC$1005:$AS$1005,1,MATCH(COLUMNS($AC$1006:AF1006),$AC$1006:$AS$1006,0))&gt;=100000), " ",IF(INDEX($AC$2:$AS$1001,MATCH(ROWS($V$2:V517),$V$2:$V$1001,0),MATCH(COLUMNS($AC$1006:AF1006),$AC$1006:$AS$1006,0)), HYPERLINK("#",""), HYPERLINK(CONCATENATE("#Metadata!", ADDRESS(INDEX($X$2:$X$1001,MATCH(ROWS($V$2:V517),$V$2:$V$1001,0),0), INDEX($AC$1004:$AS$1004,1,MATCH(COLUMNS($AC$1006:AF1006),$AC$1006:$AS$1006,0)))),"Fix")))</f>
        <v>0</v>
      </c>
      <c r="F517" s="5">
        <f>IF(OR(INDEX($W$2:$W$1001,MATCH(ROWS($V$2:V517),$V$2:$V$1001,0),1)&gt;=100000,INDEX($AC$1005:$AS$1005,1,MATCH(COLUMNS($AC$1006:AG1006),$AC$1006:$AS$1006,0))&gt;=100000), " ",IF(INDEX($AC$2:$AS$1001,MATCH(ROWS($V$2:V517),$V$2:$V$1001,0),MATCH(COLUMNS($AC$1006:AG1006),$AC$1006:$AS$1006,0)), HYPERLINK("#",""), HYPERLINK(CONCATENATE("#Metadata!", ADDRESS(INDEX($X$2:$X$1001,MATCH(ROWS($V$2:V517),$V$2:$V$1001,0),0), INDEX($AC$1004:$AS$1004,1,MATCH(COLUMNS($AC$1006:AG1006),$AC$1006:$AS$1006,0)))),"Fix")))</f>
        <v>0</v>
      </c>
      <c r="G517" s="5">
        <f>IF(OR(INDEX($W$2:$W$1001,MATCH(ROWS($V$2:V517),$V$2:$V$1001,0),1)&gt;=100000,INDEX($AC$1005:$AS$1005,1,MATCH(COLUMNS($AC$1006:AH1006),$AC$1006:$AS$1006,0))&gt;=100000), " ",IF(INDEX($AC$2:$AS$1001,MATCH(ROWS($V$2:V517),$V$2:$V$1001,0),MATCH(COLUMNS($AC$1006:AH1006),$AC$1006:$AS$1006,0)), HYPERLINK("#",""), HYPERLINK(CONCATENATE("#Metadata!", ADDRESS(INDEX($X$2:$X$1001,MATCH(ROWS($V$2:V517),$V$2:$V$1001,0),0), INDEX($AC$1004:$AS$1004,1,MATCH(COLUMNS($AC$1006:AH1006),$AC$1006:$AS$1006,0)))),"Fix")))</f>
        <v>0</v>
      </c>
      <c r="H517" s="5">
        <f>IF(OR(INDEX($W$2:$W$1001,MATCH(ROWS($V$2:V517),$V$2:$V$1001,0),1)&gt;=100000,INDEX($AC$1005:$AS$1005,1,MATCH(COLUMNS($AC$1006:AI1006),$AC$1006:$AS$1006,0))&gt;=100000), " ",IF(INDEX($AC$2:$AS$1001,MATCH(ROWS($V$2:V517),$V$2:$V$1001,0),MATCH(COLUMNS($AC$1006:AI1006),$AC$1006:$AS$1006,0)), HYPERLINK("#",""), HYPERLINK(CONCATENATE("#Metadata!", ADDRESS(INDEX($X$2:$X$1001,MATCH(ROWS($V$2:V517),$V$2:$V$1001,0),0), INDEX($AC$1004:$AS$1004,1,MATCH(COLUMNS($AC$1006:AI1006),$AC$1006:$AS$1006,0)))),"Fix")))</f>
        <v>0</v>
      </c>
      <c r="I517" s="5">
        <f>IF(OR(INDEX($W$2:$W$1001,MATCH(ROWS($V$2:V517),$V$2:$V$1001,0),1)&gt;=100000,INDEX($AC$1005:$AS$1005,1,MATCH(COLUMNS($AC$1006:AJ1006),$AC$1006:$AS$1006,0))&gt;=100000), " ",IF(INDEX($AC$2:$AS$1001,MATCH(ROWS($V$2:V517),$V$2:$V$1001,0),MATCH(COLUMNS($AC$1006:AJ1006),$AC$1006:$AS$1006,0)), HYPERLINK("#",""), HYPERLINK(CONCATENATE("#Metadata!", ADDRESS(INDEX($X$2:$X$1001,MATCH(ROWS($V$2:V517),$V$2:$V$1001,0),0), INDEX($AC$1004:$AS$1004,1,MATCH(COLUMNS($AC$1006:AJ1006),$AC$1006:$AS$1006,0)))),"Fix")))</f>
        <v>0</v>
      </c>
      <c r="J517" s="5">
        <f>IF(OR(INDEX($W$2:$W$1001,MATCH(ROWS($V$2:V517),$V$2:$V$1001,0),1)&gt;=100000,INDEX($AC$1005:$AS$1005,1,MATCH(COLUMNS($AC$1006:AK1006),$AC$1006:$AS$1006,0))&gt;=100000), " ",IF(INDEX($AC$2:$AS$1001,MATCH(ROWS($V$2:V517),$V$2:$V$1001,0),MATCH(COLUMNS($AC$1006:AK1006),$AC$1006:$AS$1006,0)), HYPERLINK("#",""), HYPERLINK(CONCATENATE("#Metadata!", ADDRESS(INDEX($X$2:$X$1001,MATCH(ROWS($V$2:V517),$V$2:$V$1001,0),0), INDEX($AC$1004:$AS$1004,1,MATCH(COLUMNS($AC$1006:AK1006),$AC$1006:$AS$1006,0)))),"Fix")))</f>
        <v>0</v>
      </c>
      <c r="K517" s="5">
        <f>IF(OR(INDEX($W$2:$W$1001,MATCH(ROWS($V$2:V517),$V$2:$V$1001,0),1)&gt;=100000,INDEX($AC$1005:$AS$1005,1,MATCH(COLUMNS($AC$1006:AL1006),$AC$1006:$AS$1006,0))&gt;=100000), " ",IF(INDEX($AC$2:$AS$1001,MATCH(ROWS($V$2:V517),$V$2:$V$1001,0),MATCH(COLUMNS($AC$1006:AL1006),$AC$1006:$AS$1006,0)), HYPERLINK("#",""), HYPERLINK(CONCATENATE("#Metadata!", ADDRESS(INDEX($X$2:$X$1001,MATCH(ROWS($V$2:V517),$V$2:$V$1001,0),0), INDEX($AC$1004:$AS$1004,1,MATCH(COLUMNS($AC$1006:AL1006),$AC$1006:$AS$1006,0)))),"Fix")))</f>
        <v>0</v>
      </c>
      <c r="L517" s="5">
        <f>IF(OR(INDEX($W$2:$W$1001,MATCH(ROWS($V$2:V517),$V$2:$V$1001,0),1)&gt;=100000,INDEX($AC$1005:$AS$1005,1,MATCH(COLUMNS($AC$1006:AM1006),$AC$1006:$AS$1006,0))&gt;=100000), " ",IF(INDEX($AC$2:$AS$1001,MATCH(ROWS($V$2:V517),$V$2:$V$1001,0),MATCH(COLUMNS($AC$1006:AM1006),$AC$1006:$AS$1006,0)), HYPERLINK("#",""), HYPERLINK(CONCATENATE("#Metadata!", ADDRESS(INDEX($X$2:$X$1001,MATCH(ROWS($V$2:V517),$V$2:$V$1001,0),0), INDEX($AC$1004:$AS$1004,1,MATCH(COLUMNS($AC$1006:AM1006),$AC$1006:$AS$1006,0)))),"Fix")))</f>
        <v>0</v>
      </c>
      <c r="M517" s="5">
        <f>IF(OR(INDEX($W$2:$W$1001,MATCH(ROWS($V$2:V517),$V$2:$V$1001,0),1)&gt;=100000,INDEX($AC$1005:$AS$1005,1,MATCH(COLUMNS($AC$1006:AN1006),$AC$1006:$AS$1006,0))&gt;=100000), " ",IF(INDEX($AC$2:$AS$1001,MATCH(ROWS($V$2:V517),$V$2:$V$1001,0),MATCH(COLUMNS($AC$1006:AN1006),$AC$1006:$AS$1006,0)), HYPERLINK("#",""), HYPERLINK(CONCATENATE("#Metadata!", ADDRESS(INDEX($X$2:$X$1001,MATCH(ROWS($V$2:V517),$V$2:$V$1001,0),0), INDEX($AC$1004:$AS$1004,1,MATCH(COLUMNS($AC$1006:AN1006),$AC$1006:$AS$1006,0)))),"Fix")))</f>
        <v>0</v>
      </c>
      <c r="N517" s="5">
        <f>IF(OR(INDEX($W$2:$W$1001,MATCH(ROWS($V$2:V517),$V$2:$V$1001,0),1)&gt;=100000,INDEX($AC$1005:$AS$1005,1,MATCH(COLUMNS($AC$1006:AO1006),$AC$1006:$AS$1006,0))&gt;=100000), " ",IF(INDEX($AC$2:$AS$1001,MATCH(ROWS($V$2:V517),$V$2:$V$1001,0),MATCH(COLUMNS($AC$1006:AO1006),$AC$1006:$AS$1006,0)), HYPERLINK("#",""), HYPERLINK(CONCATENATE("#Metadata!", ADDRESS(INDEX($X$2:$X$1001,MATCH(ROWS($V$2:V517),$V$2:$V$1001,0),0), INDEX($AC$1004:$AS$1004,1,MATCH(COLUMNS($AC$1006:AO1006),$AC$1006:$AS$1006,0)))),"Fix")))</f>
        <v>0</v>
      </c>
      <c r="O517" s="5">
        <f>IF(OR(INDEX($W$2:$W$1001,MATCH(ROWS($V$2:V517),$V$2:$V$1001,0),1)&gt;=100000,INDEX($AC$1005:$AS$1005,1,MATCH(COLUMNS($AC$1006:AP1006),$AC$1006:$AS$1006,0))&gt;=100000), " ",IF(INDEX($AC$2:$AS$1001,MATCH(ROWS($V$2:V517),$V$2:$V$1001,0),MATCH(COLUMNS($AC$1006:AP1006),$AC$1006:$AS$1006,0)), HYPERLINK("#",""), HYPERLINK(CONCATENATE("#Metadata!", ADDRESS(INDEX($X$2:$X$1001,MATCH(ROWS($V$2:V517),$V$2:$V$1001,0),0), INDEX($AC$1004:$AS$1004,1,MATCH(COLUMNS($AC$1006:AP1006),$AC$1006:$AS$1006,0)))),"Fix")))</f>
        <v>0</v>
      </c>
      <c r="P517" s="5">
        <f>IF(OR(INDEX($W$2:$W$1001,MATCH(ROWS($V$2:V517),$V$2:$V$1001,0),1)&gt;=100000,INDEX($AC$1005:$AS$1005,1,MATCH(COLUMNS($AC$1006:AQ1006),$AC$1006:$AS$1006,0))&gt;=100000), " ",IF(INDEX($AC$2:$AS$1001,MATCH(ROWS($V$2:V517),$V$2:$V$1001,0),MATCH(COLUMNS($AC$1006:AQ1006),$AC$1006:$AS$1006,0)), HYPERLINK("#",""), HYPERLINK(CONCATENATE("#Metadata!", ADDRESS(INDEX($X$2:$X$1001,MATCH(ROWS($V$2:V517),$V$2:$V$1001,0),0), INDEX($AC$1004:$AS$1004,1,MATCH(COLUMNS($AC$1006:AQ1006),$AC$1006:$AS$1006,0)))),"Fix")))</f>
        <v>0</v>
      </c>
      <c r="Q517" s="5">
        <f>IF(OR(INDEX($W$2:$W$1001,MATCH(ROWS($V$2:V517),$V$2:$V$1001,0),1)&gt;=100000,INDEX($AC$1005:$AS$1005,1,MATCH(COLUMNS($AC$1006:AR1006),$AC$1006:$AS$1006,0))&gt;=100000), " ",IF(INDEX($AC$2:$AS$1001,MATCH(ROWS($V$2:V517),$V$2:$V$1001,0),MATCH(COLUMNS($AC$1006:AR1006),$AC$1006:$AS$1006,0)), HYPERLINK("#",""), HYPERLINK(CONCATENATE("#Metadata!", ADDRESS(INDEX($X$2:$X$1001,MATCH(ROWS($V$2:V517),$V$2:$V$1001,0),0), INDEX($AC$1004:$AS$1004,1,MATCH(COLUMNS($AC$1006:AR1006),$AC$1006:$AS$1006,0)))),"Fix")))</f>
        <v>0</v>
      </c>
      <c r="R517" s="5">
        <f>IF(OR(INDEX($W$2:$W$1001,MATCH(ROWS($V$2:V517),$V$2:$V$1001,0),1)&gt;=100000,INDEX($AC$1005:$AS$1005,1,MATCH(COLUMNS($AC$1006:AS1006),$AC$1006:$AS$1006,0))&gt;=100000), " ",IF(INDEX($AC$2:$AS$1001,MATCH(ROWS($V$2:V517),$V$2:$V$1001,0),MATCH(COLUMNS($AC$1006:AS1006),$AC$1006:$AS$1006,0)), HYPERLINK("#",""), HYPERLINK(CONCATENATE("#Metadata!", ADDRESS(INDEX($X$2:$X$1001,MATCH(ROWS($V$2:V517),$V$2:$V$1001,0),0), INDEX($AC$1004:$AS$1004,1,MATCH(COLUMNS($AC$1006:AS1006),$AC$1006:$AS$1006,0)))),"Fix")))</f>
        <v>0</v>
      </c>
      <c r="V517">
        <v>0</v>
      </c>
      <c r="W517">
        <v>0</v>
      </c>
      <c r="X517">
        <v>0</v>
      </c>
      <c r="Y517">
        <f>IF(Z517,TRUE,AND(AC517:AS517))</f>
        <v>0</v>
      </c>
      <c r="Z517">
        <f>COUNTBLANK(Metadata!B517:R517)=COLUMNS(Metadata!B517:R517)</f>
        <v>0</v>
      </c>
      <c r="AA517">
        <v>0</v>
      </c>
      <c r="AC517">
        <f>AND(IF(Metadata!B517="",FALSE,TRUE),COUNTIF(Metadata!B:B, Metadata!B517) = 1,NOT(ISERROR(SUMPRODUCT(SEARCH(MID(Metadata!B517,ROW(INDIRECT("1:"&amp;LEN(Metadata!B517))), 1),"0123456789abcdefghijklmnopqrstuvwxyzABCDEFGHIJKLMNOPQRSTUVWXYZ.")))))</f>
        <v>0</v>
      </c>
      <c r="AD517">
        <f>AND(IF(Metadata!C517="",FALSE,TRUE),exact(Metadata!C517,"Host-associated"))</f>
        <v>0</v>
      </c>
      <c r="AE517">
        <f>AND(IF(Metadata!D517="",FALSE,TRUE),OR(exact(Metadata!D517,"Animal"),exact(Metadata!D517,"Fungus"),exact(Metadata!D517,"Plant")))</f>
        <v>0</v>
      </c>
      <c r="AF517">
        <f>AND(IF(Metadata!E517="",FALSE,TRUE),OR(exact(Metadata!E517,"Plant secretion"),exact(Metadata!E517,"Plant rhizosphere"),exact(Metadata!E517,"Plant surface"),exact(Metadata!E517,"Plant corpus"),exact(Metadata!E517,"Fungus surface"),exact(Metadata!E517,"Fungus corpus"),exact(Metadata!E517,"Animal surface"),exact(Metadata!E517,"Animal proximal gut"),exact(Metadata!E517,"Animal corpus"),exact(Metadata!E517,"Animal distal gut"),exact(Metadata!E517,"Animal secretion")))</f>
        <v>0</v>
      </c>
      <c r="AG517">
        <f>OR(AND(IF(Metadata!F517="",FALSE,TRUE),OR(exact(Metadata!F517,"not collected"),exact(Metadata!F517,"not provided"),exact(Metadata!F517,"restricted access"))),AND(IF(Metadata!F517="",FALSE,TRUE),OR(exact(Metadata!F517,"organism-associated habitat"),exact(Metadata!F517,"plant-associated habitat"),exact(Metadata!F517,"animal-associated habitat"),exact(Metadata!F517,"insecta-associated habitat"),exact(Metadata!F517,"mammalia-associated habitat"),exact(Metadata!F517,"human-associated habitat"),exact(Metadata!F517,"livestock-associated habitat"))))</f>
        <v>0</v>
      </c>
      <c r="AH517">
        <f>AND(IF(Metadata!G517="",FALSE,TRUE),exact(Metadata!G517,"host-associated"))</f>
        <v>0</v>
      </c>
      <c r="AI517">
        <f>OR(AND(IF(Metadata!H517="",FALSE,TRUE),OR(exact(Metadata!H517,"not collected"),exact(Metadata!H517,"not provided"))),AND(IF(Metadata!H517="",FALSE,ISNUMBER(VALUE(Metadata!H517))),Metadata!H517&gt;0))</f>
        <v>0</v>
      </c>
      <c r="AJ517">
        <f>AND(IF(Metadata!I517="",FALSE,TRUE),exact(Metadata!I517,"years"))</f>
        <v>0</v>
      </c>
      <c r="AK517">
        <f>IF(Metadata!J517="",FALSE,TRUE)</f>
        <v>0</v>
      </c>
      <c r="AL517">
        <f>OR(AND(IF(Metadata!K517="",FALSE,TRUE),OR(exact(Metadata!K517,"not collected"),exact(Metadata!K517,"not provided"))),AND(IF(Metadata!K517="",FALSE,ISNUMBER(VALUE(Metadata!K517))),Metadata!K517&gt;0))</f>
        <v>0</v>
      </c>
      <c r="AM517">
        <f>AND(IF(Metadata!L517="",FALSE,TRUE),exact(Metadata!L517,"cm"))</f>
        <v>0</v>
      </c>
      <c r="AN517">
        <f>IF(Metadata!M517="",FALSE,TRUE)</f>
        <v>0</v>
      </c>
      <c r="AO517">
        <f>OR(AND(IF(Metadata!N517="",FALSE,TRUE),OR(exact(Metadata!N517,"not applicable"),exact(Metadata!N517,"not collected"),exact(Metadata!N517,"not provided"))),AND(IF(Metadata!N517="",FALSE,IF(ISERROR(INT(Metadata!N517)),FALSE,INT(Metadata!N517)=Metadata!N517)),Metadata!N517&gt;0))</f>
        <v>0</v>
      </c>
      <c r="AP517">
        <f>OR(AND(IF(Metadata!O517="",FALSE,TRUE),OR(exact(Metadata!O517,"not collected"),exact(Metadata!O517,"not provided"))),AND(IF(Metadata!O517="",FALSE,ISNUMBER(VALUE(Metadata!O517))),Metadata!O517&gt;0))</f>
        <v>0</v>
      </c>
      <c r="AQ517">
        <f>AND(IF(Metadata!P517="",FALSE,TRUE),exact(Metadata!P517,"kg"))</f>
        <v>0</v>
      </c>
      <c r="AR517">
        <f>OR(AND(IF(Metadata!Q517="",FALSE,TRUE),OR(exact(Metadata!Q517,"not applicable"),exact(Metadata!Q517,"not collected"),exact(Metadata!Q517,"not provided"),exact(Metadata!Q517,"restricted access"))),IF(Metadata!Q517="",FALSE,IF(ISERROR(INT(Metadata!Q517)),FALSE,INT(Metadata!Q517)=Metadata!Q517)))</f>
        <v>0</v>
      </c>
      <c r="AS517">
        <f>AND(IF(Metadata!R517="",FALSE,TRUE),exact(Metadata!R517,"Not applicable"))</f>
        <v>0</v>
      </c>
    </row>
    <row r="518" spans="1:45">
      <c r="A518" s="4">
        <f>IF(B518=" "," ",HYPERLINK(CONCATENATE("#metadata!",ADDRESS(INDEX($X$2:$X$1001,MATCH(ROWS($V$2:V518),$V$2:$V$1001,0),0),2)),INDEX($AA$2:$AA$1001,MATCH(ROWS($V$2:V518),$V$2:$V$1001,0),0)))</f>
        <v>0</v>
      </c>
      <c r="B518" s="5">
        <f>IF(OR(INDEX($W$2:$W$1001,MATCH(ROWS($V$2:V518),$V$2:$V$1001,0),1)&gt;=100000,INDEX($AC$1005:$AS$1005,1,MATCH(COLUMNS($AC$1006:AC1006),$AC$1006:$AS$1006,0))&gt;=100000), " ",IF(INDEX($AC$2:$AS$1001,MATCH(ROWS($V$2:V518),$V$2:$V$1001,0),MATCH(COLUMNS($AC$1006:AC1006),$AC$1006:$AS$1006,0)), HYPERLINK("#",""), HYPERLINK(CONCATENATE("#Metadata!", ADDRESS(INDEX($X$2:$X$1001,MATCH(ROWS($V$2:V518),$V$2:$V$1001,0),0), INDEX($AC$1004:$AS$1004,1,MATCH(COLUMNS($AC$1006:AC1006),$AC$1006:$AS$1006,0)))),"Fix")))</f>
        <v>0</v>
      </c>
      <c r="C518" s="5">
        <f>IF(OR(INDEX($W$2:$W$1001,MATCH(ROWS($V$2:V518),$V$2:$V$1001,0),1)&gt;=100000,INDEX($AC$1005:$AS$1005,1,MATCH(COLUMNS($AC$1006:AD1006),$AC$1006:$AS$1006,0))&gt;=100000), " ",IF(INDEX($AC$2:$AS$1001,MATCH(ROWS($V$2:V518),$V$2:$V$1001,0),MATCH(COLUMNS($AC$1006:AD1006),$AC$1006:$AS$1006,0)), HYPERLINK("#",""), HYPERLINK(CONCATENATE("#Metadata!", ADDRESS(INDEX($X$2:$X$1001,MATCH(ROWS($V$2:V518),$V$2:$V$1001,0),0), INDEX($AC$1004:$AS$1004,1,MATCH(COLUMNS($AC$1006:AD1006),$AC$1006:$AS$1006,0)))),"Fix")))</f>
        <v>0</v>
      </c>
      <c r="D518" s="5">
        <f>IF(OR(INDEX($W$2:$W$1001,MATCH(ROWS($V$2:V518),$V$2:$V$1001,0),1)&gt;=100000,INDEX($AC$1005:$AS$1005,1,MATCH(COLUMNS($AC$1006:AE1006),$AC$1006:$AS$1006,0))&gt;=100000), " ",IF(INDEX($AC$2:$AS$1001,MATCH(ROWS($V$2:V518),$V$2:$V$1001,0),MATCH(COLUMNS($AC$1006:AE1006),$AC$1006:$AS$1006,0)), HYPERLINK("#",""), HYPERLINK(CONCATENATE("#Metadata!", ADDRESS(INDEX($X$2:$X$1001,MATCH(ROWS($V$2:V518),$V$2:$V$1001,0),0), INDEX($AC$1004:$AS$1004,1,MATCH(COLUMNS($AC$1006:AE1006),$AC$1006:$AS$1006,0)))),"Fix")))</f>
        <v>0</v>
      </c>
      <c r="E518" s="5">
        <f>IF(OR(INDEX($W$2:$W$1001,MATCH(ROWS($V$2:V518),$V$2:$V$1001,0),1)&gt;=100000,INDEX($AC$1005:$AS$1005,1,MATCH(COLUMNS($AC$1006:AF1006),$AC$1006:$AS$1006,0))&gt;=100000), " ",IF(INDEX($AC$2:$AS$1001,MATCH(ROWS($V$2:V518),$V$2:$V$1001,0),MATCH(COLUMNS($AC$1006:AF1006),$AC$1006:$AS$1006,0)), HYPERLINK("#",""), HYPERLINK(CONCATENATE("#Metadata!", ADDRESS(INDEX($X$2:$X$1001,MATCH(ROWS($V$2:V518),$V$2:$V$1001,0),0), INDEX($AC$1004:$AS$1004,1,MATCH(COLUMNS($AC$1006:AF1006),$AC$1006:$AS$1006,0)))),"Fix")))</f>
        <v>0</v>
      </c>
      <c r="F518" s="5">
        <f>IF(OR(INDEX($W$2:$W$1001,MATCH(ROWS($V$2:V518),$V$2:$V$1001,0),1)&gt;=100000,INDEX($AC$1005:$AS$1005,1,MATCH(COLUMNS($AC$1006:AG1006),$AC$1006:$AS$1006,0))&gt;=100000), " ",IF(INDEX($AC$2:$AS$1001,MATCH(ROWS($V$2:V518),$V$2:$V$1001,0),MATCH(COLUMNS($AC$1006:AG1006),$AC$1006:$AS$1006,0)), HYPERLINK("#",""), HYPERLINK(CONCATENATE("#Metadata!", ADDRESS(INDEX($X$2:$X$1001,MATCH(ROWS($V$2:V518),$V$2:$V$1001,0),0), INDEX($AC$1004:$AS$1004,1,MATCH(COLUMNS($AC$1006:AG1006),$AC$1006:$AS$1006,0)))),"Fix")))</f>
        <v>0</v>
      </c>
      <c r="G518" s="5">
        <f>IF(OR(INDEX($W$2:$W$1001,MATCH(ROWS($V$2:V518),$V$2:$V$1001,0),1)&gt;=100000,INDEX($AC$1005:$AS$1005,1,MATCH(COLUMNS($AC$1006:AH1006),$AC$1006:$AS$1006,0))&gt;=100000), " ",IF(INDEX($AC$2:$AS$1001,MATCH(ROWS($V$2:V518),$V$2:$V$1001,0),MATCH(COLUMNS($AC$1006:AH1006),$AC$1006:$AS$1006,0)), HYPERLINK("#",""), HYPERLINK(CONCATENATE("#Metadata!", ADDRESS(INDEX($X$2:$X$1001,MATCH(ROWS($V$2:V518),$V$2:$V$1001,0),0), INDEX($AC$1004:$AS$1004,1,MATCH(COLUMNS($AC$1006:AH1006),$AC$1006:$AS$1006,0)))),"Fix")))</f>
        <v>0</v>
      </c>
      <c r="H518" s="5">
        <f>IF(OR(INDEX($W$2:$W$1001,MATCH(ROWS($V$2:V518),$V$2:$V$1001,0),1)&gt;=100000,INDEX($AC$1005:$AS$1005,1,MATCH(COLUMNS($AC$1006:AI1006),$AC$1006:$AS$1006,0))&gt;=100000), " ",IF(INDEX($AC$2:$AS$1001,MATCH(ROWS($V$2:V518),$V$2:$V$1001,0),MATCH(COLUMNS($AC$1006:AI1006),$AC$1006:$AS$1006,0)), HYPERLINK("#",""), HYPERLINK(CONCATENATE("#Metadata!", ADDRESS(INDEX($X$2:$X$1001,MATCH(ROWS($V$2:V518),$V$2:$V$1001,0),0), INDEX($AC$1004:$AS$1004,1,MATCH(COLUMNS($AC$1006:AI1006),$AC$1006:$AS$1006,0)))),"Fix")))</f>
        <v>0</v>
      </c>
      <c r="I518" s="5">
        <f>IF(OR(INDEX($W$2:$W$1001,MATCH(ROWS($V$2:V518),$V$2:$V$1001,0),1)&gt;=100000,INDEX($AC$1005:$AS$1005,1,MATCH(COLUMNS($AC$1006:AJ1006),$AC$1006:$AS$1006,0))&gt;=100000), " ",IF(INDEX($AC$2:$AS$1001,MATCH(ROWS($V$2:V518),$V$2:$V$1001,0),MATCH(COLUMNS($AC$1006:AJ1006),$AC$1006:$AS$1006,0)), HYPERLINK("#",""), HYPERLINK(CONCATENATE("#Metadata!", ADDRESS(INDEX($X$2:$X$1001,MATCH(ROWS($V$2:V518),$V$2:$V$1001,0),0), INDEX($AC$1004:$AS$1004,1,MATCH(COLUMNS($AC$1006:AJ1006),$AC$1006:$AS$1006,0)))),"Fix")))</f>
        <v>0</v>
      </c>
      <c r="J518" s="5">
        <f>IF(OR(INDEX($W$2:$W$1001,MATCH(ROWS($V$2:V518),$V$2:$V$1001,0),1)&gt;=100000,INDEX($AC$1005:$AS$1005,1,MATCH(COLUMNS($AC$1006:AK1006),$AC$1006:$AS$1006,0))&gt;=100000), " ",IF(INDEX($AC$2:$AS$1001,MATCH(ROWS($V$2:V518),$V$2:$V$1001,0),MATCH(COLUMNS($AC$1006:AK1006),$AC$1006:$AS$1006,0)), HYPERLINK("#",""), HYPERLINK(CONCATENATE("#Metadata!", ADDRESS(INDEX($X$2:$X$1001,MATCH(ROWS($V$2:V518),$V$2:$V$1001,0),0), INDEX($AC$1004:$AS$1004,1,MATCH(COLUMNS($AC$1006:AK1006),$AC$1006:$AS$1006,0)))),"Fix")))</f>
        <v>0</v>
      </c>
      <c r="K518" s="5">
        <f>IF(OR(INDEX($W$2:$W$1001,MATCH(ROWS($V$2:V518),$V$2:$V$1001,0),1)&gt;=100000,INDEX($AC$1005:$AS$1005,1,MATCH(COLUMNS($AC$1006:AL1006),$AC$1006:$AS$1006,0))&gt;=100000), " ",IF(INDEX($AC$2:$AS$1001,MATCH(ROWS($V$2:V518),$V$2:$V$1001,0),MATCH(COLUMNS($AC$1006:AL1006),$AC$1006:$AS$1006,0)), HYPERLINK("#",""), HYPERLINK(CONCATENATE("#Metadata!", ADDRESS(INDEX($X$2:$X$1001,MATCH(ROWS($V$2:V518),$V$2:$V$1001,0),0), INDEX($AC$1004:$AS$1004,1,MATCH(COLUMNS($AC$1006:AL1006),$AC$1006:$AS$1006,0)))),"Fix")))</f>
        <v>0</v>
      </c>
      <c r="L518" s="5">
        <f>IF(OR(INDEX($W$2:$W$1001,MATCH(ROWS($V$2:V518),$V$2:$V$1001,0),1)&gt;=100000,INDEX($AC$1005:$AS$1005,1,MATCH(COLUMNS($AC$1006:AM1006),$AC$1006:$AS$1006,0))&gt;=100000), " ",IF(INDEX($AC$2:$AS$1001,MATCH(ROWS($V$2:V518),$V$2:$V$1001,0),MATCH(COLUMNS($AC$1006:AM1006),$AC$1006:$AS$1006,0)), HYPERLINK("#",""), HYPERLINK(CONCATENATE("#Metadata!", ADDRESS(INDEX($X$2:$X$1001,MATCH(ROWS($V$2:V518),$V$2:$V$1001,0),0), INDEX($AC$1004:$AS$1004,1,MATCH(COLUMNS($AC$1006:AM1006),$AC$1006:$AS$1006,0)))),"Fix")))</f>
        <v>0</v>
      </c>
      <c r="M518" s="5">
        <f>IF(OR(INDEX($W$2:$W$1001,MATCH(ROWS($V$2:V518),$V$2:$V$1001,0),1)&gt;=100000,INDEX($AC$1005:$AS$1005,1,MATCH(COLUMNS($AC$1006:AN1006),$AC$1006:$AS$1006,0))&gt;=100000), " ",IF(INDEX($AC$2:$AS$1001,MATCH(ROWS($V$2:V518),$V$2:$V$1001,0),MATCH(COLUMNS($AC$1006:AN1006),$AC$1006:$AS$1006,0)), HYPERLINK("#",""), HYPERLINK(CONCATENATE("#Metadata!", ADDRESS(INDEX($X$2:$X$1001,MATCH(ROWS($V$2:V518),$V$2:$V$1001,0),0), INDEX($AC$1004:$AS$1004,1,MATCH(COLUMNS($AC$1006:AN1006),$AC$1006:$AS$1006,0)))),"Fix")))</f>
        <v>0</v>
      </c>
      <c r="N518" s="5">
        <f>IF(OR(INDEX($W$2:$W$1001,MATCH(ROWS($V$2:V518),$V$2:$V$1001,0),1)&gt;=100000,INDEX($AC$1005:$AS$1005,1,MATCH(COLUMNS($AC$1006:AO1006),$AC$1006:$AS$1006,0))&gt;=100000), " ",IF(INDEX($AC$2:$AS$1001,MATCH(ROWS($V$2:V518),$V$2:$V$1001,0),MATCH(COLUMNS($AC$1006:AO1006),$AC$1006:$AS$1006,0)), HYPERLINK("#",""), HYPERLINK(CONCATENATE("#Metadata!", ADDRESS(INDEX($X$2:$X$1001,MATCH(ROWS($V$2:V518),$V$2:$V$1001,0),0), INDEX($AC$1004:$AS$1004,1,MATCH(COLUMNS($AC$1006:AO1006),$AC$1006:$AS$1006,0)))),"Fix")))</f>
        <v>0</v>
      </c>
      <c r="O518" s="5">
        <f>IF(OR(INDEX($W$2:$W$1001,MATCH(ROWS($V$2:V518),$V$2:$V$1001,0),1)&gt;=100000,INDEX($AC$1005:$AS$1005,1,MATCH(COLUMNS($AC$1006:AP1006),$AC$1006:$AS$1006,0))&gt;=100000), " ",IF(INDEX($AC$2:$AS$1001,MATCH(ROWS($V$2:V518),$V$2:$V$1001,0),MATCH(COLUMNS($AC$1006:AP1006),$AC$1006:$AS$1006,0)), HYPERLINK("#",""), HYPERLINK(CONCATENATE("#Metadata!", ADDRESS(INDEX($X$2:$X$1001,MATCH(ROWS($V$2:V518),$V$2:$V$1001,0),0), INDEX($AC$1004:$AS$1004,1,MATCH(COLUMNS($AC$1006:AP1006),$AC$1006:$AS$1006,0)))),"Fix")))</f>
        <v>0</v>
      </c>
      <c r="P518" s="5">
        <f>IF(OR(INDEX($W$2:$W$1001,MATCH(ROWS($V$2:V518),$V$2:$V$1001,0),1)&gt;=100000,INDEX($AC$1005:$AS$1005,1,MATCH(COLUMNS($AC$1006:AQ1006),$AC$1006:$AS$1006,0))&gt;=100000), " ",IF(INDEX($AC$2:$AS$1001,MATCH(ROWS($V$2:V518),$V$2:$V$1001,0),MATCH(COLUMNS($AC$1006:AQ1006),$AC$1006:$AS$1006,0)), HYPERLINK("#",""), HYPERLINK(CONCATENATE("#Metadata!", ADDRESS(INDEX($X$2:$X$1001,MATCH(ROWS($V$2:V518),$V$2:$V$1001,0),0), INDEX($AC$1004:$AS$1004,1,MATCH(COLUMNS($AC$1006:AQ1006),$AC$1006:$AS$1006,0)))),"Fix")))</f>
        <v>0</v>
      </c>
      <c r="Q518" s="5">
        <f>IF(OR(INDEX($W$2:$W$1001,MATCH(ROWS($V$2:V518),$V$2:$V$1001,0),1)&gt;=100000,INDEX($AC$1005:$AS$1005,1,MATCH(COLUMNS($AC$1006:AR1006),$AC$1006:$AS$1006,0))&gt;=100000), " ",IF(INDEX($AC$2:$AS$1001,MATCH(ROWS($V$2:V518),$V$2:$V$1001,0),MATCH(COLUMNS($AC$1006:AR1006),$AC$1006:$AS$1006,0)), HYPERLINK("#",""), HYPERLINK(CONCATENATE("#Metadata!", ADDRESS(INDEX($X$2:$X$1001,MATCH(ROWS($V$2:V518),$V$2:$V$1001,0),0), INDEX($AC$1004:$AS$1004,1,MATCH(COLUMNS($AC$1006:AR1006),$AC$1006:$AS$1006,0)))),"Fix")))</f>
        <v>0</v>
      </c>
      <c r="R518" s="5">
        <f>IF(OR(INDEX($W$2:$W$1001,MATCH(ROWS($V$2:V518),$V$2:$V$1001,0),1)&gt;=100000,INDEX($AC$1005:$AS$1005,1,MATCH(COLUMNS($AC$1006:AS1006),$AC$1006:$AS$1006,0))&gt;=100000), " ",IF(INDEX($AC$2:$AS$1001,MATCH(ROWS($V$2:V518),$V$2:$V$1001,0),MATCH(COLUMNS($AC$1006:AS1006),$AC$1006:$AS$1006,0)), HYPERLINK("#",""), HYPERLINK(CONCATENATE("#Metadata!", ADDRESS(INDEX($X$2:$X$1001,MATCH(ROWS($V$2:V518),$V$2:$V$1001,0),0), INDEX($AC$1004:$AS$1004,1,MATCH(COLUMNS($AC$1006:AS1006),$AC$1006:$AS$1006,0)))),"Fix")))</f>
        <v>0</v>
      </c>
      <c r="V518">
        <v>0</v>
      </c>
      <c r="W518">
        <v>0</v>
      </c>
      <c r="X518">
        <v>0</v>
      </c>
      <c r="Y518">
        <f>IF(Z518,TRUE,AND(AC518:AS518))</f>
        <v>0</v>
      </c>
      <c r="Z518">
        <f>COUNTBLANK(Metadata!B518:R518)=COLUMNS(Metadata!B518:R518)</f>
        <v>0</v>
      </c>
      <c r="AA518">
        <v>0</v>
      </c>
      <c r="AC518">
        <f>AND(IF(Metadata!B518="",FALSE,TRUE),COUNTIF(Metadata!B:B, Metadata!B518) = 1,NOT(ISERROR(SUMPRODUCT(SEARCH(MID(Metadata!B518,ROW(INDIRECT("1:"&amp;LEN(Metadata!B518))), 1),"0123456789abcdefghijklmnopqrstuvwxyzABCDEFGHIJKLMNOPQRSTUVWXYZ.")))))</f>
        <v>0</v>
      </c>
      <c r="AD518">
        <f>AND(IF(Metadata!C518="",FALSE,TRUE),exact(Metadata!C518,"Host-associated"))</f>
        <v>0</v>
      </c>
      <c r="AE518">
        <f>AND(IF(Metadata!D518="",FALSE,TRUE),OR(exact(Metadata!D518,"Animal"),exact(Metadata!D518,"Fungus"),exact(Metadata!D518,"Plant")))</f>
        <v>0</v>
      </c>
      <c r="AF518">
        <f>AND(IF(Metadata!E518="",FALSE,TRUE),OR(exact(Metadata!E518,"Plant secretion"),exact(Metadata!E518,"Plant rhizosphere"),exact(Metadata!E518,"Plant surface"),exact(Metadata!E518,"Plant corpus"),exact(Metadata!E518,"Fungus surface"),exact(Metadata!E518,"Fungus corpus"),exact(Metadata!E518,"Animal surface"),exact(Metadata!E518,"Animal proximal gut"),exact(Metadata!E518,"Animal corpus"),exact(Metadata!E518,"Animal distal gut"),exact(Metadata!E518,"Animal secretion")))</f>
        <v>0</v>
      </c>
      <c r="AG518">
        <f>OR(AND(IF(Metadata!F518="",FALSE,TRUE),OR(exact(Metadata!F518,"not collected"),exact(Metadata!F518,"not provided"),exact(Metadata!F518,"restricted access"))),AND(IF(Metadata!F518="",FALSE,TRUE),OR(exact(Metadata!F518,"organism-associated habitat"),exact(Metadata!F518,"plant-associated habitat"),exact(Metadata!F518,"animal-associated habitat"),exact(Metadata!F518,"insecta-associated habitat"),exact(Metadata!F518,"mammalia-associated habitat"),exact(Metadata!F518,"human-associated habitat"),exact(Metadata!F518,"livestock-associated habitat"))))</f>
        <v>0</v>
      </c>
      <c r="AH518">
        <f>AND(IF(Metadata!G518="",FALSE,TRUE),exact(Metadata!G518,"host-associated"))</f>
        <v>0</v>
      </c>
      <c r="AI518">
        <f>OR(AND(IF(Metadata!H518="",FALSE,TRUE),OR(exact(Metadata!H518,"not collected"),exact(Metadata!H518,"not provided"))),AND(IF(Metadata!H518="",FALSE,ISNUMBER(VALUE(Metadata!H518))),Metadata!H518&gt;0))</f>
        <v>0</v>
      </c>
      <c r="AJ518">
        <f>AND(IF(Metadata!I518="",FALSE,TRUE),exact(Metadata!I518,"years"))</f>
        <v>0</v>
      </c>
      <c r="AK518">
        <f>IF(Metadata!J518="",FALSE,TRUE)</f>
        <v>0</v>
      </c>
      <c r="AL518">
        <f>OR(AND(IF(Metadata!K518="",FALSE,TRUE),OR(exact(Metadata!K518,"not collected"),exact(Metadata!K518,"not provided"))),AND(IF(Metadata!K518="",FALSE,ISNUMBER(VALUE(Metadata!K518))),Metadata!K518&gt;0))</f>
        <v>0</v>
      </c>
      <c r="AM518">
        <f>AND(IF(Metadata!L518="",FALSE,TRUE),exact(Metadata!L518,"cm"))</f>
        <v>0</v>
      </c>
      <c r="AN518">
        <f>IF(Metadata!M518="",FALSE,TRUE)</f>
        <v>0</v>
      </c>
      <c r="AO518">
        <f>OR(AND(IF(Metadata!N518="",FALSE,TRUE),OR(exact(Metadata!N518,"not applicable"),exact(Metadata!N518,"not collected"),exact(Metadata!N518,"not provided"))),AND(IF(Metadata!N518="",FALSE,IF(ISERROR(INT(Metadata!N518)),FALSE,INT(Metadata!N518)=Metadata!N518)),Metadata!N518&gt;0))</f>
        <v>0</v>
      </c>
      <c r="AP518">
        <f>OR(AND(IF(Metadata!O518="",FALSE,TRUE),OR(exact(Metadata!O518,"not collected"),exact(Metadata!O518,"not provided"))),AND(IF(Metadata!O518="",FALSE,ISNUMBER(VALUE(Metadata!O518))),Metadata!O518&gt;0))</f>
        <v>0</v>
      </c>
      <c r="AQ518">
        <f>AND(IF(Metadata!P518="",FALSE,TRUE),exact(Metadata!P518,"kg"))</f>
        <v>0</v>
      </c>
      <c r="AR518">
        <f>OR(AND(IF(Metadata!Q518="",FALSE,TRUE),OR(exact(Metadata!Q518,"not applicable"),exact(Metadata!Q518,"not collected"),exact(Metadata!Q518,"not provided"),exact(Metadata!Q518,"restricted access"))),IF(Metadata!Q518="",FALSE,IF(ISERROR(INT(Metadata!Q518)),FALSE,INT(Metadata!Q518)=Metadata!Q518)))</f>
        <v>0</v>
      </c>
      <c r="AS518">
        <f>AND(IF(Metadata!R518="",FALSE,TRUE),exact(Metadata!R518,"Not applicable"))</f>
        <v>0</v>
      </c>
    </row>
    <row r="519" spans="1:45">
      <c r="A519" s="4">
        <f>IF(B519=" "," ",HYPERLINK(CONCATENATE("#metadata!",ADDRESS(INDEX($X$2:$X$1001,MATCH(ROWS($V$2:V519),$V$2:$V$1001,0),0),2)),INDEX($AA$2:$AA$1001,MATCH(ROWS($V$2:V519),$V$2:$V$1001,0),0)))</f>
        <v>0</v>
      </c>
      <c r="B519" s="5">
        <f>IF(OR(INDEX($W$2:$W$1001,MATCH(ROWS($V$2:V519),$V$2:$V$1001,0),1)&gt;=100000,INDEX($AC$1005:$AS$1005,1,MATCH(COLUMNS($AC$1006:AC1006),$AC$1006:$AS$1006,0))&gt;=100000), " ",IF(INDEX($AC$2:$AS$1001,MATCH(ROWS($V$2:V519),$V$2:$V$1001,0),MATCH(COLUMNS($AC$1006:AC1006),$AC$1006:$AS$1006,0)), HYPERLINK("#",""), HYPERLINK(CONCATENATE("#Metadata!", ADDRESS(INDEX($X$2:$X$1001,MATCH(ROWS($V$2:V519),$V$2:$V$1001,0),0), INDEX($AC$1004:$AS$1004,1,MATCH(COLUMNS($AC$1006:AC1006),$AC$1006:$AS$1006,0)))),"Fix")))</f>
        <v>0</v>
      </c>
      <c r="C519" s="5">
        <f>IF(OR(INDEX($W$2:$W$1001,MATCH(ROWS($V$2:V519),$V$2:$V$1001,0),1)&gt;=100000,INDEX($AC$1005:$AS$1005,1,MATCH(COLUMNS($AC$1006:AD1006),$AC$1006:$AS$1006,0))&gt;=100000), " ",IF(INDEX($AC$2:$AS$1001,MATCH(ROWS($V$2:V519),$V$2:$V$1001,0),MATCH(COLUMNS($AC$1006:AD1006),$AC$1006:$AS$1006,0)), HYPERLINK("#",""), HYPERLINK(CONCATENATE("#Metadata!", ADDRESS(INDEX($X$2:$X$1001,MATCH(ROWS($V$2:V519),$V$2:$V$1001,0),0), INDEX($AC$1004:$AS$1004,1,MATCH(COLUMNS($AC$1006:AD1006),$AC$1006:$AS$1006,0)))),"Fix")))</f>
        <v>0</v>
      </c>
      <c r="D519" s="5">
        <f>IF(OR(INDEX($W$2:$W$1001,MATCH(ROWS($V$2:V519),$V$2:$V$1001,0),1)&gt;=100000,INDEX($AC$1005:$AS$1005,1,MATCH(COLUMNS($AC$1006:AE1006),$AC$1006:$AS$1006,0))&gt;=100000), " ",IF(INDEX($AC$2:$AS$1001,MATCH(ROWS($V$2:V519),$V$2:$V$1001,0),MATCH(COLUMNS($AC$1006:AE1006),$AC$1006:$AS$1006,0)), HYPERLINK("#",""), HYPERLINK(CONCATENATE("#Metadata!", ADDRESS(INDEX($X$2:$X$1001,MATCH(ROWS($V$2:V519),$V$2:$V$1001,0),0), INDEX($AC$1004:$AS$1004,1,MATCH(COLUMNS($AC$1006:AE1006),$AC$1006:$AS$1006,0)))),"Fix")))</f>
        <v>0</v>
      </c>
      <c r="E519" s="5">
        <f>IF(OR(INDEX($W$2:$W$1001,MATCH(ROWS($V$2:V519),$V$2:$V$1001,0),1)&gt;=100000,INDEX($AC$1005:$AS$1005,1,MATCH(COLUMNS($AC$1006:AF1006),$AC$1006:$AS$1006,0))&gt;=100000), " ",IF(INDEX($AC$2:$AS$1001,MATCH(ROWS($V$2:V519),$V$2:$V$1001,0),MATCH(COLUMNS($AC$1006:AF1006),$AC$1006:$AS$1006,0)), HYPERLINK("#",""), HYPERLINK(CONCATENATE("#Metadata!", ADDRESS(INDEX($X$2:$X$1001,MATCH(ROWS($V$2:V519),$V$2:$V$1001,0),0), INDEX($AC$1004:$AS$1004,1,MATCH(COLUMNS($AC$1006:AF1006),$AC$1006:$AS$1006,0)))),"Fix")))</f>
        <v>0</v>
      </c>
      <c r="F519" s="5">
        <f>IF(OR(INDEX($W$2:$W$1001,MATCH(ROWS($V$2:V519),$V$2:$V$1001,0),1)&gt;=100000,INDEX($AC$1005:$AS$1005,1,MATCH(COLUMNS($AC$1006:AG1006),$AC$1006:$AS$1006,0))&gt;=100000), " ",IF(INDEX($AC$2:$AS$1001,MATCH(ROWS($V$2:V519),$V$2:$V$1001,0),MATCH(COLUMNS($AC$1006:AG1006),$AC$1006:$AS$1006,0)), HYPERLINK("#",""), HYPERLINK(CONCATENATE("#Metadata!", ADDRESS(INDEX($X$2:$X$1001,MATCH(ROWS($V$2:V519),$V$2:$V$1001,0),0), INDEX($AC$1004:$AS$1004,1,MATCH(COLUMNS($AC$1006:AG1006),$AC$1006:$AS$1006,0)))),"Fix")))</f>
        <v>0</v>
      </c>
      <c r="G519" s="5">
        <f>IF(OR(INDEX($W$2:$W$1001,MATCH(ROWS($V$2:V519),$V$2:$V$1001,0),1)&gt;=100000,INDEX($AC$1005:$AS$1005,1,MATCH(COLUMNS($AC$1006:AH1006),$AC$1006:$AS$1006,0))&gt;=100000), " ",IF(INDEX($AC$2:$AS$1001,MATCH(ROWS($V$2:V519),$V$2:$V$1001,0),MATCH(COLUMNS($AC$1006:AH1006),$AC$1006:$AS$1006,0)), HYPERLINK("#",""), HYPERLINK(CONCATENATE("#Metadata!", ADDRESS(INDEX($X$2:$X$1001,MATCH(ROWS($V$2:V519),$V$2:$V$1001,0),0), INDEX($AC$1004:$AS$1004,1,MATCH(COLUMNS($AC$1006:AH1006),$AC$1006:$AS$1006,0)))),"Fix")))</f>
        <v>0</v>
      </c>
      <c r="H519" s="5">
        <f>IF(OR(INDEX($W$2:$W$1001,MATCH(ROWS($V$2:V519),$V$2:$V$1001,0),1)&gt;=100000,INDEX($AC$1005:$AS$1005,1,MATCH(COLUMNS($AC$1006:AI1006),$AC$1006:$AS$1006,0))&gt;=100000), " ",IF(INDEX($AC$2:$AS$1001,MATCH(ROWS($V$2:V519),$V$2:$V$1001,0),MATCH(COLUMNS($AC$1006:AI1006),$AC$1006:$AS$1006,0)), HYPERLINK("#",""), HYPERLINK(CONCATENATE("#Metadata!", ADDRESS(INDEX($X$2:$X$1001,MATCH(ROWS($V$2:V519),$V$2:$V$1001,0),0), INDEX($AC$1004:$AS$1004,1,MATCH(COLUMNS($AC$1006:AI1006),$AC$1006:$AS$1006,0)))),"Fix")))</f>
        <v>0</v>
      </c>
      <c r="I519" s="5">
        <f>IF(OR(INDEX($W$2:$W$1001,MATCH(ROWS($V$2:V519),$V$2:$V$1001,0),1)&gt;=100000,INDEX($AC$1005:$AS$1005,1,MATCH(COLUMNS($AC$1006:AJ1006),$AC$1006:$AS$1006,0))&gt;=100000), " ",IF(INDEX($AC$2:$AS$1001,MATCH(ROWS($V$2:V519),$V$2:$V$1001,0),MATCH(COLUMNS($AC$1006:AJ1006),$AC$1006:$AS$1006,0)), HYPERLINK("#",""), HYPERLINK(CONCATENATE("#Metadata!", ADDRESS(INDEX($X$2:$X$1001,MATCH(ROWS($V$2:V519),$V$2:$V$1001,0),0), INDEX($AC$1004:$AS$1004,1,MATCH(COLUMNS($AC$1006:AJ1006),$AC$1006:$AS$1006,0)))),"Fix")))</f>
        <v>0</v>
      </c>
      <c r="J519" s="5">
        <f>IF(OR(INDEX($W$2:$W$1001,MATCH(ROWS($V$2:V519),$V$2:$V$1001,0),1)&gt;=100000,INDEX($AC$1005:$AS$1005,1,MATCH(COLUMNS($AC$1006:AK1006),$AC$1006:$AS$1006,0))&gt;=100000), " ",IF(INDEX($AC$2:$AS$1001,MATCH(ROWS($V$2:V519),$V$2:$V$1001,0),MATCH(COLUMNS($AC$1006:AK1006),$AC$1006:$AS$1006,0)), HYPERLINK("#",""), HYPERLINK(CONCATENATE("#Metadata!", ADDRESS(INDEX($X$2:$X$1001,MATCH(ROWS($V$2:V519),$V$2:$V$1001,0),0), INDEX($AC$1004:$AS$1004,1,MATCH(COLUMNS($AC$1006:AK1006),$AC$1006:$AS$1006,0)))),"Fix")))</f>
        <v>0</v>
      </c>
      <c r="K519" s="5">
        <f>IF(OR(INDEX($W$2:$W$1001,MATCH(ROWS($V$2:V519),$V$2:$V$1001,0),1)&gt;=100000,INDEX($AC$1005:$AS$1005,1,MATCH(COLUMNS($AC$1006:AL1006),$AC$1006:$AS$1006,0))&gt;=100000), " ",IF(INDEX($AC$2:$AS$1001,MATCH(ROWS($V$2:V519),$V$2:$V$1001,0),MATCH(COLUMNS($AC$1006:AL1006),$AC$1006:$AS$1006,0)), HYPERLINK("#",""), HYPERLINK(CONCATENATE("#Metadata!", ADDRESS(INDEX($X$2:$X$1001,MATCH(ROWS($V$2:V519),$V$2:$V$1001,0),0), INDEX($AC$1004:$AS$1004,1,MATCH(COLUMNS($AC$1006:AL1006),$AC$1006:$AS$1006,0)))),"Fix")))</f>
        <v>0</v>
      </c>
      <c r="L519" s="5">
        <f>IF(OR(INDEX($W$2:$W$1001,MATCH(ROWS($V$2:V519),$V$2:$V$1001,0),1)&gt;=100000,INDEX($AC$1005:$AS$1005,1,MATCH(COLUMNS($AC$1006:AM1006),$AC$1006:$AS$1006,0))&gt;=100000), " ",IF(INDEX($AC$2:$AS$1001,MATCH(ROWS($V$2:V519),$V$2:$V$1001,0),MATCH(COLUMNS($AC$1006:AM1006),$AC$1006:$AS$1006,0)), HYPERLINK("#",""), HYPERLINK(CONCATENATE("#Metadata!", ADDRESS(INDEX($X$2:$X$1001,MATCH(ROWS($V$2:V519),$V$2:$V$1001,0),0), INDEX($AC$1004:$AS$1004,1,MATCH(COLUMNS($AC$1006:AM1006),$AC$1006:$AS$1006,0)))),"Fix")))</f>
        <v>0</v>
      </c>
      <c r="M519" s="5">
        <f>IF(OR(INDEX($W$2:$W$1001,MATCH(ROWS($V$2:V519),$V$2:$V$1001,0),1)&gt;=100000,INDEX($AC$1005:$AS$1005,1,MATCH(COLUMNS($AC$1006:AN1006),$AC$1006:$AS$1006,0))&gt;=100000), " ",IF(INDEX($AC$2:$AS$1001,MATCH(ROWS($V$2:V519),$V$2:$V$1001,0),MATCH(COLUMNS($AC$1006:AN1006),$AC$1006:$AS$1006,0)), HYPERLINK("#",""), HYPERLINK(CONCATENATE("#Metadata!", ADDRESS(INDEX($X$2:$X$1001,MATCH(ROWS($V$2:V519),$V$2:$V$1001,0),0), INDEX($AC$1004:$AS$1004,1,MATCH(COLUMNS($AC$1006:AN1006),$AC$1006:$AS$1006,0)))),"Fix")))</f>
        <v>0</v>
      </c>
      <c r="N519" s="5">
        <f>IF(OR(INDEX($W$2:$W$1001,MATCH(ROWS($V$2:V519),$V$2:$V$1001,0),1)&gt;=100000,INDEX($AC$1005:$AS$1005,1,MATCH(COLUMNS($AC$1006:AO1006),$AC$1006:$AS$1006,0))&gt;=100000), " ",IF(INDEX($AC$2:$AS$1001,MATCH(ROWS($V$2:V519),$V$2:$V$1001,0),MATCH(COLUMNS($AC$1006:AO1006),$AC$1006:$AS$1006,0)), HYPERLINK("#",""), HYPERLINK(CONCATENATE("#Metadata!", ADDRESS(INDEX($X$2:$X$1001,MATCH(ROWS($V$2:V519),$V$2:$V$1001,0),0), INDEX($AC$1004:$AS$1004,1,MATCH(COLUMNS($AC$1006:AO1006),$AC$1006:$AS$1006,0)))),"Fix")))</f>
        <v>0</v>
      </c>
      <c r="O519" s="5">
        <f>IF(OR(INDEX($W$2:$W$1001,MATCH(ROWS($V$2:V519),$V$2:$V$1001,0),1)&gt;=100000,INDEX($AC$1005:$AS$1005,1,MATCH(COLUMNS($AC$1006:AP1006),$AC$1006:$AS$1006,0))&gt;=100000), " ",IF(INDEX($AC$2:$AS$1001,MATCH(ROWS($V$2:V519),$V$2:$V$1001,0),MATCH(COLUMNS($AC$1006:AP1006),$AC$1006:$AS$1006,0)), HYPERLINK("#",""), HYPERLINK(CONCATENATE("#Metadata!", ADDRESS(INDEX($X$2:$X$1001,MATCH(ROWS($V$2:V519),$V$2:$V$1001,0),0), INDEX($AC$1004:$AS$1004,1,MATCH(COLUMNS($AC$1006:AP1006),$AC$1006:$AS$1006,0)))),"Fix")))</f>
        <v>0</v>
      </c>
      <c r="P519" s="5">
        <f>IF(OR(INDEX($W$2:$W$1001,MATCH(ROWS($V$2:V519),$V$2:$V$1001,0),1)&gt;=100000,INDEX($AC$1005:$AS$1005,1,MATCH(COLUMNS($AC$1006:AQ1006),$AC$1006:$AS$1006,0))&gt;=100000), " ",IF(INDEX($AC$2:$AS$1001,MATCH(ROWS($V$2:V519),$V$2:$V$1001,0),MATCH(COLUMNS($AC$1006:AQ1006),$AC$1006:$AS$1006,0)), HYPERLINK("#",""), HYPERLINK(CONCATENATE("#Metadata!", ADDRESS(INDEX($X$2:$X$1001,MATCH(ROWS($V$2:V519),$V$2:$V$1001,0),0), INDEX($AC$1004:$AS$1004,1,MATCH(COLUMNS($AC$1006:AQ1006),$AC$1006:$AS$1006,0)))),"Fix")))</f>
        <v>0</v>
      </c>
      <c r="Q519" s="5">
        <f>IF(OR(INDEX($W$2:$W$1001,MATCH(ROWS($V$2:V519),$V$2:$V$1001,0),1)&gt;=100000,INDEX($AC$1005:$AS$1005,1,MATCH(COLUMNS($AC$1006:AR1006),$AC$1006:$AS$1006,0))&gt;=100000), " ",IF(INDEX($AC$2:$AS$1001,MATCH(ROWS($V$2:V519),$V$2:$V$1001,0),MATCH(COLUMNS($AC$1006:AR1006),$AC$1006:$AS$1006,0)), HYPERLINK("#",""), HYPERLINK(CONCATENATE("#Metadata!", ADDRESS(INDEX($X$2:$X$1001,MATCH(ROWS($V$2:V519),$V$2:$V$1001,0),0), INDEX($AC$1004:$AS$1004,1,MATCH(COLUMNS($AC$1006:AR1006),$AC$1006:$AS$1006,0)))),"Fix")))</f>
        <v>0</v>
      </c>
      <c r="R519" s="5">
        <f>IF(OR(INDEX($W$2:$W$1001,MATCH(ROWS($V$2:V519),$V$2:$V$1001,0),1)&gt;=100000,INDEX($AC$1005:$AS$1005,1,MATCH(COLUMNS($AC$1006:AS1006),$AC$1006:$AS$1006,0))&gt;=100000), " ",IF(INDEX($AC$2:$AS$1001,MATCH(ROWS($V$2:V519),$V$2:$V$1001,0),MATCH(COLUMNS($AC$1006:AS1006),$AC$1006:$AS$1006,0)), HYPERLINK("#",""), HYPERLINK(CONCATENATE("#Metadata!", ADDRESS(INDEX($X$2:$X$1001,MATCH(ROWS($V$2:V519),$V$2:$V$1001,0),0), INDEX($AC$1004:$AS$1004,1,MATCH(COLUMNS($AC$1006:AS1006),$AC$1006:$AS$1006,0)))),"Fix")))</f>
        <v>0</v>
      </c>
      <c r="V519">
        <v>0</v>
      </c>
      <c r="W519">
        <v>0</v>
      </c>
      <c r="X519">
        <v>0</v>
      </c>
      <c r="Y519">
        <f>IF(Z519,TRUE,AND(AC519:AS519))</f>
        <v>0</v>
      </c>
      <c r="Z519">
        <f>COUNTBLANK(Metadata!B519:R519)=COLUMNS(Metadata!B519:R519)</f>
        <v>0</v>
      </c>
      <c r="AA519">
        <v>0</v>
      </c>
      <c r="AC519">
        <f>AND(IF(Metadata!B519="",FALSE,TRUE),COUNTIF(Metadata!B:B, Metadata!B519) = 1,NOT(ISERROR(SUMPRODUCT(SEARCH(MID(Metadata!B519,ROW(INDIRECT("1:"&amp;LEN(Metadata!B519))), 1),"0123456789abcdefghijklmnopqrstuvwxyzABCDEFGHIJKLMNOPQRSTUVWXYZ.")))))</f>
        <v>0</v>
      </c>
      <c r="AD519">
        <f>AND(IF(Metadata!C519="",FALSE,TRUE),exact(Metadata!C519,"Host-associated"))</f>
        <v>0</v>
      </c>
      <c r="AE519">
        <f>AND(IF(Metadata!D519="",FALSE,TRUE),OR(exact(Metadata!D519,"Animal"),exact(Metadata!D519,"Fungus"),exact(Metadata!D519,"Plant")))</f>
        <v>0</v>
      </c>
      <c r="AF519">
        <f>AND(IF(Metadata!E519="",FALSE,TRUE),OR(exact(Metadata!E519,"Plant secretion"),exact(Metadata!E519,"Plant rhizosphere"),exact(Metadata!E519,"Plant surface"),exact(Metadata!E519,"Plant corpus"),exact(Metadata!E519,"Fungus surface"),exact(Metadata!E519,"Fungus corpus"),exact(Metadata!E519,"Animal surface"),exact(Metadata!E519,"Animal proximal gut"),exact(Metadata!E519,"Animal corpus"),exact(Metadata!E519,"Animal distal gut"),exact(Metadata!E519,"Animal secretion")))</f>
        <v>0</v>
      </c>
      <c r="AG519">
        <f>OR(AND(IF(Metadata!F519="",FALSE,TRUE),OR(exact(Metadata!F519,"not collected"),exact(Metadata!F519,"not provided"),exact(Metadata!F519,"restricted access"))),AND(IF(Metadata!F519="",FALSE,TRUE),OR(exact(Metadata!F519,"organism-associated habitat"),exact(Metadata!F519,"plant-associated habitat"),exact(Metadata!F519,"animal-associated habitat"),exact(Metadata!F519,"insecta-associated habitat"),exact(Metadata!F519,"mammalia-associated habitat"),exact(Metadata!F519,"human-associated habitat"),exact(Metadata!F519,"livestock-associated habitat"))))</f>
        <v>0</v>
      </c>
      <c r="AH519">
        <f>AND(IF(Metadata!G519="",FALSE,TRUE),exact(Metadata!G519,"host-associated"))</f>
        <v>0</v>
      </c>
      <c r="AI519">
        <f>OR(AND(IF(Metadata!H519="",FALSE,TRUE),OR(exact(Metadata!H519,"not collected"),exact(Metadata!H519,"not provided"))),AND(IF(Metadata!H519="",FALSE,ISNUMBER(VALUE(Metadata!H519))),Metadata!H519&gt;0))</f>
        <v>0</v>
      </c>
      <c r="AJ519">
        <f>AND(IF(Metadata!I519="",FALSE,TRUE),exact(Metadata!I519,"years"))</f>
        <v>0</v>
      </c>
      <c r="AK519">
        <f>IF(Metadata!J519="",FALSE,TRUE)</f>
        <v>0</v>
      </c>
      <c r="AL519">
        <f>OR(AND(IF(Metadata!K519="",FALSE,TRUE),OR(exact(Metadata!K519,"not collected"),exact(Metadata!K519,"not provided"))),AND(IF(Metadata!K519="",FALSE,ISNUMBER(VALUE(Metadata!K519))),Metadata!K519&gt;0))</f>
        <v>0</v>
      </c>
      <c r="AM519">
        <f>AND(IF(Metadata!L519="",FALSE,TRUE),exact(Metadata!L519,"cm"))</f>
        <v>0</v>
      </c>
      <c r="AN519">
        <f>IF(Metadata!M519="",FALSE,TRUE)</f>
        <v>0</v>
      </c>
      <c r="AO519">
        <f>OR(AND(IF(Metadata!N519="",FALSE,TRUE),OR(exact(Metadata!N519,"not applicable"),exact(Metadata!N519,"not collected"),exact(Metadata!N519,"not provided"))),AND(IF(Metadata!N519="",FALSE,IF(ISERROR(INT(Metadata!N519)),FALSE,INT(Metadata!N519)=Metadata!N519)),Metadata!N519&gt;0))</f>
        <v>0</v>
      </c>
      <c r="AP519">
        <f>OR(AND(IF(Metadata!O519="",FALSE,TRUE),OR(exact(Metadata!O519,"not collected"),exact(Metadata!O519,"not provided"))),AND(IF(Metadata!O519="",FALSE,ISNUMBER(VALUE(Metadata!O519))),Metadata!O519&gt;0))</f>
        <v>0</v>
      </c>
      <c r="AQ519">
        <f>AND(IF(Metadata!P519="",FALSE,TRUE),exact(Metadata!P519,"kg"))</f>
        <v>0</v>
      </c>
      <c r="AR519">
        <f>OR(AND(IF(Metadata!Q519="",FALSE,TRUE),OR(exact(Metadata!Q519,"not applicable"),exact(Metadata!Q519,"not collected"),exact(Metadata!Q519,"not provided"),exact(Metadata!Q519,"restricted access"))),IF(Metadata!Q519="",FALSE,IF(ISERROR(INT(Metadata!Q519)),FALSE,INT(Metadata!Q519)=Metadata!Q519)))</f>
        <v>0</v>
      </c>
      <c r="AS519">
        <f>AND(IF(Metadata!R519="",FALSE,TRUE),exact(Metadata!R519,"Not applicable"))</f>
        <v>0</v>
      </c>
    </row>
    <row r="520" spans="1:45">
      <c r="A520" s="4">
        <f>IF(B520=" "," ",HYPERLINK(CONCATENATE("#metadata!",ADDRESS(INDEX($X$2:$X$1001,MATCH(ROWS($V$2:V520),$V$2:$V$1001,0),0),2)),INDEX($AA$2:$AA$1001,MATCH(ROWS($V$2:V520),$V$2:$V$1001,0),0)))</f>
        <v>0</v>
      </c>
      <c r="B520" s="5">
        <f>IF(OR(INDEX($W$2:$W$1001,MATCH(ROWS($V$2:V520),$V$2:$V$1001,0),1)&gt;=100000,INDEX($AC$1005:$AS$1005,1,MATCH(COLUMNS($AC$1006:AC1006),$AC$1006:$AS$1006,0))&gt;=100000), " ",IF(INDEX($AC$2:$AS$1001,MATCH(ROWS($V$2:V520),$V$2:$V$1001,0),MATCH(COLUMNS($AC$1006:AC1006),$AC$1006:$AS$1006,0)), HYPERLINK("#",""), HYPERLINK(CONCATENATE("#Metadata!", ADDRESS(INDEX($X$2:$X$1001,MATCH(ROWS($V$2:V520),$V$2:$V$1001,0),0), INDEX($AC$1004:$AS$1004,1,MATCH(COLUMNS($AC$1006:AC1006),$AC$1006:$AS$1006,0)))),"Fix")))</f>
        <v>0</v>
      </c>
      <c r="C520" s="5">
        <f>IF(OR(INDEX($W$2:$W$1001,MATCH(ROWS($V$2:V520),$V$2:$V$1001,0),1)&gt;=100000,INDEX($AC$1005:$AS$1005,1,MATCH(COLUMNS($AC$1006:AD1006),$AC$1006:$AS$1006,0))&gt;=100000), " ",IF(INDEX($AC$2:$AS$1001,MATCH(ROWS($V$2:V520),$V$2:$V$1001,0),MATCH(COLUMNS($AC$1006:AD1006),$AC$1006:$AS$1006,0)), HYPERLINK("#",""), HYPERLINK(CONCATENATE("#Metadata!", ADDRESS(INDEX($X$2:$X$1001,MATCH(ROWS($V$2:V520),$V$2:$V$1001,0),0), INDEX($AC$1004:$AS$1004,1,MATCH(COLUMNS($AC$1006:AD1006),$AC$1006:$AS$1006,0)))),"Fix")))</f>
        <v>0</v>
      </c>
      <c r="D520" s="5">
        <f>IF(OR(INDEX($W$2:$W$1001,MATCH(ROWS($V$2:V520),$V$2:$V$1001,0),1)&gt;=100000,INDEX($AC$1005:$AS$1005,1,MATCH(COLUMNS($AC$1006:AE1006),$AC$1006:$AS$1006,0))&gt;=100000), " ",IF(INDEX($AC$2:$AS$1001,MATCH(ROWS($V$2:V520),$V$2:$V$1001,0),MATCH(COLUMNS($AC$1006:AE1006),$AC$1006:$AS$1006,0)), HYPERLINK("#",""), HYPERLINK(CONCATENATE("#Metadata!", ADDRESS(INDEX($X$2:$X$1001,MATCH(ROWS($V$2:V520),$V$2:$V$1001,0),0), INDEX($AC$1004:$AS$1004,1,MATCH(COLUMNS($AC$1006:AE1006),$AC$1006:$AS$1006,0)))),"Fix")))</f>
        <v>0</v>
      </c>
      <c r="E520" s="5">
        <f>IF(OR(INDEX($W$2:$W$1001,MATCH(ROWS($V$2:V520),$V$2:$V$1001,0),1)&gt;=100000,INDEX($AC$1005:$AS$1005,1,MATCH(COLUMNS($AC$1006:AF1006),$AC$1006:$AS$1006,0))&gt;=100000), " ",IF(INDEX($AC$2:$AS$1001,MATCH(ROWS($V$2:V520),$V$2:$V$1001,0),MATCH(COLUMNS($AC$1006:AF1006),$AC$1006:$AS$1006,0)), HYPERLINK("#",""), HYPERLINK(CONCATENATE("#Metadata!", ADDRESS(INDEX($X$2:$X$1001,MATCH(ROWS($V$2:V520),$V$2:$V$1001,0),0), INDEX($AC$1004:$AS$1004,1,MATCH(COLUMNS($AC$1006:AF1006),$AC$1006:$AS$1006,0)))),"Fix")))</f>
        <v>0</v>
      </c>
      <c r="F520" s="5">
        <f>IF(OR(INDEX($W$2:$W$1001,MATCH(ROWS($V$2:V520),$V$2:$V$1001,0),1)&gt;=100000,INDEX($AC$1005:$AS$1005,1,MATCH(COLUMNS($AC$1006:AG1006),$AC$1006:$AS$1006,0))&gt;=100000), " ",IF(INDEX($AC$2:$AS$1001,MATCH(ROWS($V$2:V520),$V$2:$V$1001,0),MATCH(COLUMNS($AC$1006:AG1006),$AC$1006:$AS$1006,0)), HYPERLINK("#",""), HYPERLINK(CONCATENATE("#Metadata!", ADDRESS(INDEX($X$2:$X$1001,MATCH(ROWS($V$2:V520),$V$2:$V$1001,0),0), INDEX($AC$1004:$AS$1004,1,MATCH(COLUMNS($AC$1006:AG1006),$AC$1006:$AS$1006,0)))),"Fix")))</f>
        <v>0</v>
      </c>
      <c r="G520" s="5">
        <f>IF(OR(INDEX($W$2:$W$1001,MATCH(ROWS($V$2:V520),$V$2:$V$1001,0),1)&gt;=100000,INDEX($AC$1005:$AS$1005,1,MATCH(COLUMNS($AC$1006:AH1006),$AC$1006:$AS$1006,0))&gt;=100000), " ",IF(INDEX($AC$2:$AS$1001,MATCH(ROWS($V$2:V520),$V$2:$V$1001,0),MATCH(COLUMNS($AC$1006:AH1006),$AC$1006:$AS$1006,0)), HYPERLINK("#",""), HYPERLINK(CONCATENATE("#Metadata!", ADDRESS(INDEX($X$2:$X$1001,MATCH(ROWS($V$2:V520),$V$2:$V$1001,0),0), INDEX($AC$1004:$AS$1004,1,MATCH(COLUMNS($AC$1006:AH1006),$AC$1006:$AS$1006,0)))),"Fix")))</f>
        <v>0</v>
      </c>
      <c r="H520" s="5">
        <f>IF(OR(INDEX($W$2:$W$1001,MATCH(ROWS($V$2:V520),$V$2:$V$1001,0),1)&gt;=100000,INDEX($AC$1005:$AS$1005,1,MATCH(COLUMNS($AC$1006:AI1006),$AC$1006:$AS$1006,0))&gt;=100000), " ",IF(INDEX($AC$2:$AS$1001,MATCH(ROWS($V$2:V520),$V$2:$V$1001,0),MATCH(COLUMNS($AC$1006:AI1006),$AC$1006:$AS$1006,0)), HYPERLINK("#",""), HYPERLINK(CONCATENATE("#Metadata!", ADDRESS(INDEX($X$2:$X$1001,MATCH(ROWS($V$2:V520),$V$2:$V$1001,0),0), INDEX($AC$1004:$AS$1004,1,MATCH(COLUMNS($AC$1006:AI1006),$AC$1006:$AS$1006,0)))),"Fix")))</f>
        <v>0</v>
      </c>
      <c r="I520" s="5">
        <f>IF(OR(INDEX($W$2:$W$1001,MATCH(ROWS($V$2:V520),$V$2:$V$1001,0),1)&gt;=100000,INDEX($AC$1005:$AS$1005,1,MATCH(COLUMNS($AC$1006:AJ1006),$AC$1006:$AS$1006,0))&gt;=100000), " ",IF(INDEX($AC$2:$AS$1001,MATCH(ROWS($V$2:V520),$V$2:$V$1001,0),MATCH(COLUMNS($AC$1006:AJ1006),$AC$1006:$AS$1006,0)), HYPERLINK("#",""), HYPERLINK(CONCATENATE("#Metadata!", ADDRESS(INDEX($X$2:$X$1001,MATCH(ROWS($V$2:V520),$V$2:$V$1001,0),0), INDEX($AC$1004:$AS$1004,1,MATCH(COLUMNS($AC$1006:AJ1006),$AC$1006:$AS$1006,0)))),"Fix")))</f>
        <v>0</v>
      </c>
      <c r="J520" s="5">
        <f>IF(OR(INDEX($W$2:$W$1001,MATCH(ROWS($V$2:V520),$V$2:$V$1001,0),1)&gt;=100000,INDEX($AC$1005:$AS$1005,1,MATCH(COLUMNS($AC$1006:AK1006),$AC$1006:$AS$1006,0))&gt;=100000), " ",IF(INDEX($AC$2:$AS$1001,MATCH(ROWS($V$2:V520),$V$2:$V$1001,0),MATCH(COLUMNS($AC$1006:AK1006),$AC$1006:$AS$1006,0)), HYPERLINK("#",""), HYPERLINK(CONCATENATE("#Metadata!", ADDRESS(INDEX($X$2:$X$1001,MATCH(ROWS($V$2:V520),$V$2:$V$1001,0),0), INDEX($AC$1004:$AS$1004,1,MATCH(COLUMNS($AC$1006:AK1006),$AC$1006:$AS$1006,0)))),"Fix")))</f>
        <v>0</v>
      </c>
      <c r="K520" s="5">
        <f>IF(OR(INDEX($W$2:$W$1001,MATCH(ROWS($V$2:V520),$V$2:$V$1001,0),1)&gt;=100000,INDEX($AC$1005:$AS$1005,1,MATCH(COLUMNS($AC$1006:AL1006),$AC$1006:$AS$1006,0))&gt;=100000), " ",IF(INDEX($AC$2:$AS$1001,MATCH(ROWS($V$2:V520),$V$2:$V$1001,0),MATCH(COLUMNS($AC$1006:AL1006),$AC$1006:$AS$1006,0)), HYPERLINK("#",""), HYPERLINK(CONCATENATE("#Metadata!", ADDRESS(INDEX($X$2:$X$1001,MATCH(ROWS($V$2:V520),$V$2:$V$1001,0),0), INDEX($AC$1004:$AS$1004,1,MATCH(COLUMNS($AC$1006:AL1006),$AC$1006:$AS$1006,0)))),"Fix")))</f>
        <v>0</v>
      </c>
      <c r="L520" s="5">
        <f>IF(OR(INDEX($W$2:$W$1001,MATCH(ROWS($V$2:V520),$V$2:$V$1001,0),1)&gt;=100000,INDEX($AC$1005:$AS$1005,1,MATCH(COLUMNS($AC$1006:AM1006),$AC$1006:$AS$1006,0))&gt;=100000), " ",IF(INDEX($AC$2:$AS$1001,MATCH(ROWS($V$2:V520),$V$2:$V$1001,0),MATCH(COLUMNS($AC$1006:AM1006),$AC$1006:$AS$1006,0)), HYPERLINK("#",""), HYPERLINK(CONCATENATE("#Metadata!", ADDRESS(INDEX($X$2:$X$1001,MATCH(ROWS($V$2:V520),$V$2:$V$1001,0),0), INDEX($AC$1004:$AS$1004,1,MATCH(COLUMNS($AC$1006:AM1006),$AC$1006:$AS$1006,0)))),"Fix")))</f>
        <v>0</v>
      </c>
      <c r="M520" s="5">
        <f>IF(OR(INDEX($W$2:$W$1001,MATCH(ROWS($V$2:V520),$V$2:$V$1001,0),1)&gt;=100000,INDEX($AC$1005:$AS$1005,1,MATCH(COLUMNS($AC$1006:AN1006),$AC$1006:$AS$1006,0))&gt;=100000), " ",IF(INDEX($AC$2:$AS$1001,MATCH(ROWS($V$2:V520),$V$2:$V$1001,0),MATCH(COLUMNS($AC$1006:AN1006),$AC$1006:$AS$1006,0)), HYPERLINK("#",""), HYPERLINK(CONCATENATE("#Metadata!", ADDRESS(INDEX($X$2:$X$1001,MATCH(ROWS($V$2:V520),$V$2:$V$1001,0),0), INDEX($AC$1004:$AS$1004,1,MATCH(COLUMNS($AC$1006:AN1006),$AC$1006:$AS$1006,0)))),"Fix")))</f>
        <v>0</v>
      </c>
      <c r="N520" s="5">
        <f>IF(OR(INDEX($W$2:$W$1001,MATCH(ROWS($V$2:V520),$V$2:$V$1001,0),1)&gt;=100000,INDEX($AC$1005:$AS$1005,1,MATCH(COLUMNS($AC$1006:AO1006),$AC$1006:$AS$1006,0))&gt;=100000), " ",IF(INDEX($AC$2:$AS$1001,MATCH(ROWS($V$2:V520),$V$2:$V$1001,0),MATCH(COLUMNS($AC$1006:AO1006),$AC$1006:$AS$1006,0)), HYPERLINK("#",""), HYPERLINK(CONCATENATE("#Metadata!", ADDRESS(INDEX($X$2:$X$1001,MATCH(ROWS($V$2:V520),$V$2:$V$1001,0),0), INDEX($AC$1004:$AS$1004,1,MATCH(COLUMNS($AC$1006:AO1006),$AC$1006:$AS$1006,0)))),"Fix")))</f>
        <v>0</v>
      </c>
      <c r="O520" s="5">
        <f>IF(OR(INDEX($W$2:$W$1001,MATCH(ROWS($V$2:V520),$V$2:$V$1001,0),1)&gt;=100000,INDEX($AC$1005:$AS$1005,1,MATCH(COLUMNS($AC$1006:AP1006),$AC$1006:$AS$1006,0))&gt;=100000), " ",IF(INDEX($AC$2:$AS$1001,MATCH(ROWS($V$2:V520),$V$2:$V$1001,0),MATCH(COLUMNS($AC$1006:AP1006),$AC$1006:$AS$1006,0)), HYPERLINK("#",""), HYPERLINK(CONCATENATE("#Metadata!", ADDRESS(INDEX($X$2:$X$1001,MATCH(ROWS($V$2:V520),$V$2:$V$1001,0),0), INDEX($AC$1004:$AS$1004,1,MATCH(COLUMNS($AC$1006:AP1006),$AC$1006:$AS$1006,0)))),"Fix")))</f>
        <v>0</v>
      </c>
      <c r="P520" s="5">
        <f>IF(OR(INDEX($W$2:$W$1001,MATCH(ROWS($V$2:V520),$V$2:$V$1001,0),1)&gt;=100000,INDEX($AC$1005:$AS$1005,1,MATCH(COLUMNS($AC$1006:AQ1006),$AC$1006:$AS$1006,0))&gt;=100000), " ",IF(INDEX($AC$2:$AS$1001,MATCH(ROWS($V$2:V520),$V$2:$V$1001,0),MATCH(COLUMNS($AC$1006:AQ1006),$AC$1006:$AS$1006,0)), HYPERLINK("#",""), HYPERLINK(CONCATENATE("#Metadata!", ADDRESS(INDEX($X$2:$X$1001,MATCH(ROWS($V$2:V520),$V$2:$V$1001,0),0), INDEX($AC$1004:$AS$1004,1,MATCH(COLUMNS($AC$1006:AQ1006),$AC$1006:$AS$1006,0)))),"Fix")))</f>
        <v>0</v>
      </c>
      <c r="Q520" s="5">
        <f>IF(OR(INDEX($W$2:$W$1001,MATCH(ROWS($V$2:V520),$V$2:$V$1001,0),1)&gt;=100000,INDEX($AC$1005:$AS$1005,1,MATCH(COLUMNS($AC$1006:AR1006),$AC$1006:$AS$1006,0))&gt;=100000), " ",IF(INDEX($AC$2:$AS$1001,MATCH(ROWS($V$2:V520),$V$2:$V$1001,0),MATCH(COLUMNS($AC$1006:AR1006),$AC$1006:$AS$1006,0)), HYPERLINK("#",""), HYPERLINK(CONCATENATE("#Metadata!", ADDRESS(INDEX($X$2:$X$1001,MATCH(ROWS($V$2:V520),$V$2:$V$1001,0),0), INDEX($AC$1004:$AS$1004,1,MATCH(COLUMNS($AC$1006:AR1006),$AC$1006:$AS$1006,0)))),"Fix")))</f>
        <v>0</v>
      </c>
      <c r="R520" s="5">
        <f>IF(OR(INDEX($W$2:$W$1001,MATCH(ROWS($V$2:V520),$V$2:$V$1001,0),1)&gt;=100000,INDEX($AC$1005:$AS$1005,1,MATCH(COLUMNS($AC$1006:AS1006),$AC$1006:$AS$1006,0))&gt;=100000), " ",IF(INDEX($AC$2:$AS$1001,MATCH(ROWS($V$2:V520),$V$2:$V$1001,0),MATCH(COLUMNS($AC$1006:AS1006),$AC$1006:$AS$1006,0)), HYPERLINK("#",""), HYPERLINK(CONCATENATE("#Metadata!", ADDRESS(INDEX($X$2:$X$1001,MATCH(ROWS($V$2:V520),$V$2:$V$1001,0),0), INDEX($AC$1004:$AS$1004,1,MATCH(COLUMNS($AC$1006:AS1006),$AC$1006:$AS$1006,0)))),"Fix")))</f>
        <v>0</v>
      </c>
      <c r="V520">
        <v>0</v>
      </c>
      <c r="W520">
        <v>0</v>
      </c>
      <c r="X520">
        <v>0</v>
      </c>
      <c r="Y520">
        <f>IF(Z520,TRUE,AND(AC520:AS520))</f>
        <v>0</v>
      </c>
      <c r="Z520">
        <f>COUNTBLANK(Metadata!B520:R520)=COLUMNS(Metadata!B520:R520)</f>
        <v>0</v>
      </c>
      <c r="AA520">
        <v>0</v>
      </c>
      <c r="AC520">
        <f>AND(IF(Metadata!B520="",FALSE,TRUE),COUNTIF(Metadata!B:B, Metadata!B520) = 1,NOT(ISERROR(SUMPRODUCT(SEARCH(MID(Metadata!B520,ROW(INDIRECT("1:"&amp;LEN(Metadata!B520))), 1),"0123456789abcdefghijklmnopqrstuvwxyzABCDEFGHIJKLMNOPQRSTUVWXYZ.")))))</f>
        <v>0</v>
      </c>
      <c r="AD520">
        <f>AND(IF(Metadata!C520="",FALSE,TRUE),exact(Metadata!C520,"Host-associated"))</f>
        <v>0</v>
      </c>
      <c r="AE520">
        <f>AND(IF(Metadata!D520="",FALSE,TRUE),OR(exact(Metadata!D520,"Animal"),exact(Metadata!D520,"Fungus"),exact(Metadata!D520,"Plant")))</f>
        <v>0</v>
      </c>
      <c r="AF520">
        <f>AND(IF(Metadata!E520="",FALSE,TRUE),OR(exact(Metadata!E520,"Plant secretion"),exact(Metadata!E520,"Plant rhizosphere"),exact(Metadata!E520,"Plant surface"),exact(Metadata!E520,"Plant corpus"),exact(Metadata!E520,"Fungus surface"),exact(Metadata!E520,"Fungus corpus"),exact(Metadata!E520,"Animal surface"),exact(Metadata!E520,"Animal proximal gut"),exact(Metadata!E520,"Animal corpus"),exact(Metadata!E520,"Animal distal gut"),exact(Metadata!E520,"Animal secretion")))</f>
        <v>0</v>
      </c>
      <c r="AG520">
        <f>OR(AND(IF(Metadata!F520="",FALSE,TRUE),OR(exact(Metadata!F520,"not collected"),exact(Metadata!F520,"not provided"),exact(Metadata!F520,"restricted access"))),AND(IF(Metadata!F520="",FALSE,TRUE),OR(exact(Metadata!F520,"organism-associated habitat"),exact(Metadata!F520,"plant-associated habitat"),exact(Metadata!F520,"animal-associated habitat"),exact(Metadata!F520,"insecta-associated habitat"),exact(Metadata!F520,"mammalia-associated habitat"),exact(Metadata!F520,"human-associated habitat"),exact(Metadata!F520,"livestock-associated habitat"))))</f>
        <v>0</v>
      </c>
      <c r="AH520">
        <f>AND(IF(Metadata!G520="",FALSE,TRUE),exact(Metadata!G520,"host-associated"))</f>
        <v>0</v>
      </c>
      <c r="AI520">
        <f>OR(AND(IF(Metadata!H520="",FALSE,TRUE),OR(exact(Metadata!H520,"not collected"),exact(Metadata!H520,"not provided"))),AND(IF(Metadata!H520="",FALSE,ISNUMBER(VALUE(Metadata!H520))),Metadata!H520&gt;0))</f>
        <v>0</v>
      </c>
      <c r="AJ520">
        <f>AND(IF(Metadata!I520="",FALSE,TRUE),exact(Metadata!I520,"years"))</f>
        <v>0</v>
      </c>
      <c r="AK520">
        <f>IF(Metadata!J520="",FALSE,TRUE)</f>
        <v>0</v>
      </c>
      <c r="AL520">
        <f>OR(AND(IF(Metadata!K520="",FALSE,TRUE),OR(exact(Metadata!K520,"not collected"),exact(Metadata!K520,"not provided"))),AND(IF(Metadata!K520="",FALSE,ISNUMBER(VALUE(Metadata!K520))),Metadata!K520&gt;0))</f>
        <v>0</v>
      </c>
      <c r="AM520">
        <f>AND(IF(Metadata!L520="",FALSE,TRUE),exact(Metadata!L520,"cm"))</f>
        <v>0</v>
      </c>
      <c r="AN520">
        <f>IF(Metadata!M520="",FALSE,TRUE)</f>
        <v>0</v>
      </c>
      <c r="AO520">
        <f>OR(AND(IF(Metadata!N520="",FALSE,TRUE),OR(exact(Metadata!N520,"not applicable"),exact(Metadata!N520,"not collected"),exact(Metadata!N520,"not provided"))),AND(IF(Metadata!N520="",FALSE,IF(ISERROR(INT(Metadata!N520)),FALSE,INT(Metadata!N520)=Metadata!N520)),Metadata!N520&gt;0))</f>
        <v>0</v>
      </c>
      <c r="AP520">
        <f>OR(AND(IF(Metadata!O520="",FALSE,TRUE),OR(exact(Metadata!O520,"not collected"),exact(Metadata!O520,"not provided"))),AND(IF(Metadata!O520="",FALSE,ISNUMBER(VALUE(Metadata!O520))),Metadata!O520&gt;0))</f>
        <v>0</v>
      </c>
      <c r="AQ520">
        <f>AND(IF(Metadata!P520="",FALSE,TRUE),exact(Metadata!P520,"kg"))</f>
        <v>0</v>
      </c>
      <c r="AR520">
        <f>OR(AND(IF(Metadata!Q520="",FALSE,TRUE),OR(exact(Metadata!Q520,"not applicable"),exact(Metadata!Q520,"not collected"),exact(Metadata!Q520,"not provided"),exact(Metadata!Q520,"restricted access"))),IF(Metadata!Q520="",FALSE,IF(ISERROR(INT(Metadata!Q520)),FALSE,INT(Metadata!Q520)=Metadata!Q520)))</f>
        <v>0</v>
      </c>
      <c r="AS520">
        <f>AND(IF(Metadata!R520="",FALSE,TRUE),exact(Metadata!R520,"Not applicable"))</f>
        <v>0</v>
      </c>
    </row>
    <row r="521" spans="1:45">
      <c r="A521" s="4">
        <f>IF(B521=" "," ",HYPERLINK(CONCATENATE("#metadata!",ADDRESS(INDEX($X$2:$X$1001,MATCH(ROWS($V$2:V521),$V$2:$V$1001,0),0),2)),INDEX($AA$2:$AA$1001,MATCH(ROWS($V$2:V521),$V$2:$V$1001,0),0)))</f>
        <v>0</v>
      </c>
      <c r="B521" s="5">
        <f>IF(OR(INDEX($W$2:$W$1001,MATCH(ROWS($V$2:V521),$V$2:$V$1001,0),1)&gt;=100000,INDEX($AC$1005:$AS$1005,1,MATCH(COLUMNS($AC$1006:AC1006),$AC$1006:$AS$1006,0))&gt;=100000), " ",IF(INDEX($AC$2:$AS$1001,MATCH(ROWS($V$2:V521),$V$2:$V$1001,0),MATCH(COLUMNS($AC$1006:AC1006),$AC$1006:$AS$1006,0)), HYPERLINK("#",""), HYPERLINK(CONCATENATE("#Metadata!", ADDRESS(INDEX($X$2:$X$1001,MATCH(ROWS($V$2:V521),$V$2:$V$1001,0),0), INDEX($AC$1004:$AS$1004,1,MATCH(COLUMNS($AC$1006:AC1006),$AC$1006:$AS$1006,0)))),"Fix")))</f>
        <v>0</v>
      </c>
      <c r="C521" s="5">
        <f>IF(OR(INDEX($W$2:$W$1001,MATCH(ROWS($V$2:V521),$V$2:$V$1001,0),1)&gt;=100000,INDEX($AC$1005:$AS$1005,1,MATCH(COLUMNS($AC$1006:AD1006),$AC$1006:$AS$1006,0))&gt;=100000), " ",IF(INDEX($AC$2:$AS$1001,MATCH(ROWS($V$2:V521),$V$2:$V$1001,0),MATCH(COLUMNS($AC$1006:AD1006),$AC$1006:$AS$1006,0)), HYPERLINK("#",""), HYPERLINK(CONCATENATE("#Metadata!", ADDRESS(INDEX($X$2:$X$1001,MATCH(ROWS($V$2:V521),$V$2:$V$1001,0),0), INDEX($AC$1004:$AS$1004,1,MATCH(COLUMNS($AC$1006:AD1006),$AC$1006:$AS$1006,0)))),"Fix")))</f>
        <v>0</v>
      </c>
      <c r="D521" s="5">
        <f>IF(OR(INDEX($W$2:$W$1001,MATCH(ROWS($V$2:V521),$V$2:$V$1001,0),1)&gt;=100000,INDEX($AC$1005:$AS$1005,1,MATCH(COLUMNS($AC$1006:AE1006),$AC$1006:$AS$1006,0))&gt;=100000), " ",IF(INDEX($AC$2:$AS$1001,MATCH(ROWS($V$2:V521),$V$2:$V$1001,0),MATCH(COLUMNS($AC$1006:AE1006),$AC$1006:$AS$1006,0)), HYPERLINK("#",""), HYPERLINK(CONCATENATE("#Metadata!", ADDRESS(INDEX($X$2:$X$1001,MATCH(ROWS($V$2:V521),$V$2:$V$1001,0),0), INDEX($AC$1004:$AS$1004,1,MATCH(COLUMNS($AC$1006:AE1006),$AC$1006:$AS$1006,0)))),"Fix")))</f>
        <v>0</v>
      </c>
      <c r="E521" s="5">
        <f>IF(OR(INDEX($W$2:$W$1001,MATCH(ROWS($V$2:V521),$V$2:$V$1001,0),1)&gt;=100000,INDEX($AC$1005:$AS$1005,1,MATCH(COLUMNS($AC$1006:AF1006),$AC$1006:$AS$1006,0))&gt;=100000), " ",IF(INDEX($AC$2:$AS$1001,MATCH(ROWS($V$2:V521),$V$2:$V$1001,0),MATCH(COLUMNS($AC$1006:AF1006),$AC$1006:$AS$1006,0)), HYPERLINK("#",""), HYPERLINK(CONCATENATE("#Metadata!", ADDRESS(INDEX($X$2:$X$1001,MATCH(ROWS($V$2:V521),$V$2:$V$1001,0),0), INDEX($AC$1004:$AS$1004,1,MATCH(COLUMNS($AC$1006:AF1006),$AC$1006:$AS$1006,0)))),"Fix")))</f>
        <v>0</v>
      </c>
      <c r="F521" s="5">
        <f>IF(OR(INDEX($W$2:$W$1001,MATCH(ROWS($V$2:V521),$V$2:$V$1001,0),1)&gt;=100000,INDEX($AC$1005:$AS$1005,1,MATCH(COLUMNS($AC$1006:AG1006),$AC$1006:$AS$1006,0))&gt;=100000), " ",IF(INDEX($AC$2:$AS$1001,MATCH(ROWS($V$2:V521),$V$2:$V$1001,0),MATCH(COLUMNS($AC$1006:AG1006),$AC$1006:$AS$1006,0)), HYPERLINK("#",""), HYPERLINK(CONCATENATE("#Metadata!", ADDRESS(INDEX($X$2:$X$1001,MATCH(ROWS($V$2:V521),$V$2:$V$1001,0),0), INDEX($AC$1004:$AS$1004,1,MATCH(COLUMNS($AC$1006:AG1006),$AC$1006:$AS$1006,0)))),"Fix")))</f>
        <v>0</v>
      </c>
      <c r="G521" s="5">
        <f>IF(OR(INDEX($W$2:$W$1001,MATCH(ROWS($V$2:V521),$V$2:$V$1001,0),1)&gt;=100000,INDEX($AC$1005:$AS$1005,1,MATCH(COLUMNS($AC$1006:AH1006),$AC$1006:$AS$1006,0))&gt;=100000), " ",IF(INDEX($AC$2:$AS$1001,MATCH(ROWS($V$2:V521),$V$2:$V$1001,0),MATCH(COLUMNS($AC$1006:AH1006),$AC$1006:$AS$1006,0)), HYPERLINK("#",""), HYPERLINK(CONCATENATE("#Metadata!", ADDRESS(INDEX($X$2:$X$1001,MATCH(ROWS($V$2:V521),$V$2:$V$1001,0),0), INDEX($AC$1004:$AS$1004,1,MATCH(COLUMNS($AC$1006:AH1006),$AC$1006:$AS$1006,0)))),"Fix")))</f>
        <v>0</v>
      </c>
      <c r="H521" s="5">
        <f>IF(OR(INDEX($W$2:$W$1001,MATCH(ROWS($V$2:V521),$V$2:$V$1001,0),1)&gt;=100000,INDEX($AC$1005:$AS$1005,1,MATCH(COLUMNS($AC$1006:AI1006),$AC$1006:$AS$1006,0))&gt;=100000), " ",IF(INDEX($AC$2:$AS$1001,MATCH(ROWS($V$2:V521),$V$2:$V$1001,0),MATCH(COLUMNS($AC$1006:AI1006),$AC$1006:$AS$1006,0)), HYPERLINK("#",""), HYPERLINK(CONCATENATE("#Metadata!", ADDRESS(INDEX($X$2:$X$1001,MATCH(ROWS($V$2:V521),$V$2:$V$1001,0),0), INDEX($AC$1004:$AS$1004,1,MATCH(COLUMNS($AC$1006:AI1006),$AC$1006:$AS$1006,0)))),"Fix")))</f>
        <v>0</v>
      </c>
      <c r="I521" s="5">
        <f>IF(OR(INDEX($W$2:$W$1001,MATCH(ROWS($V$2:V521),$V$2:$V$1001,0),1)&gt;=100000,INDEX($AC$1005:$AS$1005,1,MATCH(COLUMNS($AC$1006:AJ1006),$AC$1006:$AS$1006,0))&gt;=100000), " ",IF(INDEX($AC$2:$AS$1001,MATCH(ROWS($V$2:V521),$V$2:$V$1001,0),MATCH(COLUMNS($AC$1006:AJ1006),$AC$1006:$AS$1006,0)), HYPERLINK("#",""), HYPERLINK(CONCATENATE("#Metadata!", ADDRESS(INDEX($X$2:$X$1001,MATCH(ROWS($V$2:V521),$V$2:$V$1001,0),0), INDEX($AC$1004:$AS$1004,1,MATCH(COLUMNS($AC$1006:AJ1006),$AC$1006:$AS$1006,0)))),"Fix")))</f>
        <v>0</v>
      </c>
      <c r="J521" s="5">
        <f>IF(OR(INDEX($W$2:$W$1001,MATCH(ROWS($V$2:V521),$V$2:$V$1001,0),1)&gt;=100000,INDEX($AC$1005:$AS$1005,1,MATCH(COLUMNS($AC$1006:AK1006),$AC$1006:$AS$1006,0))&gt;=100000), " ",IF(INDEX($AC$2:$AS$1001,MATCH(ROWS($V$2:V521),$V$2:$V$1001,0),MATCH(COLUMNS($AC$1006:AK1006),$AC$1006:$AS$1006,0)), HYPERLINK("#",""), HYPERLINK(CONCATENATE("#Metadata!", ADDRESS(INDEX($X$2:$X$1001,MATCH(ROWS($V$2:V521),$V$2:$V$1001,0),0), INDEX($AC$1004:$AS$1004,1,MATCH(COLUMNS($AC$1006:AK1006),$AC$1006:$AS$1006,0)))),"Fix")))</f>
        <v>0</v>
      </c>
      <c r="K521" s="5">
        <f>IF(OR(INDEX($W$2:$W$1001,MATCH(ROWS($V$2:V521),$V$2:$V$1001,0),1)&gt;=100000,INDEX($AC$1005:$AS$1005,1,MATCH(COLUMNS($AC$1006:AL1006),$AC$1006:$AS$1006,0))&gt;=100000), " ",IF(INDEX($AC$2:$AS$1001,MATCH(ROWS($V$2:V521),$V$2:$V$1001,0),MATCH(COLUMNS($AC$1006:AL1006),$AC$1006:$AS$1006,0)), HYPERLINK("#",""), HYPERLINK(CONCATENATE("#Metadata!", ADDRESS(INDEX($X$2:$X$1001,MATCH(ROWS($V$2:V521),$V$2:$V$1001,0),0), INDEX($AC$1004:$AS$1004,1,MATCH(COLUMNS($AC$1006:AL1006),$AC$1006:$AS$1006,0)))),"Fix")))</f>
        <v>0</v>
      </c>
      <c r="L521" s="5">
        <f>IF(OR(INDEX($W$2:$W$1001,MATCH(ROWS($V$2:V521),$V$2:$V$1001,0),1)&gt;=100000,INDEX($AC$1005:$AS$1005,1,MATCH(COLUMNS($AC$1006:AM1006),$AC$1006:$AS$1006,0))&gt;=100000), " ",IF(INDEX($AC$2:$AS$1001,MATCH(ROWS($V$2:V521),$V$2:$V$1001,0),MATCH(COLUMNS($AC$1006:AM1006),$AC$1006:$AS$1006,0)), HYPERLINK("#",""), HYPERLINK(CONCATENATE("#Metadata!", ADDRESS(INDEX($X$2:$X$1001,MATCH(ROWS($V$2:V521),$V$2:$V$1001,0),0), INDEX($AC$1004:$AS$1004,1,MATCH(COLUMNS($AC$1006:AM1006),$AC$1006:$AS$1006,0)))),"Fix")))</f>
        <v>0</v>
      </c>
      <c r="M521" s="5">
        <f>IF(OR(INDEX($W$2:$W$1001,MATCH(ROWS($V$2:V521),$V$2:$V$1001,0),1)&gt;=100000,INDEX($AC$1005:$AS$1005,1,MATCH(COLUMNS($AC$1006:AN1006),$AC$1006:$AS$1006,0))&gt;=100000), " ",IF(INDEX($AC$2:$AS$1001,MATCH(ROWS($V$2:V521),$V$2:$V$1001,0),MATCH(COLUMNS($AC$1006:AN1006),$AC$1006:$AS$1006,0)), HYPERLINK("#",""), HYPERLINK(CONCATENATE("#Metadata!", ADDRESS(INDEX($X$2:$X$1001,MATCH(ROWS($V$2:V521),$V$2:$V$1001,0),0), INDEX($AC$1004:$AS$1004,1,MATCH(COLUMNS($AC$1006:AN1006),$AC$1006:$AS$1006,0)))),"Fix")))</f>
        <v>0</v>
      </c>
      <c r="N521" s="5">
        <f>IF(OR(INDEX($W$2:$W$1001,MATCH(ROWS($V$2:V521),$V$2:$V$1001,0),1)&gt;=100000,INDEX($AC$1005:$AS$1005,1,MATCH(COLUMNS($AC$1006:AO1006),$AC$1006:$AS$1006,0))&gt;=100000), " ",IF(INDEX($AC$2:$AS$1001,MATCH(ROWS($V$2:V521),$V$2:$V$1001,0),MATCH(COLUMNS($AC$1006:AO1006),$AC$1006:$AS$1006,0)), HYPERLINK("#",""), HYPERLINK(CONCATENATE("#Metadata!", ADDRESS(INDEX($X$2:$X$1001,MATCH(ROWS($V$2:V521),$V$2:$V$1001,0),0), INDEX($AC$1004:$AS$1004,1,MATCH(COLUMNS($AC$1006:AO1006),$AC$1006:$AS$1006,0)))),"Fix")))</f>
        <v>0</v>
      </c>
      <c r="O521" s="5">
        <f>IF(OR(INDEX($W$2:$W$1001,MATCH(ROWS($V$2:V521),$V$2:$V$1001,0),1)&gt;=100000,INDEX($AC$1005:$AS$1005,1,MATCH(COLUMNS($AC$1006:AP1006),$AC$1006:$AS$1006,0))&gt;=100000), " ",IF(INDEX($AC$2:$AS$1001,MATCH(ROWS($V$2:V521),$V$2:$V$1001,0),MATCH(COLUMNS($AC$1006:AP1006),$AC$1006:$AS$1006,0)), HYPERLINK("#",""), HYPERLINK(CONCATENATE("#Metadata!", ADDRESS(INDEX($X$2:$X$1001,MATCH(ROWS($V$2:V521),$V$2:$V$1001,0),0), INDEX($AC$1004:$AS$1004,1,MATCH(COLUMNS($AC$1006:AP1006),$AC$1006:$AS$1006,0)))),"Fix")))</f>
        <v>0</v>
      </c>
      <c r="P521" s="5">
        <f>IF(OR(INDEX($W$2:$W$1001,MATCH(ROWS($V$2:V521),$V$2:$V$1001,0),1)&gt;=100000,INDEX($AC$1005:$AS$1005,1,MATCH(COLUMNS($AC$1006:AQ1006),$AC$1006:$AS$1006,0))&gt;=100000), " ",IF(INDEX($AC$2:$AS$1001,MATCH(ROWS($V$2:V521),$V$2:$V$1001,0),MATCH(COLUMNS($AC$1006:AQ1006),$AC$1006:$AS$1006,0)), HYPERLINK("#",""), HYPERLINK(CONCATENATE("#Metadata!", ADDRESS(INDEX($X$2:$X$1001,MATCH(ROWS($V$2:V521),$V$2:$V$1001,0),0), INDEX($AC$1004:$AS$1004,1,MATCH(COLUMNS($AC$1006:AQ1006),$AC$1006:$AS$1006,0)))),"Fix")))</f>
        <v>0</v>
      </c>
      <c r="Q521" s="5">
        <f>IF(OR(INDEX($W$2:$W$1001,MATCH(ROWS($V$2:V521),$V$2:$V$1001,0),1)&gt;=100000,INDEX($AC$1005:$AS$1005,1,MATCH(COLUMNS($AC$1006:AR1006),$AC$1006:$AS$1006,0))&gt;=100000), " ",IF(INDEX($AC$2:$AS$1001,MATCH(ROWS($V$2:V521),$V$2:$V$1001,0),MATCH(COLUMNS($AC$1006:AR1006),$AC$1006:$AS$1006,0)), HYPERLINK("#",""), HYPERLINK(CONCATENATE("#Metadata!", ADDRESS(INDEX($X$2:$X$1001,MATCH(ROWS($V$2:V521),$V$2:$V$1001,0),0), INDEX($AC$1004:$AS$1004,1,MATCH(COLUMNS($AC$1006:AR1006),$AC$1006:$AS$1006,0)))),"Fix")))</f>
        <v>0</v>
      </c>
      <c r="R521" s="5">
        <f>IF(OR(INDEX($W$2:$W$1001,MATCH(ROWS($V$2:V521),$V$2:$V$1001,0),1)&gt;=100000,INDEX($AC$1005:$AS$1005,1,MATCH(COLUMNS($AC$1006:AS1006),$AC$1006:$AS$1006,0))&gt;=100000), " ",IF(INDEX($AC$2:$AS$1001,MATCH(ROWS($V$2:V521),$V$2:$V$1001,0),MATCH(COLUMNS($AC$1006:AS1006),$AC$1006:$AS$1006,0)), HYPERLINK("#",""), HYPERLINK(CONCATENATE("#Metadata!", ADDRESS(INDEX($X$2:$X$1001,MATCH(ROWS($V$2:V521),$V$2:$V$1001,0),0), INDEX($AC$1004:$AS$1004,1,MATCH(COLUMNS($AC$1006:AS1006),$AC$1006:$AS$1006,0)))),"Fix")))</f>
        <v>0</v>
      </c>
      <c r="V521">
        <v>0</v>
      </c>
      <c r="W521">
        <v>0</v>
      </c>
      <c r="X521">
        <v>0</v>
      </c>
      <c r="Y521">
        <f>IF(Z521,TRUE,AND(AC521:AS521))</f>
        <v>0</v>
      </c>
      <c r="Z521">
        <f>COUNTBLANK(Metadata!B521:R521)=COLUMNS(Metadata!B521:R521)</f>
        <v>0</v>
      </c>
      <c r="AA521">
        <v>0</v>
      </c>
      <c r="AC521">
        <f>AND(IF(Metadata!B521="",FALSE,TRUE),COUNTIF(Metadata!B:B, Metadata!B521) = 1,NOT(ISERROR(SUMPRODUCT(SEARCH(MID(Metadata!B521,ROW(INDIRECT("1:"&amp;LEN(Metadata!B521))), 1),"0123456789abcdefghijklmnopqrstuvwxyzABCDEFGHIJKLMNOPQRSTUVWXYZ.")))))</f>
        <v>0</v>
      </c>
      <c r="AD521">
        <f>AND(IF(Metadata!C521="",FALSE,TRUE),exact(Metadata!C521,"Host-associated"))</f>
        <v>0</v>
      </c>
      <c r="AE521">
        <f>AND(IF(Metadata!D521="",FALSE,TRUE),OR(exact(Metadata!D521,"Animal"),exact(Metadata!D521,"Fungus"),exact(Metadata!D521,"Plant")))</f>
        <v>0</v>
      </c>
      <c r="AF521">
        <f>AND(IF(Metadata!E521="",FALSE,TRUE),OR(exact(Metadata!E521,"Plant secretion"),exact(Metadata!E521,"Plant rhizosphere"),exact(Metadata!E521,"Plant surface"),exact(Metadata!E521,"Plant corpus"),exact(Metadata!E521,"Fungus surface"),exact(Metadata!E521,"Fungus corpus"),exact(Metadata!E521,"Animal surface"),exact(Metadata!E521,"Animal proximal gut"),exact(Metadata!E521,"Animal corpus"),exact(Metadata!E521,"Animal distal gut"),exact(Metadata!E521,"Animal secretion")))</f>
        <v>0</v>
      </c>
      <c r="AG521">
        <f>OR(AND(IF(Metadata!F521="",FALSE,TRUE),OR(exact(Metadata!F521,"not collected"),exact(Metadata!F521,"not provided"),exact(Metadata!F521,"restricted access"))),AND(IF(Metadata!F521="",FALSE,TRUE),OR(exact(Metadata!F521,"organism-associated habitat"),exact(Metadata!F521,"plant-associated habitat"),exact(Metadata!F521,"animal-associated habitat"),exact(Metadata!F521,"insecta-associated habitat"),exact(Metadata!F521,"mammalia-associated habitat"),exact(Metadata!F521,"human-associated habitat"),exact(Metadata!F521,"livestock-associated habitat"))))</f>
        <v>0</v>
      </c>
      <c r="AH521">
        <f>AND(IF(Metadata!G521="",FALSE,TRUE),exact(Metadata!G521,"host-associated"))</f>
        <v>0</v>
      </c>
      <c r="AI521">
        <f>OR(AND(IF(Metadata!H521="",FALSE,TRUE),OR(exact(Metadata!H521,"not collected"),exact(Metadata!H521,"not provided"))),AND(IF(Metadata!H521="",FALSE,ISNUMBER(VALUE(Metadata!H521))),Metadata!H521&gt;0))</f>
        <v>0</v>
      </c>
      <c r="AJ521">
        <f>AND(IF(Metadata!I521="",FALSE,TRUE),exact(Metadata!I521,"years"))</f>
        <v>0</v>
      </c>
      <c r="AK521">
        <f>IF(Metadata!J521="",FALSE,TRUE)</f>
        <v>0</v>
      </c>
      <c r="AL521">
        <f>OR(AND(IF(Metadata!K521="",FALSE,TRUE),OR(exact(Metadata!K521,"not collected"),exact(Metadata!K521,"not provided"))),AND(IF(Metadata!K521="",FALSE,ISNUMBER(VALUE(Metadata!K521))),Metadata!K521&gt;0))</f>
        <v>0</v>
      </c>
      <c r="AM521">
        <f>AND(IF(Metadata!L521="",FALSE,TRUE),exact(Metadata!L521,"cm"))</f>
        <v>0</v>
      </c>
      <c r="AN521">
        <f>IF(Metadata!M521="",FALSE,TRUE)</f>
        <v>0</v>
      </c>
      <c r="AO521">
        <f>OR(AND(IF(Metadata!N521="",FALSE,TRUE),OR(exact(Metadata!N521,"not applicable"),exact(Metadata!N521,"not collected"),exact(Metadata!N521,"not provided"))),AND(IF(Metadata!N521="",FALSE,IF(ISERROR(INT(Metadata!N521)),FALSE,INT(Metadata!N521)=Metadata!N521)),Metadata!N521&gt;0))</f>
        <v>0</v>
      </c>
      <c r="AP521">
        <f>OR(AND(IF(Metadata!O521="",FALSE,TRUE),OR(exact(Metadata!O521,"not collected"),exact(Metadata!O521,"not provided"))),AND(IF(Metadata!O521="",FALSE,ISNUMBER(VALUE(Metadata!O521))),Metadata!O521&gt;0))</f>
        <v>0</v>
      </c>
      <c r="AQ521">
        <f>AND(IF(Metadata!P521="",FALSE,TRUE),exact(Metadata!P521,"kg"))</f>
        <v>0</v>
      </c>
      <c r="AR521">
        <f>OR(AND(IF(Metadata!Q521="",FALSE,TRUE),OR(exact(Metadata!Q521,"not applicable"),exact(Metadata!Q521,"not collected"),exact(Metadata!Q521,"not provided"),exact(Metadata!Q521,"restricted access"))),IF(Metadata!Q521="",FALSE,IF(ISERROR(INT(Metadata!Q521)),FALSE,INT(Metadata!Q521)=Metadata!Q521)))</f>
        <v>0</v>
      </c>
      <c r="AS521">
        <f>AND(IF(Metadata!R521="",FALSE,TRUE),exact(Metadata!R521,"Not applicable"))</f>
        <v>0</v>
      </c>
    </row>
    <row r="522" spans="1:45">
      <c r="A522" s="4">
        <f>IF(B522=" "," ",HYPERLINK(CONCATENATE("#metadata!",ADDRESS(INDEX($X$2:$X$1001,MATCH(ROWS($V$2:V522),$V$2:$V$1001,0),0),2)),INDEX($AA$2:$AA$1001,MATCH(ROWS($V$2:V522),$V$2:$V$1001,0),0)))</f>
        <v>0</v>
      </c>
      <c r="B522" s="5">
        <f>IF(OR(INDEX($W$2:$W$1001,MATCH(ROWS($V$2:V522),$V$2:$V$1001,0),1)&gt;=100000,INDEX($AC$1005:$AS$1005,1,MATCH(COLUMNS($AC$1006:AC1006),$AC$1006:$AS$1006,0))&gt;=100000), " ",IF(INDEX($AC$2:$AS$1001,MATCH(ROWS($V$2:V522),$V$2:$V$1001,0),MATCH(COLUMNS($AC$1006:AC1006),$AC$1006:$AS$1006,0)), HYPERLINK("#",""), HYPERLINK(CONCATENATE("#Metadata!", ADDRESS(INDEX($X$2:$X$1001,MATCH(ROWS($V$2:V522),$V$2:$V$1001,0),0), INDEX($AC$1004:$AS$1004,1,MATCH(COLUMNS($AC$1006:AC1006),$AC$1006:$AS$1006,0)))),"Fix")))</f>
        <v>0</v>
      </c>
      <c r="C522" s="5">
        <f>IF(OR(INDEX($W$2:$W$1001,MATCH(ROWS($V$2:V522),$V$2:$V$1001,0),1)&gt;=100000,INDEX($AC$1005:$AS$1005,1,MATCH(COLUMNS($AC$1006:AD1006),$AC$1006:$AS$1006,0))&gt;=100000), " ",IF(INDEX($AC$2:$AS$1001,MATCH(ROWS($V$2:V522),$V$2:$V$1001,0),MATCH(COLUMNS($AC$1006:AD1006),$AC$1006:$AS$1006,0)), HYPERLINK("#",""), HYPERLINK(CONCATENATE("#Metadata!", ADDRESS(INDEX($X$2:$X$1001,MATCH(ROWS($V$2:V522),$V$2:$V$1001,0),0), INDEX($AC$1004:$AS$1004,1,MATCH(COLUMNS($AC$1006:AD1006),$AC$1006:$AS$1006,0)))),"Fix")))</f>
        <v>0</v>
      </c>
      <c r="D522" s="5">
        <f>IF(OR(INDEX($W$2:$W$1001,MATCH(ROWS($V$2:V522),$V$2:$V$1001,0),1)&gt;=100000,INDEX($AC$1005:$AS$1005,1,MATCH(COLUMNS($AC$1006:AE1006),$AC$1006:$AS$1006,0))&gt;=100000), " ",IF(INDEX($AC$2:$AS$1001,MATCH(ROWS($V$2:V522),$V$2:$V$1001,0),MATCH(COLUMNS($AC$1006:AE1006),$AC$1006:$AS$1006,0)), HYPERLINK("#",""), HYPERLINK(CONCATENATE("#Metadata!", ADDRESS(INDEX($X$2:$X$1001,MATCH(ROWS($V$2:V522),$V$2:$V$1001,0),0), INDEX($AC$1004:$AS$1004,1,MATCH(COLUMNS($AC$1006:AE1006),$AC$1006:$AS$1006,0)))),"Fix")))</f>
        <v>0</v>
      </c>
      <c r="E522" s="5">
        <f>IF(OR(INDEX($W$2:$W$1001,MATCH(ROWS($V$2:V522),$V$2:$V$1001,0),1)&gt;=100000,INDEX($AC$1005:$AS$1005,1,MATCH(COLUMNS($AC$1006:AF1006),$AC$1006:$AS$1006,0))&gt;=100000), " ",IF(INDEX($AC$2:$AS$1001,MATCH(ROWS($V$2:V522),$V$2:$V$1001,0),MATCH(COLUMNS($AC$1006:AF1006),$AC$1006:$AS$1006,0)), HYPERLINK("#",""), HYPERLINK(CONCATENATE("#Metadata!", ADDRESS(INDEX($X$2:$X$1001,MATCH(ROWS($V$2:V522),$V$2:$V$1001,0),0), INDEX($AC$1004:$AS$1004,1,MATCH(COLUMNS($AC$1006:AF1006),$AC$1006:$AS$1006,0)))),"Fix")))</f>
        <v>0</v>
      </c>
      <c r="F522" s="5">
        <f>IF(OR(INDEX($W$2:$W$1001,MATCH(ROWS($V$2:V522),$V$2:$V$1001,0),1)&gt;=100000,INDEX($AC$1005:$AS$1005,1,MATCH(COLUMNS($AC$1006:AG1006),$AC$1006:$AS$1006,0))&gt;=100000), " ",IF(INDEX($AC$2:$AS$1001,MATCH(ROWS($V$2:V522),$V$2:$V$1001,0),MATCH(COLUMNS($AC$1006:AG1006),$AC$1006:$AS$1006,0)), HYPERLINK("#",""), HYPERLINK(CONCATENATE("#Metadata!", ADDRESS(INDEX($X$2:$X$1001,MATCH(ROWS($V$2:V522),$V$2:$V$1001,0),0), INDEX($AC$1004:$AS$1004,1,MATCH(COLUMNS($AC$1006:AG1006),$AC$1006:$AS$1006,0)))),"Fix")))</f>
        <v>0</v>
      </c>
      <c r="G522" s="5">
        <f>IF(OR(INDEX($W$2:$W$1001,MATCH(ROWS($V$2:V522),$V$2:$V$1001,0),1)&gt;=100000,INDEX($AC$1005:$AS$1005,1,MATCH(COLUMNS($AC$1006:AH1006),$AC$1006:$AS$1006,0))&gt;=100000), " ",IF(INDEX($AC$2:$AS$1001,MATCH(ROWS($V$2:V522),$V$2:$V$1001,0),MATCH(COLUMNS($AC$1006:AH1006),$AC$1006:$AS$1006,0)), HYPERLINK("#",""), HYPERLINK(CONCATENATE("#Metadata!", ADDRESS(INDEX($X$2:$X$1001,MATCH(ROWS($V$2:V522),$V$2:$V$1001,0),0), INDEX($AC$1004:$AS$1004,1,MATCH(COLUMNS($AC$1006:AH1006),$AC$1006:$AS$1006,0)))),"Fix")))</f>
        <v>0</v>
      </c>
      <c r="H522" s="5">
        <f>IF(OR(INDEX($W$2:$W$1001,MATCH(ROWS($V$2:V522),$V$2:$V$1001,0),1)&gt;=100000,INDEX($AC$1005:$AS$1005,1,MATCH(COLUMNS($AC$1006:AI1006),$AC$1006:$AS$1006,0))&gt;=100000), " ",IF(INDEX($AC$2:$AS$1001,MATCH(ROWS($V$2:V522),$V$2:$V$1001,0),MATCH(COLUMNS($AC$1006:AI1006),$AC$1006:$AS$1006,0)), HYPERLINK("#",""), HYPERLINK(CONCATENATE("#Metadata!", ADDRESS(INDEX($X$2:$X$1001,MATCH(ROWS($V$2:V522),$V$2:$V$1001,0),0), INDEX($AC$1004:$AS$1004,1,MATCH(COLUMNS($AC$1006:AI1006),$AC$1006:$AS$1006,0)))),"Fix")))</f>
        <v>0</v>
      </c>
      <c r="I522" s="5">
        <f>IF(OR(INDEX($W$2:$W$1001,MATCH(ROWS($V$2:V522),$V$2:$V$1001,0),1)&gt;=100000,INDEX($AC$1005:$AS$1005,1,MATCH(COLUMNS($AC$1006:AJ1006),$AC$1006:$AS$1006,0))&gt;=100000), " ",IF(INDEX($AC$2:$AS$1001,MATCH(ROWS($V$2:V522),$V$2:$V$1001,0),MATCH(COLUMNS($AC$1006:AJ1006),$AC$1006:$AS$1006,0)), HYPERLINK("#",""), HYPERLINK(CONCATENATE("#Metadata!", ADDRESS(INDEX($X$2:$X$1001,MATCH(ROWS($V$2:V522),$V$2:$V$1001,0),0), INDEX($AC$1004:$AS$1004,1,MATCH(COLUMNS($AC$1006:AJ1006),$AC$1006:$AS$1006,0)))),"Fix")))</f>
        <v>0</v>
      </c>
      <c r="J522" s="5">
        <f>IF(OR(INDEX($W$2:$W$1001,MATCH(ROWS($V$2:V522),$V$2:$V$1001,0),1)&gt;=100000,INDEX($AC$1005:$AS$1005,1,MATCH(COLUMNS($AC$1006:AK1006),$AC$1006:$AS$1006,0))&gt;=100000), " ",IF(INDEX($AC$2:$AS$1001,MATCH(ROWS($V$2:V522),$V$2:$V$1001,0),MATCH(COLUMNS($AC$1006:AK1006),$AC$1006:$AS$1006,0)), HYPERLINK("#",""), HYPERLINK(CONCATENATE("#Metadata!", ADDRESS(INDEX($X$2:$X$1001,MATCH(ROWS($V$2:V522),$V$2:$V$1001,0),0), INDEX($AC$1004:$AS$1004,1,MATCH(COLUMNS($AC$1006:AK1006),$AC$1006:$AS$1006,0)))),"Fix")))</f>
        <v>0</v>
      </c>
      <c r="K522" s="5">
        <f>IF(OR(INDEX($W$2:$W$1001,MATCH(ROWS($V$2:V522),$V$2:$V$1001,0),1)&gt;=100000,INDEX($AC$1005:$AS$1005,1,MATCH(COLUMNS($AC$1006:AL1006),$AC$1006:$AS$1006,0))&gt;=100000), " ",IF(INDEX($AC$2:$AS$1001,MATCH(ROWS($V$2:V522),$V$2:$V$1001,0),MATCH(COLUMNS($AC$1006:AL1006),$AC$1006:$AS$1006,0)), HYPERLINK("#",""), HYPERLINK(CONCATENATE("#Metadata!", ADDRESS(INDEX($X$2:$X$1001,MATCH(ROWS($V$2:V522),$V$2:$V$1001,0),0), INDEX($AC$1004:$AS$1004,1,MATCH(COLUMNS($AC$1006:AL1006),$AC$1006:$AS$1006,0)))),"Fix")))</f>
        <v>0</v>
      </c>
      <c r="L522" s="5">
        <f>IF(OR(INDEX($W$2:$W$1001,MATCH(ROWS($V$2:V522),$V$2:$V$1001,0),1)&gt;=100000,INDEX($AC$1005:$AS$1005,1,MATCH(COLUMNS($AC$1006:AM1006),$AC$1006:$AS$1006,0))&gt;=100000), " ",IF(INDEX($AC$2:$AS$1001,MATCH(ROWS($V$2:V522),$V$2:$V$1001,0),MATCH(COLUMNS($AC$1006:AM1006),$AC$1006:$AS$1006,0)), HYPERLINK("#",""), HYPERLINK(CONCATENATE("#Metadata!", ADDRESS(INDEX($X$2:$X$1001,MATCH(ROWS($V$2:V522),$V$2:$V$1001,0),0), INDEX($AC$1004:$AS$1004,1,MATCH(COLUMNS($AC$1006:AM1006),$AC$1006:$AS$1006,0)))),"Fix")))</f>
        <v>0</v>
      </c>
      <c r="M522" s="5">
        <f>IF(OR(INDEX($W$2:$W$1001,MATCH(ROWS($V$2:V522),$V$2:$V$1001,0),1)&gt;=100000,INDEX($AC$1005:$AS$1005,1,MATCH(COLUMNS($AC$1006:AN1006),$AC$1006:$AS$1006,0))&gt;=100000), " ",IF(INDEX($AC$2:$AS$1001,MATCH(ROWS($V$2:V522),$V$2:$V$1001,0),MATCH(COLUMNS($AC$1006:AN1006),$AC$1006:$AS$1006,0)), HYPERLINK("#",""), HYPERLINK(CONCATENATE("#Metadata!", ADDRESS(INDEX($X$2:$X$1001,MATCH(ROWS($V$2:V522),$V$2:$V$1001,0),0), INDEX($AC$1004:$AS$1004,1,MATCH(COLUMNS($AC$1006:AN1006),$AC$1006:$AS$1006,0)))),"Fix")))</f>
        <v>0</v>
      </c>
      <c r="N522" s="5">
        <f>IF(OR(INDEX($W$2:$W$1001,MATCH(ROWS($V$2:V522),$V$2:$V$1001,0),1)&gt;=100000,INDEX($AC$1005:$AS$1005,1,MATCH(COLUMNS($AC$1006:AO1006),$AC$1006:$AS$1006,0))&gt;=100000), " ",IF(INDEX($AC$2:$AS$1001,MATCH(ROWS($V$2:V522),$V$2:$V$1001,0),MATCH(COLUMNS($AC$1006:AO1006),$AC$1006:$AS$1006,0)), HYPERLINK("#",""), HYPERLINK(CONCATENATE("#Metadata!", ADDRESS(INDEX($X$2:$X$1001,MATCH(ROWS($V$2:V522),$V$2:$V$1001,0),0), INDEX($AC$1004:$AS$1004,1,MATCH(COLUMNS($AC$1006:AO1006),$AC$1006:$AS$1006,0)))),"Fix")))</f>
        <v>0</v>
      </c>
      <c r="O522" s="5">
        <f>IF(OR(INDEX($W$2:$W$1001,MATCH(ROWS($V$2:V522),$V$2:$V$1001,0),1)&gt;=100000,INDEX($AC$1005:$AS$1005,1,MATCH(COLUMNS($AC$1006:AP1006),$AC$1006:$AS$1006,0))&gt;=100000), " ",IF(INDEX($AC$2:$AS$1001,MATCH(ROWS($V$2:V522),$V$2:$V$1001,0),MATCH(COLUMNS($AC$1006:AP1006),$AC$1006:$AS$1006,0)), HYPERLINK("#",""), HYPERLINK(CONCATENATE("#Metadata!", ADDRESS(INDEX($X$2:$X$1001,MATCH(ROWS($V$2:V522),$V$2:$V$1001,0),0), INDEX($AC$1004:$AS$1004,1,MATCH(COLUMNS($AC$1006:AP1006),$AC$1006:$AS$1006,0)))),"Fix")))</f>
        <v>0</v>
      </c>
      <c r="P522" s="5">
        <f>IF(OR(INDEX($W$2:$W$1001,MATCH(ROWS($V$2:V522),$V$2:$V$1001,0),1)&gt;=100000,INDEX($AC$1005:$AS$1005,1,MATCH(COLUMNS($AC$1006:AQ1006),$AC$1006:$AS$1006,0))&gt;=100000), " ",IF(INDEX($AC$2:$AS$1001,MATCH(ROWS($V$2:V522),$V$2:$V$1001,0),MATCH(COLUMNS($AC$1006:AQ1006),$AC$1006:$AS$1006,0)), HYPERLINK("#",""), HYPERLINK(CONCATENATE("#Metadata!", ADDRESS(INDEX($X$2:$X$1001,MATCH(ROWS($V$2:V522),$V$2:$V$1001,0),0), INDEX($AC$1004:$AS$1004,1,MATCH(COLUMNS($AC$1006:AQ1006),$AC$1006:$AS$1006,0)))),"Fix")))</f>
        <v>0</v>
      </c>
      <c r="Q522" s="5">
        <f>IF(OR(INDEX($W$2:$W$1001,MATCH(ROWS($V$2:V522),$V$2:$V$1001,0),1)&gt;=100000,INDEX($AC$1005:$AS$1005,1,MATCH(COLUMNS($AC$1006:AR1006),$AC$1006:$AS$1006,0))&gt;=100000), " ",IF(INDEX($AC$2:$AS$1001,MATCH(ROWS($V$2:V522),$V$2:$V$1001,0),MATCH(COLUMNS($AC$1006:AR1006),$AC$1006:$AS$1006,0)), HYPERLINK("#",""), HYPERLINK(CONCATENATE("#Metadata!", ADDRESS(INDEX($X$2:$X$1001,MATCH(ROWS($V$2:V522),$V$2:$V$1001,0),0), INDEX($AC$1004:$AS$1004,1,MATCH(COLUMNS($AC$1006:AR1006),$AC$1006:$AS$1006,0)))),"Fix")))</f>
        <v>0</v>
      </c>
      <c r="R522" s="5">
        <f>IF(OR(INDEX($W$2:$W$1001,MATCH(ROWS($V$2:V522),$V$2:$V$1001,0),1)&gt;=100000,INDEX($AC$1005:$AS$1005,1,MATCH(COLUMNS($AC$1006:AS1006),$AC$1006:$AS$1006,0))&gt;=100000), " ",IF(INDEX($AC$2:$AS$1001,MATCH(ROWS($V$2:V522),$V$2:$V$1001,0),MATCH(COLUMNS($AC$1006:AS1006),$AC$1006:$AS$1006,0)), HYPERLINK("#",""), HYPERLINK(CONCATENATE("#Metadata!", ADDRESS(INDEX($X$2:$X$1001,MATCH(ROWS($V$2:V522),$V$2:$V$1001,0),0), INDEX($AC$1004:$AS$1004,1,MATCH(COLUMNS($AC$1006:AS1006),$AC$1006:$AS$1006,0)))),"Fix")))</f>
        <v>0</v>
      </c>
      <c r="V522">
        <v>0</v>
      </c>
      <c r="W522">
        <v>0</v>
      </c>
      <c r="X522">
        <v>0</v>
      </c>
      <c r="Y522">
        <f>IF(Z522,TRUE,AND(AC522:AS522))</f>
        <v>0</v>
      </c>
      <c r="Z522">
        <f>COUNTBLANK(Metadata!B522:R522)=COLUMNS(Metadata!B522:R522)</f>
        <v>0</v>
      </c>
      <c r="AA522">
        <v>0</v>
      </c>
      <c r="AC522">
        <f>AND(IF(Metadata!B522="",FALSE,TRUE),COUNTIF(Metadata!B:B, Metadata!B522) = 1,NOT(ISERROR(SUMPRODUCT(SEARCH(MID(Metadata!B522,ROW(INDIRECT("1:"&amp;LEN(Metadata!B522))), 1),"0123456789abcdefghijklmnopqrstuvwxyzABCDEFGHIJKLMNOPQRSTUVWXYZ.")))))</f>
        <v>0</v>
      </c>
      <c r="AD522">
        <f>AND(IF(Metadata!C522="",FALSE,TRUE),exact(Metadata!C522,"Host-associated"))</f>
        <v>0</v>
      </c>
      <c r="AE522">
        <f>AND(IF(Metadata!D522="",FALSE,TRUE),OR(exact(Metadata!D522,"Animal"),exact(Metadata!D522,"Fungus"),exact(Metadata!D522,"Plant")))</f>
        <v>0</v>
      </c>
      <c r="AF522">
        <f>AND(IF(Metadata!E522="",FALSE,TRUE),OR(exact(Metadata!E522,"Plant secretion"),exact(Metadata!E522,"Plant rhizosphere"),exact(Metadata!E522,"Plant surface"),exact(Metadata!E522,"Plant corpus"),exact(Metadata!E522,"Fungus surface"),exact(Metadata!E522,"Fungus corpus"),exact(Metadata!E522,"Animal surface"),exact(Metadata!E522,"Animal proximal gut"),exact(Metadata!E522,"Animal corpus"),exact(Metadata!E522,"Animal distal gut"),exact(Metadata!E522,"Animal secretion")))</f>
        <v>0</v>
      </c>
      <c r="AG522">
        <f>OR(AND(IF(Metadata!F522="",FALSE,TRUE),OR(exact(Metadata!F522,"not collected"),exact(Metadata!F522,"not provided"),exact(Metadata!F522,"restricted access"))),AND(IF(Metadata!F522="",FALSE,TRUE),OR(exact(Metadata!F522,"organism-associated habitat"),exact(Metadata!F522,"plant-associated habitat"),exact(Metadata!F522,"animal-associated habitat"),exact(Metadata!F522,"insecta-associated habitat"),exact(Metadata!F522,"mammalia-associated habitat"),exact(Metadata!F522,"human-associated habitat"),exact(Metadata!F522,"livestock-associated habitat"))))</f>
        <v>0</v>
      </c>
      <c r="AH522">
        <f>AND(IF(Metadata!G522="",FALSE,TRUE),exact(Metadata!G522,"host-associated"))</f>
        <v>0</v>
      </c>
      <c r="AI522">
        <f>OR(AND(IF(Metadata!H522="",FALSE,TRUE),OR(exact(Metadata!H522,"not collected"),exact(Metadata!H522,"not provided"))),AND(IF(Metadata!H522="",FALSE,ISNUMBER(VALUE(Metadata!H522))),Metadata!H522&gt;0))</f>
        <v>0</v>
      </c>
      <c r="AJ522">
        <f>AND(IF(Metadata!I522="",FALSE,TRUE),exact(Metadata!I522,"years"))</f>
        <v>0</v>
      </c>
      <c r="AK522">
        <f>IF(Metadata!J522="",FALSE,TRUE)</f>
        <v>0</v>
      </c>
      <c r="AL522">
        <f>OR(AND(IF(Metadata!K522="",FALSE,TRUE),OR(exact(Metadata!K522,"not collected"),exact(Metadata!K522,"not provided"))),AND(IF(Metadata!K522="",FALSE,ISNUMBER(VALUE(Metadata!K522))),Metadata!K522&gt;0))</f>
        <v>0</v>
      </c>
      <c r="AM522">
        <f>AND(IF(Metadata!L522="",FALSE,TRUE),exact(Metadata!L522,"cm"))</f>
        <v>0</v>
      </c>
      <c r="AN522">
        <f>IF(Metadata!M522="",FALSE,TRUE)</f>
        <v>0</v>
      </c>
      <c r="AO522">
        <f>OR(AND(IF(Metadata!N522="",FALSE,TRUE),OR(exact(Metadata!N522,"not applicable"),exact(Metadata!N522,"not collected"),exact(Metadata!N522,"not provided"))),AND(IF(Metadata!N522="",FALSE,IF(ISERROR(INT(Metadata!N522)),FALSE,INT(Metadata!N522)=Metadata!N522)),Metadata!N522&gt;0))</f>
        <v>0</v>
      </c>
      <c r="AP522">
        <f>OR(AND(IF(Metadata!O522="",FALSE,TRUE),OR(exact(Metadata!O522,"not collected"),exact(Metadata!O522,"not provided"))),AND(IF(Metadata!O522="",FALSE,ISNUMBER(VALUE(Metadata!O522))),Metadata!O522&gt;0))</f>
        <v>0</v>
      </c>
      <c r="AQ522">
        <f>AND(IF(Metadata!P522="",FALSE,TRUE),exact(Metadata!P522,"kg"))</f>
        <v>0</v>
      </c>
      <c r="AR522">
        <f>OR(AND(IF(Metadata!Q522="",FALSE,TRUE),OR(exact(Metadata!Q522,"not applicable"),exact(Metadata!Q522,"not collected"),exact(Metadata!Q522,"not provided"),exact(Metadata!Q522,"restricted access"))),IF(Metadata!Q522="",FALSE,IF(ISERROR(INT(Metadata!Q522)),FALSE,INT(Metadata!Q522)=Metadata!Q522)))</f>
        <v>0</v>
      </c>
      <c r="AS522">
        <f>AND(IF(Metadata!R522="",FALSE,TRUE),exact(Metadata!R522,"Not applicable"))</f>
        <v>0</v>
      </c>
    </row>
    <row r="523" spans="1:45">
      <c r="A523" s="4">
        <f>IF(B523=" "," ",HYPERLINK(CONCATENATE("#metadata!",ADDRESS(INDEX($X$2:$X$1001,MATCH(ROWS($V$2:V523),$V$2:$V$1001,0),0),2)),INDEX($AA$2:$AA$1001,MATCH(ROWS($V$2:V523),$V$2:$V$1001,0),0)))</f>
        <v>0</v>
      </c>
      <c r="B523" s="5">
        <f>IF(OR(INDEX($W$2:$W$1001,MATCH(ROWS($V$2:V523),$V$2:$V$1001,0),1)&gt;=100000,INDEX($AC$1005:$AS$1005,1,MATCH(COLUMNS($AC$1006:AC1006),$AC$1006:$AS$1006,0))&gt;=100000), " ",IF(INDEX($AC$2:$AS$1001,MATCH(ROWS($V$2:V523),$V$2:$V$1001,0),MATCH(COLUMNS($AC$1006:AC1006),$AC$1006:$AS$1006,0)), HYPERLINK("#",""), HYPERLINK(CONCATENATE("#Metadata!", ADDRESS(INDEX($X$2:$X$1001,MATCH(ROWS($V$2:V523),$V$2:$V$1001,0),0), INDEX($AC$1004:$AS$1004,1,MATCH(COLUMNS($AC$1006:AC1006),$AC$1006:$AS$1006,0)))),"Fix")))</f>
        <v>0</v>
      </c>
      <c r="C523" s="5">
        <f>IF(OR(INDEX($W$2:$W$1001,MATCH(ROWS($V$2:V523),$V$2:$V$1001,0),1)&gt;=100000,INDEX($AC$1005:$AS$1005,1,MATCH(COLUMNS($AC$1006:AD1006),$AC$1006:$AS$1006,0))&gt;=100000), " ",IF(INDEX($AC$2:$AS$1001,MATCH(ROWS($V$2:V523),$V$2:$V$1001,0),MATCH(COLUMNS($AC$1006:AD1006),$AC$1006:$AS$1006,0)), HYPERLINK("#",""), HYPERLINK(CONCATENATE("#Metadata!", ADDRESS(INDEX($X$2:$X$1001,MATCH(ROWS($V$2:V523),$V$2:$V$1001,0),0), INDEX($AC$1004:$AS$1004,1,MATCH(COLUMNS($AC$1006:AD1006),$AC$1006:$AS$1006,0)))),"Fix")))</f>
        <v>0</v>
      </c>
      <c r="D523" s="5">
        <f>IF(OR(INDEX($W$2:$W$1001,MATCH(ROWS($V$2:V523),$V$2:$V$1001,0),1)&gt;=100000,INDEX($AC$1005:$AS$1005,1,MATCH(COLUMNS($AC$1006:AE1006),$AC$1006:$AS$1006,0))&gt;=100000), " ",IF(INDEX($AC$2:$AS$1001,MATCH(ROWS($V$2:V523),$V$2:$V$1001,0),MATCH(COLUMNS($AC$1006:AE1006),$AC$1006:$AS$1006,0)), HYPERLINK("#",""), HYPERLINK(CONCATENATE("#Metadata!", ADDRESS(INDEX($X$2:$X$1001,MATCH(ROWS($V$2:V523),$V$2:$V$1001,0),0), INDEX($AC$1004:$AS$1004,1,MATCH(COLUMNS($AC$1006:AE1006),$AC$1006:$AS$1006,0)))),"Fix")))</f>
        <v>0</v>
      </c>
      <c r="E523" s="5">
        <f>IF(OR(INDEX($W$2:$W$1001,MATCH(ROWS($V$2:V523),$V$2:$V$1001,0),1)&gt;=100000,INDEX($AC$1005:$AS$1005,1,MATCH(COLUMNS($AC$1006:AF1006),$AC$1006:$AS$1006,0))&gt;=100000), " ",IF(INDEX($AC$2:$AS$1001,MATCH(ROWS($V$2:V523),$V$2:$V$1001,0),MATCH(COLUMNS($AC$1006:AF1006),$AC$1006:$AS$1006,0)), HYPERLINK("#",""), HYPERLINK(CONCATENATE("#Metadata!", ADDRESS(INDEX($X$2:$X$1001,MATCH(ROWS($V$2:V523),$V$2:$V$1001,0),0), INDEX($AC$1004:$AS$1004,1,MATCH(COLUMNS($AC$1006:AF1006),$AC$1006:$AS$1006,0)))),"Fix")))</f>
        <v>0</v>
      </c>
      <c r="F523" s="5">
        <f>IF(OR(INDEX($W$2:$W$1001,MATCH(ROWS($V$2:V523),$V$2:$V$1001,0),1)&gt;=100000,INDEX($AC$1005:$AS$1005,1,MATCH(COLUMNS($AC$1006:AG1006),$AC$1006:$AS$1006,0))&gt;=100000), " ",IF(INDEX($AC$2:$AS$1001,MATCH(ROWS($V$2:V523),$V$2:$V$1001,0),MATCH(COLUMNS($AC$1006:AG1006),$AC$1006:$AS$1006,0)), HYPERLINK("#",""), HYPERLINK(CONCATENATE("#Metadata!", ADDRESS(INDEX($X$2:$X$1001,MATCH(ROWS($V$2:V523),$V$2:$V$1001,0),0), INDEX($AC$1004:$AS$1004,1,MATCH(COLUMNS($AC$1006:AG1006),$AC$1006:$AS$1006,0)))),"Fix")))</f>
        <v>0</v>
      </c>
      <c r="G523" s="5">
        <f>IF(OR(INDEX($W$2:$W$1001,MATCH(ROWS($V$2:V523),$V$2:$V$1001,0),1)&gt;=100000,INDEX($AC$1005:$AS$1005,1,MATCH(COLUMNS($AC$1006:AH1006),$AC$1006:$AS$1006,0))&gt;=100000), " ",IF(INDEX($AC$2:$AS$1001,MATCH(ROWS($V$2:V523),$V$2:$V$1001,0),MATCH(COLUMNS($AC$1006:AH1006),$AC$1006:$AS$1006,0)), HYPERLINK("#",""), HYPERLINK(CONCATENATE("#Metadata!", ADDRESS(INDEX($X$2:$X$1001,MATCH(ROWS($V$2:V523),$V$2:$V$1001,0),0), INDEX($AC$1004:$AS$1004,1,MATCH(COLUMNS($AC$1006:AH1006),$AC$1006:$AS$1006,0)))),"Fix")))</f>
        <v>0</v>
      </c>
      <c r="H523" s="5">
        <f>IF(OR(INDEX($W$2:$W$1001,MATCH(ROWS($V$2:V523),$V$2:$V$1001,0),1)&gt;=100000,INDEX($AC$1005:$AS$1005,1,MATCH(COLUMNS($AC$1006:AI1006),$AC$1006:$AS$1006,0))&gt;=100000), " ",IF(INDEX($AC$2:$AS$1001,MATCH(ROWS($V$2:V523),$V$2:$V$1001,0),MATCH(COLUMNS($AC$1006:AI1006),$AC$1006:$AS$1006,0)), HYPERLINK("#",""), HYPERLINK(CONCATENATE("#Metadata!", ADDRESS(INDEX($X$2:$X$1001,MATCH(ROWS($V$2:V523),$V$2:$V$1001,0),0), INDEX($AC$1004:$AS$1004,1,MATCH(COLUMNS($AC$1006:AI1006),$AC$1006:$AS$1006,0)))),"Fix")))</f>
        <v>0</v>
      </c>
      <c r="I523" s="5">
        <f>IF(OR(INDEX($W$2:$W$1001,MATCH(ROWS($V$2:V523),$V$2:$V$1001,0),1)&gt;=100000,INDEX($AC$1005:$AS$1005,1,MATCH(COLUMNS($AC$1006:AJ1006),$AC$1006:$AS$1006,0))&gt;=100000), " ",IF(INDEX($AC$2:$AS$1001,MATCH(ROWS($V$2:V523),$V$2:$V$1001,0),MATCH(COLUMNS($AC$1006:AJ1006),$AC$1006:$AS$1006,0)), HYPERLINK("#",""), HYPERLINK(CONCATENATE("#Metadata!", ADDRESS(INDEX($X$2:$X$1001,MATCH(ROWS($V$2:V523),$V$2:$V$1001,0),0), INDEX($AC$1004:$AS$1004,1,MATCH(COLUMNS($AC$1006:AJ1006),$AC$1006:$AS$1006,0)))),"Fix")))</f>
        <v>0</v>
      </c>
      <c r="J523" s="5">
        <f>IF(OR(INDEX($W$2:$W$1001,MATCH(ROWS($V$2:V523),$V$2:$V$1001,0),1)&gt;=100000,INDEX($AC$1005:$AS$1005,1,MATCH(COLUMNS($AC$1006:AK1006),$AC$1006:$AS$1006,0))&gt;=100000), " ",IF(INDEX($AC$2:$AS$1001,MATCH(ROWS($V$2:V523),$V$2:$V$1001,0),MATCH(COLUMNS($AC$1006:AK1006),$AC$1006:$AS$1006,0)), HYPERLINK("#",""), HYPERLINK(CONCATENATE("#Metadata!", ADDRESS(INDEX($X$2:$X$1001,MATCH(ROWS($V$2:V523),$V$2:$V$1001,0),0), INDEX($AC$1004:$AS$1004,1,MATCH(COLUMNS($AC$1006:AK1006),$AC$1006:$AS$1006,0)))),"Fix")))</f>
        <v>0</v>
      </c>
      <c r="K523" s="5">
        <f>IF(OR(INDEX($W$2:$W$1001,MATCH(ROWS($V$2:V523),$V$2:$V$1001,0),1)&gt;=100000,INDEX($AC$1005:$AS$1005,1,MATCH(COLUMNS($AC$1006:AL1006),$AC$1006:$AS$1006,0))&gt;=100000), " ",IF(INDEX($AC$2:$AS$1001,MATCH(ROWS($V$2:V523),$V$2:$V$1001,0),MATCH(COLUMNS($AC$1006:AL1006),$AC$1006:$AS$1006,0)), HYPERLINK("#",""), HYPERLINK(CONCATENATE("#Metadata!", ADDRESS(INDEX($X$2:$X$1001,MATCH(ROWS($V$2:V523),$V$2:$V$1001,0),0), INDEX($AC$1004:$AS$1004,1,MATCH(COLUMNS($AC$1006:AL1006),$AC$1006:$AS$1006,0)))),"Fix")))</f>
        <v>0</v>
      </c>
      <c r="L523" s="5">
        <f>IF(OR(INDEX($W$2:$W$1001,MATCH(ROWS($V$2:V523),$V$2:$V$1001,0),1)&gt;=100000,INDEX($AC$1005:$AS$1005,1,MATCH(COLUMNS($AC$1006:AM1006),$AC$1006:$AS$1006,0))&gt;=100000), " ",IF(INDEX($AC$2:$AS$1001,MATCH(ROWS($V$2:V523),$V$2:$V$1001,0),MATCH(COLUMNS($AC$1006:AM1006),$AC$1006:$AS$1006,0)), HYPERLINK("#",""), HYPERLINK(CONCATENATE("#Metadata!", ADDRESS(INDEX($X$2:$X$1001,MATCH(ROWS($V$2:V523),$V$2:$V$1001,0),0), INDEX($AC$1004:$AS$1004,1,MATCH(COLUMNS($AC$1006:AM1006),$AC$1006:$AS$1006,0)))),"Fix")))</f>
        <v>0</v>
      </c>
      <c r="M523" s="5">
        <f>IF(OR(INDEX($W$2:$W$1001,MATCH(ROWS($V$2:V523),$V$2:$V$1001,0),1)&gt;=100000,INDEX($AC$1005:$AS$1005,1,MATCH(COLUMNS($AC$1006:AN1006),$AC$1006:$AS$1006,0))&gt;=100000), " ",IF(INDEX($AC$2:$AS$1001,MATCH(ROWS($V$2:V523),$V$2:$V$1001,0),MATCH(COLUMNS($AC$1006:AN1006),$AC$1006:$AS$1006,0)), HYPERLINK("#",""), HYPERLINK(CONCATENATE("#Metadata!", ADDRESS(INDEX($X$2:$X$1001,MATCH(ROWS($V$2:V523),$V$2:$V$1001,0),0), INDEX($AC$1004:$AS$1004,1,MATCH(COLUMNS($AC$1006:AN1006),$AC$1006:$AS$1006,0)))),"Fix")))</f>
        <v>0</v>
      </c>
      <c r="N523" s="5">
        <f>IF(OR(INDEX($W$2:$W$1001,MATCH(ROWS($V$2:V523),$V$2:$V$1001,0),1)&gt;=100000,INDEX($AC$1005:$AS$1005,1,MATCH(COLUMNS($AC$1006:AO1006),$AC$1006:$AS$1006,0))&gt;=100000), " ",IF(INDEX($AC$2:$AS$1001,MATCH(ROWS($V$2:V523),$V$2:$V$1001,0),MATCH(COLUMNS($AC$1006:AO1006),$AC$1006:$AS$1006,0)), HYPERLINK("#",""), HYPERLINK(CONCATENATE("#Metadata!", ADDRESS(INDEX($X$2:$X$1001,MATCH(ROWS($V$2:V523),$V$2:$V$1001,0),0), INDEX($AC$1004:$AS$1004,1,MATCH(COLUMNS($AC$1006:AO1006),$AC$1006:$AS$1006,0)))),"Fix")))</f>
        <v>0</v>
      </c>
      <c r="O523" s="5">
        <f>IF(OR(INDEX($W$2:$W$1001,MATCH(ROWS($V$2:V523),$V$2:$V$1001,0),1)&gt;=100000,INDEX($AC$1005:$AS$1005,1,MATCH(COLUMNS($AC$1006:AP1006),$AC$1006:$AS$1006,0))&gt;=100000), " ",IF(INDEX($AC$2:$AS$1001,MATCH(ROWS($V$2:V523),$V$2:$V$1001,0),MATCH(COLUMNS($AC$1006:AP1006),$AC$1006:$AS$1006,0)), HYPERLINK("#",""), HYPERLINK(CONCATENATE("#Metadata!", ADDRESS(INDEX($X$2:$X$1001,MATCH(ROWS($V$2:V523),$V$2:$V$1001,0),0), INDEX($AC$1004:$AS$1004,1,MATCH(COLUMNS($AC$1006:AP1006),$AC$1006:$AS$1006,0)))),"Fix")))</f>
        <v>0</v>
      </c>
      <c r="P523" s="5">
        <f>IF(OR(INDEX($W$2:$W$1001,MATCH(ROWS($V$2:V523),$V$2:$V$1001,0),1)&gt;=100000,INDEX($AC$1005:$AS$1005,1,MATCH(COLUMNS($AC$1006:AQ1006),$AC$1006:$AS$1006,0))&gt;=100000), " ",IF(INDEX($AC$2:$AS$1001,MATCH(ROWS($V$2:V523),$V$2:$V$1001,0),MATCH(COLUMNS($AC$1006:AQ1006),$AC$1006:$AS$1006,0)), HYPERLINK("#",""), HYPERLINK(CONCATENATE("#Metadata!", ADDRESS(INDEX($X$2:$X$1001,MATCH(ROWS($V$2:V523),$V$2:$V$1001,0),0), INDEX($AC$1004:$AS$1004,1,MATCH(COLUMNS($AC$1006:AQ1006),$AC$1006:$AS$1006,0)))),"Fix")))</f>
        <v>0</v>
      </c>
      <c r="Q523" s="5">
        <f>IF(OR(INDEX($W$2:$W$1001,MATCH(ROWS($V$2:V523),$V$2:$V$1001,0),1)&gt;=100000,INDEX($AC$1005:$AS$1005,1,MATCH(COLUMNS($AC$1006:AR1006),$AC$1006:$AS$1006,0))&gt;=100000), " ",IF(INDEX($AC$2:$AS$1001,MATCH(ROWS($V$2:V523),$V$2:$V$1001,0),MATCH(COLUMNS($AC$1006:AR1006),$AC$1006:$AS$1006,0)), HYPERLINK("#",""), HYPERLINK(CONCATENATE("#Metadata!", ADDRESS(INDEX($X$2:$X$1001,MATCH(ROWS($V$2:V523),$V$2:$V$1001,0),0), INDEX($AC$1004:$AS$1004,1,MATCH(COLUMNS($AC$1006:AR1006),$AC$1006:$AS$1006,0)))),"Fix")))</f>
        <v>0</v>
      </c>
      <c r="R523" s="5">
        <f>IF(OR(INDEX($W$2:$W$1001,MATCH(ROWS($V$2:V523),$V$2:$V$1001,0),1)&gt;=100000,INDEX($AC$1005:$AS$1005,1,MATCH(COLUMNS($AC$1006:AS1006),$AC$1006:$AS$1006,0))&gt;=100000), " ",IF(INDEX($AC$2:$AS$1001,MATCH(ROWS($V$2:V523),$V$2:$V$1001,0),MATCH(COLUMNS($AC$1006:AS1006),$AC$1006:$AS$1006,0)), HYPERLINK("#",""), HYPERLINK(CONCATENATE("#Metadata!", ADDRESS(INDEX($X$2:$X$1001,MATCH(ROWS($V$2:V523),$V$2:$V$1001,0),0), INDEX($AC$1004:$AS$1004,1,MATCH(COLUMNS($AC$1006:AS1006),$AC$1006:$AS$1006,0)))),"Fix")))</f>
        <v>0</v>
      </c>
      <c r="V523">
        <v>0</v>
      </c>
      <c r="W523">
        <v>0</v>
      </c>
      <c r="X523">
        <v>0</v>
      </c>
      <c r="Y523">
        <f>IF(Z523,TRUE,AND(AC523:AS523))</f>
        <v>0</v>
      </c>
      <c r="Z523">
        <f>COUNTBLANK(Metadata!B523:R523)=COLUMNS(Metadata!B523:R523)</f>
        <v>0</v>
      </c>
      <c r="AA523">
        <v>0</v>
      </c>
      <c r="AC523">
        <f>AND(IF(Metadata!B523="",FALSE,TRUE),COUNTIF(Metadata!B:B, Metadata!B523) = 1,NOT(ISERROR(SUMPRODUCT(SEARCH(MID(Metadata!B523,ROW(INDIRECT("1:"&amp;LEN(Metadata!B523))), 1),"0123456789abcdefghijklmnopqrstuvwxyzABCDEFGHIJKLMNOPQRSTUVWXYZ.")))))</f>
        <v>0</v>
      </c>
      <c r="AD523">
        <f>AND(IF(Metadata!C523="",FALSE,TRUE),exact(Metadata!C523,"Host-associated"))</f>
        <v>0</v>
      </c>
      <c r="AE523">
        <f>AND(IF(Metadata!D523="",FALSE,TRUE),OR(exact(Metadata!D523,"Animal"),exact(Metadata!D523,"Fungus"),exact(Metadata!D523,"Plant")))</f>
        <v>0</v>
      </c>
      <c r="AF523">
        <f>AND(IF(Metadata!E523="",FALSE,TRUE),OR(exact(Metadata!E523,"Plant secretion"),exact(Metadata!E523,"Plant rhizosphere"),exact(Metadata!E523,"Plant surface"),exact(Metadata!E523,"Plant corpus"),exact(Metadata!E523,"Fungus surface"),exact(Metadata!E523,"Fungus corpus"),exact(Metadata!E523,"Animal surface"),exact(Metadata!E523,"Animal proximal gut"),exact(Metadata!E523,"Animal corpus"),exact(Metadata!E523,"Animal distal gut"),exact(Metadata!E523,"Animal secretion")))</f>
        <v>0</v>
      </c>
      <c r="AG523">
        <f>OR(AND(IF(Metadata!F523="",FALSE,TRUE),OR(exact(Metadata!F523,"not collected"),exact(Metadata!F523,"not provided"),exact(Metadata!F523,"restricted access"))),AND(IF(Metadata!F523="",FALSE,TRUE),OR(exact(Metadata!F523,"organism-associated habitat"),exact(Metadata!F523,"plant-associated habitat"),exact(Metadata!F523,"animal-associated habitat"),exact(Metadata!F523,"insecta-associated habitat"),exact(Metadata!F523,"mammalia-associated habitat"),exact(Metadata!F523,"human-associated habitat"),exact(Metadata!F523,"livestock-associated habitat"))))</f>
        <v>0</v>
      </c>
      <c r="AH523">
        <f>AND(IF(Metadata!G523="",FALSE,TRUE),exact(Metadata!G523,"host-associated"))</f>
        <v>0</v>
      </c>
      <c r="AI523">
        <f>OR(AND(IF(Metadata!H523="",FALSE,TRUE),OR(exact(Metadata!H523,"not collected"),exact(Metadata!H523,"not provided"))),AND(IF(Metadata!H523="",FALSE,ISNUMBER(VALUE(Metadata!H523))),Metadata!H523&gt;0))</f>
        <v>0</v>
      </c>
      <c r="AJ523">
        <f>AND(IF(Metadata!I523="",FALSE,TRUE),exact(Metadata!I523,"years"))</f>
        <v>0</v>
      </c>
      <c r="AK523">
        <f>IF(Metadata!J523="",FALSE,TRUE)</f>
        <v>0</v>
      </c>
      <c r="AL523">
        <f>OR(AND(IF(Metadata!K523="",FALSE,TRUE),OR(exact(Metadata!K523,"not collected"),exact(Metadata!K523,"not provided"))),AND(IF(Metadata!K523="",FALSE,ISNUMBER(VALUE(Metadata!K523))),Metadata!K523&gt;0))</f>
        <v>0</v>
      </c>
      <c r="AM523">
        <f>AND(IF(Metadata!L523="",FALSE,TRUE),exact(Metadata!L523,"cm"))</f>
        <v>0</v>
      </c>
      <c r="AN523">
        <f>IF(Metadata!M523="",FALSE,TRUE)</f>
        <v>0</v>
      </c>
      <c r="AO523">
        <f>OR(AND(IF(Metadata!N523="",FALSE,TRUE),OR(exact(Metadata!N523,"not applicable"),exact(Metadata!N523,"not collected"),exact(Metadata!N523,"not provided"))),AND(IF(Metadata!N523="",FALSE,IF(ISERROR(INT(Metadata!N523)),FALSE,INT(Metadata!N523)=Metadata!N523)),Metadata!N523&gt;0))</f>
        <v>0</v>
      </c>
      <c r="AP523">
        <f>OR(AND(IF(Metadata!O523="",FALSE,TRUE),OR(exact(Metadata!O523,"not collected"),exact(Metadata!O523,"not provided"))),AND(IF(Metadata!O523="",FALSE,ISNUMBER(VALUE(Metadata!O523))),Metadata!O523&gt;0))</f>
        <v>0</v>
      </c>
      <c r="AQ523">
        <f>AND(IF(Metadata!P523="",FALSE,TRUE),exact(Metadata!P523,"kg"))</f>
        <v>0</v>
      </c>
      <c r="AR523">
        <f>OR(AND(IF(Metadata!Q523="",FALSE,TRUE),OR(exact(Metadata!Q523,"not applicable"),exact(Metadata!Q523,"not collected"),exact(Metadata!Q523,"not provided"),exact(Metadata!Q523,"restricted access"))),IF(Metadata!Q523="",FALSE,IF(ISERROR(INT(Metadata!Q523)),FALSE,INT(Metadata!Q523)=Metadata!Q523)))</f>
        <v>0</v>
      </c>
      <c r="AS523">
        <f>AND(IF(Metadata!R523="",FALSE,TRUE),exact(Metadata!R523,"Not applicable"))</f>
        <v>0</v>
      </c>
    </row>
    <row r="524" spans="1:45">
      <c r="A524" s="4">
        <f>IF(B524=" "," ",HYPERLINK(CONCATENATE("#metadata!",ADDRESS(INDEX($X$2:$X$1001,MATCH(ROWS($V$2:V524),$V$2:$V$1001,0),0),2)),INDEX($AA$2:$AA$1001,MATCH(ROWS($V$2:V524),$V$2:$V$1001,0),0)))</f>
        <v>0</v>
      </c>
      <c r="B524" s="5">
        <f>IF(OR(INDEX($W$2:$W$1001,MATCH(ROWS($V$2:V524),$V$2:$V$1001,0),1)&gt;=100000,INDEX($AC$1005:$AS$1005,1,MATCH(COLUMNS($AC$1006:AC1006),$AC$1006:$AS$1006,0))&gt;=100000), " ",IF(INDEX($AC$2:$AS$1001,MATCH(ROWS($V$2:V524),$V$2:$V$1001,0),MATCH(COLUMNS($AC$1006:AC1006),$AC$1006:$AS$1006,0)), HYPERLINK("#",""), HYPERLINK(CONCATENATE("#Metadata!", ADDRESS(INDEX($X$2:$X$1001,MATCH(ROWS($V$2:V524),$V$2:$V$1001,0),0), INDEX($AC$1004:$AS$1004,1,MATCH(COLUMNS($AC$1006:AC1006),$AC$1006:$AS$1006,0)))),"Fix")))</f>
        <v>0</v>
      </c>
      <c r="C524" s="5">
        <f>IF(OR(INDEX($W$2:$W$1001,MATCH(ROWS($V$2:V524),$V$2:$V$1001,0),1)&gt;=100000,INDEX($AC$1005:$AS$1005,1,MATCH(COLUMNS($AC$1006:AD1006),$AC$1006:$AS$1006,0))&gt;=100000), " ",IF(INDEX($AC$2:$AS$1001,MATCH(ROWS($V$2:V524),$V$2:$V$1001,0),MATCH(COLUMNS($AC$1006:AD1006),$AC$1006:$AS$1006,0)), HYPERLINK("#",""), HYPERLINK(CONCATENATE("#Metadata!", ADDRESS(INDEX($X$2:$X$1001,MATCH(ROWS($V$2:V524),$V$2:$V$1001,0),0), INDEX($AC$1004:$AS$1004,1,MATCH(COLUMNS($AC$1006:AD1006),$AC$1006:$AS$1006,0)))),"Fix")))</f>
        <v>0</v>
      </c>
      <c r="D524" s="5">
        <f>IF(OR(INDEX($W$2:$W$1001,MATCH(ROWS($V$2:V524),$V$2:$V$1001,0),1)&gt;=100000,INDEX($AC$1005:$AS$1005,1,MATCH(COLUMNS($AC$1006:AE1006),$AC$1006:$AS$1006,0))&gt;=100000), " ",IF(INDEX($AC$2:$AS$1001,MATCH(ROWS($V$2:V524),$V$2:$V$1001,0),MATCH(COLUMNS($AC$1006:AE1006),$AC$1006:$AS$1006,0)), HYPERLINK("#",""), HYPERLINK(CONCATENATE("#Metadata!", ADDRESS(INDEX($X$2:$X$1001,MATCH(ROWS($V$2:V524),$V$2:$V$1001,0),0), INDEX($AC$1004:$AS$1004,1,MATCH(COLUMNS($AC$1006:AE1006),$AC$1006:$AS$1006,0)))),"Fix")))</f>
        <v>0</v>
      </c>
      <c r="E524" s="5">
        <f>IF(OR(INDEX($W$2:$W$1001,MATCH(ROWS($V$2:V524),$V$2:$V$1001,0),1)&gt;=100000,INDEX($AC$1005:$AS$1005,1,MATCH(COLUMNS($AC$1006:AF1006),$AC$1006:$AS$1006,0))&gt;=100000), " ",IF(INDEX($AC$2:$AS$1001,MATCH(ROWS($V$2:V524),$V$2:$V$1001,0),MATCH(COLUMNS($AC$1006:AF1006),$AC$1006:$AS$1006,0)), HYPERLINK("#",""), HYPERLINK(CONCATENATE("#Metadata!", ADDRESS(INDEX($X$2:$X$1001,MATCH(ROWS($V$2:V524),$V$2:$V$1001,0),0), INDEX($AC$1004:$AS$1004,1,MATCH(COLUMNS($AC$1006:AF1006),$AC$1006:$AS$1006,0)))),"Fix")))</f>
        <v>0</v>
      </c>
      <c r="F524" s="5">
        <f>IF(OR(INDEX($W$2:$W$1001,MATCH(ROWS($V$2:V524),$V$2:$V$1001,0),1)&gt;=100000,INDEX($AC$1005:$AS$1005,1,MATCH(COLUMNS($AC$1006:AG1006),$AC$1006:$AS$1006,0))&gt;=100000), " ",IF(INDEX($AC$2:$AS$1001,MATCH(ROWS($V$2:V524),$V$2:$V$1001,0),MATCH(COLUMNS($AC$1006:AG1006),$AC$1006:$AS$1006,0)), HYPERLINK("#",""), HYPERLINK(CONCATENATE("#Metadata!", ADDRESS(INDEX($X$2:$X$1001,MATCH(ROWS($V$2:V524),$V$2:$V$1001,0),0), INDEX($AC$1004:$AS$1004,1,MATCH(COLUMNS($AC$1006:AG1006),$AC$1006:$AS$1006,0)))),"Fix")))</f>
        <v>0</v>
      </c>
      <c r="G524" s="5">
        <f>IF(OR(INDEX($W$2:$W$1001,MATCH(ROWS($V$2:V524),$V$2:$V$1001,0),1)&gt;=100000,INDEX($AC$1005:$AS$1005,1,MATCH(COLUMNS($AC$1006:AH1006),$AC$1006:$AS$1006,0))&gt;=100000), " ",IF(INDEX($AC$2:$AS$1001,MATCH(ROWS($V$2:V524),$V$2:$V$1001,0),MATCH(COLUMNS($AC$1006:AH1006),$AC$1006:$AS$1006,0)), HYPERLINK("#",""), HYPERLINK(CONCATENATE("#Metadata!", ADDRESS(INDEX($X$2:$X$1001,MATCH(ROWS($V$2:V524),$V$2:$V$1001,0),0), INDEX($AC$1004:$AS$1004,1,MATCH(COLUMNS($AC$1006:AH1006),$AC$1006:$AS$1006,0)))),"Fix")))</f>
        <v>0</v>
      </c>
      <c r="H524" s="5">
        <f>IF(OR(INDEX($W$2:$W$1001,MATCH(ROWS($V$2:V524),$V$2:$V$1001,0),1)&gt;=100000,INDEX($AC$1005:$AS$1005,1,MATCH(COLUMNS($AC$1006:AI1006),$AC$1006:$AS$1006,0))&gt;=100000), " ",IF(INDEX($AC$2:$AS$1001,MATCH(ROWS($V$2:V524),$V$2:$V$1001,0),MATCH(COLUMNS($AC$1006:AI1006),$AC$1006:$AS$1006,0)), HYPERLINK("#",""), HYPERLINK(CONCATENATE("#Metadata!", ADDRESS(INDEX($X$2:$X$1001,MATCH(ROWS($V$2:V524),$V$2:$V$1001,0),0), INDEX($AC$1004:$AS$1004,1,MATCH(COLUMNS($AC$1006:AI1006),$AC$1006:$AS$1006,0)))),"Fix")))</f>
        <v>0</v>
      </c>
      <c r="I524" s="5">
        <f>IF(OR(INDEX($W$2:$W$1001,MATCH(ROWS($V$2:V524),$V$2:$V$1001,0),1)&gt;=100000,INDEX($AC$1005:$AS$1005,1,MATCH(COLUMNS($AC$1006:AJ1006),$AC$1006:$AS$1006,0))&gt;=100000), " ",IF(INDEX($AC$2:$AS$1001,MATCH(ROWS($V$2:V524),$V$2:$V$1001,0),MATCH(COLUMNS($AC$1006:AJ1006),$AC$1006:$AS$1006,0)), HYPERLINK("#",""), HYPERLINK(CONCATENATE("#Metadata!", ADDRESS(INDEX($X$2:$X$1001,MATCH(ROWS($V$2:V524),$V$2:$V$1001,0),0), INDEX($AC$1004:$AS$1004,1,MATCH(COLUMNS($AC$1006:AJ1006),$AC$1006:$AS$1006,0)))),"Fix")))</f>
        <v>0</v>
      </c>
      <c r="J524" s="5">
        <f>IF(OR(INDEX($W$2:$W$1001,MATCH(ROWS($V$2:V524),$V$2:$V$1001,0),1)&gt;=100000,INDEX($AC$1005:$AS$1005,1,MATCH(COLUMNS($AC$1006:AK1006),$AC$1006:$AS$1006,0))&gt;=100000), " ",IF(INDEX($AC$2:$AS$1001,MATCH(ROWS($V$2:V524),$V$2:$V$1001,0),MATCH(COLUMNS($AC$1006:AK1006),$AC$1006:$AS$1006,0)), HYPERLINK("#",""), HYPERLINK(CONCATENATE("#Metadata!", ADDRESS(INDEX($X$2:$X$1001,MATCH(ROWS($V$2:V524),$V$2:$V$1001,0),0), INDEX($AC$1004:$AS$1004,1,MATCH(COLUMNS($AC$1006:AK1006),$AC$1006:$AS$1006,0)))),"Fix")))</f>
        <v>0</v>
      </c>
      <c r="K524" s="5">
        <f>IF(OR(INDEX($W$2:$W$1001,MATCH(ROWS($V$2:V524),$V$2:$V$1001,0),1)&gt;=100000,INDEX($AC$1005:$AS$1005,1,MATCH(COLUMNS($AC$1006:AL1006),$AC$1006:$AS$1006,0))&gt;=100000), " ",IF(INDEX($AC$2:$AS$1001,MATCH(ROWS($V$2:V524),$V$2:$V$1001,0),MATCH(COLUMNS($AC$1006:AL1006),$AC$1006:$AS$1006,0)), HYPERLINK("#",""), HYPERLINK(CONCATENATE("#Metadata!", ADDRESS(INDEX($X$2:$X$1001,MATCH(ROWS($V$2:V524),$V$2:$V$1001,0),0), INDEX($AC$1004:$AS$1004,1,MATCH(COLUMNS($AC$1006:AL1006),$AC$1006:$AS$1006,0)))),"Fix")))</f>
        <v>0</v>
      </c>
      <c r="L524" s="5">
        <f>IF(OR(INDEX($W$2:$W$1001,MATCH(ROWS($V$2:V524),$V$2:$V$1001,0),1)&gt;=100000,INDEX($AC$1005:$AS$1005,1,MATCH(COLUMNS($AC$1006:AM1006),$AC$1006:$AS$1006,0))&gt;=100000), " ",IF(INDEX($AC$2:$AS$1001,MATCH(ROWS($V$2:V524),$V$2:$V$1001,0),MATCH(COLUMNS($AC$1006:AM1006),$AC$1006:$AS$1006,0)), HYPERLINK("#",""), HYPERLINK(CONCATENATE("#Metadata!", ADDRESS(INDEX($X$2:$X$1001,MATCH(ROWS($V$2:V524),$V$2:$V$1001,0),0), INDEX($AC$1004:$AS$1004,1,MATCH(COLUMNS($AC$1006:AM1006),$AC$1006:$AS$1006,0)))),"Fix")))</f>
        <v>0</v>
      </c>
      <c r="M524" s="5">
        <f>IF(OR(INDEX($W$2:$W$1001,MATCH(ROWS($V$2:V524),$V$2:$V$1001,0),1)&gt;=100000,INDEX($AC$1005:$AS$1005,1,MATCH(COLUMNS($AC$1006:AN1006),$AC$1006:$AS$1006,0))&gt;=100000), " ",IF(INDEX($AC$2:$AS$1001,MATCH(ROWS($V$2:V524),$V$2:$V$1001,0),MATCH(COLUMNS($AC$1006:AN1006),$AC$1006:$AS$1006,0)), HYPERLINK("#",""), HYPERLINK(CONCATENATE("#Metadata!", ADDRESS(INDEX($X$2:$X$1001,MATCH(ROWS($V$2:V524),$V$2:$V$1001,0),0), INDEX($AC$1004:$AS$1004,1,MATCH(COLUMNS($AC$1006:AN1006),$AC$1006:$AS$1006,0)))),"Fix")))</f>
        <v>0</v>
      </c>
      <c r="N524" s="5">
        <f>IF(OR(INDEX($W$2:$W$1001,MATCH(ROWS($V$2:V524),$V$2:$V$1001,0),1)&gt;=100000,INDEX($AC$1005:$AS$1005,1,MATCH(COLUMNS($AC$1006:AO1006),$AC$1006:$AS$1006,0))&gt;=100000), " ",IF(INDEX($AC$2:$AS$1001,MATCH(ROWS($V$2:V524),$V$2:$V$1001,0),MATCH(COLUMNS($AC$1006:AO1006),$AC$1006:$AS$1006,0)), HYPERLINK("#",""), HYPERLINK(CONCATENATE("#Metadata!", ADDRESS(INDEX($X$2:$X$1001,MATCH(ROWS($V$2:V524),$V$2:$V$1001,0),0), INDEX($AC$1004:$AS$1004,1,MATCH(COLUMNS($AC$1006:AO1006),$AC$1006:$AS$1006,0)))),"Fix")))</f>
        <v>0</v>
      </c>
      <c r="O524" s="5">
        <f>IF(OR(INDEX($W$2:$W$1001,MATCH(ROWS($V$2:V524),$V$2:$V$1001,0),1)&gt;=100000,INDEX($AC$1005:$AS$1005,1,MATCH(COLUMNS($AC$1006:AP1006),$AC$1006:$AS$1006,0))&gt;=100000), " ",IF(INDEX($AC$2:$AS$1001,MATCH(ROWS($V$2:V524),$V$2:$V$1001,0),MATCH(COLUMNS($AC$1006:AP1006),$AC$1006:$AS$1006,0)), HYPERLINK("#",""), HYPERLINK(CONCATENATE("#Metadata!", ADDRESS(INDEX($X$2:$X$1001,MATCH(ROWS($V$2:V524),$V$2:$V$1001,0),0), INDEX($AC$1004:$AS$1004,1,MATCH(COLUMNS($AC$1006:AP1006),$AC$1006:$AS$1006,0)))),"Fix")))</f>
        <v>0</v>
      </c>
      <c r="P524" s="5">
        <f>IF(OR(INDEX($W$2:$W$1001,MATCH(ROWS($V$2:V524),$V$2:$V$1001,0),1)&gt;=100000,INDEX($AC$1005:$AS$1005,1,MATCH(COLUMNS($AC$1006:AQ1006),$AC$1006:$AS$1006,0))&gt;=100000), " ",IF(INDEX($AC$2:$AS$1001,MATCH(ROWS($V$2:V524),$V$2:$V$1001,0),MATCH(COLUMNS($AC$1006:AQ1006),$AC$1006:$AS$1006,0)), HYPERLINK("#",""), HYPERLINK(CONCATENATE("#Metadata!", ADDRESS(INDEX($X$2:$X$1001,MATCH(ROWS($V$2:V524),$V$2:$V$1001,0),0), INDEX($AC$1004:$AS$1004,1,MATCH(COLUMNS($AC$1006:AQ1006),$AC$1006:$AS$1006,0)))),"Fix")))</f>
        <v>0</v>
      </c>
      <c r="Q524" s="5">
        <f>IF(OR(INDEX($W$2:$W$1001,MATCH(ROWS($V$2:V524),$V$2:$V$1001,0),1)&gt;=100000,INDEX($AC$1005:$AS$1005,1,MATCH(COLUMNS($AC$1006:AR1006),$AC$1006:$AS$1006,0))&gt;=100000), " ",IF(INDEX($AC$2:$AS$1001,MATCH(ROWS($V$2:V524),$V$2:$V$1001,0),MATCH(COLUMNS($AC$1006:AR1006),$AC$1006:$AS$1006,0)), HYPERLINK("#",""), HYPERLINK(CONCATENATE("#Metadata!", ADDRESS(INDEX($X$2:$X$1001,MATCH(ROWS($V$2:V524),$V$2:$V$1001,0),0), INDEX($AC$1004:$AS$1004,1,MATCH(COLUMNS($AC$1006:AR1006),$AC$1006:$AS$1006,0)))),"Fix")))</f>
        <v>0</v>
      </c>
      <c r="R524" s="5">
        <f>IF(OR(INDEX($W$2:$W$1001,MATCH(ROWS($V$2:V524),$V$2:$V$1001,0),1)&gt;=100000,INDEX($AC$1005:$AS$1005,1,MATCH(COLUMNS($AC$1006:AS1006),$AC$1006:$AS$1006,0))&gt;=100000), " ",IF(INDEX($AC$2:$AS$1001,MATCH(ROWS($V$2:V524),$V$2:$V$1001,0),MATCH(COLUMNS($AC$1006:AS1006),$AC$1006:$AS$1006,0)), HYPERLINK("#",""), HYPERLINK(CONCATENATE("#Metadata!", ADDRESS(INDEX($X$2:$X$1001,MATCH(ROWS($V$2:V524),$V$2:$V$1001,0),0), INDEX($AC$1004:$AS$1004,1,MATCH(COLUMNS($AC$1006:AS1006),$AC$1006:$AS$1006,0)))),"Fix")))</f>
        <v>0</v>
      </c>
      <c r="V524">
        <v>0</v>
      </c>
      <c r="W524">
        <v>0</v>
      </c>
      <c r="X524">
        <v>0</v>
      </c>
      <c r="Y524">
        <f>IF(Z524,TRUE,AND(AC524:AS524))</f>
        <v>0</v>
      </c>
      <c r="Z524">
        <f>COUNTBLANK(Metadata!B524:R524)=COLUMNS(Metadata!B524:R524)</f>
        <v>0</v>
      </c>
      <c r="AA524">
        <v>0</v>
      </c>
      <c r="AC524">
        <f>AND(IF(Metadata!B524="",FALSE,TRUE),COUNTIF(Metadata!B:B, Metadata!B524) = 1,NOT(ISERROR(SUMPRODUCT(SEARCH(MID(Metadata!B524,ROW(INDIRECT("1:"&amp;LEN(Metadata!B524))), 1),"0123456789abcdefghijklmnopqrstuvwxyzABCDEFGHIJKLMNOPQRSTUVWXYZ.")))))</f>
        <v>0</v>
      </c>
      <c r="AD524">
        <f>AND(IF(Metadata!C524="",FALSE,TRUE),exact(Metadata!C524,"Host-associated"))</f>
        <v>0</v>
      </c>
      <c r="AE524">
        <f>AND(IF(Metadata!D524="",FALSE,TRUE),OR(exact(Metadata!D524,"Animal"),exact(Metadata!D524,"Fungus"),exact(Metadata!D524,"Plant")))</f>
        <v>0</v>
      </c>
      <c r="AF524">
        <f>AND(IF(Metadata!E524="",FALSE,TRUE),OR(exact(Metadata!E524,"Plant secretion"),exact(Metadata!E524,"Plant rhizosphere"),exact(Metadata!E524,"Plant surface"),exact(Metadata!E524,"Plant corpus"),exact(Metadata!E524,"Fungus surface"),exact(Metadata!E524,"Fungus corpus"),exact(Metadata!E524,"Animal surface"),exact(Metadata!E524,"Animal proximal gut"),exact(Metadata!E524,"Animal corpus"),exact(Metadata!E524,"Animal distal gut"),exact(Metadata!E524,"Animal secretion")))</f>
        <v>0</v>
      </c>
      <c r="AG524">
        <f>OR(AND(IF(Metadata!F524="",FALSE,TRUE),OR(exact(Metadata!F524,"not collected"),exact(Metadata!F524,"not provided"),exact(Metadata!F524,"restricted access"))),AND(IF(Metadata!F524="",FALSE,TRUE),OR(exact(Metadata!F524,"organism-associated habitat"),exact(Metadata!F524,"plant-associated habitat"),exact(Metadata!F524,"animal-associated habitat"),exact(Metadata!F524,"insecta-associated habitat"),exact(Metadata!F524,"mammalia-associated habitat"),exact(Metadata!F524,"human-associated habitat"),exact(Metadata!F524,"livestock-associated habitat"))))</f>
        <v>0</v>
      </c>
      <c r="AH524">
        <f>AND(IF(Metadata!G524="",FALSE,TRUE),exact(Metadata!G524,"host-associated"))</f>
        <v>0</v>
      </c>
      <c r="AI524">
        <f>OR(AND(IF(Metadata!H524="",FALSE,TRUE),OR(exact(Metadata!H524,"not collected"),exact(Metadata!H524,"not provided"))),AND(IF(Metadata!H524="",FALSE,ISNUMBER(VALUE(Metadata!H524))),Metadata!H524&gt;0))</f>
        <v>0</v>
      </c>
      <c r="AJ524">
        <f>AND(IF(Metadata!I524="",FALSE,TRUE),exact(Metadata!I524,"years"))</f>
        <v>0</v>
      </c>
      <c r="AK524">
        <f>IF(Metadata!J524="",FALSE,TRUE)</f>
        <v>0</v>
      </c>
      <c r="AL524">
        <f>OR(AND(IF(Metadata!K524="",FALSE,TRUE),OR(exact(Metadata!K524,"not collected"),exact(Metadata!K524,"not provided"))),AND(IF(Metadata!K524="",FALSE,ISNUMBER(VALUE(Metadata!K524))),Metadata!K524&gt;0))</f>
        <v>0</v>
      </c>
      <c r="AM524">
        <f>AND(IF(Metadata!L524="",FALSE,TRUE),exact(Metadata!L524,"cm"))</f>
        <v>0</v>
      </c>
      <c r="AN524">
        <f>IF(Metadata!M524="",FALSE,TRUE)</f>
        <v>0</v>
      </c>
      <c r="AO524">
        <f>OR(AND(IF(Metadata!N524="",FALSE,TRUE),OR(exact(Metadata!N524,"not applicable"),exact(Metadata!N524,"not collected"),exact(Metadata!N524,"not provided"))),AND(IF(Metadata!N524="",FALSE,IF(ISERROR(INT(Metadata!N524)),FALSE,INT(Metadata!N524)=Metadata!N524)),Metadata!N524&gt;0))</f>
        <v>0</v>
      </c>
      <c r="AP524">
        <f>OR(AND(IF(Metadata!O524="",FALSE,TRUE),OR(exact(Metadata!O524,"not collected"),exact(Metadata!O524,"not provided"))),AND(IF(Metadata!O524="",FALSE,ISNUMBER(VALUE(Metadata!O524))),Metadata!O524&gt;0))</f>
        <v>0</v>
      </c>
      <c r="AQ524">
        <f>AND(IF(Metadata!P524="",FALSE,TRUE),exact(Metadata!P524,"kg"))</f>
        <v>0</v>
      </c>
      <c r="AR524">
        <f>OR(AND(IF(Metadata!Q524="",FALSE,TRUE),OR(exact(Metadata!Q524,"not applicable"),exact(Metadata!Q524,"not collected"),exact(Metadata!Q524,"not provided"),exact(Metadata!Q524,"restricted access"))),IF(Metadata!Q524="",FALSE,IF(ISERROR(INT(Metadata!Q524)),FALSE,INT(Metadata!Q524)=Metadata!Q524)))</f>
        <v>0</v>
      </c>
      <c r="AS524">
        <f>AND(IF(Metadata!R524="",FALSE,TRUE),exact(Metadata!R524,"Not applicable"))</f>
        <v>0</v>
      </c>
    </row>
    <row r="525" spans="1:45">
      <c r="A525" s="4">
        <f>IF(B525=" "," ",HYPERLINK(CONCATENATE("#metadata!",ADDRESS(INDEX($X$2:$X$1001,MATCH(ROWS($V$2:V525),$V$2:$V$1001,0),0),2)),INDEX($AA$2:$AA$1001,MATCH(ROWS($V$2:V525),$V$2:$V$1001,0),0)))</f>
        <v>0</v>
      </c>
      <c r="B525" s="5">
        <f>IF(OR(INDEX($W$2:$W$1001,MATCH(ROWS($V$2:V525),$V$2:$V$1001,0),1)&gt;=100000,INDEX($AC$1005:$AS$1005,1,MATCH(COLUMNS($AC$1006:AC1006),$AC$1006:$AS$1006,0))&gt;=100000), " ",IF(INDEX($AC$2:$AS$1001,MATCH(ROWS($V$2:V525),$V$2:$V$1001,0),MATCH(COLUMNS($AC$1006:AC1006),$AC$1006:$AS$1006,0)), HYPERLINK("#",""), HYPERLINK(CONCATENATE("#Metadata!", ADDRESS(INDEX($X$2:$X$1001,MATCH(ROWS($V$2:V525),$V$2:$V$1001,0),0), INDEX($AC$1004:$AS$1004,1,MATCH(COLUMNS($AC$1006:AC1006),$AC$1006:$AS$1006,0)))),"Fix")))</f>
        <v>0</v>
      </c>
      <c r="C525" s="5">
        <f>IF(OR(INDEX($W$2:$W$1001,MATCH(ROWS($V$2:V525),$V$2:$V$1001,0),1)&gt;=100000,INDEX($AC$1005:$AS$1005,1,MATCH(COLUMNS($AC$1006:AD1006),$AC$1006:$AS$1006,0))&gt;=100000), " ",IF(INDEX($AC$2:$AS$1001,MATCH(ROWS($V$2:V525),$V$2:$V$1001,0),MATCH(COLUMNS($AC$1006:AD1006),$AC$1006:$AS$1006,0)), HYPERLINK("#",""), HYPERLINK(CONCATENATE("#Metadata!", ADDRESS(INDEX($X$2:$X$1001,MATCH(ROWS($V$2:V525),$V$2:$V$1001,0),0), INDEX($AC$1004:$AS$1004,1,MATCH(COLUMNS($AC$1006:AD1006),$AC$1006:$AS$1006,0)))),"Fix")))</f>
        <v>0</v>
      </c>
      <c r="D525" s="5">
        <f>IF(OR(INDEX($W$2:$W$1001,MATCH(ROWS($V$2:V525),$V$2:$V$1001,0),1)&gt;=100000,INDEX($AC$1005:$AS$1005,1,MATCH(COLUMNS($AC$1006:AE1006),$AC$1006:$AS$1006,0))&gt;=100000), " ",IF(INDEX($AC$2:$AS$1001,MATCH(ROWS($V$2:V525),$V$2:$V$1001,0),MATCH(COLUMNS($AC$1006:AE1006),$AC$1006:$AS$1006,0)), HYPERLINK("#",""), HYPERLINK(CONCATENATE("#Metadata!", ADDRESS(INDEX($X$2:$X$1001,MATCH(ROWS($V$2:V525),$V$2:$V$1001,0),0), INDEX($AC$1004:$AS$1004,1,MATCH(COLUMNS($AC$1006:AE1006),$AC$1006:$AS$1006,0)))),"Fix")))</f>
        <v>0</v>
      </c>
      <c r="E525" s="5">
        <f>IF(OR(INDEX($W$2:$W$1001,MATCH(ROWS($V$2:V525),$V$2:$V$1001,0),1)&gt;=100000,INDEX($AC$1005:$AS$1005,1,MATCH(COLUMNS($AC$1006:AF1006),$AC$1006:$AS$1006,0))&gt;=100000), " ",IF(INDEX($AC$2:$AS$1001,MATCH(ROWS($V$2:V525),$V$2:$V$1001,0),MATCH(COLUMNS($AC$1006:AF1006),$AC$1006:$AS$1006,0)), HYPERLINK("#",""), HYPERLINK(CONCATENATE("#Metadata!", ADDRESS(INDEX($X$2:$X$1001,MATCH(ROWS($V$2:V525),$V$2:$V$1001,0),0), INDEX($AC$1004:$AS$1004,1,MATCH(COLUMNS($AC$1006:AF1006),$AC$1006:$AS$1006,0)))),"Fix")))</f>
        <v>0</v>
      </c>
      <c r="F525" s="5">
        <f>IF(OR(INDEX($W$2:$W$1001,MATCH(ROWS($V$2:V525),$V$2:$V$1001,0),1)&gt;=100000,INDEX($AC$1005:$AS$1005,1,MATCH(COLUMNS($AC$1006:AG1006),$AC$1006:$AS$1006,0))&gt;=100000), " ",IF(INDEX($AC$2:$AS$1001,MATCH(ROWS($V$2:V525),$V$2:$V$1001,0),MATCH(COLUMNS($AC$1006:AG1006),$AC$1006:$AS$1006,0)), HYPERLINK("#",""), HYPERLINK(CONCATENATE("#Metadata!", ADDRESS(INDEX($X$2:$X$1001,MATCH(ROWS($V$2:V525),$V$2:$V$1001,0),0), INDEX($AC$1004:$AS$1004,1,MATCH(COLUMNS($AC$1006:AG1006),$AC$1006:$AS$1006,0)))),"Fix")))</f>
        <v>0</v>
      </c>
      <c r="G525" s="5">
        <f>IF(OR(INDEX($W$2:$W$1001,MATCH(ROWS($V$2:V525),$V$2:$V$1001,0),1)&gt;=100000,INDEX($AC$1005:$AS$1005,1,MATCH(COLUMNS($AC$1006:AH1006),$AC$1006:$AS$1006,0))&gt;=100000), " ",IF(INDEX($AC$2:$AS$1001,MATCH(ROWS($V$2:V525),$V$2:$V$1001,0),MATCH(COLUMNS($AC$1006:AH1006),$AC$1006:$AS$1006,0)), HYPERLINK("#",""), HYPERLINK(CONCATENATE("#Metadata!", ADDRESS(INDEX($X$2:$X$1001,MATCH(ROWS($V$2:V525),$V$2:$V$1001,0),0), INDEX($AC$1004:$AS$1004,1,MATCH(COLUMNS($AC$1006:AH1006),$AC$1006:$AS$1006,0)))),"Fix")))</f>
        <v>0</v>
      </c>
      <c r="H525" s="5">
        <f>IF(OR(INDEX($W$2:$W$1001,MATCH(ROWS($V$2:V525),$V$2:$V$1001,0),1)&gt;=100000,INDEX($AC$1005:$AS$1005,1,MATCH(COLUMNS($AC$1006:AI1006),$AC$1006:$AS$1006,0))&gt;=100000), " ",IF(INDEX($AC$2:$AS$1001,MATCH(ROWS($V$2:V525),$V$2:$V$1001,0),MATCH(COLUMNS($AC$1006:AI1006),$AC$1006:$AS$1006,0)), HYPERLINK("#",""), HYPERLINK(CONCATENATE("#Metadata!", ADDRESS(INDEX($X$2:$X$1001,MATCH(ROWS($V$2:V525),$V$2:$V$1001,0),0), INDEX($AC$1004:$AS$1004,1,MATCH(COLUMNS($AC$1006:AI1006),$AC$1006:$AS$1006,0)))),"Fix")))</f>
        <v>0</v>
      </c>
      <c r="I525" s="5">
        <f>IF(OR(INDEX($W$2:$W$1001,MATCH(ROWS($V$2:V525),$V$2:$V$1001,0),1)&gt;=100000,INDEX($AC$1005:$AS$1005,1,MATCH(COLUMNS($AC$1006:AJ1006),$AC$1006:$AS$1006,0))&gt;=100000), " ",IF(INDEX($AC$2:$AS$1001,MATCH(ROWS($V$2:V525),$V$2:$V$1001,0),MATCH(COLUMNS($AC$1006:AJ1006),$AC$1006:$AS$1006,0)), HYPERLINK("#",""), HYPERLINK(CONCATENATE("#Metadata!", ADDRESS(INDEX($X$2:$X$1001,MATCH(ROWS($V$2:V525),$V$2:$V$1001,0),0), INDEX($AC$1004:$AS$1004,1,MATCH(COLUMNS($AC$1006:AJ1006),$AC$1006:$AS$1006,0)))),"Fix")))</f>
        <v>0</v>
      </c>
      <c r="J525" s="5">
        <f>IF(OR(INDEX($W$2:$W$1001,MATCH(ROWS($V$2:V525),$V$2:$V$1001,0),1)&gt;=100000,INDEX($AC$1005:$AS$1005,1,MATCH(COLUMNS($AC$1006:AK1006),$AC$1006:$AS$1006,0))&gt;=100000), " ",IF(INDEX($AC$2:$AS$1001,MATCH(ROWS($V$2:V525),$V$2:$V$1001,0),MATCH(COLUMNS($AC$1006:AK1006),$AC$1006:$AS$1006,0)), HYPERLINK("#",""), HYPERLINK(CONCATENATE("#Metadata!", ADDRESS(INDEX($X$2:$X$1001,MATCH(ROWS($V$2:V525),$V$2:$V$1001,0),0), INDEX($AC$1004:$AS$1004,1,MATCH(COLUMNS($AC$1006:AK1006),$AC$1006:$AS$1006,0)))),"Fix")))</f>
        <v>0</v>
      </c>
      <c r="K525" s="5">
        <f>IF(OR(INDEX($W$2:$W$1001,MATCH(ROWS($V$2:V525),$V$2:$V$1001,0),1)&gt;=100000,INDEX($AC$1005:$AS$1005,1,MATCH(COLUMNS($AC$1006:AL1006),$AC$1006:$AS$1006,0))&gt;=100000), " ",IF(INDEX($AC$2:$AS$1001,MATCH(ROWS($V$2:V525),$V$2:$V$1001,0),MATCH(COLUMNS($AC$1006:AL1006),$AC$1006:$AS$1006,0)), HYPERLINK("#",""), HYPERLINK(CONCATENATE("#Metadata!", ADDRESS(INDEX($X$2:$X$1001,MATCH(ROWS($V$2:V525),$V$2:$V$1001,0),0), INDEX($AC$1004:$AS$1004,1,MATCH(COLUMNS($AC$1006:AL1006),$AC$1006:$AS$1006,0)))),"Fix")))</f>
        <v>0</v>
      </c>
      <c r="L525" s="5">
        <f>IF(OR(INDEX($W$2:$W$1001,MATCH(ROWS($V$2:V525),$V$2:$V$1001,0),1)&gt;=100000,INDEX($AC$1005:$AS$1005,1,MATCH(COLUMNS($AC$1006:AM1006),$AC$1006:$AS$1006,0))&gt;=100000), " ",IF(INDEX($AC$2:$AS$1001,MATCH(ROWS($V$2:V525),$V$2:$V$1001,0),MATCH(COLUMNS($AC$1006:AM1006),$AC$1006:$AS$1006,0)), HYPERLINK("#",""), HYPERLINK(CONCATENATE("#Metadata!", ADDRESS(INDEX($X$2:$X$1001,MATCH(ROWS($V$2:V525),$V$2:$V$1001,0),0), INDEX($AC$1004:$AS$1004,1,MATCH(COLUMNS($AC$1006:AM1006),$AC$1006:$AS$1006,0)))),"Fix")))</f>
        <v>0</v>
      </c>
      <c r="M525" s="5">
        <f>IF(OR(INDEX($W$2:$W$1001,MATCH(ROWS($V$2:V525),$V$2:$V$1001,0),1)&gt;=100000,INDEX($AC$1005:$AS$1005,1,MATCH(COLUMNS($AC$1006:AN1006),$AC$1006:$AS$1006,0))&gt;=100000), " ",IF(INDEX($AC$2:$AS$1001,MATCH(ROWS($V$2:V525),$V$2:$V$1001,0),MATCH(COLUMNS($AC$1006:AN1006),$AC$1006:$AS$1006,0)), HYPERLINK("#",""), HYPERLINK(CONCATENATE("#Metadata!", ADDRESS(INDEX($X$2:$X$1001,MATCH(ROWS($V$2:V525),$V$2:$V$1001,0),0), INDEX($AC$1004:$AS$1004,1,MATCH(COLUMNS($AC$1006:AN1006),$AC$1006:$AS$1006,0)))),"Fix")))</f>
        <v>0</v>
      </c>
      <c r="N525" s="5">
        <f>IF(OR(INDEX($W$2:$W$1001,MATCH(ROWS($V$2:V525),$V$2:$V$1001,0),1)&gt;=100000,INDEX($AC$1005:$AS$1005,1,MATCH(COLUMNS($AC$1006:AO1006),$AC$1006:$AS$1006,0))&gt;=100000), " ",IF(INDEX($AC$2:$AS$1001,MATCH(ROWS($V$2:V525),$V$2:$V$1001,0),MATCH(COLUMNS($AC$1006:AO1006),$AC$1006:$AS$1006,0)), HYPERLINK("#",""), HYPERLINK(CONCATENATE("#Metadata!", ADDRESS(INDEX($X$2:$X$1001,MATCH(ROWS($V$2:V525),$V$2:$V$1001,0),0), INDEX($AC$1004:$AS$1004,1,MATCH(COLUMNS($AC$1006:AO1006),$AC$1006:$AS$1006,0)))),"Fix")))</f>
        <v>0</v>
      </c>
      <c r="O525" s="5">
        <f>IF(OR(INDEX($W$2:$W$1001,MATCH(ROWS($V$2:V525),$V$2:$V$1001,0),1)&gt;=100000,INDEX($AC$1005:$AS$1005,1,MATCH(COLUMNS($AC$1006:AP1006),$AC$1006:$AS$1006,0))&gt;=100000), " ",IF(INDEX($AC$2:$AS$1001,MATCH(ROWS($V$2:V525),$V$2:$V$1001,0),MATCH(COLUMNS($AC$1006:AP1006),$AC$1006:$AS$1006,0)), HYPERLINK("#",""), HYPERLINK(CONCATENATE("#Metadata!", ADDRESS(INDEX($X$2:$X$1001,MATCH(ROWS($V$2:V525),$V$2:$V$1001,0),0), INDEX($AC$1004:$AS$1004,1,MATCH(COLUMNS($AC$1006:AP1006),$AC$1006:$AS$1006,0)))),"Fix")))</f>
        <v>0</v>
      </c>
      <c r="P525" s="5">
        <f>IF(OR(INDEX($W$2:$W$1001,MATCH(ROWS($V$2:V525),$V$2:$V$1001,0),1)&gt;=100000,INDEX($AC$1005:$AS$1005,1,MATCH(COLUMNS($AC$1006:AQ1006),$AC$1006:$AS$1006,0))&gt;=100000), " ",IF(INDEX($AC$2:$AS$1001,MATCH(ROWS($V$2:V525),$V$2:$V$1001,0),MATCH(COLUMNS($AC$1006:AQ1006),$AC$1006:$AS$1006,0)), HYPERLINK("#",""), HYPERLINK(CONCATENATE("#Metadata!", ADDRESS(INDEX($X$2:$X$1001,MATCH(ROWS($V$2:V525),$V$2:$V$1001,0),0), INDEX($AC$1004:$AS$1004,1,MATCH(COLUMNS($AC$1006:AQ1006),$AC$1006:$AS$1006,0)))),"Fix")))</f>
        <v>0</v>
      </c>
      <c r="Q525" s="5">
        <f>IF(OR(INDEX($W$2:$W$1001,MATCH(ROWS($V$2:V525),$V$2:$V$1001,0),1)&gt;=100000,INDEX($AC$1005:$AS$1005,1,MATCH(COLUMNS($AC$1006:AR1006),$AC$1006:$AS$1006,0))&gt;=100000), " ",IF(INDEX($AC$2:$AS$1001,MATCH(ROWS($V$2:V525),$V$2:$V$1001,0),MATCH(COLUMNS($AC$1006:AR1006),$AC$1006:$AS$1006,0)), HYPERLINK("#",""), HYPERLINK(CONCATENATE("#Metadata!", ADDRESS(INDEX($X$2:$X$1001,MATCH(ROWS($V$2:V525),$V$2:$V$1001,0),0), INDEX($AC$1004:$AS$1004,1,MATCH(COLUMNS($AC$1006:AR1006),$AC$1006:$AS$1006,0)))),"Fix")))</f>
        <v>0</v>
      </c>
      <c r="R525" s="5">
        <f>IF(OR(INDEX($W$2:$W$1001,MATCH(ROWS($V$2:V525),$V$2:$V$1001,0),1)&gt;=100000,INDEX($AC$1005:$AS$1005,1,MATCH(COLUMNS($AC$1006:AS1006),$AC$1006:$AS$1006,0))&gt;=100000), " ",IF(INDEX($AC$2:$AS$1001,MATCH(ROWS($V$2:V525),$V$2:$V$1001,0),MATCH(COLUMNS($AC$1006:AS1006),$AC$1006:$AS$1006,0)), HYPERLINK("#",""), HYPERLINK(CONCATENATE("#Metadata!", ADDRESS(INDEX($X$2:$X$1001,MATCH(ROWS($V$2:V525),$V$2:$V$1001,0),0), INDEX($AC$1004:$AS$1004,1,MATCH(COLUMNS($AC$1006:AS1006),$AC$1006:$AS$1006,0)))),"Fix")))</f>
        <v>0</v>
      </c>
      <c r="V525">
        <v>0</v>
      </c>
      <c r="W525">
        <v>0</v>
      </c>
      <c r="X525">
        <v>0</v>
      </c>
      <c r="Y525">
        <f>IF(Z525,TRUE,AND(AC525:AS525))</f>
        <v>0</v>
      </c>
      <c r="Z525">
        <f>COUNTBLANK(Metadata!B525:R525)=COLUMNS(Metadata!B525:R525)</f>
        <v>0</v>
      </c>
      <c r="AA525">
        <v>0</v>
      </c>
      <c r="AC525">
        <f>AND(IF(Metadata!B525="",FALSE,TRUE),COUNTIF(Metadata!B:B, Metadata!B525) = 1,NOT(ISERROR(SUMPRODUCT(SEARCH(MID(Metadata!B525,ROW(INDIRECT("1:"&amp;LEN(Metadata!B525))), 1),"0123456789abcdefghijklmnopqrstuvwxyzABCDEFGHIJKLMNOPQRSTUVWXYZ.")))))</f>
        <v>0</v>
      </c>
      <c r="AD525">
        <f>AND(IF(Metadata!C525="",FALSE,TRUE),exact(Metadata!C525,"Host-associated"))</f>
        <v>0</v>
      </c>
      <c r="AE525">
        <f>AND(IF(Metadata!D525="",FALSE,TRUE),OR(exact(Metadata!D525,"Animal"),exact(Metadata!D525,"Fungus"),exact(Metadata!D525,"Plant")))</f>
        <v>0</v>
      </c>
      <c r="AF525">
        <f>AND(IF(Metadata!E525="",FALSE,TRUE),OR(exact(Metadata!E525,"Plant secretion"),exact(Metadata!E525,"Plant rhizosphere"),exact(Metadata!E525,"Plant surface"),exact(Metadata!E525,"Plant corpus"),exact(Metadata!E525,"Fungus surface"),exact(Metadata!E525,"Fungus corpus"),exact(Metadata!E525,"Animal surface"),exact(Metadata!E525,"Animal proximal gut"),exact(Metadata!E525,"Animal corpus"),exact(Metadata!E525,"Animal distal gut"),exact(Metadata!E525,"Animal secretion")))</f>
        <v>0</v>
      </c>
      <c r="AG525">
        <f>OR(AND(IF(Metadata!F525="",FALSE,TRUE),OR(exact(Metadata!F525,"not collected"),exact(Metadata!F525,"not provided"),exact(Metadata!F525,"restricted access"))),AND(IF(Metadata!F525="",FALSE,TRUE),OR(exact(Metadata!F525,"organism-associated habitat"),exact(Metadata!F525,"plant-associated habitat"),exact(Metadata!F525,"animal-associated habitat"),exact(Metadata!F525,"insecta-associated habitat"),exact(Metadata!F525,"mammalia-associated habitat"),exact(Metadata!F525,"human-associated habitat"),exact(Metadata!F525,"livestock-associated habitat"))))</f>
        <v>0</v>
      </c>
      <c r="AH525">
        <f>AND(IF(Metadata!G525="",FALSE,TRUE),exact(Metadata!G525,"host-associated"))</f>
        <v>0</v>
      </c>
      <c r="AI525">
        <f>OR(AND(IF(Metadata!H525="",FALSE,TRUE),OR(exact(Metadata!H525,"not collected"),exact(Metadata!H525,"not provided"))),AND(IF(Metadata!H525="",FALSE,ISNUMBER(VALUE(Metadata!H525))),Metadata!H525&gt;0))</f>
        <v>0</v>
      </c>
      <c r="AJ525">
        <f>AND(IF(Metadata!I525="",FALSE,TRUE),exact(Metadata!I525,"years"))</f>
        <v>0</v>
      </c>
      <c r="AK525">
        <f>IF(Metadata!J525="",FALSE,TRUE)</f>
        <v>0</v>
      </c>
      <c r="AL525">
        <f>OR(AND(IF(Metadata!K525="",FALSE,TRUE),OR(exact(Metadata!K525,"not collected"),exact(Metadata!K525,"not provided"))),AND(IF(Metadata!K525="",FALSE,ISNUMBER(VALUE(Metadata!K525))),Metadata!K525&gt;0))</f>
        <v>0</v>
      </c>
      <c r="AM525">
        <f>AND(IF(Metadata!L525="",FALSE,TRUE),exact(Metadata!L525,"cm"))</f>
        <v>0</v>
      </c>
      <c r="AN525">
        <f>IF(Metadata!M525="",FALSE,TRUE)</f>
        <v>0</v>
      </c>
      <c r="AO525">
        <f>OR(AND(IF(Metadata!N525="",FALSE,TRUE),OR(exact(Metadata!N525,"not applicable"),exact(Metadata!N525,"not collected"),exact(Metadata!N525,"not provided"))),AND(IF(Metadata!N525="",FALSE,IF(ISERROR(INT(Metadata!N525)),FALSE,INT(Metadata!N525)=Metadata!N525)),Metadata!N525&gt;0))</f>
        <v>0</v>
      </c>
      <c r="AP525">
        <f>OR(AND(IF(Metadata!O525="",FALSE,TRUE),OR(exact(Metadata!O525,"not collected"),exact(Metadata!O525,"not provided"))),AND(IF(Metadata!O525="",FALSE,ISNUMBER(VALUE(Metadata!O525))),Metadata!O525&gt;0))</f>
        <v>0</v>
      </c>
      <c r="AQ525">
        <f>AND(IF(Metadata!P525="",FALSE,TRUE),exact(Metadata!P525,"kg"))</f>
        <v>0</v>
      </c>
      <c r="AR525">
        <f>OR(AND(IF(Metadata!Q525="",FALSE,TRUE),OR(exact(Metadata!Q525,"not applicable"),exact(Metadata!Q525,"not collected"),exact(Metadata!Q525,"not provided"),exact(Metadata!Q525,"restricted access"))),IF(Metadata!Q525="",FALSE,IF(ISERROR(INT(Metadata!Q525)),FALSE,INT(Metadata!Q525)=Metadata!Q525)))</f>
        <v>0</v>
      </c>
      <c r="AS525">
        <f>AND(IF(Metadata!R525="",FALSE,TRUE),exact(Metadata!R525,"Not applicable"))</f>
        <v>0</v>
      </c>
    </row>
    <row r="526" spans="1:45">
      <c r="A526" s="4">
        <f>IF(B526=" "," ",HYPERLINK(CONCATENATE("#metadata!",ADDRESS(INDEX($X$2:$X$1001,MATCH(ROWS($V$2:V526),$V$2:$V$1001,0),0),2)),INDEX($AA$2:$AA$1001,MATCH(ROWS($V$2:V526),$V$2:$V$1001,0),0)))</f>
        <v>0</v>
      </c>
      <c r="B526" s="5">
        <f>IF(OR(INDEX($W$2:$W$1001,MATCH(ROWS($V$2:V526),$V$2:$V$1001,0),1)&gt;=100000,INDEX($AC$1005:$AS$1005,1,MATCH(COLUMNS($AC$1006:AC1006),$AC$1006:$AS$1006,0))&gt;=100000), " ",IF(INDEX($AC$2:$AS$1001,MATCH(ROWS($V$2:V526),$V$2:$V$1001,0),MATCH(COLUMNS($AC$1006:AC1006),$AC$1006:$AS$1006,0)), HYPERLINK("#",""), HYPERLINK(CONCATENATE("#Metadata!", ADDRESS(INDEX($X$2:$X$1001,MATCH(ROWS($V$2:V526),$V$2:$V$1001,0),0), INDEX($AC$1004:$AS$1004,1,MATCH(COLUMNS($AC$1006:AC1006),$AC$1006:$AS$1006,0)))),"Fix")))</f>
        <v>0</v>
      </c>
      <c r="C526" s="5">
        <f>IF(OR(INDEX($W$2:$W$1001,MATCH(ROWS($V$2:V526),$V$2:$V$1001,0),1)&gt;=100000,INDEX($AC$1005:$AS$1005,1,MATCH(COLUMNS($AC$1006:AD1006),$AC$1006:$AS$1006,0))&gt;=100000), " ",IF(INDEX($AC$2:$AS$1001,MATCH(ROWS($V$2:V526),$V$2:$V$1001,0),MATCH(COLUMNS($AC$1006:AD1006),$AC$1006:$AS$1006,0)), HYPERLINK("#",""), HYPERLINK(CONCATENATE("#Metadata!", ADDRESS(INDEX($X$2:$X$1001,MATCH(ROWS($V$2:V526),$V$2:$V$1001,0),0), INDEX($AC$1004:$AS$1004,1,MATCH(COLUMNS($AC$1006:AD1006),$AC$1006:$AS$1006,0)))),"Fix")))</f>
        <v>0</v>
      </c>
      <c r="D526" s="5">
        <f>IF(OR(INDEX($W$2:$W$1001,MATCH(ROWS($V$2:V526),$V$2:$V$1001,0),1)&gt;=100000,INDEX($AC$1005:$AS$1005,1,MATCH(COLUMNS($AC$1006:AE1006),$AC$1006:$AS$1006,0))&gt;=100000), " ",IF(INDEX($AC$2:$AS$1001,MATCH(ROWS($V$2:V526),$V$2:$V$1001,0),MATCH(COLUMNS($AC$1006:AE1006),$AC$1006:$AS$1006,0)), HYPERLINK("#",""), HYPERLINK(CONCATENATE("#Metadata!", ADDRESS(INDEX($X$2:$X$1001,MATCH(ROWS($V$2:V526),$V$2:$V$1001,0),0), INDEX($AC$1004:$AS$1004,1,MATCH(COLUMNS($AC$1006:AE1006),$AC$1006:$AS$1006,0)))),"Fix")))</f>
        <v>0</v>
      </c>
      <c r="E526" s="5">
        <f>IF(OR(INDEX($W$2:$W$1001,MATCH(ROWS($V$2:V526),$V$2:$V$1001,0),1)&gt;=100000,INDEX($AC$1005:$AS$1005,1,MATCH(COLUMNS($AC$1006:AF1006),$AC$1006:$AS$1006,0))&gt;=100000), " ",IF(INDEX($AC$2:$AS$1001,MATCH(ROWS($V$2:V526),$V$2:$V$1001,0),MATCH(COLUMNS($AC$1006:AF1006),$AC$1006:$AS$1006,0)), HYPERLINK("#",""), HYPERLINK(CONCATENATE("#Metadata!", ADDRESS(INDEX($X$2:$X$1001,MATCH(ROWS($V$2:V526),$V$2:$V$1001,0),0), INDEX($AC$1004:$AS$1004,1,MATCH(COLUMNS($AC$1006:AF1006),$AC$1006:$AS$1006,0)))),"Fix")))</f>
        <v>0</v>
      </c>
      <c r="F526" s="5">
        <f>IF(OR(INDEX($W$2:$W$1001,MATCH(ROWS($V$2:V526),$V$2:$V$1001,0),1)&gt;=100000,INDEX($AC$1005:$AS$1005,1,MATCH(COLUMNS($AC$1006:AG1006),$AC$1006:$AS$1006,0))&gt;=100000), " ",IF(INDEX($AC$2:$AS$1001,MATCH(ROWS($V$2:V526),$V$2:$V$1001,0),MATCH(COLUMNS($AC$1006:AG1006),$AC$1006:$AS$1006,0)), HYPERLINK("#",""), HYPERLINK(CONCATENATE("#Metadata!", ADDRESS(INDEX($X$2:$X$1001,MATCH(ROWS($V$2:V526),$V$2:$V$1001,0),0), INDEX($AC$1004:$AS$1004,1,MATCH(COLUMNS($AC$1006:AG1006),$AC$1006:$AS$1006,0)))),"Fix")))</f>
        <v>0</v>
      </c>
      <c r="G526" s="5">
        <f>IF(OR(INDEX($W$2:$W$1001,MATCH(ROWS($V$2:V526),$V$2:$V$1001,0),1)&gt;=100000,INDEX($AC$1005:$AS$1005,1,MATCH(COLUMNS($AC$1006:AH1006),$AC$1006:$AS$1006,0))&gt;=100000), " ",IF(INDEX($AC$2:$AS$1001,MATCH(ROWS($V$2:V526),$V$2:$V$1001,0),MATCH(COLUMNS($AC$1006:AH1006),$AC$1006:$AS$1006,0)), HYPERLINK("#",""), HYPERLINK(CONCATENATE("#Metadata!", ADDRESS(INDEX($X$2:$X$1001,MATCH(ROWS($V$2:V526),$V$2:$V$1001,0),0), INDEX($AC$1004:$AS$1004,1,MATCH(COLUMNS($AC$1006:AH1006),$AC$1006:$AS$1006,0)))),"Fix")))</f>
        <v>0</v>
      </c>
      <c r="H526" s="5">
        <f>IF(OR(INDEX($W$2:$W$1001,MATCH(ROWS($V$2:V526),$V$2:$V$1001,0),1)&gt;=100000,INDEX($AC$1005:$AS$1005,1,MATCH(COLUMNS($AC$1006:AI1006),$AC$1006:$AS$1006,0))&gt;=100000), " ",IF(INDEX($AC$2:$AS$1001,MATCH(ROWS($V$2:V526),$V$2:$V$1001,0),MATCH(COLUMNS($AC$1006:AI1006),$AC$1006:$AS$1006,0)), HYPERLINK("#",""), HYPERLINK(CONCATENATE("#Metadata!", ADDRESS(INDEX($X$2:$X$1001,MATCH(ROWS($V$2:V526),$V$2:$V$1001,0),0), INDEX($AC$1004:$AS$1004,1,MATCH(COLUMNS($AC$1006:AI1006),$AC$1006:$AS$1006,0)))),"Fix")))</f>
        <v>0</v>
      </c>
      <c r="I526" s="5">
        <f>IF(OR(INDEX($W$2:$W$1001,MATCH(ROWS($V$2:V526),$V$2:$V$1001,0),1)&gt;=100000,INDEX($AC$1005:$AS$1005,1,MATCH(COLUMNS($AC$1006:AJ1006),$AC$1006:$AS$1006,0))&gt;=100000), " ",IF(INDEX($AC$2:$AS$1001,MATCH(ROWS($V$2:V526),$V$2:$V$1001,0),MATCH(COLUMNS($AC$1006:AJ1006),$AC$1006:$AS$1006,0)), HYPERLINK("#",""), HYPERLINK(CONCATENATE("#Metadata!", ADDRESS(INDEX($X$2:$X$1001,MATCH(ROWS($V$2:V526),$V$2:$V$1001,0),0), INDEX($AC$1004:$AS$1004,1,MATCH(COLUMNS($AC$1006:AJ1006),$AC$1006:$AS$1006,0)))),"Fix")))</f>
        <v>0</v>
      </c>
      <c r="J526" s="5">
        <f>IF(OR(INDEX($W$2:$W$1001,MATCH(ROWS($V$2:V526),$V$2:$V$1001,0),1)&gt;=100000,INDEX($AC$1005:$AS$1005,1,MATCH(COLUMNS($AC$1006:AK1006),$AC$1006:$AS$1006,0))&gt;=100000), " ",IF(INDEX($AC$2:$AS$1001,MATCH(ROWS($V$2:V526),$V$2:$V$1001,0),MATCH(COLUMNS($AC$1006:AK1006),$AC$1006:$AS$1006,0)), HYPERLINK("#",""), HYPERLINK(CONCATENATE("#Metadata!", ADDRESS(INDEX($X$2:$X$1001,MATCH(ROWS($V$2:V526),$V$2:$V$1001,0),0), INDEX($AC$1004:$AS$1004,1,MATCH(COLUMNS($AC$1006:AK1006),$AC$1006:$AS$1006,0)))),"Fix")))</f>
        <v>0</v>
      </c>
      <c r="K526" s="5">
        <f>IF(OR(INDEX($W$2:$W$1001,MATCH(ROWS($V$2:V526),$V$2:$V$1001,0),1)&gt;=100000,INDEX($AC$1005:$AS$1005,1,MATCH(COLUMNS($AC$1006:AL1006),$AC$1006:$AS$1006,0))&gt;=100000), " ",IF(INDEX($AC$2:$AS$1001,MATCH(ROWS($V$2:V526),$V$2:$V$1001,0),MATCH(COLUMNS($AC$1006:AL1006),$AC$1006:$AS$1006,0)), HYPERLINK("#",""), HYPERLINK(CONCATENATE("#Metadata!", ADDRESS(INDEX($X$2:$X$1001,MATCH(ROWS($V$2:V526),$V$2:$V$1001,0),0), INDEX($AC$1004:$AS$1004,1,MATCH(COLUMNS($AC$1006:AL1006),$AC$1006:$AS$1006,0)))),"Fix")))</f>
        <v>0</v>
      </c>
      <c r="L526" s="5">
        <f>IF(OR(INDEX($W$2:$W$1001,MATCH(ROWS($V$2:V526),$V$2:$V$1001,0),1)&gt;=100000,INDEX($AC$1005:$AS$1005,1,MATCH(COLUMNS($AC$1006:AM1006),$AC$1006:$AS$1006,0))&gt;=100000), " ",IF(INDEX($AC$2:$AS$1001,MATCH(ROWS($V$2:V526),$V$2:$V$1001,0),MATCH(COLUMNS($AC$1006:AM1006),$AC$1006:$AS$1006,0)), HYPERLINK("#",""), HYPERLINK(CONCATENATE("#Metadata!", ADDRESS(INDEX($X$2:$X$1001,MATCH(ROWS($V$2:V526),$V$2:$V$1001,0),0), INDEX($AC$1004:$AS$1004,1,MATCH(COLUMNS($AC$1006:AM1006),$AC$1006:$AS$1006,0)))),"Fix")))</f>
        <v>0</v>
      </c>
      <c r="M526" s="5">
        <f>IF(OR(INDEX($W$2:$W$1001,MATCH(ROWS($V$2:V526),$V$2:$V$1001,0),1)&gt;=100000,INDEX($AC$1005:$AS$1005,1,MATCH(COLUMNS($AC$1006:AN1006),$AC$1006:$AS$1006,0))&gt;=100000), " ",IF(INDEX($AC$2:$AS$1001,MATCH(ROWS($V$2:V526),$V$2:$V$1001,0),MATCH(COLUMNS($AC$1006:AN1006),$AC$1006:$AS$1006,0)), HYPERLINK("#",""), HYPERLINK(CONCATENATE("#Metadata!", ADDRESS(INDEX($X$2:$X$1001,MATCH(ROWS($V$2:V526),$V$2:$V$1001,0),0), INDEX($AC$1004:$AS$1004,1,MATCH(COLUMNS($AC$1006:AN1006),$AC$1006:$AS$1006,0)))),"Fix")))</f>
        <v>0</v>
      </c>
      <c r="N526" s="5">
        <f>IF(OR(INDEX($W$2:$W$1001,MATCH(ROWS($V$2:V526),$V$2:$V$1001,0),1)&gt;=100000,INDEX($AC$1005:$AS$1005,1,MATCH(COLUMNS($AC$1006:AO1006),$AC$1006:$AS$1006,0))&gt;=100000), " ",IF(INDEX($AC$2:$AS$1001,MATCH(ROWS($V$2:V526),$V$2:$V$1001,0),MATCH(COLUMNS($AC$1006:AO1006),$AC$1006:$AS$1006,0)), HYPERLINK("#",""), HYPERLINK(CONCATENATE("#Metadata!", ADDRESS(INDEX($X$2:$X$1001,MATCH(ROWS($V$2:V526),$V$2:$V$1001,0),0), INDEX($AC$1004:$AS$1004,1,MATCH(COLUMNS($AC$1006:AO1006),$AC$1006:$AS$1006,0)))),"Fix")))</f>
        <v>0</v>
      </c>
      <c r="O526" s="5">
        <f>IF(OR(INDEX($W$2:$W$1001,MATCH(ROWS($V$2:V526),$V$2:$V$1001,0),1)&gt;=100000,INDEX($AC$1005:$AS$1005,1,MATCH(COLUMNS($AC$1006:AP1006),$AC$1006:$AS$1006,0))&gt;=100000), " ",IF(INDEX($AC$2:$AS$1001,MATCH(ROWS($V$2:V526),$V$2:$V$1001,0),MATCH(COLUMNS($AC$1006:AP1006),$AC$1006:$AS$1006,0)), HYPERLINK("#",""), HYPERLINK(CONCATENATE("#Metadata!", ADDRESS(INDEX($X$2:$X$1001,MATCH(ROWS($V$2:V526),$V$2:$V$1001,0),0), INDEX($AC$1004:$AS$1004,1,MATCH(COLUMNS($AC$1006:AP1006),$AC$1006:$AS$1006,0)))),"Fix")))</f>
        <v>0</v>
      </c>
      <c r="P526" s="5">
        <f>IF(OR(INDEX($W$2:$W$1001,MATCH(ROWS($V$2:V526),$V$2:$V$1001,0),1)&gt;=100000,INDEX($AC$1005:$AS$1005,1,MATCH(COLUMNS($AC$1006:AQ1006),$AC$1006:$AS$1006,0))&gt;=100000), " ",IF(INDEX($AC$2:$AS$1001,MATCH(ROWS($V$2:V526),$V$2:$V$1001,0),MATCH(COLUMNS($AC$1006:AQ1006),$AC$1006:$AS$1006,0)), HYPERLINK("#",""), HYPERLINK(CONCATENATE("#Metadata!", ADDRESS(INDEX($X$2:$X$1001,MATCH(ROWS($V$2:V526),$V$2:$V$1001,0),0), INDEX($AC$1004:$AS$1004,1,MATCH(COLUMNS($AC$1006:AQ1006),$AC$1006:$AS$1006,0)))),"Fix")))</f>
        <v>0</v>
      </c>
      <c r="Q526" s="5">
        <f>IF(OR(INDEX($W$2:$W$1001,MATCH(ROWS($V$2:V526),$V$2:$V$1001,0),1)&gt;=100000,INDEX($AC$1005:$AS$1005,1,MATCH(COLUMNS($AC$1006:AR1006),$AC$1006:$AS$1006,0))&gt;=100000), " ",IF(INDEX($AC$2:$AS$1001,MATCH(ROWS($V$2:V526),$V$2:$V$1001,0),MATCH(COLUMNS($AC$1006:AR1006),$AC$1006:$AS$1006,0)), HYPERLINK("#",""), HYPERLINK(CONCATENATE("#Metadata!", ADDRESS(INDEX($X$2:$X$1001,MATCH(ROWS($V$2:V526),$V$2:$V$1001,0),0), INDEX($AC$1004:$AS$1004,1,MATCH(COLUMNS($AC$1006:AR1006),$AC$1006:$AS$1006,0)))),"Fix")))</f>
        <v>0</v>
      </c>
      <c r="R526" s="5">
        <f>IF(OR(INDEX($W$2:$W$1001,MATCH(ROWS($V$2:V526),$V$2:$V$1001,0),1)&gt;=100000,INDEX($AC$1005:$AS$1005,1,MATCH(COLUMNS($AC$1006:AS1006),$AC$1006:$AS$1006,0))&gt;=100000), " ",IF(INDEX($AC$2:$AS$1001,MATCH(ROWS($V$2:V526),$V$2:$V$1001,0),MATCH(COLUMNS($AC$1006:AS1006),$AC$1006:$AS$1006,0)), HYPERLINK("#",""), HYPERLINK(CONCATENATE("#Metadata!", ADDRESS(INDEX($X$2:$X$1001,MATCH(ROWS($V$2:V526),$V$2:$V$1001,0),0), INDEX($AC$1004:$AS$1004,1,MATCH(COLUMNS($AC$1006:AS1006),$AC$1006:$AS$1006,0)))),"Fix")))</f>
        <v>0</v>
      </c>
      <c r="V526">
        <v>0</v>
      </c>
      <c r="W526">
        <v>0</v>
      </c>
      <c r="X526">
        <v>0</v>
      </c>
      <c r="Y526">
        <f>IF(Z526,TRUE,AND(AC526:AS526))</f>
        <v>0</v>
      </c>
      <c r="Z526">
        <f>COUNTBLANK(Metadata!B526:R526)=COLUMNS(Metadata!B526:R526)</f>
        <v>0</v>
      </c>
      <c r="AA526">
        <v>0</v>
      </c>
      <c r="AC526">
        <f>AND(IF(Metadata!B526="",FALSE,TRUE),COUNTIF(Metadata!B:B, Metadata!B526) = 1,NOT(ISERROR(SUMPRODUCT(SEARCH(MID(Metadata!B526,ROW(INDIRECT("1:"&amp;LEN(Metadata!B526))), 1),"0123456789abcdefghijklmnopqrstuvwxyzABCDEFGHIJKLMNOPQRSTUVWXYZ.")))))</f>
        <v>0</v>
      </c>
      <c r="AD526">
        <f>AND(IF(Metadata!C526="",FALSE,TRUE),exact(Metadata!C526,"Host-associated"))</f>
        <v>0</v>
      </c>
      <c r="AE526">
        <f>AND(IF(Metadata!D526="",FALSE,TRUE),OR(exact(Metadata!D526,"Animal"),exact(Metadata!D526,"Fungus"),exact(Metadata!D526,"Plant")))</f>
        <v>0</v>
      </c>
      <c r="AF526">
        <f>AND(IF(Metadata!E526="",FALSE,TRUE),OR(exact(Metadata!E526,"Plant secretion"),exact(Metadata!E526,"Plant rhizosphere"),exact(Metadata!E526,"Plant surface"),exact(Metadata!E526,"Plant corpus"),exact(Metadata!E526,"Fungus surface"),exact(Metadata!E526,"Fungus corpus"),exact(Metadata!E526,"Animal surface"),exact(Metadata!E526,"Animal proximal gut"),exact(Metadata!E526,"Animal corpus"),exact(Metadata!E526,"Animal distal gut"),exact(Metadata!E526,"Animal secretion")))</f>
        <v>0</v>
      </c>
      <c r="AG526">
        <f>OR(AND(IF(Metadata!F526="",FALSE,TRUE),OR(exact(Metadata!F526,"not collected"),exact(Metadata!F526,"not provided"),exact(Metadata!F526,"restricted access"))),AND(IF(Metadata!F526="",FALSE,TRUE),OR(exact(Metadata!F526,"organism-associated habitat"),exact(Metadata!F526,"plant-associated habitat"),exact(Metadata!F526,"animal-associated habitat"),exact(Metadata!F526,"insecta-associated habitat"),exact(Metadata!F526,"mammalia-associated habitat"),exact(Metadata!F526,"human-associated habitat"),exact(Metadata!F526,"livestock-associated habitat"))))</f>
        <v>0</v>
      </c>
      <c r="AH526">
        <f>AND(IF(Metadata!G526="",FALSE,TRUE),exact(Metadata!G526,"host-associated"))</f>
        <v>0</v>
      </c>
      <c r="AI526">
        <f>OR(AND(IF(Metadata!H526="",FALSE,TRUE),OR(exact(Metadata!H526,"not collected"),exact(Metadata!H526,"not provided"))),AND(IF(Metadata!H526="",FALSE,ISNUMBER(VALUE(Metadata!H526))),Metadata!H526&gt;0))</f>
        <v>0</v>
      </c>
      <c r="AJ526">
        <f>AND(IF(Metadata!I526="",FALSE,TRUE),exact(Metadata!I526,"years"))</f>
        <v>0</v>
      </c>
      <c r="AK526">
        <f>IF(Metadata!J526="",FALSE,TRUE)</f>
        <v>0</v>
      </c>
      <c r="AL526">
        <f>OR(AND(IF(Metadata!K526="",FALSE,TRUE),OR(exact(Metadata!K526,"not collected"),exact(Metadata!K526,"not provided"))),AND(IF(Metadata!K526="",FALSE,ISNUMBER(VALUE(Metadata!K526))),Metadata!K526&gt;0))</f>
        <v>0</v>
      </c>
      <c r="AM526">
        <f>AND(IF(Metadata!L526="",FALSE,TRUE),exact(Metadata!L526,"cm"))</f>
        <v>0</v>
      </c>
      <c r="AN526">
        <f>IF(Metadata!M526="",FALSE,TRUE)</f>
        <v>0</v>
      </c>
      <c r="AO526">
        <f>OR(AND(IF(Metadata!N526="",FALSE,TRUE),OR(exact(Metadata!N526,"not applicable"),exact(Metadata!N526,"not collected"),exact(Metadata!N526,"not provided"))),AND(IF(Metadata!N526="",FALSE,IF(ISERROR(INT(Metadata!N526)),FALSE,INT(Metadata!N526)=Metadata!N526)),Metadata!N526&gt;0))</f>
        <v>0</v>
      </c>
      <c r="AP526">
        <f>OR(AND(IF(Metadata!O526="",FALSE,TRUE),OR(exact(Metadata!O526,"not collected"),exact(Metadata!O526,"not provided"))),AND(IF(Metadata!O526="",FALSE,ISNUMBER(VALUE(Metadata!O526))),Metadata!O526&gt;0))</f>
        <v>0</v>
      </c>
      <c r="AQ526">
        <f>AND(IF(Metadata!P526="",FALSE,TRUE),exact(Metadata!P526,"kg"))</f>
        <v>0</v>
      </c>
      <c r="AR526">
        <f>OR(AND(IF(Metadata!Q526="",FALSE,TRUE),OR(exact(Metadata!Q526,"not applicable"),exact(Metadata!Q526,"not collected"),exact(Metadata!Q526,"not provided"),exact(Metadata!Q526,"restricted access"))),IF(Metadata!Q526="",FALSE,IF(ISERROR(INT(Metadata!Q526)),FALSE,INT(Metadata!Q526)=Metadata!Q526)))</f>
        <v>0</v>
      </c>
      <c r="AS526">
        <f>AND(IF(Metadata!R526="",FALSE,TRUE),exact(Metadata!R526,"Not applicable"))</f>
        <v>0</v>
      </c>
    </row>
    <row r="527" spans="1:45">
      <c r="A527" s="4">
        <f>IF(B527=" "," ",HYPERLINK(CONCATENATE("#metadata!",ADDRESS(INDEX($X$2:$X$1001,MATCH(ROWS($V$2:V527),$V$2:$V$1001,0),0),2)),INDEX($AA$2:$AA$1001,MATCH(ROWS($V$2:V527),$V$2:$V$1001,0),0)))</f>
        <v>0</v>
      </c>
      <c r="B527" s="5">
        <f>IF(OR(INDEX($W$2:$W$1001,MATCH(ROWS($V$2:V527),$V$2:$V$1001,0),1)&gt;=100000,INDEX($AC$1005:$AS$1005,1,MATCH(COLUMNS($AC$1006:AC1006),$AC$1006:$AS$1006,0))&gt;=100000), " ",IF(INDEX($AC$2:$AS$1001,MATCH(ROWS($V$2:V527),$V$2:$V$1001,0),MATCH(COLUMNS($AC$1006:AC1006),$AC$1006:$AS$1006,0)), HYPERLINK("#",""), HYPERLINK(CONCATENATE("#Metadata!", ADDRESS(INDEX($X$2:$X$1001,MATCH(ROWS($V$2:V527),$V$2:$V$1001,0),0), INDEX($AC$1004:$AS$1004,1,MATCH(COLUMNS($AC$1006:AC1006),$AC$1006:$AS$1006,0)))),"Fix")))</f>
        <v>0</v>
      </c>
      <c r="C527" s="5">
        <f>IF(OR(INDEX($W$2:$W$1001,MATCH(ROWS($V$2:V527),$V$2:$V$1001,0),1)&gt;=100000,INDEX($AC$1005:$AS$1005,1,MATCH(COLUMNS($AC$1006:AD1006),$AC$1006:$AS$1006,0))&gt;=100000), " ",IF(INDEX($AC$2:$AS$1001,MATCH(ROWS($V$2:V527),$V$2:$V$1001,0),MATCH(COLUMNS($AC$1006:AD1006),$AC$1006:$AS$1006,0)), HYPERLINK("#",""), HYPERLINK(CONCATENATE("#Metadata!", ADDRESS(INDEX($X$2:$X$1001,MATCH(ROWS($V$2:V527),$V$2:$V$1001,0),0), INDEX($AC$1004:$AS$1004,1,MATCH(COLUMNS($AC$1006:AD1006),$AC$1006:$AS$1006,0)))),"Fix")))</f>
        <v>0</v>
      </c>
      <c r="D527" s="5">
        <f>IF(OR(INDEX($W$2:$W$1001,MATCH(ROWS($V$2:V527),$V$2:$V$1001,0),1)&gt;=100000,INDEX($AC$1005:$AS$1005,1,MATCH(COLUMNS($AC$1006:AE1006),$AC$1006:$AS$1006,0))&gt;=100000), " ",IF(INDEX($AC$2:$AS$1001,MATCH(ROWS($V$2:V527),$V$2:$V$1001,0),MATCH(COLUMNS($AC$1006:AE1006),$AC$1006:$AS$1006,0)), HYPERLINK("#",""), HYPERLINK(CONCATENATE("#Metadata!", ADDRESS(INDEX($X$2:$X$1001,MATCH(ROWS($V$2:V527),$V$2:$V$1001,0),0), INDEX($AC$1004:$AS$1004,1,MATCH(COLUMNS($AC$1006:AE1006),$AC$1006:$AS$1006,0)))),"Fix")))</f>
        <v>0</v>
      </c>
      <c r="E527" s="5">
        <f>IF(OR(INDEX($W$2:$W$1001,MATCH(ROWS($V$2:V527),$V$2:$V$1001,0),1)&gt;=100000,INDEX($AC$1005:$AS$1005,1,MATCH(COLUMNS($AC$1006:AF1006),$AC$1006:$AS$1006,0))&gt;=100000), " ",IF(INDEX($AC$2:$AS$1001,MATCH(ROWS($V$2:V527),$V$2:$V$1001,0),MATCH(COLUMNS($AC$1006:AF1006),$AC$1006:$AS$1006,0)), HYPERLINK("#",""), HYPERLINK(CONCATENATE("#Metadata!", ADDRESS(INDEX($X$2:$X$1001,MATCH(ROWS($V$2:V527),$V$2:$V$1001,0),0), INDEX($AC$1004:$AS$1004,1,MATCH(COLUMNS($AC$1006:AF1006),$AC$1006:$AS$1006,0)))),"Fix")))</f>
        <v>0</v>
      </c>
      <c r="F527" s="5">
        <f>IF(OR(INDEX($W$2:$W$1001,MATCH(ROWS($V$2:V527),$V$2:$V$1001,0),1)&gt;=100000,INDEX($AC$1005:$AS$1005,1,MATCH(COLUMNS($AC$1006:AG1006),$AC$1006:$AS$1006,0))&gt;=100000), " ",IF(INDEX($AC$2:$AS$1001,MATCH(ROWS($V$2:V527),$V$2:$V$1001,0),MATCH(COLUMNS($AC$1006:AG1006),$AC$1006:$AS$1006,0)), HYPERLINK("#",""), HYPERLINK(CONCATENATE("#Metadata!", ADDRESS(INDEX($X$2:$X$1001,MATCH(ROWS($V$2:V527),$V$2:$V$1001,0),0), INDEX($AC$1004:$AS$1004,1,MATCH(COLUMNS($AC$1006:AG1006),$AC$1006:$AS$1006,0)))),"Fix")))</f>
        <v>0</v>
      </c>
      <c r="G527" s="5">
        <f>IF(OR(INDEX($W$2:$W$1001,MATCH(ROWS($V$2:V527),$V$2:$V$1001,0),1)&gt;=100000,INDEX($AC$1005:$AS$1005,1,MATCH(COLUMNS($AC$1006:AH1006),$AC$1006:$AS$1006,0))&gt;=100000), " ",IF(INDEX($AC$2:$AS$1001,MATCH(ROWS($V$2:V527),$V$2:$V$1001,0),MATCH(COLUMNS($AC$1006:AH1006),$AC$1006:$AS$1006,0)), HYPERLINK("#",""), HYPERLINK(CONCATENATE("#Metadata!", ADDRESS(INDEX($X$2:$X$1001,MATCH(ROWS($V$2:V527),$V$2:$V$1001,0),0), INDEX($AC$1004:$AS$1004,1,MATCH(COLUMNS($AC$1006:AH1006),$AC$1006:$AS$1006,0)))),"Fix")))</f>
        <v>0</v>
      </c>
      <c r="H527" s="5">
        <f>IF(OR(INDEX($W$2:$W$1001,MATCH(ROWS($V$2:V527),$V$2:$V$1001,0),1)&gt;=100000,INDEX($AC$1005:$AS$1005,1,MATCH(COLUMNS($AC$1006:AI1006),$AC$1006:$AS$1006,0))&gt;=100000), " ",IF(INDEX($AC$2:$AS$1001,MATCH(ROWS($V$2:V527),$V$2:$V$1001,0),MATCH(COLUMNS($AC$1006:AI1006),$AC$1006:$AS$1006,0)), HYPERLINK("#",""), HYPERLINK(CONCATENATE("#Metadata!", ADDRESS(INDEX($X$2:$X$1001,MATCH(ROWS($V$2:V527),$V$2:$V$1001,0),0), INDEX($AC$1004:$AS$1004,1,MATCH(COLUMNS($AC$1006:AI1006),$AC$1006:$AS$1006,0)))),"Fix")))</f>
        <v>0</v>
      </c>
      <c r="I527" s="5">
        <f>IF(OR(INDEX($W$2:$W$1001,MATCH(ROWS($V$2:V527),$V$2:$V$1001,0),1)&gt;=100000,INDEX($AC$1005:$AS$1005,1,MATCH(COLUMNS($AC$1006:AJ1006),$AC$1006:$AS$1006,0))&gt;=100000), " ",IF(INDEX($AC$2:$AS$1001,MATCH(ROWS($V$2:V527),$V$2:$V$1001,0),MATCH(COLUMNS($AC$1006:AJ1006),$AC$1006:$AS$1006,0)), HYPERLINK("#",""), HYPERLINK(CONCATENATE("#Metadata!", ADDRESS(INDEX($X$2:$X$1001,MATCH(ROWS($V$2:V527),$V$2:$V$1001,0),0), INDEX($AC$1004:$AS$1004,1,MATCH(COLUMNS($AC$1006:AJ1006),$AC$1006:$AS$1006,0)))),"Fix")))</f>
        <v>0</v>
      </c>
      <c r="J527" s="5">
        <f>IF(OR(INDEX($W$2:$W$1001,MATCH(ROWS($V$2:V527),$V$2:$V$1001,0),1)&gt;=100000,INDEX($AC$1005:$AS$1005,1,MATCH(COLUMNS($AC$1006:AK1006),$AC$1006:$AS$1006,0))&gt;=100000), " ",IF(INDEX($AC$2:$AS$1001,MATCH(ROWS($V$2:V527),$V$2:$V$1001,0),MATCH(COLUMNS($AC$1006:AK1006),$AC$1006:$AS$1006,0)), HYPERLINK("#",""), HYPERLINK(CONCATENATE("#Metadata!", ADDRESS(INDEX($X$2:$X$1001,MATCH(ROWS($V$2:V527),$V$2:$V$1001,0),0), INDEX($AC$1004:$AS$1004,1,MATCH(COLUMNS($AC$1006:AK1006),$AC$1006:$AS$1006,0)))),"Fix")))</f>
        <v>0</v>
      </c>
      <c r="K527" s="5">
        <f>IF(OR(INDEX($W$2:$W$1001,MATCH(ROWS($V$2:V527),$V$2:$V$1001,0),1)&gt;=100000,INDEX($AC$1005:$AS$1005,1,MATCH(COLUMNS($AC$1006:AL1006),$AC$1006:$AS$1006,0))&gt;=100000), " ",IF(INDEX($AC$2:$AS$1001,MATCH(ROWS($V$2:V527),$V$2:$V$1001,0),MATCH(COLUMNS($AC$1006:AL1006),$AC$1006:$AS$1006,0)), HYPERLINK("#",""), HYPERLINK(CONCATENATE("#Metadata!", ADDRESS(INDEX($X$2:$X$1001,MATCH(ROWS($V$2:V527),$V$2:$V$1001,0),0), INDEX($AC$1004:$AS$1004,1,MATCH(COLUMNS($AC$1006:AL1006),$AC$1006:$AS$1006,0)))),"Fix")))</f>
        <v>0</v>
      </c>
      <c r="L527" s="5">
        <f>IF(OR(INDEX($W$2:$W$1001,MATCH(ROWS($V$2:V527),$V$2:$V$1001,0),1)&gt;=100000,INDEX($AC$1005:$AS$1005,1,MATCH(COLUMNS($AC$1006:AM1006),$AC$1006:$AS$1006,0))&gt;=100000), " ",IF(INDEX($AC$2:$AS$1001,MATCH(ROWS($V$2:V527),$V$2:$V$1001,0),MATCH(COLUMNS($AC$1006:AM1006),$AC$1006:$AS$1006,0)), HYPERLINK("#",""), HYPERLINK(CONCATENATE("#Metadata!", ADDRESS(INDEX($X$2:$X$1001,MATCH(ROWS($V$2:V527),$V$2:$V$1001,0),0), INDEX($AC$1004:$AS$1004,1,MATCH(COLUMNS($AC$1006:AM1006),$AC$1006:$AS$1006,0)))),"Fix")))</f>
        <v>0</v>
      </c>
      <c r="M527" s="5">
        <f>IF(OR(INDEX($W$2:$W$1001,MATCH(ROWS($V$2:V527),$V$2:$V$1001,0),1)&gt;=100000,INDEX($AC$1005:$AS$1005,1,MATCH(COLUMNS($AC$1006:AN1006),$AC$1006:$AS$1006,0))&gt;=100000), " ",IF(INDEX($AC$2:$AS$1001,MATCH(ROWS($V$2:V527),$V$2:$V$1001,0),MATCH(COLUMNS($AC$1006:AN1006),$AC$1006:$AS$1006,0)), HYPERLINK("#",""), HYPERLINK(CONCATENATE("#Metadata!", ADDRESS(INDEX($X$2:$X$1001,MATCH(ROWS($V$2:V527),$V$2:$V$1001,0),0), INDEX($AC$1004:$AS$1004,1,MATCH(COLUMNS($AC$1006:AN1006),$AC$1006:$AS$1006,0)))),"Fix")))</f>
        <v>0</v>
      </c>
      <c r="N527" s="5">
        <f>IF(OR(INDEX($W$2:$W$1001,MATCH(ROWS($V$2:V527),$V$2:$V$1001,0),1)&gt;=100000,INDEX($AC$1005:$AS$1005,1,MATCH(COLUMNS($AC$1006:AO1006),$AC$1006:$AS$1006,0))&gt;=100000), " ",IF(INDEX($AC$2:$AS$1001,MATCH(ROWS($V$2:V527),$V$2:$V$1001,0),MATCH(COLUMNS($AC$1006:AO1006),$AC$1006:$AS$1006,0)), HYPERLINK("#",""), HYPERLINK(CONCATENATE("#Metadata!", ADDRESS(INDEX($X$2:$X$1001,MATCH(ROWS($V$2:V527),$V$2:$V$1001,0),0), INDEX($AC$1004:$AS$1004,1,MATCH(COLUMNS($AC$1006:AO1006),$AC$1006:$AS$1006,0)))),"Fix")))</f>
        <v>0</v>
      </c>
      <c r="O527" s="5">
        <f>IF(OR(INDEX($W$2:$W$1001,MATCH(ROWS($V$2:V527),$V$2:$V$1001,0),1)&gt;=100000,INDEX($AC$1005:$AS$1005,1,MATCH(COLUMNS($AC$1006:AP1006),$AC$1006:$AS$1006,0))&gt;=100000), " ",IF(INDEX($AC$2:$AS$1001,MATCH(ROWS($V$2:V527),$V$2:$V$1001,0),MATCH(COLUMNS($AC$1006:AP1006),$AC$1006:$AS$1006,0)), HYPERLINK("#",""), HYPERLINK(CONCATENATE("#Metadata!", ADDRESS(INDEX($X$2:$X$1001,MATCH(ROWS($V$2:V527),$V$2:$V$1001,0),0), INDEX($AC$1004:$AS$1004,1,MATCH(COLUMNS($AC$1006:AP1006),$AC$1006:$AS$1006,0)))),"Fix")))</f>
        <v>0</v>
      </c>
      <c r="P527" s="5">
        <f>IF(OR(INDEX($W$2:$W$1001,MATCH(ROWS($V$2:V527),$V$2:$V$1001,0),1)&gt;=100000,INDEX($AC$1005:$AS$1005,1,MATCH(COLUMNS($AC$1006:AQ1006),$AC$1006:$AS$1006,0))&gt;=100000), " ",IF(INDEX($AC$2:$AS$1001,MATCH(ROWS($V$2:V527),$V$2:$V$1001,0),MATCH(COLUMNS($AC$1006:AQ1006),$AC$1006:$AS$1006,0)), HYPERLINK("#",""), HYPERLINK(CONCATENATE("#Metadata!", ADDRESS(INDEX($X$2:$X$1001,MATCH(ROWS($V$2:V527),$V$2:$V$1001,0),0), INDEX($AC$1004:$AS$1004,1,MATCH(COLUMNS($AC$1006:AQ1006),$AC$1006:$AS$1006,0)))),"Fix")))</f>
        <v>0</v>
      </c>
      <c r="Q527" s="5">
        <f>IF(OR(INDEX($W$2:$W$1001,MATCH(ROWS($V$2:V527),$V$2:$V$1001,0),1)&gt;=100000,INDEX($AC$1005:$AS$1005,1,MATCH(COLUMNS($AC$1006:AR1006),$AC$1006:$AS$1006,0))&gt;=100000), " ",IF(INDEX($AC$2:$AS$1001,MATCH(ROWS($V$2:V527),$V$2:$V$1001,0),MATCH(COLUMNS($AC$1006:AR1006),$AC$1006:$AS$1006,0)), HYPERLINK("#",""), HYPERLINK(CONCATENATE("#Metadata!", ADDRESS(INDEX($X$2:$X$1001,MATCH(ROWS($V$2:V527),$V$2:$V$1001,0),0), INDEX($AC$1004:$AS$1004,1,MATCH(COLUMNS($AC$1006:AR1006),$AC$1006:$AS$1006,0)))),"Fix")))</f>
        <v>0</v>
      </c>
      <c r="R527" s="5">
        <f>IF(OR(INDEX($W$2:$W$1001,MATCH(ROWS($V$2:V527),$V$2:$V$1001,0),1)&gt;=100000,INDEX($AC$1005:$AS$1005,1,MATCH(COLUMNS($AC$1006:AS1006),$AC$1006:$AS$1006,0))&gt;=100000), " ",IF(INDEX($AC$2:$AS$1001,MATCH(ROWS($V$2:V527),$V$2:$V$1001,0),MATCH(COLUMNS($AC$1006:AS1006),$AC$1006:$AS$1006,0)), HYPERLINK("#",""), HYPERLINK(CONCATENATE("#Metadata!", ADDRESS(INDEX($X$2:$X$1001,MATCH(ROWS($V$2:V527),$V$2:$V$1001,0),0), INDEX($AC$1004:$AS$1004,1,MATCH(COLUMNS($AC$1006:AS1006),$AC$1006:$AS$1006,0)))),"Fix")))</f>
        <v>0</v>
      </c>
      <c r="V527">
        <v>0</v>
      </c>
      <c r="W527">
        <v>0</v>
      </c>
      <c r="X527">
        <v>0</v>
      </c>
      <c r="Y527">
        <f>IF(Z527,TRUE,AND(AC527:AS527))</f>
        <v>0</v>
      </c>
      <c r="Z527">
        <f>COUNTBLANK(Metadata!B527:R527)=COLUMNS(Metadata!B527:R527)</f>
        <v>0</v>
      </c>
      <c r="AA527">
        <v>0</v>
      </c>
      <c r="AC527">
        <f>AND(IF(Metadata!B527="",FALSE,TRUE),COUNTIF(Metadata!B:B, Metadata!B527) = 1,NOT(ISERROR(SUMPRODUCT(SEARCH(MID(Metadata!B527,ROW(INDIRECT("1:"&amp;LEN(Metadata!B527))), 1),"0123456789abcdefghijklmnopqrstuvwxyzABCDEFGHIJKLMNOPQRSTUVWXYZ.")))))</f>
        <v>0</v>
      </c>
      <c r="AD527">
        <f>AND(IF(Metadata!C527="",FALSE,TRUE),exact(Metadata!C527,"Host-associated"))</f>
        <v>0</v>
      </c>
      <c r="AE527">
        <f>AND(IF(Metadata!D527="",FALSE,TRUE),OR(exact(Metadata!D527,"Animal"),exact(Metadata!D527,"Fungus"),exact(Metadata!D527,"Plant")))</f>
        <v>0</v>
      </c>
      <c r="AF527">
        <f>AND(IF(Metadata!E527="",FALSE,TRUE),OR(exact(Metadata!E527,"Plant secretion"),exact(Metadata!E527,"Plant rhizosphere"),exact(Metadata!E527,"Plant surface"),exact(Metadata!E527,"Plant corpus"),exact(Metadata!E527,"Fungus surface"),exact(Metadata!E527,"Fungus corpus"),exact(Metadata!E527,"Animal surface"),exact(Metadata!E527,"Animal proximal gut"),exact(Metadata!E527,"Animal corpus"),exact(Metadata!E527,"Animal distal gut"),exact(Metadata!E527,"Animal secretion")))</f>
        <v>0</v>
      </c>
      <c r="AG527">
        <f>OR(AND(IF(Metadata!F527="",FALSE,TRUE),OR(exact(Metadata!F527,"not collected"),exact(Metadata!F527,"not provided"),exact(Metadata!F527,"restricted access"))),AND(IF(Metadata!F527="",FALSE,TRUE),OR(exact(Metadata!F527,"organism-associated habitat"),exact(Metadata!F527,"plant-associated habitat"),exact(Metadata!F527,"animal-associated habitat"),exact(Metadata!F527,"insecta-associated habitat"),exact(Metadata!F527,"mammalia-associated habitat"),exact(Metadata!F527,"human-associated habitat"),exact(Metadata!F527,"livestock-associated habitat"))))</f>
        <v>0</v>
      </c>
      <c r="AH527">
        <f>AND(IF(Metadata!G527="",FALSE,TRUE),exact(Metadata!G527,"host-associated"))</f>
        <v>0</v>
      </c>
      <c r="AI527">
        <f>OR(AND(IF(Metadata!H527="",FALSE,TRUE),OR(exact(Metadata!H527,"not collected"),exact(Metadata!H527,"not provided"))),AND(IF(Metadata!H527="",FALSE,ISNUMBER(VALUE(Metadata!H527))),Metadata!H527&gt;0))</f>
        <v>0</v>
      </c>
      <c r="AJ527">
        <f>AND(IF(Metadata!I527="",FALSE,TRUE),exact(Metadata!I527,"years"))</f>
        <v>0</v>
      </c>
      <c r="AK527">
        <f>IF(Metadata!J527="",FALSE,TRUE)</f>
        <v>0</v>
      </c>
      <c r="AL527">
        <f>OR(AND(IF(Metadata!K527="",FALSE,TRUE),OR(exact(Metadata!K527,"not collected"),exact(Metadata!K527,"not provided"))),AND(IF(Metadata!K527="",FALSE,ISNUMBER(VALUE(Metadata!K527))),Metadata!K527&gt;0))</f>
        <v>0</v>
      </c>
      <c r="AM527">
        <f>AND(IF(Metadata!L527="",FALSE,TRUE),exact(Metadata!L527,"cm"))</f>
        <v>0</v>
      </c>
      <c r="AN527">
        <f>IF(Metadata!M527="",FALSE,TRUE)</f>
        <v>0</v>
      </c>
      <c r="AO527">
        <f>OR(AND(IF(Metadata!N527="",FALSE,TRUE),OR(exact(Metadata!N527,"not applicable"),exact(Metadata!N527,"not collected"),exact(Metadata!N527,"not provided"))),AND(IF(Metadata!N527="",FALSE,IF(ISERROR(INT(Metadata!N527)),FALSE,INT(Metadata!N527)=Metadata!N527)),Metadata!N527&gt;0))</f>
        <v>0</v>
      </c>
      <c r="AP527">
        <f>OR(AND(IF(Metadata!O527="",FALSE,TRUE),OR(exact(Metadata!O527,"not collected"),exact(Metadata!O527,"not provided"))),AND(IF(Metadata!O527="",FALSE,ISNUMBER(VALUE(Metadata!O527))),Metadata!O527&gt;0))</f>
        <v>0</v>
      </c>
      <c r="AQ527">
        <f>AND(IF(Metadata!P527="",FALSE,TRUE),exact(Metadata!P527,"kg"))</f>
        <v>0</v>
      </c>
      <c r="AR527">
        <f>OR(AND(IF(Metadata!Q527="",FALSE,TRUE),OR(exact(Metadata!Q527,"not applicable"),exact(Metadata!Q527,"not collected"),exact(Metadata!Q527,"not provided"),exact(Metadata!Q527,"restricted access"))),IF(Metadata!Q527="",FALSE,IF(ISERROR(INT(Metadata!Q527)),FALSE,INT(Metadata!Q527)=Metadata!Q527)))</f>
        <v>0</v>
      </c>
      <c r="AS527">
        <f>AND(IF(Metadata!R527="",FALSE,TRUE),exact(Metadata!R527,"Not applicable"))</f>
        <v>0</v>
      </c>
    </row>
    <row r="528" spans="1:45">
      <c r="A528" s="4">
        <f>IF(B528=" "," ",HYPERLINK(CONCATENATE("#metadata!",ADDRESS(INDEX($X$2:$X$1001,MATCH(ROWS($V$2:V528),$V$2:$V$1001,0),0),2)),INDEX($AA$2:$AA$1001,MATCH(ROWS($V$2:V528),$V$2:$V$1001,0),0)))</f>
        <v>0</v>
      </c>
      <c r="B528" s="5">
        <f>IF(OR(INDEX($W$2:$W$1001,MATCH(ROWS($V$2:V528),$V$2:$V$1001,0),1)&gt;=100000,INDEX($AC$1005:$AS$1005,1,MATCH(COLUMNS($AC$1006:AC1006),$AC$1006:$AS$1006,0))&gt;=100000), " ",IF(INDEX($AC$2:$AS$1001,MATCH(ROWS($V$2:V528),$V$2:$V$1001,0),MATCH(COLUMNS($AC$1006:AC1006),$AC$1006:$AS$1006,0)), HYPERLINK("#",""), HYPERLINK(CONCATENATE("#Metadata!", ADDRESS(INDEX($X$2:$X$1001,MATCH(ROWS($V$2:V528),$V$2:$V$1001,0),0), INDEX($AC$1004:$AS$1004,1,MATCH(COLUMNS($AC$1006:AC1006),$AC$1006:$AS$1006,0)))),"Fix")))</f>
        <v>0</v>
      </c>
      <c r="C528" s="5">
        <f>IF(OR(INDEX($W$2:$W$1001,MATCH(ROWS($V$2:V528),$V$2:$V$1001,0),1)&gt;=100000,INDEX($AC$1005:$AS$1005,1,MATCH(COLUMNS($AC$1006:AD1006),$AC$1006:$AS$1006,0))&gt;=100000), " ",IF(INDEX($AC$2:$AS$1001,MATCH(ROWS($V$2:V528),$V$2:$V$1001,0),MATCH(COLUMNS($AC$1006:AD1006),$AC$1006:$AS$1006,0)), HYPERLINK("#",""), HYPERLINK(CONCATENATE("#Metadata!", ADDRESS(INDEX($X$2:$X$1001,MATCH(ROWS($V$2:V528),$V$2:$V$1001,0),0), INDEX($AC$1004:$AS$1004,1,MATCH(COLUMNS($AC$1006:AD1006),$AC$1006:$AS$1006,0)))),"Fix")))</f>
        <v>0</v>
      </c>
      <c r="D528" s="5">
        <f>IF(OR(INDEX($W$2:$W$1001,MATCH(ROWS($V$2:V528),$V$2:$V$1001,0),1)&gt;=100000,INDEX($AC$1005:$AS$1005,1,MATCH(COLUMNS($AC$1006:AE1006),$AC$1006:$AS$1006,0))&gt;=100000), " ",IF(INDEX($AC$2:$AS$1001,MATCH(ROWS($V$2:V528),$V$2:$V$1001,0),MATCH(COLUMNS($AC$1006:AE1006),$AC$1006:$AS$1006,0)), HYPERLINK("#",""), HYPERLINK(CONCATENATE("#Metadata!", ADDRESS(INDEX($X$2:$X$1001,MATCH(ROWS($V$2:V528),$V$2:$V$1001,0),0), INDEX($AC$1004:$AS$1004,1,MATCH(COLUMNS($AC$1006:AE1006),$AC$1006:$AS$1006,0)))),"Fix")))</f>
        <v>0</v>
      </c>
      <c r="E528" s="5">
        <f>IF(OR(INDEX($W$2:$W$1001,MATCH(ROWS($V$2:V528),$V$2:$V$1001,0),1)&gt;=100000,INDEX($AC$1005:$AS$1005,1,MATCH(COLUMNS($AC$1006:AF1006),$AC$1006:$AS$1006,0))&gt;=100000), " ",IF(INDEX($AC$2:$AS$1001,MATCH(ROWS($V$2:V528),$V$2:$V$1001,0),MATCH(COLUMNS($AC$1006:AF1006),$AC$1006:$AS$1006,0)), HYPERLINK("#",""), HYPERLINK(CONCATENATE("#Metadata!", ADDRESS(INDEX($X$2:$X$1001,MATCH(ROWS($V$2:V528),$V$2:$V$1001,0),0), INDEX($AC$1004:$AS$1004,1,MATCH(COLUMNS($AC$1006:AF1006),$AC$1006:$AS$1006,0)))),"Fix")))</f>
        <v>0</v>
      </c>
      <c r="F528" s="5">
        <f>IF(OR(INDEX($W$2:$W$1001,MATCH(ROWS($V$2:V528),$V$2:$V$1001,0),1)&gt;=100000,INDEX($AC$1005:$AS$1005,1,MATCH(COLUMNS($AC$1006:AG1006),$AC$1006:$AS$1006,0))&gt;=100000), " ",IF(INDEX($AC$2:$AS$1001,MATCH(ROWS($V$2:V528),$V$2:$V$1001,0),MATCH(COLUMNS($AC$1006:AG1006),$AC$1006:$AS$1006,0)), HYPERLINK("#",""), HYPERLINK(CONCATENATE("#Metadata!", ADDRESS(INDEX($X$2:$X$1001,MATCH(ROWS($V$2:V528),$V$2:$V$1001,0),0), INDEX($AC$1004:$AS$1004,1,MATCH(COLUMNS($AC$1006:AG1006),$AC$1006:$AS$1006,0)))),"Fix")))</f>
        <v>0</v>
      </c>
      <c r="G528" s="5">
        <f>IF(OR(INDEX($W$2:$W$1001,MATCH(ROWS($V$2:V528),$V$2:$V$1001,0),1)&gt;=100000,INDEX($AC$1005:$AS$1005,1,MATCH(COLUMNS($AC$1006:AH1006),$AC$1006:$AS$1006,0))&gt;=100000), " ",IF(INDEX($AC$2:$AS$1001,MATCH(ROWS($V$2:V528),$V$2:$V$1001,0),MATCH(COLUMNS($AC$1006:AH1006),$AC$1006:$AS$1006,0)), HYPERLINK("#",""), HYPERLINK(CONCATENATE("#Metadata!", ADDRESS(INDEX($X$2:$X$1001,MATCH(ROWS($V$2:V528),$V$2:$V$1001,0),0), INDEX($AC$1004:$AS$1004,1,MATCH(COLUMNS($AC$1006:AH1006),$AC$1006:$AS$1006,0)))),"Fix")))</f>
        <v>0</v>
      </c>
      <c r="H528" s="5">
        <f>IF(OR(INDEX($W$2:$W$1001,MATCH(ROWS($V$2:V528),$V$2:$V$1001,0),1)&gt;=100000,INDEX($AC$1005:$AS$1005,1,MATCH(COLUMNS($AC$1006:AI1006),$AC$1006:$AS$1006,0))&gt;=100000), " ",IF(INDEX($AC$2:$AS$1001,MATCH(ROWS($V$2:V528),$V$2:$V$1001,0),MATCH(COLUMNS($AC$1006:AI1006),$AC$1006:$AS$1006,0)), HYPERLINK("#",""), HYPERLINK(CONCATENATE("#Metadata!", ADDRESS(INDEX($X$2:$X$1001,MATCH(ROWS($V$2:V528),$V$2:$V$1001,0),0), INDEX($AC$1004:$AS$1004,1,MATCH(COLUMNS($AC$1006:AI1006),$AC$1006:$AS$1006,0)))),"Fix")))</f>
        <v>0</v>
      </c>
      <c r="I528" s="5">
        <f>IF(OR(INDEX($W$2:$W$1001,MATCH(ROWS($V$2:V528),$V$2:$V$1001,0),1)&gt;=100000,INDEX($AC$1005:$AS$1005,1,MATCH(COLUMNS($AC$1006:AJ1006),$AC$1006:$AS$1006,0))&gt;=100000), " ",IF(INDEX($AC$2:$AS$1001,MATCH(ROWS($V$2:V528),$V$2:$V$1001,0),MATCH(COLUMNS($AC$1006:AJ1006),$AC$1006:$AS$1006,0)), HYPERLINK("#",""), HYPERLINK(CONCATENATE("#Metadata!", ADDRESS(INDEX($X$2:$X$1001,MATCH(ROWS($V$2:V528),$V$2:$V$1001,0),0), INDEX($AC$1004:$AS$1004,1,MATCH(COLUMNS($AC$1006:AJ1006),$AC$1006:$AS$1006,0)))),"Fix")))</f>
        <v>0</v>
      </c>
      <c r="J528" s="5">
        <f>IF(OR(INDEX($W$2:$W$1001,MATCH(ROWS($V$2:V528),$V$2:$V$1001,0),1)&gt;=100000,INDEX($AC$1005:$AS$1005,1,MATCH(COLUMNS($AC$1006:AK1006),$AC$1006:$AS$1006,0))&gt;=100000), " ",IF(INDEX($AC$2:$AS$1001,MATCH(ROWS($V$2:V528),$V$2:$V$1001,0),MATCH(COLUMNS($AC$1006:AK1006),$AC$1006:$AS$1006,0)), HYPERLINK("#",""), HYPERLINK(CONCATENATE("#Metadata!", ADDRESS(INDEX($X$2:$X$1001,MATCH(ROWS($V$2:V528),$V$2:$V$1001,0),0), INDEX($AC$1004:$AS$1004,1,MATCH(COLUMNS($AC$1006:AK1006),$AC$1006:$AS$1006,0)))),"Fix")))</f>
        <v>0</v>
      </c>
      <c r="K528" s="5">
        <f>IF(OR(INDEX($W$2:$W$1001,MATCH(ROWS($V$2:V528),$V$2:$V$1001,0),1)&gt;=100000,INDEX($AC$1005:$AS$1005,1,MATCH(COLUMNS($AC$1006:AL1006),$AC$1006:$AS$1006,0))&gt;=100000), " ",IF(INDEX($AC$2:$AS$1001,MATCH(ROWS($V$2:V528),$V$2:$V$1001,0),MATCH(COLUMNS($AC$1006:AL1006),$AC$1006:$AS$1006,0)), HYPERLINK("#",""), HYPERLINK(CONCATENATE("#Metadata!", ADDRESS(INDEX($X$2:$X$1001,MATCH(ROWS($V$2:V528),$V$2:$V$1001,0),0), INDEX($AC$1004:$AS$1004,1,MATCH(COLUMNS($AC$1006:AL1006),$AC$1006:$AS$1006,0)))),"Fix")))</f>
        <v>0</v>
      </c>
      <c r="L528" s="5">
        <f>IF(OR(INDEX($W$2:$W$1001,MATCH(ROWS($V$2:V528),$V$2:$V$1001,0),1)&gt;=100000,INDEX($AC$1005:$AS$1005,1,MATCH(COLUMNS($AC$1006:AM1006),$AC$1006:$AS$1006,0))&gt;=100000), " ",IF(INDEX($AC$2:$AS$1001,MATCH(ROWS($V$2:V528),$V$2:$V$1001,0),MATCH(COLUMNS($AC$1006:AM1006),$AC$1006:$AS$1006,0)), HYPERLINK("#",""), HYPERLINK(CONCATENATE("#Metadata!", ADDRESS(INDEX($X$2:$X$1001,MATCH(ROWS($V$2:V528),$V$2:$V$1001,0),0), INDEX($AC$1004:$AS$1004,1,MATCH(COLUMNS($AC$1006:AM1006),$AC$1006:$AS$1006,0)))),"Fix")))</f>
        <v>0</v>
      </c>
      <c r="M528" s="5">
        <f>IF(OR(INDEX($W$2:$W$1001,MATCH(ROWS($V$2:V528),$V$2:$V$1001,0),1)&gt;=100000,INDEX($AC$1005:$AS$1005,1,MATCH(COLUMNS($AC$1006:AN1006),$AC$1006:$AS$1006,0))&gt;=100000), " ",IF(INDEX($AC$2:$AS$1001,MATCH(ROWS($V$2:V528),$V$2:$V$1001,0),MATCH(COLUMNS($AC$1006:AN1006),$AC$1006:$AS$1006,0)), HYPERLINK("#",""), HYPERLINK(CONCATENATE("#Metadata!", ADDRESS(INDEX($X$2:$X$1001,MATCH(ROWS($V$2:V528),$V$2:$V$1001,0),0), INDEX($AC$1004:$AS$1004,1,MATCH(COLUMNS($AC$1006:AN1006),$AC$1006:$AS$1006,0)))),"Fix")))</f>
        <v>0</v>
      </c>
      <c r="N528" s="5">
        <f>IF(OR(INDEX($W$2:$W$1001,MATCH(ROWS($V$2:V528),$V$2:$V$1001,0),1)&gt;=100000,INDEX($AC$1005:$AS$1005,1,MATCH(COLUMNS($AC$1006:AO1006),$AC$1006:$AS$1006,0))&gt;=100000), " ",IF(INDEX($AC$2:$AS$1001,MATCH(ROWS($V$2:V528),$V$2:$V$1001,0),MATCH(COLUMNS($AC$1006:AO1006),$AC$1006:$AS$1006,0)), HYPERLINK("#",""), HYPERLINK(CONCATENATE("#Metadata!", ADDRESS(INDEX($X$2:$X$1001,MATCH(ROWS($V$2:V528),$V$2:$V$1001,0),0), INDEX($AC$1004:$AS$1004,1,MATCH(COLUMNS($AC$1006:AO1006),$AC$1006:$AS$1006,0)))),"Fix")))</f>
        <v>0</v>
      </c>
      <c r="O528" s="5">
        <f>IF(OR(INDEX($W$2:$W$1001,MATCH(ROWS($V$2:V528),$V$2:$V$1001,0),1)&gt;=100000,INDEX($AC$1005:$AS$1005,1,MATCH(COLUMNS($AC$1006:AP1006),$AC$1006:$AS$1006,0))&gt;=100000), " ",IF(INDEX($AC$2:$AS$1001,MATCH(ROWS($V$2:V528),$V$2:$V$1001,0),MATCH(COLUMNS($AC$1006:AP1006),$AC$1006:$AS$1006,0)), HYPERLINK("#",""), HYPERLINK(CONCATENATE("#Metadata!", ADDRESS(INDEX($X$2:$X$1001,MATCH(ROWS($V$2:V528),$V$2:$V$1001,0),0), INDEX($AC$1004:$AS$1004,1,MATCH(COLUMNS($AC$1006:AP1006),$AC$1006:$AS$1006,0)))),"Fix")))</f>
        <v>0</v>
      </c>
      <c r="P528" s="5">
        <f>IF(OR(INDEX($W$2:$W$1001,MATCH(ROWS($V$2:V528),$V$2:$V$1001,0),1)&gt;=100000,INDEX($AC$1005:$AS$1005,1,MATCH(COLUMNS($AC$1006:AQ1006),$AC$1006:$AS$1006,0))&gt;=100000), " ",IF(INDEX($AC$2:$AS$1001,MATCH(ROWS($V$2:V528),$V$2:$V$1001,0),MATCH(COLUMNS($AC$1006:AQ1006),$AC$1006:$AS$1006,0)), HYPERLINK("#",""), HYPERLINK(CONCATENATE("#Metadata!", ADDRESS(INDEX($X$2:$X$1001,MATCH(ROWS($V$2:V528),$V$2:$V$1001,0),0), INDEX($AC$1004:$AS$1004,1,MATCH(COLUMNS($AC$1006:AQ1006),$AC$1006:$AS$1006,0)))),"Fix")))</f>
        <v>0</v>
      </c>
      <c r="Q528" s="5">
        <f>IF(OR(INDEX($W$2:$W$1001,MATCH(ROWS($V$2:V528),$V$2:$V$1001,0),1)&gt;=100000,INDEX($AC$1005:$AS$1005,1,MATCH(COLUMNS($AC$1006:AR1006),$AC$1006:$AS$1006,0))&gt;=100000), " ",IF(INDEX($AC$2:$AS$1001,MATCH(ROWS($V$2:V528),$V$2:$V$1001,0),MATCH(COLUMNS($AC$1006:AR1006),$AC$1006:$AS$1006,0)), HYPERLINK("#",""), HYPERLINK(CONCATENATE("#Metadata!", ADDRESS(INDEX($X$2:$X$1001,MATCH(ROWS($V$2:V528),$V$2:$V$1001,0),0), INDEX($AC$1004:$AS$1004,1,MATCH(COLUMNS($AC$1006:AR1006),$AC$1006:$AS$1006,0)))),"Fix")))</f>
        <v>0</v>
      </c>
      <c r="R528" s="5">
        <f>IF(OR(INDEX($W$2:$W$1001,MATCH(ROWS($V$2:V528),$V$2:$V$1001,0),1)&gt;=100000,INDEX($AC$1005:$AS$1005,1,MATCH(COLUMNS($AC$1006:AS1006),$AC$1006:$AS$1006,0))&gt;=100000), " ",IF(INDEX($AC$2:$AS$1001,MATCH(ROWS($V$2:V528),$V$2:$V$1001,0),MATCH(COLUMNS($AC$1006:AS1006),$AC$1006:$AS$1006,0)), HYPERLINK("#",""), HYPERLINK(CONCATENATE("#Metadata!", ADDRESS(INDEX($X$2:$X$1001,MATCH(ROWS($V$2:V528),$V$2:$V$1001,0),0), INDEX($AC$1004:$AS$1004,1,MATCH(COLUMNS($AC$1006:AS1006),$AC$1006:$AS$1006,0)))),"Fix")))</f>
        <v>0</v>
      </c>
      <c r="V528">
        <v>0</v>
      </c>
      <c r="W528">
        <v>0</v>
      </c>
      <c r="X528">
        <v>0</v>
      </c>
      <c r="Y528">
        <f>IF(Z528,TRUE,AND(AC528:AS528))</f>
        <v>0</v>
      </c>
      <c r="Z528">
        <f>COUNTBLANK(Metadata!B528:R528)=COLUMNS(Metadata!B528:R528)</f>
        <v>0</v>
      </c>
      <c r="AA528">
        <v>0</v>
      </c>
      <c r="AC528">
        <f>AND(IF(Metadata!B528="",FALSE,TRUE),COUNTIF(Metadata!B:B, Metadata!B528) = 1,NOT(ISERROR(SUMPRODUCT(SEARCH(MID(Metadata!B528,ROW(INDIRECT("1:"&amp;LEN(Metadata!B528))), 1),"0123456789abcdefghijklmnopqrstuvwxyzABCDEFGHIJKLMNOPQRSTUVWXYZ.")))))</f>
        <v>0</v>
      </c>
      <c r="AD528">
        <f>AND(IF(Metadata!C528="",FALSE,TRUE),exact(Metadata!C528,"Host-associated"))</f>
        <v>0</v>
      </c>
      <c r="AE528">
        <f>AND(IF(Metadata!D528="",FALSE,TRUE),OR(exact(Metadata!D528,"Animal"),exact(Metadata!D528,"Fungus"),exact(Metadata!D528,"Plant")))</f>
        <v>0</v>
      </c>
      <c r="AF528">
        <f>AND(IF(Metadata!E528="",FALSE,TRUE),OR(exact(Metadata!E528,"Plant secretion"),exact(Metadata!E528,"Plant rhizosphere"),exact(Metadata!E528,"Plant surface"),exact(Metadata!E528,"Plant corpus"),exact(Metadata!E528,"Fungus surface"),exact(Metadata!E528,"Fungus corpus"),exact(Metadata!E528,"Animal surface"),exact(Metadata!E528,"Animal proximal gut"),exact(Metadata!E528,"Animal corpus"),exact(Metadata!E528,"Animal distal gut"),exact(Metadata!E528,"Animal secretion")))</f>
        <v>0</v>
      </c>
      <c r="AG528">
        <f>OR(AND(IF(Metadata!F528="",FALSE,TRUE),OR(exact(Metadata!F528,"not collected"),exact(Metadata!F528,"not provided"),exact(Metadata!F528,"restricted access"))),AND(IF(Metadata!F528="",FALSE,TRUE),OR(exact(Metadata!F528,"organism-associated habitat"),exact(Metadata!F528,"plant-associated habitat"),exact(Metadata!F528,"animal-associated habitat"),exact(Metadata!F528,"insecta-associated habitat"),exact(Metadata!F528,"mammalia-associated habitat"),exact(Metadata!F528,"human-associated habitat"),exact(Metadata!F528,"livestock-associated habitat"))))</f>
        <v>0</v>
      </c>
      <c r="AH528">
        <f>AND(IF(Metadata!G528="",FALSE,TRUE),exact(Metadata!G528,"host-associated"))</f>
        <v>0</v>
      </c>
      <c r="AI528">
        <f>OR(AND(IF(Metadata!H528="",FALSE,TRUE),OR(exact(Metadata!H528,"not collected"),exact(Metadata!H528,"not provided"))),AND(IF(Metadata!H528="",FALSE,ISNUMBER(VALUE(Metadata!H528))),Metadata!H528&gt;0))</f>
        <v>0</v>
      </c>
      <c r="AJ528">
        <f>AND(IF(Metadata!I528="",FALSE,TRUE),exact(Metadata!I528,"years"))</f>
        <v>0</v>
      </c>
      <c r="AK528">
        <f>IF(Metadata!J528="",FALSE,TRUE)</f>
        <v>0</v>
      </c>
      <c r="AL528">
        <f>OR(AND(IF(Metadata!K528="",FALSE,TRUE),OR(exact(Metadata!K528,"not collected"),exact(Metadata!K528,"not provided"))),AND(IF(Metadata!K528="",FALSE,ISNUMBER(VALUE(Metadata!K528))),Metadata!K528&gt;0))</f>
        <v>0</v>
      </c>
      <c r="AM528">
        <f>AND(IF(Metadata!L528="",FALSE,TRUE),exact(Metadata!L528,"cm"))</f>
        <v>0</v>
      </c>
      <c r="AN528">
        <f>IF(Metadata!M528="",FALSE,TRUE)</f>
        <v>0</v>
      </c>
      <c r="AO528">
        <f>OR(AND(IF(Metadata!N528="",FALSE,TRUE),OR(exact(Metadata!N528,"not applicable"),exact(Metadata!N528,"not collected"),exact(Metadata!N528,"not provided"))),AND(IF(Metadata!N528="",FALSE,IF(ISERROR(INT(Metadata!N528)),FALSE,INT(Metadata!N528)=Metadata!N528)),Metadata!N528&gt;0))</f>
        <v>0</v>
      </c>
      <c r="AP528">
        <f>OR(AND(IF(Metadata!O528="",FALSE,TRUE),OR(exact(Metadata!O528,"not collected"),exact(Metadata!O528,"not provided"))),AND(IF(Metadata!O528="",FALSE,ISNUMBER(VALUE(Metadata!O528))),Metadata!O528&gt;0))</f>
        <v>0</v>
      </c>
      <c r="AQ528">
        <f>AND(IF(Metadata!P528="",FALSE,TRUE),exact(Metadata!P528,"kg"))</f>
        <v>0</v>
      </c>
      <c r="AR528">
        <f>OR(AND(IF(Metadata!Q528="",FALSE,TRUE),OR(exact(Metadata!Q528,"not applicable"),exact(Metadata!Q528,"not collected"),exact(Metadata!Q528,"not provided"),exact(Metadata!Q528,"restricted access"))),IF(Metadata!Q528="",FALSE,IF(ISERROR(INT(Metadata!Q528)),FALSE,INT(Metadata!Q528)=Metadata!Q528)))</f>
        <v>0</v>
      </c>
      <c r="AS528">
        <f>AND(IF(Metadata!R528="",FALSE,TRUE),exact(Metadata!R528,"Not applicable"))</f>
        <v>0</v>
      </c>
    </row>
    <row r="529" spans="1:45">
      <c r="A529" s="4">
        <f>IF(B529=" "," ",HYPERLINK(CONCATENATE("#metadata!",ADDRESS(INDEX($X$2:$X$1001,MATCH(ROWS($V$2:V529),$V$2:$V$1001,0),0),2)),INDEX($AA$2:$AA$1001,MATCH(ROWS($V$2:V529),$V$2:$V$1001,0),0)))</f>
        <v>0</v>
      </c>
      <c r="B529" s="5">
        <f>IF(OR(INDEX($W$2:$W$1001,MATCH(ROWS($V$2:V529),$V$2:$V$1001,0),1)&gt;=100000,INDEX($AC$1005:$AS$1005,1,MATCH(COLUMNS($AC$1006:AC1006),$AC$1006:$AS$1006,0))&gt;=100000), " ",IF(INDEX($AC$2:$AS$1001,MATCH(ROWS($V$2:V529),$V$2:$V$1001,0),MATCH(COLUMNS($AC$1006:AC1006),$AC$1006:$AS$1006,0)), HYPERLINK("#",""), HYPERLINK(CONCATENATE("#Metadata!", ADDRESS(INDEX($X$2:$X$1001,MATCH(ROWS($V$2:V529),$V$2:$V$1001,0),0), INDEX($AC$1004:$AS$1004,1,MATCH(COLUMNS($AC$1006:AC1006),$AC$1006:$AS$1006,0)))),"Fix")))</f>
        <v>0</v>
      </c>
      <c r="C529" s="5">
        <f>IF(OR(INDEX($W$2:$W$1001,MATCH(ROWS($V$2:V529),$V$2:$V$1001,0),1)&gt;=100000,INDEX($AC$1005:$AS$1005,1,MATCH(COLUMNS($AC$1006:AD1006),$AC$1006:$AS$1006,0))&gt;=100000), " ",IF(INDEX($AC$2:$AS$1001,MATCH(ROWS($V$2:V529),$V$2:$V$1001,0),MATCH(COLUMNS($AC$1006:AD1006),$AC$1006:$AS$1006,0)), HYPERLINK("#",""), HYPERLINK(CONCATENATE("#Metadata!", ADDRESS(INDEX($X$2:$X$1001,MATCH(ROWS($V$2:V529),$V$2:$V$1001,0),0), INDEX($AC$1004:$AS$1004,1,MATCH(COLUMNS($AC$1006:AD1006),$AC$1006:$AS$1006,0)))),"Fix")))</f>
        <v>0</v>
      </c>
      <c r="D529" s="5">
        <f>IF(OR(INDEX($W$2:$W$1001,MATCH(ROWS($V$2:V529),$V$2:$V$1001,0),1)&gt;=100000,INDEX($AC$1005:$AS$1005,1,MATCH(COLUMNS($AC$1006:AE1006),$AC$1006:$AS$1006,0))&gt;=100000), " ",IF(INDEX($AC$2:$AS$1001,MATCH(ROWS($V$2:V529),$V$2:$V$1001,0),MATCH(COLUMNS($AC$1006:AE1006),$AC$1006:$AS$1006,0)), HYPERLINK("#",""), HYPERLINK(CONCATENATE("#Metadata!", ADDRESS(INDEX($X$2:$X$1001,MATCH(ROWS($V$2:V529),$V$2:$V$1001,0),0), INDEX($AC$1004:$AS$1004,1,MATCH(COLUMNS($AC$1006:AE1006),$AC$1006:$AS$1006,0)))),"Fix")))</f>
        <v>0</v>
      </c>
      <c r="E529" s="5">
        <f>IF(OR(INDEX($W$2:$W$1001,MATCH(ROWS($V$2:V529),$V$2:$V$1001,0),1)&gt;=100000,INDEX($AC$1005:$AS$1005,1,MATCH(COLUMNS($AC$1006:AF1006),$AC$1006:$AS$1006,0))&gt;=100000), " ",IF(INDEX($AC$2:$AS$1001,MATCH(ROWS($V$2:V529),$V$2:$V$1001,0),MATCH(COLUMNS($AC$1006:AF1006),$AC$1006:$AS$1006,0)), HYPERLINK("#",""), HYPERLINK(CONCATENATE("#Metadata!", ADDRESS(INDEX($X$2:$X$1001,MATCH(ROWS($V$2:V529),$V$2:$V$1001,0),0), INDEX($AC$1004:$AS$1004,1,MATCH(COLUMNS($AC$1006:AF1006),$AC$1006:$AS$1006,0)))),"Fix")))</f>
        <v>0</v>
      </c>
      <c r="F529" s="5">
        <f>IF(OR(INDEX($W$2:$W$1001,MATCH(ROWS($V$2:V529),$V$2:$V$1001,0),1)&gt;=100000,INDEX($AC$1005:$AS$1005,1,MATCH(COLUMNS($AC$1006:AG1006),$AC$1006:$AS$1006,0))&gt;=100000), " ",IF(INDEX($AC$2:$AS$1001,MATCH(ROWS($V$2:V529),$V$2:$V$1001,0),MATCH(COLUMNS($AC$1006:AG1006),$AC$1006:$AS$1006,0)), HYPERLINK("#",""), HYPERLINK(CONCATENATE("#Metadata!", ADDRESS(INDEX($X$2:$X$1001,MATCH(ROWS($V$2:V529),$V$2:$V$1001,0),0), INDEX($AC$1004:$AS$1004,1,MATCH(COLUMNS($AC$1006:AG1006),$AC$1006:$AS$1006,0)))),"Fix")))</f>
        <v>0</v>
      </c>
      <c r="G529" s="5">
        <f>IF(OR(INDEX($W$2:$W$1001,MATCH(ROWS($V$2:V529),$V$2:$V$1001,0),1)&gt;=100000,INDEX($AC$1005:$AS$1005,1,MATCH(COLUMNS($AC$1006:AH1006),$AC$1006:$AS$1006,0))&gt;=100000), " ",IF(INDEX($AC$2:$AS$1001,MATCH(ROWS($V$2:V529),$V$2:$V$1001,0),MATCH(COLUMNS($AC$1006:AH1006),$AC$1006:$AS$1006,0)), HYPERLINK("#",""), HYPERLINK(CONCATENATE("#Metadata!", ADDRESS(INDEX($X$2:$X$1001,MATCH(ROWS($V$2:V529),$V$2:$V$1001,0),0), INDEX($AC$1004:$AS$1004,1,MATCH(COLUMNS($AC$1006:AH1006),$AC$1006:$AS$1006,0)))),"Fix")))</f>
        <v>0</v>
      </c>
      <c r="H529" s="5">
        <f>IF(OR(INDEX($W$2:$W$1001,MATCH(ROWS($V$2:V529),$V$2:$V$1001,0),1)&gt;=100000,INDEX($AC$1005:$AS$1005,1,MATCH(COLUMNS($AC$1006:AI1006),$AC$1006:$AS$1006,0))&gt;=100000), " ",IF(INDEX($AC$2:$AS$1001,MATCH(ROWS($V$2:V529),$V$2:$V$1001,0),MATCH(COLUMNS($AC$1006:AI1006),$AC$1006:$AS$1006,0)), HYPERLINK("#",""), HYPERLINK(CONCATENATE("#Metadata!", ADDRESS(INDEX($X$2:$X$1001,MATCH(ROWS($V$2:V529),$V$2:$V$1001,0),0), INDEX($AC$1004:$AS$1004,1,MATCH(COLUMNS($AC$1006:AI1006),$AC$1006:$AS$1006,0)))),"Fix")))</f>
        <v>0</v>
      </c>
      <c r="I529" s="5">
        <f>IF(OR(INDEX($W$2:$W$1001,MATCH(ROWS($V$2:V529),$V$2:$V$1001,0),1)&gt;=100000,INDEX($AC$1005:$AS$1005,1,MATCH(COLUMNS($AC$1006:AJ1006),$AC$1006:$AS$1006,0))&gt;=100000), " ",IF(INDEX($AC$2:$AS$1001,MATCH(ROWS($V$2:V529),$V$2:$V$1001,0),MATCH(COLUMNS($AC$1006:AJ1006),$AC$1006:$AS$1006,0)), HYPERLINK("#",""), HYPERLINK(CONCATENATE("#Metadata!", ADDRESS(INDEX($X$2:$X$1001,MATCH(ROWS($V$2:V529),$V$2:$V$1001,0),0), INDEX($AC$1004:$AS$1004,1,MATCH(COLUMNS($AC$1006:AJ1006),$AC$1006:$AS$1006,0)))),"Fix")))</f>
        <v>0</v>
      </c>
      <c r="J529" s="5">
        <f>IF(OR(INDEX($W$2:$W$1001,MATCH(ROWS($V$2:V529),$V$2:$V$1001,0),1)&gt;=100000,INDEX($AC$1005:$AS$1005,1,MATCH(COLUMNS($AC$1006:AK1006),$AC$1006:$AS$1006,0))&gt;=100000), " ",IF(INDEX($AC$2:$AS$1001,MATCH(ROWS($V$2:V529),$V$2:$V$1001,0),MATCH(COLUMNS($AC$1006:AK1006),$AC$1006:$AS$1006,0)), HYPERLINK("#",""), HYPERLINK(CONCATENATE("#Metadata!", ADDRESS(INDEX($X$2:$X$1001,MATCH(ROWS($V$2:V529),$V$2:$V$1001,0),0), INDEX($AC$1004:$AS$1004,1,MATCH(COLUMNS($AC$1006:AK1006),$AC$1006:$AS$1006,0)))),"Fix")))</f>
        <v>0</v>
      </c>
      <c r="K529" s="5">
        <f>IF(OR(INDEX($W$2:$W$1001,MATCH(ROWS($V$2:V529),$V$2:$V$1001,0),1)&gt;=100000,INDEX($AC$1005:$AS$1005,1,MATCH(COLUMNS($AC$1006:AL1006),$AC$1006:$AS$1006,0))&gt;=100000), " ",IF(INDEX($AC$2:$AS$1001,MATCH(ROWS($V$2:V529),$V$2:$V$1001,0),MATCH(COLUMNS($AC$1006:AL1006),$AC$1006:$AS$1006,0)), HYPERLINK("#",""), HYPERLINK(CONCATENATE("#Metadata!", ADDRESS(INDEX($X$2:$X$1001,MATCH(ROWS($V$2:V529),$V$2:$V$1001,0),0), INDEX($AC$1004:$AS$1004,1,MATCH(COLUMNS($AC$1006:AL1006),$AC$1006:$AS$1006,0)))),"Fix")))</f>
        <v>0</v>
      </c>
      <c r="L529" s="5">
        <f>IF(OR(INDEX($W$2:$W$1001,MATCH(ROWS($V$2:V529),$V$2:$V$1001,0),1)&gt;=100000,INDEX($AC$1005:$AS$1005,1,MATCH(COLUMNS($AC$1006:AM1006),$AC$1006:$AS$1006,0))&gt;=100000), " ",IF(INDEX($AC$2:$AS$1001,MATCH(ROWS($V$2:V529),$V$2:$V$1001,0),MATCH(COLUMNS($AC$1006:AM1006),$AC$1006:$AS$1006,0)), HYPERLINK("#",""), HYPERLINK(CONCATENATE("#Metadata!", ADDRESS(INDEX($X$2:$X$1001,MATCH(ROWS($V$2:V529),$V$2:$V$1001,0),0), INDEX($AC$1004:$AS$1004,1,MATCH(COLUMNS($AC$1006:AM1006),$AC$1006:$AS$1006,0)))),"Fix")))</f>
        <v>0</v>
      </c>
      <c r="M529" s="5">
        <f>IF(OR(INDEX($W$2:$W$1001,MATCH(ROWS($V$2:V529),$V$2:$V$1001,0),1)&gt;=100000,INDEX($AC$1005:$AS$1005,1,MATCH(COLUMNS($AC$1006:AN1006),$AC$1006:$AS$1006,0))&gt;=100000), " ",IF(INDEX($AC$2:$AS$1001,MATCH(ROWS($V$2:V529),$V$2:$V$1001,0),MATCH(COLUMNS($AC$1006:AN1006),$AC$1006:$AS$1006,0)), HYPERLINK("#",""), HYPERLINK(CONCATENATE("#Metadata!", ADDRESS(INDEX($X$2:$X$1001,MATCH(ROWS($V$2:V529),$V$2:$V$1001,0),0), INDEX($AC$1004:$AS$1004,1,MATCH(COLUMNS($AC$1006:AN1006),$AC$1006:$AS$1006,0)))),"Fix")))</f>
        <v>0</v>
      </c>
      <c r="N529" s="5">
        <f>IF(OR(INDEX($W$2:$W$1001,MATCH(ROWS($V$2:V529),$V$2:$V$1001,0),1)&gt;=100000,INDEX($AC$1005:$AS$1005,1,MATCH(COLUMNS($AC$1006:AO1006),$AC$1006:$AS$1006,0))&gt;=100000), " ",IF(INDEX($AC$2:$AS$1001,MATCH(ROWS($V$2:V529),$V$2:$V$1001,0),MATCH(COLUMNS($AC$1006:AO1006),$AC$1006:$AS$1006,0)), HYPERLINK("#",""), HYPERLINK(CONCATENATE("#Metadata!", ADDRESS(INDEX($X$2:$X$1001,MATCH(ROWS($V$2:V529),$V$2:$V$1001,0),0), INDEX($AC$1004:$AS$1004,1,MATCH(COLUMNS($AC$1006:AO1006),$AC$1006:$AS$1006,0)))),"Fix")))</f>
        <v>0</v>
      </c>
      <c r="O529" s="5">
        <f>IF(OR(INDEX($W$2:$W$1001,MATCH(ROWS($V$2:V529),$V$2:$V$1001,0),1)&gt;=100000,INDEX($AC$1005:$AS$1005,1,MATCH(COLUMNS($AC$1006:AP1006),$AC$1006:$AS$1006,0))&gt;=100000), " ",IF(INDEX($AC$2:$AS$1001,MATCH(ROWS($V$2:V529),$V$2:$V$1001,0),MATCH(COLUMNS($AC$1006:AP1006),$AC$1006:$AS$1006,0)), HYPERLINK("#",""), HYPERLINK(CONCATENATE("#Metadata!", ADDRESS(INDEX($X$2:$X$1001,MATCH(ROWS($V$2:V529),$V$2:$V$1001,0),0), INDEX($AC$1004:$AS$1004,1,MATCH(COLUMNS($AC$1006:AP1006),$AC$1006:$AS$1006,0)))),"Fix")))</f>
        <v>0</v>
      </c>
      <c r="P529" s="5">
        <f>IF(OR(INDEX($W$2:$W$1001,MATCH(ROWS($V$2:V529),$V$2:$V$1001,0),1)&gt;=100000,INDEX($AC$1005:$AS$1005,1,MATCH(COLUMNS($AC$1006:AQ1006),$AC$1006:$AS$1006,0))&gt;=100000), " ",IF(INDEX($AC$2:$AS$1001,MATCH(ROWS($V$2:V529),$V$2:$V$1001,0),MATCH(COLUMNS($AC$1006:AQ1006),$AC$1006:$AS$1006,0)), HYPERLINK("#",""), HYPERLINK(CONCATENATE("#Metadata!", ADDRESS(INDEX($X$2:$X$1001,MATCH(ROWS($V$2:V529),$V$2:$V$1001,0),0), INDEX($AC$1004:$AS$1004,1,MATCH(COLUMNS($AC$1006:AQ1006),$AC$1006:$AS$1006,0)))),"Fix")))</f>
        <v>0</v>
      </c>
      <c r="Q529" s="5">
        <f>IF(OR(INDEX($W$2:$W$1001,MATCH(ROWS($V$2:V529),$V$2:$V$1001,0),1)&gt;=100000,INDEX($AC$1005:$AS$1005,1,MATCH(COLUMNS($AC$1006:AR1006),$AC$1006:$AS$1006,0))&gt;=100000), " ",IF(INDEX($AC$2:$AS$1001,MATCH(ROWS($V$2:V529),$V$2:$V$1001,0),MATCH(COLUMNS($AC$1006:AR1006),$AC$1006:$AS$1006,0)), HYPERLINK("#",""), HYPERLINK(CONCATENATE("#Metadata!", ADDRESS(INDEX($X$2:$X$1001,MATCH(ROWS($V$2:V529),$V$2:$V$1001,0),0), INDEX($AC$1004:$AS$1004,1,MATCH(COLUMNS($AC$1006:AR1006),$AC$1006:$AS$1006,0)))),"Fix")))</f>
        <v>0</v>
      </c>
      <c r="R529" s="5">
        <f>IF(OR(INDEX($W$2:$W$1001,MATCH(ROWS($V$2:V529),$V$2:$V$1001,0),1)&gt;=100000,INDEX($AC$1005:$AS$1005,1,MATCH(COLUMNS($AC$1006:AS1006),$AC$1006:$AS$1006,0))&gt;=100000), " ",IF(INDEX($AC$2:$AS$1001,MATCH(ROWS($V$2:V529),$V$2:$V$1001,0),MATCH(COLUMNS($AC$1006:AS1006),$AC$1006:$AS$1006,0)), HYPERLINK("#",""), HYPERLINK(CONCATENATE("#Metadata!", ADDRESS(INDEX($X$2:$X$1001,MATCH(ROWS($V$2:V529),$V$2:$V$1001,0),0), INDEX($AC$1004:$AS$1004,1,MATCH(COLUMNS($AC$1006:AS1006),$AC$1006:$AS$1006,0)))),"Fix")))</f>
        <v>0</v>
      </c>
      <c r="V529">
        <v>0</v>
      </c>
      <c r="W529">
        <v>0</v>
      </c>
      <c r="X529">
        <v>0</v>
      </c>
      <c r="Y529">
        <f>IF(Z529,TRUE,AND(AC529:AS529))</f>
        <v>0</v>
      </c>
      <c r="Z529">
        <f>COUNTBLANK(Metadata!B529:R529)=COLUMNS(Metadata!B529:R529)</f>
        <v>0</v>
      </c>
      <c r="AA529">
        <v>0</v>
      </c>
      <c r="AC529">
        <f>AND(IF(Metadata!B529="",FALSE,TRUE),COUNTIF(Metadata!B:B, Metadata!B529) = 1,NOT(ISERROR(SUMPRODUCT(SEARCH(MID(Metadata!B529,ROW(INDIRECT("1:"&amp;LEN(Metadata!B529))), 1),"0123456789abcdefghijklmnopqrstuvwxyzABCDEFGHIJKLMNOPQRSTUVWXYZ.")))))</f>
        <v>0</v>
      </c>
      <c r="AD529">
        <f>AND(IF(Metadata!C529="",FALSE,TRUE),exact(Metadata!C529,"Host-associated"))</f>
        <v>0</v>
      </c>
      <c r="AE529">
        <f>AND(IF(Metadata!D529="",FALSE,TRUE),OR(exact(Metadata!D529,"Animal"),exact(Metadata!D529,"Fungus"),exact(Metadata!D529,"Plant")))</f>
        <v>0</v>
      </c>
      <c r="AF529">
        <f>AND(IF(Metadata!E529="",FALSE,TRUE),OR(exact(Metadata!E529,"Plant secretion"),exact(Metadata!E529,"Plant rhizosphere"),exact(Metadata!E529,"Plant surface"),exact(Metadata!E529,"Plant corpus"),exact(Metadata!E529,"Fungus surface"),exact(Metadata!E529,"Fungus corpus"),exact(Metadata!E529,"Animal surface"),exact(Metadata!E529,"Animal proximal gut"),exact(Metadata!E529,"Animal corpus"),exact(Metadata!E529,"Animal distal gut"),exact(Metadata!E529,"Animal secretion")))</f>
        <v>0</v>
      </c>
      <c r="AG529">
        <f>OR(AND(IF(Metadata!F529="",FALSE,TRUE),OR(exact(Metadata!F529,"not collected"),exact(Metadata!F529,"not provided"),exact(Metadata!F529,"restricted access"))),AND(IF(Metadata!F529="",FALSE,TRUE),OR(exact(Metadata!F529,"organism-associated habitat"),exact(Metadata!F529,"plant-associated habitat"),exact(Metadata!F529,"animal-associated habitat"),exact(Metadata!F529,"insecta-associated habitat"),exact(Metadata!F529,"mammalia-associated habitat"),exact(Metadata!F529,"human-associated habitat"),exact(Metadata!F529,"livestock-associated habitat"))))</f>
        <v>0</v>
      </c>
      <c r="AH529">
        <f>AND(IF(Metadata!G529="",FALSE,TRUE),exact(Metadata!G529,"host-associated"))</f>
        <v>0</v>
      </c>
      <c r="AI529">
        <f>OR(AND(IF(Metadata!H529="",FALSE,TRUE),OR(exact(Metadata!H529,"not collected"),exact(Metadata!H529,"not provided"))),AND(IF(Metadata!H529="",FALSE,ISNUMBER(VALUE(Metadata!H529))),Metadata!H529&gt;0))</f>
        <v>0</v>
      </c>
      <c r="AJ529">
        <f>AND(IF(Metadata!I529="",FALSE,TRUE),exact(Metadata!I529,"years"))</f>
        <v>0</v>
      </c>
      <c r="AK529">
        <f>IF(Metadata!J529="",FALSE,TRUE)</f>
        <v>0</v>
      </c>
      <c r="AL529">
        <f>OR(AND(IF(Metadata!K529="",FALSE,TRUE),OR(exact(Metadata!K529,"not collected"),exact(Metadata!K529,"not provided"))),AND(IF(Metadata!K529="",FALSE,ISNUMBER(VALUE(Metadata!K529))),Metadata!K529&gt;0))</f>
        <v>0</v>
      </c>
      <c r="AM529">
        <f>AND(IF(Metadata!L529="",FALSE,TRUE),exact(Metadata!L529,"cm"))</f>
        <v>0</v>
      </c>
      <c r="AN529">
        <f>IF(Metadata!M529="",FALSE,TRUE)</f>
        <v>0</v>
      </c>
      <c r="AO529">
        <f>OR(AND(IF(Metadata!N529="",FALSE,TRUE),OR(exact(Metadata!N529,"not applicable"),exact(Metadata!N529,"not collected"),exact(Metadata!N529,"not provided"))),AND(IF(Metadata!N529="",FALSE,IF(ISERROR(INT(Metadata!N529)),FALSE,INT(Metadata!N529)=Metadata!N529)),Metadata!N529&gt;0))</f>
        <v>0</v>
      </c>
      <c r="AP529">
        <f>OR(AND(IF(Metadata!O529="",FALSE,TRUE),OR(exact(Metadata!O529,"not collected"),exact(Metadata!O529,"not provided"))),AND(IF(Metadata!O529="",FALSE,ISNUMBER(VALUE(Metadata!O529))),Metadata!O529&gt;0))</f>
        <v>0</v>
      </c>
      <c r="AQ529">
        <f>AND(IF(Metadata!P529="",FALSE,TRUE),exact(Metadata!P529,"kg"))</f>
        <v>0</v>
      </c>
      <c r="AR529">
        <f>OR(AND(IF(Metadata!Q529="",FALSE,TRUE),OR(exact(Metadata!Q529,"not applicable"),exact(Metadata!Q529,"not collected"),exact(Metadata!Q529,"not provided"),exact(Metadata!Q529,"restricted access"))),IF(Metadata!Q529="",FALSE,IF(ISERROR(INT(Metadata!Q529)),FALSE,INT(Metadata!Q529)=Metadata!Q529)))</f>
        <v>0</v>
      </c>
      <c r="AS529">
        <f>AND(IF(Metadata!R529="",FALSE,TRUE),exact(Metadata!R529,"Not applicable"))</f>
        <v>0</v>
      </c>
    </row>
    <row r="530" spans="1:45">
      <c r="A530" s="4">
        <f>IF(B530=" "," ",HYPERLINK(CONCATENATE("#metadata!",ADDRESS(INDEX($X$2:$X$1001,MATCH(ROWS($V$2:V530),$V$2:$V$1001,0),0),2)),INDEX($AA$2:$AA$1001,MATCH(ROWS($V$2:V530),$V$2:$V$1001,0),0)))</f>
        <v>0</v>
      </c>
      <c r="B530" s="5">
        <f>IF(OR(INDEX($W$2:$W$1001,MATCH(ROWS($V$2:V530),$V$2:$V$1001,0),1)&gt;=100000,INDEX($AC$1005:$AS$1005,1,MATCH(COLUMNS($AC$1006:AC1006),$AC$1006:$AS$1006,0))&gt;=100000), " ",IF(INDEX($AC$2:$AS$1001,MATCH(ROWS($V$2:V530),$V$2:$V$1001,0),MATCH(COLUMNS($AC$1006:AC1006),$AC$1006:$AS$1006,0)), HYPERLINK("#",""), HYPERLINK(CONCATENATE("#Metadata!", ADDRESS(INDEX($X$2:$X$1001,MATCH(ROWS($V$2:V530),$V$2:$V$1001,0),0), INDEX($AC$1004:$AS$1004,1,MATCH(COLUMNS($AC$1006:AC1006),$AC$1006:$AS$1006,0)))),"Fix")))</f>
        <v>0</v>
      </c>
      <c r="C530" s="5">
        <f>IF(OR(INDEX($W$2:$W$1001,MATCH(ROWS($V$2:V530),$V$2:$V$1001,0),1)&gt;=100000,INDEX($AC$1005:$AS$1005,1,MATCH(COLUMNS($AC$1006:AD1006),$AC$1006:$AS$1006,0))&gt;=100000), " ",IF(INDEX($AC$2:$AS$1001,MATCH(ROWS($V$2:V530),$V$2:$V$1001,0),MATCH(COLUMNS($AC$1006:AD1006),$AC$1006:$AS$1006,0)), HYPERLINK("#",""), HYPERLINK(CONCATENATE("#Metadata!", ADDRESS(INDEX($X$2:$X$1001,MATCH(ROWS($V$2:V530),$V$2:$V$1001,0),0), INDEX($AC$1004:$AS$1004,1,MATCH(COLUMNS($AC$1006:AD1006),$AC$1006:$AS$1006,0)))),"Fix")))</f>
        <v>0</v>
      </c>
      <c r="D530" s="5">
        <f>IF(OR(INDEX($W$2:$W$1001,MATCH(ROWS($V$2:V530),$V$2:$V$1001,0),1)&gt;=100000,INDEX($AC$1005:$AS$1005,1,MATCH(COLUMNS($AC$1006:AE1006),$AC$1006:$AS$1006,0))&gt;=100000), " ",IF(INDEX($AC$2:$AS$1001,MATCH(ROWS($V$2:V530),$V$2:$V$1001,0),MATCH(COLUMNS($AC$1006:AE1006),$AC$1006:$AS$1006,0)), HYPERLINK("#",""), HYPERLINK(CONCATENATE("#Metadata!", ADDRESS(INDEX($X$2:$X$1001,MATCH(ROWS($V$2:V530),$V$2:$V$1001,0),0), INDEX($AC$1004:$AS$1004,1,MATCH(COLUMNS($AC$1006:AE1006),$AC$1006:$AS$1006,0)))),"Fix")))</f>
        <v>0</v>
      </c>
      <c r="E530" s="5">
        <f>IF(OR(INDEX($W$2:$W$1001,MATCH(ROWS($V$2:V530),$V$2:$V$1001,0),1)&gt;=100000,INDEX($AC$1005:$AS$1005,1,MATCH(COLUMNS($AC$1006:AF1006),$AC$1006:$AS$1006,0))&gt;=100000), " ",IF(INDEX($AC$2:$AS$1001,MATCH(ROWS($V$2:V530),$V$2:$V$1001,0),MATCH(COLUMNS($AC$1006:AF1006),$AC$1006:$AS$1006,0)), HYPERLINK("#",""), HYPERLINK(CONCATENATE("#Metadata!", ADDRESS(INDEX($X$2:$X$1001,MATCH(ROWS($V$2:V530),$V$2:$V$1001,0),0), INDEX($AC$1004:$AS$1004,1,MATCH(COLUMNS($AC$1006:AF1006),$AC$1006:$AS$1006,0)))),"Fix")))</f>
        <v>0</v>
      </c>
      <c r="F530" s="5">
        <f>IF(OR(INDEX($W$2:$W$1001,MATCH(ROWS($V$2:V530),$V$2:$V$1001,0),1)&gt;=100000,INDEX($AC$1005:$AS$1005,1,MATCH(COLUMNS($AC$1006:AG1006),$AC$1006:$AS$1006,0))&gt;=100000), " ",IF(INDEX($AC$2:$AS$1001,MATCH(ROWS($V$2:V530),$V$2:$V$1001,0),MATCH(COLUMNS($AC$1006:AG1006),$AC$1006:$AS$1006,0)), HYPERLINK("#",""), HYPERLINK(CONCATENATE("#Metadata!", ADDRESS(INDEX($X$2:$X$1001,MATCH(ROWS($V$2:V530),$V$2:$V$1001,0),0), INDEX($AC$1004:$AS$1004,1,MATCH(COLUMNS($AC$1006:AG1006),$AC$1006:$AS$1006,0)))),"Fix")))</f>
        <v>0</v>
      </c>
      <c r="G530" s="5">
        <f>IF(OR(INDEX($W$2:$W$1001,MATCH(ROWS($V$2:V530),$V$2:$V$1001,0),1)&gt;=100000,INDEX($AC$1005:$AS$1005,1,MATCH(COLUMNS($AC$1006:AH1006),$AC$1006:$AS$1006,0))&gt;=100000), " ",IF(INDEX($AC$2:$AS$1001,MATCH(ROWS($V$2:V530),$V$2:$V$1001,0),MATCH(COLUMNS($AC$1006:AH1006),$AC$1006:$AS$1006,0)), HYPERLINK("#",""), HYPERLINK(CONCATENATE("#Metadata!", ADDRESS(INDEX($X$2:$X$1001,MATCH(ROWS($V$2:V530),$V$2:$V$1001,0),0), INDEX($AC$1004:$AS$1004,1,MATCH(COLUMNS($AC$1006:AH1006),$AC$1006:$AS$1006,0)))),"Fix")))</f>
        <v>0</v>
      </c>
      <c r="H530" s="5">
        <f>IF(OR(INDEX($W$2:$W$1001,MATCH(ROWS($V$2:V530),$V$2:$V$1001,0),1)&gt;=100000,INDEX($AC$1005:$AS$1005,1,MATCH(COLUMNS($AC$1006:AI1006),$AC$1006:$AS$1006,0))&gt;=100000), " ",IF(INDEX($AC$2:$AS$1001,MATCH(ROWS($V$2:V530),$V$2:$V$1001,0),MATCH(COLUMNS($AC$1006:AI1006),$AC$1006:$AS$1006,0)), HYPERLINK("#",""), HYPERLINK(CONCATENATE("#Metadata!", ADDRESS(INDEX($X$2:$X$1001,MATCH(ROWS($V$2:V530),$V$2:$V$1001,0),0), INDEX($AC$1004:$AS$1004,1,MATCH(COLUMNS($AC$1006:AI1006),$AC$1006:$AS$1006,0)))),"Fix")))</f>
        <v>0</v>
      </c>
      <c r="I530" s="5">
        <f>IF(OR(INDEX($W$2:$W$1001,MATCH(ROWS($V$2:V530),$V$2:$V$1001,0),1)&gt;=100000,INDEX($AC$1005:$AS$1005,1,MATCH(COLUMNS($AC$1006:AJ1006),$AC$1006:$AS$1006,0))&gt;=100000), " ",IF(INDEX($AC$2:$AS$1001,MATCH(ROWS($V$2:V530),$V$2:$V$1001,0),MATCH(COLUMNS($AC$1006:AJ1006),$AC$1006:$AS$1006,0)), HYPERLINK("#",""), HYPERLINK(CONCATENATE("#Metadata!", ADDRESS(INDEX($X$2:$X$1001,MATCH(ROWS($V$2:V530),$V$2:$V$1001,0),0), INDEX($AC$1004:$AS$1004,1,MATCH(COLUMNS($AC$1006:AJ1006),$AC$1006:$AS$1006,0)))),"Fix")))</f>
        <v>0</v>
      </c>
      <c r="J530" s="5">
        <f>IF(OR(INDEX($W$2:$W$1001,MATCH(ROWS($V$2:V530),$V$2:$V$1001,0),1)&gt;=100000,INDEX($AC$1005:$AS$1005,1,MATCH(COLUMNS($AC$1006:AK1006),$AC$1006:$AS$1006,0))&gt;=100000), " ",IF(INDEX($AC$2:$AS$1001,MATCH(ROWS($V$2:V530),$V$2:$V$1001,0),MATCH(COLUMNS($AC$1006:AK1006),$AC$1006:$AS$1006,0)), HYPERLINK("#",""), HYPERLINK(CONCATENATE("#Metadata!", ADDRESS(INDEX($X$2:$X$1001,MATCH(ROWS($V$2:V530),$V$2:$V$1001,0),0), INDEX($AC$1004:$AS$1004,1,MATCH(COLUMNS($AC$1006:AK1006),$AC$1006:$AS$1006,0)))),"Fix")))</f>
        <v>0</v>
      </c>
      <c r="K530" s="5">
        <f>IF(OR(INDEX($W$2:$W$1001,MATCH(ROWS($V$2:V530),$V$2:$V$1001,0),1)&gt;=100000,INDEX($AC$1005:$AS$1005,1,MATCH(COLUMNS($AC$1006:AL1006),$AC$1006:$AS$1006,0))&gt;=100000), " ",IF(INDEX($AC$2:$AS$1001,MATCH(ROWS($V$2:V530),$V$2:$V$1001,0),MATCH(COLUMNS($AC$1006:AL1006),$AC$1006:$AS$1006,0)), HYPERLINK("#",""), HYPERLINK(CONCATENATE("#Metadata!", ADDRESS(INDEX($X$2:$X$1001,MATCH(ROWS($V$2:V530),$V$2:$V$1001,0),0), INDEX($AC$1004:$AS$1004,1,MATCH(COLUMNS($AC$1006:AL1006),$AC$1006:$AS$1006,0)))),"Fix")))</f>
        <v>0</v>
      </c>
      <c r="L530" s="5">
        <f>IF(OR(INDEX($W$2:$W$1001,MATCH(ROWS($V$2:V530),$V$2:$V$1001,0),1)&gt;=100000,INDEX($AC$1005:$AS$1005,1,MATCH(COLUMNS($AC$1006:AM1006),$AC$1006:$AS$1006,0))&gt;=100000), " ",IF(INDEX($AC$2:$AS$1001,MATCH(ROWS($V$2:V530),$V$2:$V$1001,0),MATCH(COLUMNS($AC$1006:AM1006),$AC$1006:$AS$1006,0)), HYPERLINK("#",""), HYPERLINK(CONCATENATE("#Metadata!", ADDRESS(INDEX($X$2:$X$1001,MATCH(ROWS($V$2:V530),$V$2:$V$1001,0),0), INDEX($AC$1004:$AS$1004,1,MATCH(COLUMNS($AC$1006:AM1006),$AC$1006:$AS$1006,0)))),"Fix")))</f>
        <v>0</v>
      </c>
      <c r="M530" s="5">
        <f>IF(OR(INDEX($W$2:$W$1001,MATCH(ROWS($V$2:V530),$V$2:$V$1001,0),1)&gt;=100000,INDEX($AC$1005:$AS$1005,1,MATCH(COLUMNS($AC$1006:AN1006),$AC$1006:$AS$1006,0))&gt;=100000), " ",IF(INDEX($AC$2:$AS$1001,MATCH(ROWS($V$2:V530),$V$2:$V$1001,0),MATCH(COLUMNS($AC$1006:AN1006),$AC$1006:$AS$1006,0)), HYPERLINK("#",""), HYPERLINK(CONCATENATE("#Metadata!", ADDRESS(INDEX($X$2:$X$1001,MATCH(ROWS($V$2:V530),$V$2:$V$1001,0),0), INDEX($AC$1004:$AS$1004,1,MATCH(COLUMNS($AC$1006:AN1006),$AC$1006:$AS$1006,0)))),"Fix")))</f>
        <v>0</v>
      </c>
      <c r="N530" s="5">
        <f>IF(OR(INDEX($W$2:$W$1001,MATCH(ROWS($V$2:V530),$V$2:$V$1001,0),1)&gt;=100000,INDEX($AC$1005:$AS$1005,1,MATCH(COLUMNS($AC$1006:AO1006),$AC$1006:$AS$1006,0))&gt;=100000), " ",IF(INDEX($AC$2:$AS$1001,MATCH(ROWS($V$2:V530),$V$2:$V$1001,0),MATCH(COLUMNS($AC$1006:AO1006),$AC$1006:$AS$1006,0)), HYPERLINK("#",""), HYPERLINK(CONCATENATE("#Metadata!", ADDRESS(INDEX($X$2:$X$1001,MATCH(ROWS($V$2:V530),$V$2:$V$1001,0),0), INDEX($AC$1004:$AS$1004,1,MATCH(COLUMNS($AC$1006:AO1006),$AC$1006:$AS$1006,0)))),"Fix")))</f>
        <v>0</v>
      </c>
      <c r="O530" s="5">
        <f>IF(OR(INDEX($W$2:$W$1001,MATCH(ROWS($V$2:V530),$V$2:$V$1001,0),1)&gt;=100000,INDEX($AC$1005:$AS$1005,1,MATCH(COLUMNS($AC$1006:AP1006),$AC$1006:$AS$1006,0))&gt;=100000), " ",IF(INDEX($AC$2:$AS$1001,MATCH(ROWS($V$2:V530),$V$2:$V$1001,0),MATCH(COLUMNS($AC$1006:AP1006),$AC$1006:$AS$1006,0)), HYPERLINK("#",""), HYPERLINK(CONCATENATE("#Metadata!", ADDRESS(INDEX($X$2:$X$1001,MATCH(ROWS($V$2:V530),$V$2:$V$1001,0),0), INDEX($AC$1004:$AS$1004,1,MATCH(COLUMNS($AC$1006:AP1006),$AC$1006:$AS$1006,0)))),"Fix")))</f>
        <v>0</v>
      </c>
      <c r="P530" s="5">
        <f>IF(OR(INDEX($W$2:$W$1001,MATCH(ROWS($V$2:V530),$V$2:$V$1001,0),1)&gt;=100000,INDEX($AC$1005:$AS$1005,1,MATCH(COLUMNS($AC$1006:AQ1006),$AC$1006:$AS$1006,0))&gt;=100000), " ",IF(INDEX($AC$2:$AS$1001,MATCH(ROWS($V$2:V530),$V$2:$V$1001,0),MATCH(COLUMNS($AC$1006:AQ1006),$AC$1006:$AS$1006,0)), HYPERLINK("#",""), HYPERLINK(CONCATENATE("#Metadata!", ADDRESS(INDEX($X$2:$X$1001,MATCH(ROWS($V$2:V530),$V$2:$V$1001,0),0), INDEX($AC$1004:$AS$1004,1,MATCH(COLUMNS($AC$1006:AQ1006),$AC$1006:$AS$1006,0)))),"Fix")))</f>
        <v>0</v>
      </c>
      <c r="Q530" s="5">
        <f>IF(OR(INDEX($W$2:$W$1001,MATCH(ROWS($V$2:V530),$V$2:$V$1001,0),1)&gt;=100000,INDEX($AC$1005:$AS$1005,1,MATCH(COLUMNS($AC$1006:AR1006),$AC$1006:$AS$1006,0))&gt;=100000), " ",IF(INDEX($AC$2:$AS$1001,MATCH(ROWS($V$2:V530),$V$2:$V$1001,0),MATCH(COLUMNS($AC$1006:AR1006),$AC$1006:$AS$1006,0)), HYPERLINK("#",""), HYPERLINK(CONCATENATE("#Metadata!", ADDRESS(INDEX($X$2:$X$1001,MATCH(ROWS($V$2:V530),$V$2:$V$1001,0),0), INDEX($AC$1004:$AS$1004,1,MATCH(COLUMNS($AC$1006:AR1006),$AC$1006:$AS$1006,0)))),"Fix")))</f>
        <v>0</v>
      </c>
      <c r="R530" s="5">
        <f>IF(OR(INDEX($W$2:$W$1001,MATCH(ROWS($V$2:V530),$V$2:$V$1001,0),1)&gt;=100000,INDEX($AC$1005:$AS$1005,1,MATCH(COLUMNS($AC$1006:AS1006),$AC$1006:$AS$1006,0))&gt;=100000), " ",IF(INDEX($AC$2:$AS$1001,MATCH(ROWS($V$2:V530),$V$2:$V$1001,0),MATCH(COLUMNS($AC$1006:AS1006),$AC$1006:$AS$1006,0)), HYPERLINK("#",""), HYPERLINK(CONCATENATE("#Metadata!", ADDRESS(INDEX($X$2:$X$1001,MATCH(ROWS($V$2:V530),$V$2:$V$1001,0),0), INDEX($AC$1004:$AS$1004,1,MATCH(COLUMNS($AC$1006:AS1006),$AC$1006:$AS$1006,0)))),"Fix")))</f>
        <v>0</v>
      </c>
      <c r="V530">
        <v>0</v>
      </c>
      <c r="W530">
        <v>0</v>
      </c>
      <c r="X530">
        <v>0</v>
      </c>
      <c r="Y530">
        <f>IF(Z530,TRUE,AND(AC530:AS530))</f>
        <v>0</v>
      </c>
      <c r="Z530">
        <f>COUNTBLANK(Metadata!B530:R530)=COLUMNS(Metadata!B530:R530)</f>
        <v>0</v>
      </c>
      <c r="AA530">
        <v>0</v>
      </c>
      <c r="AC530">
        <f>AND(IF(Metadata!B530="",FALSE,TRUE),COUNTIF(Metadata!B:B, Metadata!B530) = 1,NOT(ISERROR(SUMPRODUCT(SEARCH(MID(Metadata!B530,ROW(INDIRECT("1:"&amp;LEN(Metadata!B530))), 1),"0123456789abcdefghijklmnopqrstuvwxyzABCDEFGHIJKLMNOPQRSTUVWXYZ.")))))</f>
        <v>0</v>
      </c>
      <c r="AD530">
        <f>AND(IF(Metadata!C530="",FALSE,TRUE),exact(Metadata!C530,"Host-associated"))</f>
        <v>0</v>
      </c>
      <c r="AE530">
        <f>AND(IF(Metadata!D530="",FALSE,TRUE),OR(exact(Metadata!D530,"Animal"),exact(Metadata!D530,"Fungus"),exact(Metadata!D530,"Plant")))</f>
        <v>0</v>
      </c>
      <c r="AF530">
        <f>AND(IF(Metadata!E530="",FALSE,TRUE),OR(exact(Metadata!E530,"Plant secretion"),exact(Metadata!E530,"Plant rhizosphere"),exact(Metadata!E530,"Plant surface"),exact(Metadata!E530,"Plant corpus"),exact(Metadata!E530,"Fungus surface"),exact(Metadata!E530,"Fungus corpus"),exact(Metadata!E530,"Animal surface"),exact(Metadata!E530,"Animal proximal gut"),exact(Metadata!E530,"Animal corpus"),exact(Metadata!E530,"Animal distal gut"),exact(Metadata!E530,"Animal secretion")))</f>
        <v>0</v>
      </c>
      <c r="AG530">
        <f>OR(AND(IF(Metadata!F530="",FALSE,TRUE),OR(exact(Metadata!F530,"not collected"),exact(Metadata!F530,"not provided"),exact(Metadata!F530,"restricted access"))),AND(IF(Metadata!F530="",FALSE,TRUE),OR(exact(Metadata!F530,"organism-associated habitat"),exact(Metadata!F530,"plant-associated habitat"),exact(Metadata!F530,"animal-associated habitat"),exact(Metadata!F530,"insecta-associated habitat"),exact(Metadata!F530,"mammalia-associated habitat"),exact(Metadata!F530,"human-associated habitat"),exact(Metadata!F530,"livestock-associated habitat"))))</f>
        <v>0</v>
      </c>
      <c r="AH530">
        <f>AND(IF(Metadata!G530="",FALSE,TRUE),exact(Metadata!G530,"host-associated"))</f>
        <v>0</v>
      </c>
      <c r="AI530">
        <f>OR(AND(IF(Metadata!H530="",FALSE,TRUE),OR(exact(Metadata!H530,"not collected"),exact(Metadata!H530,"not provided"))),AND(IF(Metadata!H530="",FALSE,ISNUMBER(VALUE(Metadata!H530))),Metadata!H530&gt;0))</f>
        <v>0</v>
      </c>
      <c r="AJ530">
        <f>AND(IF(Metadata!I530="",FALSE,TRUE),exact(Metadata!I530,"years"))</f>
        <v>0</v>
      </c>
      <c r="AK530">
        <f>IF(Metadata!J530="",FALSE,TRUE)</f>
        <v>0</v>
      </c>
      <c r="AL530">
        <f>OR(AND(IF(Metadata!K530="",FALSE,TRUE),OR(exact(Metadata!K530,"not collected"),exact(Metadata!K530,"not provided"))),AND(IF(Metadata!K530="",FALSE,ISNUMBER(VALUE(Metadata!K530))),Metadata!K530&gt;0))</f>
        <v>0</v>
      </c>
      <c r="AM530">
        <f>AND(IF(Metadata!L530="",FALSE,TRUE),exact(Metadata!L530,"cm"))</f>
        <v>0</v>
      </c>
      <c r="AN530">
        <f>IF(Metadata!M530="",FALSE,TRUE)</f>
        <v>0</v>
      </c>
      <c r="AO530">
        <f>OR(AND(IF(Metadata!N530="",FALSE,TRUE),OR(exact(Metadata!N530,"not applicable"),exact(Metadata!N530,"not collected"),exact(Metadata!N530,"not provided"))),AND(IF(Metadata!N530="",FALSE,IF(ISERROR(INT(Metadata!N530)),FALSE,INT(Metadata!N530)=Metadata!N530)),Metadata!N530&gt;0))</f>
        <v>0</v>
      </c>
      <c r="AP530">
        <f>OR(AND(IF(Metadata!O530="",FALSE,TRUE),OR(exact(Metadata!O530,"not collected"),exact(Metadata!O530,"not provided"))),AND(IF(Metadata!O530="",FALSE,ISNUMBER(VALUE(Metadata!O530))),Metadata!O530&gt;0))</f>
        <v>0</v>
      </c>
      <c r="AQ530">
        <f>AND(IF(Metadata!P530="",FALSE,TRUE),exact(Metadata!P530,"kg"))</f>
        <v>0</v>
      </c>
      <c r="AR530">
        <f>OR(AND(IF(Metadata!Q530="",FALSE,TRUE),OR(exact(Metadata!Q530,"not applicable"),exact(Metadata!Q530,"not collected"),exact(Metadata!Q530,"not provided"),exact(Metadata!Q530,"restricted access"))),IF(Metadata!Q530="",FALSE,IF(ISERROR(INT(Metadata!Q530)),FALSE,INT(Metadata!Q530)=Metadata!Q530)))</f>
        <v>0</v>
      </c>
      <c r="AS530">
        <f>AND(IF(Metadata!R530="",FALSE,TRUE),exact(Metadata!R530,"Not applicable"))</f>
        <v>0</v>
      </c>
    </row>
    <row r="531" spans="1:45">
      <c r="A531" s="4">
        <f>IF(B531=" "," ",HYPERLINK(CONCATENATE("#metadata!",ADDRESS(INDEX($X$2:$X$1001,MATCH(ROWS($V$2:V531),$V$2:$V$1001,0),0),2)),INDEX($AA$2:$AA$1001,MATCH(ROWS($V$2:V531),$V$2:$V$1001,0),0)))</f>
        <v>0</v>
      </c>
      <c r="B531" s="5">
        <f>IF(OR(INDEX($W$2:$W$1001,MATCH(ROWS($V$2:V531),$V$2:$V$1001,0),1)&gt;=100000,INDEX($AC$1005:$AS$1005,1,MATCH(COLUMNS($AC$1006:AC1006),$AC$1006:$AS$1006,0))&gt;=100000), " ",IF(INDEX($AC$2:$AS$1001,MATCH(ROWS($V$2:V531),$V$2:$V$1001,0),MATCH(COLUMNS($AC$1006:AC1006),$AC$1006:$AS$1006,0)), HYPERLINK("#",""), HYPERLINK(CONCATENATE("#Metadata!", ADDRESS(INDEX($X$2:$X$1001,MATCH(ROWS($V$2:V531),$V$2:$V$1001,0),0), INDEX($AC$1004:$AS$1004,1,MATCH(COLUMNS($AC$1006:AC1006),$AC$1006:$AS$1006,0)))),"Fix")))</f>
        <v>0</v>
      </c>
      <c r="C531" s="5">
        <f>IF(OR(INDEX($W$2:$W$1001,MATCH(ROWS($V$2:V531),$V$2:$V$1001,0),1)&gt;=100000,INDEX($AC$1005:$AS$1005,1,MATCH(COLUMNS($AC$1006:AD1006),$AC$1006:$AS$1006,0))&gt;=100000), " ",IF(INDEX($AC$2:$AS$1001,MATCH(ROWS($V$2:V531),$V$2:$V$1001,0),MATCH(COLUMNS($AC$1006:AD1006),$AC$1006:$AS$1006,0)), HYPERLINK("#",""), HYPERLINK(CONCATENATE("#Metadata!", ADDRESS(INDEX($X$2:$X$1001,MATCH(ROWS($V$2:V531),$V$2:$V$1001,0),0), INDEX($AC$1004:$AS$1004,1,MATCH(COLUMNS($AC$1006:AD1006),$AC$1006:$AS$1006,0)))),"Fix")))</f>
        <v>0</v>
      </c>
      <c r="D531" s="5">
        <f>IF(OR(INDEX($W$2:$W$1001,MATCH(ROWS($V$2:V531),$V$2:$V$1001,0),1)&gt;=100000,INDEX($AC$1005:$AS$1005,1,MATCH(COLUMNS($AC$1006:AE1006),$AC$1006:$AS$1006,0))&gt;=100000), " ",IF(INDEX($AC$2:$AS$1001,MATCH(ROWS($V$2:V531),$V$2:$V$1001,0),MATCH(COLUMNS($AC$1006:AE1006),$AC$1006:$AS$1006,0)), HYPERLINK("#",""), HYPERLINK(CONCATENATE("#Metadata!", ADDRESS(INDEX($X$2:$X$1001,MATCH(ROWS($V$2:V531),$V$2:$V$1001,0),0), INDEX($AC$1004:$AS$1004,1,MATCH(COLUMNS($AC$1006:AE1006),$AC$1006:$AS$1006,0)))),"Fix")))</f>
        <v>0</v>
      </c>
      <c r="E531" s="5">
        <f>IF(OR(INDEX($W$2:$W$1001,MATCH(ROWS($V$2:V531),$V$2:$V$1001,0),1)&gt;=100000,INDEX($AC$1005:$AS$1005,1,MATCH(COLUMNS($AC$1006:AF1006),$AC$1006:$AS$1006,0))&gt;=100000), " ",IF(INDEX($AC$2:$AS$1001,MATCH(ROWS($V$2:V531),$V$2:$V$1001,0),MATCH(COLUMNS($AC$1006:AF1006),$AC$1006:$AS$1006,0)), HYPERLINK("#",""), HYPERLINK(CONCATENATE("#Metadata!", ADDRESS(INDEX($X$2:$X$1001,MATCH(ROWS($V$2:V531),$V$2:$V$1001,0),0), INDEX($AC$1004:$AS$1004,1,MATCH(COLUMNS($AC$1006:AF1006),$AC$1006:$AS$1006,0)))),"Fix")))</f>
        <v>0</v>
      </c>
      <c r="F531" s="5">
        <f>IF(OR(INDEX($W$2:$W$1001,MATCH(ROWS($V$2:V531),$V$2:$V$1001,0),1)&gt;=100000,INDEX($AC$1005:$AS$1005,1,MATCH(COLUMNS($AC$1006:AG1006),$AC$1006:$AS$1006,0))&gt;=100000), " ",IF(INDEX($AC$2:$AS$1001,MATCH(ROWS($V$2:V531),$V$2:$V$1001,0),MATCH(COLUMNS($AC$1006:AG1006),$AC$1006:$AS$1006,0)), HYPERLINK("#",""), HYPERLINK(CONCATENATE("#Metadata!", ADDRESS(INDEX($X$2:$X$1001,MATCH(ROWS($V$2:V531),$V$2:$V$1001,0),0), INDEX($AC$1004:$AS$1004,1,MATCH(COLUMNS($AC$1006:AG1006),$AC$1006:$AS$1006,0)))),"Fix")))</f>
        <v>0</v>
      </c>
      <c r="G531" s="5">
        <f>IF(OR(INDEX($W$2:$W$1001,MATCH(ROWS($V$2:V531),$V$2:$V$1001,0),1)&gt;=100000,INDEX($AC$1005:$AS$1005,1,MATCH(COLUMNS($AC$1006:AH1006),$AC$1006:$AS$1006,0))&gt;=100000), " ",IF(INDEX($AC$2:$AS$1001,MATCH(ROWS($V$2:V531),$V$2:$V$1001,0),MATCH(COLUMNS($AC$1006:AH1006),$AC$1006:$AS$1006,0)), HYPERLINK("#",""), HYPERLINK(CONCATENATE("#Metadata!", ADDRESS(INDEX($X$2:$X$1001,MATCH(ROWS($V$2:V531),$V$2:$V$1001,0),0), INDEX($AC$1004:$AS$1004,1,MATCH(COLUMNS($AC$1006:AH1006),$AC$1006:$AS$1006,0)))),"Fix")))</f>
        <v>0</v>
      </c>
      <c r="H531" s="5">
        <f>IF(OR(INDEX($W$2:$W$1001,MATCH(ROWS($V$2:V531),$V$2:$V$1001,0),1)&gt;=100000,INDEX($AC$1005:$AS$1005,1,MATCH(COLUMNS($AC$1006:AI1006),$AC$1006:$AS$1006,0))&gt;=100000), " ",IF(INDEX($AC$2:$AS$1001,MATCH(ROWS($V$2:V531),$V$2:$V$1001,0),MATCH(COLUMNS($AC$1006:AI1006),$AC$1006:$AS$1006,0)), HYPERLINK("#",""), HYPERLINK(CONCATENATE("#Metadata!", ADDRESS(INDEX($X$2:$X$1001,MATCH(ROWS($V$2:V531),$V$2:$V$1001,0),0), INDEX($AC$1004:$AS$1004,1,MATCH(COLUMNS($AC$1006:AI1006),$AC$1006:$AS$1006,0)))),"Fix")))</f>
        <v>0</v>
      </c>
      <c r="I531" s="5">
        <f>IF(OR(INDEX($W$2:$W$1001,MATCH(ROWS($V$2:V531),$V$2:$V$1001,0),1)&gt;=100000,INDEX($AC$1005:$AS$1005,1,MATCH(COLUMNS($AC$1006:AJ1006),$AC$1006:$AS$1006,0))&gt;=100000), " ",IF(INDEX($AC$2:$AS$1001,MATCH(ROWS($V$2:V531),$V$2:$V$1001,0),MATCH(COLUMNS($AC$1006:AJ1006),$AC$1006:$AS$1006,0)), HYPERLINK("#",""), HYPERLINK(CONCATENATE("#Metadata!", ADDRESS(INDEX($X$2:$X$1001,MATCH(ROWS($V$2:V531),$V$2:$V$1001,0),0), INDEX($AC$1004:$AS$1004,1,MATCH(COLUMNS($AC$1006:AJ1006),$AC$1006:$AS$1006,0)))),"Fix")))</f>
        <v>0</v>
      </c>
      <c r="J531" s="5">
        <f>IF(OR(INDEX($W$2:$W$1001,MATCH(ROWS($V$2:V531),$V$2:$V$1001,0),1)&gt;=100000,INDEX($AC$1005:$AS$1005,1,MATCH(COLUMNS($AC$1006:AK1006),$AC$1006:$AS$1006,0))&gt;=100000), " ",IF(INDEX($AC$2:$AS$1001,MATCH(ROWS($V$2:V531),$V$2:$V$1001,0),MATCH(COLUMNS($AC$1006:AK1006),$AC$1006:$AS$1006,0)), HYPERLINK("#",""), HYPERLINK(CONCATENATE("#Metadata!", ADDRESS(INDEX($X$2:$X$1001,MATCH(ROWS($V$2:V531),$V$2:$V$1001,0),0), INDEX($AC$1004:$AS$1004,1,MATCH(COLUMNS($AC$1006:AK1006),$AC$1006:$AS$1006,0)))),"Fix")))</f>
        <v>0</v>
      </c>
      <c r="K531" s="5">
        <f>IF(OR(INDEX($W$2:$W$1001,MATCH(ROWS($V$2:V531),$V$2:$V$1001,0),1)&gt;=100000,INDEX($AC$1005:$AS$1005,1,MATCH(COLUMNS($AC$1006:AL1006),$AC$1006:$AS$1006,0))&gt;=100000), " ",IF(INDEX($AC$2:$AS$1001,MATCH(ROWS($V$2:V531),$V$2:$V$1001,0),MATCH(COLUMNS($AC$1006:AL1006),$AC$1006:$AS$1006,0)), HYPERLINK("#",""), HYPERLINK(CONCATENATE("#Metadata!", ADDRESS(INDEX($X$2:$X$1001,MATCH(ROWS($V$2:V531),$V$2:$V$1001,0),0), INDEX($AC$1004:$AS$1004,1,MATCH(COLUMNS($AC$1006:AL1006),$AC$1006:$AS$1006,0)))),"Fix")))</f>
        <v>0</v>
      </c>
      <c r="L531" s="5">
        <f>IF(OR(INDEX($W$2:$W$1001,MATCH(ROWS($V$2:V531),$V$2:$V$1001,0),1)&gt;=100000,INDEX($AC$1005:$AS$1005,1,MATCH(COLUMNS($AC$1006:AM1006),$AC$1006:$AS$1006,0))&gt;=100000), " ",IF(INDEX($AC$2:$AS$1001,MATCH(ROWS($V$2:V531),$V$2:$V$1001,0),MATCH(COLUMNS($AC$1006:AM1006),$AC$1006:$AS$1006,0)), HYPERLINK("#",""), HYPERLINK(CONCATENATE("#Metadata!", ADDRESS(INDEX($X$2:$X$1001,MATCH(ROWS($V$2:V531),$V$2:$V$1001,0),0), INDEX($AC$1004:$AS$1004,1,MATCH(COLUMNS($AC$1006:AM1006),$AC$1006:$AS$1006,0)))),"Fix")))</f>
        <v>0</v>
      </c>
      <c r="M531" s="5">
        <f>IF(OR(INDEX($W$2:$W$1001,MATCH(ROWS($V$2:V531),$V$2:$V$1001,0),1)&gt;=100000,INDEX($AC$1005:$AS$1005,1,MATCH(COLUMNS($AC$1006:AN1006),$AC$1006:$AS$1006,0))&gt;=100000), " ",IF(INDEX($AC$2:$AS$1001,MATCH(ROWS($V$2:V531),$V$2:$V$1001,0),MATCH(COLUMNS($AC$1006:AN1006),$AC$1006:$AS$1006,0)), HYPERLINK("#",""), HYPERLINK(CONCATENATE("#Metadata!", ADDRESS(INDEX($X$2:$X$1001,MATCH(ROWS($V$2:V531),$V$2:$V$1001,0),0), INDEX($AC$1004:$AS$1004,1,MATCH(COLUMNS($AC$1006:AN1006),$AC$1006:$AS$1006,0)))),"Fix")))</f>
        <v>0</v>
      </c>
      <c r="N531" s="5">
        <f>IF(OR(INDEX($W$2:$W$1001,MATCH(ROWS($V$2:V531),$V$2:$V$1001,0),1)&gt;=100000,INDEX($AC$1005:$AS$1005,1,MATCH(COLUMNS($AC$1006:AO1006),$AC$1006:$AS$1006,0))&gt;=100000), " ",IF(INDEX($AC$2:$AS$1001,MATCH(ROWS($V$2:V531),$V$2:$V$1001,0),MATCH(COLUMNS($AC$1006:AO1006),$AC$1006:$AS$1006,0)), HYPERLINK("#",""), HYPERLINK(CONCATENATE("#Metadata!", ADDRESS(INDEX($X$2:$X$1001,MATCH(ROWS($V$2:V531),$V$2:$V$1001,0),0), INDEX($AC$1004:$AS$1004,1,MATCH(COLUMNS($AC$1006:AO1006),$AC$1006:$AS$1006,0)))),"Fix")))</f>
        <v>0</v>
      </c>
      <c r="O531" s="5">
        <f>IF(OR(INDEX($W$2:$W$1001,MATCH(ROWS($V$2:V531),$V$2:$V$1001,0),1)&gt;=100000,INDEX($AC$1005:$AS$1005,1,MATCH(COLUMNS($AC$1006:AP1006),$AC$1006:$AS$1006,0))&gt;=100000), " ",IF(INDEX($AC$2:$AS$1001,MATCH(ROWS($V$2:V531),$V$2:$V$1001,0),MATCH(COLUMNS($AC$1006:AP1006),$AC$1006:$AS$1006,0)), HYPERLINK("#",""), HYPERLINK(CONCATENATE("#Metadata!", ADDRESS(INDEX($X$2:$X$1001,MATCH(ROWS($V$2:V531),$V$2:$V$1001,0),0), INDEX($AC$1004:$AS$1004,1,MATCH(COLUMNS($AC$1006:AP1006),$AC$1006:$AS$1006,0)))),"Fix")))</f>
        <v>0</v>
      </c>
      <c r="P531" s="5">
        <f>IF(OR(INDEX($W$2:$W$1001,MATCH(ROWS($V$2:V531),$V$2:$V$1001,0),1)&gt;=100000,INDEX($AC$1005:$AS$1005,1,MATCH(COLUMNS($AC$1006:AQ1006),$AC$1006:$AS$1006,0))&gt;=100000), " ",IF(INDEX($AC$2:$AS$1001,MATCH(ROWS($V$2:V531),$V$2:$V$1001,0),MATCH(COLUMNS($AC$1006:AQ1006),$AC$1006:$AS$1006,0)), HYPERLINK("#",""), HYPERLINK(CONCATENATE("#Metadata!", ADDRESS(INDEX($X$2:$X$1001,MATCH(ROWS($V$2:V531),$V$2:$V$1001,0),0), INDEX($AC$1004:$AS$1004,1,MATCH(COLUMNS($AC$1006:AQ1006),$AC$1006:$AS$1006,0)))),"Fix")))</f>
        <v>0</v>
      </c>
      <c r="Q531" s="5">
        <f>IF(OR(INDEX($W$2:$W$1001,MATCH(ROWS($V$2:V531),$V$2:$V$1001,0),1)&gt;=100000,INDEX($AC$1005:$AS$1005,1,MATCH(COLUMNS($AC$1006:AR1006),$AC$1006:$AS$1006,0))&gt;=100000), " ",IF(INDEX($AC$2:$AS$1001,MATCH(ROWS($V$2:V531),$V$2:$V$1001,0),MATCH(COLUMNS($AC$1006:AR1006),$AC$1006:$AS$1006,0)), HYPERLINK("#",""), HYPERLINK(CONCATENATE("#Metadata!", ADDRESS(INDEX($X$2:$X$1001,MATCH(ROWS($V$2:V531),$V$2:$V$1001,0),0), INDEX($AC$1004:$AS$1004,1,MATCH(COLUMNS($AC$1006:AR1006),$AC$1006:$AS$1006,0)))),"Fix")))</f>
        <v>0</v>
      </c>
      <c r="R531" s="5">
        <f>IF(OR(INDEX($W$2:$W$1001,MATCH(ROWS($V$2:V531),$V$2:$V$1001,0),1)&gt;=100000,INDEX($AC$1005:$AS$1005,1,MATCH(COLUMNS($AC$1006:AS1006),$AC$1006:$AS$1006,0))&gt;=100000), " ",IF(INDEX($AC$2:$AS$1001,MATCH(ROWS($V$2:V531),$V$2:$V$1001,0),MATCH(COLUMNS($AC$1006:AS1006),$AC$1006:$AS$1006,0)), HYPERLINK("#",""), HYPERLINK(CONCATENATE("#Metadata!", ADDRESS(INDEX($X$2:$X$1001,MATCH(ROWS($V$2:V531),$V$2:$V$1001,0),0), INDEX($AC$1004:$AS$1004,1,MATCH(COLUMNS($AC$1006:AS1006),$AC$1006:$AS$1006,0)))),"Fix")))</f>
        <v>0</v>
      </c>
      <c r="V531">
        <v>0</v>
      </c>
      <c r="W531">
        <v>0</v>
      </c>
      <c r="X531">
        <v>0</v>
      </c>
      <c r="Y531">
        <f>IF(Z531,TRUE,AND(AC531:AS531))</f>
        <v>0</v>
      </c>
      <c r="Z531">
        <f>COUNTBLANK(Metadata!B531:R531)=COLUMNS(Metadata!B531:R531)</f>
        <v>0</v>
      </c>
      <c r="AA531">
        <v>0</v>
      </c>
      <c r="AC531">
        <f>AND(IF(Metadata!B531="",FALSE,TRUE),COUNTIF(Metadata!B:B, Metadata!B531) = 1,NOT(ISERROR(SUMPRODUCT(SEARCH(MID(Metadata!B531,ROW(INDIRECT("1:"&amp;LEN(Metadata!B531))), 1),"0123456789abcdefghijklmnopqrstuvwxyzABCDEFGHIJKLMNOPQRSTUVWXYZ.")))))</f>
        <v>0</v>
      </c>
      <c r="AD531">
        <f>AND(IF(Metadata!C531="",FALSE,TRUE),exact(Metadata!C531,"Host-associated"))</f>
        <v>0</v>
      </c>
      <c r="AE531">
        <f>AND(IF(Metadata!D531="",FALSE,TRUE),OR(exact(Metadata!D531,"Animal"),exact(Metadata!D531,"Fungus"),exact(Metadata!D531,"Plant")))</f>
        <v>0</v>
      </c>
      <c r="AF531">
        <f>AND(IF(Metadata!E531="",FALSE,TRUE),OR(exact(Metadata!E531,"Plant secretion"),exact(Metadata!E531,"Plant rhizosphere"),exact(Metadata!E531,"Plant surface"),exact(Metadata!E531,"Plant corpus"),exact(Metadata!E531,"Fungus surface"),exact(Metadata!E531,"Fungus corpus"),exact(Metadata!E531,"Animal surface"),exact(Metadata!E531,"Animal proximal gut"),exact(Metadata!E531,"Animal corpus"),exact(Metadata!E531,"Animal distal gut"),exact(Metadata!E531,"Animal secretion")))</f>
        <v>0</v>
      </c>
      <c r="AG531">
        <f>OR(AND(IF(Metadata!F531="",FALSE,TRUE),OR(exact(Metadata!F531,"not collected"),exact(Metadata!F531,"not provided"),exact(Metadata!F531,"restricted access"))),AND(IF(Metadata!F531="",FALSE,TRUE),OR(exact(Metadata!F531,"organism-associated habitat"),exact(Metadata!F531,"plant-associated habitat"),exact(Metadata!F531,"animal-associated habitat"),exact(Metadata!F531,"insecta-associated habitat"),exact(Metadata!F531,"mammalia-associated habitat"),exact(Metadata!F531,"human-associated habitat"),exact(Metadata!F531,"livestock-associated habitat"))))</f>
        <v>0</v>
      </c>
      <c r="AH531">
        <f>AND(IF(Metadata!G531="",FALSE,TRUE),exact(Metadata!G531,"host-associated"))</f>
        <v>0</v>
      </c>
      <c r="AI531">
        <f>OR(AND(IF(Metadata!H531="",FALSE,TRUE),OR(exact(Metadata!H531,"not collected"),exact(Metadata!H531,"not provided"))),AND(IF(Metadata!H531="",FALSE,ISNUMBER(VALUE(Metadata!H531))),Metadata!H531&gt;0))</f>
        <v>0</v>
      </c>
      <c r="AJ531">
        <f>AND(IF(Metadata!I531="",FALSE,TRUE),exact(Metadata!I531,"years"))</f>
        <v>0</v>
      </c>
      <c r="AK531">
        <f>IF(Metadata!J531="",FALSE,TRUE)</f>
        <v>0</v>
      </c>
      <c r="AL531">
        <f>OR(AND(IF(Metadata!K531="",FALSE,TRUE),OR(exact(Metadata!K531,"not collected"),exact(Metadata!K531,"not provided"))),AND(IF(Metadata!K531="",FALSE,ISNUMBER(VALUE(Metadata!K531))),Metadata!K531&gt;0))</f>
        <v>0</v>
      </c>
      <c r="AM531">
        <f>AND(IF(Metadata!L531="",FALSE,TRUE),exact(Metadata!L531,"cm"))</f>
        <v>0</v>
      </c>
      <c r="AN531">
        <f>IF(Metadata!M531="",FALSE,TRUE)</f>
        <v>0</v>
      </c>
      <c r="AO531">
        <f>OR(AND(IF(Metadata!N531="",FALSE,TRUE),OR(exact(Metadata!N531,"not applicable"),exact(Metadata!N531,"not collected"),exact(Metadata!N531,"not provided"))),AND(IF(Metadata!N531="",FALSE,IF(ISERROR(INT(Metadata!N531)),FALSE,INT(Metadata!N531)=Metadata!N531)),Metadata!N531&gt;0))</f>
        <v>0</v>
      </c>
      <c r="AP531">
        <f>OR(AND(IF(Metadata!O531="",FALSE,TRUE),OR(exact(Metadata!O531,"not collected"),exact(Metadata!O531,"not provided"))),AND(IF(Metadata!O531="",FALSE,ISNUMBER(VALUE(Metadata!O531))),Metadata!O531&gt;0))</f>
        <v>0</v>
      </c>
      <c r="AQ531">
        <f>AND(IF(Metadata!P531="",FALSE,TRUE),exact(Metadata!P531,"kg"))</f>
        <v>0</v>
      </c>
      <c r="AR531">
        <f>OR(AND(IF(Metadata!Q531="",FALSE,TRUE),OR(exact(Metadata!Q531,"not applicable"),exact(Metadata!Q531,"not collected"),exact(Metadata!Q531,"not provided"),exact(Metadata!Q531,"restricted access"))),IF(Metadata!Q531="",FALSE,IF(ISERROR(INT(Metadata!Q531)),FALSE,INT(Metadata!Q531)=Metadata!Q531)))</f>
        <v>0</v>
      </c>
      <c r="AS531">
        <f>AND(IF(Metadata!R531="",FALSE,TRUE),exact(Metadata!R531,"Not applicable"))</f>
        <v>0</v>
      </c>
    </row>
    <row r="532" spans="1:45">
      <c r="A532" s="4">
        <f>IF(B532=" "," ",HYPERLINK(CONCATENATE("#metadata!",ADDRESS(INDEX($X$2:$X$1001,MATCH(ROWS($V$2:V532),$V$2:$V$1001,0),0),2)),INDEX($AA$2:$AA$1001,MATCH(ROWS($V$2:V532),$V$2:$V$1001,0),0)))</f>
        <v>0</v>
      </c>
      <c r="B532" s="5">
        <f>IF(OR(INDEX($W$2:$W$1001,MATCH(ROWS($V$2:V532),$V$2:$V$1001,0),1)&gt;=100000,INDEX($AC$1005:$AS$1005,1,MATCH(COLUMNS($AC$1006:AC1006),$AC$1006:$AS$1006,0))&gt;=100000), " ",IF(INDEX($AC$2:$AS$1001,MATCH(ROWS($V$2:V532),$V$2:$V$1001,0),MATCH(COLUMNS($AC$1006:AC1006),$AC$1006:$AS$1006,0)), HYPERLINK("#",""), HYPERLINK(CONCATENATE("#Metadata!", ADDRESS(INDEX($X$2:$X$1001,MATCH(ROWS($V$2:V532),$V$2:$V$1001,0),0), INDEX($AC$1004:$AS$1004,1,MATCH(COLUMNS($AC$1006:AC1006),$AC$1006:$AS$1006,0)))),"Fix")))</f>
        <v>0</v>
      </c>
      <c r="C532" s="5">
        <f>IF(OR(INDEX($W$2:$W$1001,MATCH(ROWS($V$2:V532),$V$2:$V$1001,0),1)&gt;=100000,INDEX($AC$1005:$AS$1005,1,MATCH(COLUMNS($AC$1006:AD1006),$AC$1006:$AS$1006,0))&gt;=100000), " ",IF(INDEX($AC$2:$AS$1001,MATCH(ROWS($V$2:V532),$V$2:$V$1001,0),MATCH(COLUMNS($AC$1006:AD1006),$AC$1006:$AS$1006,0)), HYPERLINK("#",""), HYPERLINK(CONCATENATE("#Metadata!", ADDRESS(INDEX($X$2:$X$1001,MATCH(ROWS($V$2:V532),$V$2:$V$1001,0),0), INDEX($AC$1004:$AS$1004,1,MATCH(COLUMNS($AC$1006:AD1006),$AC$1006:$AS$1006,0)))),"Fix")))</f>
        <v>0</v>
      </c>
      <c r="D532" s="5">
        <f>IF(OR(INDEX($W$2:$W$1001,MATCH(ROWS($V$2:V532),$V$2:$V$1001,0),1)&gt;=100000,INDEX($AC$1005:$AS$1005,1,MATCH(COLUMNS($AC$1006:AE1006),$AC$1006:$AS$1006,0))&gt;=100000), " ",IF(INDEX($AC$2:$AS$1001,MATCH(ROWS($V$2:V532),$V$2:$V$1001,0),MATCH(COLUMNS($AC$1006:AE1006),$AC$1006:$AS$1006,0)), HYPERLINK("#",""), HYPERLINK(CONCATENATE("#Metadata!", ADDRESS(INDEX($X$2:$X$1001,MATCH(ROWS($V$2:V532),$V$2:$V$1001,0),0), INDEX($AC$1004:$AS$1004,1,MATCH(COLUMNS($AC$1006:AE1006),$AC$1006:$AS$1006,0)))),"Fix")))</f>
        <v>0</v>
      </c>
      <c r="E532" s="5">
        <f>IF(OR(INDEX($W$2:$W$1001,MATCH(ROWS($V$2:V532),$V$2:$V$1001,0),1)&gt;=100000,INDEX($AC$1005:$AS$1005,1,MATCH(COLUMNS($AC$1006:AF1006),$AC$1006:$AS$1006,0))&gt;=100000), " ",IF(INDEX($AC$2:$AS$1001,MATCH(ROWS($V$2:V532),$V$2:$V$1001,0),MATCH(COLUMNS($AC$1006:AF1006),$AC$1006:$AS$1006,0)), HYPERLINK("#",""), HYPERLINK(CONCATENATE("#Metadata!", ADDRESS(INDEX($X$2:$X$1001,MATCH(ROWS($V$2:V532),$V$2:$V$1001,0),0), INDEX($AC$1004:$AS$1004,1,MATCH(COLUMNS($AC$1006:AF1006),$AC$1006:$AS$1006,0)))),"Fix")))</f>
        <v>0</v>
      </c>
      <c r="F532" s="5">
        <f>IF(OR(INDEX($W$2:$W$1001,MATCH(ROWS($V$2:V532),$V$2:$V$1001,0),1)&gt;=100000,INDEX($AC$1005:$AS$1005,1,MATCH(COLUMNS($AC$1006:AG1006),$AC$1006:$AS$1006,0))&gt;=100000), " ",IF(INDEX($AC$2:$AS$1001,MATCH(ROWS($V$2:V532),$V$2:$V$1001,0),MATCH(COLUMNS($AC$1006:AG1006),$AC$1006:$AS$1006,0)), HYPERLINK("#",""), HYPERLINK(CONCATENATE("#Metadata!", ADDRESS(INDEX($X$2:$X$1001,MATCH(ROWS($V$2:V532),$V$2:$V$1001,0),0), INDEX($AC$1004:$AS$1004,1,MATCH(COLUMNS($AC$1006:AG1006),$AC$1006:$AS$1006,0)))),"Fix")))</f>
        <v>0</v>
      </c>
      <c r="G532" s="5">
        <f>IF(OR(INDEX($W$2:$W$1001,MATCH(ROWS($V$2:V532),$V$2:$V$1001,0),1)&gt;=100000,INDEX($AC$1005:$AS$1005,1,MATCH(COLUMNS($AC$1006:AH1006),$AC$1006:$AS$1006,0))&gt;=100000), " ",IF(INDEX($AC$2:$AS$1001,MATCH(ROWS($V$2:V532),$V$2:$V$1001,0),MATCH(COLUMNS($AC$1006:AH1006),$AC$1006:$AS$1006,0)), HYPERLINK("#",""), HYPERLINK(CONCATENATE("#Metadata!", ADDRESS(INDEX($X$2:$X$1001,MATCH(ROWS($V$2:V532),$V$2:$V$1001,0),0), INDEX($AC$1004:$AS$1004,1,MATCH(COLUMNS($AC$1006:AH1006),$AC$1006:$AS$1006,0)))),"Fix")))</f>
        <v>0</v>
      </c>
      <c r="H532" s="5">
        <f>IF(OR(INDEX($W$2:$W$1001,MATCH(ROWS($V$2:V532),$V$2:$V$1001,0),1)&gt;=100000,INDEX($AC$1005:$AS$1005,1,MATCH(COLUMNS($AC$1006:AI1006),$AC$1006:$AS$1006,0))&gt;=100000), " ",IF(INDEX($AC$2:$AS$1001,MATCH(ROWS($V$2:V532),$V$2:$V$1001,0),MATCH(COLUMNS($AC$1006:AI1006),$AC$1006:$AS$1006,0)), HYPERLINK("#",""), HYPERLINK(CONCATENATE("#Metadata!", ADDRESS(INDEX($X$2:$X$1001,MATCH(ROWS($V$2:V532),$V$2:$V$1001,0),0), INDEX($AC$1004:$AS$1004,1,MATCH(COLUMNS($AC$1006:AI1006),$AC$1006:$AS$1006,0)))),"Fix")))</f>
        <v>0</v>
      </c>
      <c r="I532" s="5">
        <f>IF(OR(INDEX($W$2:$W$1001,MATCH(ROWS($V$2:V532),$V$2:$V$1001,0),1)&gt;=100000,INDEX($AC$1005:$AS$1005,1,MATCH(COLUMNS($AC$1006:AJ1006),$AC$1006:$AS$1006,0))&gt;=100000), " ",IF(INDEX($AC$2:$AS$1001,MATCH(ROWS($V$2:V532),$V$2:$V$1001,0),MATCH(COLUMNS($AC$1006:AJ1006),$AC$1006:$AS$1006,0)), HYPERLINK("#",""), HYPERLINK(CONCATENATE("#Metadata!", ADDRESS(INDEX($X$2:$X$1001,MATCH(ROWS($V$2:V532),$V$2:$V$1001,0),0), INDEX($AC$1004:$AS$1004,1,MATCH(COLUMNS($AC$1006:AJ1006),$AC$1006:$AS$1006,0)))),"Fix")))</f>
        <v>0</v>
      </c>
      <c r="J532" s="5">
        <f>IF(OR(INDEX($W$2:$W$1001,MATCH(ROWS($V$2:V532),$V$2:$V$1001,0),1)&gt;=100000,INDEX($AC$1005:$AS$1005,1,MATCH(COLUMNS($AC$1006:AK1006),$AC$1006:$AS$1006,0))&gt;=100000), " ",IF(INDEX($AC$2:$AS$1001,MATCH(ROWS($V$2:V532),$V$2:$V$1001,0),MATCH(COLUMNS($AC$1006:AK1006),$AC$1006:$AS$1006,0)), HYPERLINK("#",""), HYPERLINK(CONCATENATE("#Metadata!", ADDRESS(INDEX($X$2:$X$1001,MATCH(ROWS($V$2:V532),$V$2:$V$1001,0),0), INDEX($AC$1004:$AS$1004,1,MATCH(COLUMNS($AC$1006:AK1006),$AC$1006:$AS$1006,0)))),"Fix")))</f>
        <v>0</v>
      </c>
      <c r="K532" s="5">
        <f>IF(OR(INDEX($W$2:$W$1001,MATCH(ROWS($V$2:V532),$V$2:$V$1001,0),1)&gt;=100000,INDEX($AC$1005:$AS$1005,1,MATCH(COLUMNS($AC$1006:AL1006),$AC$1006:$AS$1006,0))&gt;=100000), " ",IF(INDEX($AC$2:$AS$1001,MATCH(ROWS($V$2:V532),$V$2:$V$1001,0),MATCH(COLUMNS($AC$1006:AL1006),$AC$1006:$AS$1006,0)), HYPERLINK("#",""), HYPERLINK(CONCATENATE("#Metadata!", ADDRESS(INDEX($X$2:$X$1001,MATCH(ROWS($V$2:V532),$V$2:$V$1001,0),0), INDEX($AC$1004:$AS$1004,1,MATCH(COLUMNS($AC$1006:AL1006),$AC$1006:$AS$1006,0)))),"Fix")))</f>
        <v>0</v>
      </c>
      <c r="L532" s="5">
        <f>IF(OR(INDEX($W$2:$W$1001,MATCH(ROWS($V$2:V532),$V$2:$V$1001,0),1)&gt;=100000,INDEX($AC$1005:$AS$1005,1,MATCH(COLUMNS($AC$1006:AM1006),$AC$1006:$AS$1006,0))&gt;=100000), " ",IF(INDEX($AC$2:$AS$1001,MATCH(ROWS($V$2:V532),$V$2:$V$1001,0),MATCH(COLUMNS($AC$1006:AM1006),$AC$1006:$AS$1006,0)), HYPERLINK("#",""), HYPERLINK(CONCATENATE("#Metadata!", ADDRESS(INDEX($X$2:$X$1001,MATCH(ROWS($V$2:V532),$V$2:$V$1001,0),0), INDEX($AC$1004:$AS$1004,1,MATCH(COLUMNS($AC$1006:AM1006),$AC$1006:$AS$1006,0)))),"Fix")))</f>
        <v>0</v>
      </c>
      <c r="M532" s="5">
        <f>IF(OR(INDEX($W$2:$W$1001,MATCH(ROWS($V$2:V532),$V$2:$V$1001,0),1)&gt;=100000,INDEX($AC$1005:$AS$1005,1,MATCH(COLUMNS($AC$1006:AN1006),$AC$1006:$AS$1006,0))&gt;=100000), " ",IF(INDEX($AC$2:$AS$1001,MATCH(ROWS($V$2:V532),$V$2:$V$1001,0),MATCH(COLUMNS($AC$1006:AN1006),$AC$1006:$AS$1006,0)), HYPERLINK("#",""), HYPERLINK(CONCATENATE("#Metadata!", ADDRESS(INDEX($X$2:$X$1001,MATCH(ROWS($V$2:V532),$V$2:$V$1001,0),0), INDEX($AC$1004:$AS$1004,1,MATCH(COLUMNS($AC$1006:AN1006),$AC$1006:$AS$1006,0)))),"Fix")))</f>
        <v>0</v>
      </c>
      <c r="N532" s="5">
        <f>IF(OR(INDEX($W$2:$W$1001,MATCH(ROWS($V$2:V532),$V$2:$V$1001,0),1)&gt;=100000,INDEX($AC$1005:$AS$1005,1,MATCH(COLUMNS($AC$1006:AO1006),$AC$1006:$AS$1006,0))&gt;=100000), " ",IF(INDEX($AC$2:$AS$1001,MATCH(ROWS($V$2:V532),$V$2:$V$1001,0),MATCH(COLUMNS($AC$1006:AO1006),$AC$1006:$AS$1006,0)), HYPERLINK("#",""), HYPERLINK(CONCATENATE("#Metadata!", ADDRESS(INDEX($X$2:$X$1001,MATCH(ROWS($V$2:V532),$V$2:$V$1001,0),0), INDEX($AC$1004:$AS$1004,1,MATCH(COLUMNS($AC$1006:AO1006),$AC$1006:$AS$1006,0)))),"Fix")))</f>
        <v>0</v>
      </c>
      <c r="O532" s="5">
        <f>IF(OR(INDEX($W$2:$W$1001,MATCH(ROWS($V$2:V532),$V$2:$V$1001,0),1)&gt;=100000,INDEX($AC$1005:$AS$1005,1,MATCH(COLUMNS($AC$1006:AP1006),$AC$1006:$AS$1006,0))&gt;=100000), " ",IF(INDEX($AC$2:$AS$1001,MATCH(ROWS($V$2:V532),$V$2:$V$1001,0),MATCH(COLUMNS($AC$1006:AP1006),$AC$1006:$AS$1006,0)), HYPERLINK("#",""), HYPERLINK(CONCATENATE("#Metadata!", ADDRESS(INDEX($X$2:$X$1001,MATCH(ROWS($V$2:V532),$V$2:$V$1001,0),0), INDEX($AC$1004:$AS$1004,1,MATCH(COLUMNS($AC$1006:AP1006),$AC$1006:$AS$1006,0)))),"Fix")))</f>
        <v>0</v>
      </c>
      <c r="P532" s="5">
        <f>IF(OR(INDEX($W$2:$W$1001,MATCH(ROWS($V$2:V532),$V$2:$V$1001,0),1)&gt;=100000,INDEX($AC$1005:$AS$1005,1,MATCH(COLUMNS($AC$1006:AQ1006),$AC$1006:$AS$1006,0))&gt;=100000), " ",IF(INDEX($AC$2:$AS$1001,MATCH(ROWS($V$2:V532),$V$2:$V$1001,0),MATCH(COLUMNS($AC$1006:AQ1006),$AC$1006:$AS$1006,0)), HYPERLINK("#",""), HYPERLINK(CONCATENATE("#Metadata!", ADDRESS(INDEX($X$2:$X$1001,MATCH(ROWS($V$2:V532),$V$2:$V$1001,0),0), INDEX($AC$1004:$AS$1004,1,MATCH(COLUMNS($AC$1006:AQ1006),$AC$1006:$AS$1006,0)))),"Fix")))</f>
        <v>0</v>
      </c>
      <c r="Q532" s="5">
        <f>IF(OR(INDEX($W$2:$W$1001,MATCH(ROWS($V$2:V532),$V$2:$V$1001,0),1)&gt;=100000,INDEX($AC$1005:$AS$1005,1,MATCH(COLUMNS($AC$1006:AR1006),$AC$1006:$AS$1006,0))&gt;=100000), " ",IF(INDEX($AC$2:$AS$1001,MATCH(ROWS($V$2:V532),$V$2:$V$1001,0),MATCH(COLUMNS($AC$1006:AR1006),$AC$1006:$AS$1006,0)), HYPERLINK("#",""), HYPERLINK(CONCATENATE("#Metadata!", ADDRESS(INDEX($X$2:$X$1001,MATCH(ROWS($V$2:V532),$V$2:$V$1001,0),0), INDEX($AC$1004:$AS$1004,1,MATCH(COLUMNS($AC$1006:AR1006),$AC$1006:$AS$1006,0)))),"Fix")))</f>
        <v>0</v>
      </c>
      <c r="R532" s="5">
        <f>IF(OR(INDEX($W$2:$W$1001,MATCH(ROWS($V$2:V532),$V$2:$V$1001,0),1)&gt;=100000,INDEX($AC$1005:$AS$1005,1,MATCH(COLUMNS($AC$1006:AS1006),$AC$1006:$AS$1006,0))&gt;=100000), " ",IF(INDEX($AC$2:$AS$1001,MATCH(ROWS($V$2:V532),$V$2:$V$1001,0),MATCH(COLUMNS($AC$1006:AS1006),$AC$1006:$AS$1006,0)), HYPERLINK("#",""), HYPERLINK(CONCATENATE("#Metadata!", ADDRESS(INDEX($X$2:$X$1001,MATCH(ROWS($V$2:V532),$V$2:$V$1001,0),0), INDEX($AC$1004:$AS$1004,1,MATCH(COLUMNS($AC$1006:AS1006),$AC$1006:$AS$1006,0)))),"Fix")))</f>
        <v>0</v>
      </c>
      <c r="V532">
        <v>0</v>
      </c>
      <c r="W532">
        <v>0</v>
      </c>
      <c r="X532">
        <v>0</v>
      </c>
      <c r="Y532">
        <f>IF(Z532,TRUE,AND(AC532:AS532))</f>
        <v>0</v>
      </c>
      <c r="Z532">
        <f>COUNTBLANK(Metadata!B532:R532)=COLUMNS(Metadata!B532:R532)</f>
        <v>0</v>
      </c>
      <c r="AA532">
        <v>0</v>
      </c>
      <c r="AC532">
        <f>AND(IF(Metadata!B532="",FALSE,TRUE),COUNTIF(Metadata!B:B, Metadata!B532) = 1,NOT(ISERROR(SUMPRODUCT(SEARCH(MID(Metadata!B532,ROW(INDIRECT("1:"&amp;LEN(Metadata!B532))), 1),"0123456789abcdefghijklmnopqrstuvwxyzABCDEFGHIJKLMNOPQRSTUVWXYZ.")))))</f>
        <v>0</v>
      </c>
      <c r="AD532">
        <f>AND(IF(Metadata!C532="",FALSE,TRUE),exact(Metadata!C532,"Host-associated"))</f>
        <v>0</v>
      </c>
      <c r="AE532">
        <f>AND(IF(Metadata!D532="",FALSE,TRUE),OR(exact(Metadata!D532,"Animal"),exact(Metadata!D532,"Fungus"),exact(Metadata!D532,"Plant")))</f>
        <v>0</v>
      </c>
      <c r="AF532">
        <f>AND(IF(Metadata!E532="",FALSE,TRUE),OR(exact(Metadata!E532,"Plant secretion"),exact(Metadata!E532,"Plant rhizosphere"),exact(Metadata!E532,"Plant surface"),exact(Metadata!E532,"Plant corpus"),exact(Metadata!E532,"Fungus surface"),exact(Metadata!E532,"Fungus corpus"),exact(Metadata!E532,"Animal surface"),exact(Metadata!E532,"Animal proximal gut"),exact(Metadata!E532,"Animal corpus"),exact(Metadata!E532,"Animal distal gut"),exact(Metadata!E532,"Animal secretion")))</f>
        <v>0</v>
      </c>
      <c r="AG532">
        <f>OR(AND(IF(Metadata!F532="",FALSE,TRUE),OR(exact(Metadata!F532,"not collected"),exact(Metadata!F532,"not provided"),exact(Metadata!F532,"restricted access"))),AND(IF(Metadata!F532="",FALSE,TRUE),OR(exact(Metadata!F532,"organism-associated habitat"),exact(Metadata!F532,"plant-associated habitat"),exact(Metadata!F532,"animal-associated habitat"),exact(Metadata!F532,"insecta-associated habitat"),exact(Metadata!F532,"mammalia-associated habitat"),exact(Metadata!F532,"human-associated habitat"),exact(Metadata!F532,"livestock-associated habitat"))))</f>
        <v>0</v>
      </c>
      <c r="AH532">
        <f>AND(IF(Metadata!G532="",FALSE,TRUE),exact(Metadata!G532,"host-associated"))</f>
        <v>0</v>
      </c>
      <c r="AI532">
        <f>OR(AND(IF(Metadata!H532="",FALSE,TRUE),OR(exact(Metadata!H532,"not collected"),exact(Metadata!H532,"not provided"))),AND(IF(Metadata!H532="",FALSE,ISNUMBER(VALUE(Metadata!H532))),Metadata!H532&gt;0))</f>
        <v>0</v>
      </c>
      <c r="AJ532">
        <f>AND(IF(Metadata!I532="",FALSE,TRUE),exact(Metadata!I532,"years"))</f>
        <v>0</v>
      </c>
      <c r="AK532">
        <f>IF(Metadata!J532="",FALSE,TRUE)</f>
        <v>0</v>
      </c>
      <c r="AL532">
        <f>OR(AND(IF(Metadata!K532="",FALSE,TRUE),OR(exact(Metadata!K532,"not collected"),exact(Metadata!K532,"not provided"))),AND(IF(Metadata!K532="",FALSE,ISNUMBER(VALUE(Metadata!K532))),Metadata!K532&gt;0))</f>
        <v>0</v>
      </c>
      <c r="AM532">
        <f>AND(IF(Metadata!L532="",FALSE,TRUE),exact(Metadata!L532,"cm"))</f>
        <v>0</v>
      </c>
      <c r="AN532">
        <f>IF(Metadata!M532="",FALSE,TRUE)</f>
        <v>0</v>
      </c>
      <c r="AO532">
        <f>OR(AND(IF(Metadata!N532="",FALSE,TRUE),OR(exact(Metadata!N532,"not applicable"),exact(Metadata!N532,"not collected"),exact(Metadata!N532,"not provided"))),AND(IF(Metadata!N532="",FALSE,IF(ISERROR(INT(Metadata!N532)),FALSE,INT(Metadata!N532)=Metadata!N532)),Metadata!N532&gt;0))</f>
        <v>0</v>
      </c>
      <c r="AP532">
        <f>OR(AND(IF(Metadata!O532="",FALSE,TRUE),OR(exact(Metadata!O532,"not collected"),exact(Metadata!O532,"not provided"))),AND(IF(Metadata!O532="",FALSE,ISNUMBER(VALUE(Metadata!O532))),Metadata!O532&gt;0))</f>
        <v>0</v>
      </c>
      <c r="AQ532">
        <f>AND(IF(Metadata!P532="",FALSE,TRUE),exact(Metadata!P532,"kg"))</f>
        <v>0</v>
      </c>
      <c r="AR532">
        <f>OR(AND(IF(Metadata!Q532="",FALSE,TRUE),OR(exact(Metadata!Q532,"not applicable"),exact(Metadata!Q532,"not collected"),exact(Metadata!Q532,"not provided"),exact(Metadata!Q532,"restricted access"))),IF(Metadata!Q532="",FALSE,IF(ISERROR(INT(Metadata!Q532)),FALSE,INT(Metadata!Q532)=Metadata!Q532)))</f>
        <v>0</v>
      </c>
      <c r="AS532">
        <f>AND(IF(Metadata!R532="",FALSE,TRUE),exact(Metadata!R532,"Not applicable"))</f>
        <v>0</v>
      </c>
    </row>
    <row r="533" spans="1:45">
      <c r="A533" s="4">
        <f>IF(B533=" "," ",HYPERLINK(CONCATENATE("#metadata!",ADDRESS(INDEX($X$2:$X$1001,MATCH(ROWS($V$2:V533),$V$2:$V$1001,0),0),2)),INDEX($AA$2:$AA$1001,MATCH(ROWS($V$2:V533),$V$2:$V$1001,0),0)))</f>
        <v>0</v>
      </c>
      <c r="B533" s="5">
        <f>IF(OR(INDEX($W$2:$W$1001,MATCH(ROWS($V$2:V533),$V$2:$V$1001,0),1)&gt;=100000,INDEX($AC$1005:$AS$1005,1,MATCH(COLUMNS($AC$1006:AC1006),$AC$1006:$AS$1006,0))&gt;=100000), " ",IF(INDEX($AC$2:$AS$1001,MATCH(ROWS($V$2:V533),$V$2:$V$1001,0),MATCH(COLUMNS($AC$1006:AC1006),$AC$1006:$AS$1006,0)), HYPERLINK("#",""), HYPERLINK(CONCATENATE("#Metadata!", ADDRESS(INDEX($X$2:$X$1001,MATCH(ROWS($V$2:V533),$V$2:$V$1001,0),0), INDEX($AC$1004:$AS$1004,1,MATCH(COLUMNS($AC$1006:AC1006),$AC$1006:$AS$1006,0)))),"Fix")))</f>
        <v>0</v>
      </c>
      <c r="C533" s="5">
        <f>IF(OR(INDEX($W$2:$W$1001,MATCH(ROWS($V$2:V533),$V$2:$V$1001,0),1)&gt;=100000,INDEX($AC$1005:$AS$1005,1,MATCH(COLUMNS($AC$1006:AD1006),$AC$1006:$AS$1006,0))&gt;=100000), " ",IF(INDEX($AC$2:$AS$1001,MATCH(ROWS($V$2:V533),$V$2:$V$1001,0),MATCH(COLUMNS($AC$1006:AD1006),$AC$1006:$AS$1006,0)), HYPERLINK("#",""), HYPERLINK(CONCATENATE("#Metadata!", ADDRESS(INDEX($X$2:$X$1001,MATCH(ROWS($V$2:V533),$V$2:$V$1001,0),0), INDEX($AC$1004:$AS$1004,1,MATCH(COLUMNS($AC$1006:AD1006),$AC$1006:$AS$1006,0)))),"Fix")))</f>
        <v>0</v>
      </c>
      <c r="D533" s="5">
        <f>IF(OR(INDEX($W$2:$W$1001,MATCH(ROWS($V$2:V533),$V$2:$V$1001,0),1)&gt;=100000,INDEX($AC$1005:$AS$1005,1,MATCH(COLUMNS($AC$1006:AE1006),$AC$1006:$AS$1006,0))&gt;=100000), " ",IF(INDEX($AC$2:$AS$1001,MATCH(ROWS($V$2:V533),$V$2:$V$1001,0),MATCH(COLUMNS($AC$1006:AE1006),$AC$1006:$AS$1006,0)), HYPERLINK("#",""), HYPERLINK(CONCATENATE("#Metadata!", ADDRESS(INDEX($X$2:$X$1001,MATCH(ROWS($V$2:V533),$V$2:$V$1001,0),0), INDEX($AC$1004:$AS$1004,1,MATCH(COLUMNS($AC$1006:AE1006),$AC$1006:$AS$1006,0)))),"Fix")))</f>
        <v>0</v>
      </c>
      <c r="E533" s="5">
        <f>IF(OR(INDEX($W$2:$W$1001,MATCH(ROWS($V$2:V533),$V$2:$V$1001,0),1)&gt;=100000,INDEX($AC$1005:$AS$1005,1,MATCH(COLUMNS($AC$1006:AF1006),$AC$1006:$AS$1006,0))&gt;=100000), " ",IF(INDEX($AC$2:$AS$1001,MATCH(ROWS($V$2:V533),$V$2:$V$1001,0),MATCH(COLUMNS($AC$1006:AF1006),$AC$1006:$AS$1006,0)), HYPERLINK("#",""), HYPERLINK(CONCATENATE("#Metadata!", ADDRESS(INDEX($X$2:$X$1001,MATCH(ROWS($V$2:V533),$V$2:$V$1001,0),0), INDEX($AC$1004:$AS$1004,1,MATCH(COLUMNS($AC$1006:AF1006),$AC$1006:$AS$1006,0)))),"Fix")))</f>
        <v>0</v>
      </c>
      <c r="F533" s="5">
        <f>IF(OR(INDEX($W$2:$W$1001,MATCH(ROWS($V$2:V533),$V$2:$V$1001,0),1)&gt;=100000,INDEX($AC$1005:$AS$1005,1,MATCH(COLUMNS($AC$1006:AG1006),$AC$1006:$AS$1006,0))&gt;=100000), " ",IF(INDEX($AC$2:$AS$1001,MATCH(ROWS($V$2:V533),$V$2:$V$1001,0),MATCH(COLUMNS($AC$1006:AG1006),$AC$1006:$AS$1006,0)), HYPERLINK("#",""), HYPERLINK(CONCATENATE("#Metadata!", ADDRESS(INDEX($X$2:$X$1001,MATCH(ROWS($V$2:V533),$V$2:$V$1001,0),0), INDEX($AC$1004:$AS$1004,1,MATCH(COLUMNS($AC$1006:AG1006),$AC$1006:$AS$1006,0)))),"Fix")))</f>
        <v>0</v>
      </c>
      <c r="G533" s="5">
        <f>IF(OR(INDEX($W$2:$W$1001,MATCH(ROWS($V$2:V533),$V$2:$V$1001,0),1)&gt;=100000,INDEX($AC$1005:$AS$1005,1,MATCH(COLUMNS($AC$1006:AH1006),$AC$1006:$AS$1006,0))&gt;=100000), " ",IF(INDEX($AC$2:$AS$1001,MATCH(ROWS($V$2:V533),$V$2:$V$1001,0),MATCH(COLUMNS($AC$1006:AH1006),$AC$1006:$AS$1006,0)), HYPERLINK("#",""), HYPERLINK(CONCATENATE("#Metadata!", ADDRESS(INDEX($X$2:$X$1001,MATCH(ROWS($V$2:V533),$V$2:$V$1001,0),0), INDEX($AC$1004:$AS$1004,1,MATCH(COLUMNS($AC$1006:AH1006),$AC$1006:$AS$1006,0)))),"Fix")))</f>
        <v>0</v>
      </c>
      <c r="H533" s="5">
        <f>IF(OR(INDEX($W$2:$W$1001,MATCH(ROWS($V$2:V533),$V$2:$V$1001,0),1)&gt;=100000,INDEX($AC$1005:$AS$1005,1,MATCH(COLUMNS($AC$1006:AI1006),$AC$1006:$AS$1006,0))&gt;=100000), " ",IF(INDEX($AC$2:$AS$1001,MATCH(ROWS($V$2:V533),$V$2:$V$1001,0),MATCH(COLUMNS($AC$1006:AI1006),$AC$1006:$AS$1006,0)), HYPERLINK("#",""), HYPERLINK(CONCATENATE("#Metadata!", ADDRESS(INDEX($X$2:$X$1001,MATCH(ROWS($V$2:V533),$V$2:$V$1001,0),0), INDEX($AC$1004:$AS$1004,1,MATCH(COLUMNS($AC$1006:AI1006),$AC$1006:$AS$1006,0)))),"Fix")))</f>
        <v>0</v>
      </c>
      <c r="I533" s="5">
        <f>IF(OR(INDEX($W$2:$W$1001,MATCH(ROWS($V$2:V533),$V$2:$V$1001,0),1)&gt;=100000,INDEX($AC$1005:$AS$1005,1,MATCH(COLUMNS($AC$1006:AJ1006),$AC$1006:$AS$1006,0))&gt;=100000), " ",IF(INDEX($AC$2:$AS$1001,MATCH(ROWS($V$2:V533),$V$2:$V$1001,0),MATCH(COLUMNS($AC$1006:AJ1006),$AC$1006:$AS$1006,0)), HYPERLINK("#",""), HYPERLINK(CONCATENATE("#Metadata!", ADDRESS(INDEX($X$2:$X$1001,MATCH(ROWS($V$2:V533),$V$2:$V$1001,0),0), INDEX($AC$1004:$AS$1004,1,MATCH(COLUMNS($AC$1006:AJ1006),$AC$1006:$AS$1006,0)))),"Fix")))</f>
        <v>0</v>
      </c>
      <c r="J533" s="5">
        <f>IF(OR(INDEX($W$2:$W$1001,MATCH(ROWS($V$2:V533),$V$2:$V$1001,0),1)&gt;=100000,INDEX($AC$1005:$AS$1005,1,MATCH(COLUMNS($AC$1006:AK1006),$AC$1006:$AS$1006,0))&gt;=100000), " ",IF(INDEX($AC$2:$AS$1001,MATCH(ROWS($V$2:V533),$V$2:$V$1001,0),MATCH(COLUMNS($AC$1006:AK1006),$AC$1006:$AS$1006,0)), HYPERLINK("#",""), HYPERLINK(CONCATENATE("#Metadata!", ADDRESS(INDEX($X$2:$X$1001,MATCH(ROWS($V$2:V533),$V$2:$V$1001,0),0), INDEX($AC$1004:$AS$1004,1,MATCH(COLUMNS($AC$1006:AK1006),$AC$1006:$AS$1006,0)))),"Fix")))</f>
        <v>0</v>
      </c>
      <c r="K533" s="5">
        <f>IF(OR(INDEX($W$2:$W$1001,MATCH(ROWS($V$2:V533),$V$2:$V$1001,0),1)&gt;=100000,INDEX($AC$1005:$AS$1005,1,MATCH(COLUMNS($AC$1006:AL1006),$AC$1006:$AS$1006,0))&gt;=100000), " ",IF(INDEX($AC$2:$AS$1001,MATCH(ROWS($V$2:V533),$V$2:$V$1001,0),MATCH(COLUMNS($AC$1006:AL1006),$AC$1006:$AS$1006,0)), HYPERLINK("#",""), HYPERLINK(CONCATENATE("#Metadata!", ADDRESS(INDEX($X$2:$X$1001,MATCH(ROWS($V$2:V533),$V$2:$V$1001,0),0), INDEX($AC$1004:$AS$1004,1,MATCH(COLUMNS($AC$1006:AL1006),$AC$1006:$AS$1006,0)))),"Fix")))</f>
        <v>0</v>
      </c>
      <c r="L533" s="5">
        <f>IF(OR(INDEX($W$2:$W$1001,MATCH(ROWS($V$2:V533),$V$2:$V$1001,0),1)&gt;=100000,INDEX($AC$1005:$AS$1005,1,MATCH(COLUMNS($AC$1006:AM1006),$AC$1006:$AS$1006,0))&gt;=100000), " ",IF(INDEX($AC$2:$AS$1001,MATCH(ROWS($V$2:V533),$V$2:$V$1001,0),MATCH(COLUMNS($AC$1006:AM1006),$AC$1006:$AS$1006,0)), HYPERLINK("#",""), HYPERLINK(CONCATENATE("#Metadata!", ADDRESS(INDEX($X$2:$X$1001,MATCH(ROWS($V$2:V533),$V$2:$V$1001,0),0), INDEX($AC$1004:$AS$1004,1,MATCH(COLUMNS($AC$1006:AM1006),$AC$1006:$AS$1006,0)))),"Fix")))</f>
        <v>0</v>
      </c>
      <c r="M533" s="5">
        <f>IF(OR(INDEX($W$2:$W$1001,MATCH(ROWS($V$2:V533),$V$2:$V$1001,0),1)&gt;=100000,INDEX($AC$1005:$AS$1005,1,MATCH(COLUMNS($AC$1006:AN1006),$AC$1006:$AS$1006,0))&gt;=100000), " ",IF(INDEX($AC$2:$AS$1001,MATCH(ROWS($V$2:V533),$V$2:$V$1001,0),MATCH(COLUMNS($AC$1006:AN1006),$AC$1006:$AS$1006,0)), HYPERLINK("#",""), HYPERLINK(CONCATENATE("#Metadata!", ADDRESS(INDEX($X$2:$X$1001,MATCH(ROWS($V$2:V533),$V$2:$V$1001,0),0), INDEX($AC$1004:$AS$1004,1,MATCH(COLUMNS($AC$1006:AN1006),$AC$1006:$AS$1006,0)))),"Fix")))</f>
        <v>0</v>
      </c>
      <c r="N533" s="5">
        <f>IF(OR(INDEX($W$2:$W$1001,MATCH(ROWS($V$2:V533),$V$2:$V$1001,0),1)&gt;=100000,INDEX($AC$1005:$AS$1005,1,MATCH(COLUMNS($AC$1006:AO1006),$AC$1006:$AS$1006,0))&gt;=100000), " ",IF(INDEX($AC$2:$AS$1001,MATCH(ROWS($V$2:V533),$V$2:$V$1001,0),MATCH(COLUMNS($AC$1006:AO1006),$AC$1006:$AS$1006,0)), HYPERLINK("#",""), HYPERLINK(CONCATENATE("#Metadata!", ADDRESS(INDEX($X$2:$X$1001,MATCH(ROWS($V$2:V533),$V$2:$V$1001,0),0), INDEX($AC$1004:$AS$1004,1,MATCH(COLUMNS($AC$1006:AO1006),$AC$1006:$AS$1006,0)))),"Fix")))</f>
        <v>0</v>
      </c>
      <c r="O533" s="5">
        <f>IF(OR(INDEX($W$2:$W$1001,MATCH(ROWS($V$2:V533),$V$2:$V$1001,0),1)&gt;=100000,INDEX($AC$1005:$AS$1005,1,MATCH(COLUMNS($AC$1006:AP1006),$AC$1006:$AS$1006,0))&gt;=100000), " ",IF(INDEX($AC$2:$AS$1001,MATCH(ROWS($V$2:V533),$V$2:$V$1001,0),MATCH(COLUMNS($AC$1006:AP1006),$AC$1006:$AS$1006,0)), HYPERLINK("#",""), HYPERLINK(CONCATENATE("#Metadata!", ADDRESS(INDEX($X$2:$X$1001,MATCH(ROWS($V$2:V533),$V$2:$V$1001,0),0), INDEX($AC$1004:$AS$1004,1,MATCH(COLUMNS($AC$1006:AP1006),$AC$1006:$AS$1006,0)))),"Fix")))</f>
        <v>0</v>
      </c>
      <c r="P533" s="5">
        <f>IF(OR(INDEX($W$2:$W$1001,MATCH(ROWS($V$2:V533),$V$2:$V$1001,0),1)&gt;=100000,INDEX($AC$1005:$AS$1005,1,MATCH(COLUMNS($AC$1006:AQ1006),$AC$1006:$AS$1006,0))&gt;=100000), " ",IF(INDEX($AC$2:$AS$1001,MATCH(ROWS($V$2:V533),$V$2:$V$1001,0),MATCH(COLUMNS($AC$1006:AQ1006),$AC$1006:$AS$1006,0)), HYPERLINK("#",""), HYPERLINK(CONCATENATE("#Metadata!", ADDRESS(INDEX($X$2:$X$1001,MATCH(ROWS($V$2:V533),$V$2:$V$1001,0),0), INDEX($AC$1004:$AS$1004,1,MATCH(COLUMNS($AC$1006:AQ1006),$AC$1006:$AS$1006,0)))),"Fix")))</f>
        <v>0</v>
      </c>
      <c r="Q533" s="5">
        <f>IF(OR(INDEX($W$2:$W$1001,MATCH(ROWS($V$2:V533),$V$2:$V$1001,0),1)&gt;=100000,INDEX($AC$1005:$AS$1005,1,MATCH(COLUMNS($AC$1006:AR1006),$AC$1006:$AS$1006,0))&gt;=100000), " ",IF(INDEX($AC$2:$AS$1001,MATCH(ROWS($V$2:V533),$V$2:$V$1001,0),MATCH(COLUMNS($AC$1006:AR1006),$AC$1006:$AS$1006,0)), HYPERLINK("#",""), HYPERLINK(CONCATENATE("#Metadata!", ADDRESS(INDEX($X$2:$X$1001,MATCH(ROWS($V$2:V533),$V$2:$V$1001,0),0), INDEX($AC$1004:$AS$1004,1,MATCH(COLUMNS($AC$1006:AR1006),$AC$1006:$AS$1006,0)))),"Fix")))</f>
        <v>0</v>
      </c>
      <c r="R533" s="5">
        <f>IF(OR(INDEX($W$2:$W$1001,MATCH(ROWS($V$2:V533),$V$2:$V$1001,0),1)&gt;=100000,INDEX($AC$1005:$AS$1005,1,MATCH(COLUMNS($AC$1006:AS1006),$AC$1006:$AS$1006,0))&gt;=100000), " ",IF(INDEX($AC$2:$AS$1001,MATCH(ROWS($V$2:V533),$V$2:$V$1001,0),MATCH(COLUMNS($AC$1006:AS1006),$AC$1006:$AS$1006,0)), HYPERLINK("#",""), HYPERLINK(CONCATENATE("#Metadata!", ADDRESS(INDEX($X$2:$X$1001,MATCH(ROWS($V$2:V533),$V$2:$V$1001,0),0), INDEX($AC$1004:$AS$1004,1,MATCH(COLUMNS($AC$1006:AS1006),$AC$1006:$AS$1006,0)))),"Fix")))</f>
        <v>0</v>
      </c>
      <c r="V533">
        <v>0</v>
      </c>
      <c r="W533">
        <v>0</v>
      </c>
      <c r="X533">
        <v>0</v>
      </c>
      <c r="Y533">
        <f>IF(Z533,TRUE,AND(AC533:AS533))</f>
        <v>0</v>
      </c>
      <c r="Z533">
        <f>COUNTBLANK(Metadata!B533:R533)=COLUMNS(Metadata!B533:R533)</f>
        <v>0</v>
      </c>
      <c r="AA533">
        <v>0</v>
      </c>
      <c r="AC533">
        <f>AND(IF(Metadata!B533="",FALSE,TRUE),COUNTIF(Metadata!B:B, Metadata!B533) = 1,NOT(ISERROR(SUMPRODUCT(SEARCH(MID(Metadata!B533,ROW(INDIRECT("1:"&amp;LEN(Metadata!B533))), 1),"0123456789abcdefghijklmnopqrstuvwxyzABCDEFGHIJKLMNOPQRSTUVWXYZ.")))))</f>
        <v>0</v>
      </c>
      <c r="AD533">
        <f>AND(IF(Metadata!C533="",FALSE,TRUE),exact(Metadata!C533,"Host-associated"))</f>
        <v>0</v>
      </c>
      <c r="AE533">
        <f>AND(IF(Metadata!D533="",FALSE,TRUE),OR(exact(Metadata!D533,"Animal"),exact(Metadata!D533,"Fungus"),exact(Metadata!D533,"Plant")))</f>
        <v>0</v>
      </c>
      <c r="AF533">
        <f>AND(IF(Metadata!E533="",FALSE,TRUE),OR(exact(Metadata!E533,"Plant secretion"),exact(Metadata!E533,"Plant rhizosphere"),exact(Metadata!E533,"Plant surface"),exact(Metadata!E533,"Plant corpus"),exact(Metadata!E533,"Fungus surface"),exact(Metadata!E533,"Fungus corpus"),exact(Metadata!E533,"Animal surface"),exact(Metadata!E533,"Animal proximal gut"),exact(Metadata!E533,"Animal corpus"),exact(Metadata!E533,"Animal distal gut"),exact(Metadata!E533,"Animal secretion")))</f>
        <v>0</v>
      </c>
      <c r="AG533">
        <f>OR(AND(IF(Metadata!F533="",FALSE,TRUE),OR(exact(Metadata!F533,"not collected"),exact(Metadata!F533,"not provided"),exact(Metadata!F533,"restricted access"))),AND(IF(Metadata!F533="",FALSE,TRUE),OR(exact(Metadata!F533,"organism-associated habitat"),exact(Metadata!F533,"plant-associated habitat"),exact(Metadata!F533,"animal-associated habitat"),exact(Metadata!F533,"insecta-associated habitat"),exact(Metadata!F533,"mammalia-associated habitat"),exact(Metadata!F533,"human-associated habitat"),exact(Metadata!F533,"livestock-associated habitat"))))</f>
        <v>0</v>
      </c>
      <c r="AH533">
        <f>AND(IF(Metadata!G533="",FALSE,TRUE),exact(Metadata!G533,"host-associated"))</f>
        <v>0</v>
      </c>
      <c r="AI533">
        <f>OR(AND(IF(Metadata!H533="",FALSE,TRUE),OR(exact(Metadata!H533,"not collected"),exact(Metadata!H533,"not provided"))),AND(IF(Metadata!H533="",FALSE,ISNUMBER(VALUE(Metadata!H533))),Metadata!H533&gt;0))</f>
        <v>0</v>
      </c>
      <c r="AJ533">
        <f>AND(IF(Metadata!I533="",FALSE,TRUE),exact(Metadata!I533,"years"))</f>
        <v>0</v>
      </c>
      <c r="AK533">
        <f>IF(Metadata!J533="",FALSE,TRUE)</f>
        <v>0</v>
      </c>
      <c r="AL533">
        <f>OR(AND(IF(Metadata!K533="",FALSE,TRUE),OR(exact(Metadata!K533,"not collected"),exact(Metadata!K533,"not provided"))),AND(IF(Metadata!K533="",FALSE,ISNUMBER(VALUE(Metadata!K533))),Metadata!K533&gt;0))</f>
        <v>0</v>
      </c>
      <c r="AM533">
        <f>AND(IF(Metadata!L533="",FALSE,TRUE),exact(Metadata!L533,"cm"))</f>
        <v>0</v>
      </c>
      <c r="AN533">
        <f>IF(Metadata!M533="",FALSE,TRUE)</f>
        <v>0</v>
      </c>
      <c r="AO533">
        <f>OR(AND(IF(Metadata!N533="",FALSE,TRUE),OR(exact(Metadata!N533,"not applicable"),exact(Metadata!N533,"not collected"),exact(Metadata!N533,"not provided"))),AND(IF(Metadata!N533="",FALSE,IF(ISERROR(INT(Metadata!N533)),FALSE,INT(Metadata!N533)=Metadata!N533)),Metadata!N533&gt;0))</f>
        <v>0</v>
      </c>
      <c r="AP533">
        <f>OR(AND(IF(Metadata!O533="",FALSE,TRUE),OR(exact(Metadata!O533,"not collected"),exact(Metadata!O533,"not provided"))),AND(IF(Metadata!O533="",FALSE,ISNUMBER(VALUE(Metadata!O533))),Metadata!O533&gt;0))</f>
        <v>0</v>
      </c>
      <c r="AQ533">
        <f>AND(IF(Metadata!P533="",FALSE,TRUE),exact(Metadata!P533,"kg"))</f>
        <v>0</v>
      </c>
      <c r="AR533">
        <f>OR(AND(IF(Metadata!Q533="",FALSE,TRUE),OR(exact(Metadata!Q533,"not applicable"),exact(Metadata!Q533,"not collected"),exact(Metadata!Q533,"not provided"),exact(Metadata!Q533,"restricted access"))),IF(Metadata!Q533="",FALSE,IF(ISERROR(INT(Metadata!Q533)),FALSE,INT(Metadata!Q533)=Metadata!Q533)))</f>
        <v>0</v>
      </c>
      <c r="AS533">
        <f>AND(IF(Metadata!R533="",FALSE,TRUE),exact(Metadata!R533,"Not applicable"))</f>
        <v>0</v>
      </c>
    </row>
    <row r="534" spans="1:45">
      <c r="A534" s="4">
        <f>IF(B534=" "," ",HYPERLINK(CONCATENATE("#metadata!",ADDRESS(INDEX($X$2:$X$1001,MATCH(ROWS($V$2:V534),$V$2:$V$1001,0),0),2)),INDEX($AA$2:$AA$1001,MATCH(ROWS($V$2:V534),$V$2:$V$1001,0),0)))</f>
        <v>0</v>
      </c>
      <c r="B534" s="5">
        <f>IF(OR(INDEX($W$2:$W$1001,MATCH(ROWS($V$2:V534),$V$2:$V$1001,0),1)&gt;=100000,INDEX($AC$1005:$AS$1005,1,MATCH(COLUMNS($AC$1006:AC1006),$AC$1006:$AS$1006,0))&gt;=100000), " ",IF(INDEX($AC$2:$AS$1001,MATCH(ROWS($V$2:V534),$V$2:$V$1001,0),MATCH(COLUMNS($AC$1006:AC1006),$AC$1006:$AS$1006,0)), HYPERLINK("#",""), HYPERLINK(CONCATENATE("#Metadata!", ADDRESS(INDEX($X$2:$X$1001,MATCH(ROWS($V$2:V534),$V$2:$V$1001,0),0), INDEX($AC$1004:$AS$1004,1,MATCH(COLUMNS($AC$1006:AC1006),$AC$1006:$AS$1006,0)))),"Fix")))</f>
        <v>0</v>
      </c>
      <c r="C534" s="5">
        <f>IF(OR(INDEX($W$2:$W$1001,MATCH(ROWS($V$2:V534),$V$2:$V$1001,0),1)&gt;=100000,INDEX($AC$1005:$AS$1005,1,MATCH(COLUMNS($AC$1006:AD1006),$AC$1006:$AS$1006,0))&gt;=100000), " ",IF(INDEX($AC$2:$AS$1001,MATCH(ROWS($V$2:V534),$V$2:$V$1001,0),MATCH(COLUMNS($AC$1006:AD1006),$AC$1006:$AS$1006,0)), HYPERLINK("#",""), HYPERLINK(CONCATENATE("#Metadata!", ADDRESS(INDEX($X$2:$X$1001,MATCH(ROWS($V$2:V534),$V$2:$V$1001,0),0), INDEX($AC$1004:$AS$1004,1,MATCH(COLUMNS($AC$1006:AD1006),$AC$1006:$AS$1006,0)))),"Fix")))</f>
        <v>0</v>
      </c>
      <c r="D534" s="5">
        <f>IF(OR(INDEX($W$2:$W$1001,MATCH(ROWS($V$2:V534),$V$2:$V$1001,0),1)&gt;=100000,INDEX($AC$1005:$AS$1005,1,MATCH(COLUMNS($AC$1006:AE1006),$AC$1006:$AS$1006,0))&gt;=100000), " ",IF(INDEX($AC$2:$AS$1001,MATCH(ROWS($V$2:V534),$V$2:$V$1001,0),MATCH(COLUMNS($AC$1006:AE1006),$AC$1006:$AS$1006,0)), HYPERLINK("#",""), HYPERLINK(CONCATENATE("#Metadata!", ADDRESS(INDEX($X$2:$X$1001,MATCH(ROWS($V$2:V534),$V$2:$V$1001,0),0), INDEX($AC$1004:$AS$1004,1,MATCH(COLUMNS($AC$1006:AE1006),$AC$1006:$AS$1006,0)))),"Fix")))</f>
        <v>0</v>
      </c>
      <c r="E534" s="5">
        <f>IF(OR(INDEX($W$2:$W$1001,MATCH(ROWS($V$2:V534),$V$2:$V$1001,0),1)&gt;=100000,INDEX($AC$1005:$AS$1005,1,MATCH(COLUMNS($AC$1006:AF1006),$AC$1006:$AS$1006,0))&gt;=100000), " ",IF(INDEX($AC$2:$AS$1001,MATCH(ROWS($V$2:V534),$V$2:$V$1001,0),MATCH(COLUMNS($AC$1006:AF1006),$AC$1006:$AS$1006,0)), HYPERLINK("#",""), HYPERLINK(CONCATENATE("#Metadata!", ADDRESS(INDEX($X$2:$X$1001,MATCH(ROWS($V$2:V534),$V$2:$V$1001,0),0), INDEX($AC$1004:$AS$1004,1,MATCH(COLUMNS($AC$1006:AF1006),$AC$1006:$AS$1006,0)))),"Fix")))</f>
        <v>0</v>
      </c>
      <c r="F534" s="5">
        <f>IF(OR(INDEX($W$2:$W$1001,MATCH(ROWS($V$2:V534),$V$2:$V$1001,0),1)&gt;=100000,INDEX($AC$1005:$AS$1005,1,MATCH(COLUMNS($AC$1006:AG1006),$AC$1006:$AS$1006,0))&gt;=100000), " ",IF(INDEX($AC$2:$AS$1001,MATCH(ROWS($V$2:V534),$V$2:$V$1001,0),MATCH(COLUMNS($AC$1006:AG1006),$AC$1006:$AS$1006,0)), HYPERLINK("#",""), HYPERLINK(CONCATENATE("#Metadata!", ADDRESS(INDEX($X$2:$X$1001,MATCH(ROWS($V$2:V534),$V$2:$V$1001,0),0), INDEX($AC$1004:$AS$1004,1,MATCH(COLUMNS($AC$1006:AG1006),$AC$1006:$AS$1006,0)))),"Fix")))</f>
        <v>0</v>
      </c>
      <c r="G534" s="5">
        <f>IF(OR(INDEX($W$2:$W$1001,MATCH(ROWS($V$2:V534),$V$2:$V$1001,0),1)&gt;=100000,INDEX($AC$1005:$AS$1005,1,MATCH(COLUMNS($AC$1006:AH1006),$AC$1006:$AS$1006,0))&gt;=100000), " ",IF(INDEX($AC$2:$AS$1001,MATCH(ROWS($V$2:V534),$V$2:$V$1001,0),MATCH(COLUMNS($AC$1006:AH1006),$AC$1006:$AS$1006,0)), HYPERLINK("#",""), HYPERLINK(CONCATENATE("#Metadata!", ADDRESS(INDEX($X$2:$X$1001,MATCH(ROWS($V$2:V534),$V$2:$V$1001,0),0), INDEX($AC$1004:$AS$1004,1,MATCH(COLUMNS($AC$1006:AH1006),$AC$1006:$AS$1006,0)))),"Fix")))</f>
        <v>0</v>
      </c>
      <c r="H534" s="5">
        <f>IF(OR(INDEX($W$2:$W$1001,MATCH(ROWS($V$2:V534),$V$2:$V$1001,0),1)&gt;=100000,INDEX($AC$1005:$AS$1005,1,MATCH(COLUMNS($AC$1006:AI1006),$AC$1006:$AS$1006,0))&gt;=100000), " ",IF(INDEX($AC$2:$AS$1001,MATCH(ROWS($V$2:V534),$V$2:$V$1001,0),MATCH(COLUMNS($AC$1006:AI1006),$AC$1006:$AS$1006,0)), HYPERLINK("#",""), HYPERLINK(CONCATENATE("#Metadata!", ADDRESS(INDEX($X$2:$X$1001,MATCH(ROWS($V$2:V534),$V$2:$V$1001,0),0), INDEX($AC$1004:$AS$1004,1,MATCH(COLUMNS($AC$1006:AI1006),$AC$1006:$AS$1006,0)))),"Fix")))</f>
        <v>0</v>
      </c>
      <c r="I534" s="5">
        <f>IF(OR(INDEX($W$2:$W$1001,MATCH(ROWS($V$2:V534),$V$2:$V$1001,0),1)&gt;=100000,INDEX($AC$1005:$AS$1005,1,MATCH(COLUMNS($AC$1006:AJ1006),$AC$1006:$AS$1006,0))&gt;=100000), " ",IF(INDEX($AC$2:$AS$1001,MATCH(ROWS($V$2:V534),$V$2:$V$1001,0),MATCH(COLUMNS($AC$1006:AJ1006),$AC$1006:$AS$1006,0)), HYPERLINK("#",""), HYPERLINK(CONCATENATE("#Metadata!", ADDRESS(INDEX($X$2:$X$1001,MATCH(ROWS($V$2:V534),$V$2:$V$1001,0),0), INDEX($AC$1004:$AS$1004,1,MATCH(COLUMNS($AC$1006:AJ1006),$AC$1006:$AS$1006,0)))),"Fix")))</f>
        <v>0</v>
      </c>
      <c r="J534" s="5">
        <f>IF(OR(INDEX($W$2:$W$1001,MATCH(ROWS($V$2:V534),$V$2:$V$1001,0),1)&gt;=100000,INDEX($AC$1005:$AS$1005,1,MATCH(COLUMNS($AC$1006:AK1006),$AC$1006:$AS$1006,0))&gt;=100000), " ",IF(INDEX($AC$2:$AS$1001,MATCH(ROWS($V$2:V534),$V$2:$V$1001,0),MATCH(COLUMNS($AC$1006:AK1006),$AC$1006:$AS$1006,0)), HYPERLINK("#",""), HYPERLINK(CONCATENATE("#Metadata!", ADDRESS(INDEX($X$2:$X$1001,MATCH(ROWS($V$2:V534),$V$2:$V$1001,0),0), INDEX($AC$1004:$AS$1004,1,MATCH(COLUMNS($AC$1006:AK1006),$AC$1006:$AS$1006,0)))),"Fix")))</f>
        <v>0</v>
      </c>
      <c r="K534" s="5">
        <f>IF(OR(INDEX($W$2:$W$1001,MATCH(ROWS($V$2:V534),$V$2:$V$1001,0),1)&gt;=100000,INDEX($AC$1005:$AS$1005,1,MATCH(COLUMNS($AC$1006:AL1006),$AC$1006:$AS$1006,0))&gt;=100000), " ",IF(INDEX($AC$2:$AS$1001,MATCH(ROWS($V$2:V534),$V$2:$V$1001,0),MATCH(COLUMNS($AC$1006:AL1006),$AC$1006:$AS$1006,0)), HYPERLINK("#",""), HYPERLINK(CONCATENATE("#Metadata!", ADDRESS(INDEX($X$2:$X$1001,MATCH(ROWS($V$2:V534),$V$2:$V$1001,0),0), INDEX($AC$1004:$AS$1004,1,MATCH(COLUMNS($AC$1006:AL1006),$AC$1006:$AS$1006,0)))),"Fix")))</f>
        <v>0</v>
      </c>
      <c r="L534" s="5">
        <f>IF(OR(INDEX($W$2:$W$1001,MATCH(ROWS($V$2:V534),$V$2:$V$1001,0),1)&gt;=100000,INDEX($AC$1005:$AS$1005,1,MATCH(COLUMNS($AC$1006:AM1006),$AC$1006:$AS$1006,0))&gt;=100000), " ",IF(INDEX($AC$2:$AS$1001,MATCH(ROWS($V$2:V534),$V$2:$V$1001,0),MATCH(COLUMNS($AC$1006:AM1006),$AC$1006:$AS$1006,0)), HYPERLINK("#",""), HYPERLINK(CONCATENATE("#Metadata!", ADDRESS(INDEX($X$2:$X$1001,MATCH(ROWS($V$2:V534),$V$2:$V$1001,0),0), INDEX($AC$1004:$AS$1004,1,MATCH(COLUMNS($AC$1006:AM1006),$AC$1006:$AS$1006,0)))),"Fix")))</f>
        <v>0</v>
      </c>
      <c r="M534" s="5">
        <f>IF(OR(INDEX($W$2:$W$1001,MATCH(ROWS($V$2:V534),$V$2:$V$1001,0),1)&gt;=100000,INDEX($AC$1005:$AS$1005,1,MATCH(COLUMNS($AC$1006:AN1006),$AC$1006:$AS$1006,0))&gt;=100000), " ",IF(INDEX($AC$2:$AS$1001,MATCH(ROWS($V$2:V534),$V$2:$V$1001,0),MATCH(COLUMNS($AC$1006:AN1006),$AC$1006:$AS$1006,0)), HYPERLINK("#",""), HYPERLINK(CONCATENATE("#Metadata!", ADDRESS(INDEX($X$2:$X$1001,MATCH(ROWS($V$2:V534),$V$2:$V$1001,0),0), INDEX($AC$1004:$AS$1004,1,MATCH(COLUMNS($AC$1006:AN1006),$AC$1006:$AS$1006,0)))),"Fix")))</f>
        <v>0</v>
      </c>
      <c r="N534" s="5">
        <f>IF(OR(INDEX($W$2:$W$1001,MATCH(ROWS($V$2:V534),$V$2:$V$1001,0),1)&gt;=100000,INDEX($AC$1005:$AS$1005,1,MATCH(COLUMNS($AC$1006:AO1006),$AC$1006:$AS$1006,0))&gt;=100000), " ",IF(INDEX($AC$2:$AS$1001,MATCH(ROWS($V$2:V534),$V$2:$V$1001,0),MATCH(COLUMNS($AC$1006:AO1006),$AC$1006:$AS$1006,0)), HYPERLINK("#",""), HYPERLINK(CONCATENATE("#Metadata!", ADDRESS(INDEX($X$2:$X$1001,MATCH(ROWS($V$2:V534),$V$2:$V$1001,0),0), INDEX($AC$1004:$AS$1004,1,MATCH(COLUMNS($AC$1006:AO1006),$AC$1006:$AS$1006,0)))),"Fix")))</f>
        <v>0</v>
      </c>
      <c r="O534" s="5">
        <f>IF(OR(INDEX($W$2:$W$1001,MATCH(ROWS($V$2:V534),$V$2:$V$1001,0),1)&gt;=100000,INDEX($AC$1005:$AS$1005,1,MATCH(COLUMNS($AC$1006:AP1006),$AC$1006:$AS$1006,0))&gt;=100000), " ",IF(INDEX($AC$2:$AS$1001,MATCH(ROWS($V$2:V534),$V$2:$V$1001,0),MATCH(COLUMNS($AC$1006:AP1006),$AC$1006:$AS$1006,0)), HYPERLINK("#",""), HYPERLINK(CONCATENATE("#Metadata!", ADDRESS(INDEX($X$2:$X$1001,MATCH(ROWS($V$2:V534),$V$2:$V$1001,0),0), INDEX($AC$1004:$AS$1004,1,MATCH(COLUMNS($AC$1006:AP1006),$AC$1006:$AS$1006,0)))),"Fix")))</f>
        <v>0</v>
      </c>
      <c r="P534" s="5">
        <f>IF(OR(INDEX($W$2:$W$1001,MATCH(ROWS($V$2:V534),$V$2:$V$1001,0),1)&gt;=100000,INDEX($AC$1005:$AS$1005,1,MATCH(COLUMNS($AC$1006:AQ1006),$AC$1006:$AS$1006,0))&gt;=100000), " ",IF(INDEX($AC$2:$AS$1001,MATCH(ROWS($V$2:V534),$V$2:$V$1001,0),MATCH(COLUMNS($AC$1006:AQ1006),$AC$1006:$AS$1006,0)), HYPERLINK("#",""), HYPERLINK(CONCATENATE("#Metadata!", ADDRESS(INDEX($X$2:$X$1001,MATCH(ROWS($V$2:V534),$V$2:$V$1001,0),0), INDEX($AC$1004:$AS$1004,1,MATCH(COLUMNS($AC$1006:AQ1006),$AC$1006:$AS$1006,0)))),"Fix")))</f>
        <v>0</v>
      </c>
      <c r="Q534" s="5">
        <f>IF(OR(INDEX($W$2:$W$1001,MATCH(ROWS($V$2:V534),$V$2:$V$1001,0),1)&gt;=100000,INDEX($AC$1005:$AS$1005,1,MATCH(COLUMNS($AC$1006:AR1006),$AC$1006:$AS$1006,0))&gt;=100000), " ",IF(INDEX($AC$2:$AS$1001,MATCH(ROWS($V$2:V534),$V$2:$V$1001,0),MATCH(COLUMNS($AC$1006:AR1006),$AC$1006:$AS$1006,0)), HYPERLINK("#",""), HYPERLINK(CONCATENATE("#Metadata!", ADDRESS(INDEX($X$2:$X$1001,MATCH(ROWS($V$2:V534),$V$2:$V$1001,0),0), INDEX($AC$1004:$AS$1004,1,MATCH(COLUMNS($AC$1006:AR1006),$AC$1006:$AS$1006,0)))),"Fix")))</f>
        <v>0</v>
      </c>
      <c r="R534" s="5">
        <f>IF(OR(INDEX($W$2:$W$1001,MATCH(ROWS($V$2:V534),$V$2:$V$1001,0),1)&gt;=100000,INDEX($AC$1005:$AS$1005,1,MATCH(COLUMNS($AC$1006:AS1006),$AC$1006:$AS$1006,0))&gt;=100000), " ",IF(INDEX($AC$2:$AS$1001,MATCH(ROWS($V$2:V534),$V$2:$V$1001,0),MATCH(COLUMNS($AC$1006:AS1006),$AC$1006:$AS$1006,0)), HYPERLINK("#",""), HYPERLINK(CONCATENATE("#Metadata!", ADDRESS(INDEX($X$2:$X$1001,MATCH(ROWS($V$2:V534),$V$2:$V$1001,0),0), INDEX($AC$1004:$AS$1004,1,MATCH(COLUMNS($AC$1006:AS1006),$AC$1006:$AS$1006,0)))),"Fix")))</f>
        <v>0</v>
      </c>
      <c r="V534">
        <v>0</v>
      </c>
      <c r="W534">
        <v>0</v>
      </c>
      <c r="X534">
        <v>0</v>
      </c>
      <c r="Y534">
        <f>IF(Z534,TRUE,AND(AC534:AS534))</f>
        <v>0</v>
      </c>
      <c r="Z534">
        <f>COUNTBLANK(Metadata!B534:R534)=COLUMNS(Metadata!B534:R534)</f>
        <v>0</v>
      </c>
      <c r="AA534">
        <v>0</v>
      </c>
      <c r="AC534">
        <f>AND(IF(Metadata!B534="",FALSE,TRUE),COUNTIF(Metadata!B:B, Metadata!B534) = 1,NOT(ISERROR(SUMPRODUCT(SEARCH(MID(Metadata!B534,ROW(INDIRECT("1:"&amp;LEN(Metadata!B534))), 1),"0123456789abcdefghijklmnopqrstuvwxyzABCDEFGHIJKLMNOPQRSTUVWXYZ.")))))</f>
        <v>0</v>
      </c>
      <c r="AD534">
        <f>AND(IF(Metadata!C534="",FALSE,TRUE),exact(Metadata!C534,"Host-associated"))</f>
        <v>0</v>
      </c>
      <c r="AE534">
        <f>AND(IF(Metadata!D534="",FALSE,TRUE),OR(exact(Metadata!D534,"Animal"),exact(Metadata!D534,"Fungus"),exact(Metadata!D534,"Plant")))</f>
        <v>0</v>
      </c>
      <c r="AF534">
        <f>AND(IF(Metadata!E534="",FALSE,TRUE),OR(exact(Metadata!E534,"Plant secretion"),exact(Metadata!E534,"Plant rhizosphere"),exact(Metadata!E534,"Plant surface"),exact(Metadata!E534,"Plant corpus"),exact(Metadata!E534,"Fungus surface"),exact(Metadata!E534,"Fungus corpus"),exact(Metadata!E534,"Animal surface"),exact(Metadata!E534,"Animal proximal gut"),exact(Metadata!E534,"Animal corpus"),exact(Metadata!E534,"Animal distal gut"),exact(Metadata!E534,"Animal secretion")))</f>
        <v>0</v>
      </c>
      <c r="AG534">
        <f>OR(AND(IF(Metadata!F534="",FALSE,TRUE),OR(exact(Metadata!F534,"not collected"),exact(Metadata!F534,"not provided"),exact(Metadata!F534,"restricted access"))),AND(IF(Metadata!F534="",FALSE,TRUE),OR(exact(Metadata!F534,"organism-associated habitat"),exact(Metadata!F534,"plant-associated habitat"),exact(Metadata!F534,"animal-associated habitat"),exact(Metadata!F534,"insecta-associated habitat"),exact(Metadata!F534,"mammalia-associated habitat"),exact(Metadata!F534,"human-associated habitat"),exact(Metadata!F534,"livestock-associated habitat"))))</f>
        <v>0</v>
      </c>
      <c r="AH534">
        <f>AND(IF(Metadata!G534="",FALSE,TRUE),exact(Metadata!G534,"host-associated"))</f>
        <v>0</v>
      </c>
      <c r="AI534">
        <f>OR(AND(IF(Metadata!H534="",FALSE,TRUE),OR(exact(Metadata!H534,"not collected"),exact(Metadata!H534,"not provided"))),AND(IF(Metadata!H534="",FALSE,ISNUMBER(VALUE(Metadata!H534))),Metadata!H534&gt;0))</f>
        <v>0</v>
      </c>
      <c r="AJ534">
        <f>AND(IF(Metadata!I534="",FALSE,TRUE),exact(Metadata!I534,"years"))</f>
        <v>0</v>
      </c>
      <c r="AK534">
        <f>IF(Metadata!J534="",FALSE,TRUE)</f>
        <v>0</v>
      </c>
      <c r="AL534">
        <f>OR(AND(IF(Metadata!K534="",FALSE,TRUE),OR(exact(Metadata!K534,"not collected"),exact(Metadata!K534,"not provided"))),AND(IF(Metadata!K534="",FALSE,ISNUMBER(VALUE(Metadata!K534))),Metadata!K534&gt;0))</f>
        <v>0</v>
      </c>
      <c r="AM534">
        <f>AND(IF(Metadata!L534="",FALSE,TRUE),exact(Metadata!L534,"cm"))</f>
        <v>0</v>
      </c>
      <c r="AN534">
        <f>IF(Metadata!M534="",FALSE,TRUE)</f>
        <v>0</v>
      </c>
      <c r="AO534">
        <f>OR(AND(IF(Metadata!N534="",FALSE,TRUE),OR(exact(Metadata!N534,"not applicable"),exact(Metadata!N534,"not collected"),exact(Metadata!N534,"not provided"))),AND(IF(Metadata!N534="",FALSE,IF(ISERROR(INT(Metadata!N534)),FALSE,INT(Metadata!N534)=Metadata!N534)),Metadata!N534&gt;0))</f>
        <v>0</v>
      </c>
      <c r="AP534">
        <f>OR(AND(IF(Metadata!O534="",FALSE,TRUE),OR(exact(Metadata!O534,"not collected"),exact(Metadata!O534,"not provided"))),AND(IF(Metadata!O534="",FALSE,ISNUMBER(VALUE(Metadata!O534))),Metadata!O534&gt;0))</f>
        <v>0</v>
      </c>
      <c r="AQ534">
        <f>AND(IF(Metadata!P534="",FALSE,TRUE),exact(Metadata!P534,"kg"))</f>
        <v>0</v>
      </c>
      <c r="AR534">
        <f>OR(AND(IF(Metadata!Q534="",FALSE,TRUE),OR(exact(Metadata!Q534,"not applicable"),exact(Metadata!Q534,"not collected"),exact(Metadata!Q534,"not provided"),exact(Metadata!Q534,"restricted access"))),IF(Metadata!Q534="",FALSE,IF(ISERROR(INT(Metadata!Q534)),FALSE,INT(Metadata!Q534)=Metadata!Q534)))</f>
        <v>0</v>
      </c>
      <c r="AS534">
        <f>AND(IF(Metadata!R534="",FALSE,TRUE),exact(Metadata!R534,"Not applicable"))</f>
        <v>0</v>
      </c>
    </row>
    <row r="535" spans="1:45">
      <c r="A535" s="4">
        <f>IF(B535=" "," ",HYPERLINK(CONCATENATE("#metadata!",ADDRESS(INDEX($X$2:$X$1001,MATCH(ROWS($V$2:V535),$V$2:$V$1001,0),0),2)),INDEX($AA$2:$AA$1001,MATCH(ROWS($V$2:V535),$V$2:$V$1001,0),0)))</f>
        <v>0</v>
      </c>
      <c r="B535" s="5">
        <f>IF(OR(INDEX($W$2:$W$1001,MATCH(ROWS($V$2:V535),$V$2:$V$1001,0),1)&gt;=100000,INDEX($AC$1005:$AS$1005,1,MATCH(COLUMNS($AC$1006:AC1006),$AC$1006:$AS$1006,0))&gt;=100000), " ",IF(INDEX($AC$2:$AS$1001,MATCH(ROWS($V$2:V535),$V$2:$V$1001,0),MATCH(COLUMNS($AC$1006:AC1006),$AC$1006:$AS$1006,0)), HYPERLINK("#",""), HYPERLINK(CONCATENATE("#Metadata!", ADDRESS(INDEX($X$2:$X$1001,MATCH(ROWS($V$2:V535),$V$2:$V$1001,0),0), INDEX($AC$1004:$AS$1004,1,MATCH(COLUMNS($AC$1006:AC1006),$AC$1006:$AS$1006,0)))),"Fix")))</f>
        <v>0</v>
      </c>
      <c r="C535" s="5">
        <f>IF(OR(INDEX($W$2:$W$1001,MATCH(ROWS($V$2:V535),$V$2:$V$1001,0),1)&gt;=100000,INDEX($AC$1005:$AS$1005,1,MATCH(COLUMNS($AC$1006:AD1006),$AC$1006:$AS$1006,0))&gt;=100000), " ",IF(INDEX($AC$2:$AS$1001,MATCH(ROWS($V$2:V535),$V$2:$V$1001,0),MATCH(COLUMNS($AC$1006:AD1006),$AC$1006:$AS$1006,0)), HYPERLINK("#",""), HYPERLINK(CONCATENATE("#Metadata!", ADDRESS(INDEX($X$2:$X$1001,MATCH(ROWS($V$2:V535),$V$2:$V$1001,0),0), INDEX($AC$1004:$AS$1004,1,MATCH(COLUMNS($AC$1006:AD1006),$AC$1006:$AS$1006,0)))),"Fix")))</f>
        <v>0</v>
      </c>
      <c r="D535" s="5">
        <f>IF(OR(INDEX($W$2:$W$1001,MATCH(ROWS($V$2:V535),$V$2:$V$1001,0),1)&gt;=100000,INDEX($AC$1005:$AS$1005,1,MATCH(COLUMNS($AC$1006:AE1006),$AC$1006:$AS$1006,0))&gt;=100000), " ",IF(INDEX($AC$2:$AS$1001,MATCH(ROWS($V$2:V535),$V$2:$V$1001,0),MATCH(COLUMNS($AC$1006:AE1006),$AC$1006:$AS$1006,0)), HYPERLINK("#",""), HYPERLINK(CONCATENATE("#Metadata!", ADDRESS(INDEX($X$2:$X$1001,MATCH(ROWS($V$2:V535),$V$2:$V$1001,0),0), INDEX($AC$1004:$AS$1004,1,MATCH(COLUMNS($AC$1006:AE1006),$AC$1006:$AS$1006,0)))),"Fix")))</f>
        <v>0</v>
      </c>
      <c r="E535" s="5">
        <f>IF(OR(INDEX($W$2:$W$1001,MATCH(ROWS($V$2:V535),$V$2:$V$1001,0),1)&gt;=100000,INDEX($AC$1005:$AS$1005,1,MATCH(COLUMNS($AC$1006:AF1006),$AC$1006:$AS$1006,0))&gt;=100000), " ",IF(INDEX($AC$2:$AS$1001,MATCH(ROWS($V$2:V535),$V$2:$V$1001,0),MATCH(COLUMNS($AC$1006:AF1006),$AC$1006:$AS$1006,0)), HYPERLINK("#",""), HYPERLINK(CONCATENATE("#Metadata!", ADDRESS(INDEX($X$2:$X$1001,MATCH(ROWS($V$2:V535),$V$2:$V$1001,0),0), INDEX($AC$1004:$AS$1004,1,MATCH(COLUMNS($AC$1006:AF1006),$AC$1006:$AS$1006,0)))),"Fix")))</f>
        <v>0</v>
      </c>
      <c r="F535" s="5">
        <f>IF(OR(INDEX($W$2:$W$1001,MATCH(ROWS($V$2:V535),$V$2:$V$1001,0),1)&gt;=100000,INDEX($AC$1005:$AS$1005,1,MATCH(COLUMNS($AC$1006:AG1006),$AC$1006:$AS$1006,0))&gt;=100000), " ",IF(INDEX($AC$2:$AS$1001,MATCH(ROWS($V$2:V535),$V$2:$V$1001,0),MATCH(COLUMNS($AC$1006:AG1006),$AC$1006:$AS$1006,0)), HYPERLINK("#",""), HYPERLINK(CONCATENATE("#Metadata!", ADDRESS(INDEX($X$2:$X$1001,MATCH(ROWS($V$2:V535),$V$2:$V$1001,0),0), INDEX($AC$1004:$AS$1004,1,MATCH(COLUMNS($AC$1006:AG1006),$AC$1006:$AS$1006,0)))),"Fix")))</f>
        <v>0</v>
      </c>
      <c r="G535" s="5">
        <f>IF(OR(INDEX($W$2:$W$1001,MATCH(ROWS($V$2:V535),$V$2:$V$1001,0),1)&gt;=100000,INDEX($AC$1005:$AS$1005,1,MATCH(COLUMNS($AC$1006:AH1006),$AC$1006:$AS$1006,0))&gt;=100000), " ",IF(INDEX($AC$2:$AS$1001,MATCH(ROWS($V$2:V535),$V$2:$V$1001,0),MATCH(COLUMNS($AC$1006:AH1006),$AC$1006:$AS$1006,0)), HYPERLINK("#",""), HYPERLINK(CONCATENATE("#Metadata!", ADDRESS(INDEX($X$2:$X$1001,MATCH(ROWS($V$2:V535),$V$2:$V$1001,0),0), INDEX($AC$1004:$AS$1004,1,MATCH(COLUMNS($AC$1006:AH1006),$AC$1006:$AS$1006,0)))),"Fix")))</f>
        <v>0</v>
      </c>
      <c r="H535" s="5">
        <f>IF(OR(INDEX($W$2:$W$1001,MATCH(ROWS($V$2:V535),$V$2:$V$1001,0),1)&gt;=100000,INDEX($AC$1005:$AS$1005,1,MATCH(COLUMNS($AC$1006:AI1006),$AC$1006:$AS$1006,0))&gt;=100000), " ",IF(INDEX($AC$2:$AS$1001,MATCH(ROWS($V$2:V535),$V$2:$V$1001,0),MATCH(COLUMNS($AC$1006:AI1006),$AC$1006:$AS$1006,0)), HYPERLINK("#",""), HYPERLINK(CONCATENATE("#Metadata!", ADDRESS(INDEX($X$2:$X$1001,MATCH(ROWS($V$2:V535),$V$2:$V$1001,0),0), INDEX($AC$1004:$AS$1004,1,MATCH(COLUMNS($AC$1006:AI1006),$AC$1006:$AS$1006,0)))),"Fix")))</f>
        <v>0</v>
      </c>
      <c r="I535" s="5">
        <f>IF(OR(INDEX($W$2:$W$1001,MATCH(ROWS($V$2:V535),$V$2:$V$1001,0),1)&gt;=100000,INDEX($AC$1005:$AS$1005,1,MATCH(COLUMNS($AC$1006:AJ1006),$AC$1006:$AS$1006,0))&gt;=100000), " ",IF(INDEX($AC$2:$AS$1001,MATCH(ROWS($V$2:V535),$V$2:$V$1001,0),MATCH(COLUMNS($AC$1006:AJ1006),$AC$1006:$AS$1006,0)), HYPERLINK("#",""), HYPERLINK(CONCATENATE("#Metadata!", ADDRESS(INDEX($X$2:$X$1001,MATCH(ROWS($V$2:V535),$V$2:$V$1001,0),0), INDEX($AC$1004:$AS$1004,1,MATCH(COLUMNS($AC$1006:AJ1006),$AC$1006:$AS$1006,0)))),"Fix")))</f>
        <v>0</v>
      </c>
      <c r="J535" s="5">
        <f>IF(OR(INDEX($W$2:$W$1001,MATCH(ROWS($V$2:V535),$V$2:$V$1001,0),1)&gt;=100000,INDEX($AC$1005:$AS$1005,1,MATCH(COLUMNS($AC$1006:AK1006),$AC$1006:$AS$1006,0))&gt;=100000), " ",IF(INDEX($AC$2:$AS$1001,MATCH(ROWS($V$2:V535),$V$2:$V$1001,0),MATCH(COLUMNS($AC$1006:AK1006),$AC$1006:$AS$1006,0)), HYPERLINK("#",""), HYPERLINK(CONCATENATE("#Metadata!", ADDRESS(INDEX($X$2:$X$1001,MATCH(ROWS($V$2:V535),$V$2:$V$1001,0),0), INDEX($AC$1004:$AS$1004,1,MATCH(COLUMNS($AC$1006:AK1006),$AC$1006:$AS$1006,0)))),"Fix")))</f>
        <v>0</v>
      </c>
      <c r="K535" s="5">
        <f>IF(OR(INDEX($W$2:$W$1001,MATCH(ROWS($V$2:V535),$V$2:$V$1001,0),1)&gt;=100000,INDEX($AC$1005:$AS$1005,1,MATCH(COLUMNS($AC$1006:AL1006),$AC$1006:$AS$1006,0))&gt;=100000), " ",IF(INDEX($AC$2:$AS$1001,MATCH(ROWS($V$2:V535),$V$2:$V$1001,0),MATCH(COLUMNS($AC$1006:AL1006),$AC$1006:$AS$1006,0)), HYPERLINK("#",""), HYPERLINK(CONCATENATE("#Metadata!", ADDRESS(INDEX($X$2:$X$1001,MATCH(ROWS($V$2:V535),$V$2:$V$1001,0),0), INDEX($AC$1004:$AS$1004,1,MATCH(COLUMNS($AC$1006:AL1006),$AC$1006:$AS$1006,0)))),"Fix")))</f>
        <v>0</v>
      </c>
      <c r="L535" s="5">
        <f>IF(OR(INDEX($W$2:$W$1001,MATCH(ROWS($V$2:V535),$V$2:$V$1001,0),1)&gt;=100000,INDEX($AC$1005:$AS$1005,1,MATCH(COLUMNS($AC$1006:AM1006),$AC$1006:$AS$1006,0))&gt;=100000), " ",IF(INDEX($AC$2:$AS$1001,MATCH(ROWS($V$2:V535),$V$2:$V$1001,0),MATCH(COLUMNS($AC$1006:AM1006),$AC$1006:$AS$1006,0)), HYPERLINK("#",""), HYPERLINK(CONCATENATE("#Metadata!", ADDRESS(INDEX($X$2:$X$1001,MATCH(ROWS($V$2:V535),$V$2:$V$1001,0),0), INDEX($AC$1004:$AS$1004,1,MATCH(COLUMNS($AC$1006:AM1006),$AC$1006:$AS$1006,0)))),"Fix")))</f>
        <v>0</v>
      </c>
      <c r="M535" s="5">
        <f>IF(OR(INDEX($W$2:$W$1001,MATCH(ROWS($V$2:V535),$V$2:$V$1001,0),1)&gt;=100000,INDEX($AC$1005:$AS$1005,1,MATCH(COLUMNS($AC$1006:AN1006),$AC$1006:$AS$1006,0))&gt;=100000), " ",IF(INDEX($AC$2:$AS$1001,MATCH(ROWS($V$2:V535),$V$2:$V$1001,0),MATCH(COLUMNS($AC$1006:AN1006),$AC$1006:$AS$1006,0)), HYPERLINK("#",""), HYPERLINK(CONCATENATE("#Metadata!", ADDRESS(INDEX($X$2:$X$1001,MATCH(ROWS($V$2:V535),$V$2:$V$1001,0),0), INDEX($AC$1004:$AS$1004,1,MATCH(COLUMNS($AC$1006:AN1006),$AC$1006:$AS$1006,0)))),"Fix")))</f>
        <v>0</v>
      </c>
      <c r="N535" s="5">
        <f>IF(OR(INDEX($W$2:$W$1001,MATCH(ROWS($V$2:V535),$V$2:$V$1001,0),1)&gt;=100000,INDEX($AC$1005:$AS$1005,1,MATCH(COLUMNS($AC$1006:AO1006),$AC$1006:$AS$1006,0))&gt;=100000), " ",IF(INDEX($AC$2:$AS$1001,MATCH(ROWS($V$2:V535),$V$2:$V$1001,0),MATCH(COLUMNS($AC$1006:AO1006),$AC$1006:$AS$1006,0)), HYPERLINK("#",""), HYPERLINK(CONCATENATE("#Metadata!", ADDRESS(INDEX($X$2:$X$1001,MATCH(ROWS($V$2:V535),$V$2:$V$1001,0),0), INDEX($AC$1004:$AS$1004,1,MATCH(COLUMNS($AC$1006:AO1006),$AC$1006:$AS$1006,0)))),"Fix")))</f>
        <v>0</v>
      </c>
      <c r="O535" s="5">
        <f>IF(OR(INDEX($W$2:$W$1001,MATCH(ROWS($V$2:V535),$V$2:$V$1001,0),1)&gt;=100000,INDEX($AC$1005:$AS$1005,1,MATCH(COLUMNS($AC$1006:AP1006),$AC$1006:$AS$1006,0))&gt;=100000), " ",IF(INDEX($AC$2:$AS$1001,MATCH(ROWS($V$2:V535),$V$2:$V$1001,0),MATCH(COLUMNS($AC$1006:AP1006),$AC$1006:$AS$1006,0)), HYPERLINK("#",""), HYPERLINK(CONCATENATE("#Metadata!", ADDRESS(INDEX($X$2:$X$1001,MATCH(ROWS($V$2:V535),$V$2:$V$1001,0),0), INDEX($AC$1004:$AS$1004,1,MATCH(COLUMNS($AC$1006:AP1006),$AC$1006:$AS$1006,0)))),"Fix")))</f>
        <v>0</v>
      </c>
      <c r="P535" s="5">
        <f>IF(OR(INDEX($W$2:$W$1001,MATCH(ROWS($V$2:V535),$V$2:$V$1001,0),1)&gt;=100000,INDEX($AC$1005:$AS$1005,1,MATCH(COLUMNS($AC$1006:AQ1006),$AC$1006:$AS$1006,0))&gt;=100000), " ",IF(INDEX($AC$2:$AS$1001,MATCH(ROWS($V$2:V535),$V$2:$V$1001,0),MATCH(COLUMNS($AC$1006:AQ1006),$AC$1006:$AS$1006,0)), HYPERLINK("#",""), HYPERLINK(CONCATENATE("#Metadata!", ADDRESS(INDEX($X$2:$X$1001,MATCH(ROWS($V$2:V535),$V$2:$V$1001,0),0), INDEX($AC$1004:$AS$1004,1,MATCH(COLUMNS($AC$1006:AQ1006),$AC$1006:$AS$1006,0)))),"Fix")))</f>
        <v>0</v>
      </c>
      <c r="Q535" s="5">
        <f>IF(OR(INDEX($W$2:$W$1001,MATCH(ROWS($V$2:V535),$V$2:$V$1001,0),1)&gt;=100000,INDEX($AC$1005:$AS$1005,1,MATCH(COLUMNS($AC$1006:AR1006),$AC$1006:$AS$1006,0))&gt;=100000), " ",IF(INDEX($AC$2:$AS$1001,MATCH(ROWS($V$2:V535),$V$2:$V$1001,0),MATCH(COLUMNS($AC$1006:AR1006),$AC$1006:$AS$1006,0)), HYPERLINK("#",""), HYPERLINK(CONCATENATE("#Metadata!", ADDRESS(INDEX($X$2:$X$1001,MATCH(ROWS($V$2:V535),$V$2:$V$1001,0),0), INDEX($AC$1004:$AS$1004,1,MATCH(COLUMNS($AC$1006:AR1006),$AC$1006:$AS$1006,0)))),"Fix")))</f>
        <v>0</v>
      </c>
      <c r="R535" s="5">
        <f>IF(OR(INDEX($W$2:$W$1001,MATCH(ROWS($V$2:V535),$V$2:$V$1001,0),1)&gt;=100000,INDEX($AC$1005:$AS$1005,1,MATCH(COLUMNS($AC$1006:AS1006),$AC$1006:$AS$1006,0))&gt;=100000), " ",IF(INDEX($AC$2:$AS$1001,MATCH(ROWS($V$2:V535),$V$2:$V$1001,0),MATCH(COLUMNS($AC$1006:AS1006),$AC$1006:$AS$1006,0)), HYPERLINK("#",""), HYPERLINK(CONCATENATE("#Metadata!", ADDRESS(INDEX($X$2:$X$1001,MATCH(ROWS($V$2:V535),$V$2:$V$1001,0),0), INDEX($AC$1004:$AS$1004,1,MATCH(COLUMNS($AC$1006:AS1006),$AC$1006:$AS$1006,0)))),"Fix")))</f>
        <v>0</v>
      </c>
      <c r="V535">
        <v>0</v>
      </c>
      <c r="W535">
        <v>0</v>
      </c>
      <c r="X535">
        <v>0</v>
      </c>
      <c r="Y535">
        <f>IF(Z535,TRUE,AND(AC535:AS535))</f>
        <v>0</v>
      </c>
      <c r="Z535">
        <f>COUNTBLANK(Metadata!B535:R535)=COLUMNS(Metadata!B535:R535)</f>
        <v>0</v>
      </c>
      <c r="AA535">
        <v>0</v>
      </c>
      <c r="AC535">
        <f>AND(IF(Metadata!B535="",FALSE,TRUE),COUNTIF(Metadata!B:B, Metadata!B535) = 1,NOT(ISERROR(SUMPRODUCT(SEARCH(MID(Metadata!B535,ROW(INDIRECT("1:"&amp;LEN(Metadata!B535))), 1),"0123456789abcdefghijklmnopqrstuvwxyzABCDEFGHIJKLMNOPQRSTUVWXYZ.")))))</f>
        <v>0</v>
      </c>
      <c r="AD535">
        <f>AND(IF(Metadata!C535="",FALSE,TRUE),exact(Metadata!C535,"Host-associated"))</f>
        <v>0</v>
      </c>
      <c r="AE535">
        <f>AND(IF(Metadata!D535="",FALSE,TRUE),OR(exact(Metadata!D535,"Animal"),exact(Metadata!D535,"Fungus"),exact(Metadata!D535,"Plant")))</f>
        <v>0</v>
      </c>
      <c r="AF535">
        <f>AND(IF(Metadata!E535="",FALSE,TRUE),OR(exact(Metadata!E535,"Plant secretion"),exact(Metadata!E535,"Plant rhizosphere"),exact(Metadata!E535,"Plant surface"),exact(Metadata!E535,"Plant corpus"),exact(Metadata!E535,"Fungus surface"),exact(Metadata!E535,"Fungus corpus"),exact(Metadata!E535,"Animal surface"),exact(Metadata!E535,"Animal proximal gut"),exact(Metadata!E535,"Animal corpus"),exact(Metadata!E535,"Animal distal gut"),exact(Metadata!E535,"Animal secretion")))</f>
        <v>0</v>
      </c>
      <c r="AG535">
        <f>OR(AND(IF(Metadata!F535="",FALSE,TRUE),OR(exact(Metadata!F535,"not collected"),exact(Metadata!F535,"not provided"),exact(Metadata!F535,"restricted access"))),AND(IF(Metadata!F535="",FALSE,TRUE),OR(exact(Metadata!F535,"organism-associated habitat"),exact(Metadata!F535,"plant-associated habitat"),exact(Metadata!F535,"animal-associated habitat"),exact(Metadata!F535,"insecta-associated habitat"),exact(Metadata!F535,"mammalia-associated habitat"),exact(Metadata!F535,"human-associated habitat"),exact(Metadata!F535,"livestock-associated habitat"))))</f>
        <v>0</v>
      </c>
      <c r="AH535">
        <f>AND(IF(Metadata!G535="",FALSE,TRUE),exact(Metadata!G535,"host-associated"))</f>
        <v>0</v>
      </c>
      <c r="AI535">
        <f>OR(AND(IF(Metadata!H535="",FALSE,TRUE),OR(exact(Metadata!H535,"not collected"),exact(Metadata!H535,"not provided"))),AND(IF(Metadata!H535="",FALSE,ISNUMBER(VALUE(Metadata!H535))),Metadata!H535&gt;0))</f>
        <v>0</v>
      </c>
      <c r="AJ535">
        <f>AND(IF(Metadata!I535="",FALSE,TRUE),exact(Metadata!I535,"years"))</f>
        <v>0</v>
      </c>
      <c r="AK535">
        <f>IF(Metadata!J535="",FALSE,TRUE)</f>
        <v>0</v>
      </c>
      <c r="AL535">
        <f>OR(AND(IF(Metadata!K535="",FALSE,TRUE),OR(exact(Metadata!K535,"not collected"),exact(Metadata!K535,"not provided"))),AND(IF(Metadata!K535="",FALSE,ISNUMBER(VALUE(Metadata!K535))),Metadata!K535&gt;0))</f>
        <v>0</v>
      </c>
      <c r="AM535">
        <f>AND(IF(Metadata!L535="",FALSE,TRUE),exact(Metadata!L535,"cm"))</f>
        <v>0</v>
      </c>
      <c r="AN535">
        <f>IF(Metadata!M535="",FALSE,TRUE)</f>
        <v>0</v>
      </c>
      <c r="AO535">
        <f>OR(AND(IF(Metadata!N535="",FALSE,TRUE),OR(exact(Metadata!N535,"not applicable"),exact(Metadata!N535,"not collected"),exact(Metadata!N535,"not provided"))),AND(IF(Metadata!N535="",FALSE,IF(ISERROR(INT(Metadata!N535)),FALSE,INT(Metadata!N535)=Metadata!N535)),Metadata!N535&gt;0))</f>
        <v>0</v>
      </c>
      <c r="AP535">
        <f>OR(AND(IF(Metadata!O535="",FALSE,TRUE),OR(exact(Metadata!O535,"not collected"),exact(Metadata!O535,"not provided"))),AND(IF(Metadata!O535="",FALSE,ISNUMBER(VALUE(Metadata!O535))),Metadata!O535&gt;0))</f>
        <v>0</v>
      </c>
      <c r="AQ535">
        <f>AND(IF(Metadata!P535="",FALSE,TRUE),exact(Metadata!P535,"kg"))</f>
        <v>0</v>
      </c>
      <c r="AR535">
        <f>OR(AND(IF(Metadata!Q535="",FALSE,TRUE),OR(exact(Metadata!Q535,"not applicable"),exact(Metadata!Q535,"not collected"),exact(Metadata!Q535,"not provided"),exact(Metadata!Q535,"restricted access"))),IF(Metadata!Q535="",FALSE,IF(ISERROR(INT(Metadata!Q535)),FALSE,INT(Metadata!Q535)=Metadata!Q535)))</f>
        <v>0</v>
      </c>
      <c r="AS535">
        <f>AND(IF(Metadata!R535="",FALSE,TRUE),exact(Metadata!R535,"Not applicable"))</f>
        <v>0</v>
      </c>
    </row>
    <row r="536" spans="1:45">
      <c r="A536" s="4">
        <f>IF(B536=" "," ",HYPERLINK(CONCATENATE("#metadata!",ADDRESS(INDEX($X$2:$X$1001,MATCH(ROWS($V$2:V536),$V$2:$V$1001,0),0),2)),INDEX($AA$2:$AA$1001,MATCH(ROWS($V$2:V536),$V$2:$V$1001,0),0)))</f>
        <v>0</v>
      </c>
      <c r="B536" s="5">
        <f>IF(OR(INDEX($W$2:$W$1001,MATCH(ROWS($V$2:V536),$V$2:$V$1001,0),1)&gt;=100000,INDEX($AC$1005:$AS$1005,1,MATCH(COLUMNS($AC$1006:AC1006),$AC$1006:$AS$1006,0))&gt;=100000), " ",IF(INDEX($AC$2:$AS$1001,MATCH(ROWS($V$2:V536),$V$2:$V$1001,0),MATCH(COLUMNS($AC$1006:AC1006),$AC$1006:$AS$1006,0)), HYPERLINK("#",""), HYPERLINK(CONCATENATE("#Metadata!", ADDRESS(INDEX($X$2:$X$1001,MATCH(ROWS($V$2:V536),$V$2:$V$1001,0),0), INDEX($AC$1004:$AS$1004,1,MATCH(COLUMNS($AC$1006:AC1006),$AC$1006:$AS$1006,0)))),"Fix")))</f>
        <v>0</v>
      </c>
      <c r="C536" s="5">
        <f>IF(OR(INDEX($W$2:$W$1001,MATCH(ROWS($V$2:V536),$V$2:$V$1001,0),1)&gt;=100000,INDEX($AC$1005:$AS$1005,1,MATCH(COLUMNS($AC$1006:AD1006),$AC$1006:$AS$1006,0))&gt;=100000), " ",IF(INDEX($AC$2:$AS$1001,MATCH(ROWS($V$2:V536),$V$2:$V$1001,0),MATCH(COLUMNS($AC$1006:AD1006),$AC$1006:$AS$1006,0)), HYPERLINK("#",""), HYPERLINK(CONCATENATE("#Metadata!", ADDRESS(INDEX($X$2:$X$1001,MATCH(ROWS($V$2:V536),$V$2:$V$1001,0),0), INDEX($AC$1004:$AS$1004,1,MATCH(COLUMNS($AC$1006:AD1006),$AC$1006:$AS$1006,0)))),"Fix")))</f>
        <v>0</v>
      </c>
      <c r="D536" s="5">
        <f>IF(OR(INDEX($W$2:$W$1001,MATCH(ROWS($V$2:V536),$V$2:$V$1001,0),1)&gt;=100000,INDEX($AC$1005:$AS$1005,1,MATCH(COLUMNS($AC$1006:AE1006),$AC$1006:$AS$1006,0))&gt;=100000), " ",IF(INDEX($AC$2:$AS$1001,MATCH(ROWS($V$2:V536),$V$2:$V$1001,0),MATCH(COLUMNS($AC$1006:AE1006),$AC$1006:$AS$1006,0)), HYPERLINK("#",""), HYPERLINK(CONCATENATE("#Metadata!", ADDRESS(INDEX($X$2:$X$1001,MATCH(ROWS($V$2:V536),$V$2:$V$1001,0),0), INDEX($AC$1004:$AS$1004,1,MATCH(COLUMNS($AC$1006:AE1006),$AC$1006:$AS$1006,0)))),"Fix")))</f>
        <v>0</v>
      </c>
      <c r="E536" s="5">
        <f>IF(OR(INDEX($W$2:$W$1001,MATCH(ROWS($V$2:V536),$V$2:$V$1001,0),1)&gt;=100000,INDEX($AC$1005:$AS$1005,1,MATCH(COLUMNS($AC$1006:AF1006),$AC$1006:$AS$1006,0))&gt;=100000), " ",IF(INDEX($AC$2:$AS$1001,MATCH(ROWS($V$2:V536),$V$2:$V$1001,0),MATCH(COLUMNS($AC$1006:AF1006),$AC$1006:$AS$1006,0)), HYPERLINK("#",""), HYPERLINK(CONCATENATE("#Metadata!", ADDRESS(INDEX($X$2:$X$1001,MATCH(ROWS($V$2:V536),$V$2:$V$1001,0),0), INDEX($AC$1004:$AS$1004,1,MATCH(COLUMNS($AC$1006:AF1006),$AC$1006:$AS$1006,0)))),"Fix")))</f>
        <v>0</v>
      </c>
      <c r="F536" s="5">
        <f>IF(OR(INDEX($W$2:$W$1001,MATCH(ROWS($V$2:V536),$V$2:$V$1001,0),1)&gt;=100000,INDEX($AC$1005:$AS$1005,1,MATCH(COLUMNS($AC$1006:AG1006),$AC$1006:$AS$1006,0))&gt;=100000), " ",IF(INDEX($AC$2:$AS$1001,MATCH(ROWS($V$2:V536),$V$2:$V$1001,0),MATCH(COLUMNS($AC$1006:AG1006),$AC$1006:$AS$1006,0)), HYPERLINK("#",""), HYPERLINK(CONCATENATE("#Metadata!", ADDRESS(INDEX($X$2:$X$1001,MATCH(ROWS($V$2:V536),$V$2:$V$1001,0),0), INDEX($AC$1004:$AS$1004,1,MATCH(COLUMNS($AC$1006:AG1006),$AC$1006:$AS$1006,0)))),"Fix")))</f>
        <v>0</v>
      </c>
      <c r="G536" s="5">
        <f>IF(OR(INDEX($W$2:$W$1001,MATCH(ROWS($V$2:V536),$V$2:$V$1001,0),1)&gt;=100000,INDEX($AC$1005:$AS$1005,1,MATCH(COLUMNS($AC$1006:AH1006),$AC$1006:$AS$1006,0))&gt;=100000), " ",IF(INDEX($AC$2:$AS$1001,MATCH(ROWS($V$2:V536),$V$2:$V$1001,0),MATCH(COLUMNS($AC$1006:AH1006),$AC$1006:$AS$1006,0)), HYPERLINK("#",""), HYPERLINK(CONCATENATE("#Metadata!", ADDRESS(INDEX($X$2:$X$1001,MATCH(ROWS($V$2:V536),$V$2:$V$1001,0),0), INDEX($AC$1004:$AS$1004,1,MATCH(COLUMNS($AC$1006:AH1006),$AC$1006:$AS$1006,0)))),"Fix")))</f>
        <v>0</v>
      </c>
      <c r="H536" s="5">
        <f>IF(OR(INDEX($W$2:$W$1001,MATCH(ROWS($V$2:V536),$V$2:$V$1001,0),1)&gt;=100000,INDEX($AC$1005:$AS$1005,1,MATCH(COLUMNS($AC$1006:AI1006),$AC$1006:$AS$1006,0))&gt;=100000), " ",IF(INDEX($AC$2:$AS$1001,MATCH(ROWS($V$2:V536),$V$2:$V$1001,0),MATCH(COLUMNS($AC$1006:AI1006),$AC$1006:$AS$1006,0)), HYPERLINK("#",""), HYPERLINK(CONCATENATE("#Metadata!", ADDRESS(INDEX($X$2:$X$1001,MATCH(ROWS($V$2:V536),$V$2:$V$1001,0),0), INDEX($AC$1004:$AS$1004,1,MATCH(COLUMNS($AC$1006:AI1006),$AC$1006:$AS$1006,0)))),"Fix")))</f>
        <v>0</v>
      </c>
      <c r="I536" s="5">
        <f>IF(OR(INDEX($W$2:$W$1001,MATCH(ROWS($V$2:V536),$V$2:$V$1001,0),1)&gt;=100000,INDEX($AC$1005:$AS$1005,1,MATCH(COLUMNS($AC$1006:AJ1006),$AC$1006:$AS$1006,0))&gt;=100000), " ",IF(INDEX($AC$2:$AS$1001,MATCH(ROWS($V$2:V536),$V$2:$V$1001,0),MATCH(COLUMNS($AC$1006:AJ1006),$AC$1006:$AS$1006,0)), HYPERLINK("#",""), HYPERLINK(CONCATENATE("#Metadata!", ADDRESS(INDEX($X$2:$X$1001,MATCH(ROWS($V$2:V536),$V$2:$V$1001,0),0), INDEX($AC$1004:$AS$1004,1,MATCH(COLUMNS($AC$1006:AJ1006),$AC$1006:$AS$1006,0)))),"Fix")))</f>
        <v>0</v>
      </c>
      <c r="J536" s="5">
        <f>IF(OR(INDEX($W$2:$W$1001,MATCH(ROWS($V$2:V536),$V$2:$V$1001,0),1)&gt;=100000,INDEX($AC$1005:$AS$1005,1,MATCH(COLUMNS($AC$1006:AK1006),$AC$1006:$AS$1006,0))&gt;=100000), " ",IF(INDEX($AC$2:$AS$1001,MATCH(ROWS($V$2:V536),$V$2:$V$1001,0),MATCH(COLUMNS($AC$1006:AK1006),$AC$1006:$AS$1006,0)), HYPERLINK("#",""), HYPERLINK(CONCATENATE("#Metadata!", ADDRESS(INDEX($X$2:$X$1001,MATCH(ROWS($V$2:V536),$V$2:$V$1001,0),0), INDEX($AC$1004:$AS$1004,1,MATCH(COLUMNS($AC$1006:AK1006),$AC$1006:$AS$1006,0)))),"Fix")))</f>
        <v>0</v>
      </c>
      <c r="K536" s="5">
        <f>IF(OR(INDEX($W$2:$W$1001,MATCH(ROWS($V$2:V536),$V$2:$V$1001,0),1)&gt;=100000,INDEX($AC$1005:$AS$1005,1,MATCH(COLUMNS($AC$1006:AL1006),$AC$1006:$AS$1006,0))&gt;=100000), " ",IF(INDEX($AC$2:$AS$1001,MATCH(ROWS($V$2:V536),$V$2:$V$1001,0),MATCH(COLUMNS($AC$1006:AL1006),$AC$1006:$AS$1006,0)), HYPERLINK("#",""), HYPERLINK(CONCATENATE("#Metadata!", ADDRESS(INDEX($X$2:$X$1001,MATCH(ROWS($V$2:V536),$V$2:$V$1001,0),0), INDEX($AC$1004:$AS$1004,1,MATCH(COLUMNS($AC$1006:AL1006),$AC$1006:$AS$1006,0)))),"Fix")))</f>
        <v>0</v>
      </c>
      <c r="L536" s="5">
        <f>IF(OR(INDEX($W$2:$W$1001,MATCH(ROWS($V$2:V536),$V$2:$V$1001,0),1)&gt;=100000,INDEX($AC$1005:$AS$1005,1,MATCH(COLUMNS($AC$1006:AM1006),$AC$1006:$AS$1006,0))&gt;=100000), " ",IF(INDEX($AC$2:$AS$1001,MATCH(ROWS($V$2:V536),$V$2:$V$1001,0),MATCH(COLUMNS($AC$1006:AM1006),$AC$1006:$AS$1006,0)), HYPERLINK("#",""), HYPERLINK(CONCATENATE("#Metadata!", ADDRESS(INDEX($X$2:$X$1001,MATCH(ROWS($V$2:V536),$V$2:$V$1001,0),0), INDEX($AC$1004:$AS$1004,1,MATCH(COLUMNS($AC$1006:AM1006),$AC$1006:$AS$1006,0)))),"Fix")))</f>
        <v>0</v>
      </c>
      <c r="M536" s="5">
        <f>IF(OR(INDEX($W$2:$W$1001,MATCH(ROWS($V$2:V536),$V$2:$V$1001,0),1)&gt;=100000,INDEX($AC$1005:$AS$1005,1,MATCH(COLUMNS($AC$1006:AN1006),$AC$1006:$AS$1006,0))&gt;=100000), " ",IF(INDEX($AC$2:$AS$1001,MATCH(ROWS($V$2:V536),$V$2:$V$1001,0),MATCH(COLUMNS($AC$1006:AN1006),$AC$1006:$AS$1006,0)), HYPERLINK("#",""), HYPERLINK(CONCATENATE("#Metadata!", ADDRESS(INDEX($X$2:$X$1001,MATCH(ROWS($V$2:V536),$V$2:$V$1001,0),0), INDEX($AC$1004:$AS$1004,1,MATCH(COLUMNS($AC$1006:AN1006),$AC$1006:$AS$1006,0)))),"Fix")))</f>
        <v>0</v>
      </c>
      <c r="N536" s="5">
        <f>IF(OR(INDEX($W$2:$W$1001,MATCH(ROWS($V$2:V536),$V$2:$V$1001,0),1)&gt;=100000,INDEX($AC$1005:$AS$1005,1,MATCH(COLUMNS($AC$1006:AO1006),$AC$1006:$AS$1006,0))&gt;=100000), " ",IF(INDEX($AC$2:$AS$1001,MATCH(ROWS($V$2:V536),$V$2:$V$1001,0),MATCH(COLUMNS($AC$1006:AO1006),$AC$1006:$AS$1006,0)), HYPERLINK("#",""), HYPERLINK(CONCATENATE("#Metadata!", ADDRESS(INDEX($X$2:$X$1001,MATCH(ROWS($V$2:V536),$V$2:$V$1001,0),0), INDEX($AC$1004:$AS$1004,1,MATCH(COLUMNS($AC$1006:AO1006),$AC$1006:$AS$1006,0)))),"Fix")))</f>
        <v>0</v>
      </c>
      <c r="O536" s="5">
        <f>IF(OR(INDEX($W$2:$W$1001,MATCH(ROWS($V$2:V536),$V$2:$V$1001,0),1)&gt;=100000,INDEX($AC$1005:$AS$1005,1,MATCH(COLUMNS($AC$1006:AP1006),$AC$1006:$AS$1006,0))&gt;=100000), " ",IF(INDEX($AC$2:$AS$1001,MATCH(ROWS($V$2:V536),$V$2:$V$1001,0),MATCH(COLUMNS($AC$1006:AP1006),$AC$1006:$AS$1006,0)), HYPERLINK("#",""), HYPERLINK(CONCATENATE("#Metadata!", ADDRESS(INDEX($X$2:$X$1001,MATCH(ROWS($V$2:V536),$V$2:$V$1001,0),0), INDEX($AC$1004:$AS$1004,1,MATCH(COLUMNS($AC$1006:AP1006),$AC$1006:$AS$1006,0)))),"Fix")))</f>
        <v>0</v>
      </c>
      <c r="P536" s="5">
        <f>IF(OR(INDEX($W$2:$W$1001,MATCH(ROWS($V$2:V536),$V$2:$V$1001,0),1)&gt;=100000,INDEX($AC$1005:$AS$1005,1,MATCH(COLUMNS($AC$1006:AQ1006),$AC$1006:$AS$1006,0))&gt;=100000), " ",IF(INDEX($AC$2:$AS$1001,MATCH(ROWS($V$2:V536),$V$2:$V$1001,0),MATCH(COLUMNS($AC$1006:AQ1006),$AC$1006:$AS$1006,0)), HYPERLINK("#",""), HYPERLINK(CONCATENATE("#Metadata!", ADDRESS(INDEX($X$2:$X$1001,MATCH(ROWS($V$2:V536),$V$2:$V$1001,0),0), INDEX($AC$1004:$AS$1004,1,MATCH(COLUMNS($AC$1006:AQ1006),$AC$1006:$AS$1006,0)))),"Fix")))</f>
        <v>0</v>
      </c>
      <c r="Q536" s="5">
        <f>IF(OR(INDEX($W$2:$W$1001,MATCH(ROWS($V$2:V536),$V$2:$V$1001,0),1)&gt;=100000,INDEX($AC$1005:$AS$1005,1,MATCH(COLUMNS($AC$1006:AR1006),$AC$1006:$AS$1006,0))&gt;=100000), " ",IF(INDEX($AC$2:$AS$1001,MATCH(ROWS($V$2:V536),$V$2:$V$1001,0),MATCH(COLUMNS($AC$1006:AR1006),$AC$1006:$AS$1006,0)), HYPERLINK("#",""), HYPERLINK(CONCATENATE("#Metadata!", ADDRESS(INDEX($X$2:$X$1001,MATCH(ROWS($V$2:V536),$V$2:$V$1001,0),0), INDEX($AC$1004:$AS$1004,1,MATCH(COLUMNS($AC$1006:AR1006),$AC$1006:$AS$1006,0)))),"Fix")))</f>
        <v>0</v>
      </c>
      <c r="R536" s="5">
        <f>IF(OR(INDEX($W$2:$W$1001,MATCH(ROWS($V$2:V536),$V$2:$V$1001,0),1)&gt;=100000,INDEX($AC$1005:$AS$1005,1,MATCH(COLUMNS($AC$1006:AS1006),$AC$1006:$AS$1006,0))&gt;=100000), " ",IF(INDEX($AC$2:$AS$1001,MATCH(ROWS($V$2:V536),$V$2:$V$1001,0),MATCH(COLUMNS($AC$1006:AS1006),$AC$1006:$AS$1006,0)), HYPERLINK("#",""), HYPERLINK(CONCATENATE("#Metadata!", ADDRESS(INDEX($X$2:$X$1001,MATCH(ROWS($V$2:V536),$V$2:$V$1001,0),0), INDEX($AC$1004:$AS$1004,1,MATCH(COLUMNS($AC$1006:AS1006),$AC$1006:$AS$1006,0)))),"Fix")))</f>
        <v>0</v>
      </c>
      <c r="V536">
        <v>0</v>
      </c>
      <c r="W536">
        <v>0</v>
      </c>
      <c r="X536">
        <v>0</v>
      </c>
      <c r="Y536">
        <f>IF(Z536,TRUE,AND(AC536:AS536))</f>
        <v>0</v>
      </c>
      <c r="Z536">
        <f>COUNTBLANK(Metadata!B536:R536)=COLUMNS(Metadata!B536:R536)</f>
        <v>0</v>
      </c>
      <c r="AA536">
        <v>0</v>
      </c>
      <c r="AC536">
        <f>AND(IF(Metadata!B536="",FALSE,TRUE),COUNTIF(Metadata!B:B, Metadata!B536) = 1,NOT(ISERROR(SUMPRODUCT(SEARCH(MID(Metadata!B536,ROW(INDIRECT("1:"&amp;LEN(Metadata!B536))), 1),"0123456789abcdefghijklmnopqrstuvwxyzABCDEFGHIJKLMNOPQRSTUVWXYZ.")))))</f>
        <v>0</v>
      </c>
      <c r="AD536">
        <f>AND(IF(Metadata!C536="",FALSE,TRUE),exact(Metadata!C536,"Host-associated"))</f>
        <v>0</v>
      </c>
      <c r="AE536">
        <f>AND(IF(Metadata!D536="",FALSE,TRUE),OR(exact(Metadata!D536,"Animal"),exact(Metadata!D536,"Fungus"),exact(Metadata!D536,"Plant")))</f>
        <v>0</v>
      </c>
      <c r="AF536">
        <f>AND(IF(Metadata!E536="",FALSE,TRUE),OR(exact(Metadata!E536,"Plant secretion"),exact(Metadata!E536,"Plant rhizosphere"),exact(Metadata!E536,"Plant surface"),exact(Metadata!E536,"Plant corpus"),exact(Metadata!E536,"Fungus surface"),exact(Metadata!E536,"Fungus corpus"),exact(Metadata!E536,"Animal surface"),exact(Metadata!E536,"Animal proximal gut"),exact(Metadata!E536,"Animal corpus"),exact(Metadata!E536,"Animal distal gut"),exact(Metadata!E536,"Animal secretion")))</f>
        <v>0</v>
      </c>
      <c r="AG536">
        <f>OR(AND(IF(Metadata!F536="",FALSE,TRUE),OR(exact(Metadata!F536,"not collected"),exact(Metadata!F536,"not provided"),exact(Metadata!F536,"restricted access"))),AND(IF(Metadata!F536="",FALSE,TRUE),OR(exact(Metadata!F536,"organism-associated habitat"),exact(Metadata!F536,"plant-associated habitat"),exact(Metadata!F536,"animal-associated habitat"),exact(Metadata!F536,"insecta-associated habitat"),exact(Metadata!F536,"mammalia-associated habitat"),exact(Metadata!F536,"human-associated habitat"),exact(Metadata!F536,"livestock-associated habitat"))))</f>
        <v>0</v>
      </c>
      <c r="AH536">
        <f>AND(IF(Metadata!G536="",FALSE,TRUE),exact(Metadata!G536,"host-associated"))</f>
        <v>0</v>
      </c>
      <c r="AI536">
        <f>OR(AND(IF(Metadata!H536="",FALSE,TRUE),OR(exact(Metadata!H536,"not collected"),exact(Metadata!H536,"not provided"))),AND(IF(Metadata!H536="",FALSE,ISNUMBER(VALUE(Metadata!H536))),Metadata!H536&gt;0))</f>
        <v>0</v>
      </c>
      <c r="AJ536">
        <f>AND(IF(Metadata!I536="",FALSE,TRUE),exact(Metadata!I536,"years"))</f>
        <v>0</v>
      </c>
      <c r="AK536">
        <f>IF(Metadata!J536="",FALSE,TRUE)</f>
        <v>0</v>
      </c>
      <c r="AL536">
        <f>OR(AND(IF(Metadata!K536="",FALSE,TRUE),OR(exact(Metadata!K536,"not collected"),exact(Metadata!K536,"not provided"))),AND(IF(Metadata!K536="",FALSE,ISNUMBER(VALUE(Metadata!K536))),Metadata!K536&gt;0))</f>
        <v>0</v>
      </c>
      <c r="AM536">
        <f>AND(IF(Metadata!L536="",FALSE,TRUE),exact(Metadata!L536,"cm"))</f>
        <v>0</v>
      </c>
      <c r="AN536">
        <f>IF(Metadata!M536="",FALSE,TRUE)</f>
        <v>0</v>
      </c>
      <c r="AO536">
        <f>OR(AND(IF(Metadata!N536="",FALSE,TRUE),OR(exact(Metadata!N536,"not applicable"),exact(Metadata!N536,"not collected"),exact(Metadata!N536,"not provided"))),AND(IF(Metadata!N536="",FALSE,IF(ISERROR(INT(Metadata!N536)),FALSE,INT(Metadata!N536)=Metadata!N536)),Metadata!N536&gt;0))</f>
        <v>0</v>
      </c>
      <c r="AP536">
        <f>OR(AND(IF(Metadata!O536="",FALSE,TRUE),OR(exact(Metadata!O536,"not collected"),exact(Metadata!O536,"not provided"))),AND(IF(Metadata!O536="",FALSE,ISNUMBER(VALUE(Metadata!O536))),Metadata!O536&gt;0))</f>
        <v>0</v>
      </c>
      <c r="AQ536">
        <f>AND(IF(Metadata!P536="",FALSE,TRUE),exact(Metadata!P536,"kg"))</f>
        <v>0</v>
      </c>
      <c r="AR536">
        <f>OR(AND(IF(Metadata!Q536="",FALSE,TRUE),OR(exact(Metadata!Q536,"not applicable"),exact(Metadata!Q536,"not collected"),exact(Metadata!Q536,"not provided"),exact(Metadata!Q536,"restricted access"))),IF(Metadata!Q536="",FALSE,IF(ISERROR(INT(Metadata!Q536)),FALSE,INT(Metadata!Q536)=Metadata!Q536)))</f>
        <v>0</v>
      </c>
      <c r="AS536">
        <f>AND(IF(Metadata!R536="",FALSE,TRUE),exact(Metadata!R536,"Not applicable"))</f>
        <v>0</v>
      </c>
    </row>
    <row r="537" spans="1:45">
      <c r="A537" s="4">
        <f>IF(B537=" "," ",HYPERLINK(CONCATENATE("#metadata!",ADDRESS(INDEX($X$2:$X$1001,MATCH(ROWS($V$2:V537),$V$2:$V$1001,0),0),2)),INDEX($AA$2:$AA$1001,MATCH(ROWS($V$2:V537),$V$2:$V$1001,0),0)))</f>
        <v>0</v>
      </c>
      <c r="B537" s="5">
        <f>IF(OR(INDEX($W$2:$W$1001,MATCH(ROWS($V$2:V537),$V$2:$V$1001,0),1)&gt;=100000,INDEX($AC$1005:$AS$1005,1,MATCH(COLUMNS($AC$1006:AC1006),$AC$1006:$AS$1006,0))&gt;=100000), " ",IF(INDEX($AC$2:$AS$1001,MATCH(ROWS($V$2:V537),$V$2:$V$1001,0),MATCH(COLUMNS($AC$1006:AC1006),$AC$1006:$AS$1006,0)), HYPERLINK("#",""), HYPERLINK(CONCATENATE("#Metadata!", ADDRESS(INDEX($X$2:$X$1001,MATCH(ROWS($V$2:V537),$V$2:$V$1001,0),0), INDEX($AC$1004:$AS$1004,1,MATCH(COLUMNS($AC$1006:AC1006),$AC$1006:$AS$1006,0)))),"Fix")))</f>
        <v>0</v>
      </c>
      <c r="C537" s="5">
        <f>IF(OR(INDEX($W$2:$W$1001,MATCH(ROWS($V$2:V537),$V$2:$V$1001,0),1)&gt;=100000,INDEX($AC$1005:$AS$1005,1,MATCH(COLUMNS($AC$1006:AD1006),$AC$1006:$AS$1006,0))&gt;=100000), " ",IF(INDEX($AC$2:$AS$1001,MATCH(ROWS($V$2:V537),$V$2:$V$1001,0),MATCH(COLUMNS($AC$1006:AD1006),$AC$1006:$AS$1006,0)), HYPERLINK("#",""), HYPERLINK(CONCATENATE("#Metadata!", ADDRESS(INDEX($X$2:$X$1001,MATCH(ROWS($V$2:V537),$V$2:$V$1001,0),0), INDEX($AC$1004:$AS$1004,1,MATCH(COLUMNS($AC$1006:AD1006),$AC$1006:$AS$1006,0)))),"Fix")))</f>
        <v>0</v>
      </c>
      <c r="D537" s="5">
        <f>IF(OR(INDEX($W$2:$W$1001,MATCH(ROWS($V$2:V537),$V$2:$V$1001,0),1)&gt;=100000,INDEX($AC$1005:$AS$1005,1,MATCH(COLUMNS($AC$1006:AE1006),$AC$1006:$AS$1006,0))&gt;=100000), " ",IF(INDEX($AC$2:$AS$1001,MATCH(ROWS($V$2:V537),$V$2:$V$1001,0),MATCH(COLUMNS($AC$1006:AE1006),$AC$1006:$AS$1006,0)), HYPERLINK("#",""), HYPERLINK(CONCATENATE("#Metadata!", ADDRESS(INDEX($X$2:$X$1001,MATCH(ROWS($V$2:V537),$V$2:$V$1001,0),0), INDEX($AC$1004:$AS$1004,1,MATCH(COLUMNS($AC$1006:AE1006),$AC$1006:$AS$1006,0)))),"Fix")))</f>
        <v>0</v>
      </c>
      <c r="E537" s="5">
        <f>IF(OR(INDEX($W$2:$W$1001,MATCH(ROWS($V$2:V537),$V$2:$V$1001,0),1)&gt;=100000,INDEX($AC$1005:$AS$1005,1,MATCH(COLUMNS($AC$1006:AF1006),$AC$1006:$AS$1006,0))&gt;=100000), " ",IF(INDEX($AC$2:$AS$1001,MATCH(ROWS($V$2:V537),$V$2:$V$1001,0),MATCH(COLUMNS($AC$1006:AF1006),$AC$1006:$AS$1006,0)), HYPERLINK("#",""), HYPERLINK(CONCATENATE("#Metadata!", ADDRESS(INDEX($X$2:$X$1001,MATCH(ROWS($V$2:V537),$V$2:$V$1001,0),0), INDEX($AC$1004:$AS$1004,1,MATCH(COLUMNS($AC$1006:AF1006),$AC$1006:$AS$1006,0)))),"Fix")))</f>
        <v>0</v>
      </c>
      <c r="F537" s="5">
        <f>IF(OR(INDEX($W$2:$W$1001,MATCH(ROWS($V$2:V537),$V$2:$V$1001,0),1)&gt;=100000,INDEX($AC$1005:$AS$1005,1,MATCH(COLUMNS($AC$1006:AG1006),$AC$1006:$AS$1006,0))&gt;=100000), " ",IF(INDEX($AC$2:$AS$1001,MATCH(ROWS($V$2:V537),$V$2:$V$1001,0),MATCH(COLUMNS($AC$1006:AG1006),$AC$1006:$AS$1006,0)), HYPERLINK("#",""), HYPERLINK(CONCATENATE("#Metadata!", ADDRESS(INDEX($X$2:$X$1001,MATCH(ROWS($V$2:V537),$V$2:$V$1001,0),0), INDEX($AC$1004:$AS$1004,1,MATCH(COLUMNS($AC$1006:AG1006),$AC$1006:$AS$1006,0)))),"Fix")))</f>
        <v>0</v>
      </c>
      <c r="G537" s="5">
        <f>IF(OR(INDEX($W$2:$W$1001,MATCH(ROWS($V$2:V537),$V$2:$V$1001,0),1)&gt;=100000,INDEX($AC$1005:$AS$1005,1,MATCH(COLUMNS($AC$1006:AH1006),$AC$1006:$AS$1006,0))&gt;=100000), " ",IF(INDEX($AC$2:$AS$1001,MATCH(ROWS($V$2:V537),$V$2:$V$1001,0),MATCH(COLUMNS($AC$1006:AH1006),$AC$1006:$AS$1006,0)), HYPERLINK("#",""), HYPERLINK(CONCATENATE("#Metadata!", ADDRESS(INDEX($X$2:$X$1001,MATCH(ROWS($V$2:V537),$V$2:$V$1001,0),0), INDEX($AC$1004:$AS$1004,1,MATCH(COLUMNS($AC$1006:AH1006),$AC$1006:$AS$1006,0)))),"Fix")))</f>
        <v>0</v>
      </c>
      <c r="H537" s="5">
        <f>IF(OR(INDEX($W$2:$W$1001,MATCH(ROWS($V$2:V537),$V$2:$V$1001,0),1)&gt;=100000,INDEX($AC$1005:$AS$1005,1,MATCH(COLUMNS($AC$1006:AI1006),$AC$1006:$AS$1006,0))&gt;=100000), " ",IF(INDEX($AC$2:$AS$1001,MATCH(ROWS($V$2:V537),$V$2:$V$1001,0),MATCH(COLUMNS($AC$1006:AI1006),$AC$1006:$AS$1006,0)), HYPERLINK("#",""), HYPERLINK(CONCATENATE("#Metadata!", ADDRESS(INDEX($X$2:$X$1001,MATCH(ROWS($V$2:V537),$V$2:$V$1001,0),0), INDEX($AC$1004:$AS$1004,1,MATCH(COLUMNS($AC$1006:AI1006),$AC$1006:$AS$1006,0)))),"Fix")))</f>
        <v>0</v>
      </c>
      <c r="I537" s="5">
        <f>IF(OR(INDEX($W$2:$W$1001,MATCH(ROWS($V$2:V537),$V$2:$V$1001,0),1)&gt;=100000,INDEX($AC$1005:$AS$1005,1,MATCH(COLUMNS($AC$1006:AJ1006),$AC$1006:$AS$1006,0))&gt;=100000), " ",IF(INDEX($AC$2:$AS$1001,MATCH(ROWS($V$2:V537),$V$2:$V$1001,0),MATCH(COLUMNS($AC$1006:AJ1006),$AC$1006:$AS$1006,0)), HYPERLINK("#",""), HYPERLINK(CONCATENATE("#Metadata!", ADDRESS(INDEX($X$2:$X$1001,MATCH(ROWS($V$2:V537),$V$2:$V$1001,0),0), INDEX($AC$1004:$AS$1004,1,MATCH(COLUMNS($AC$1006:AJ1006),$AC$1006:$AS$1006,0)))),"Fix")))</f>
        <v>0</v>
      </c>
      <c r="J537" s="5">
        <f>IF(OR(INDEX($W$2:$W$1001,MATCH(ROWS($V$2:V537),$V$2:$V$1001,0),1)&gt;=100000,INDEX($AC$1005:$AS$1005,1,MATCH(COLUMNS($AC$1006:AK1006),$AC$1006:$AS$1006,0))&gt;=100000), " ",IF(INDEX($AC$2:$AS$1001,MATCH(ROWS($V$2:V537),$V$2:$V$1001,0),MATCH(COLUMNS($AC$1006:AK1006),$AC$1006:$AS$1006,0)), HYPERLINK("#",""), HYPERLINK(CONCATENATE("#Metadata!", ADDRESS(INDEX($X$2:$X$1001,MATCH(ROWS($V$2:V537),$V$2:$V$1001,0),0), INDEX($AC$1004:$AS$1004,1,MATCH(COLUMNS($AC$1006:AK1006),$AC$1006:$AS$1006,0)))),"Fix")))</f>
        <v>0</v>
      </c>
      <c r="K537" s="5">
        <f>IF(OR(INDEX($W$2:$W$1001,MATCH(ROWS($V$2:V537),$V$2:$V$1001,0),1)&gt;=100000,INDEX($AC$1005:$AS$1005,1,MATCH(COLUMNS($AC$1006:AL1006),$AC$1006:$AS$1006,0))&gt;=100000), " ",IF(INDEX($AC$2:$AS$1001,MATCH(ROWS($V$2:V537),$V$2:$V$1001,0),MATCH(COLUMNS($AC$1006:AL1006),$AC$1006:$AS$1006,0)), HYPERLINK("#",""), HYPERLINK(CONCATENATE("#Metadata!", ADDRESS(INDEX($X$2:$X$1001,MATCH(ROWS($V$2:V537),$V$2:$V$1001,0),0), INDEX($AC$1004:$AS$1004,1,MATCH(COLUMNS($AC$1006:AL1006),$AC$1006:$AS$1006,0)))),"Fix")))</f>
        <v>0</v>
      </c>
      <c r="L537" s="5">
        <f>IF(OR(INDEX($W$2:$W$1001,MATCH(ROWS($V$2:V537),$V$2:$V$1001,0),1)&gt;=100000,INDEX($AC$1005:$AS$1005,1,MATCH(COLUMNS($AC$1006:AM1006),$AC$1006:$AS$1006,0))&gt;=100000), " ",IF(INDEX($AC$2:$AS$1001,MATCH(ROWS($V$2:V537),$V$2:$V$1001,0),MATCH(COLUMNS($AC$1006:AM1006),$AC$1006:$AS$1006,0)), HYPERLINK("#",""), HYPERLINK(CONCATENATE("#Metadata!", ADDRESS(INDEX($X$2:$X$1001,MATCH(ROWS($V$2:V537),$V$2:$V$1001,0),0), INDEX($AC$1004:$AS$1004,1,MATCH(COLUMNS($AC$1006:AM1006),$AC$1006:$AS$1006,0)))),"Fix")))</f>
        <v>0</v>
      </c>
      <c r="M537" s="5">
        <f>IF(OR(INDEX($W$2:$W$1001,MATCH(ROWS($V$2:V537),$V$2:$V$1001,0),1)&gt;=100000,INDEX($AC$1005:$AS$1005,1,MATCH(COLUMNS($AC$1006:AN1006),$AC$1006:$AS$1006,0))&gt;=100000), " ",IF(INDEX($AC$2:$AS$1001,MATCH(ROWS($V$2:V537),$V$2:$V$1001,0),MATCH(COLUMNS($AC$1006:AN1006),$AC$1006:$AS$1006,0)), HYPERLINK("#",""), HYPERLINK(CONCATENATE("#Metadata!", ADDRESS(INDEX($X$2:$X$1001,MATCH(ROWS($V$2:V537),$V$2:$V$1001,0),0), INDEX($AC$1004:$AS$1004,1,MATCH(COLUMNS($AC$1006:AN1006),$AC$1006:$AS$1006,0)))),"Fix")))</f>
        <v>0</v>
      </c>
      <c r="N537" s="5">
        <f>IF(OR(INDEX($W$2:$W$1001,MATCH(ROWS($V$2:V537),$V$2:$V$1001,0),1)&gt;=100000,INDEX($AC$1005:$AS$1005,1,MATCH(COLUMNS($AC$1006:AO1006),$AC$1006:$AS$1006,0))&gt;=100000), " ",IF(INDEX($AC$2:$AS$1001,MATCH(ROWS($V$2:V537),$V$2:$V$1001,0),MATCH(COLUMNS($AC$1006:AO1006),$AC$1006:$AS$1006,0)), HYPERLINK("#",""), HYPERLINK(CONCATENATE("#Metadata!", ADDRESS(INDEX($X$2:$X$1001,MATCH(ROWS($V$2:V537),$V$2:$V$1001,0),0), INDEX($AC$1004:$AS$1004,1,MATCH(COLUMNS($AC$1006:AO1006),$AC$1006:$AS$1006,0)))),"Fix")))</f>
        <v>0</v>
      </c>
      <c r="O537" s="5">
        <f>IF(OR(INDEX($W$2:$W$1001,MATCH(ROWS($V$2:V537),$V$2:$V$1001,0),1)&gt;=100000,INDEX($AC$1005:$AS$1005,1,MATCH(COLUMNS($AC$1006:AP1006),$AC$1006:$AS$1006,0))&gt;=100000), " ",IF(INDEX($AC$2:$AS$1001,MATCH(ROWS($V$2:V537),$V$2:$V$1001,0),MATCH(COLUMNS($AC$1006:AP1006),$AC$1006:$AS$1006,0)), HYPERLINK("#",""), HYPERLINK(CONCATENATE("#Metadata!", ADDRESS(INDEX($X$2:$X$1001,MATCH(ROWS($V$2:V537),$V$2:$V$1001,0),0), INDEX($AC$1004:$AS$1004,1,MATCH(COLUMNS($AC$1006:AP1006),$AC$1006:$AS$1006,0)))),"Fix")))</f>
        <v>0</v>
      </c>
      <c r="P537" s="5">
        <f>IF(OR(INDEX($W$2:$W$1001,MATCH(ROWS($V$2:V537),$V$2:$V$1001,0),1)&gt;=100000,INDEX($AC$1005:$AS$1005,1,MATCH(COLUMNS($AC$1006:AQ1006),$AC$1006:$AS$1006,0))&gt;=100000), " ",IF(INDEX($AC$2:$AS$1001,MATCH(ROWS($V$2:V537),$V$2:$V$1001,0),MATCH(COLUMNS($AC$1006:AQ1006),$AC$1006:$AS$1006,0)), HYPERLINK("#",""), HYPERLINK(CONCATENATE("#Metadata!", ADDRESS(INDEX($X$2:$X$1001,MATCH(ROWS($V$2:V537),$V$2:$V$1001,0),0), INDEX($AC$1004:$AS$1004,1,MATCH(COLUMNS($AC$1006:AQ1006),$AC$1006:$AS$1006,0)))),"Fix")))</f>
        <v>0</v>
      </c>
      <c r="Q537" s="5">
        <f>IF(OR(INDEX($W$2:$W$1001,MATCH(ROWS($V$2:V537),$V$2:$V$1001,0),1)&gt;=100000,INDEX($AC$1005:$AS$1005,1,MATCH(COLUMNS($AC$1006:AR1006),$AC$1006:$AS$1006,0))&gt;=100000), " ",IF(INDEX($AC$2:$AS$1001,MATCH(ROWS($V$2:V537),$V$2:$V$1001,0),MATCH(COLUMNS($AC$1006:AR1006),$AC$1006:$AS$1006,0)), HYPERLINK("#",""), HYPERLINK(CONCATENATE("#Metadata!", ADDRESS(INDEX($X$2:$X$1001,MATCH(ROWS($V$2:V537),$V$2:$V$1001,0),0), INDEX($AC$1004:$AS$1004,1,MATCH(COLUMNS($AC$1006:AR1006),$AC$1006:$AS$1006,0)))),"Fix")))</f>
        <v>0</v>
      </c>
      <c r="R537" s="5">
        <f>IF(OR(INDEX($W$2:$W$1001,MATCH(ROWS($V$2:V537),$V$2:$V$1001,0),1)&gt;=100000,INDEX($AC$1005:$AS$1005,1,MATCH(COLUMNS($AC$1006:AS1006),$AC$1006:$AS$1006,0))&gt;=100000), " ",IF(INDEX($AC$2:$AS$1001,MATCH(ROWS($V$2:V537),$V$2:$V$1001,0),MATCH(COLUMNS($AC$1006:AS1006),$AC$1006:$AS$1006,0)), HYPERLINK("#",""), HYPERLINK(CONCATENATE("#Metadata!", ADDRESS(INDEX($X$2:$X$1001,MATCH(ROWS($V$2:V537),$V$2:$V$1001,0),0), INDEX($AC$1004:$AS$1004,1,MATCH(COLUMNS($AC$1006:AS1006),$AC$1006:$AS$1006,0)))),"Fix")))</f>
        <v>0</v>
      </c>
      <c r="V537">
        <v>0</v>
      </c>
      <c r="W537">
        <v>0</v>
      </c>
      <c r="X537">
        <v>0</v>
      </c>
      <c r="Y537">
        <f>IF(Z537,TRUE,AND(AC537:AS537))</f>
        <v>0</v>
      </c>
      <c r="Z537">
        <f>COUNTBLANK(Metadata!B537:R537)=COLUMNS(Metadata!B537:R537)</f>
        <v>0</v>
      </c>
      <c r="AA537">
        <v>0</v>
      </c>
      <c r="AC537">
        <f>AND(IF(Metadata!B537="",FALSE,TRUE),COUNTIF(Metadata!B:B, Metadata!B537) = 1,NOT(ISERROR(SUMPRODUCT(SEARCH(MID(Metadata!B537,ROW(INDIRECT("1:"&amp;LEN(Metadata!B537))), 1),"0123456789abcdefghijklmnopqrstuvwxyzABCDEFGHIJKLMNOPQRSTUVWXYZ.")))))</f>
        <v>0</v>
      </c>
      <c r="AD537">
        <f>AND(IF(Metadata!C537="",FALSE,TRUE),exact(Metadata!C537,"Host-associated"))</f>
        <v>0</v>
      </c>
      <c r="AE537">
        <f>AND(IF(Metadata!D537="",FALSE,TRUE),OR(exact(Metadata!D537,"Animal"),exact(Metadata!D537,"Fungus"),exact(Metadata!D537,"Plant")))</f>
        <v>0</v>
      </c>
      <c r="AF537">
        <f>AND(IF(Metadata!E537="",FALSE,TRUE),OR(exact(Metadata!E537,"Plant secretion"),exact(Metadata!E537,"Plant rhizosphere"),exact(Metadata!E537,"Plant surface"),exact(Metadata!E537,"Plant corpus"),exact(Metadata!E537,"Fungus surface"),exact(Metadata!E537,"Fungus corpus"),exact(Metadata!E537,"Animal surface"),exact(Metadata!E537,"Animal proximal gut"),exact(Metadata!E537,"Animal corpus"),exact(Metadata!E537,"Animal distal gut"),exact(Metadata!E537,"Animal secretion")))</f>
        <v>0</v>
      </c>
      <c r="AG537">
        <f>OR(AND(IF(Metadata!F537="",FALSE,TRUE),OR(exact(Metadata!F537,"not collected"),exact(Metadata!F537,"not provided"),exact(Metadata!F537,"restricted access"))),AND(IF(Metadata!F537="",FALSE,TRUE),OR(exact(Metadata!F537,"organism-associated habitat"),exact(Metadata!F537,"plant-associated habitat"),exact(Metadata!F537,"animal-associated habitat"),exact(Metadata!F537,"insecta-associated habitat"),exact(Metadata!F537,"mammalia-associated habitat"),exact(Metadata!F537,"human-associated habitat"),exact(Metadata!F537,"livestock-associated habitat"))))</f>
        <v>0</v>
      </c>
      <c r="AH537">
        <f>AND(IF(Metadata!G537="",FALSE,TRUE),exact(Metadata!G537,"host-associated"))</f>
        <v>0</v>
      </c>
      <c r="AI537">
        <f>OR(AND(IF(Metadata!H537="",FALSE,TRUE),OR(exact(Metadata!H537,"not collected"),exact(Metadata!H537,"not provided"))),AND(IF(Metadata!H537="",FALSE,ISNUMBER(VALUE(Metadata!H537))),Metadata!H537&gt;0))</f>
        <v>0</v>
      </c>
      <c r="AJ537">
        <f>AND(IF(Metadata!I537="",FALSE,TRUE),exact(Metadata!I537,"years"))</f>
        <v>0</v>
      </c>
      <c r="AK537">
        <f>IF(Metadata!J537="",FALSE,TRUE)</f>
        <v>0</v>
      </c>
      <c r="AL537">
        <f>OR(AND(IF(Metadata!K537="",FALSE,TRUE),OR(exact(Metadata!K537,"not collected"),exact(Metadata!K537,"not provided"))),AND(IF(Metadata!K537="",FALSE,ISNUMBER(VALUE(Metadata!K537))),Metadata!K537&gt;0))</f>
        <v>0</v>
      </c>
      <c r="AM537">
        <f>AND(IF(Metadata!L537="",FALSE,TRUE),exact(Metadata!L537,"cm"))</f>
        <v>0</v>
      </c>
      <c r="AN537">
        <f>IF(Metadata!M537="",FALSE,TRUE)</f>
        <v>0</v>
      </c>
      <c r="AO537">
        <f>OR(AND(IF(Metadata!N537="",FALSE,TRUE),OR(exact(Metadata!N537,"not applicable"),exact(Metadata!N537,"not collected"),exact(Metadata!N537,"not provided"))),AND(IF(Metadata!N537="",FALSE,IF(ISERROR(INT(Metadata!N537)),FALSE,INT(Metadata!N537)=Metadata!N537)),Metadata!N537&gt;0))</f>
        <v>0</v>
      </c>
      <c r="AP537">
        <f>OR(AND(IF(Metadata!O537="",FALSE,TRUE),OR(exact(Metadata!O537,"not collected"),exact(Metadata!O537,"not provided"))),AND(IF(Metadata!O537="",FALSE,ISNUMBER(VALUE(Metadata!O537))),Metadata!O537&gt;0))</f>
        <v>0</v>
      </c>
      <c r="AQ537">
        <f>AND(IF(Metadata!P537="",FALSE,TRUE),exact(Metadata!P537,"kg"))</f>
        <v>0</v>
      </c>
      <c r="AR537">
        <f>OR(AND(IF(Metadata!Q537="",FALSE,TRUE),OR(exact(Metadata!Q537,"not applicable"),exact(Metadata!Q537,"not collected"),exact(Metadata!Q537,"not provided"),exact(Metadata!Q537,"restricted access"))),IF(Metadata!Q537="",FALSE,IF(ISERROR(INT(Metadata!Q537)),FALSE,INT(Metadata!Q537)=Metadata!Q537)))</f>
        <v>0</v>
      </c>
      <c r="AS537">
        <f>AND(IF(Metadata!R537="",FALSE,TRUE),exact(Metadata!R537,"Not applicable"))</f>
        <v>0</v>
      </c>
    </row>
    <row r="538" spans="1:45">
      <c r="A538" s="4">
        <f>IF(B538=" "," ",HYPERLINK(CONCATENATE("#metadata!",ADDRESS(INDEX($X$2:$X$1001,MATCH(ROWS($V$2:V538),$V$2:$V$1001,0),0),2)),INDEX($AA$2:$AA$1001,MATCH(ROWS($V$2:V538),$V$2:$V$1001,0),0)))</f>
        <v>0</v>
      </c>
      <c r="B538" s="5">
        <f>IF(OR(INDEX($W$2:$W$1001,MATCH(ROWS($V$2:V538),$V$2:$V$1001,0),1)&gt;=100000,INDEX($AC$1005:$AS$1005,1,MATCH(COLUMNS($AC$1006:AC1006),$AC$1006:$AS$1006,0))&gt;=100000), " ",IF(INDEX($AC$2:$AS$1001,MATCH(ROWS($V$2:V538),$V$2:$V$1001,0),MATCH(COLUMNS($AC$1006:AC1006),$AC$1006:$AS$1006,0)), HYPERLINK("#",""), HYPERLINK(CONCATENATE("#Metadata!", ADDRESS(INDEX($X$2:$X$1001,MATCH(ROWS($V$2:V538),$V$2:$V$1001,0),0), INDEX($AC$1004:$AS$1004,1,MATCH(COLUMNS($AC$1006:AC1006),$AC$1006:$AS$1006,0)))),"Fix")))</f>
        <v>0</v>
      </c>
      <c r="C538" s="5">
        <f>IF(OR(INDEX($W$2:$W$1001,MATCH(ROWS($V$2:V538),$V$2:$V$1001,0),1)&gt;=100000,INDEX($AC$1005:$AS$1005,1,MATCH(COLUMNS($AC$1006:AD1006),$AC$1006:$AS$1006,0))&gt;=100000), " ",IF(INDEX($AC$2:$AS$1001,MATCH(ROWS($V$2:V538),$V$2:$V$1001,0),MATCH(COLUMNS($AC$1006:AD1006),$AC$1006:$AS$1006,0)), HYPERLINK("#",""), HYPERLINK(CONCATENATE("#Metadata!", ADDRESS(INDEX($X$2:$X$1001,MATCH(ROWS($V$2:V538),$V$2:$V$1001,0),0), INDEX($AC$1004:$AS$1004,1,MATCH(COLUMNS($AC$1006:AD1006),$AC$1006:$AS$1006,0)))),"Fix")))</f>
        <v>0</v>
      </c>
      <c r="D538" s="5">
        <f>IF(OR(INDEX($W$2:$W$1001,MATCH(ROWS($V$2:V538),$V$2:$V$1001,0),1)&gt;=100000,INDEX($AC$1005:$AS$1005,1,MATCH(COLUMNS($AC$1006:AE1006),$AC$1006:$AS$1006,0))&gt;=100000), " ",IF(INDEX($AC$2:$AS$1001,MATCH(ROWS($V$2:V538),$V$2:$V$1001,0),MATCH(COLUMNS($AC$1006:AE1006),$AC$1006:$AS$1006,0)), HYPERLINK("#",""), HYPERLINK(CONCATENATE("#Metadata!", ADDRESS(INDEX($X$2:$X$1001,MATCH(ROWS($V$2:V538),$V$2:$V$1001,0),0), INDEX($AC$1004:$AS$1004,1,MATCH(COLUMNS($AC$1006:AE1006),$AC$1006:$AS$1006,0)))),"Fix")))</f>
        <v>0</v>
      </c>
      <c r="E538" s="5">
        <f>IF(OR(INDEX($W$2:$W$1001,MATCH(ROWS($V$2:V538),$V$2:$V$1001,0),1)&gt;=100000,INDEX($AC$1005:$AS$1005,1,MATCH(COLUMNS($AC$1006:AF1006),$AC$1006:$AS$1006,0))&gt;=100000), " ",IF(INDEX($AC$2:$AS$1001,MATCH(ROWS($V$2:V538),$V$2:$V$1001,0),MATCH(COLUMNS($AC$1006:AF1006),$AC$1006:$AS$1006,0)), HYPERLINK("#",""), HYPERLINK(CONCATENATE("#Metadata!", ADDRESS(INDEX($X$2:$X$1001,MATCH(ROWS($V$2:V538),$V$2:$V$1001,0),0), INDEX($AC$1004:$AS$1004,1,MATCH(COLUMNS($AC$1006:AF1006),$AC$1006:$AS$1006,0)))),"Fix")))</f>
        <v>0</v>
      </c>
      <c r="F538" s="5">
        <f>IF(OR(INDEX($W$2:$W$1001,MATCH(ROWS($V$2:V538),$V$2:$V$1001,0),1)&gt;=100000,INDEX($AC$1005:$AS$1005,1,MATCH(COLUMNS($AC$1006:AG1006),$AC$1006:$AS$1006,0))&gt;=100000), " ",IF(INDEX($AC$2:$AS$1001,MATCH(ROWS($V$2:V538),$V$2:$V$1001,0),MATCH(COLUMNS($AC$1006:AG1006),$AC$1006:$AS$1006,0)), HYPERLINK("#",""), HYPERLINK(CONCATENATE("#Metadata!", ADDRESS(INDEX($X$2:$X$1001,MATCH(ROWS($V$2:V538),$V$2:$V$1001,0),0), INDEX($AC$1004:$AS$1004,1,MATCH(COLUMNS($AC$1006:AG1006),$AC$1006:$AS$1006,0)))),"Fix")))</f>
        <v>0</v>
      </c>
      <c r="G538" s="5">
        <f>IF(OR(INDEX($W$2:$W$1001,MATCH(ROWS($V$2:V538),$V$2:$V$1001,0),1)&gt;=100000,INDEX($AC$1005:$AS$1005,1,MATCH(COLUMNS($AC$1006:AH1006),$AC$1006:$AS$1006,0))&gt;=100000), " ",IF(INDEX($AC$2:$AS$1001,MATCH(ROWS($V$2:V538),$V$2:$V$1001,0),MATCH(COLUMNS($AC$1006:AH1006),$AC$1006:$AS$1006,0)), HYPERLINK("#",""), HYPERLINK(CONCATENATE("#Metadata!", ADDRESS(INDEX($X$2:$X$1001,MATCH(ROWS($V$2:V538),$V$2:$V$1001,0),0), INDEX($AC$1004:$AS$1004,1,MATCH(COLUMNS($AC$1006:AH1006),$AC$1006:$AS$1006,0)))),"Fix")))</f>
        <v>0</v>
      </c>
      <c r="H538" s="5">
        <f>IF(OR(INDEX($W$2:$W$1001,MATCH(ROWS($V$2:V538),$V$2:$V$1001,0),1)&gt;=100000,INDEX($AC$1005:$AS$1005,1,MATCH(COLUMNS($AC$1006:AI1006),$AC$1006:$AS$1006,0))&gt;=100000), " ",IF(INDEX($AC$2:$AS$1001,MATCH(ROWS($V$2:V538),$V$2:$V$1001,0),MATCH(COLUMNS($AC$1006:AI1006),$AC$1006:$AS$1006,0)), HYPERLINK("#",""), HYPERLINK(CONCATENATE("#Metadata!", ADDRESS(INDEX($X$2:$X$1001,MATCH(ROWS($V$2:V538),$V$2:$V$1001,0),0), INDEX($AC$1004:$AS$1004,1,MATCH(COLUMNS($AC$1006:AI1006),$AC$1006:$AS$1006,0)))),"Fix")))</f>
        <v>0</v>
      </c>
      <c r="I538" s="5">
        <f>IF(OR(INDEX($W$2:$W$1001,MATCH(ROWS($V$2:V538),$V$2:$V$1001,0),1)&gt;=100000,INDEX($AC$1005:$AS$1005,1,MATCH(COLUMNS($AC$1006:AJ1006),$AC$1006:$AS$1006,0))&gt;=100000), " ",IF(INDEX($AC$2:$AS$1001,MATCH(ROWS($V$2:V538),$V$2:$V$1001,0),MATCH(COLUMNS($AC$1006:AJ1006),$AC$1006:$AS$1006,0)), HYPERLINK("#",""), HYPERLINK(CONCATENATE("#Metadata!", ADDRESS(INDEX($X$2:$X$1001,MATCH(ROWS($V$2:V538),$V$2:$V$1001,0),0), INDEX($AC$1004:$AS$1004,1,MATCH(COLUMNS($AC$1006:AJ1006),$AC$1006:$AS$1006,0)))),"Fix")))</f>
        <v>0</v>
      </c>
      <c r="J538" s="5">
        <f>IF(OR(INDEX($W$2:$W$1001,MATCH(ROWS($V$2:V538),$V$2:$V$1001,0),1)&gt;=100000,INDEX($AC$1005:$AS$1005,1,MATCH(COLUMNS($AC$1006:AK1006),$AC$1006:$AS$1006,0))&gt;=100000), " ",IF(INDEX($AC$2:$AS$1001,MATCH(ROWS($V$2:V538),$V$2:$V$1001,0),MATCH(COLUMNS($AC$1006:AK1006),$AC$1006:$AS$1006,0)), HYPERLINK("#",""), HYPERLINK(CONCATENATE("#Metadata!", ADDRESS(INDEX($X$2:$X$1001,MATCH(ROWS($V$2:V538),$V$2:$V$1001,0),0), INDEX($AC$1004:$AS$1004,1,MATCH(COLUMNS($AC$1006:AK1006),$AC$1006:$AS$1006,0)))),"Fix")))</f>
        <v>0</v>
      </c>
      <c r="K538" s="5">
        <f>IF(OR(INDEX($W$2:$W$1001,MATCH(ROWS($V$2:V538),$V$2:$V$1001,0),1)&gt;=100000,INDEX($AC$1005:$AS$1005,1,MATCH(COLUMNS($AC$1006:AL1006),$AC$1006:$AS$1006,0))&gt;=100000), " ",IF(INDEX($AC$2:$AS$1001,MATCH(ROWS($V$2:V538),$V$2:$V$1001,0),MATCH(COLUMNS($AC$1006:AL1006),$AC$1006:$AS$1006,0)), HYPERLINK("#",""), HYPERLINK(CONCATENATE("#Metadata!", ADDRESS(INDEX($X$2:$X$1001,MATCH(ROWS($V$2:V538),$V$2:$V$1001,0),0), INDEX($AC$1004:$AS$1004,1,MATCH(COLUMNS($AC$1006:AL1006),$AC$1006:$AS$1006,0)))),"Fix")))</f>
        <v>0</v>
      </c>
      <c r="L538" s="5">
        <f>IF(OR(INDEX($W$2:$W$1001,MATCH(ROWS($V$2:V538),$V$2:$V$1001,0),1)&gt;=100000,INDEX($AC$1005:$AS$1005,1,MATCH(COLUMNS($AC$1006:AM1006),$AC$1006:$AS$1006,0))&gt;=100000), " ",IF(INDEX($AC$2:$AS$1001,MATCH(ROWS($V$2:V538),$V$2:$V$1001,0),MATCH(COLUMNS($AC$1006:AM1006),$AC$1006:$AS$1006,0)), HYPERLINK("#",""), HYPERLINK(CONCATENATE("#Metadata!", ADDRESS(INDEX($X$2:$X$1001,MATCH(ROWS($V$2:V538),$V$2:$V$1001,0),0), INDEX($AC$1004:$AS$1004,1,MATCH(COLUMNS($AC$1006:AM1006),$AC$1006:$AS$1006,0)))),"Fix")))</f>
        <v>0</v>
      </c>
      <c r="M538" s="5">
        <f>IF(OR(INDEX($W$2:$W$1001,MATCH(ROWS($V$2:V538),$V$2:$V$1001,0),1)&gt;=100000,INDEX($AC$1005:$AS$1005,1,MATCH(COLUMNS($AC$1006:AN1006),$AC$1006:$AS$1006,0))&gt;=100000), " ",IF(INDEX($AC$2:$AS$1001,MATCH(ROWS($V$2:V538),$V$2:$V$1001,0),MATCH(COLUMNS($AC$1006:AN1006),$AC$1006:$AS$1006,0)), HYPERLINK("#",""), HYPERLINK(CONCATENATE("#Metadata!", ADDRESS(INDEX($X$2:$X$1001,MATCH(ROWS($V$2:V538),$V$2:$V$1001,0),0), INDEX($AC$1004:$AS$1004,1,MATCH(COLUMNS($AC$1006:AN1006),$AC$1006:$AS$1006,0)))),"Fix")))</f>
        <v>0</v>
      </c>
      <c r="N538" s="5">
        <f>IF(OR(INDEX($W$2:$W$1001,MATCH(ROWS($V$2:V538),$V$2:$V$1001,0),1)&gt;=100000,INDEX($AC$1005:$AS$1005,1,MATCH(COLUMNS($AC$1006:AO1006),$AC$1006:$AS$1006,0))&gt;=100000), " ",IF(INDEX($AC$2:$AS$1001,MATCH(ROWS($V$2:V538),$V$2:$V$1001,0),MATCH(COLUMNS($AC$1006:AO1006),$AC$1006:$AS$1006,0)), HYPERLINK("#",""), HYPERLINK(CONCATENATE("#Metadata!", ADDRESS(INDEX($X$2:$X$1001,MATCH(ROWS($V$2:V538),$V$2:$V$1001,0),0), INDEX($AC$1004:$AS$1004,1,MATCH(COLUMNS($AC$1006:AO1006),$AC$1006:$AS$1006,0)))),"Fix")))</f>
        <v>0</v>
      </c>
      <c r="O538" s="5">
        <f>IF(OR(INDEX($W$2:$W$1001,MATCH(ROWS($V$2:V538),$V$2:$V$1001,0),1)&gt;=100000,INDEX($AC$1005:$AS$1005,1,MATCH(COLUMNS($AC$1006:AP1006),$AC$1006:$AS$1006,0))&gt;=100000), " ",IF(INDEX($AC$2:$AS$1001,MATCH(ROWS($V$2:V538),$V$2:$V$1001,0),MATCH(COLUMNS($AC$1006:AP1006),$AC$1006:$AS$1006,0)), HYPERLINK("#",""), HYPERLINK(CONCATENATE("#Metadata!", ADDRESS(INDEX($X$2:$X$1001,MATCH(ROWS($V$2:V538),$V$2:$V$1001,0),0), INDEX($AC$1004:$AS$1004,1,MATCH(COLUMNS($AC$1006:AP1006),$AC$1006:$AS$1006,0)))),"Fix")))</f>
        <v>0</v>
      </c>
      <c r="P538" s="5">
        <f>IF(OR(INDEX($W$2:$W$1001,MATCH(ROWS($V$2:V538),$V$2:$V$1001,0),1)&gt;=100000,INDEX($AC$1005:$AS$1005,1,MATCH(COLUMNS($AC$1006:AQ1006),$AC$1006:$AS$1006,0))&gt;=100000), " ",IF(INDEX($AC$2:$AS$1001,MATCH(ROWS($V$2:V538),$V$2:$V$1001,0),MATCH(COLUMNS($AC$1006:AQ1006),$AC$1006:$AS$1006,0)), HYPERLINK("#",""), HYPERLINK(CONCATENATE("#Metadata!", ADDRESS(INDEX($X$2:$X$1001,MATCH(ROWS($V$2:V538),$V$2:$V$1001,0),0), INDEX($AC$1004:$AS$1004,1,MATCH(COLUMNS($AC$1006:AQ1006),$AC$1006:$AS$1006,0)))),"Fix")))</f>
        <v>0</v>
      </c>
      <c r="Q538" s="5">
        <f>IF(OR(INDEX($W$2:$W$1001,MATCH(ROWS($V$2:V538),$V$2:$V$1001,0),1)&gt;=100000,INDEX($AC$1005:$AS$1005,1,MATCH(COLUMNS($AC$1006:AR1006),$AC$1006:$AS$1006,0))&gt;=100000), " ",IF(INDEX($AC$2:$AS$1001,MATCH(ROWS($V$2:V538),$V$2:$V$1001,0),MATCH(COLUMNS($AC$1006:AR1006),$AC$1006:$AS$1006,0)), HYPERLINK("#",""), HYPERLINK(CONCATENATE("#Metadata!", ADDRESS(INDEX($X$2:$X$1001,MATCH(ROWS($V$2:V538),$V$2:$V$1001,0),0), INDEX($AC$1004:$AS$1004,1,MATCH(COLUMNS($AC$1006:AR1006),$AC$1006:$AS$1006,0)))),"Fix")))</f>
        <v>0</v>
      </c>
      <c r="R538" s="5">
        <f>IF(OR(INDEX($W$2:$W$1001,MATCH(ROWS($V$2:V538),$V$2:$V$1001,0),1)&gt;=100000,INDEX($AC$1005:$AS$1005,1,MATCH(COLUMNS($AC$1006:AS1006),$AC$1006:$AS$1006,0))&gt;=100000), " ",IF(INDEX($AC$2:$AS$1001,MATCH(ROWS($V$2:V538),$V$2:$V$1001,0),MATCH(COLUMNS($AC$1006:AS1006),$AC$1006:$AS$1006,0)), HYPERLINK("#",""), HYPERLINK(CONCATENATE("#Metadata!", ADDRESS(INDEX($X$2:$X$1001,MATCH(ROWS($V$2:V538),$V$2:$V$1001,0),0), INDEX($AC$1004:$AS$1004,1,MATCH(COLUMNS($AC$1006:AS1006),$AC$1006:$AS$1006,0)))),"Fix")))</f>
        <v>0</v>
      </c>
      <c r="V538">
        <v>0</v>
      </c>
      <c r="W538">
        <v>0</v>
      </c>
      <c r="X538">
        <v>0</v>
      </c>
      <c r="Y538">
        <f>IF(Z538,TRUE,AND(AC538:AS538))</f>
        <v>0</v>
      </c>
      <c r="Z538">
        <f>COUNTBLANK(Metadata!B538:R538)=COLUMNS(Metadata!B538:R538)</f>
        <v>0</v>
      </c>
      <c r="AA538">
        <v>0</v>
      </c>
      <c r="AC538">
        <f>AND(IF(Metadata!B538="",FALSE,TRUE),COUNTIF(Metadata!B:B, Metadata!B538) = 1,NOT(ISERROR(SUMPRODUCT(SEARCH(MID(Metadata!B538,ROW(INDIRECT("1:"&amp;LEN(Metadata!B538))), 1),"0123456789abcdefghijklmnopqrstuvwxyzABCDEFGHIJKLMNOPQRSTUVWXYZ.")))))</f>
        <v>0</v>
      </c>
      <c r="AD538">
        <f>AND(IF(Metadata!C538="",FALSE,TRUE),exact(Metadata!C538,"Host-associated"))</f>
        <v>0</v>
      </c>
      <c r="AE538">
        <f>AND(IF(Metadata!D538="",FALSE,TRUE),OR(exact(Metadata!D538,"Animal"),exact(Metadata!D538,"Fungus"),exact(Metadata!D538,"Plant")))</f>
        <v>0</v>
      </c>
      <c r="AF538">
        <f>AND(IF(Metadata!E538="",FALSE,TRUE),OR(exact(Metadata!E538,"Plant secretion"),exact(Metadata!E538,"Plant rhizosphere"),exact(Metadata!E538,"Plant surface"),exact(Metadata!E538,"Plant corpus"),exact(Metadata!E538,"Fungus surface"),exact(Metadata!E538,"Fungus corpus"),exact(Metadata!E538,"Animal surface"),exact(Metadata!E538,"Animal proximal gut"),exact(Metadata!E538,"Animal corpus"),exact(Metadata!E538,"Animal distal gut"),exact(Metadata!E538,"Animal secretion")))</f>
        <v>0</v>
      </c>
      <c r="AG538">
        <f>OR(AND(IF(Metadata!F538="",FALSE,TRUE),OR(exact(Metadata!F538,"not collected"),exact(Metadata!F538,"not provided"),exact(Metadata!F538,"restricted access"))),AND(IF(Metadata!F538="",FALSE,TRUE),OR(exact(Metadata!F538,"organism-associated habitat"),exact(Metadata!F538,"plant-associated habitat"),exact(Metadata!F538,"animal-associated habitat"),exact(Metadata!F538,"insecta-associated habitat"),exact(Metadata!F538,"mammalia-associated habitat"),exact(Metadata!F538,"human-associated habitat"),exact(Metadata!F538,"livestock-associated habitat"))))</f>
        <v>0</v>
      </c>
      <c r="AH538">
        <f>AND(IF(Metadata!G538="",FALSE,TRUE),exact(Metadata!G538,"host-associated"))</f>
        <v>0</v>
      </c>
      <c r="AI538">
        <f>OR(AND(IF(Metadata!H538="",FALSE,TRUE),OR(exact(Metadata!H538,"not collected"),exact(Metadata!H538,"not provided"))),AND(IF(Metadata!H538="",FALSE,ISNUMBER(VALUE(Metadata!H538))),Metadata!H538&gt;0))</f>
        <v>0</v>
      </c>
      <c r="AJ538">
        <f>AND(IF(Metadata!I538="",FALSE,TRUE),exact(Metadata!I538,"years"))</f>
        <v>0</v>
      </c>
      <c r="AK538">
        <f>IF(Metadata!J538="",FALSE,TRUE)</f>
        <v>0</v>
      </c>
      <c r="AL538">
        <f>OR(AND(IF(Metadata!K538="",FALSE,TRUE),OR(exact(Metadata!K538,"not collected"),exact(Metadata!K538,"not provided"))),AND(IF(Metadata!K538="",FALSE,ISNUMBER(VALUE(Metadata!K538))),Metadata!K538&gt;0))</f>
        <v>0</v>
      </c>
      <c r="AM538">
        <f>AND(IF(Metadata!L538="",FALSE,TRUE),exact(Metadata!L538,"cm"))</f>
        <v>0</v>
      </c>
      <c r="AN538">
        <f>IF(Metadata!M538="",FALSE,TRUE)</f>
        <v>0</v>
      </c>
      <c r="AO538">
        <f>OR(AND(IF(Metadata!N538="",FALSE,TRUE),OR(exact(Metadata!N538,"not applicable"),exact(Metadata!N538,"not collected"),exact(Metadata!N538,"not provided"))),AND(IF(Metadata!N538="",FALSE,IF(ISERROR(INT(Metadata!N538)),FALSE,INT(Metadata!N538)=Metadata!N538)),Metadata!N538&gt;0))</f>
        <v>0</v>
      </c>
      <c r="AP538">
        <f>OR(AND(IF(Metadata!O538="",FALSE,TRUE),OR(exact(Metadata!O538,"not collected"),exact(Metadata!O538,"not provided"))),AND(IF(Metadata!O538="",FALSE,ISNUMBER(VALUE(Metadata!O538))),Metadata!O538&gt;0))</f>
        <v>0</v>
      </c>
      <c r="AQ538">
        <f>AND(IF(Metadata!P538="",FALSE,TRUE),exact(Metadata!P538,"kg"))</f>
        <v>0</v>
      </c>
      <c r="AR538">
        <f>OR(AND(IF(Metadata!Q538="",FALSE,TRUE),OR(exact(Metadata!Q538,"not applicable"),exact(Metadata!Q538,"not collected"),exact(Metadata!Q538,"not provided"),exact(Metadata!Q538,"restricted access"))),IF(Metadata!Q538="",FALSE,IF(ISERROR(INT(Metadata!Q538)),FALSE,INT(Metadata!Q538)=Metadata!Q538)))</f>
        <v>0</v>
      </c>
      <c r="AS538">
        <f>AND(IF(Metadata!R538="",FALSE,TRUE),exact(Metadata!R538,"Not applicable"))</f>
        <v>0</v>
      </c>
    </row>
    <row r="539" spans="1:45">
      <c r="A539" s="4">
        <f>IF(B539=" "," ",HYPERLINK(CONCATENATE("#metadata!",ADDRESS(INDEX($X$2:$X$1001,MATCH(ROWS($V$2:V539),$V$2:$V$1001,0),0),2)),INDEX($AA$2:$AA$1001,MATCH(ROWS($V$2:V539),$V$2:$V$1001,0),0)))</f>
        <v>0</v>
      </c>
      <c r="B539" s="5">
        <f>IF(OR(INDEX($W$2:$W$1001,MATCH(ROWS($V$2:V539),$V$2:$V$1001,0),1)&gt;=100000,INDEX($AC$1005:$AS$1005,1,MATCH(COLUMNS($AC$1006:AC1006),$AC$1006:$AS$1006,0))&gt;=100000), " ",IF(INDEX($AC$2:$AS$1001,MATCH(ROWS($V$2:V539),$V$2:$V$1001,0),MATCH(COLUMNS($AC$1006:AC1006),$AC$1006:$AS$1006,0)), HYPERLINK("#",""), HYPERLINK(CONCATENATE("#Metadata!", ADDRESS(INDEX($X$2:$X$1001,MATCH(ROWS($V$2:V539),$V$2:$V$1001,0),0), INDEX($AC$1004:$AS$1004,1,MATCH(COLUMNS($AC$1006:AC1006),$AC$1006:$AS$1006,0)))),"Fix")))</f>
        <v>0</v>
      </c>
      <c r="C539" s="5">
        <f>IF(OR(INDEX($W$2:$W$1001,MATCH(ROWS($V$2:V539),$V$2:$V$1001,0),1)&gt;=100000,INDEX($AC$1005:$AS$1005,1,MATCH(COLUMNS($AC$1006:AD1006),$AC$1006:$AS$1006,0))&gt;=100000), " ",IF(INDEX($AC$2:$AS$1001,MATCH(ROWS($V$2:V539),$V$2:$V$1001,0),MATCH(COLUMNS($AC$1006:AD1006),$AC$1006:$AS$1006,0)), HYPERLINK("#",""), HYPERLINK(CONCATENATE("#Metadata!", ADDRESS(INDEX($X$2:$X$1001,MATCH(ROWS($V$2:V539),$V$2:$V$1001,0),0), INDEX($AC$1004:$AS$1004,1,MATCH(COLUMNS($AC$1006:AD1006),$AC$1006:$AS$1006,0)))),"Fix")))</f>
        <v>0</v>
      </c>
      <c r="D539" s="5">
        <f>IF(OR(INDEX($W$2:$W$1001,MATCH(ROWS($V$2:V539),$V$2:$V$1001,0),1)&gt;=100000,INDEX($AC$1005:$AS$1005,1,MATCH(COLUMNS($AC$1006:AE1006),$AC$1006:$AS$1006,0))&gt;=100000), " ",IF(INDEX($AC$2:$AS$1001,MATCH(ROWS($V$2:V539),$V$2:$V$1001,0),MATCH(COLUMNS($AC$1006:AE1006),$AC$1006:$AS$1006,0)), HYPERLINK("#",""), HYPERLINK(CONCATENATE("#Metadata!", ADDRESS(INDEX($X$2:$X$1001,MATCH(ROWS($V$2:V539),$V$2:$V$1001,0),0), INDEX($AC$1004:$AS$1004,1,MATCH(COLUMNS($AC$1006:AE1006),$AC$1006:$AS$1006,0)))),"Fix")))</f>
        <v>0</v>
      </c>
      <c r="E539" s="5">
        <f>IF(OR(INDEX($W$2:$W$1001,MATCH(ROWS($V$2:V539),$V$2:$V$1001,0),1)&gt;=100000,INDEX($AC$1005:$AS$1005,1,MATCH(COLUMNS($AC$1006:AF1006),$AC$1006:$AS$1006,0))&gt;=100000), " ",IF(INDEX($AC$2:$AS$1001,MATCH(ROWS($V$2:V539),$V$2:$V$1001,0),MATCH(COLUMNS($AC$1006:AF1006),$AC$1006:$AS$1006,0)), HYPERLINK("#",""), HYPERLINK(CONCATENATE("#Metadata!", ADDRESS(INDEX($X$2:$X$1001,MATCH(ROWS($V$2:V539),$V$2:$V$1001,0),0), INDEX($AC$1004:$AS$1004,1,MATCH(COLUMNS($AC$1006:AF1006),$AC$1006:$AS$1006,0)))),"Fix")))</f>
        <v>0</v>
      </c>
      <c r="F539" s="5">
        <f>IF(OR(INDEX($W$2:$W$1001,MATCH(ROWS($V$2:V539),$V$2:$V$1001,0),1)&gt;=100000,INDEX($AC$1005:$AS$1005,1,MATCH(COLUMNS($AC$1006:AG1006),$AC$1006:$AS$1006,0))&gt;=100000), " ",IF(INDEX($AC$2:$AS$1001,MATCH(ROWS($V$2:V539),$V$2:$V$1001,0),MATCH(COLUMNS($AC$1006:AG1006),$AC$1006:$AS$1006,0)), HYPERLINK("#",""), HYPERLINK(CONCATENATE("#Metadata!", ADDRESS(INDEX($X$2:$X$1001,MATCH(ROWS($V$2:V539),$V$2:$V$1001,0),0), INDEX($AC$1004:$AS$1004,1,MATCH(COLUMNS($AC$1006:AG1006),$AC$1006:$AS$1006,0)))),"Fix")))</f>
        <v>0</v>
      </c>
      <c r="G539" s="5">
        <f>IF(OR(INDEX($W$2:$W$1001,MATCH(ROWS($V$2:V539),$V$2:$V$1001,0),1)&gt;=100000,INDEX($AC$1005:$AS$1005,1,MATCH(COLUMNS($AC$1006:AH1006),$AC$1006:$AS$1006,0))&gt;=100000), " ",IF(INDEX($AC$2:$AS$1001,MATCH(ROWS($V$2:V539),$V$2:$V$1001,0),MATCH(COLUMNS($AC$1006:AH1006),$AC$1006:$AS$1006,0)), HYPERLINK("#",""), HYPERLINK(CONCATENATE("#Metadata!", ADDRESS(INDEX($X$2:$X$1001,MATCH(ROWS($V$2:V539),$V$2:$V$1001,0),0), INDEX($AC$1004:$AS$1004,1,MATCH(COLUMNS($AC$1006:AH1006),$AC$1006:$AS$1006,0)))),"Fix")))</f>
        <v>0</v>
      </c>
      <c r="H539" s="5">
        <f>IF(OR(INDEX($W$2:$W$1001,MATCH(ROWS($V$2:V539),$V$2:$V$1001,0),1)&gt;=100000,INDEX($AC$1005:$AS$1005,1,MATCH(COLUMNS($AC$1006:AI1006),$AC$1006:$AS$1006,0))&gt;=100000), " ",IF(INDEX($AC$2:$AS$1001,MATCH(ROWS($V$2:V539),$V$2:$V$1001,0),MATCH(COLUMNS($AC$1006:AI1006),$AC$1006:$AS$1006,0)), HYPERLINK("#",""), HYPERLINK(CONCATENATE("#Metadata!", ADDRESS(INDEX($X$2:$X$1001,MATCH(ROWS($V$2:V539),$V$2:$V$1001,0),0), INDEX($AC$1004:$AS$1004,1,MATCH(COLUMNS($AC$1006:AI1006),$AC$1006:$AS$1006,0)))),"Fix")))</f>
        <v>0</v>
      </c>
      <c r="I539" s="5">
        <f>IF(OR(INDEX($W$2:$W$1001,MATCH(ROWS($V$2:V539),$V$2:$V$1001,0),1)&gt;=100000,INDEX($AC$1005:$AS$1005,1,MATCH(COLUMNS($AC$1006:AJ1006),$AC$1006:$AS$1006,0))&gt;=100000), " ",IF(INDEX($AC$2:$AS$1001,MATCH(ROWS($V$2:V539),$V$2:$V$1001,0),MATCH(COLUMNS($AC$1006:AJ1006),$AC$1006:$AS$1006,0)), HYPERLINK("#",""), HYPERLINK(CONCATENATE("#Metadata!", ADDRESS(INDEX($X$2:$X$1001,MATCH(ROWS($V$2:V539),$V$2:$V$1001,0),0), INDEX($AC$1004:$AS$1004,1,MATCH(COLUMNS($AC$1006:AJ1006),$AC$1006:$AS$1006,0)))),"Fix")))</f>
        <v>0</v>
      </c>
      <c r="J539" s="5">
        <f>IF(OR(INDEX($W$2:$W$1001,MATCH(ROWS($V$2:V539),$V$2:$V$1001,0),1)&gt;=100000,INDEX($AC$1005:$AS$1005,1,MATCH(COLUMNS($AC$1006:AK1006),$AC$1006:$AS$1006,0))&gt;=100000), " ",IF(INDEX($AC$2:$AS$1001,MATCH(ROWS($V$2:V539),$V$2:$V$1001,0),MATCH(COLUMNS($AC$1006:AK1006),$AC$1006:$AS$1006,0)), HYPERLINK("#",""), HYPERLINK(CONCATENATE("#Metadata!", ADDRESS(INDEX($X$2:$X$1001,MATCH(ROWS($V$2:V539),$V$2:$V$1001,0),0), INDEX($AC$1004:$AS$1004,1,MATCH(COLUMNS($AC$1006:AK1006),$AC$1006:$AS$1006,0)))),"Fix")))</f>
        <v>0</v>
      </c>
      <c r="K539" s="5">
        <f>IF(OR(INDEX($W$2:$W$1001,MATCH(ROWS($V$2:V539),$V$2:$V$1001,0),1)&gt;=100000,INDEX($AC$1005:$AS$1005,1,MATCH(COLUMNS($AC$1006:AL1006),$AC$1006:$AS$1006,0))&gt;=100000), " ",IF(INDEX($AC$2:$AS$1001,MATCH(ROWS($V$2:V539),$V$2:$V$1001,0),MATCH(COLUMNS($AC$1006:AL1006),$AC$1006:$AS$1006,0)), HYPERLINK("#",""), HYPERLINK(CONCATENATE("#Metadata!", ADDRESS(INDEX($X$2:$X$1001,MATCH(ROWS($V$2:V539),$V$2:$V$1001,0),0), INDEX($AC$1004:$AS$1004,1,MATCH(COLUMNS($AC$1006:AL1006),$AC$1006:$AS$1006,0)))),"Fix")))</f>
        <v>0</v>
      </c>
      <c r="L539" s="5">
        <f>IF(OR(INDEX($W$2:$W$1001,MATCH(ROWS($V$2:V539),$V$2:$V$1001,0),1)&gt;=100000,INDEX($AC$1005:$AS$1005,1,MATCH(COLUMNS($AC$1006:AM1006),$AC$1006:$AS$1006,0))&gt;=100000), " ",IF(INDEX($AC$2:$AS$1001,MATCH(ROWS($V$2:V539),$V$2:$V$1001,0),MATCH(COLUMNS($AC$1006:AM1006),$AC$1006:$AS$1006,0)), HYPERLINK("#",""), HYPERLINK(CONCATENATE("#Metadata!", ADDRESS(INDEX($X$2:$X$1001,MATCH(ROWS($V$2:V539),$V$2:$V$1001,0),0), INDEX($AC$1004:$AS$1004,1,MATCH(COLUMNS($AC$1006:AM1006),$AC$1006:$AS$1006,0)))),"Fix")))</f>
        <v>0</v>
      </c>
      <c r="M539" s="5">
        <f>IF(OR(INDEX($W$2:$W$1001,MATCH(ROWS($V$2:V539),$V$2:$V$1001,0),1)&gt;=100000,INDEX($AC$1005:$AS$1005,1,MATCH(COLUMNS($AC$1006:AN1006),$AC$1006:$AS$1006,0))&gt;=100000), " ",IF(INDEX($AC$2:$AS$1001,MATCH(ROWS($V$2:V539),$V$2:$V$1001,0),MATCH(COLUMNS($AC$1006:AN1006),$AC$1006:$AS$1006,0)), HYPERLINK("#",""), HYPERLINK(CONCATENATE("#Metadata!", ADDRESS(INDEX($X$2:$X$1001,MATCH(ROWS($V$2:V539),$V$2:$V$1001,0),0), INDEX($AC$1004:$AS$1004,1,MATCH(COLUMNS($AC$1006:AN1006),$AC$1006:$AS$1006,0)))),"Fix")))</f>
        <v>0</v>
      </c>
      <c r="N539" s="5">
        <f>IF(OR(INDEX($W$2:$W$1001,MATCH(ROWS($V$2:V539),$V$2:$V$1001,0),1)&gt;=100000,INDEX($AC$1005:$AS$1005,1,MATCH(COLUMNS($AC$1006:AO1006),$AC$1006:$AS$1006,0))&gt;=100000), " ",IF(INDEX($AC$2:$AS$1001,MATCH(ROWS($V$2:V539),$V$2:$V$1001,0),MATCH(COLUMNS($AC$1006:AO1006),$AC$1006:$AS$1006,0)), HYPERLINK("#",""), HYPERLINK(CONCATENATE("#Metadata!", ADDRESS(INDEX($X$2:$X$1001,MATCH(ROWS($V$2:V539),$V$2:$V$1001,0),0), INDEX($AC$1004:$AS$1004,1,MATCH(COLUMNS($AC$1006:AO1006),$AC$1006:$AS$1006,0)))),"Fix")))</f>
        <v>0</v>
      </c>
      <c r="O539" s="5">
        <f>IF(OR(INDEX($W$2:$W$1001,MATCH(ROWS($V$2:V539),$V$2:$V$1001,0),1)&gt;=100000,INDEX($AC$1005:$AS$1005,1,MATCH(COLUMNS($AC$1006:AP1006),$AC$1006:$AS$1006,0))&gt;=100000), " ",IF(INDEX($AC$2:$AS$1001,MATCH(ROWS($V$2:V539),$V$2:$V$1001,0),MATCH(COLUMNS($AC$1006:AP1006),$AC$1006:$AS$1006,0)), HYPERLINK("#",""), HYPERLINK(CONCATENATE("#Metadata!", ADDRESS(INDEX($X$2:$X$1001,MATCH(ROWS($V$2:V539),$V$2:$V$1001,0),0), INDEX($AC$1004:$AS$1004,1,MATCH(COLUMNS($AC$1006:AP1006),$AC$1006:$AS$1006,0)))),"Fix")))</f>
        <v>0</v>
      </c>
      <c r="P539" s="5">
        <f>IF(OR(INDEX($W$2:$W$1001,MATCH(ROWS($V$2:V539),$V$2:$V$1001,0),1)&gt;=100000,INDEX($AC$1005:$AS$1005,1,MATCH(COLUMNS($AC$1006:AQ1006),$AC$1006:$AS$1006,0))&gt;=100000), " ",IF(INDEX($AC$2:$AS$1001,MATCH(ROWS($V$2:V539),$V$2:$V$1001,0),MATCH(COLUMNS($AC$1006:AQ1006),$AC$1006:$AS$1006,0)), HYPERLINK("#",""), HYPERLINK(CONCATENATE("#Metadata!", ADDRESS(INDEX($X$2:$X$1001,MATCH(ROWS($V$2:V539),$V$2:$V$1001,0),0), INDEX($AC$1004:$AS$1004,1,MATCH(COLUMNS($AC$1006:AQ1006),$AC$1006:$AS$1006,0)))),"Fix")))</f>
        <v>0</v>
      </c>
      <c r="Q539" s="5">
        <f>IF(OR(INDEX($W$2:$W$1001,MATCH(ROWS($V$2:V539),$V$2:$V$1001,0),1)&gt;=100000,INDEX($AC$1005:$AS$1005,1,MATCH(COLUMNS($AC$1006:AR1006),$AC$1006:$AS$1006,0))&gt;=100000), " ",IF(INDEX($AC$2:$AS$1001,MATCH(ROWS($V$2:V539),$V$2:$V$1001,0),MATCH(COLUMNS($AC$1006:AR1006),$AC$1006:$AS$1006,0)), HYPERLINK("#",""), HYPERLINK(CONCATENATE("#Metadata!", ADDRESS(INDEX($X$2:$X$1001,MATCH(ROWS($V$2:V539),$V$2:$V$1001,0),0), INDEX($AC$1004:$AS$1004,1,MATCH(COLUMNS($AC$1006:AR1006),$AC$1006:$AS$1006,0)))),"Fix")))</f>
        <v>0</v>
      </c>
      <c r="R539" s="5">
        <f>IF(OR(INDEX($W$2:$W$1001,MATCH(ROWS($V$2:V539),$V$2:$V$1001,0),1)&gt;=100000,INDEX($AC$1005:$AS$1005,1,MATCH(COLUMNS($AC$1006:AS1006),$AC$1006:$AS$1006,0))&gt;=100000), " ",IF(INDEX($AC$2:$AS$1001,MATCH(ROWS($V$2:V539),$V$2:$V$1001,0),MATCH(COLUMNS($AC$1006:AS1006),$AC$1006:$AS$1006,0)), HYPERLINK("#",""), HYPERLINK(CONCATENATE("#Metadata!", ADDRESS(INDEX($X$2:$X$1001,MATCH(ROWS($V$2:V539),$V$2:$V$1001,0),0), INDEX($AC$1004:$AS$1004,1,MATCH(COLUMNS($AC$1006:AS1006),$AC$1006:$AS$1006,0)))),"Fix")))</f>
        <v>0</v>
      </c>
      <c r="V539">
        <v>0</v>
      </c>
      <c r="W539">
        <v>0</v>
      </c>
      <c r="X539">
        <v>0</v>
      </c>
      <c r="Y539">
        <f>IF(Z539,TRUE,AND(AC539:AS539))</f>
        <v>0</v>
      </c>
      <c r="Z539">
        <f>COUNTBLANK(Metadata!B539:R539)=COLUMNS(Metadata!B539:R539)</f>
        <v>0</v>
      </c>
      <c r="AA539">
        <v>0</v>
      </c>
      <c r="AC539">
        <f>AND(IF(Metadata!B539="",FALSE,TRUE),COUNTIF(Metadata!B:B, Metadata!B539) = 1,NOT(ISERROR(SUMPRODUCT(SEARCH(MID(Metadata!B539,ROW(INDIRECT("1:"&amp;LEN(Metadata!B539))), 1),"0123456789abcdefghijklmnopqrstuvwxyzABCDEFGHIJKLMNOPQRSTUVWXYZ.")))))</f>
        <v>0</v>
      </c>
      <c r="AD539">
        <f>AND(IF(Metadata!C539="",FALSE,TRUE),exact(Metadata!C539,"Host-associated"))</f>
        <v>0</v>
      </c>
      <c r="AE539">
        <f>AND(IF(Metadata!D539="",FALSE,TRUE),OR(exact(Metadata!D539,"Animal"),exact(Metadata!D539,"Fungus"),exact(Metadata!D539,"Plant")))</f>
        <v>0</v>
      </c>
      <c r="AF539">
        <f>AND(IF(Metadata!E539="",FALSE,TRUE),OR(exact(Metadata!E539,"Plant secretion"),exact(Metadata!E539,"Plant rhizosphere"),exact(Metadata!E539,"Plant surface"),exact(Metadata!E539,"Plant corpus"),exact(Metadata!E539,"Fungus surface"),exact(Metadata!E539,"Fungus corpus"),exact(Metadata!E539,"Animal surface"),exact(Metadata!E539,"Animal proximal gut"),exact(Metadata!E539,"Animal corpus"),exact(Metadata!E539,"Animal distal gut"),exact(Metadata!E539,"Animal secretion")))</f>
        <v>0</v>
      </c>
      <c r="AG539">
        <f>OR(AND(IF(Metadata!F539="",FALSE,TRUE),OR(exact(Metadata!F539,"not collected"),exact(Metadata!F539,"not provided"),exact(Metadata!F539,"restricted access"))),AND(IF(Metadata!F539="",FALSE,TRUE),OR(exact(Metadata!F539,"organism-associated habitat"),exact(Metadata!F539,"plant-associated habitat"),exact(Metadata!F539,"animal-associated habitat"),exact(Metadata!F539,"insecta-associated habitat"),exact(Metadata!F539,"mammalia-associated habitat"),exact(Metadata!F539,"human-associated habitat"),exact(Metadata!F539,"livestock-associated habitat"))))</f>
        <v>0</v>
      </c>
      <c r="AH539">
        <f>AND(IF(Metadata!G539="",FALSE,TRUE),exact(Metadata!G539,"host-associated"))</f>
        <v>0</v>
      </c>
      <c r="AI539">
        <f>OR(AND(IF(Metadata!H539="",FALSE,TRUE),OR(exact(Metadata!H539,"not collected"),exact(Metadata!H539,"not provided"))),AND(IF(Metadata!H539="",FALSE,ISNUMBER(VALUE(Metadata!H539))),Metadata!H539&gt;0))</f>
        <v>0</v>
      </c>
      <c r="AJ539">
        <f>AND(IF(Metadata!I539="",FALSE,TRUE),exact(Metadata!I539,"years"))</f>
        <v>0</v>
      </c>
      <c r="AK539">
        <f>IF(Metadata!J539="",FALSE,TRUE)</f>
        <v>0</v>
      </c>
      <c r="AL539">
        <f>OR(AND(IF(Metadata!K539="",FALSE,TRUE),OR(exact(Metadata!K539,"not collected"),exact(Metadata!K539,"not provided"))),AND(IF(Metadata!K539="",FALSE,ISNUMBER(VALUE(Metadata!K539))),Metadata!K539&gt;0))</f>
        <v>0</v>
      </c>
      <c r="AM539">
        <f>AND(IF(Metadata!L539="",FALSE,TRUE),exact(Metadata!L539,"cm"))</f>
        <v>0</v>
      </c>
      <c r="AN539">
        <f>IF(Metadata!M539="",FALSE,TRUE)</f>
        <v>0</v>
      </c>
      <c r="AO539">
        <f>OR(AND(IF(Metadata!N539="",FALSE,TRUE),OR(exact(Metadata!N539,"not applicable"),exact(Metadata!N539,"not collected"),exact(Metadata!N539,"not provided"))),AND(IF(Metadata!N539="",FALSE,IF(ISERROR(INT(Metadata!N539)),FALSE,INT(Metadata!N539)=Metadata!N539)),Metadata!N539&gt;0))</f>
        <v>0</v>
      </c>
      <c r="AP539">
        <f>OR(AND(IF(Metadata!O539="",FALSE,TRUE),OR(exact(Metadata!O539,"not collected"),exact(Metadata!O539,"not provided"))),AND(IF(Metadata!O539="",FALSE,ISNUMBER(VALUE(Metadata!O539))),Metadata!O539&gt;0))</f>
        <v>0</v>
      </c>
      <c r="AQ539">
        <f>AND(IF(Metadata!P539="",FALSE,TRUE),exact(Metadata!P539,"kg"))</f>
        <v>0</v>
      </c>
      <c r="AR539">
        <f>OR(AND(IF(Metadata!Q539="",FALSE,TRUE),OR(exact(Metadata!Q539,"not applicable"),exact(Metadata!Q539,"not collected"),exact(Metadata!Q539,"not provided"),exact(Metadata!Q539,"restricted access"))),IF(Metadata!Q539="",FALSE,IF(ISERROR(INT(Metadata!Q539)),FALSE,INT(Metadata!Q539)=Metadata!Q539)))</f>
        <v>0</v>
      </c>
      <c r="AS539">
        <f>AND(IF(Metadata!R539="",FALSE,TRUE),exact(Metadata!R539,"Not applicable"))</f>
        <v>0</v>
      </c>
    </row>
    <row r="540" spans="1:45">
      <c r="A540" s="4">
        <f>IF(B540=" "," ",HYPERLINK(CONCATENATE("#metadata!",ADDRESS(INDEX($X$2:$X$1001,MATCH(ROWS($V$2:V540),$V$2:$V$1001,0),0),2)),INDEX($AA$2:$AA$1001,MATCH(ROWS($V$2:V540),$V$2:$V$1001,0),0)))</f>
        <v>0</v>
      </c>
      <c r="B540" s="5">
        <f>IF(OR(INDEX($W$2:$W$1001,MATCH(ROWS($V$2:V540),$V$2:$V$1001,0),1)&gt;=100000,INDEX($AC$1005:$AS$1005,1,MATCH(COLUMNS($AC$1006:AC1006),$AC$1006:$AS$1006,0))&gt;=100000), " ",IF(INDEX($AC$2:$AS$1001,MATCH(ROWS($V$2:V540),$V$2:$V$1001,0),MATCH(COLUMNS($AC$1006:AC1006),$AC$1006:$AS$1006,0)), HYPERLINK("#",""), HYPERLINK(CONCATENATE("#Metadata!", ADDRESS(INDEX($X$2:$X$1001,MATCH(ROWS($V$2:V540),$V$2:$V$1001,0),0), INDEX($AC$1004:$AS$1004,1,MATCH(COLUMNS($AC$1006:AC1006),$AC$1006:$AS$1006,0)))),"Fix")))</f>
        <v>0</v>
      </c>
      <c r="C540" s="5">
        <f>IF(OR(INDEX($W$2:$W$1001,MATCH(ROWS($V$2:V540),$V$2:$V$1001,0),1)&gt;=100000,INDEX($AC$1005:$AS$1005,1,MATCH(COLUMNS($AC$1006:AD1006),$AC$1006:$AS$1006,0))&gt;=100000), " ",IF(INDEX($AC$2:$AS$1001,MATCH(ROWS($V$2:V540),$V$2:$V$1001,0),MATCH(COLUMNS($AC$1006:AD1006),$AC$1006:$AS$1006,0)), HYPERLINK("#",""), HYPERLINK(CONCATENATE("#Metadata!", ADDRESS(INDEX($X$2:$X$1001,MATCH(ROWS($V$2:V540),$V$2:$V$1001,0),0), INDEX($AC$1004:$AS$1004,1,MATCH(COLUMNS($AC$1006:AD1006),$AC$1006:$AS$1006,0)))),"Fix")))</f>
        <v>0</v>
      </c>
      <c r="D540" s="5">
        <f>IF(OR(INDEX($W$2:$W$1001,MATCH(ROWS($V$2:V540),$V$2:$V$1001,0),1)&gt;=100000,INDEX($AC$1005:$AS$1005,1,MATCH(COLUMNS($AC$1006:AE1006),$AC$1006:$AS$1006,0))&gt;=100000), " ",IF(INDEX($AC$2:$AS$1001,MATCH(ROWS($V$2:V540),$V$2:$V$1001,0),MATCH(COLUMNS($AC$1006:AE1006),$AC$1006:$AS$1006,0)), HYPERLINK("#",""), HYPERLINK(CONCATENATE("#Metadata!", ADDRESS(INDEX($X$2:$X$1001,MATCH(ROWS($V$2:V540),$V$2:$V$1001,0),0), INDEX($AC$1004:$AS$1004,1,MATCH(COLUMNS($AC$1006:AE1006),$AC$1006:$AS$1006,0)))),"Fix")))</f>
        <v>0</v>
      </c>
      <c r="E540" s="5">
        <f>IF(OR(INDEX($W$2:$W$1001,MATCH(ROWS($V$2:V540),$V$2:$V$1001,0),1)&gt;=100000,INDEX($AC$1005:$AS$1005,1,MATCH(COLUMNS($AC$1006:AF1006),$AC$1006:$AS$1006,0))&gt;=100000), " ",IF(INDEX($AC$2:$AS$1001,MATCH(ROWS($V$2:V540),$V$2:$V$1001,0),MATCH(COLUMNS($AC$1006:AF1006),$AC$1006:$AS$1006,0)), HYPERLINK("#",""), HYPERLINK(CONCATENATE("#Metadata!", ADDRESS(INDEX($X$2:$X$1001,MATCH(ROWS($V$2:V540),$V$2:$V$1001,0),0), INDEX($AC$1004:$AS$1004,1,MATCH(COLUMNS($AC$1006:AF1006),$AC$1006:$AS$1006,0)))),"Fix")))</f>
        <v>0</v>
      </c>
      <c r="F540" s="5">
        <f>IF(OR(INDEX($W$2:$W$1001,MATCH(ROWS($V$2:V540),$V$2:$V$1001,0),1)&gt;=100000,INDEX($AC$1005:$AS$1005,1,MATCH(COLUMNS($AC$1006:AG1006),$AC$1006:$AS$1006,0))&gt;=100000), " ",IF(INDEX($AC$2:$AS$1001,MATCH(ROWS($V$2:V540),$V$2:$V$1001,0),MATCH(COLUMNS($AC$1006:AG1006),$AC$1006:$AS$1006,0)), HYPERLINK("#",""), HYPERLINK(CONCATENATE("#Metadata!", ADDRESS(INDEX($X$2:$X$1001,MATCH(ROWS($V$2:V540),$V$2:$V$1001,0),0), INDEX($AC$1004:$AS$1004,1,MATCH(COLUMNS($AC$1006:AG1006),$AC$1006:$AS$1006,0)))),"Fix")))</f>
        <v>0</v>
      </c>
      <c r="G540" s="5">
        <f>IF(OR(INDEX($W$2:$W$1001,MATCH(ROWS($V$2:V540),$V$2:$V$1001,0),1)&gt;=100000,INDEX($AC$1005:$AS$1005,1,MATCH(COLUMNS($AC$1006:AH1006),$AC$1006:$AS$1006,0))&gt;=100000), " ",IF(INDEX($AC$2:$AS$1001,MATCH(ROWS($V$2:V540),$V$2:$V$1001,0),MATCH(COLUMNS($AC$1006:AH1006),$AC$1006:$AS$1006,0)), HYPERLINK("#",""), HYPERLINK(CONCATENATE("#Metadata!", ADDRESS(INDEX($X$2:$X$1001,MATCH(ROWS($V$2:V540),$V$2:$V$1001,0),0), INDEX($AC$1004:$AS$1004,1,MATCH(COLUMNS($AC$1006:AH1006),$AC$1006:$AS$1006,0)))),"Fix")))</f>
        <v>0</v>
      </c>
      <c r="H540" s="5">
        <f>IF(OR(INDEX($W$2:$W$1001,MATCH(ROWS($V$2:V540),$V$2:$V$1001,0),1)&gt;=100000,INDEX($AC$1005:$AS$1005,1,MATCH(COLUMNS($AC$1006:AI1006),$AC$1006:$AS$1006,0))&gt;=100000), " ",IF(INDEX($AC$2:$AS$1001,MATCH(ROWS($V$2:V540),$V$2:$V$1001,0),MATCH(COLUMNS($AC$1006:AI1006),$AC$1006:$AS$1006,0)), HYPERLINK("#",""), HYPERLINK(CONCATENATE("#Metadata!", ADDRESS(INDEX($X$2:$X$1001,MATCH(ROWS($V$2:V540),$V$2:$V$1001,0),0), INDEX($AC$1004:$AS$1004,1,MATCH(COLUMNS($AC$1006:AI1006),$AC$1006:$AS$1006,0)))),"Fix")))</f>
        <v>0</v>
      </c>
      <c r="I540" s="5">
        <f>IF(OR(INDEX($W$2:$W$1001,MATCH(ROWS($V$2:V540),$V$2:$V$1001,0),1)&gt;=100000,INDEX($AC$1005:$AS$1005,1,MATCH(COLUMNS($AC$1006:AJ1006),$AC$1006:$AS$1006,0))&gt;=100000), " ",IF(INDEX($AC$2:$AS$1001,MATCH(ROWS($V$2:V540),$V$2:$V$1001,0),MATCH(COLUMNS($AC$1006:AJ1006),$AC$1006:$AS$1006,0)), HYPERLINK("#",""), HYPERLINK(CONCATENATE("#Metadata!", ADDRESS(INDEX($X$2:$X$1001,MATCH(ROWS($V$2:V540),$V$2:$V$1001,0),0), INDEX($AC$1004:$AS$1004,1,MATCH(COLUMNS($AC$1006:AJ1006),$AC$1006:$AS$1006,0)))),"Fix")))</f>
        <v>0</v>
      </c>
      <c r="J540" s="5">
        <f>IF(OR(INDEX($W$2:$W$1001,MATCH(ROWS($V$2:V540),$V$2:$V$1001,0),1)&gt;=100000,INDEX($AC$1005:$AS$1005,1,MATCH(COLUMNS($AC$1006:AK1006),$AC$1006:$AS$1006,0))&gt;=100000), " ",IF(INDEX($AC$2:$AS$1001,MATCH(ROWS($V$2:V540),$V$2:$V$1001,0),MATCH(COLUMNS($AC$1006:AK1006),$AC$1006:$AS$1006,0)), HYPERLINK("#",""), HYPERLINK(CONCATENATE("#Metadata!", ADDRESS(INDEX($X$2:$X$1001,MATCH(ROWS($V$2:V540),$V$2:$V$1001,0),0), INDEX($AC$1004:$AS$1004,1,MATCH(COLUMNS($AC$1006:AK1006),$AC$1006:$AS$1006,0)))),"Fix")))</f>
        <v>0</v>
      </c>
      <c r="K540" s="5">
        <f>IF(OR(INDEX($W$2:$W$1001,MATCH(ROWS($V$2:V540),$V$2:$V$1001,0),1)&gt;=100000,INDEX($AC$1005:$AS$1005,1,MATCH(COLUMNS($AC$1006:AL1006),$AC$1006:$AS$1006,0))&gt;=100000), " ",IF(INDEX($AC$2:$AS$1001,MATCH(ROWS($V$2:V540),$V$2:$V$1001,0),MATCH(COLUMNS($AC$1006:AL1006),$AC$1006:$AS$1006,0)), HYPERLINK("#",""), HYPERLINK(CONCATENATE("#Metadata!", ADDRESS(INDEX($X$2:$X$1001,MATCH(ROWS($V$2:V540),$V$2:$V$1001,0),0), INDEX($AC$1004:$AS$1004,1,MATCH(COLUMNS($AC$1006:AL1006),$AC$1006:$AS$1006,0)))),"Fix")))</f>
        <v>0</v>
      </c>
      <c r="L540" s="5">
        <f>IF(OR(INDEX($W$2:$W$1001,MATCH(ROWS($V$2:V540),$V$2:$V$1001,0),1)&gt;=100000,INDEX($AC$1005:$AS$1005,1,MATCH(COLUMNS($AC$1006:AM1006),$AC$1006:$AS$1006,0))&gt;=100000), " ",IF(INDEX($AC$2:$AS$1001,MATCH(ROWS($V$2:V540),$V$2:$V$1001,0),MATCH(COLUMNS($AC$1006:AM1006),$AC$1006:$AS$1006,0)), HYPERLINK("#",""), HYPERLINK(CONCATENATE("#Metadata!", ADDRESS(INDEX($X$2:$X$1001,MATCH(ROWS($V$2:V540),$V$2:$V$1001,0),0), INDEX($AC$1004:$AS$1004,1,MATCH(COLUMNS($AC$1006:AM1006),$AC$1006:$AS$1006,0)))),"Fix")))</f>
        <v>0</v>
      </c>
      <c r="M540" s="5">
        <f>IF(OR(INDEX($W$2:$W$1001,MATCH(ROWS($V$2:V540),$V$2:$V$1001,0),1)&gt;=100000,INDEX($AC$1005:$AS$1005,1,MATCH(COLUMNS($AC$1006:AN1006),$AC$1006:$AS$1006,0))&gt;=100000), " ",IF(INDEX($AC$2:$AS$1001,MATCH(ROWS($V$2:V540),$V$2:$V$1001,0),MATCH(COLUMNS($AC$1006:AN1006),$AC$1006:$AS$1006,0)), HYPERLINK("#",""), HYPERLINK(CONCATENATE("#Metadata!", ADDRESS(INDEX($X$2:$X$1001,MATCH(ROWS($V$2:V540),$V$2:$V$1001,0),0), INDEX($AC$1004:$AS$1004,1,MATCH(COLUMNS($AC$1006:AN1006),$AC$1006:$AS$1006,0)))),"Fix")))</f>
        <v>0</v>
      </c>
      <c r="N540" s="5">
        <f>IF(OR(INDEX($W$2:$W$1001,MATCH(ROWS($V$2:V540),$V$2:$V$1001,0),1)&gt;=100000,INDEX($AC$1005:$AS$1005,1,MATCH(COLUMNS($AC$1006:AO1006),$AC$1006:$AS$1006,0))&gt;=100000), " ",IF(INDEX($AC$2:$AS$1001,MATCH(ROWS($V$2:V540),$V$2:$V$1001,0),MATCH(COLUMNS($AC$1006:AO1006),$AC$1006:$AS$1006,0)), HYPERLINK("#",""), HYPERLINK(CONCATENATE("#Metadata!", ADDRESS(INDEX($X$2:$X$1001,MATCH(ROWS($V$2:V540),$V$2:$V$1001,0),0), INDEX($AC$1004:$AS$1004,1,MATCH(COLUMNS($AC$1006:AO1006),$AC$1006:$AS$1006,0)))),"Fix")))</f>
        <v>0</v>
      </c>
      <c r="O540" s="5">
        <f>IF(OR(INDEX($W$2:$W$1001,MATCH(ROWS($V$2:V540),$V$2:$V$1001,0),1)&gt;=100000,INDEX($AC$1005:$AS$1005,1,MATCH(COLUMNS($AC$1006:AP1006),$AC$1006:$AS$1006,0))&gt;=100000), " ",IF(INDEX($AC$2:$AS$1001,MATCH(ROWS($V$2:V540),$V$2:$V$1001,0),MATCH(COLUMNS($AC$1006:AP1006),$AC$1006:$AS$1006,0)), HYPERLINK("#",""), HYPERLINK(CONCATENATE("#Metadata!", ADDRESS(INDEX($X$2:$X$1001,MATCH(ROWS($V$2:V540),$V$2:$V$1001,0),0), INDEX($AC$1004:$AS$1004,1,MATCH(COLUMNS($AC$1006:AP1006),$AC$1006:$AS$1006,0)))),"Fix")))</f>
        <v>0</v>
      </c>
      <c r="P540" s="5">
        <f>IF(OR(INDEX($W$2:$W$1001,MATCH(ROWS($V$2:V540),$V$2:$V$1001,0),1)&gt;=100000,INDEX($AC$1005:$AS$1005,1,MATCH(COLUMNS($AC$1006:AQ1006),$AC$1006:$AS$1006,0))&gt;=100000), " ",IF(INDEX($AC$2:$AS$1001,MATCH(ROWS($V$2:V540),$V$2:$V$1001,0),MATCH(COLUMNS($AC$1006:AQ1006),$AC$1006:$AS$1006,0)), HYPERLINK("#",""), HYPERLINK(CONCATENATE("#Metadata!", ADDRESS(INDEX($X$2:$X$1001,MATCH(ROWS($V$2:V540),$V$2:$V$1001,0),0), INDEX($AC$1004:$AS$1004,1,MATCH(COLUMNS($AC$1006:AQ1006),$AC$1006:$AS$1006,0)))),"Fix")))</f>
        <v>0</v>
      </c>
      <c r="Q540" s="5">
        <f>IF(OR(INDEX($W$2:$W$1001,MATCH(ROWS($V$2:V540),$V$2:$V$1001,0),1)&gt;=100000,INDEX($AC$1005:$AS$1005,1,MATCH(COLUMNS($AC$1006:AR1006),$AC$1006:$AS$1006,0))&gt;=100000), " ",IF(INDEX($AC$2:$AS$1001,MATCH(ROWS($V$2:V540),$V$2:$V$1001,0),MATCH(COLUMNS($AC$1006:AR1006),$AC$1006:$AS$1006,0)), HYPERLINK("#",""), HYPERLINK(CONCATENATE("#Metadata!", ADDRESS(INDEX($X$2:$X$1001,MATCH(ROWS($V$2:V540),$V$2:$V$1001,0),0), INDEX($AC$1004:$AS$1004,1,MATCH(COLUMNS($AC$1006:AR1006),$AC$1006:$AS$1006,0)))),"Fix")))</f>
        <v>0</v>
      </c>
      <c r="R540" s="5">
        <f>IF(OR(INDEX($W$2:$W$1001,MATCH(ROWS($V$2:V540),$V$2:$V$1001,0),1)&gt;=100000,INDEX($AC$1005:$AS$1005,1,MATCH(COLUMNS($AC$1006:AS1006),$AC$1006:$AS$1006,0))&gt;=100000), " ",IF(INDEX($AC$2:$AS$1001,MATCH(ROWS($V$2:V540),$V$2:$V$1001,0),MATCH(COLUMNS($AC$1006:AS1006),$AC$1006:$AS$1006,0)), HYPERLINK("#",""), HYPERLINK(CONCATENATE("#Metadata!", ADDRESS(INDEX($X$2:$X$1001,MATCH(ROWS($V$2:V540),$V$2:$V$1001,0),0), INDEX($AC$1004:$AS$1004,1,MATCH(COLUMNS($AC$1006:AS1006),$AC$1006:$AS$1006,0)))),"Fix")))</f>
        <v>0</v>
      </c>
      <c r="V540">
        <v>0</v>
      </c>
      <c r="W540">
        <v>0</v>
      </c>
      <c r="X540">
        <v>0</v>
      </c>
      <c r="Y540">
        <f>IF(Z540,TRUE,AND(AC540:AS540))</f>
        <v>0</v>
      </c>
      <c r="Z540">
        <f>COUNTBLANK(Metadata!B540:R540)=COLUMNS(Metadata!B540:R540)</f>
        <v>0</v>
      </c>
      <c r="AA540">
        <v>0</v>
      </c>
      <c r="AC540">
        <f>AND(IF(Metadata!B540="",FALSE,TRUE),COUNTIF(Metadata!B:B, Metadata!B540) = 1,NOT(ISERROR(SUMPRODUCT(SEARCH(MID(Metadata!B540,ROW(INDIRECT("1:"&amp;LEN(Metadata!B540))), 1),"0123456789abcdefghijklmnopqrstuvwxyzABCDEFGHIJKLMNOPQRSTUVWXYZ.")))))</f>
        <v>0</v>
      </c>
      <c r="AD540">
        <f>AND(IF(Metadata!C540="",FALSE,TRUE),exact(Metadata!C540,"Host-associated"))</f>
        <v>0</v>
      </c>
      <c r="AE540">
        <f>AND(IF(Metadata!D540="",FALSE,TRUE),OR(exact(Metadata!D540,"Animal"),exact(Metadata!D540,"Fungus"),exact(Metadata!D540,"Plant")))</f>
        <v>0</v>
      </c>
      <c r="AF540">
        <f>AND(IF(Metadata!E540="",FALSE,TRUE),OR(exact(Metadata!E540,"Plant secretion"),exact(Metadata!E540,"Plant rhizosphere"),exact(Metadata!E540,"Plant surface"),exact(Metadata!E540,"Plant corpus"),exact(Metadata!E540,"Fungus surface"),exact(Metadata!E540,"Fungus corpus"),exact(Metadata!E540,"Animal surface"),exact(Metadata!E540,"Animal proximal gut"),exact(Metadata!E540,"Animal corpus"),exact(Metadata!E540,"Animal distal gut"),exact(Metadata!E540,"Animal secretion")))</f>
        <v>0</v>
      </c>
      <c r="AG540">
        <f>OR(AND(IF(Metadata!F540="",FALSE,TRUE),OR(exact(Metadata!F540,"not collected"),exact(Metadata!F540,"not provided"),exact(Metadata!F540,"restricted access"))),AND(IF(Metadata!F540="",FALSE,TRUE),OR(exact(Metadata!F540,"organism-associated habitat"),exact(Metadata!F540,"plant-associated habitat"),exact(Metadata!F540,"animal-associated habitat"),exact(Metadata!F540,"insecta-associated habitat"),exact(Metadata!F540,"mammalia-associated habitat"),exact(Metadata!F540,"human-associated habitat"),exact(Metadata!F540,"livestock-associated habitat"))))</f>
        <v>0</v>
      </c>
      <c r="AH540">
        <f>AND(IF(Metadata!G540="",FALSE,TRUE),exact(Metadata!G540,"host-associated"))</f>
        <v>0</v>
      </c>
      <c r="AI540">
        <f>OR(AND(IF(Metadata!H540="",FALSE,TRUE),OR(exact(Metadata!H540,"not collected"),exact(Metadata!H540,"not provided"))),AND(IF(Metadata!H540="",FALSE,ISNUMBER(VALUE(Metadata!H540))),Metadata!H540&gt;0))</f>
        <v>0</v>
      </c>
      <c r="AJ540">
        <f>AND(IF(Metadata!I540="",FALSE,TRUE),exact(Metadata!I540,"years"))</f>
        <v>0</v>
      </c>
      <c r="AK540">
        <f>IF(Metadata!J540="",FALSE,TRUE)</f>
        <v>0</v>
      </c>
      <c r="AL540">
        <f>OR(AND(IF(Metadata!K540="",FALSE,TRUE),OR(exact(Metadata!K540,"not collected"),exact(Metadata!K540,"not provided"))),AND(IF(Metadata!K540="",FALSE,ISNUMBER(VALUE(Metadata!K540))),Metadata!K540&gt;0))</f>
        <v>0</v>
      </c>
      <c r="AM540">
        <f>AND(IF(Metadata!L540="",FALSE,TRUE),exact(Metadata!L540,"cm"))</f>
        <v>0</v>
      </c>
      <c r="AN540">
        <f>IF(Metadata!M540="",FALSE,TRUE)</f>
        <v>0</v>
      </c>
      <c r="AO540">
        <f>OR(AND(IF(Metadata!N540="",FALSE,TRUE),OR(exact(Metadata!N540,"not applicable"),exact(Metadata!N540,"not collected"),exact(Metadata!N540,"not provided"))),AND(IF(Metadata!N540="",FALSE,IF(ISERROR(INT(Metadata!N540)),FALSE,INT(Metadata!N540)=Metadata!N540)),Metadata!N540&gt;0))</f>
        <v>0</v>
      </c>
      <c r="AP540">
        <f>OR(AND(IF(Metadata!O540="",FALSE,TRUE),OR(exact(Metadata!O540,"not collected"),exact(Metadata!O540,"not provided"))),AND(IF(Metadata!O540="",FALSE,ISNUMBER(VALUE(Metadata!O540))),Metadata!O540&gt;0))</f>
        <v>0</v>
      </c>
      <c r="AQ540">
        <f>AND(IF(Metadata!P540="",FALSE,TRUE),exact(Metadata!P540,"kg"))</f>
        <v>0</v>
      </c>
      <c r="AR540">
        <f>OR(AND(IF(Metadata!Q540="",FALSE,TRUE),OR(exact(Metadata!Q540,"not applicable"),exact(Metadata!Q540,"not collected"),exact(Metadata!Q540,"not provided"),exact(Metadata!Q540,"restricted access"))),IF(Metadata!Q540="",FALSE,IF(ISERROR(INT(Metadata!Q540)),FALSE,INT(Metadata!Q540)=Metadata!Q540)))</f>
        <v>0</v>
      </c>
      <c r="AS540">
        <f>AND(IF(Metadata!R540="",FALSE,TRUE),exact(Metadata!R540,"Not applicable"))</f>
        <v>0</v>
      </c>
    </row>
    <row r="541" spans="1:45">
      <c r="A541" s="4">
        <f>IF(B541=" "," ",HYPERLINK(CONCATENATE("#metadata!",ADDRESS(INDEX($X$2:$X$1001,MATCH(ROWS($V$2:V541),$V$2:$V$1001,0),0),2)),INDEX($AA$2:$AA$1001,MATCH(ROWS($V$2:V541),$V$2:$V$1001,0),0)))</f>
        <v>0</v>
      </c>
      <c r="B541" s="5">
        <f>IF(OR(INDEX($W$2:$W$1001,MATCH(ROWS($V$2:V541),$V$2:$V$1001,0),1)&gt;=100000,INDEX($AC$1005:$AS$1005,1,MATCH(COLUMNS($AC$1006:AC1006),$AC$1006:$AS$1006,0))&gt;=100000), " ",IF(INDEX($AC$2:$AS$1001,MATCH(ROWS($V$2:V541),$V$2:$V$1001,0),MATCH(COLUMNS($AC$1006:AC1006),$AC$1006:$AS$1006,0)), HYPERLINK("#",""), HYPERLINK(CONCATENATE("#Metadata!", ADDRESS(INDEX($X$2:$X$1001,MATCH(ROWS($V$2:V541),$V$2:$V$1001,0),0), INDEX($AC$1004:$AS$1004,1,MATCH(COLUMNS($AC$1006:AC1006),$AC$1006:$AS$1006,0)))),"Fix")))</f>
        <v>0</v>
      </c>
      <c r="C541" s="5">
        <f>IF(OR(INDEX($W$2:$W$1001,MATCH(ROWS($V$2:V541),$V$2:$V$1001,0),1)&gt;=100000,INDEX($AC$1005:$AS$1005,1,MATCH(COLUMNS($AC$1006:AD1006),$AC$1006:$AS$1006,0))&gt;=100000), " ",IF(INDEX($AC$2:$AS$1001,MATCH(ROWS($V$2:V541),$V$2:$V$1001,0),MATCH(COLUMNS($AC$1006:AD1006),$AC$1006:$AS$1006,0)), HYPERLINK("#",""), HYPERLINK(CONCATENATE("#Metadata!", ADDRESS(INDEX($X$2:$X$1001,MATCH(ROWS($V$2:V541),$V$2:$V$1001,0),0), INDEX($AC$1004:$AS$1004,1,MATCH(COLUMNS($AC$1006:AD1006),$AC$1006:$AS$1006,0)))),"Fix")))</f>
        <v>0</v>
      </c>
      <c r="D541" s="5">
        <f>IF(OR(INDEX($W$2:$W$1001,MATCH(ROWS($V$2:V541),$V$2:$V$1001,0),1)&gt;=100000,INDEX($AC$1005:$AS$1005,1,MATCH(COLUMNS($AC$1006:AE1006),$AC$1006:$AS$1006,0))&gt;=100000), " ",IF(INDEX($AC$2:$AS$1001,MATCH(ROWS($V$2:V541),$V$2:$V$1001,0),MATCH(COLUMNS($AC$1006:AE1006),$AC$1006:$AS$1006,0)), HYPERLINK("#",""), HYPERLINK(CONCATENATE("#Metadata!", ADDRESS(INDEX($X$2:$X$1001,MATCH(ROWS($V$2:V541),$V$2:$V$1001,0),0), INDEX($AC$1004:$AS$1004,1,MATCH(COLUMNS($AC$1006:AE1006),$AC$1006:$AS$1006,0)))),"Fix")))</f>
        <v>0</v>
      </c>
      <c r="E541" s="5">
        <f>IF(OR(INDEX($W$2:$W$1001,MATCH(ROWS($V$2:V541),$V$2:$V$1001,0),1)&gt;=100000,INDEX($AC$1005:$AS$1005,1,MATCH(COLUMNS($AC$1006:AF1006),$AC$1006:$AS$1006,0))&gt;=100000), " ",IF(INDEX($AC$2:$AS$1001,MATCH(ROWS($V$2:V541),$V$2:$V$1001,0),MATCH(COLUMNS($AC$1006:AF1006),$AC$1006:$AS$1006,0)), HYPERLINK("#",""), HYPERLINK(CONCATENATE("#Metadata!", ADDRESS(INDEX($X$2:$X$1001,MATCH(ROWS($V$2:V541),$V$2:$V$1001,0),0), INDEX($AC$1004:$AS$1004,1,MATCH(COLUMNS($AC$1006:AF1006),$AC$1006:$AS$1006,0)))),"Fix")))</f>
        <v>0</v>
      </c>
      <c r="F541" s="5">
        <f>IF(OR(INDEX($W$2:$W$1001,MATCH(ROWS($V$2:V541),$V$2:$V$1001,0),1)&gt;=100000,INDEX($AC$1005:$AS$1005,1,MATCH(COLUMNS($AC$1006:AG1006),$AC$1006:$AS$1006,0))&gt;=100000), " ",IF(INDEX($AC$2:$AS$1001,MATCH(ROWS($V$2:V541),$V$2:$V$1001,0),MATCH(COLUMNS($AC$1006:AG1006),$AC$1006:$AS$1006,0)), HYPERLINK("#",""), HYPERLINK(CONCATENATE("#Metadata!", ADDRESS(INDEX($X$2:$X$1001,MATCH(ROWS($V$2:V541),$V$2:$V$1001,0),0), INDEX($AC$1004:$AS$1004,1,MATCH(COLUMNS($AC$1006:AG1006),$AC$1006:$AS$1006,0)))),"Fix")))</f>
        <v>0</v>
      </c>
      <c r="G541" s="5">
        <f>IF(OR(INDEX($W$2:$W$1001,MATCH(ROWS($V$2:V541),$V$2:$V$1001,0),1)&gt;=100000,INDEX($AC$1005:$AS$1005,1,MATCH(COLUMNS($AC$1006:AH1006),$AC$1006:$AS$1006,0))&gt;=100000), " ",IF(INDEX($AC$2:$AS$1001,MATCH(ROWS($V$2:V541),$V$2:$V$1001,0),MATCH(COLUMNS($AC$1006:AH1006),$AC$1006:$AS$1006,0)), HYPERLINK("#",""), HYPERLINK(CONCATENATE("#Metadata!", ADDRESS(INDEX($X$2:$X$1001,MATCH(ROWS($V$2:V541),$V$2:$V$1001,0),0), INDEX($AC$1004:$AS$1004,1,MATCH(COLUMNS($AC$1006:AH1006),$AC$1006:$AS$1006,0)))),"Fix")))</f>
        <v>0</v>
      </c>
      <c r="H541" s="5">
        <f>IF(OR(INDEX($W$2:$W$1001,MATCH(ROWS($V$2:V541),$V$2:$V$1001,0),1)&gt;=100000,INDEX($AC$1005:$AS$1005,1,MATCH(COLUMNS($AC$1006:AI1006),$AC$1006:$AS$1006,0))&gt;=100000), " ",IF(INDEX($AC$2:$AS$1001,MATCH(ROWS($V$2:V541),$V$2:$V$1001,0),MATCH(COLUMNS($AC$1006:AI1006),$AC$1006:$AS$1006,0)), HYPERLINK("#",""), HYPERLINK(CONCATENATE("#Metadata!", ADDRESS(INDEX($X$2:$X$1001,MATCH(ROWS($V$2:V541),$V$2:$V$1001,0),0), INDEX($AC$1004:$AS$1004,1,MATCH(COLUMNS($AC$1006:AI1006),$AC$1006:$AS$1006,0)))),"Fix")))</f>
        <v>0</v>
      </c>
      <c r="I541" s="5">
        <f>IF(OR(INDEX($W$2:$W$1001,MATCH(ROWS($V$2:V541),$V$2:$V$1001,0),1)&gt;=100000,INDEX($AC$1005:$AS$1005,1,MATCH(COLUMNS($AC$1006:AJ1006),$AC$1006:$AS$1006,0))&gt;=100000), " ",IF(INDEX($AC$2:$AS$1001,MATCH(ROWS($V$2:V541),$V$2:$V$1001,0),MATCH(COLUMNS($AC$1006:AJ1006),$AC$1006:$AS$1006,0)), HYPERLINK("#",""), HYPERLINK(CONCATENATE("#Metadata!", ADDRESS(INDEX($X$2:$X$1001,MATCH(ROWS($V$2:V541),$V$2:$V$1001,0),0), INDEX($AC$1004:$AS$1004,1,MATCH(COLUMNS($AC$1006:AJ1006),$AC$1006:$AS$1006,0)))),"Fix")))</f>
        <v>0</v>
      </c>
      <c r="J541" s="5">
        <f>IF(OR(INDEX($W$2:$W$1001,MATCH(ROWS($V$2:V541),$V$2:$V$1001,0),1)&gt;=100000,INDEX($AC$1005:$AS$1005,1,MATCH(COLUMNS($AC$1006:AK1006),$AC$1006:$AS$1006,0))&gt;=100000), " ",IF(INDEX($AC$2:$AS$1001,MATCH(ROWS($V$2:V541),$V$2:$V$1001,0),MATCH(COLUMNS($AC$1006:AK1006),$AC$1006:$AS$1006,0)), HYPERLINK("#",""), HYPERLINK(CONCATENATE("#Metadata!", ADDRESS(INDEX($X$2:$X$1001,MATCH(ROWS($V$2:V541),$V$2:$V$1001,0),0), INDEX($AC$1004:$AS$1004,1,MATCH(COLUMNS($AC$1006:AK1006),$AC$1006:$AS$1006,0)))),"Fix")))</f>
        <v>0</v>
      </c>
      <c r="K541" s="5">
        <f>IF(OR(INDEX($W$2:$W$1001,MATCH(ROWS($V$2:V541),$V$2:$V$1001,0),1)&gt;=100000,INDEX($AC$1005:$AS$1005,1,MATCH(COLUMNS($AC$1006:AL1006),$AC$1006:$AS$1006,0))&gt;=100000), " ",IF(INDEX($AC$2:$AS$1001,MATCH(ROWS($V$2:V541),$V$2:$V$1001,0),MATCH(COLUMNS($AC$1006:AL1006),$AC$1006:$AS$1006,0)), HYPERLINK("#",""), HYPERLINK(CONCATENATE("#Metadata!", ADDRESS(INDEX($X$2:$X$1001,MATCH(ROWS($V$2:V541),$V$2:$V$1001,0),0), INDEX($AC$1004:$AS$1004,1,MATCH(COLUMNS($AC$1006:AL1006),$AC$1006:$AS$1006,0)))),"Fix")))</f>
        <v>0</v>
      </c>
      <c r="L541" s="5">
        <f>IF(OR(INDEX($W$2:$W$1001,MATCH(ROWS($V$2:V541),$V$2:$V$1001,0),1)&gt;=100000,INDEX($AC$1005:$AS$1005,1,MATCH(COLUMNS($AC$1006:AM1006),$AC$1006:$AS$1006,0))&gt;=100000), " ",IF(INDEX($AC$2:$AS$1001,MATCH(ROWS($V$2:V541),$V$2:$V$1001,0),MATCH(COLUMNS($AC$1006:AM1006),$AC$1006:$AS$1006,0)), HYPERLINK("#",""), HYPERLINK(CONCATENATE("#Metadata!", ADDRESS(INDEX($X$2:$X$1001,MATCH(ROWS($V$2:V541),$V$2:$V$1001,0),0), INDEX($AC$1004:$AS$1004,1,MATCH(COLUMNS($AC$1006:AM1006),$AC$1006:$AS$1006,0)))),"Fix")))</f>
        <v>0</v>
      </c>
      <c r="M541" s="5">
        <f>IF(OR(INDEX($W$2:$W$1001,MATCH(ROWS($V$2:V541),$V$2:$V$1001,0),1)&gt;=100000,INDEX($AC$1005:$AS$1005,1,MATCH(COLUMNS($AC$1006:AN1006),$AC$1006:$AS$1006,0))&gt;=100000), " ",IF(INDEX($AC$2:$AS$1001,MATCH(ROWS($V$2:V541),$V$2:$V$1001,0),MATCH(COLUMNS($AC$1006:AN1006),$AC$1006:$AS$1006,0)), HYPERLINK("#",""), HYPERLINK(CONCATENATE("#Metadata!", ADDRESS(INDEX($X$2:$X$1001,MATCH(ROWS($V$2:V541),$V$2:$V$1001,0),0), INDEX($AC$1004:$AS$1004,1,MATCH(COLUMNS($AC$1006:AN1006),$AC$1006:$AS$1006,0)))),"Fix")))</f>
        <v>0</v>
      </c>
      <c r="N541" s="5">
        <f>IF(OR(INDEX($W$2:$W$1001,MATCH(ROWS($V$2:V541),$V$2:$V$1001,0),1)&gt;=100000,INDEX($AC$1005:$AS$1005,1,MATCH(COLUMNS($AC$1006:AO1006),$AC$1006:$AS$1006,0))&gt;=100000), " ",IF(INDEX($AC$2:$AS$1001,MATCH(ROWS($V$2:V541),$V$2:$V$1001,0),MATCH(COLUMNS($AC$1006:AO1006),$AC$1006:$AS$1006,0)), HYPERLINK("#",""), HYPERLINK(CONCATENATE("#Metadata!", ADDRESS(INDEX($X$2:$X$1001,MATCH(ROWS($V$2:V541),$V$2:$V$1001,0),0), INDEX($AC$1004:$AS$1004,1,MATCH(COLUMNS($AC$1006:AO1006),$AC$1006:$AS$1006,0)))),"Fix")))</f>
        <v>0</v>
      </c>
      <c r="O541" s="5">
        <f>IF(OR(INDEX($W$2:$W$1001,MATCH(ROWS($V$2:V541),$V$2:$V$1001,0),1)&gt;=100000,INDEX($AC$1005:$AS$1005,1,MATCH(COLUMNS($AC$1006:AP1006),$AC$1006:$AS$1006,0))&gt;=100000), " ",IF(INDEX($AC$2:$AS$1001,MATCH(ROWS($V$2:V541),$V$2:$V$1001,0),MATCH(COLUMNS($AC$1006:AP1006),$AC$1006:$AS$1006,0)), HYPERLINK("#",""), HYPERLINK(CONCATENATE("#Metadata!", ADDRESS(INDEX($X$2:$X$1001,MATCH(ROWS($V$2:V541),$V$2:$V$1001,0),0), INDEX($AC$1004:$AS$1004,1,MATCH(COLUMNS($AC$1006:AP1006),$AC$1006:$AS$1006,0)))),"Fix")))</f>
        <v>0</v>
      </c>
      <c r="P541" s="5">
        <f>IF(OR(INDEX($W$2:$W$1001,MATCH(ROWS($V$2:V541),$V$2:$V$1001,0),1)&gt;=100000,INDEX($AC$1005:$AS$1005,1,MATCH(COLUMNS($AC$1006:AQ1006),$AC$1006:$AS$1006,0))&gt;=100000), " ",IF(INDEX($AC$2:$AS$1001,MATCH(ROWS($V$2:V541),$V$2:$V$1001,0),MATCH(COLUMNS($AC$1006:AQ1006),$AC$1006:$AS$1006,0)), HYPERLINK("#",""), HYPERLINK(CONCATENATE("#Metadata!", ADDRESS(INDEX($X$2:$X$1001,MATCH(ROWS($V$2:V541),$V$2:$V$1001,0),0), INDEX($AC$1004:$AS$1004,1,MATCH(COLUMNS($AC$1006:AQ1006),$AC$1006:$AS$1006,0)))),"Fix")))</f>
        <v>0</v>
      </c>
      <c r="Q541" s="5">
        <f>IF(OR(INDEX($W$2:$W$1001,MATCH(ROWS($V$2:V541),$V$2:$V$1001,0),1)&gt;=100000,INDEX($AC$1005:$AS$1005,1,MATCH(COLUMNS($AC$1006:AR1006),$AC$1006:$AS$1006,0))&gt;=100000), " ",IF(INDEX($AC$2:$AS$1001,MATCH(ROWS($V$2:V541),$V$2:$V$1001,0),MATCH(COLUMNS($AC$1006:AR1006),$AC$1006:$AS$1006,0)), HYPERLINK("#",""), HYPERLINK(CONCATENATE("#Metadata!", ADDRESS(INDEX($X$2:$X$1001,MATCH(ROWS($V$2:V541),$V$2:$V$1001,0),0), INDEX($AC$1004:$AS$1004,1,MATCH(COLUMNS($AC$1006:AR1006),$AC$1006:$AS$1006,0)))),"Fix")))</f>
        <v>0</v>
      </c>
      <c r="R541" s="5">
        <f>IF(OR(INDEX($W$2:$W$1001,MATCH(ROWS($V$2:V541),$V$2:$V$1001,0),1)&gt;=100000,INDEX($AC$1005:$AS$1005,1,MATCH(COLUMNS($AC$1006:AS1006),$AC$1006:$AS$1006,0))&gt;=100000), " ",IF(INDEX($AC$2:$AS$1001,MATCH(ROWS($V$2:V541),$V$2:$V$1001,0),MATCH(COLUMNS($AC$1006:AS1006),$AC$1006:$AS$1006,0)), HYPERLINK("#",""), HYPERLINK(CONCATENATE("#Metadata!", ADDRESS(INDEX($X$2:$X$1001,MATCH(ROWS($V$2:V541),$V$2:$V$1001,0),0), INDEX($AC$1004:$AS$1004,1,MATCH(COLUMNS($AC$1006:AS1006),$AC$1006:$AS$1006,0)))),"Fix")))</f>
        <v>0</v>
      </c>
      <c r="V541">
        <v>0</v>
      </c>
      <c r="W541">
        <v>0</v>
      </c>
      <c r="X541">
        <v>0</v>
      </c>
      <c r="Y541">
        <f>IF(Z541,TRUE,AND(AC541:AS541))</f>
        <v>0</v>
      </c>
      <c r="Z541">
        <f>COUNTBLANK(Metadata!B541:R541)=COLUMNS(Metadata!B541:R541)</f>
        <v>0</v>
      </c>
      <c r="AA541">
        <v>0</v>
      </c>
      <c r="AC541">
        <f>AND(IF(Metadata!B541="",FALSE,TRUE),COUNTIF(Metadata!B:B, Metadata!B541) = 1,NOT(ISERROR(SUMPRODUCT(SEARCH(MID(Metadata!B541,ROW(INDIRECT("1:"&amp;LEN(Metadata!B541))), 1),"0123456789abcdefghijklmnopqrstuvwxyzABCDEFGHIJKLMNOPQRSTUVWXYZ.")))))</f>
        <v>0</v>
      </c>
      <c r="AD541">
        <f>AND(IF(Metadata!C541="",FALSE,TRUE),exact(Metadata!C541,"Host-associated"))</f>
        <v>0</v>
      </c>
      <c r="AE541">
        <f>AND(IF(Metadata!D541="",FALSE,TRUE),OR(exact(Metadata!D541,"Animal"),exact(Metadata!D541,"Fungus"),exact(Metadata!D541,"Plant")))</f>
        <v>0</v>
      </c>
      <c r="AF541">
        <f>AND(IF(Metadata!E541="",FALSE,TRUE),OR(exact(Metadata!E541,"Plant secretion"),exact(Metadata!E541,"Plant rhizosphere"),exact(Metadata!E541,"Plant surface"),exact(Metadata!E541,"Plant corpus"),exact(Metadata!E541,"Fungus surface"),exact(Metadata!E541,"Fungus corpus"),exact(Metadata!E541,"Animal surface"),exact(Metadata!E541,"Animal proximal gut"),exact(Metadata!E541,"Animal corpus"),exact(Metadata!E541,"Animal distal gut"),exact(Metadata!E541,"Animal secretion")))</f>
        <v>0</v>
      </c>
      <c r="AG541">
        <f>OR(AND(IF(Metadata!F541="",FALSE,TRUE),OR(exact(Metadata!F541,"not collected"),exact(Metadata!F541,"not provided"),exact(Metadata!F541,"restricted access"))),AND(IF(Metadata!F541="",FALSE,TRUE),OR(exact(Metadata!F541,"organism-associated habitat"),exact(Metadata!F541,"plant-associated habitat"),exact(Metadata!F541,"animal-associated habitat"),exact(Metadata!F541,"insecta-associated habitat"),exact(Metadata!F541,"mammalia-associated habitat"),exact(Metadata!F541,"human-associated habitat"),exact(Metadata!F541,"livestock-associated habitat"))))</f>
        <v>0</v>
      </c>
      <c r="AH541">
        <f>AND(IF(Metadata!G541="",FALSE,TRUE),exact(Metadata!G541,"host-associated"))</f>
        <v>0</v>
      </c>
      <c r="AI541">
        <f>OR(AND(IF(Metadata!H541="",FALSE,TRUE),OR(exact(Metadata!H541,"not collected"),exact(Metadata!H541,"not provided"))),AND(IF(Metadata!H541="",FALSE,ISNUMBER(VALUE(Metadata!H541))),Metadata!H541&gt;0))</f>
        <v>0</v>
      </c>
      <c r="AJ541">
        <f>AND(IF(Metadata!I541="",FALSE,TRUE),exact(Metadata!I541,"years"))</f>
        <v>0</v>
      </c>
      <c r="AK541">
        <f>IF(Metadata!J541="",FALSE,TRUE)</f>
        <v>0</v>
      </c>
      <c r="AL541">
        <f>OR(AND(IF(Metadata!K541="",FALSE,TRUE),OR(exact(Metadata!K541,"not collected"),exact(Metadata!K541,"not provided"))),AND(IF(Metadata!K541="",FALSE,ISNUMBER(VALUE(Metadata!K541))),Metadata!K541&gt;0))</f>
        <v>0</v>
      </c>
      <c r="AM541">
        <f>AND(IF(Metadata!L541="",FALSE,TRUE),exact(Metadata!L541,"cm"))</f>
        <v>0</v>
      </c>
      <c r="AN541">
        <f>IF(Metadata!M541="",FALSE,TRUE)</f>
        <v>0</v>
      </c>
      <c r="AO541">
        <f>OR(AND(IF(Metadata!N541="",FALSE,TRUE),OR(exact(Metadata!N541,"not applicable"),exact(Metadata!N541,"not collected"),exact(Metadata!N541,"not provided"))),AND(IF(Metadata!N541="",FALSE,IF(ISERROR(INT(Metadata!N541)),FALSE,INT(Metadata!N541)=Metadata!N541)),Metadata!N541&gt;0))</f>
        <v>0</v>
      </c>
      <c r="AP541">
        <f>OR(AND(IF(Metadata!O541="",FALSE,TRUE),OR(exact(Metadata!O541,"not collected"),exact(Metadata!O541,"not provided"))),AND(IF(Metadata!O541="",FALSE,ISNUMBER(VALUE(Metadata!O541))),Metadata!O541&gt;0))</f>
        <v>0</v>
      </c>
      <c r="AQ541">
        <f>AND(IF(Metadata!P541="",FALSE,TRUE),exact(Metadata!P541,"kg"))</f>
        <v>0</v>
      </c>
      <c r="AR541">
        <f>OR(AND(IF(Metadata!Q541="",FALSE,TRUE),OR(exact(Metadata!Q541,"not applicable"),exact(Metadata!Q541,"not collected"),exact(Metadata!Q541,"not provided"),exact(Metadata!Q541,"restricted access"))),IF(Metadata!Q541="",FALSE,IF(ISERROR(INT(Metadata!Q541)),FALSE,INT(Metadata!Q541)=Metadata!Q541)))</f>
        <v>0</v>
      </c>
      <c r="AS541">
        <f>AND(IF(Metadata!R541="",FALSE,TRUE),exact(Metadata!R541,"Not applicable"))</f>
        <v>0</v>
      </c>
    </row>
    <row r="542" spans="1:45">
      <c r="A542" s="4">
        <f>IF(B542=" "," ",HYPERLINK(CONCATENATE("#metadata!",ADDRESS(INDEX($X$2:$X$1001,MATCH(ROWS($V$2:V542),$V$2:$V$1001,0),0),2)),INDEX($AA$2:$AA$1001,MATCH(ROWS($V$2:V542),$V$2:$V$1001,0),0)))</f>
        <v>0</v>
      </c>
      <c r="B542" s="5">
        <f>IF(OR(INDEX($W$2:$W$1001,MATCH(ROWS($V$2:V542),$V$2:$V$1001,0),1)&gt;=100000,INDEX($AC$1005:$AS$1005,1,MATCH(COLUMNS($AC$1006:AC1006),$AC$1006:$AS$1006,0))&gt;=100000), " ",IF(INDEX($AC$2:$AS$1001,MATCH(ROWS($V$2:V542),$V$2:$V$1001,0),MATCH(COLUMNS($AC$1006:AC1006),$AC$1006:$AS$1006,0)), HYPERLINK("#",""), HYPERLINK(CONCATENATE("#Metadata!", ADDRESS(INDEX($X$2:$X$1001,MATCH(ROWS($V$2:V542),$V$2:$V$1001,0),0), INDEX($AC$1004:$AS$1004,1,MATCH(COLUMNS($AC$1006:AC1006),$AC$1006:$AS$1006,0)))),"Fix")))</f>
        <v>0</v>
      </c>
      <c r="C542" s="5">
        <f>IF(OR(INDEX($W$2:$W$1001,MATCH(ROWS($V$2:V542),$V$2:$V$1001,0),1)&gt;=100000,INDEX($AC$1005:$AS$1005,1,MATCH(COLUMNS($AC$1006:AD1006),$AC$1006:$AS$1006,0))&gt;=100000), " ",IF(INDEX($AC$2:$AS$1001,MATCH(ROWS($V$2:V542),$V$2:$V$1001,0),MATCH(COLUMNS($AC$1006:AD1006),$AC$1006:$AS$1006,0)), HYPERLINK("#",""), HYPERLINK(CONCATENATE("#Metadata!", ADDRESS(INDEX($X$2:$X$1001,MATCH(ROWS($V$2:V542),$V$2:$V$1001,0),0), INDEX($AC$1004:$AS$1004,1,MATCH(COLUMNS($AC$1006:AD1006),$AC$1006:$AS$1006,0)))),"Fix")))</f>
        <v>0</v>
      </c>
      <c r="D542" s="5">
        <f>IF(OR(INDEX($W$2:$W$1001,MATCH(ROWS($V$2:V542),$V$2:$V$1001,0),1)&gt;=100000,INDEX($AC$1005:$AS$1005,1,MATCH(COLUMNS($AC$1006:AE1006),$AC$1006:$AS$1006,0))&gt;=100000), " ",IF(INDEX($AC$2:$AS$1001,MATCH(ROWS($V$2:V542),$V$2:$V$1001,0),MATCH(COLUMNS($AC$1006:AE1006),$AC$1006:$AS$1006,0)), HYPERLINK("#",""), HYPERLINK(CONCATENATE("#Metadata!", ADDRESS(INDEX($X$2:$X$1001,MATCH(ROWS($V$2:V542),$V$2:$V$1001,0),0), INDEX($AC$1004:$AS$1004,1,MATCH(COLUMNS($AC$1006:AE1006),$AC$1006:$AS$1006,0)))),"Fix")))</f>
        <v>0</v>
      </c>
      <c r="E542" s="5">
        <f>IF(OR(INDEX($W$2:$W$1001,MATCH(ROWS($V$2:V542),$V$2:$V$1001,0),1)&gt;=100000,INDEX($AC$1005:$AS$1005,1,MATCH(COLUMNS($AC$1006:AF1006),$AC$1006:$AS$1006,0))&gt;=100000), " ",IF(INDEX($AC$2:$AS$1001,MATCH(ROWS($V$2:V542),$V$2:$V$1001,0),MATCH(COLUMNS($AC$1006:AF1006),$AC$1006:$AS$1006,0)), HYPERLINK("#",""), HYPERLINK(CONCATENATE("#Metadata!", ADDRESS(INDEX($X$2:$X$1001,MATCH(ROWS($V$2:V542),$V$2:$V$1001,0),0), INDEX($AC$1004:$AS$1004,1,MATCH(COLUMNS($AC$1006:AF1006),$AC$1006:$AS$1006,0)))),"Fix")))</f>
        <v>0</v>
      </c>
      <c r="F542" s="5">
        <f>IF(OR(INDEX($W$2:$W$1001,MATCH(ROWS($V$2:V542),$V$2:$V$1001,0),1)&gt;=100000,INDEX($AC$1005:$AS$1005,1,MATCH(COLUMNS($AC$1006:AG1006),$AC$1006:$AS$1006,0))&gt;=100000), " ",IF(INDEX($AC$2:$AS$1001,MATCH(ROWS($V$2:V542),$V$2:$V$1001,0),MATCH(COLUMNS($AC$1006:AG1006),$AC$1006:$AS$1006,0)), HYPERLINK("#",""), HYPERLINK(CONCATENATE("#Metadata!", ADDRESS(INDEX($X$2:$X$1001,MATCH(ROWS($V$2:V542),$V$2:$V$1001,0),0), INDEX($AC$1004:$AS$1004,1,MATCH(COLUMNS($AC$1006:AG1006),$AC$1006:$AS$1006,0)))),"Fix")))</f>
        <v>0</v>
      </c>
      <c r="G542" s="5">
        <f>IF(OR(INDEX($W$2:$W$1001,MATCH(ROWS($V$2:V542),$V$2:$V$1001,0),1)&gt;=100000,INDEX($AC$1005:$AS$1005,1,MATCH(COLUMNS($AC$1006:AH1006),$AC$1006:$AS$1006,0))&gt;=100000), " ",IF(INDEX($AC$2:$AS$1001,MATCH(ROWS($V$2:V542),$V$2:$V$1001,0),MATCH(COLUMNS($AC$1006:AH1006),$AC$1006:$AS$1006,0)), HYPERLINK("#",""), HYPERLINK(CONCATENATE("#Metadata!", ADDRESS(INDEX($X$2:$X$1001,MATCH(ROWS($V$2:V542),$V$2:$V$1001,0),0), INDEX($AC$1004:$AS$1004,1,MATCH(COLUMNS($AC$1006:AH1006),$AC$1006:$AS$1006,0)))),"Fix")))</f>
        <v>0</v>
      </c>
      <c r="H542" s="5">
        <f>IF(OR(INDEX($W$2:$W$1001,MATCH(ROWS($V$2:V542),$V$2:$V$1001,0),1)&gt;=100000,INDEX($AC$1005:$AS$1005,1,MATCH(COLUMNS($AC$1006:AI1006),$AC$1006:$AS$1006,0))&gt;=100000), " ",IF(INDEX($AC$2:$AS$1001,MATCH(ROWS($V$2:V542),$V$2:$V$1001,0),MATCH(COLUMNS($AC$1006:AI1006),$AC$1006:$AS$1006,0)), HYPERLINK("#",""), HYPERLINK(CONCATENATE("#Metadata!", ADDRESS(INDEX($X$2:$X$1001,MATCH(ROWS($V$2:V542),$V$2:$V$1001,0),0), INDEX($AC$1004:$AS$1004,1,MATCH(COLUMNS($AC$1006:AI1006),$AC$1006:$AS$1006,0)))),"Fix")))</f>
        <v>0</v>
      </c>
      <c r="I542" s="5">
        <f>IF(OR(INDEX($W$2:$W$1001,MATCH(ROWS($V$2:V542),$V$2:$V$1001,0),1)&gt;=100000,INDEX($AC$1005:$AS$1005,1,MATCH(COLUMNS($AC$1006:AJ1006),$AC$1006:$AS$1006,0))&gt;=100000), " ",IF(INDEX($AC$2:$AS$1001,MATCH(ROWS($V$2:V542),$V$2:$V$1001,0),MATCH(COLUMNS($AC$1006:AJ1006),$AC$1006:$AS$1006,0)), HYPERLINK("#",""), HYPERLINK(CONCATENATE("#Metadata!", ADDRESS(INDEX($X$2:$X$1001,MATCH(ROWS($V$2:V542),$V$2:$V$1001,0),0), INDEX($AC$1004:$AS$1004,1,MATCH(COLUMNS($AC$1006:AJ1006),$AC$1006:$AS$1006,0)))),"Fix")))</f>
        <v>0</v>
      </c>
      <c r="J542" s="5">
        <f>IF(OR(INDEX($W$2:$W$1001,MATCH(ROWS($V$2:V542),$V$2:$V$1001,0),1)&gt;=100000,INDEX($AC$1005:$AS$1005,1,MATCH(COLUMNS($AC$1006:AK1006),$AC$1006:$AS$1006,0))&gt;=100000), " ",IF(INDEX($AC$2:$AS$1001,MATCH(ROWS($V$2:V542),$V$2:$V$1001,0),MATCH(COLUMNS($AC$1006:AK1006),$AC$1006:$AS$1006,0)), HYPERLINK("#",""), HYPERLINK(CONCATENATE("#Metadata!", ADDRESS(INDEX($X$2:$X$1001,MATCH(ROWS($V$2:V542),$V$2:$V$1001,0),0), INDEX($AC$1004:$AS$1004,1,MATCH(COLUMNS($AC$1006:AK1006),$AC$1006:$AS$1006,0)))),"Fix")))</f>
        <v>0</v>
      </c>
      <c r="K542" s="5">
        <f>IF(OR(INDEX($W$2:$W$1001,MATCH(ROWS($V$2:V542),$V$2:$V$1001,0),1)&gt;=100000,INDEX($AC$1005:$AS$1005,1,MATCH(COLUMNS($AC$1006:AL1006),$AC$1006:$AS$1006,0))&gt;=100000), " ",IF(INDEX($AC$2:$AS$1001,MATCH(ROWS($V$2:V542),$V$2:$V$1001,0),MATCH(COLUMNS($AC$1006:AL1006),$AC$1006:$AS$1006,0)), HYPERLINK("#",""), HYPERLINK(CONCATENATE("#Metadata!", ADDRESS(INDEX($X$2:$X$1001,MATCH(ROWS($V$2:V542),$V$2:$V$1001,0),0), INDEX($AC$1004:$AS$1004,1,MATCH(COLUMNS($AC$1006:AL1006),$AC$1006:$AS$1006,0)))),"Fix")))</f>
        <v>0</v>
      </c>
      <c r="L542" s="5">
        <f>IF(OR(INDEX($W$2:$W$1001,MATCH(ROWS($V$2:V542),$V$2:$V$1001,0),1)&gt;=100000,INDEX($AC$1005:$AS$1005,1,MATCH(COLUMNS($AC$1006:AM1006),$AC$1006:$AS$1006,0))&gt;=100000), " ",IF(INDEX($AC$2:$AS$1001,MATCH(ROWS($V$2:V542),$V$2:$V$1001,0),MATCH(COLUMNS($AC$1006:AM1006),$AC$1006:$AS$1006,0)), HYPERLINK("#",""), HYPERLINK(CONCATENATE("#Metadata!", ADDRESS(INDEX($X$2:$X$1001,MATCH(ROWS($V$2:V542),$V$2:$V$1001,0),0), INDEX($AC$1004:$AS$1004,1,MATCH(COLUMNS($AC$1006:AM1006),$AC$1006:$AS$1006,0)))),"Fix")))</f>
        <v>0</v>
      </c>
      <c r="M542" s="5">
        <f>IF(OR(INDEX($W$2:$W$1001,MATCH(ROWS($V$2:V542),$V$2:$V$1001,0),1)&gt;=100000,INDEX($AC$1005:$AS$1005,1,MATCH(COLUMNS($AC$1006:AN1006),$AC$1006:$AS$1006,0))&gt;=100000), " ",IF(INDEX($AC$2:$AS$1001,MATCH(ROWS($V$2:V542),$V$2:$V$1001,0),MATCH(COLUMNS($AC$1006:AN1006),$AC$1006:$AS$1006,0)), HYPERLINK("#",""), HYPERLINK(CONCATENATE("#Metadata!", ADDRESS(INDEX($X$2:$X$1001,MATCH(ROWS($V$2:V542),$V$2:$V$1001,0),0), INDEX($AC$1004:$AS$1004,1,MATCH(COLUMNS($AC$1006:AN1006),$AC$1006:$AS$1006,0)))),"Fix")))</f>
        <v>0</v>
      </c>
      <c r="N542" s="5">
        <f>IF(OR(INDEX($W$2:$W$1001,MATCH(ROWS($V$2:V542),$V$2:$V$1001,0),1)&gt;=100000,INDEX($AC$1005:$AS$1005,1,MATCH(COLUMNS($AC$1006:AO1006),$AC$1006:$AS$1006,0))&gt;=100000), " ",IF(INDEX($AC$2:$AS$1001,MATCH(ROWS($V$2:V542),$V$2:$V$1001,0),MATCH(COLUMNS($AC$1006:AO1006),$AC$1006:$AS$1006,0)), HYPERLINK("#",""), HYPERLINK(CONCATENATE("#Metadata!", ADDRESS(INDEX($X$2:$X$1001,MATCH(ROWS($V$2:V542),$V$2:$V$1001,0),0), INDEX($AC$1004:$AS$1004,1,MATCH(COLUMNS($AC$1006:AO1006),$AC$1006:$AS$1006,0)))),"Fix")))</f>
        <v>0</v>
      </c>
      <c r="O542" s="5">
        <f>IF(OR(INDEX($W$2:$W$1001,MATCH(ROWS($V$2:V542),$V$2:$V$1001,0),1)&gt;=100000,INDEX($AC$1005:$AS$1005,1,MATCH(COLUMNS($AC$1006:AP1006),$AC$1006:$AS$1006,0))&gt;=100000), " ",IF(INDEX($AC$2:$AS$1001,MATCH(ROWS($V$2:V542),$V$2:$V$1001,0),MATCH(COLUMNS($AC$1006:AP1006),$AC$1006:$AS$1006,0)), HYPERLINK("#",""), HYPERLINK(CONCATENATE("#Metadata!", ADDRESS(INDEX($X$2:$X$1001,MATCH(ROWS($V$2:V542),$V$2:$V$1001,0),0), INDEX($AC$1004:$AS$1004,1,MATCH(COLUMNS($AC$1006:AP1006),$AC$1006:$AS$1006,0)))),"Fix")))</f>
        <v>0</v>
      </c>
      <c r="P542" s="5">
        <f>IF(OR(INDEX($W$2:$W$1001,MATCH(ROWS($V$2:V542),$V$2:$V$1001,0),1)&gt;=100000,INDEX($AC$1005:$AS$1005,1,MATCH(COLUMNS($AC$1006:AQ1006),$AC$1006:$AS$1006,0))&gt;=100000), " ",IF(INDEX($AC$2:$AS$1001,MATCH(ROWS($V$2:V542),$V$2:$V$1001,0),MATCH(COLUMNS($AC$1006:AQ1006),$AC$1006:$AS$1006,0)), HYPERLINK("#",""), HYPERLINK(CONCATENATE("#Metadata!", ADDRESS(INDEX($X$2:$X$1001,MATCH(ROWS($V$2:V542),$V$2:$V$1001,0),0), INDEX($AC$1004:$AS$1004,1,MATCH(COLUMNS($AC$1006:AQ1006),$AC$1006:$AS$1006,0)))),"Fix")))</f>
        <v>0</v>
      </c>
      <c r="Q542" s="5">
        <f>IF(OR(INDEX($W$2:$W$1001,MATCH(ROWS($V$2:V542),$V$2:$V$1001,0),1)&gt;=100000,INDEX($AC$1005:$AS$1005,1,MATCH(COLUMNS($AC$1006:AR1006),$AC$1006:$AS$1006,0))&gt;=100000), " ",IF(INDEX($AC$2:$AS$1001,MATCH(ROWS($V$2:V542),$V$2:$V$1001,0),MATCH(COLUMNS($AC$1006:AR1006),$AC$1006:$AS$1006,0)), HYPERLINK("#",""), HYPERLINK(CONCATENATE("#Metadata!", ADDRESS(INDEX($X$2:$X$1001,MATCH(ROWS($V$2:V542),$V$2:$V$1001,0),0), INDEX($AC$1004:$AS$1004,1,MATCH(COLUMNS($AC$1006:AR1006),$AC$1006:$AS$1006,0)))),"Fix")))</f>
        <v>0</v>
      </c>
      <c r="R542" s="5">
        <f>IF(OR(INDEX($W$2:$W$1001,MATCH(ROWS($V$2:V542),$V$2:$V$1001,0),1)&gt;=100000,INDEX($AC$1005:$AS$1005,1,MATCH(COLUMNS($AC$1006:AS1006),$AC$1006:$AS$1006,0))&gt;=100000), " ",IF(INDEX($AC$2:$AS$1001,MATCH(ROWS($V$2:V542),$V$2:$V$1001,0),MATCH(COLUMNS($AC$1006:AS1006),$AC$1006:$AS$1006,0)), HYPERLINK("#",""), HYPERLINK(CONCATENATE("#Metadata!", ADDRESS(INDEX($X$2:$X$1001,MATCH(ROWS($V$2:V542),$V$2:$V$1001,0),0), INDEX($AC$1004:$AS$1004,1,MATCH(COLUMNS($AC$1006:AS1006),$AC$1006:$AS$1006,0)))),"Fix")))</f>
        <v>0</v>
      </c>
      <c r="V542">
        <v>0</v>
      </c>
      <c r="W542">
        <v>0</v>
      </c>
      <c r="X542">
        <v>0</v>
      </c>
      <c r="Y542">
        <f>IF(Z542,TRUE,AND(AC542:AS542))</f>
        <v>0</v>
      </c>
      <c r="Z542">
        <f>COUNTBLANK(Metadata!B542:R542)=COLUMNS(Metadata!B542:R542)</f>
        <v>0</v>
      </c>
      <c r="AA542">
        <v>0</v>
      </c>
      <c r="AC542">
        <f>AND(IF(Metadata!B542="",FALSE,TRUE),COUNTIF(Metadata!B:B, Metadata!B542) = 1,NOT(ISERROR(SUMPRODUCT(SEARCH(MID(Metadata!B542,ROW(INDIRECT("1:"&amp;LEN(Metadata!B542))), 1),"0123456789abcdefghijklmnopqrstuvwxyzABCDEFGHIJKLMNOPQRSTUVWXYZ.")))))</f>
        <v>0</v>
      </c>
      <c r="AD542">
        <f>AND(IF(Metadata!C542="",FALSE,TRUE),exact(Metadata!C542,"Host-associated"))</f>
        <v>0</v>
      </c>
      <c r="AE542">
        <f>AND(IF(Metadata!D542="",FALSE,TRUE),OR(exact(Metadata!D542,"Animal"),exact(Metadata!D542,"Fungus"),exact(Metadata!D542,"Plant")))</f>
        <v>0</v>
      </c>
      <c r="AF542">
        <f>AND(IF(Metadata!E542="",FALSE,TRUE),OR(exact(Metadata!E542,"Plant secretion"),exact(Metadata!E542,"Plant rhizosphere"),exact(Metadata!E542,"Plant surface"),exact(Metadata!E542,"Plant corpus"),exact(Metadata!E542,"Fungus surface"),exact(Metadata!E542,"Fungus corpus"),exact(Metadata!E542,"Animal surface"),exact(Metadata!E542,"Animal proximal gut"),exact(Metadata!E542,"Animal corpus"),exact(Metadata!E542,"Animal distal gut"),exact(Metadata!E542,"Animal secretion")))</f>
        <v>0</v>
      </c>
      <c r="AG542">
        <f>OR(AND(IF(Metadata!F542="",FALSE,TRUE),OR(exact(Metadata!F542,"not collected"),exact(Metadata!F542,"not provided"),exact(Metadata!F542,"restricted access"))),AND(IF(Metadata!F542="",FALSE,TRUE),OR(exact(Metadata!F542,"organism-associated habitat"),exact(Metadata!F542,"plant-associated habitat"),exact(Metadata!F542,"animal-associated habitat"),exact(Metadata!F542,"insecta-associated habitat"),exact(Metadata!F542,"mammalia-associated habitat"),exact(Metadata!F542,"human-associated habitat"),exact(Metadata!F542,"livestock-associated habitat"))))</f>
        <v>0</v>
      </c>
      <c r="AH542">
        <f>AND(IF(Metadata!G542="",FALSE,TRUE),exact(Metadata!G542,"host-associated"))</f>
        <v>0</v>
      </c>
      <c r="AI542">
        <f>OR(AND(IF(Metadata!H542="",FALSE,TRUE),OR(exact(Metadata!H542,"not collected"),exact(Metadata!H542,"not provided"))),AND(IF(Metadata!H542="",FALSE,ISNUMBER(VALUE(Metadata!H542))),Metadata!H542&gt;0))</f>
        <v>0</v>
      </c>
      <c r="AJ542">
        <f>AND(IF(Metadata!I542="",FALSE,TRUE),exact(Metadata!I542,"years"))</f>
        <v>0</v>
      </c>
      <c r="AK542">
        <f>IF(Metadata!J542="",FALSE,TRUE)</f>
        <v>0</v>
      </c>
      <c r="AL542">
        <f>OR(AND(IF(Metadata!K542="",FALSE,TRUE),OR(exact(Metadata!K542,"not collected"),exact(Metadata!K542,"not provided"))),AND(IF(Metadata!K542="",FALSE,ISNUMBER(VALUE(Metadata!K542))),Metadata!K542&gt;0))</f>
        <v>0</v>
      </c>
      <c r="AM542">
        <f>AND(IF(Metadata!L542="",FALSE,TRUE),exact(Metadata!L542,"cm"))</f>
        <v>0</v>
      </c>
      <c r="AN542">
        <f>IF(Metadata!M542="",FALSE,TRUE)</f>
        <v>0</v>
      </c>
      <c r="AO542">
        <f>OR(AND(IF(Metadata!N542="",FALSE,TRUE),OR(exact(Metadata!N542,"not applicable"),exact(Metadata!N542,"not collected"),exact(Metadata!N542,"not provided"))),AND(IF(Metadata!N542="",FALSE,IF(ISERROR(INT(Metadata!N542)),FALSE,INT(Metadata!N542)=Metadata!N542)),Metadata!N542&gt;0))</f>
        <v>0</v>
      </c>
      <c r="AP542">
        <f>OR(AND(IF(Metadata!O542="",FALSE,TRUE),OR(exact(Metadata!O542,"not collected"),exact(Metadata!O542,"not provided"))),AND(IF(Metadata!O542="",FALSE,ISNUMBER(VALUE(Metadata!O542))),Metadata!O542&gt;0))</f>
        <v>0</v>
      </c>
      <c r="AQ542">
        <f>AND(IF(Metadata!P542="",FALSE,TRUE),exact(Metadata!P542,"kg"))</f>
        <v>0</v>
      </c>
      <c r="AR542">
        <f>OR(AND(IF(Metadata!Q542="",FALSE,TRUE),OR(exact(Metadata!Q542,"not applicable"),exact(Metadata!Q542,"not collected"),exact(Metadata!Q542,"not provided"),exact(Metadata!Q542,"restricted access"))),IF(Metadata!Q542="",FALSE,IF(ISERROR(INT(Metadata!Q542)),FALSE,INT(Metadata!Q542)=Metadata!Q542)))</f>
        <v>0</v>
      </c>
      <c r="AS542">
        <f>AND(IF(Metadata!R542="",FALSE,TRUE),exact(Metadata!R542,"Not applicable"))</f>
        <v>0</v>
      </c>
    </row>
    <row r="543" spans="1:45">
      <c r="A543" s="4">
        <f>IF(B543=" "," ",HYPERLINK(CONCATENATE("#metadata!",ADDRESS(INDEX($X$2:$X$1001,MATCH(ROWS($V$2:V543),$V$2:$V$1001,0),0),2)),INDEX($AA$2:$AA$1001,MATCH(ROWS($V$2:V543),$V$2:$V$1001,0),0)))</f>
        <v>0</v>
      </c>
      <c r="B543" s="5">
        <f>IF(OR(INDEX($W$2:$W$1001,MATCH(ROWS($V$2:V543),$V$2:$V$1001,0),1)&gt;=100000,INDEX($AC$1005:$AS$1005,1,MATCH(COLUMNS($AC$1006:AC1006),$AC$1006:$AS$1006,0))&gt;=100000), " ",IF(INDEX($AC$2:$AS$1001,MATCH(ROWS($V$2:V543),$V$2:$V$1001,0),MATCH(COLUMNS($AC$1006:AC1006),$AC$1006:$AS$1006,0)), HYPERLINK("#",""), HYPERLINK(CONCATENATE("#Metadata!", ADDRESS(INDEX($X$2:$X$1001,MATCH(ROWS($V$2:V543),$V$2:$V$1001,0),0), INDEX($AC$1004:$AS$1004,1,MATCH(COLUMNS($AC$1006:AC1006),$AC$1006:$AS$1006,0)))),"Fix")))</f>
        <v>0</v>
      </c>
      <c r="C543" s="5">
        <f>IF(OR(INDEX($W$2:$W$1001,MATCH(ROWS($V$2:V543),$V$2:$V$1001,0),1)&gt;=100000,INDEX($AC$1005:$AS$1005,1,MATCH(COLUMNS($AC$1006:AD1006),$AC$1006:$AS$1006,0))&gt;=100000), " ",IF(INDEX($AC$2:$AS$1001,MATCH(ROWS($V$2:V543),$V$2:$V$1001,0),MATCH(COLUMNS($AC$1006:AD1006),$AC$1006:$AS$1006,0)), HYPERLINK("#",""), HYPERLINK(CONCATENATE("#Metadata!", ADDRESS(INDEX($X$2:$X$1001,MATCH(ROWS($V$2:V543),$V$2:$V$1001,0),0), INDEX($AC$1004:$AS$1004,1,MATCH(COLUMNS($AC$1006:AD1006),$AC$1006:$AS$1006,0)))),"Fix")))</f>
        <v>0</v>
      </c>
      <c r="D543" s="5">
        <f>IF(OR(INDEX($W$2:$W$1001,MATCH(ROWS($V$2:V543),$V$2:$V$1001,0),1)&gt;=100000,INDEX($AC$1005:$AS$1005,1,MATCH(COLUMNS($AC$1006:AE1006),$AC$1006:$AS$1006,0))&gt;=100000), " ",IF(INDEX($AC$2:$AS$1001,MATCH(ROWS($V$2:V543),$V$2:$V$1001,0),MATCH(COLUMNS($AC$1006:AE1006),$AC$1006:$AS$1006,0)), HYPERLINK("#",""), HYPERLINK(CONCATENATE("#Metadata!", ADDRESS(INDEX($X$2:$X$1001,MATCH(ROWS($V$2:V543),$V$2:$V$1001,0),0), INDEX($AC$1004:$AS$1004,1,MATCH(COLUMNS($AC$1006:AE1006),$AC$1006:$AS$1006,0)))),"Fix")))</f>
        <v>0</v>
      </c>
      <c r="E543" s="5">
        <f>IF(OR(INDEX($W$2:$W$1001,MATCH(ROWS($V$2:V543),$V$2:$V$1001,0),1)&gt;=100000,INDEX($AC$1005:$AS$1005,1,MATCH(COLUMNS($AC$1006:AF1006),$AC$1006:$AS$1006,0))&gt;=100000), " ",IF(INDEX($AC$2:$AS$1001,MATCH(ROWS($V$2:V543),$V$2:$V$1001,0),MATCH(COLUMNS($AC$1006:AF1006),$AC$1006:$AS$1006,0)), HYPERLINK("#",""), HYPERLINK(CONCATENATE("#Metadata!", ADDRESS(INDEX($X$2:$X$1001,MATCH(ROWS($V$2:V543),$V$2:$V$1001,0),0), INDEX($AC$1004:$AS$1004,1,MATCH(COLUMNS($AC$1006:AF1006),$AC$1006:$AS$1006,0)))),"Fix")))</f>
        <v>0</v>
      </c>
      <c r="F543" s="5">
        <f>IF(OR(INDEX($W$2:$W$1001,MATCH(ROWS($V$2:V543),$V$2:$V$1001,0),1)&gt;=100000,INDEX($AC$1005:$AS$1005,1,MATCH(COLUMNS($AC$1006:AG1006),$AC$1006:$AS$1006,0))&gt;=100000), " ",IF(INDEX($AC$2:$AS$1001,MATCH(ROWS($V$2:V543),$V$2:$V$1001,0),MATCH(COLUMNS($AC$1006:AG1006),$AC$1006:$AS$1006,0)), HYPERLINK("#",""), HYPERLINK(CONCATENATE("#Metadata!", ADDRESS(INDEX($X$2:$X$1001,MATCH(ROWS($V$2:V543),$V$2:$V$1001,0),0), INDEX($AC$1004:$AS$1004,1,MATCH(COLUMNS($AC$1006:AG1006),$AC$1006:$AS$1006,0)))),"Fix")))</f>
        <v>0</v>
      </c>
      <c r="G543" s="5">
        <f>IF(OR(INDEX($W$2:$W$1001,MATCH(ROWS($V$2:V543),$V$2:$V$1001,0),1)&gt;=100000,INDEX($AC$1005:$AS$1005,1,MATCH(COLUMNS($AC$1006:AH1006),$AC$1006:$AS$1006,0))&gt;=100000), " ",IF(INDEX($AC$2:$AS$1001,MATCH(ROWS($V$2:V543),$V$2:$V$1001,0),MATCH(COLUMNS($AC$1006:AH1006),$AC$1006:$AS$1006,0)), HYPERLINK("#",""), HYPERLINK(CONCATENATE("#Metadata!", ADDRESS(INDEX($X$2:$X$1001,MATCH(ROWS($V$2:V543),$V$2:$V$1001,0),0), INDEX($AC$1004:$AS$1004,1,MATCH(COLUMNS($AC$1006:AH1006),$AC$1006:$AS$1006,0)))),"Fix")))</f>
        <v>0</v>
      </c>
      <c r="H543" s="5">
        <f>IF(OR(INDEX($W$2:$W$1001,MATCH(ROWS($V$2:V543),$V$2:$V$1001,0),1)&gt;=100000,INDEX($AC$1005:$AS$1005,1,MATCH(COLUMNS($AC$1006:AI1006),$AC$1006:$AS$1006,0))&gt;=100000), " ",IF(INDEX($AC$2:$AS$1001,MATCH(ROWS($V$2:V543),$V$2:$V$1001,0),MATCH(COLUMNS($AC$1006:AI1006),$AC$1006:$AS$1006,0)), HYPERLINK("#",""), HYPERLINK(CONCATENATE("#Metadata!", ADDRESS(INDEX($X$2:$X$1001,MATCH(ROWS($V$2:V543),$V$2:$V$1001,0),0), INDEX($AC$1004:$AS$1004,1,MATCH(COLUMNS($AC$1006:AI1006),$AC$1006:$AS$1006,0)))),"Fix")))</f>
        <v>0</v>
      </c>
      <c r="I543" s="5">
        <f>IF(OR(INDEX($W$2:$W$1001,MATCH(ROWS($V$2:V543),$V$2:$V$1001,0),1)&gt;=100000,INDEX($AC$1005:$AS$1005,1,MATCH(COLUMNS($AC$1006:AJ1006),$AC$1006:$AS$1006,0))&gt;=100000), " ",IF(INDEX($AC$2:$AS$1001,MATCH(ROWS($V$2:V543),$V$2:$V$1001,0),MATCH(COLUMNS($AC$1006:AJ1006),$AC$1006:$AS$1006,0)), HYPERLINK("#",""), HYPERLINK(CONCATENATE("#Metadata!", ADDRESS(INDEX($X$2:$X$1001,MATCH(ROWS($V$2:V543),$V$2:$V$1001,0),0), INDEX($AC$1004:$AS$1004,1,MATCH(COLUMNS($AC$1006:AJ1006),$AC$1006:$AS$1006,0)))),"Fix")))</f>
        <v>0</v>
      </c>
      <c r="J543" s="5">
        <f>IF(OR(INDEX($W$2:$W$1001,MATCH(ROWS($V$2:V543),$V$2:$V$1001,0),1)&gt;=100000,INDEX($AC$1005:$AS$1005,1,MATCH(COLUMNS($AC$1006:AK1006),$AC$1006:$AS$1006,0))&gt;=100000), " ",IF(INDEX($AC$2:$AS$1001,MATCH(ROWS($V$2:V543),$V$2:$V$1001,0),MATCH(COLUMNS($AC$1006:AK1006),$AC$1006:$AS$1006,0)), HYPERLINK("#",""), HYPERLINK(CONCATENATE("#Metadata!", ADDRESS(INDEX($X$2:$X$1001,MATCH(ROWS($V$2:V543),$V$2:$V$1001,0),0), INDEX($AC$1004:$AS$1004,1,MATCH(COLUMNS($AC$1006:AK1006),$AC$1006:$AS$1006,0)))),"Fix")))</f>
        <v>0</v>
      </c>
      <c r="K543" s="5">
        <f>IF(OR(INDEX($W$2:$W$1001,MATCH(ROWS($V$2:V543),$V$2:$V$1001,0),1)&gt;=100000,INDEX($AC$1005:$AS$1005,1,MATCH(COLUMNS($AC$1006:AL1006),$AC$1006:$AS$1006,0))&gt;=100000), " ",IF(INDEX($AC$2:$AS$1001,MATCH(ROWS($V$2:V543),$V$2:$V$1001,0),MATCH(COLUMNS($AC$1006:AL1006),$AC$1006:$AS$1006,0)), HYPERLINK("#",""), HYPERLINK(CONCATENATE("#Metadata!", ADDRESS(INDEX($X$2:$X$1001,MATCH(ROWS($V$2:V543),$V$2:$V$1001,0),0), INDEX($AC$1004:$AS$1004,1,MATCH(COLUMNS($AC$1006:AL1006),$AC$1006:$AS$1006,0)))),"Fix")))</f>
        <v>0</v>
      </c>
      <c r="L543" s="5">
        <f>IF(OR(INDEX($W$2:$W$1001,MATCH(ROWS($V$2:V543),$V$2:$V$1001,0),1)&gt;=100000,INDEX($AC$1005:$AS$1005,1,MATCH(COLUMNS($AC$1006:AM1006),$AC$1006:$AS$1006,0))&gt;=100000), " ",IF(INDEX($AC$2:$AS$1001,MATCH(ROWS($V$2:V543),$V$2:$V$1001,0),MATCH(COLUMNS($AC$1006:AM1006),$AC$1006:$AS$1006,0)), HYPERLINK("#",""), HYPERLINK(CONCATENATE("#Metadata!", ADDRESS(INDEX($X$2:$X$1001,MATCH(ROWS($V$2:V543),$V$2:$V$1001,0),0), INDEX($AC$1004:$AS$1004,1,MATCH(COLUMNS($AC$1006:AM1006),$AC$1006:$AS$1006,0)))),"Fix")))</f>
        <v>0</v>
      </c>
      <c r="M543" s="5">
        <f>IF(OR(INDEX($W$2:$W$1001,MATCH(ROWS($V$2:V543),$V$2:$V$1001,0),1)&gt;=100000,INDEX($AC$1005:$AS$1005,1,MATCH(COLUMNS($AC$1006:AN1006),$AC$1006:$AS$1006,0))&gt;=100000), " ",IF(INDEX($AC$2:$AS$1001,MATCH(ROWS($V$2:V543),$V$2:$V$1001,0),MATCH(COLUMNS($AC$1006:AN1006),$AC$1006:$AS$1006,0)), HYPERLINK("#",""), HYPERLINK(CONCATENATE("#Metadata!", ADDRESS(INDEX($X$2:$X$1001,MATCH(ROWS($V$2:V543),$V$2:$V$1001,0),0), INDEX($AC$1004:$AS$1004,1,MATCH(COLUMNS($AC$1006:AN1006),$AC$1006:$AS$1006,0)))),"Fix")))</f>
        <v>0</v>
      </c>
      <c r="N543" s="5">
        <f>IF(OR(INDEX($W$2:$W$1001,MATCH(ROWS($V$2:V543),$V$2:$V$1001,0),1)&gt;=100000,INDEX($AC$1005:$AS$1005,1,MATCH(COLUMNS($AC$1006:AO1006),$AC$1006:$AS$1006,0))&gt;=100000), " ",IF(INDEX($AC$2:$AS$1001,MATCH(ROWS($V$2:V543),$V$2:$V$1001,0),MATCH(COLUMNS($AC$1006:AO1006),$AC$1006:$AS$1006,0)), HYPERLINK("#",""), HYPERLINK(CONCATENATE("#Metadata!", ADDRESS(INDEX($X$2:$X$1001,MATCH(ROWS($V$2:V543),$V$2:$V$1001,0),0), INDEX($AC$1004:$AS$1004,1,MATCH(COLUMNS($AC$1006:AO1006),$AC$1006:$AS$1006,0)))),"Fix")))</f>
        <v>0</v>
      </c>
      <c r="O543" s="5">
        <f>IF(OR(INDEX($W$2:$W$1001,MATCH(ROWS($V$2:V543),$V$2:$V$1001,0),1)&gt;=100000,INDEX($AC$1005:$AS$1005,1,MATCH(COLUMNS($AC$1006:AP1006),$AC$1006:$AS$1006,0))&gt;=100000), " ",IF(INDEX($AC$2:$AS$1001,MATCH(ROWS($V$2:V543),$V$2:$V$1001,0),MATCH(COLUMNS($AC$1006:AP1006),$AC$1006:$AS$1006,0)), HYPERLINK("#",""), HYPERLINK(CONCATENATE("#Metadata!", ADDRESS(INDEX($X$2:$X$1001,MATCH(ROWS($V$2:V543),$V$2:$V$1001,0),0), INDEX($AC$1004:$AS$1004,1,MATCH(COLUMNS($AC$1006:AP1006),$AC$1006:$AS$1006,0)))),"Fix")))</f>
        <v>0</v>
      </c>
      <c r="P543" s="5">
        <f>IF(OR(INDEX($W$2:$W$1001,MATCH(ROWS($V$2:V543),$V$2:$V$1001,0),1)&gt;=100000,INDEX($AC$1005:$AS$1005,1,MATCH(COLUMNS($AC$1006:AQ1006),$AC$1006:$AS$1006,0))&gt;=100000), " ",IF(INDEX($AC$2:$AS$1001,MATCH(ROWS($V$2:V543),$V$2:$V$1001,0),MATCH(COLUMNS($AC$1006:AQ1006),$AC$1006:$AS$1006,0)), HYPERLINK("#",""), HYPERLINK(CONCATENATE("#Metadata!", ADDRESS(INDEX($X$2:$X$1001,MATCH(ROWS($V$2:V543),$V$2:$V$1001,0),0), INDEX($AC$1004:$AS$1004,1,MATCH(COLUMNS($AC$1006:AQ1006),$AC$1006:$AS$1006,0)))),"Fix")))</f>
        <v>0</v>
      </c>
      <c r="Q543" s="5">
        <f>IF(OR(INDEX($W$2:$W$1001,MATCH(ROWS($V$2:V543),$V$2:$V$1001,0),1)&gt;=100000,INDEX($AC$1005:$AS$1005,1,MATCH(COLUMNS($AC$1006:AR1006),$AC$1006:$AS$1006,0))&gt;=100000), " ",IF(INDEX($AC$2:$AS$1001,MATCH(ROWS($V$2:V543),$V$2:$V$1001,0),MATCH(COLUMNS($AC$1006:AR1006),$AC$1006:$AS$1006,0)), HYPERLINK("#",""), HYPERLINK(CONCATENATE("#Metadata!", ADDRESS(INDEX($X$2:$X$1001,MATCH(ROWS($V$2:V543),$V$2:$V$1001,0),0), INDEX($AC$1004:$AS$1004,1,MATCH(COLUMNS($AC$1006:AR1006),$AC$1006:$AS$1006,0)))),"Fix")))</f>
        <v>0</v>
      </c>
      <c r="R543" s="5">
        <f>IF(OR(INDEX($W$2:$W$1001,MATCH(ROWS($V$2:V543),$V$2:$V$1001,0),1)&gt;=100000,INDEX($AC$1005:$AS$1005,1,MATCH(COLUMNS($AC$1006:AS1006),$AC$1006:$AS$1006,0))&gt;=100000), " ",IF(INDEX($AC$2:$AS$1001,MATCH(ROWS($V$2:V543),$V$2:$V$1001,0),MATCH(COLUMNS($AC$1006:AS1006),$AC$1006:$AS$1006,0)), HYPERLINK("#",""), HYPERLINK(CONCATENATE("#Metadata!", ADDRESS(INDEX($X$2:$X$1001,MATCH(ROWS($V$2:V543),$V$2:$V$1001,0),0), INDEX($AC$1004:$AS$1004,1,MATCH(COLUMNS($AC$1006:AS1006),$AC$1006:$AS$1006,0)))),"Fix")))</f>
        <v>0</v>
      </c>
      <c r="V543">
        <v>0</v>
      </c>
      <c r="W543">
        <v>0</v>
      </c>
      <c r="X543">
        <v>0</v>
      </c>
      <c r="Y543">
        <f>IF(Z543,TRUE,AND(AC543:AS543))</f>
        <v>0</v>
      </c>
      <c r="Z543">
        <f>COUNTBLANK(Metadata!B543:R543)=COLUMNS(Metadata!B543:R543)</f>
        <v>0</v>
      </c>
      <c r="AA543">
        <v>0</v>
      </c>
      <c r="AC543">
        <f>AND(IF(Metadata!B543="",FALSE,TRUE),COUNTIF(Metadata!B:B, Metadata!B543) = 1,NOT(ISERROR(SUMPRODUCT(SEARCH(MID(Metadata!B543,ROW(INDIRECT("1:"&amp;LEN(Metadata!B543))), 1),"0123456789abcdefghijklmnopqrstuvwxyzABCDEFGHIJKLMNOPQRSTUVWXYZ.")))))</f>
        <v>0</v>
      </c>
      <c r="AD543">
        <f>AND(IF(Metadata!C543="",FALSE,TRUE),exact(Metadata!C543,"Host-associated"))</f>
        <v>0</v>
      </c>
      <c r="AE543">
        <f>AND(IF(Metadata!D543="",FALSE,TRUE),OR(exact(Metadata!D543,"Animal"),exact(Metadata!D543,"Fungus"),exact(Metadata!D543,"Plant")))</f>
        <v>0</v>
      </c>
      <c r="AF543">
        <f>AND(IF(Metadata!E543="",FALSE,TRUE),OR(exact(Metadata!E543,"Plant secretion"),exact(Metadata!E543,"Plant rhizosphere"),exact(Metadata!E543,"Plant surface"),exact(Metadata!E543,"Plant corpus"),exact(Metadata!E543,"Fungus surface"),exact(Metadata!E543,"Fungus corpus"),exact(Metadata!E543,"Animal surface"),exact(Metadata!E543,"Animal proximal gut"),exact(Metadata!E543,"Animal corpus"),exact(Metadata!E543,"Animal distal gut"),exact(Metadata!E543,"Animal secretion")))</f>
        <v>0</v>
      </c>
      <c r="AG543">
        <f>OR(AND(IF(Metadata!F543="",FALSE,TRUE),OR(exact(Metadata!F543,"not collected"),exact(Metadata!F543,"not provided"),exact(Metadata!F543,"restricted access"))),AND(IF(Metadata!F543="",FALSE,TRUE),OR(exact(Metadata!F543,"organism-associated habitat"),exact(Metadata!F543,"plant-associated habitat"),exact(Metadata!F543,"animal-associated habitat"),exact(Metadata!F543,"insecta-associated habitat"),exact(Metadata!F543,"mammalia-associated habitat"),exact(Metadata!F543,"human-associated habitat"),exact(Metadata!F543,"livestock-associated habitat"))))</f>
        <v>0</v>
      </c>
      <c r="AH543">
        <f>AND(IF(Metadata!G543="",FALSE,TRUE),exact(Metadata!G543,"host-associated"))</f>
        <v>0</v>
      </c>
      <c r="AI543">
        <f>OR(AND(IF(Metadata!H543="",FALSE,TRUE),OR(exact(Metadata!H543,"not collected"),exact(Metadata!H543,"not provided"))),AND(IF(Metadata!H543="",FALSE,ISNUMBER(VALUE(Metadata!H543))),Metadata!H543&gt;0))</f>
        <v>0</v>
      </c>
      <c r="AJ543">
        <f>AND(IF(Metadata!I543="",FALSE,TRUE),exact(Metadata!I543,"years"))</f>
        <v>0</v>
      </c>
      <c r="AK543">
        <f>IF(Metadata!J543="",FALSE,TRUE)</f>
        <v>0</v>
      </c>
      <c r="AL543">
        <f>OR(AND(IF(Metadata!K543="",FALSE,TRUE),OR(exact(Metadata!K543,"not collected"),exact(Metadata!K543,"not provided"))),AND(IF(Metadata!K543="",FALSE,ISNUMBER(VALUE(Metadata!K543))),Metadata!K543&gt;0))</f>
        <v>0</v>
      </c>
      <c r="AM543">
        <f>AND(IF(Metadata!L543="",FALSE,TRUE),exact(Metadata!L543,"cm"))</f>
        <v>0</v>
      </c>
      <c r="AN543">
        <f>IF(Metadata!M543="",FALSE,TRUE)</f>
        <v>0</v>
      </c>
      <c r="AO543">
        <f>OR(AND(IF(Metadata!N543="",FALSE,TRUE),OR(exact(Metadata!N543,"not applicable"),exact(Metadata!N543,"not collected"),exact(Metadata!N543,"not provided"))),AND(IF(Metadata!N543="",FALSE,IF(ISERROR(INT(Metadata!N543)),FALSE,INT(Metadata!N543)=Metadata!N543)),Metadata!N543&gt;0))</f>
        <v>0</v>
      </c>
      <c r="AP543">
        <f>OR(AND(IF(Metadata!O543="",FALSE,TRUE),OR(exact(Metadata!O543,"not collected"),exact(Metadata!O543,"not provided"))),AND(IF(Metadata!O543="",FALSE,ISNUMBER(VALUE(Metadata!O543))),Metadata!O543&gt;0))</f>
        <v>0</v>
      </c>
      <c r="AQ543">
        <f>AND(IF(Metadata!P543="",FALSE,TRUE),exact(Metadata!P543,"kg"))</f>
        <v>0</v>
      </c>
      <c r="AR543">
        <f>OR(AND(IF(Metadata!Q543="",FALSE,TRUE),OR(exact(Metadata!Q543,"not applicable"),exact(Metadata!Q543,"not collected"),exact(Metadata!Q543,"not provided"),exact(Metadata!Q543,"restricted access"))),IF(Metadata!Q543="",FALSE,IF(ISERROR(INT(Metadata!Q543)),FALSE,INT(Metadata!Q543)=Metadata!Q543)))</f>
        <v>0</v>
      </c>
      <c r="AS543">
        <f>AND(IF(Metadata!R543="",FALSE,TRUE),exact(Metadata!R543,"Not applicable"))</f>
        <v>0</v>
      </c>
    </row>
    <row r="544" spans="1:45">
      <c r="A544" s="4">
        <f>IF(B544=" "," ",HYPERLINK(CONCATENATE("#metadata!",ADDRESS(INDEX($X$2:$X$1001,MATCH(ROWS($V$2:V544),$V$2:$V$1001,0),0),2)),INDEX($AA$2:$AA$1001,MATCH(ROWS($V$2:V544),$V$2:$V$1001,0),0)))</f>
        <v>0</v>
      </c>
      <c r="B544" s="5">
        <f>IF(OR(INDEX($W$2:$W$1001,MATCH(ROWS($V$2:V544),$V$2:$V$1001,0),1)&gt;=100000,INDEX($AC$1005:$AS$1005,1,MATCH(COLUMNS($AC$1006:AC1006),$AC$1006:$AS$1006,0))&gt;=100000), " ",IF(INDEX($AC$2:$AS$1001,MATCH(ROWS($V$2:V544),$V$2:$V$1001,0),MATCH(COLUMNS($AC$1006:AC1006),$AC$1006:$AS$1006,0)), HYPERLINK("#",""), HYPERLINK(CONCATENATE("#Metadata!", ADDRESS(INDEX($X$2:$X$1001,MATCH(ROWS($V$2:V544),$V$2:$V$1001,0),0), INDEX($AC$1004:$AS$1004,1,MATCH(COLUMNS($AC$1006:AC1006),$AC$1006:$AS$1006,0)))),"Fix")))</f>
        <v>0</v>
      </c>
      <c r="C544" s="5">
        <f>IF(OR(INDEX($W$2:$W$1001,MATCH(ROWS($V$2:V544),$V$2:$V$1001,0),1)&gt;=100000,INDEX($AC$1005:$AS$1005,1,MATCH(COLUMNS($AC$1006:AD1006),$AC$1006:$AS$1006,0))&gt;=100000), " ",IF(INDEX($AC$2:$AS$1001,MATCH(ROWS($V$2:V544),$V$2:$V$1001,0),MATCH(COLUMNS($AC$1006:AD1006),$AC$1006:$AS$1006,0)), HYPERLINK("#",""), HYPERLINK(CONCATENATE("#Metadata!", ADDRESS(INDEX($X$2:$X$1001,MATCH(ROWS($V$2:V544),$V$2:$V$1001,0),0), INDEX($AC$1004:$AS$1004,1,MATCH(COLUMNS($AC$1006:AD1006),$AC$1006:$AS$1006,0)))),"Fix")))</f>
        <v>0</v>
      </c>
      <c r="D544" s="5">
        <f>IF(OR(INDEX($W$2:$W$1001,MATCH(ROWS($V$2:V544),$V$2:$V$1001,0),1)&gt;=100000,INDEX($AC$1005:$AS$1005,1,MATCH(COLUMNS($AC$1006:AE1006),$AC$1006:$AS$1006,0))&gt;=100000), " ",IF(INDEX($AC$2:$AS$1001,MATCH(ROWS($V$2:V544),$V$2:$V$1001,0),MATCH(COLUMNS($AC$1006:AE1006),$AC$1006:$AS$1006,0)), HYPERLINK("#",""), HYPERLINK(CONCATENATE("#Metadata!", ADDRESS(INDEX($X$2:$X$1001,MATCH(ROWS($V$2:V544),$V$2:$V$1001,0),0), INDEX($AC$1004:$AS$1004,1,MATCH(COLUMNS($AC$1006:AE1006),$AC$1006:$AS$1006,0)))),"Fix")))</f>
        <v>0</v>
      </c>
      <c r="E544" s="5">
        <f>IF(OR(INDEX($W$2:$W$1001,MATCH(ROWS($V$2:V544),$V$2:$V$1001,0),1)&gt;=100000,INDEX($AC$1005:$AS$1005,1,MATCH(COLUMNS($AC$1006:AF1006),$AC$1006:$AS$1006,0))&gt;=100000), " ",IF(INDEX($AC$2:$AS$1001,MATCH(ROWS($V$2:V544),$V$2:$V$1001,0),MATCH(COLUMNS($AC$1006:AF1006),$AC$1006:$AS$1006,0)), HYPERLINK("#",""), HYPERLINK(CONCATENATE("#Metadata!", ADDRESS(INDEX($X$2:$X$1001,MATCH(ROWS($V$2:V544),$V$2:$V$1001,0),0), INDEX($AC$1004:$AS$1004,1,MATCH(COLUMNS($AC$1006:AF1006),$AC$1006:$AS$1006,0)))),"Fix")))</f>
        <v>0</v>
      </c>
      <c r="F544" s="5">
        <f>IF(OR(INDEX($W$2:$W$1001,MATCH(ROWS($V$2:V544),$V$2:$V$1001,0),1)&gt;=100000,INDEX($AC$1005:$AS$1005,1,MATCH(COLUMNS($AC$1006:AG1006),$AC$1006:$AS$1006,0))&gt;=100000), " ",IF(INDEX($AC$2:$AS$1001,MATCH(ROWS($V$2:V544),$V$2:$V$1001,0),MATCH(COLUMNS($AC$1006:AG1006),$AC$1006:$AS$1006,0)), HYPERLINK("#",""), HYPERLINK(CONCATENATE("#Metadata!", ADDRESS(INDEX($X$2:$X$1001,MATCH(ROWS($V$2:V544),$V$2:$V$1001,0),0), INDEX($AC$1004:$AS$1004,1,MATCH(COLUMNS($AC$1006:AG1006),$AC$1006:$AS$1006,0)))),"Fix")))</f>
        <v>0</v>
      </c>
      <c r="G544" s="5">
        <f>IF(OR(INDEX($W$2:$W$1001,MATCH(ROWS($V$2:V544),$V$2:$V$1001,0),1)&gt;=100000,INDEX($AC$1005:$AS$1005,1,MATCH(COLUMNS($AC$1006:AH1006),$AC$1006:$AS$1006,0))&gt;=100000), " ",IF(INDEX($AC$2:$AS$1001,MATCH(ROWS($V$2:V544),$V$2:$V$1001,0),MATCH(COLUMNS($AC$1006:AH1006),$AC$1006:$AS$1006,0)), HYPERLINK("#",""), HYPERLINK(CONCATENATE("#Metadata!", ADDRESS(INDEX($X$2:$X$1001,MATCH(ROWS($V$2:V544),$V$2:$V$1001,0),0), INDEX($AC$1004:$AS$1004,1,MATCH(COLUMNS($AC$1006:AH1006),$AC$1006:$AS$1006,0)))),"Fix")))</f>
        <v>0</v>
      </c>
      <c r="H544" s="5">
        <f>IF(OR(INDEX($W$2:$W$1001,MATCH(ROWS($V$2:V544),$V$2:$V$1001,0),1)&gt;=100000,INDEX($AC$1005:$AS$1005,1,MATCH(COLUMNS($AC$1006:AI1006),$AC$1006:$AS$1006,0))&gt;=100000), " ",IF(INDEX($AC$2:$AS$1001,MATCH(ROWS($V$2:V544),$V$2:$V$1001,0),MATCH(COLUMNS($AC$1006:AI1006),$AC$1006:$AS$1006,0)), HYPERLINK("#",""), HYPERLINK(CONCATENATE("#Metadata!", ADDRESS(INDEX($X$2:$X$1001,MATCH(ROWS($V$2:V544),$V$2:$V$1001,0),0), INDEX($AC$1004:$AS$1004,1,MATCH(COLUMNS($AC$1006:AI1006),$AC$1006:$AS$1006,0)))),"Fix")))</f>
        <v>0</v>
      </c>
      <c r="I544" s="5">
        <f>IF(OR(INDEX($W$2:$W$1001,MATCH(ROWS($V$2:V544),$V$2:$V$1001,0),1)&gt;=100000,INDEX($AC$1005:$AS$1005,1,MATCH(COLUMNS($AC$1006:AJ1006),$AC$1006:$AS$1006,0))&gt;=100000), " ",IF(INDEX($AC$2:$AS$1001,MATCH(ROWS($V$2:V544),$V$2:$V$1001,0),MATCH(COLUMNS($AC$1006:AJ1006),$AC$1006:$AS$1006,0)), HYPERLINK("#",""), HYPERLINK(CONCATENATE("#Metadata!", ADDRESS(INDEX($X$2:$X$1001,MATCH(ROWS($V$2:V544),$V$2:$V$1001,0),0), INDEX($AC$1004:$AS$1004,1,MATCH(COLUMNS($AC$1006:AJ1006),$AC$1006:$AS$1006,0)))),"Fix")))</f>
        <v>0</v>
      </c>
      <c r="J544" s="5">
        <f>IF(OR(INDEX($W$2:$W$1001,MATCH(ROWS($V$2:V544),$V$2:$V$1001,0),1)&gt;=100000,INDEX($AC$1005:$AS$1005,1,MATCH(COLUMNS($AC$1006:AK1006),$AC$1006:$AS$1006,0))&gt;=100000), " ",IF(INDEX($AC$2:$AS$1001,MATCH(ROWS($V$2:V544),$V$2:$V$1001,0),MATCH(COLUMNS($AC$1006:AK1006),$AC$1006:$AS$1006,0)), HYPERLINK("#",""), HYPERLINK(CONCATENATE("#Metadata!", ADDRESS(INDEX($X$2:$X$1001,MATCH(ROWS($V$2:V544),$V$2:$V$1001,0),0), INDEX($AC$1004:$AS$1004,1,MATCH(COLUMNS($AC$1006:AK1006),$AC$1006:$AS$1006,0)))),"Fix")))</f>
        <v>0</v>
      </c>
      <c r="K544" s="5">
        <f>IF(OR(INDEX($W$2:$W$1001,MATCH(ROWS($V$2:V544),$V$2:$V$1001,0),1)&gt;=100000,INDEX($AC$1005:$AS$1005,1,MATCH(COLUMNS($AC$1006:AL1006),$AC$1006:$AS$1006,0))&gt;=100000), " ",IF(INDEX($AC$2:$AS$1001,MATCH(ROWS($V$2:V544),$V$2:$V$1001,0),MATCH(COLUMNS($AC$1006:AL1006),$AC$1006:$AS$1006,0)), HYPERLINK("#",""), HYPERLINK(CONCATENATE("#Metadata!", ADDRESS(INDEX($X$2:$X$1001,MATCH(ROWS($V$2:V544),$V$2:$V$1001,0),0), INDEX($AC$1004:$AS$1004,1,MATCH(COLUMNS($AC$1006:AL1006),$AC$1006:$AS$1006,0)))),"Fix")))</f>
        <v>0</v>
      </c>
      <c r="L544" s="5">
        <f>IF(OR(INDEX($W$2:$W$1001,MATCH(ROWS($V$2:V544),$V$2:$V$1001,0),1)&gt;=100000,INDEX($AC$1005:$AS$1005,1,MATCH(COLUMNS($AC$1006:AM1006),$AC$1006:$AS$1006,0))&gt;=100000), " ",IF(INDEX($AC$2:$AS$1001,MATCH(ROWS($V$2:V544),$V$2:$V$1001,0),MATCH(COLUMNS($AC$1006:AM1006),$AC$1006:$AS$1006,0)), HYPERLINK("#",""), HYPERLINK(CONCATENATE("#Metadata!", ADDRESS(INDEX($X$2:$X$1001,MATCH(ROWS($V$2:V544),$V$2:$V$1001,0),0), INDEX($AC$1004:$AS$1004,1,MATCH(COLUMNS($AC$1006:AM1006),$AC$1006:$AS$1006,0)))),"Fix")))</f>
        <v>0</v>
      </c>
      <c r="M544" s="5">
        <f>IF(OR(INDEX($W$2:$W$1001,MATCH(ROWS($V$2:V544),$V$2:$V$1001,0),1)&gt;=100000,INDEX($AC$1005:$AS$1005,1,MATCH(COLUMNS($AC$1006:AN1006),$AC$1006:$AS$1006,0))&gt;=100000), " ",IF(INDEX($AC$2:$AS$1001,MATCH(ROWS($V$2:V544),$V$2:$V$1001,0),MATCH(COLUMNS($AC$1006:AN1006),$AC$1006:$AS$1006,0)), HYPERLINK("#",""), HYPERLINK(CONCATENATE("#Metadata!", ADDRESS(INDEX($X$2:$X$1001,MATCH(ROWS($V$2:V544),$V$2:$V$1001,0),0), INDEX($AC$1004:$AS$1004,1,MATCH(COLUMNS($AC$1006:AN1006),$AC$1006:$AS$1006,0)))),"Fix")))</f>
        <v>0</v>
      </c>
      <c r="N544" s="5">
        <f>IF(OR(INDEX($W$2:$W$1001,MATCH(ROWS($V$2:V544),$V$2:$V$1001,0),1)&gt;=100000,INDEX($AC$1005:$AS$1005,1,MATCH(COLUMNS($AC$1006:AO1006),$AC$1006:$AS$1006,0))&gt;=100000), " ",IF(INDEX($AC$2:$AS$1001,MATCH(ROWS($V$2:V544),$V$2:$V$1001,0),MATCH(COLUMNS($AC$1006:AO1006),$AC$1006:$AS$1006,0)), HYPERLINK("#",""), HYPERLINK(CONCATENATE("#Metadata!", ADDRESS(INDEX($X$2:$X$1001,MATCH(ROWS($V$2:V544),$V$2:$V$1001,0),0), INDEX($AC$1004:$AS$1004,1,MATCH(COLUMNS($AC$1006:AO1006),$AC$1006:$AS$1006,0)))),"Fix")))</f>
        <v>0</v>
      </c>
      <c r="O544" s="5">
        <f>IF(OR(INDEX($W$2:$W$1001,MATCH(ROWS($V$2:V544),$V$2:$V$1001,0),1)&gt;=100000,INDEX($AC$1005:$AS$1005,1,MATCH(COLUMNS($AC$1006:AP1006),$AC$1006:$AS$1006,0))&gt;=100000), " ",IF(INDEX($AC$2:$AS$1001,MATCH(ROWS($V$2:V544),$V$2:$V$1001,0),MATCH(COLUMNS($AC$1006:AP1006),$AC$1006:$AS$1006,0)), HYPERLINK("#",""), HYPERLINK(CONCATENATE("#Metadata!", ADDRESS(INDEX($X$2:$X$1001,MATCH(ROWS($V$2:V544),$V$2:$V$1001,0),0), INDEX($AC$1004:$AS$1004,1,MATCH(COLUMNS($AC$1006:AP1006),$AC$1006:$AS$1006,0)))),"Fix")))</f>
        <v>0</v>
      </c>
      <c r="P544" s="5">
        <f>IF(OR(INDEX($W$2:$W$1001,MATCH(ROWS($V$2:V544),$V$2:$V$1001,0),1)&gt;=100000,INDEX($AC$1005:$AS$1005,1,MATCH(COLUMNS($AC$1006:AQ1006),$AC$1006:$AS$1006,0))&gt;=100000), " ",IF(INDEX($AC$2:$AS$1001,MATCH(ROWS($V$2:V544),$V$2:$V$1001,0),MATCH(COLUMNS($AC$1006:AQ1006),$AC$1006:$AS$1006,0)), HYPERLINK("#",""), HYPERLINK(CONCATENATE("#Metadata!", ADDRESS(INDEX($X$2:$X$1001,MATCH(ROWS($V$2:V544),$V$2:$V$1001,0),0), INDEX($AC$1004:$AS$1004,1,MATCH(COLUMNS($AC$1006:AQ1006),$AC$1006:$AS$1006,0)))),"Fix")))</f>
        <v>0</v>
      </c>
      <c r="Q544" s="5">
        <f>IF(OR(INDEX($W$2:$W$1001,MATCH(ROWS($V$2:V544),$V$2:$V$1001,0),1)&gt;=100000,INDEX($AC$1005:$AS$1005,1,MATCH(COLUMNS($AC$1006:AR1006),$AC$1006:$AS$1006,0))&gt;=100000), " ",IF(INDEX($AC$2:$AS$1001,MATCH(ROWS($V$2:V544),$V$2:$V$1001,0),MATCH(COLUMNS($AC$1006:AR1006),$AC$1006:$AS$1006,0)), HYPERLINK("#",""), HYPERLINK(CONCATENATE("#Metadata!", ADDRESS(INDEX($X$2:$X$1001,MATCH(ROWS($V$2:V544),$V$2:$V$1001,0),0), INDEX($AC$1004:$AS$1004,1,MATCH(COLUMNS($AC$1006:AR1006),$AC$1006:$AS$1006,0)))),"Fix")))</f>
        <v>0</v>
      </c>
      <c r="R544" s="5">
        <f>IF(OR(INDEX($W$2:$W$1001,MATCH(ROWS($V$2:V544),$V$2:$V$1001,0),1)&gt;=100000,INDEX($AC$1005:$AS$1005,1,MATCH(COLUMNS($AC$1006:AS1006),$AC$1006:$AS$1006,0))&gt;=100000), " ",IF(INDEX($AC$2:$AS$1001,MATCH(ROWS($V$2:V544),$V$2:$V$1001,0),MATCH(COLUMNS($AC$1006:AS1006),$AC$1006:$AS$1006,0)), HYPERLINK("#",""), HYPERLINK(CONCATENATE("#Metadata!", ADDRESS(INDEX($X$2:$X$1001,MATCH(ROWS($V$2:V544),$V$2:$V$1001,0),0), INDEX($AC$1004:$AS$1004,1,MATCH(COLUMNS($AC$1006:AS1006),$AC$1006:$AS$1006,0)))),"Fix")))</f>
        <v>0</v>
      </c>
      <c r="V544">
        <v>0</v>
      </c>
      <c r="W544">
        <v>0</v>
      </c>
      <c r="X544">
        <v>0</v>
      </c>
      <c r="Y544">
        <f>IF(Z544,TRUE,AND(AC544:AS544))</f>
        <v>0</v>
      </c>
      <c r="Z544">
        <f>COUNTBLANK(Metadata!B544:R544)=COLUMNS(Metadata!B544:R544)</f>
        <v>0</v>
      </c>
      <c r="AA544">
        <v>0</v>
      </c>
      <c r="AC544">
        <f>AND(IF(Metadata!B544="",FALSE,TRUE),COUNTIF(Metadata!B:B, Metadata!B544) = 1,NOT(ISERROR(SUMPRODUCT(SEARCH(MID(Metadata!B544,ROW(INDIRECT("1:"&amp;LEN(Metadata!B544))), 1),"0123456789abcdefghijklmnopqrstuvwxyzABCDEFGHIJKLMNOPQRSTUVWXYZ.")))))</f>
        <v>0</v>
      </c>
      <c r="AD544">
        <f>AND(IF(Metadata!C544="",FALSE,TRUE),exact(Metadata!C544,"Host-associated"))</f>
        <v>0</v>
      </c>
      <c r="AE544">
        <f>AND(IF(Metadata!D544="",FALSE,TRUE),OR(exact(Metadata!D544,"Animal"),exact(Metadata!D544,"Fungus"),exact(Metadata!D544,"Plant")))</f>
        <v>0</v>
      </c>
      <c r="AF544">
        <f>AND(IF(Metadata!E544="",FALSE,TRUE),OR(exact(Metadata!E544,"Plant secretion"),exact(Metadata!E544,"Plant rhizosphere"),exact(Metadata!E544,"Plant surface"),exact(Metadata!E544,"Plant corpus"),exact(Metadata!E544,"Fungus surface"),exact(Metadata!E544,"Fungus corpus"),exact(Metadata!E544,"Animal surface"),exact(Metadata!E544,"Animal proximal gut"),exact(Metadata!E544,"Animal corpus"),exact(Metadata!E544,"Animal distal gut"),exact(Metadata!E544,"Animal secretion")))</f>
        <v>0</v>
      </c>
      <c r="AG544">
        <f>OR(AND(IF(Metadata!F544="",FALSE,TRUE),OR(exact(Metadata!F544,"not collected"),exact(Metadata!F544,"not provided"),exact(Metadata!F544,"restricted access"))),AND(IF(Metadata!F544="",FALSE,TRUE),OR(exact(Metadata!F544,"organism-associated habitat"),exact(Metadata!F544,"plant-associated habitat"),exact(Metadata!F544,"animal-associated habitat"),exact(Metadata!F544,"insecta-associated habitat"),exact(Metadata!F544,"mammalia-associated habitat"),exact(Metadata!F544,"human-associated habitat"),exact(Metadata!F544,"livestock-associated habitat"))))</f>
        <v>0</v>
      </c>
      <c r="AH544">
        <f>AND(IF(Metadata!G544="",FALSE,TRUE),exact(Metadata!G544,"host-associated"))</f>
        <v>0</v>
      </c>
      <c r="AI544">
        <f>OR(AND(IF(Metadata!H544="",FALSE,TRUE),OR(exact(Metadata!H544,"not collected"),exact(Metadata!H544,"not provided"))),AND(IF(Metadata!H544="",FALSE,ISNUMBER(VALUE(Metadata!H544))),Metadata!H544&gt;0))</f>
        <v>0</v>
      </c>
      <c r="AJ544">
        <f>AND(IF(Metadata!I544="",FALSE,TRUE),exact(Metadata!I544,"years"))</f>
        <v>0</v>
      </c>
      <c r="AK544">
        <f>IF(Metadata!J544="",FALSE,TRUE)</f>
        <v>0</v>
      </c>
      <c r="AL544">
        <f>OR(AND(IF(Metadata!K544="",FALSE,TRUE),OR(exact(Metadata!K544,"not collected"),exact(Metadata!K544,"not provided"))),AND(IF(Metadata!K544="",FALSE,ISNUMBER(VALUE(Metadata!K544))),Metadata!K544&gt;0))</f>
        <v>0</v>
      </c>
      <c r="AM544">
        <f>AND(IF(Metadata!L544="",FALSE,TRUE),exact(Metadata!L544,"cm"))</f>
        <v>0</v>
      </c>
      <c r="AN544">
        <f>IF(Metadata!M544="",FALSE,TRUE)</f>
        <v>0</v>
      </c>
      <c r="AO544">
        <f>OR(AND(IF(Metadata!N544="",FALSE,TRUE),OR(exact(Metadata!N544,"not applicable"),exact(Metadata!N544,"not collected"),exact(Metadata!N544,"not provided"))),AND(IF(Metadata!N544="",FALSE,IF(ISERROR(INT(Metadata!N544)),FALSE,INT(Metadata!N544)=Metadata!N544)),Metadata!N544&gt;0))</f>
        <v>0</v>
      </c>
      <c r="AP544">
        <f>OR(AND(IF(Metadata!O544="",FALSE,TRUE),OR(exact(Metadata!O544,"not collected"),exact(Metadata!O544,"not provided"))),AND(IF(Metadata!O544="",FALSE,ISNUMBER(VALUE(Metadata!O544))),Metadata!O544&gt;0))</f>
        <v>0</v>
      </c>
      <c r="AQ544">
        <f>AND(IF(Metadata!P544="",FALSE,TRUE),exact(Metadata!P544,"kg"))</f>
        <v>0</v>
      </c>
      <c r="AR544">
        <f>OR(AND(IF(Metadata!Q544="",FALSE,TRUE),OR(exact(Metadata!Q544,"not applicable"),exact(Metadata!Q544,"not collected"),exact(Metadata!Q544,"not provided"),exact(Metadata!Q544,"restricted access"))),IF(Metadata!Q544="",FALSE,IF(ISERROR(INT(Metadata!Q544)),FALSE,INT(Metadata!Q544)=Metadata!Q544)))</f>
        <v>0</v>
      </c>
      <c r="AS544">
        <f>AND(IF(Metadata!R544="",FALSE,TRUE),exact(Metadata!R544,"Not applicable"))</f>
        <v>0</v>
      </c>
    </row>
    <row r="545" spans="1:45">
      <c r="A545" s="4">
        <f>IF(B545=" "," ",HYPERLINK(CONCATENATE("#metadata!",ADDRESS(INDEX($X$2:$X$1001,MATCH(ROWS($V$2:V545),$V$2:$V$1001,0),0),2)),INDEX($AA$2:$AA$1001,MATCH(ROWS($V$2:V545),$V$2:$V$1001,0),0)))</f>
        <v>0</v>
      </c>
      <c r="B545" s="5">
        <f>IF(OR(INDEX($W$2:$W$1001,MATCH(ROWS($V$2:V545),$V$2:$V$1001,0),1)&gt;=100000,INDEX($AC$1005:$AS$1005,1,MATCH(COLUMNS($AC$1006:AC1006),$AC$1006:$AS$1006,0))&gt;=100000), " ",IF(INDEX($AC$2:$AS$1001,MATCH(ROWS($V$2:V545),$V$2:$V$1001,0),MATCH(COLUMNS($AC$1006:AC1006),$AC$1006:$AS$1006,0)), HYPERLINK("#",""), HYPERLINK(CONCATENATE("#Metadata!", ADDRESS(INDEX($X$2:$X$1001,MATCH(ROWS($V$2:V545),$V$2:$V$1001,0),0), INDEX($AC$1004:$AS$1004,1,MATCH(COLUMNS($AC$1006:AC1006),$AC$1006:$AS$1006,0)))),"Fix")))</f>
        <v>0</v>
      </c>
      <c r="C545" s="5">
        <f>IF(OR(INDEX($W$2:$W$1001,MATCH(ROWS($V$2:V545),$V$2:$V$1001,0),1)&gt;=100000,INDEX($AC$1005:$AS$1005,1,MATCH(COLUMNS($AC$1006:AD1006),$AC$1006:$AS$1006,0))&gt;=100000), " ",IF(INDEX($AC$2:$AS$1001,MATCH(ROWS($V$2:V545),$V$2:$V$1001,0),MATCH(COLUMNS($AC$1006:AD1006),$AC$1006:$AS$1006,0)), HYPERLINK("#",""), HYPERLINK(CONCATENATE("#Metadata!", ADDRESS(INDEX($X$2:$X$1001,MATCH(ROWS($V$2:V545),$V$2:$V$1001,0),0), INDEX($AC$1004:$AS$1004,1,MATCH(COLUMNS($AC$1006:AD1006),$AC$1006:$AS$1006,0)))),"Fix")))</f>
        <v>0</v>
      </c>
      <c r="D545" s="5">
        <f>IF(OR(INDEX($W$2:$W$1001,MATCH(ROWS($V$2:V545),$V$2:$V$1001,0),1)&gt;=100000,INDEX($AC$1005:$AS$1005,1,MATCH(COLUMNS($AC$1006:AE1006),$AC$1006:$AS$1006,0))&gt;=100000), " ",IF(INDEX($AC$2:$AS$1001,MATCH(ROWS($V$2:V545),$V$2:$V$1001,0),MATCH(COLUMNS($AC$1006:AE1006),$AC$1006:$AS$1006,0)), HYPERLINK("#",""), HYPERLINK(CONCATENATE("#Metadata!", ADDRESS(INDEX($X$2:$X$1001,MATCH(ROWS($V$2:V545),$V$2:$V$1001,0),0), INDEX($AC$1004:$AS$1004,1,MATCH(COLUMNS($AC$1006:AE1006),$AC$1006:$AS$1006,0)))),"Fix")))</f>
        <v>0</v>
      </c>
      <c r="E545" s="5">
        <f>IF(OR(INDEX($W$2:$W$1001,MATCH(ROWS($V$2:V545),$V$2:$V$1001,0),1)&gt;=100000,INDEX($AC$1005:$AS$1005,1,MATCH(COLUMNS($AC$1006:AF1006),$AC$1006:$AS$1006,0))&gt;=100000), " ",IF(INDEX($AC$2:$AS$1001,MATCH(ROWS($V$2:V545),$V$2:$V$1001,0),MATCH(COLUMNS($AC$1006:AF1006),$AC$1006:$AS$1006,0)), HYPERLINK("#",""), HYPERLINK(CONCATENATE("#Metadata!", ADDRESS(INDEX($X$2:$X$1001,MATCH(ROWS($V$2:V545),$V$2:$V$1001,0),0), INDEX($AC$1004:$AS$1004,1,MATCH(COLUMNS($AC$1006:AF1006),$AC$1006:$AS$1006,0)))),"Fix")))</f>
        <v>0</v>
      </c>
      <c r="F545" s="5">
        <f>IF(OR(INDEX($W$2:$W$1001,MATCH(ROWS($V$2:V545),$V$2:$V$1001,0),1)&gt;=100000,INDEX($AC$1005:$AS$1005,1,MATCH(COLUMNS($AC$1006:AG1006),$AC$1006:$AS$1006,0))&gt;=100000), " ",IF(INDEX($AC$2:$AS$1001,MATCH(ROWS($V$2:V545),$V$2:$V$1001,0),MATCH(COLUMNS($AC$1006:AG1006),$AC$1006:$AS$1006,0)), HYPERLINK("#",""), HYPERLINK(CONCATENATE("#Metadata!", ADDRESS(INDEX($X$2:$X$1001,MATCH(ROWS($V$2:V545),$V$2:$V$1001,0),0), INDEX($AC$1004:$AS$1004,1,MATCH(COLUMNS($AC$1006:AG1006),$AC$1006:$AS$1006,0)))),"Fix")))</f>
        <v>0</v>
      </c>
      <c r="G545" s="5">
        <f>IF(OR(INDEX($W$2:$W$1001,MATCH(ROWS($V$2:V545),$V$2:$V$1001,0),1)&gt;=100000,INDEX($AC$1005:$AS$1005,1,MATCH(COLUMNS($AC$1006:AH1006),$AC$1006:$AS$1006,0))&gt;=100000), " ",IF(INDEX($AC$2:$AS$1001,MATCH(ROWS($V$2:V545),$V$2:$V$1001,0),MATCH(COLUMNS($AC$1006:AH1006),$AC$1006:$AS$1006,0)), HYPERLINK("#",""), HYPERLINK(CONCATENATE("#Metadata!", ADDRESS(INDEX($X$2:$X$1001,MATCH(ROWS($V$2:V545),$V$2:$V$1001,0),0), INDEX($AC$1004:$AS$1004,1,MATCH(COLUMNS($AC$1006:AH1006),$AC$1006:$AS$1006,0)))),"Fix")))</f>
        <v>0</v>
      </c>
      <c r="H545" s="5">
        <f>IF(OR(INDEX($W$2:$W$1001,MATCH(ROWS($V$2:V545),$V$2:$V$1001,0),1)&gt;=100000,INDEX($AC$1005:$AS$1005,1,MATCH(COLUMNS($AC$1006:AI1006),$AC$1006:$AS$1006,0))&gt;=100000), " ",IF(INDEX($AC$2:$AS$1001,MATCH(ROWS($V$2:V545),$V$2:$V$1001,0),MATCH(COLUMNS($AC$1006:AI1006),$AC$1006:$AS$1006,0)), HYPERLINK("#",""), HYPERLINK(CONCATENATE("#Metadata!", ADDRESS(INDEX($X$2:$X$1001,MATCH(ROWS($V$2:V545),$V$2:$V$1001,0),0), INDEX($AC$1004:$AS$1004,1,MATCH(COLUMNS($AC$1006:AI1006),$AC$1006:$AS$1006,0)))),"Fix")))</f>
        <v>0</v>
      </c>
      <c r="I545" s="5">
        <f>IF(OR(INDEX($W$2:$W$1001,MATCH(ROWS($V$2:V545),$V$2:$V$1001,0),1)&gt;=100000,INDEX($AC$1005:$AS$1005,1,MATCH(COLUMNS($AC$1006:AJ1006),$AC$1006:$AS$1006,0))&gt;=100000), " ",IF(INDEX($AC$2:$AS$1001,MATCH(ROWS($V$2:V545),$V$2:$V$1001,0),MATCH(COLUMNS($AC$1006:AJ1006),$AC$1006:$AS$1006,0)), HYPERLINK("#",""), HYPERLINK(CONCATENATE("#Metadata!", ADDRESS(INDEX($X$2:$X$1001,MATCH(ROWS($V$2:V545),$V$2:$V$1001,0),0), INDEX($AC$1004:$AS$1004,1,MATCH(COLUMNS($AC$1006:AJ1006),$AC$1006:$AS$1006,0)))),"Fix")))</f>
        <v>0</v>
      </c>
      <c r="J545" s="5">
        <f>IF(OR(INDEX($W$2:$W$1001,MATCH(ROWS($V$2:V545),$V$2:$V$1001,0),1)&gt;=100000,INDEX($AC$1005:$AS$1005,1,MATCH(COLUMNS($AC$1006:AK1006),$AC$1006:$AS$1006,0))&gt;=100000), " ",IF(INDEX($AC$2:$AS$1001,MATCH(ROWS($V$2:V545),$V$2:$V$1001,0),MATCH(COLUMNS($AC$1006:AK1006),$AC$1006:$AS$1006,0)), HYPERLINK("#",""), HYPERLINK(CONCATENATE("#Metadata!", ADDRESS(INDEX($X$2:$X$1001,MATCH(ROWS($V$2:V545),$V$2:$V$1001,0),0), INDEX($AC$1004:$AS$1004,1,MATCH(COLUMNS($AC$1006:AK1006),$AC$1006:$AS$1006,0)))),"Fix")))</f>
        <v>0</v>
      </c>
      <c r="K545" s="5">
        <f>IF(OR(INDEX($W$2:$W$1001,MATCH(ROWS($V$2:V545),$V$2:$V$1001,0),1)&gt;=100000,INDEX($AC$1005:$AS$1005,1,MATCH(COLUMNS($AC$1006:AL1006),$AC$1006:$AS$1006,0))&gt;=100000), " ",IF(INDEX($AC$2:$AS$1001,MATCH(ROWS($V$2:V545),$V$2:$V$1001,0),MATCH(COLUMNS($AC$1006:AL1006),$AC$1006:$AS$1006,0)), HYPERLINK("#",""), HYPERLINK(CONCATENATE("#Metadata!", ADDRESS(INDEX($X$2:$X$1001,MATCH(ROWS($V$2:V545),$V$2:$V$1001,0),0), INDEX($AC$1004:$AS$1004,1,MATCH(COLUMNS($AC$1006:AL1006),$AC$1006:$AS$1006,0)))),"Fix")))</f>
        <v>0</v>
      </c>
      <c r="L545" s="5">
        <f>IF(OR(INDEX($W$2:$W$1001,MATCH(ROWS($V$2:V545),$V$2:$V$1001,0),1)&gt;=100000,INDEX($AC$1005:$AS$1005,1,MATCH(COLUMNS($AC$1006:AM1006),$AC$1006:$AS$1006,0))&gt;=100000), " ",IF(INDEX($AC$2:$AS$1001,MATCH(ROWS($V$2:V545),$V$2:$V$1001,0),MATCH(COLUMNS($AC$1006:AM1006),$AC$1006:$AS$1006,0)), HYPERLINK("#",""), HYPERLINK(CONCATENATE("#Metadata!", ADDRESS(INDEX($X$2:$X$1001,MATCH(ROWS($V$2:V545),$V$2:$V$1001,0),0), INDEX($AC$1004:$AS$1004,1,MATCH(COLUMNS($AC$1006:AM1006),$AC$1006:$AS$1006,0)))),"Fix")))</f>
        <v>0</v>
      </c>
      <c r="M545" s="5">
        <f>IF(OR(INDEX($W$2:$W$1001,MATCH(ROWS($V$2:V545),$V$2:$V$1001,0),1)&gt;=100000,INDEX($AC$1005:$AS$1005,1,MATCH(COLUMNS($AC$1006:AN1006),$AC$1006:$AS$1006,0))&gt;=100000), " ",IF(INDEX($AC$2:$AS$1001,MATCH(ROWS($V$2:V545),$V$2:$V$1001,0),MATCH(COLUMNS($AC$1006:AN1006),$AC$1006:$AS$1006,0)), HYPERLINK("#",""), HYPERLINK(CONCATENATE("#Metadata!", ADDRESS(INDEX($X$2:$X$1001,MATCH(ROWS($V$2:V545),$V$2:$V$1001,0),0), INDEX($AC$1004:$AS$1004,1,MATCH(COLUMNS($AC$1006:AN1006),$AC$1006:$AS$1006,0)))),"Fix")))</f>
        <v>0</v>
      </c>
      <c r="N545" s="5">
        <f>IF(OR(INDEX($W$2:$W$1001,MATCH(ROWS($V$2:V545),$V$2:$V$1001,0),1)&gt;=100000,INDEX($AC$1005:$AS$1005,1,MATCH(COLUMNS($AC$1006:AO1006),$AC$1006:$AS$1006,0))&gt;=100000), " ",IF(INDEX($AC$2:$AS$1001,MATCH(ROWS($V$2:V545),$V$2:$V$1001,0),MATCH(COLUMNS($AC$1006:AO1006),$AC$1006:$AS$1006,0)), HYPERLINK("#",""), HYPERLINK(CONCATENATE("#Metadata!", ADDRESS(INDEX($X$2:$X$1001,MATCH(ROWS($V$2:V545),$V$2:$V$1001,0),0), INDEX($AC$1004:$AS$1004,1,MATCH(COLUMNS($AC$1006:AO1006),$AC$1006:$AS$1006,0)))),"Fix")))</f>
        <v>0</v>
      </c>
      <c r="O545" s="5">
        <f>IF(OR(INDEX($W$2:$W$1001,MATCH(ROWS($V$2:V545),$V$2:$V$1001,0),1)&gt;=100000,INDEX($AC$1005:$AS$1005,1,MATCH(COLUMNS($AC$1006:AP1006),$AC$1006:$AS$1006,0))&gt;=100000), " ",IF(INDEX($AC$2:$AS$1001,MATCH(ROWS($V$2:V545),$V$2:$V$1001,0),MATCH(COLUMNS($AC$1006:AP1006),$AC$1006:$AS$1006,0)), HYPERLINK("#",""), HYPERLINK(CONCATENATE("#Metadata!", ADDRESS(INDEX($X$2:$X$1001,MATCH(ROWS($V$2:V545),$V$2:$V$1001,0),0), INDEX($AC$1004:$AS$1004,1,MATCH(COLUMNS($AC$1006:AP1006),$AC$1006:$AS$1006,0)))),"Fix")))</f>
        <v>0</v>
      </c>
      <c r="P545" s="5">
        <f>IF(OR(INDEX($W$2:$W$1001,MATCH(ROWS($V$2:V545),$V$2:$V$1001,0),1)&gt;=100000,INDEX($AC$1005:$AS$1005,1,MATCH(COLUMNS($AC$1006:AQ1006),$AC$1006:$AS$1006,0))&gt;=100000), " ",IF(INDEX($AC$2:$AS$1001,MATCH(ROWS($V$2:V545),$V$2:$V$1001,0),MATCH(COLUMNS($AC$1006:AQ1006),$AC$1006:$AS$1006,0)), HYPERLINK("#",""), HYPERLINK(CONCATENATE("#Metadata!", ADDRESS(INDEX($X$2:$X$1001,MATCH(ROWS($V$2:V545),$V$2:$V$1001,0),0), INDEX($AC$1004:$AS$1004,1,MATCH(COLUMNS($AC$1006:AQ1006),$AC$1006:$AS$1006,0)))),"Fix")))</f>
        <v>0</v>
      </c>
      <c r="Q545" s="5">
        <f>IF(OR(INDEX($W$2:$W$1001,MATCH(ROWS($V$2:V545),$V$2:$V$1001,0),1)&gt;=100000,INDEX($AC$1005:$AS$1005,1,MATCH(COLUMNS($AC$1006:AR1006),$AC$1006:$AS$1006,0))&gt;=100000), " ",IF(INDEX($AC$2:$AS$1001,MATCH(ROWS($V$2:V545),$V$2:$V$1001,0),MATCH(COLUMNS($AC$1006:AR1006),$AC$1006:$AS$1006,0)), HYPERLINK("#",""), HYPERLINK(CONCATENATE("#Metadata!", ADDRESS(INDEX($X$2:$X$1001,MATCH(ROWS($V$2:V545),$V$2:$V$1001,0),0), INDEX($AC$1004:$AS$1004,1,MATCH(COLUMNS($AC$1006:AR1006),$AC$1006:$AS$1006,0)))),"Fix")))</f>
        <v>0</v>
      </c>
      <c r="R545" s="5">
        <f>IF(OR(INDEX($W$2:$W$1001,MATCH(ROWS($V$2:V545),$V$2:$V$1001,0),1)&gt;=100000,INDEX($AC$1005:$AS$1005,1,MATCH(COLUMNS($AC$1006:AS1006),$AC$1006:$AS$1006,0))&gt;=100000), " ",IF(INDEX($AC$2:$AS$1001,MATCH(ROWS($V$2:V545),$V$2:$V$1001,0),MATCH(COLUMNS($AC$1006:AS1006),$AC$1006:$AS$1006,0)), HYPERLINK("#",""), HYPERLINK(CONCATENATE("#Metadata!", ADDRESS(INDEX($X$2:$X$1001,MATCH(ROWS($V$2:V545),$V$2:$V$1001,0),0), INDEX($AC$1004:$AS$1004,1,MATCH(COLUMNS($AC$1006:AS1006),$AC$1006:$AS$1006,0)))),"Fix")))</f>
        <v>0</v>
      </c>
      <c r="V545">
        <v>0</v>
      </c>
      <c r="W545">
        <v>0</v>
      </c>
      <c r="X545">
        <v>0</v>
      </c>
      <c r="Y545">
        <f>IF(Z545,TRUE,AND(AC545:AS545))</f>
        <v>0</v>
      </c>
      <c r="Z545">
        <f>COUNTBLANK(Metadata!B545:R545)=COLUMNS(Metadata!B545:R545)</f>
        <v>0</v>
      </c>
      <c r="AA545">
        <v>0</v>
      </c>
      <c r="AC545">
        <f>AND(IF(Metadata!B545="",FALSE,TRUE),COUNTIF(Metadata!B:B, Metadata!B545) = 1,NOT(ISERROR(SUMPRODUCT(SEARCH(MID(Metadata!B545,ROW(INDIRECT("1:"&amp;LEN(Metadata!B545))), 1),"0123456789abcdefghijklmnopqrstuvwxyzABCDEFGHIJKLMNOPQRSTUVWXYZ.")))))</f>
        <v>0</v>
      </c>
      <c r="AD545">
        <f>AND(IF(Metadata!C545="",FALSE,TRUE),exact(Metadata!C545,"Host-associated"))</f>
        <v>0</v>
      </c>
      <c r="AE545">
        <f>AND(IF(Metadata!D545="",FALSE,TRUE),OR(exact(Metadata!D545,"Animal"),exact(Metadata!D545,"Fungus"),exact(Metadata!D545,"Plant")))</f>
        <v>0</v>
      </c>
      <c r="AF545">
        <f>AND(IF(Metadata!E545="",FALSE,TRUE),OR(exact(Metadata!E545,"Plant secretion"),exact(Metadata!E545,"Plant rhizosphere"),exact(Metadata!E545,"Plant surface"),exact(Metadata!E545,"Plant corpus"),exact(Metadata!E545,"Fungus surface"),exact(Metadata!E545,"Fungus corpus"),exact(Metadata!E545,"Animal surface"),exact(Metadata!E545,"Animal proximal gut"),exact(Metadata!E545,"Animal corpus"),exact(Metadata!E545,"Animal distal gut"),exact(Metadata!E545,"Animal secretion")))</f>
        <v>0</v>
      </c>
      <c r="AG545">
        <f>OR(AND(IF(Metadata!F545="",FALSE,TRUE),OR(exact(Metadata!F545,"not collected"),exact(Metadata!F545,"not provided"),exact(Metadata!F545,"restricted access"))),AND(IF(Metadata!F545="",FALSE,TRUE),OR(exact(Metadata!F545,"organism-associated habitat"),exact(Metadata!F545,"plant-associated habitat"),exact(Metadata!F545,"animal-associated habitat"),exact(Metadata!F545,"insecta-associated habitat"),exact(Metadata!F545,"mammalia-associated habitat"),exact(Metadata!F545,"human-associated habitat"),exact(Metadata!F545,"livestock-associated habitat"))))</f>
        <v>0</v>
      </c>
      <c r="AH545">
        <f>AND(IF(Metadata!G545="",FALSE,TRUE),exact(Metadata!G545,"host-associated"))</f>
        <v>0</v>
      </c>
      <c r="AI545">
        <f>OR(AND(IF(Metadata!H545="",FALSE,TRUE),OR(exact(Metadata!H545,"not collected"),exact(Metadata!H545,"not provided"))),AND(IF(Metadata!H545="",FALSE,ISNUMBER(VALUE(Metadata!H545))),Metadata!H545&gt;0))</f>
        <v>0</v>
      </c>
      <c r="AJ545">
        <f>AND(IF(Metadata!I545="",FALSE,TRUE),exact(Metadata!I545,"years"))</f>
        <v>0</v>
      </c>
      <c r="AK545">
        <f>IF(Metadata!J545="",FALSE,TRUE)</f>
        <v>0</v>
      </c>
      <c r="AL545">
        <f>OR(AND(IF(Metadata!K545="",FALSE,TRUE),OR(exact(Metadata!K545,"not collected"),exact(Metadata!K545,"not provided"))),AND(IF(Metadata!K545="",FALSE,ISNUMBER(VALUE(Metadata!K545))),Metadata!K545&gt;0))</f>
        <v>0</v>
      </c>
      <c r="AM545">
        <f>AND(IF(Metadata!L545="",FALSE,TRUE),exact(Metadata!L545,"cm"))</f>
        <v>0</v>
      </c>
      <c r="AN545">
        <f>IF(Metadata!M545="",FALSE,TRUE)</f>
        <v>0</v>
      </c>
      <c r="AO545">
        <f>OR(AND(IF(Metadata!N545="",FALSE,TRUE),OR(exact(Metadata!N545,"not applicable"),exact(Metadata!N545,"not collected"),exact(Metadata!N545,"not provided"))),AND(IF(Metadata!N545="",FALSE,IF(ISERROR(INT(Metadata!N545)),FALSE,INT(Metadata!N545)=Metadata!N545)),Metadata!N545&gt;0))</f>
        <v>0</v>
      </c>
      <c r="AP545">
        <f>OR(AND(IF(Metadata!O545="",FALSE,TRUE),OR(exact(Metadata!O545,"not collected"),exact(Metadata!O545,"not provided"))),AND(IF(Metadata!O545="",FALSE,ISNUMBER(VALUE(Metadata!O545))),Metadata!O545&gt;0))</f>
        <v>0</v>
      </c>
      <c r="AQ545">
        <f>AND(IF(Metadata!P545="",FALSE,TRUE),exact(Metadata!P545,"kg"))</f>
        <v>0</v>
      </c>
      <c r="AR545">
        <f>OR(AND(IF(Metadata!Q545="",FALSE,TRUE),OR(exact(Metadata!Q545,"not applicable"),exact(Metadata!Q545,"not collected"),exact(Metadata!Q545,"not provided"),exact(Metadata!Q545,"restricted access"))),IF(Metadata!Q545="",FALSE,IF(ISERROR(INT(Metadata!Q545)),FALSE,INT(Metadata!Q545)=Metadata!Q545)))</f>
        <v>0</v>
      </c>
      <c r="AS545">
        <f>AND(IF(Metadata!R545="",FALSE,TRUE),exact(Metadata!R545,"Not applicable"))</f>
        <v>0</v>
      </c>
    </row>
    <row r="546" spans="1:45">
      <c r="A546" s="4">
        <f>IF(B546=" "," ",HYPERLINK(CONCATENATE("#metadata!",ADDRESS(INDEX($X$2:$X$1001,MATCH(ROWS($V$2:V546),$V$2:$V$1001,0),0),2)),INDEX($AA$2:$AA$1001,MATCH(ROWS($V$2:V546),$V$2:$V$1001,0),0)))</f>
        <v>0</v>
      </c>
      <c r="B546" s="5">
        <f>IF(OR(INDEX($W$2:$W$1001,MATCH(ROWS($V$2:V546),$V$2:$V$1001,0),1)&gt;=100000,INDEX($AC$1005:$AS$1005,1,MATCH(COLUMNS($AC$1006:AC1006),$AC$1006:$AS$1006,0))&gt;=100000), " ",IF(INDEX($AC$2:$AS$1001,MATCH(ROWS($V$2:V546),$V$2:$V$1001,0),MATCH(COLUMNS($AC$1006:AC1006),$AC$1006:$AS$1006,0)), HYPERLINK("#",""), HYPERLINK(CONCATENATE("#Metadata!", ADDRESS(INDEX($X$2:$X$1001,MATCH(ROWS($V$2:V546),$V$2:$V$1001,0),0), INDEX($AC$1004:$AS$1004,1,MATCH(COLUMNS($AC$1006:AC1006),$AC$1006:$AS$1006,0)))),"Fix")))</f>
        <v>0</v>
      </c>
      <c r="C546" s="5">
        <f>IF(OR(INDEX($W$2:$W$1001,MATCH(ROWS($V$2:V546),$V$2:$V$1001,0),1)&gt;=100000,INDEX($AC$1005:$AS$1005,1,MATCH(COLUMNS($AC$1006:AD1006),$AC$1006:$AS$1006,0))&gt;=100000), " ",IF(INDEX($AC$2:$AS$1001,MATCH(ROWS($V$2:V546),$V$2:$V$1001,0),MATCH(COLUMNS($AC$1006:AD1006),$AC$1006:$AS$1006,0)), HYPERLINK("#",""), HYPERLINK(CONCATENATE("#Metadata!", ADDRESS(INDEX($X$2:$X$1001,MATCH(ROWS($V$2:V546),$V$2:$V$1001,0),0), INDEX($AC$1004:$AS$1004,1,MATCH(COLUMNS($AC$1006:AD1006),$AC$1006:$AS$1006,0)))),"Fix")))</f>
        <v>0</v>
      </c>
      <c r="D546" s="5">
        <f>IF(OR(INDEX($W$2:$W$1001,MATCH(ROWS($V$2:V546),$V$2:$V$1001,0),1)&gt;=100000,INDEX($AC$1005:$AS$1005,1,MATCH(COLUMNS($AC$1006:AE1006),$AC$1006:$AS$1006,0))&gt;=100000), " ",IF(INDEX($AC$2:$AS$1001,MATCH(ROWS($V$2:V546),$V$2:$V$1001,0),MATCH(COLUMNS($AC$1006:AE1006),$AC$1006:$AS$1006,0)), HYPERLINK("#",""), HYPERLINK(CONCATENATE("#Metadata!", ADDRESS(INDEX($X$2:$X$1001,MATCH(ROWS($V$2:V546),$V$2:$V$1001,0),0), INDEX($AC$1004:$AS$1004,1,MATCH(COLUMNS($AC$1006:AE1006),$AC$1006:$AS$1006,0)))),"Fix")))</f>
        <v>0</v>
      </c>
      <c r="E546" s="5">
        <f>IF(OR(INDEX($W$2:$W$1001,MATCH(ROWS($V$2:V546),$V$2:$V$1001,0),1)&gt;=100000,INDEX($AC$1005:$AS$1005,1,MATCH(COLUMNS($AC$1006:AF1006),$AC$1006:$AS$1006,0))&gt;=100000), " ",IF(INDEX($AC$2:$AS$1001,MATCH(ROWS($V$2:V546),$V$2:$V$1001,0),MATCH(COLUMNS($AC$1006:AF1006),$AC$1006:$AS$1006,0)), HYPERLINK("#",""), HYPERLINK(CONCATENATE("#Metadata!", ADDRESS(INDEX($X$2:$X$1001,MATCH(ROWS($V$2:V546),$V$2:$V$1001,0),0), INDEX($AC$1004:$AS$1004,1,MATCH(COLUMNS($AC$1006:AF1006),$AC$1006:$AS$1006,0)))),"Fix")))</f>
        <v>0</v>
      </c>
      <c r="F546" s="5">
        <f>IF(OR(INDEX($W$2:$W$1001,MATCH(ROWS($V$2:V546),$V$2:$V$1001,0),1)&gt;=100000,INDEX($AC$1005:$AS$1005,1,MATCH(COLUMNS($AC$1006:AG1006),$AC$1006:$AS$1006,0))&gt;=100000), " ",IF(INDEX($AC$2:$AS$1001,MATCH(ROWS($V$2:V546),$V$2:$V$1001,0),MATCH(COLUMNS($AC$1006:AG1006),$AC$1006:$AS$1006,0)), HYPERLINK("#",""), HYPERLINK(CONCATENATE("#Metadata!", ADDRESS(INDEX($X$2:$X$1001,MATCH(ROWS($V$2:V546),$V$2:$V$1001,0),0), INDEX($AC$1004:$AS$1004,1,MATCH(COLUMNS($AC$1006:AG1006),$AC$1006:$AS$1006,0)))),"Fix")))</f>
        <v>0</v>
      </c>
      <c r="G546" s="5">
        <f>IF(OR(INDEX($W$2:$W$1001,MATCH(ROWS($V$2:V546),$V$2:$V$1001,0),1)&gt;=100000,INDEX($AC$1005:$AS$1005,1,MATCH(COLUMNS($AC$1006:AH1006),$AC$1006:$AS$1006,0))&gt;=100000), " ",IF(INDEX($AC$2:$AS$1001,MATCH(ROWS($V$2:V546),$V$2:$V$1001,0),MATCH(COLUMNS($AC$1006:AH1006),$AC$1006:$AS$1006,0)), HYPERLINK("#",""), HYPERLINK(CONCATENATE("#Metadata!", ADDRESS(INDEX($X$2:$X$1001,MATCH(ROWS($V$2:V546),$V$2:$V$1001,0),0), INDEX($AC$1004:$AS$1004,1,MATCH(COLUMNS($AC$1006:AH1006),$AC$1006:$AS$1006,0)))),"Fix")))</f>
        <v>0</v>
      </c>
      <c r="H546" s="5">
        <f>IF(OR(INDEX($W$2:$W$1001,MATCH(ROWS($V$2:V546),$V$2:$V$1001,0),1)&gt;=100000,INDEX($AC$1005:$AS$1005,1,MATCH(COLUMNS($AC$1006:AI1006),$AC$1006:$AS$1006,0))&gt;=100000), " ",IF(INDEX($AC$2:$AS$1001,MATCH(ROWS($V$2:V546),$V$2:$V$1001,0),MATCH(COLUMNS($AC$1006:AI1006),$AC$1006:$AS$1006,0)), HYPERLINK("#",""), HYPERLINK(CONCATENATE("#Metadata!", ADDRESS(INDEX($X$2:$X$1001,MATCH(ROWS($V$2:V546),$V$2:$V$1001,0),0), INDEX($AC$1004:$AS$1004,1,MATCH(COLUMNS($AC$1006:AI1006),$AC$1006:$AS$1006,0)))),"Fix")))</f>
        <v>0</v>
      </c>
      <c r="I546" s="5">
        <f>IF(OR(INDEX($W$2:$W$1001,MATCH(ROWS($V$2:V546),$V$2:$V$1001,0),1)&gt;=100000,INDEX($AC$1005:$AS$1005,1,MATCH(COLUMNS($AC$1006:AJ1006),$AC$1006:$AS$1006,0))&gt;=100000), " ",IF(INDEX($AC$2:$AS$1001,MATCH(ROWS($V$2:V546),$V$2:$V$1001,0),MATCH(COLUMNS($AC$1006:AJ1006),$AC$1006:$AS$1006,0)), HYPERLINK("#",""), HYPERLINK(CONCATENATE("#Metadata!", ADDRESS(INDEX($X$2:$X$1001,MATCH(ROWS($V$2:V546),$V$2:$V$1001,0),0), INDEX($AC$1004:$AS$1004,1,MATCH(COLUMNS($AC$1006:AJ1006),$AC$1006:$AS$1006,0)))),"Fix")))</f>
        <v>0</v>
      </c>
      <c r="J546" s="5">
        <f>IF(OR(INDEX($W$2:$W$1001,MATCH(ROWS($V$2:V546),$V$2:$V$1001,0),1)&gt;=100000,INDEX($AC$1005:$AS$1005,1,MATCH(COLUMNS($AC$1006:AK1006),$AC$1006:$AS$1006,0))&gt;=100000), " ",IF(INDEX($AC$2:$AS$1001,MATCH(ROWS($V$2:V546),$V$2:$V$1001,0),MATCH(COLUMNS($AC$1006:AK1006),$AC$1006:$AS$1006,0)), HYPERLINK("#",""), HYPERLINK(CONCATENATE("#Metadata!", ADDRESS(INDEX($X$2:$X$1001,MATCH(ROWS($V$2:V546),$V$2:$V$1001,0),0), INDEX($AC$1004:$AS$1004,1,MATCH(COLUMNS($AC$1006:AK1006),$AC$1006:$AS$1006,0)))),"Fix")))</f>
        <v>0</v>
      </c>
      <c r="K546" s="5">
        <f>IF(OR(INDEX($W$2:$W$1001,MATCH(ROWS($V$2:V546),$V$2:$V$1001,0),1)&gt;=100000,INDEX($AC$1005:$AS$1005,1,MATCH(COLUMNS($AC$1006:AL1006),$AC$1006:$AS$1006,0))&gt;=100000), " ",IF(INDEX($AC$2:$AS$1001,MATCH(ROWS($V$2:V546),$V$2:$V$1001,0),MATCH(COLUMNS($AC$1006:AL1006),$AC$1006:$AS$1006,0)), HYPERLINK("#",""), HYPERLINK(CONCATENATE("#Metadata!", ADDRESS(INDEX($X$2:$X$1001,MATCH(ROWS($V$2:V546),$V$2:$V$1001,0),0), INDEX($AC$1004:$AS$1004,1,MATCH(COLUMNS($AC$1006:AL1006),$AC$1006:$AS$1006,0)))),"Fix")))</f>
        <v>0</v>
      </c>
      <c r="L546" s="5">
        <f>IF(OR(INDEX($W$2:$W$1001,MATCH(ROWS($V$2:V546),$V$2:$V$1001,0),1)&gt;=100000,INDEX($AC$1005:$AS$1005,1,MATCH(COLUMNS($AC$1006:AM1006),$AC$1006:$AS$1006,0))&gt;=100000), " ",IF(INDEX($AC$2:$AS$1001,MATCH(ROWS($V$2:V546),$V$2:$V$1001,0),MATCH(COLUMNS($AC$1006:AM1006),$AC$1006:$AS$1006,0)), HYPERLINK("#",""), HYPERLINK(CONCATENATE("#Metadata!", ADDRESS(INDEX($X$2:$X$1001,MATCH(ROWS($V$2:V546),$V$2:$V$1001,0),0), INDEX($AC$1004:$AS$1004,1,MATCH(COLUMNS($AC$1006:AM1006),$AC$1006:$AS$1006,0)))),"Fix")))</f>
        <v>0</v>
      </c>
      <c r="M546" s="5">
        <f>IF(OR(INDEX($W$2:$W$1001,MATCH(ROWS($V$2:V546),$V$2:$V$1001,0),1)&gt;=100000,INDEX($AC$1005:$AS$1005,1,MATCH(COLUMNS($AC$1006:AN1006),$AC$1006:$AS$1006,0))&gt;=100000), " ",IF(INDEX($AC$2:$AS$1001,MATCH(ROWS($V$2:V546),$V$2:$V$1001,0),MATCH(COLUMNS($AC$1006:AN1006),$AC$1006:$AS$1006,0)), HYPERLINK("#",""), HYPERLINK(CONCATENATE("#Metadata!", ADDRESS(INDEX($X$2:$X$1001,MATCH(ROWS($V$2:V546),$V$2:$V$1001,0),0), INDEX($AC$1004:$AS$1004,1,MATCH(COLUMNS($AC$1006:AN1006),$AC$1006:$AS$1006,0)))),"Fix")))</f>
        <v>0</v>
      </c>
      <c r="N546" s="5">
        <f>IF(OR(INDEX($W$2:$W$1001,MATCH(ROWS($V$2:V546),$V$2:$V$1001,0),1)&gt;=100000,INDEX($AC$1005:$AS$1005,1,MATCH(COLUMNS($AC$1006:AO1006),$AC$1006:$AS$1006,0))&gt;=100000), " ",IF(INDEX($AC$2:$AS$1001,MATCH(ROWS($V$2:V546),$V$2:$V$1001,0),MATCH(COLUMNS($AC$1006:AO1006),$AC$1006:$AS$1006,0)), HYPERLINK("#",""), HYPERLINK(CONCATENATE("#Metadata!", ADDRESS(INDEX($X$2:$X$1001,MATCH(ROWS($V$2:V546),$V$2:$V$1001,0),0), INDEX($AC$1004:$AS$1004,1,MATCH(COLUMNS($AC$1006:AO1006),$AC$1006:$AS$1006,0)))),"Fix")))</f>
        <v>0</v>
      </c>
      <c r="O546" s="5">
        <f>IF(OR(INDEX($W$2:$W$1001,MATCH(ROWS($V$2:V546),$V$2:$V$1001,0),1)&gt;=100000,INDEX($AC$1005:$AS$1005,1,MATCH(COLUMNS($AC$1006:AP1006),$AC$1006:$AS$1006,0))&gt;=100000), " ",IF(INDEX($AC$2:$AS$1001,MATCH(ROWS($V$2:V546),$V$2:$V$1001,0),MATCH(COLUMNS($AC$1006:AP1006),$AC$1006:$AS$1006,0)), HYPERLINK("#",""), HYPERLINK(CONCATENATE("#Metadata!", ADDRESS(INDEX($X$2:$X$1001,MATCH(ROWS($V$2:V546),$V$2:$V$1001,0),0), INDEX($AC$1004:$AS$1004,1,MATCH(COLUMNS($AC$1006:AP1006),$AC$1006:$AS$1006,0)))),"Fix")))</f>
        <v>0</v>
      </c>
      <c r="P546" s="5">
        <f>IF(OR(INDEX($W$2:$W$1001,MATCH(ROWS($V$2:V546),$V$2:$V$1001,0),1)&gt;=100000,INDEX($AC$1005:$AS$1005,1,MATCH(COLUMNS($AC$1006:AQ1006),$AC$1006:$AS$1006,0))&gt;=100000), " ",IF(INDEX($AC$2:$AS$1001,MATCH(ROWS($V$2:V546),$V$2:$V$1001,0),MATCH(COLUMNS($AC$1006:AQ1006),$AC$1006:$AS$1006,0)), HYPERLINK("#",""), HYPERLINK(CONCATENATE("#Metadata!", ADDRESS(INDEX($X$2:$X$1001,MATCH(ROWS($V$2:V546),$V$2:$V$1001,0),0), INDEX($AC$1004:$AS$1004,1,MATCH(COLUMNS($AC$1006:AQ1006),$AC$1006:$AS$1006,0)))),"Fix")))</f>
        <v>0</v>
      </c>
      <c r="Q546" s="5">
        <f>IF(OR(INDEX($W$2:$W$1001,MATCH(ROWS($V$2:V546),$V$2:$V$1001,0),1)&gt;=100000,INDEX($AC$1005:$AS$1005,1,MATCH(COLUMNS($AC$1006:AR1006),$AC$1006:$AS$1006,0))&gt;=100000), " ",IF(INDEX($AC$2:$AS$1001,MATCH(ROWS($V$2:V546),$V$2:$V$1001,0),MATCH(COLUMNS($AC$1006:AR1006),$AC$1006:$AS$1006,0)), HYPERLINK("#",""), HYPERLINK(CONCATENATE("#Metadata!", ADDRESS(INDEX($X$2:$X$1001,MATCH(ROWS($V$2:V546),$V$2:$V$1001,0),0), INDEX($AC$1004:$AS$1004,1,MATCH(COLUMNS($AC$1006:AR1006),$AC$1006:$AS$1006,0)))),"Fix")))</f>
        <v>0</v>
      </c>
      <c r="R546" s="5">
        <f>IF(OR(INDEX($W$2:$W$1001,MATCH(ROWS($V$2:V546),$V$2:$V$1001,0),1)&gt;=100000,INDEX($AC$1005:$AS$1005,1,MATCH(COLUMNS($AC$1006:AS1006),$AC$1006:$AS$1006,0))&gt;=100000), " ",IF(INDEX($AC$2:$AS$1001,MATCH(ROWS($V$2:V546),$V$2:$V$1001,0),MATCH(COLUMNS($AC$1006:AS1006),$AC$1006:$AS$1006,0)), HYPERLINK("#",""), HYPERLINK(CONCATENATE("#Metadata!", ADDRESS(INDEX($X$2:$X$1001,MATCH(ROWS($V$2:V546),$V$2:$V$1001,0),0), INDEX($AC$1004:$AS$1004,1,MATCH(COLUMNS($AC$1006:AS1006),$AC$1006:$AS$1006,0)))),"Fix")))</f>
        <v>0</v>
      </c>
      <c r="V546">
        <v>0</v>
      </c>
      <c r="W546">
        <v>0</v>
      </c>
      <c r="X546">
        <v>0</v>
      </c>
      <c r="Y546">
        <f>IF(Z546,TRUE,AND(AC546:AS546))</f>
        <v>0</v>
      </c>
      <c r="Z546">
        <f>COUNTBLANK(Metadata!B546:R546)=COLUMNS(Metadata!B546:R546)</f>
        <v>0</v>
      </c>
      <c r="AA546">
        <v>0</v>
      </c>
      <c r="AC546">
        <f>AND(IF(Metadata!B546="",FALSE,TRUE),COUNTIF(Metadata!B:B, Metadata!B546) = 1,NOT(ISERROR(SUMPRODUCT(SEARCH(MID(Metadata!B546,ROW(INDIRECT("1:"&amp;LEN(Metadata!B546))), 1),"0123456789abcdefghijklmnopqrstuvwxyzABCDEFGHIJKLMNOPQRSTUVWXYZ.")))))</f>
        <v>0</v>
      </c>
      <c r="AD546">
        <f>AND(IF(Metadata!C546="",FALSE,TRUE),exact(Metadata!C546,"Host-associated"))</f>
        <v>0</v>
      </c>
      <c r="AE546">
        <f>AND(IF(Metadata!D546="",FALSE,TRUE),OR(exact(Metadata!D546,"Animal"),exact(Metadata!D546,"Fungus"),exact(Metadata!D546,"Plant")))</f>
        <v>0</v>
      </c>
      <c r="AF546">
        <f>AND(IF(Metadata!E546="",FALSE,TRUE),OR(exact(Metadata!E546,"Plant secretion"),exact(Metadata!E546,"Plant rhizosphere"),exact(Metadata!E546,"Plant surface"),exact(Metadata!E546,"Plant corpus"),exact(Metadata!E546,"Fungus surface"),exact(Metadata!E546,"Fungus corpus"),exact(Metadata!E546,"Animal surface"),exact(Metadata!E546,"Animal proximal gut"),exact(Metadata!E546,"Animal corpus"),exact(Metadata!E546,"Animal distal gut"),exact(Metadata!E546,"Animal secretion")))</f>
        <v>0</v>
      </c>
      <c r="AG546">
        <f>OR(AND(IF(Metadata!F546="",FALSE,TRUE),OR(exact(Metadata!F546,"not collected"),exact(Metadata!F546,"not provided"),exact(Metadata!F546,"restricted access"))),AND(IF(Metadata!F546="",FALSE,TRUE),OR(exact(Metadata!F546,"organism-associated habitat"),exact(Metadata!F546,"plant-associated habitat"),exact(Metadata!F546,"animal-associated habitat"),exact(Metadata!F546,"insecta-associated habitat"),exact(Metadata!F546,"mammalia-associated habitat"),exact(Metadata!F546,"human-associated habitat"),exact(Metadata!F546,"livestock-associated habitat"))))</f>
        <v>0</v>
      </c>
      <c r="AH546">
        <f>AND(IF(Metadata!G546="",FALSE,TRUE),exact(Metadata!G546,"host-associated"))</f>
        <v>0</v>
      </c>
      <c r="AI546">
        <f>OR(AND(IF(Metadata!H546="",FALSE,TRUE),OR(exact(Metadata!H546,"not collected"),exact(Metadata!H546,"not provided"))),AND(IF(Metadata!H546="",FALSE,ISNUMBER(VALUE(Metadata!H546))),Metadata!H546&gt;0))</f>
        <v>0</v>
      </c>
      <c r="AJ546">
        <f>AND(IF(Metadata!I546="",FALSE,TRUE),exact(Metadata!I546,"years"))</f>
        <v>0</v>
      </c>
      <c r="AK546">
        <f>IF(Metadata!J546="",FALSE,TRUE)</f>
        <v>0</v>
      </c>
      <c r="AL546">
        <f>OR(AND(IF(Metadata!K546="",FALSE,TRUE),OR(exact(Metadata!K546,"not collected"),exact(Metadata!K546,"not provided"))),AND(IF(Metadata!K546="",FALSE,ISNUMBER(VALUE(Metadata!K546))),Metadata!K546&gt;0))</f>
        <v>0</v>
      </c>
      <c r="AM546">
        <f>AND(IF(Metadata!L546="",FALSE,TRUE),exact(Metadata!L546,"cm"))</f>
        <v>0</v>
      </c>
      <c r="AN546">
        <f>IF(Metadata!M546="",FALSE,TRUE)</f>
        <v>0</v>
      </c>
      <c r="AO546">
        <f>OR(AND(IF(Metadata!N546="",FALSE,TRUE),OR(exact(Metadata!N546,"not applicable"),exact(Metadata!N546,"not collected"),exact(Metadata!N546,"not provided"))),AND(IF(Metadata!N546="",FALSE,IF(ISERROR(INT(Metadata!N546)),FALSE,INT(Metadata!N546)=Metadata!N546)),Metadata!N546&gt;0))</f>
        <v>0</v>
      </c>
      <c r="AP546">
        <f>OR(AND(IF(Metadata!O546="",FALSE,TRUE),OR(exact(Metadata!O546,"not collected"),exact(Metadata!O546,"not provided"))),AND(IF(Metadata!O546="",FALSE,ISNUMBER(VALUE(Metadata!O546))),Metadata!O546&gt;0))</f>
        <v>0</v>
      </c>
      <c r="AQ546">
        <f>AND(IF(Metadata!P546="",FALSE,TRUE),exact(Metadata!P546,"kg"))</f>
        <v>0</v>
      </c>
      <c r="AR546">
        <f>OR(AND(IF(Metadata!Q546="",FALSE,TRUE),OR(exact(Metadata!Q546,"not applicable"),exact(Metadata!Q546,"not collected"),exact(Metadata!Q546,"not provided"),exact(Metadata!Q546,"restricted access"))),IF(Metadata!Q546="",FALSE,IF(ISERROR(INT(Metadata!Q546)),FALSE,INT(Metadata!Q546)=Metadata!Q546)))</f>
        <v>0</v>
      </c>
      <c r="AS546">
        <f>AND(IF(Metadata!R546="",FALSE,TRUE),exact(Metadata!R546,"Not applicable"))</f>
        <v>0</v>
      </c>
    </row>
    <row r="547" spans="1:45">
      <c r="A547" s="4">
        <f>IF(B547=" "," ",HYPERLINK(CONCATENATE("#metadata!",ADDRESS(INDEX($X$2:$X$1001,MATCH(ROWS($V$2:V547),$V$2:$V$1001,0),0),2)),INDEX($AA$2:$AA$1001,MATCH(ROWS($V$2:V547),$V$2:$V$1001,0),0)))</f>
        <v>0</v>
      </c>
      <c r="B547" s="5">
        <f>IF(OR(INDEX($W$2:$W$1001,MATCH(ROWS($V$2:V547),$V$2:$V$1001,0),1)&gt;=100000,INDEX($AC$1005:$AS$1005,1,MATCH(COLUMNS($AC$1006:AC1006),$AC$1006:$AS$1006,0))&gt;=100000), " ",IF(INDEX($AC$2:$AS$1001,MATCH(ROWS($V$2:V547),$V$2:$V$1001,0),MATCH(COLUMNS($AC$1006:AC1006),$AC$1006:$AS$1006,0)), HYPERLINK("#",""), HYPERLINK(CONCATENATE("#Metadata!", ADDRESS(INDEX($X$2:$X$1001,MATCH(ROWS($V$2:V547),$V$2:$V$1001,0),0), INDEX($AC$1004:$AS$1004,1,MATCH(COLUMNS($AC$1006:AC1006),$AC$1006:$AS$1006,0)))),"Fix")))</f>
        <v>0</v>
      </c>
      <c r="C547" s="5">
        <f>IF(OR(INDEX($W$2:$W$1001,MATCH(ROWS($V$2:V547),$V$2:$V$1001,0),1)&gt;=100000,INDEX($AC$1005:$AS$1005,1,MATCH(COLUMNS($AC$1006:AD1006),$AC$1006:$AS$1006,0))&gt;=100000), " ",IF(INDEX($AC$2:$AS$1001,MATCH(ROWS($V$2:V547),$V$2:$V$1001,0),MATCH(COLUMNS($AC$1006:AD1006),$AC$1006:$AS$1006,0)), HYPERLINK("#",""), HYPERLINK(CONCATENATE("#Metadata!", ADDRESS(INDEX($X$2:$X$1001,MATCH(ROWS($V$2:V547),$V$2:$V$1001,0),0), INDEX($AC$1004:$AS$1004,1,MATCH(COLUMNS($AC$1006:AD1006),$AC$1006:$AS$1006,0)))),"Fix")))</f>
        <v>0</v>
      </c>
      <c r="D547" s="5">
        <f>IF(OR(INDEX($W$2:$W$1001,MATCH(ROWS($V$2:V547),$V$2:$V$1001,0),1)&gt;=100000,INDEX($AC$1005:$AS$1005,1,MATCH(COLUMNS($AC$1006:AE1006),$AC$1006:$AS$1006,0))&gt;=100000), " ",IF(INDEX($AC$2:$AS$1001,MATCH(ROWS($V$2:V547),$V$2:$V$1001,0),MATCH(COLUMNS($AC$1006:AE1006),$AC$1006:$AS$1006,0)), HYPERLINK("#",""), HYPERLINK(CONCATENATE("#Metadata!", ADDRESS(INDEX($X$2:$X$1001,MATCH(ROWS($V$2:V547),$V$2:$V$1001,0),0), INDEX($AC$1004:$AS$1004,1,MATCH(COLUMNS($AC$1006:AE1006),$AC$1006:$AS$1006,0)))),"Fix")))</f>
        <v>0</v>
      </c>
      <c r="E547" s="5">
        <f>IF(OR(INDEX($W$2:$W$1001,MATCH(ROWS($V$2:V547),$V$2:$V$1001,0),1)&gt;=100000,INDEX($AC$1005:$AS$1005,1,MATCH(COLUMNS($AC$1006:AF1006),$AC$1006:$AS$1006,0))&gt;=100000), " ",IF(INDEX($AC$2:$AS$1001,MATCH(ROWS($V$2:V547),$V$2:$V$1001,0),MATCH(COLUMNS($AC$1006:AF1006),$AC$1006:$AS$1006,0)), HYPERLINK("#",""), HYPERLINK(CONCATENATE("#Metadata!", ADDRESS(INDEX($X$2:$X$1001,MATCH(ROWS($V$2:V547),$V$2:$V$1001,0),0), INDEX($AC$1004:$AS$1004,1,MATCH(COLUMNS($AC$1006:AF1006),$AC$1006:$AS$1006,0)))),"Fix")))</f>
        <v>0</v>
      </c>
      <c r="F547" s="5">
        <f>IF(OR(INDEX($W$2:$W$1001,MATCH(ROWS($V$2:V547),$V$2:$V$1001,0),1)&gt;=100000,INDEX($AC$1005:$AS$1005,1,MATCH(COLUMNS($AC$1006:AG1006),$AC$1006:$AS$1006,0))&gt;=100000), " ",IF(INDEX($AC$2:$AS$1001,MATCH(ROWS($V$2:V547),$V$2:$V$1001,0),MATCH(COLUMNS($AC$1006:AG1006),$AC$1006:$AS$1006,0)), HYPERLINK("#",""), HYPERLINK(CONCATENATE("#Metadata!", ADDRESS(INDEX($X$2:$X$1001,MATCH(ROWS($V$2:V547),$V$2:$V$1001,0),0), INDEX($AC$1004:$AS$1004,1,MATCH(COLUMNS($AC$1006:AG1006),$AC$1006:$AS$1006,0)))),"Fix")))</f>
        <v>0</v>
      </c>
      <c r="G547" s="5">
        <f>IF(OR(INDEX($W$2:$W$1001,MATCH(ROWS($V$2:V547),$V$2:$V$1001,0),1)&gt;=100000,INDEX($AC$1005:$AS$1005,1,MATCH(COLUMNS($AC$1006:AH1006),$AC$1006:$AS$1006,0))&gt;=100000), " ",IF(INDEX($AC$2:$AS$1001,MATCH(ROWS($V$2:V547),$V$2:$V$1001,0),MATCH(COLUMNS($AC$1006:AH1006),$AC$1006:$AS$1006,0)), HYPERLINK("#",""), HYPERLINK(CONCATENATE("#Metadata!", ADDRESS(INDEX($X$2:$X$1001,MATCH(ROWS($V$2:V547),$V$2:$V$1001,0),0), INDEX($AC$1004:$AS$1004,1,MATCH(COLUMNS($AC$1006:AH1006),$AC$1006:$AS$1006,0)))),"Fix")))</f>
        <v>0</v>
      </c>
      <c r="H547" s="5">
        <f>IF(OR(INDEX($W$2:$W$1001,MATCH(ROWS($V$2:V547),$V$2:$V$1001,0),1)&gt;=100000,INDEX($AC$1005:$AS$1005,1,MATCH(COLUMNS($AC$1006:AI1006),$AC$1006:$AS$1006,0))&gt;=100000), " ",IF(INDEX($AC$2:$AS$1001,MATCH(ROWS($V$2:V547),$V$2:$V$1001,0),MATCH(COLUMNS($AC$1006:AI1006),$AC$1006:$AS$1006,0)), HYPERLINK("#",""), HYPERLINK(CONCATENATE("#Metadata!", ADDRESS(INDEX($X$2:$X$1001,MATCH(ROWS($V$2:V547),$V$2:$V$1001,0),0), INDEX($AC$1004:$AS$1004,1,MATCH(COLUMNS($AC$1006:AI1006),$AC$1006:$AS$1006,0)))),"Fix")))</f>
        <v>0</v>
      </c>
      <c r="I547" s="5">
        <f>IF(OR(INDEX($W$2:$W$1001,MATCH(ROWS($V$2:V547),$V$2:$V$1001,0),1)&gt;=100000,INDEX($AC$1005:$AS$1005,1,MATCH(COLUMNS($AC$1006:AJ1006),$AC$1006:$AS$1006,0))&gt;=100000), " ",IF(INDEX($AC$2:$AS$1001,MATCH(ROWS($V$2:V547),$V$2:$V$1001,0),MATCH(COLUMNS($AC$1006:AJ1006),$AC$1006:$AS$1006,0)), HYPERLINK("#",""), HYPERLINK(CONCATENATE("#Metadata!", ADDRESS(INDEX($X$2:$X$1001,MATCH(ROWS($V$2:V547),$V$2:$V$1001,0),0), INDEX($AC$1004:$AS$1004,1,MATCH(COLUMNS($AC$1006:AJ1006),$AC$1006:$AS$1006,0)))),"Fix")))</f>
        <v>0</v>
      </c>
      <c r="J547" s="5">
        <f>IF(OR(INDEX($W$2:$W$1001,MATCH(ROWS($V$2:V547),$V$2:$V$1001,0),1)&gt;=100000,INDEX($AC$1005:$AS$1005,1,MATCH(COLUMNS($AC$1006:AK1006),$AC$1006:$AS$1006,0))&gt;=100000), " ",IF(INDEX($AC$2:$AS$1001,MATCH(ROWS($V$2:V547),$V$2:$V$1001,0),MATCH(COLUMNS($AC$1006:AK1006),$AC$1006:$AS$1006,0)), HYPERLINK("#",""), HYPERLINK(CONCATENATE("#Metadata!", ADDRESS(INDEX($X$2:$X$1001,MATCH(ROWS($V$2:V547),$V$2:$V$1001,0),0), INDEX($AC$1004:$AS$1004,1,MATCH(COLUMNS($AC$1006:AK1006),$AC$1006:$AS$1006,0)))),"Fix")))</f>
        <v>0</v>
      </c>
      <c r="K547" s="5">
        <f>IF(OR(INDEX($W$2:$W$1001,MATCH(ROWS($V$2:V547),$V$2:$V$1001,0),1)&gt;=100000,INDEX($AC$1005:$AS$1005,1,MATCH(COLUMNS($AC$1006:AL1006),$AC$1006:$AS$1006,0))&gt;=100000), " ",IF(INDEX($AC$2:$AS$1001,MATCH(ROWS($V$2:V547),$V$2:$V$1001,0),MATCH(COLUMNS($AC$1006:AL1006),$AC$1006:$AS$1006,0)), HYPERLINK("#",""), HYPERLINK(CONCATENATE("#Metadata!", ADDRESS(INDEX($X$2:$X$1001,MATCH(ROWS($V$2:V547),$V$2:$V$1001,0),0), INDEX($AC$1004:$AS$1004,1,MATCH(COLUMNS($AC$1006:AL1006),$AC$1006:$AS$1006,0)))),"Fix")))</f>
        <v>0</v>
      </c>
      <c r="L547" s="5">
        <f>IF(OR(INDEX($W$2:$W$1001,MATCH(ROWS($V$2:V547),$V$2:$V$1001,0),1)&gt;=100000,INDEX($AC$1005:$AS$1005,1,MATCH(COLUMNS($AC$1006:AM1006),$AC$1006:$AS$1006,0))&gt;=100000), " ",IF(INDEX($AC$2:$AS$1001,MATCH(ROWS($V$2:V547),$V$2:$V$1001,0),MATCH(COLUMNS($AC$1006:AM1006),$AC$1006:$AS$1006,0)), HYPERLINK("#",""), HYPERLINK(CONCATENATE("#Metadata!", ADDRESS(INDEX($X$2:$X$1001,MATCH(ROWS($V$2:V547),$V$2:$V$1001,0),0), INDEX($AC$1004:$AS$1004,1,MATCH(COLUMNS($AC$1006:AM1006),$AC$1006:$AS$1006,0)))),"Fix")))</f>
        <v>0</v>
      </c>
      <c r="M547" s="5">
        <f>IF(OR(INDEX($W$2:$W$1001,MATCH(ROWS($V$2:V547),$V$2:$V$1001,0),1)&gt;=100000,INDEX($AC$1005:$AS$1005,1,MATCH(COLUMNS($AC$1006:AN1006),$AC$1006:$AS$1006,0))&gt;=100000), " ",IF(INDEX($AC$2:$AS$1001,MATCH(ROWS($V$2:V547),$V$2:$V$1001,0),MATCH(COLUMNS($AC$1006:AN1006),$AC$1006:$AS$1006,0)), HYPERLINK("#",""), HYPERLINK(CONCATENATE("#Metadata!", ADDRESS(INDEX($X$2:$X$1001,MATCH(ROWS($V$2:V547),$V$2:$V$1001,0),0), INDEX($AC$1004:$AS$1004,1,MATCH(COLUMNS($AC$1006:AN1006),$AC$1006:$AS$1006,0)))),"Fix")))</f>
        <v>0</v>
      </c>
      <c r="N547" s="5">
        <f>IF(OR(INDEX($W$2:$W$1001,MATCH(ROWS($V$2:V547),$V$2:$V$1001,0),1)&gt;=100000,INDEX($AC$1005:$AS$1005,1,MATCH(COLUMNS($AC$1006:AO1006),$AC$1006:$AS$1006,0))&gt;=100000), " ",IF(INDEX($AC$2:$AS$1001,MATCH(ROWS($V$2:V547),$V$2:$V$1001,0),MATCH(COLUMNS($AC$1006:AO1006),$AC$1006:$AS$1006,0)), HYPERLINK("#",""), HYPERLINK(CONCATENATE("#Metadata!", ADDRESS(INDEX($X$2:$X$1001,MATCH(ROWS($V$2:V547),$V$2:$V$1001,0),0), INDEX($AC$1004:$AS$1004,1,MATCH(COLUMNS($AC$1006:AO1006),$AC$1006:$AS$1006,0)))),"Fix")))</f>
        <v>0</v>
      </c>
      <c r="O547" s="5">
        <f>IF(OR(INDEX($W$2:$W$1001,MATCH(ROWS($V$2:V547),$V$2:$V$1001,0),1)&gt;=100000,INDEX($AC$1005:$AS$1005,1,MATCH(COLUMNS($AC$1006:AP1006),$AC$1006:$AS$1006,0))&gt;=100000), " ",IF(INDEX($AC$2:$AS$1001,MATCH(ROWS($V$2:V547),$V$2:$V$1001,0),MATCH(COLUMNS($AC$1006:AP1006),$AC$1006:$AS$1006,0)), HYPERLINK("#",""), HYPERLINK(CONCATENATE("#Metadata!", ADDRESS(INDEX($X$2:$X$1001,MATCH(ROWS($V$2:V547),$V$2:$V$1001,0),0), INDEX($AC$1004:$AS$1004,1,MATCH(COLUMNS($AC$1006:AP1006),$AC$1006:$AS$1006,0)))),"Fix")))</f>
        <v>0</v>
      </c>
      <c r="P547" s="5">
        <f>IF(OR(INDEX($W$2:$W$1001,MATCH(ROWS($V$2:V547),$V$2:$V$1001,0),1)&gt;=100000,INDEX($AC$1005:$AS$1005,1,MATCH(COLUMNS($AC$1006:AQ1006),$AC$1006:$AS$1006,0))&gt;=100000), " ",IF(INDEX($AC$2:$AS$1001,MATCH(ROWS($V$2:V547),$V$2:$V$1001,0),MATCH(COLUMNS($AC$1006:AQ1006),$AC$1006:$AS$1006,0)), HYPERLINK("#",""), HYPERLINK(CONCATENATE("#Metadata!", ADDRESS(INDEX($X$2:$X$1001,MATCH(ROWS($V$2:V547),$V$2:$V$1001,0),0), INDEX($AC$1004:$AS$1004,1,MATCH(COLUMNS($AC$1006:AQ1006),$AC$1006:$AS$1006,0)))),"Fix")))</f>
        <v>0</v>
      </c>
      <c r="Q547" s="5">
        <f>IF(OR(INDEX($W$2:$W$1001,MATCH(ROWS($V$2:V547),$V$2:$V$1001,0),1)&gt;=100000,INDEX($AC$1005:$AS$1005,1,MATCH(COLUMNS($AC$1006:AR1006),$AC$1006:$AS$1006,0))&gt;=100000), " ",IF(INDEX($AC$2:$AS$1001,MATCH(ROWS($V$2:V547),$V$2:$V$1001,0),MATCH(COLUMNS($AC$1006:AR1006),$AC$1006:$AS$1006,0)), HYPERLINK("#",""), HYPERLINK(CONCATENATE("#Metadata!", ADDRESS(INDEX($X$2:$X$1001,MATCH(ROWS($V$2:V547),$V$2:$V$1001,0),0), INDEX($AC$1004:$AS$1004,1,MATCH(COLUMNS($AC$1006:AR1006),$AC$1006:$AS$1006,0)))),"Fix")))</f>
        <v>0</v>
      </c>
      <c r="R547" s="5">
        <f>IF(OR(INDEX($W$2:$W$1001,MATCH(ROWS($V$2:V547),$V$2:$V$1001,0),1)&gt;=100000,INDEX($AC$1005:$AS$1005,1,MATCH(COLUMNS($AC$1006:AS1006),$AC$1006:$AS$1006,0))&gt;=100000), " ",IF(INDEX($AC$2:$AS$1001,MATCH(ROWS($V$2:V547),$V$2:$V$1001,0),MATCH(COLUMNS($AC$1006:AS1006),$AC$1006:$AS$1006,0)), HYPERLINK("#",""), HYPERLINK(CONCATENATE("#Metadata!", ADDRESS(INDEX($X$2:$X$1001,MATCH(ROWS($V$2:V547),$V$2:$V$1001,0),0), INDEX($AC$1004:$AS$1004,1,MATCH(COLUMNS($AC$1006:AS1006),$AC$1006:$AS$1006,0)))),"Fix")))</f>
        <v>0</v>
      </c>
      <c r="V547">
        <v>0</v>
      </c>
      <c r="W547">
        <v>0</v>
      </c>
      <c r="X547">
        <v>0</v>
      </c>
      <c r="Y547">
        <f>IF(Z547,TRUE,AND(AC547:AS547))</f>
        <v>0</v>
      </c>
      <c r="Z547">
        <f>COUNTBLANK(Metadata!B547:R547)=COLUMNS(Metadata!B547:R547)</f>
        <v>0</v>
      </c>
      <c r="AA547">
        <v>0</v>
      </c>
      <c r="AC547">
        <f>AND(IF(Metadata!B547="",FALSE,TRUE),COUNTIF(Metadata!B:B, Metadata!B547) = 1,NOT(ISERROR(SUMPRODUCT(SEARCH(MID(Metadata!B547,ROW(INDIRECT("1:"&amp;LEN(Metadata!B547))), 1),"0123456789abcdefghijklmnopqrstuvwxyzABCDEFGHIJKLMNOPQRSTUVWXYZ.")))))</f>
        <v>0</v>
      </c>
      <c r="AD547">
        <f>AND(IF(Metadata!C547="",FALSE,TRUE),exact(Metadata!C547,"Host-associated"))</f>
        <v>0</v>
      </c>
      <c r="AE547">
        <f>AND(IF(Metadata!D547="",FALSE,TRUE),OR(exact(Metadata!D547,"Animal"),exact(Metadata!D547,"Fungus"),exact(Metadata!D547,"Plant")))</f>
        <v>0</v>
      </c>
      <c r="AF547">
        <f>AND(IF(Metadata!E547="",FALSE,TRUE),OR(exact(Metadata!E547,"Plant secretion"),exact(Metadata!E547,"Plant rhizosphere"),exact(Metadata!E547,"Plant surface"),exact(Metadata!E547,"Plant corpus"),exact(Metadata!E547,"Fungus surface"),exact(Metadata!E547,"Fungus corpus"),exact(Metadata!E547,"Animal surface"),exact(Metadata!E547,"Animal proximal gut"),exact(Metadata!E547,"Animal corpus"),exact(Metadata!E547,"Animal distal gut"),exact(Metadata!E547,"Animal secretion")))</f>
        <v>0</v>
      </c>
      <c r="AG547">
        <f>OR(AND(IF(Metadata!F547="",FALSE,TRUE),OR(exact(Metadata!F547,"not collected"),exact(Metadata!F547,"not provided"),exact(Metadata!F547,"restricted access"))),AND(IF(Metadata!F547="",FALSE,TRUE),OR(exact(Metadata!F547,"organism-associated habitat"),exact(Metadata!F547,"plant-associated habitat"),exact(Metadata!F547,"animal-associated habitat"),exact(Metadata!F547,"insecta-associated habitat"),exact(Metadata!F547,"mammalia-associated habitat"),exact(Metadata!F547,"human-associated habitat"),exact(Metadata!F547,"livestock-associated habitat"))))</f>
        <v>0</v>
      </c>
      <c r="AH547">
        <f>AND(IF(Metadata!G547="",FALSE,TRUE),exact(Metadata!G547,"host-associated"))</f>
        <v>0</v>
      </c>
      <c r="AI547">
        <f>OR(AND(IF(Metadata!H547="",FALSE,TRUE),OR(exact(Metadata!H547,"not collected"),exact(Metadata!H547,"not provided"))),AND(IF(Metadata!H547="",FALSE,ISNUMBER(VALUE(Metadata!H547))),Metadata!H547&gt;0))</f>
        <v>0</v>
      </c>
      <c r="AJ547">
        <f>AND(IF(Metadata!I547="",FALSE,TRUE),exact(Metadata!I547,"years"))</f>
        <v>0</v>
      </c>
      <c r="AK547">
        <f>IF(Metadata!J547="",FALSE,TRUE)</f>
        <v>0</v>
      </c>
      <c r="AL547">
        <f>OR(AND(IF(Metadata!K547="",FALSE,TRUE),OR(exact(Metadata!K547,"not collected"),exact(Metadata!K547,"not provided"))),AND(IF(Metadata!K547="",FALSE,ISNUMBER(VALUE(Metadata!K547))),Metadata!K547&gt;0))</f>
        <v>0</v>
      </c>
      <c r="AM547">
        <f>AND(IF(Metadata!L547="",FALSE,TRUE),exact(Metadata!L547,"cm"))</f>
        <v>0</v>
      </c>
      <c r="AN547">
        <f>IF(Metadata!M547="",FALSE,TRUE)</f>
        <v>0</v>
      </c>
      <c r="AO547">
        <f>OR(AND(IF(Metadata!N547="",FALSE,TRUE),OR(exact(Metadata!N547,"not applicable"),exact(Metadata!N547,"not collected"),exact(Metadata!N547,"not provided"))),AND(IF(Metadata!N547="",FALSE,IF(ISERROR(INT(Metadata!N547)),FALSE,INT(Metadata!N547)=Metadata!N547)),Metadata!N547&gt;0))</f>
        <v>0</v>
      </c>
      <c r="AP547">
        <f>OR(AND(IF(Metadata!O547="",FALSE,TRUE),OR(exact(Metadata!O547,"not collected"),exact(Metadata!O547,"not provided"))),AND(IF(Metadata!O547="",FALSE,ISNUMBER(VALUE(Metadata!O547))),Metadata!O547&gt;0))</f>
        <v>0</v>
      </c>
      <c r="AQ547">
        <f>AND(IF(Metadata!P547="",FALSE,TRUE),exact(Metadata!P547,"kg"))</f>
        <v>0</v>
      </c>
      <c r="AR547">
        <f>OR(AND(IF(Metadata!Q547="",FALSE,TRUE),OR(exact(Metadata!Q547,"not applicable"),exact(Metadata!Q547,"not collected"),exact(Metadata!Q547,"not provided"),exact(Metadata!Q547,"restricted access"))),IF(Metadata!Q547="",FALSE,IF(ISERROR(INT(Metadata!Q547)),FALSE,INT(Metadata!Q547)=Metadata!Q547)))</f>
        <v>0</v>
      </c>
      <c r="AS547">
        <f>AND(IF(Metadata!R547="",FALSE,TRUE),exact(Metadata!R547,"Not applicable"))</f>
        <v>0</v>
      </c>
    </row>
    <row r="548" spans="1:45">
      <c r="A548" s="4">
        <f>IF(B548=" "," ",HYPERLINK(CONCATENATE("#metadata!",ADDRESS(INDEX($X$2:$X$1001,MATCH(ROWS($V$2:V548),$V$2:$V$1001,0),0),2)),INDEX($AA$2:$AA$1001,MATCH(ROWS($V$2:V548),$V$2:$V$1001,0),0)))</f>
        <v>0</v>
      </c>
      <c r="B548" s="5">
        <f>IF(OR(INDEX($W$2:$W$1001,MATCH(ROWS($V$2:V548),$V$2:$V$1001,0),1)&gt;=100000,INDEX($AC$1005:$AS$1005,1,MATCH(COLUMNS($AC$1006:AC1006),$AC$1006:$AS$1006,0))&gt;=100000), " ",IF(INDEX($AC$2:$AS$1001,MATCH(ROWS($V$2:V548),$V$2:$V$1001,0),MATCH(COLUMNS($AC$1006:AC1006),$AC$1006:$AS$1006,0)), HYPERLINK("#",""), HYPERLINK(CONCATENATE("#Metadata!", ADDRESS(INDEX($X$2:$X$1001,MATCH(ROWS($V$2:V548),$V$2:$V$1001,0),0), INDEX($AC$1004:$AS$1004,1,MATCH(COLUMNS($AC$1006:AC1006),$AC$1006:$AS$1006,0)))),"Fix")))</f>
        <v>0</v>
      </c>
      <c r="C548" s="5">
        <f>IF(OR(INDEX($W$2:$W$1001,MATCH(ROWS($V$2:V548),$V$2:$V$1001,0),1)&gt;=100000,INDEX($AC$1005:$AS$1005,1,MATCH(COLUMNS($AC$1006:AD1006),$AC$1006:$AS$1006,0))&gt;=100000), " ",IF(INDEX($AC$2:$AS$1001,MATCH(ROWS($V$2:V548),$V$2:$V$1001,0),MATCH(COLUMNS($AC$1006:AD1006),$AC$1006:$AS$1006,0)), HYPERLINK("#",""), HYPERLINK(CONCATENATE("#Metadata!", ADDRESS(INDEX($X$2:$X$1001,MATCH(ROWS($V$2:V548),$V$2:$V$1001,0),0), INDEX($AC$1004:$AS$1004,1,MATCH(COLUMNS($AC$1006:AD1006),$AC$1006:$AS$1006,0)))),"Fix")))</f>
        <v>0</v>
      </c>
      <c r="D548" s="5">
        <f>IF(OR(INDEX($W$2:$W$1001,MATCH(ROWS($V$2:V548),$V$2:$V$1001,0),1)&gt;=100000,INDEX($AC$1005:$AS$1005,1,MATCH(COLUMNS($AC$1006:AE1006),$AC$1006:$AS$1006,0))&gt;=100000), " ",IF(INDEX($AC$2:$AS$1001,MATCH(ROWS($V$2:V548),$V$2:$V$1001,0),MATCH(COLUMNS($AC$1006:AE1006),$AC$1006:$AS$1006,0)), HYPERLINK("#",""), HYPERLINK(CONCATENATE("#Metadata!", ADDRESS(INDEX($X$2:$X$1001,MATCH(ROWS($V$2:V548),$V$2:$V$1001,0),0), INDEX($AC$1004:$AS$1004,1,MATCH(COLUMNS($AC$1006:AE1006),$AC$1006:$AS$1006,0)))),"Fix")))</f>
        <v>0</v>
      </c>
      <c r="E548" s="5">
        <f>IF(OR(INDEX($W$2:$W$1001,MATCH(ROWS($V$2:V548),$V$2:$V$1001,0),1)&gt;=100000,INDEX($AC$1005:$AS$1005,1,MATCH(COLUMNS($AC$1006:AF1006),$AC$1006:$AS$1006,0))&gt;=100000), " ",IF(INDEX($AC$2:$AS$1001,MATCH(ROWS($V$2:V548),$V$2:$V$1001,0),MATCH(COLUMNS($AC$1006:AF1006),$AC$1006:$AS$1006,0)), HYPERLINK("#",""), HYPERLINK(CONCATENATE("#Metadata!", ADDRESS(INDEX($X$2:$X$1001,MATCH(ROWS($V$2:V548),$V$2:$V$1001,0),0), INDEX($AC$1004:$AS$1004,1,MATCH(COLUMNS($AC$1006:AF1006),$AC$1006:$AS$1006,0)))),"Fix")))</f>
        <v>0</v>
      </c>
      <c r="F548" s="5">
        <f>IF(OR(INDEX($W$2:$W$1001,MATCH(ROWS($V$2:V548),$V$2:$V$1001,0),1)&gt;=100000,INDEX($AC$1005:$AS$1005,1,MATCH(COLUMNS($AC$1006:AG1006),$AC$1006:$AS$1006,0))&gt;=100000), " ",IF(INDEX($AC$2:$AS$1001,MATCH(ROWS($V$2:V548),$V$2:$V$1001,0),MATCH(COLUMNS($AC$1006:AG1006),$AC$1006:$AS$1006,0)), HYPERLINK("#",""), HYPERLINK(CONCATENATE("#Metadata!", ADDRESS(INDEX($X$2:$X$1001,MATCH(ROWS($V$2:V548),$V$2:$V$1001,0),0), INDEX($AC$1004:$AS$1004,1,MATCH(COLUMNS($AC$1006:AG1006),$AC$1006:$AS$1006,0)))),"Fix")))</f>
        <v>0</v>
      </c>
      <c r="G548" s="5">
        <f>IF(OR(INDEX($W$2:$W$1001,MATCH(ROWS($V$2:V548),$V$2:$V$1001,0),1)&gt;=100000,INDEX($AC$1005:$AS$1005,1,MATCH(COLUMNS($AC$1006:AH1006),$AC$1006:$AS$1006,0))&gt;=100000), " ",IF(INDEX($AC$2:$AS$1001,MATCH(ROWS($V$2:V548),$V$2:$V$1001,0),MATCH(COLUMNS($AC$1006:AH1006),$AC$1006:$AS$1006,0)), HYPERLINK("#",""), HYPERLINK(CONCATENATE("#Metadata!", ADDRESS(INDEX($X$2:$X$1001,MATCH(ROWS($V$2:V548),$V$2:$V$1001,0),0), INDEX($AC$1004:$AS$1004,1,MATCH(COLUMNS($AC$1006:AH1006),$AC$1006:$AS$1006,0)))),"Fix")))</f>
        <v>0</v>
      </c>
      <c r="H548" s="5">
        <f>IF(OR(INDEX($W$2:$W$1001,MATCH(ROWS($V$2:V548),$V$2:$V$1001,0),1)&gt;=100000,INDEX($AC$1005:$AS$1005,1,MATCH(COLUMNS($AC$1006:AI1006),$AC$1006:$AS$1006,0))&gt;=100000), " ",IF(INDEX($AC$2:$AS$1001,MATCH(ROWS($V$2:V548),$V$2:$V$1001,0),MATCH(COLUMNS($AC$1006:AI1006),$AC$1006:$AS$1006,0)), HYPERLINK("#",""), HYPERLINK(CONCATENATE("#Metadata!", ADDRESS(INDEX($X$2:$X$1001,MATCH(ROWS($V$2:V548),$V$2:$V$1001,0),0), INDEX($AC$1004:$AS$1004,1,MATCH(COLUMNS($AC$1006:AI1006),$AC$1006:$AS$1006,0)))),"Fix")))</f>
        <v>0</v>
      </c>
      <c r="I548" s="5">
        <f>IF(OR(INDEX($W$2:$W$1001,MATCH(ROWS($V$2:V548),$V$2:$V$1001,0),1)&gt;=100000,INDEX($AC$1005:$AS$1005,1,MATCH(COLUMNS($AC$1006:AJ1006),$AC$1006:$AS$1006,0))&gt;=100000), " ",IF(INDEX($AC$2:$AS$1001,MATCH(ROWS($V$2:V548),$V$2:$V$1001,0),MATCH(COLUMNS($AC$1006:AJ1006),$AC$1006:$AS$1006,0)), HYPERLINK("#",""), HYPERLINK(CONCATENATE("#Metadata!", ADDRESS(INDEX($X$2:$X$1001,MATCH(ROWS($V$2:V548),$V$2:$V$1001,0),0), INDEX($AC$1004:$AS$1004,1,MATCH(COLUMNS($AC$1006:AJ1006),$AC$1006:$AS$1006,0)))),"Fix")))</f>
        <v>0</v>
      </c>
      <c r="J548" s="5">
        <f>IF(OR(INDEX($W$2:$W$1001,MATCH(ROWS($V$2:V548),$V$2:$V$1001,0),1)&gt;=100000,INDEX($AC$1005:$AS$1005,1,MATCH(COLUMNS($AC$1006:AK1006),$AC$1006:$AS$1006,0))&gt;=100000), " ",IF(INDEX($AC$2:$AS$1001,MATCH(ROWS($V$2:V548),$V$2:$V$1001,0),MATCH(COLUMNS($AC$1006:AK1006),$AC$1006:$AS$1006,0)), HYPERLINK("#",""), HYPERLINK(CONCATENATE("#Metadata!", ADDRESS(INDEX($X$2:$X$1001,MATCH(ROWS($V$2:V548),$V$2:$V$1001,0),0), INDEX($AC$1004:$AS$1004,1,MATCH(COLUMNS($AC$1006:AK1006),$AC$1006:$AS$1006,0)))),"Fix")))</f>
        <v>0</v>
      </c>
      <c r="K548" s="5">
        <f>IF(OR(INDEX($W$2:$W$1001,MATCH(ROWS($V$2:V548),$V$2:$V$1001,0),1)&gt;=100000,INDEX($AC$1005:$AS$1005,1,MATCH(COLUMNS($AC$1006:AL1006),$AC$1006:$AS$1006,0))&gt;=100000), " ",IF(INDEX($AC$2:$AS$1001,MATCH(ROWS($V$2:V548),$V$2:$V$1001,0),MATCH(COLUMNS($AC$1006:AL1006),$AC$1006:$AS$1006,0)), HYPERLINK("#",""), HYPERLINK(CONCATENATE("#Metadata!", ADDRESS(INDEX($X$2:$X$1001,MATCH(ROWS($V$2:V548),$V$2:$V$1001,0),0), INDEX($AC$1004:$AS$1004,1,MATCH(COLUMNS($AC$1006:AL1006),$AC$1006:$AS$1006,0)))),"Fix")))</f>
        <v>0</v>
      </c>
      <c r="L548" s="5">
        <f>IF(OR(INDEX($W$2:$W$1001,MATCH(ROWS($V$2:V548),$V$2:$V$1001,0),1)&gt;=100000,INDEX($AC$1005:$AS$1005,1,MATCH(COLUMNS($AC$1006:AM1006),$AC$1006:$AS$1006,0))&gt;=100000), " ",IF(INDEX($AC$2:$AS$1001,MATCH(ROWS($V$2:V548),$V$2:$V$1001,0),MATCH(COLUMNS($AC$1006:AM1006),$AC$1006:$AS$1006,0)), HYPERLINK("#",""), HYPERLINK(CONCATENATE("#Metadata!", ADDRESS(INDEX($X$2:$X$1001,MATCH(ROWS($V$2:V548),$V$2:$V$1001,0),0), INDEX($AC$1004:$AS$1004,1,MATCH(COLUMNS($AC$1006:AM1006),$AC$1006:$AS$1006,0)))),"Fix")))</f>
        <v>0</v>
      </c>
      <c r="M548" s="5">
        <f>IF(OR(INDEX($W$2:$W$1001,MATCH(ROWS($V$2:V548),$V$2:$V$1001,0),1)&gt;=100000,INDEX($AC$1005:$AS$1005,1,MATCH(COLUMNS($AC$1006:AN1006),$AC$1006:$AS$1006,0))&gt;=100000), " ",IF(INDEX($AC$2:$AS$1001,MATCH(ROWS($V$2:V548),$V$2:$V$1001,0),MATCH(COLUMNS($AC$1006:AN1006),$AC$1006:$AS$1006,0)), HYPERLINK("#",""), HYPERLINK(CONCATENATE("#Metadata!", ADDRESS(INDEX($X$2:$X$1001,MATCH(ROWS($V$2:V548),$V$2:$V$1001,0),0), INDEX($AC$1004:$AS$1004,1,MATCH(COLUMNS($AC$1006:AN1006),$AC$1006:$AS$1006,0)))),"Fix")))</f>
        <v>0</v>
      </c>
      <c r="N548" s="5">
        <f>IF(OR(INDEX($W$2:$W$1001,MATCH(ROWS($V$2:V548),$V$2:$V$1001,0),1)&gt;=100000,INDEX($AC$1005:$AS$1005,1,MATCH(COLUMNS($AC$1006:AO1006),$AC$1006:$AS$1006,0))&gt;=100000), " ",IF(INDEX($AC$2:$AS$1001,MATCH(ROWS($V$2:V548),$V$2:$V$1001,0),MATCH(COLUMNS($AC$1006:AO1006),$AC$1006:$AS$1006,0)), HYPERLINK("#",""), HYPERLINK(CONCATENATE("#Metadata!", ADDRESS(INDEX($X$2:$X$1001,MATCH(ROWS($V$2:V548),$V$2:$V$1001,0),0), INDEX($AC$1004:$AS$1004,1,MATCH(COLUMNS($AC$1006:AO1006),$AC$1006:$AS$1006,0)))),"Fix")))</f>
        <v>0</v>
      </c>
      <c r="O548" s="5">
        <f>IF(OR(INDEX($W$2:$W$1001,MATCH(ROWS($V$2:V548),$V$2:$V$1001,0),1)&gt;=100000,INDEX($AC$1005:$AS$1005,1,MATCH(COLUMNS($AC$1006:AP1006),$AC$1006:$AS$1006,0))&gt;=100000), " ",IF(INDEX($AC$2:$AS$1001,MATCH(ROWS($V$2:V548),$V$2:$V$1001,0),MATCH(COLUMNS($AC$1006:AP1006),$AC$1006:$AS$1006,0)), HYPERLINK("#",""), HYPERLINK(CONCATENATE("#Metadata!", ADDRESS(INDEX($X$2:$X$1001,MATCH(ROWS($V$2:V548),$V$2:$V$1001,0),0), INDEX($AC$1004:$AS$1004,1,MATCH(COLUMNS($AC$1006:AP1006),$AC$1006:$AS$1006,0)))),"Fix")))</f>
        <v>0</v>
      </c>
      <c r="P548" s="5">
        <f>IF(OR(INDEX($W$2:$W$1001,MATCH(ROWS($V$2:V548),$V$2:$V$1001,0),1)&gt;=100000,INDEX($AC$1005:$AS$1005,1,MATCH(COLUMNS($AC$1006:AQ1006),$AC$1006:$AS$1006,0))&gt;=100000), " ",IF(INDEX($AC$2:$AS$1001,MATCH(ROWS($V$2:V548),$V$2:$V$1001,0),MATCH(COLUMNS($AC$1006:AQ1006),$AC$1006:$AS$1006,0)), HYPERLINK("#",""), HYPERLINK(CONCATENATE("#Metadata!", ADDRESS(INDEX($X$2:$X$1001,MATCH(ROWS($V$2:V548),$V$2:$V$1001,0),0), INDEX($AC$1004:$AS$1004,1,MATCH(COLUMNS($AC$1006:AQ1006),$AC$1006:$AS$1006,0)))),"Fix")))</f>
        <v>0</v>
      </c>
      <c r="Q548" s="5">
        <f>IF(OR(INDEX($W$2:$W$1001,MATCH(ROWS($V$2:V548),$V$2:$V$1001,0),1)&gt;=100000,INDEX($AC$1005:$AS$1005,1,MATCH(COLUMNS($AC$1006:AR1006),$AC$1006:$AS$1006,0))&gt;=100000), " ",IF(INDEX($AC$2:$AS$1001,MATCH(ROWS($V$2:V548),$V$2:$V$1001,0),MATCH(COLUMNS($AC$1006:AR1006),$AC$1006:$AS$1006,0)), HYPERLINK("#",""), HYPERLINK(CONCATENATE("#Metadata!", ADDRESS(INDEX($X$2:$X$1001,MATCH(ROWS($V$2:V548),$V$2:$V$1001,0),0), INDEX($AC$1004:$AS$1004,1,MATCH(COLUMNS($AC$1006:AR1006),$AC$1006:$AS$1006,0)))),"Fix")))</f>
        <v>0</v>
      </c>
      <c r="R548" s="5">
        <f>IF(OR(INDEX($W$2:$W$1001,MATCH(ROWS($V$2:V548),$V$2:$V$1001,0),1)&gt;=100000,INDEX($AC$1005:$AS$1005,1,MATCH(COLUMNS($AC$1006:AS1006),$AC$1006:$AS$1006,0))&gt;=100000), " ",IF(INDEX($AC$2:$AS$1001,MATCH(ROWS($V$2:V548),$V$2:$V$1001,0),MATCH(COLUMNS($AC$1006:AS1006),$AC$1006:$AS$1006,0)), HYPERLINK("#",""), HYPERLINK(CONCATENATE("#Metadata!", ADDRESS(INDEX($X$2:$X$1001,MATCH(ROWS($V$2:V548),$V$2:$V$1001,0),0), INDEX($AC$1004:$AS$1004,1,MATCH(COLUMNS($AC$1006:AS1006),$AC$1006:$AS$1006,0)))),"Fix")))</f>
        <v>0</v>
      </c>
      <c r="V548">
        <v>0</v>
      </c>
      <c r="W548">
        <v>0</v>
      </c>
      <c r="X548">
        <v>0</v>
      </c>
      <c r="Y548">
        <f>IF(Z548,TRUE,AND(AC548:AS548))</f>
        <v>0</v>
      </c>
      <c r="Z548">
        <f>COUNTBLANK(Metadata!B548:R548)=COLUMNS(Metadata!B548:R548)</f>
        <v>0</v>
      </c>
      <c r="AA548">
        <v>0</v>
      </c>
      <c r="AC548">
        <f>AND(IF(Metadata!B548="",FALSE,TRUE),COUNTIF(Metadata!B:B, Metadata!B548) = 1,NOT(ISERROR(SUMPRODUCT(SEARCH(MID(Metadata!B548,ROW(INDIRECT("1:"&amp;LEN(Metadata!B548))), 1),"0123456789abcdefghijklmnopqrstuvwxyzABCDEFGHIJKLMNOPQRSTUVWXYZ.")))))</f>
        <v>0</v>
      </c>
      <c r="AD548">
        <f>AND(IF(Metadata!C548="",FALSE,TRUE),exact(Metadata!C548,"Host-associated"))</f>
        <v>0</v>
      </c>
      <c r="AE548">
        <f>AND(IF(Metadata!D548="",FALSE,TRUE),OR(exact(Metadata!D548,"Animal"),exact(Metadata!D548,"Fungus"),exact(Metadata!D548,"Plant")))</f>
        <v>0</v>
      </c>
      <c r="AF548">
        <f>AND(IF(Metadata!E548="",FALSE,TRUE),OR(exact(Metadata!E548,"Plant secretion"),exact(Metadata!E548,"Plant rhizosphere"),exact(Metadata!E548,"Plant surface"),exact(Metadata!E548,"Plant corpus"),exact(Metadata!E548,"Fungus surface"),exact(Metadata!E548,"Fungus corpus"),exact(Metadata!E548,"Animal surface"),exact(Metadata!E548,"Animal proximal gut"),exact(Metadata!E548,"Animal corpus"),exact(Metadata!E548,"Animal distal gut"),exact(Metadata!E548,"Animal secretion")))</f>
        <v>0</v>
      </c>
      <c r="AG548">
        <f>OR(AND(IF(Metadata!F548="",FALSE,TRUE),OR(exact(Metadata!F548,"not collected"),exact(Metadata!F548,"not provided"),exact(Metadata!F548,"restricted access"))),AND(IF(Metadata!F548="",FALSE,TRUE),OR(exact(Metadata!F548,"organism-associated habitat"),exact(Metadata!F548,"plant-associated habitat"),exact(Metadata!F548,"animal-associated habitat"),exact(Metadata!F548,"insecta-associated habitat"),exact(Metadata!F548,"mammalia-associated habitat"),exact(Metadata!F548,"human-associated habitat"),exact(Metadata!F548,"livestock-associated habitat"))))</f>
        <v>0</v>
      </c>
      <c r="AH548">
        <f>AND(IF(Metadata!G548="",FALSE,TRUE),exact(Metadata!G548,"host-associated"))</f>
        <v>0</v>
      </c>
      <c r="AI548">
        <f>OR(AND(IF(Metadata!H548="",FALSE,TRUE),OR(exact(Metadata!H548,"not collected"),exact(Metadata!H548,"not provided"))),AND(IF(Metadata!H548="",FALSE,ISNUMBER(VALUE(Metadata!H548))),Metadata!H548&gt;0))</f>
        <v>0</v>
      </c>
      <c r="AJ548">
        <f>AND(IF(Metadata!I548="",FALSE,TRUE),exact(Metadata!I548,"years"))</f>
        <v>0</v>
      </c>
      <c r="AK548">
        <f>IF(Metadata!J548="",FALSE,TRUE)</f>
        <v>0</v>
      </c>
      <c r="AL548">
        <f>OR(AND(IF(Metadata!K548="",FALSE,TRUE),OR(exact(Metadata!K548,"not collected"),exact(Metadata!K548,"not provided"))),AND(IF(Metadata!K548="",FALSE,ISNUMBER(VALUE(Metadata!K548))),Metadata!K548&gt;0))</f>
        <v>0</v>
      </c>
      <c r="AM548">
        <f>AND(IF(Metadata!L548="",FALSE,TRUE),exact(Metadata!L548,"cm"))</f>
        <v>0</v>
      </c>
      <c r="AN548">
        <f>IF(Metadata!M548="",FALSE,TRUE)</f>
        <v>0</v>
      </c>
      <c r="AO548">
        <f>OR(AND(IF(Metadata!N548="",FALSE,TRUE),OR(exact(Metadata!N548,"not applicable"),exact(Metadata!N548,"not collected"),exact(Metadata!N548,"not provided"))),AND(IF(Metadata!N548="",FALSE,IF(ISERROR(INT(Metadata!N548)),FALSE,INT(Metadata!N548)=Metadata!N548)),Metadata!N548&gt;0))</f>
        <v>0</v>
      </c>
      <c r="AP548">
        <f>OR(AND(IF(Metadata!O548="",FALSE,TRUE),OR(exact(Metadata!O548,"not collected"),exact(Metadata!O548,"not provided"))),AND(IF(Metadata!O548="",FALSE,ISNUMBER(VALUE(Metadata!O548))),Metadata!O548&gt;0))</f>
        <v>0</v>
      </c>
      <c r="AQ548">
        <f>AND(IF(Metadata!P548="",FALSE,TRUE),exact(Metadata!P548,"kg"))</f>
        <v>0</v>
      </c>
      <c r="AR548">
        <f>OR(AND(IF(Metadata!Q548="",FALSE,TRUE),OR(exact(Metadata!Q548,"not applicable"),exact(Metadata!Q548,"not collected"),exact(Metadata!Q548,"not provided"),exact(Metadata!Q548,"restricted access"))),IF(Metadata!Q548="",FALSE,IF(ISERROR(INT(Metadata!Q548)),FALSE,INT(Metadata!Q548)=Metadata!Q548)))</f>
        <v>0</v>
      </c>
      <c r="AS548">
        <f>AND(IF(Metadata!R548="",FALSE,TRUE),exact(Metadata!R548,"Not applicable"))</f>
        <v>0</v>
      </c>
    </row>
    <row r="549" spans="1:45">
      <c r="A549" s="4">
        <f>IF(B549=" "," ",HYPERLINK(CONCATENATE("#metadata!",ADDRESS(INDEX($X$2:$X$1001,MATCH(ROWS($V$2:V549),$V$2:$V$1001,0),0),2)),INDEX($AA$2:$AA$1001,MATCH(ROWS($V$2:V549),$V$2:$V$1001,0),0)))</f>
        <v>0</v>
      </c>
      <c r="B549" s="5">
        <f>IF(OR(INDEX($W$2:$W$1001,MATCH(ROWS($V$2:V549),$V$2:$V$1001,0),1)&gt;=100000,INDEX($AC$1005:$AS$1005,1,MATCH(COLUMNS($AC$1006:AC1006),$AC$1006:$AS$1006,0))&gt;=100000), " ",IF(INDEX($AC$2:$AS$1001,MATCH(ROWS($V$2:V549),$V$2:$V$1001,0),MATCH(COLUMNS($AC$1006:AC1006),$AC$1006:$AS$1006,0)), HYPERLINK("#",""), HYPERLINK(CONCATENATE("#Metadata!", ADDRESS(INDEX($X$2:$X$1001,MATCH(ROWS($V$2:V549),$V$2:$V$1001,0),0), INDEX($AC$1004:$AS$1004,1,MATCH(COLUMNS($AC$1006:AC1006),$AC$1006:$AS$1006,0)))),"Fix")))</f>
        <v>0</v>
      </c>
      <c r="C549" s="5">
        <f>IF(OR(INDEX($W$2:$W$1001,MATCH(ROWS($V$2:V549),$V$2:$V$1001,0),1)&gt;=100000,INDEX($AC$1005:$AS$1005,1,MATCH(COLUMNS($AC$1006:AD1006),$AC$1006:$AS$1006,0))&gt;=100000), " ",IF(INDEX($AC$2:$AS$1001,MATCH(ROWS($V$2:V549),$V$2:$V$1001,0),MATCH(COLUMNS($AC$1006:AD1006),$AC$1006:$AS$1006,0)), HYPERLINK("#",""), HYPERLINK(CONCATENATE("#Metadata!", ADDRESS(INDEX($X$2:$X$1001,MATCH(ROWS($V$2:V549),$V$2:$V$1001,0),0), INDEX($AC$1004:$AS$1004,1,MATCH(COLUMNS($AC$1006:AD1006),$AC$1006:$AS$1006,0)))),"Fix")))</f>
        <v>0</v>
      </c>
      <c r="D549" s="5">
        <f>IF(OR(INDEX($W$2:$W$1001,MATCH(ROWS($V$2:V549),$V$2:$V$1001,0),1)&gt;=100000,INDEX($AC$1005:$AS$1005,1,MATCH(COLUMNS($AC$1006:AE1006),$AC$1006:$AS$1006,0))&gt;=100000), " ",IF(INDEX($AC$2:$AS$1001,MATCH(ROWS($V$2:V549),$V$2:$V$1001,0),MATCH(COLUMNS($AC$1006:AE1006),$AC$1006:$AS$1006,0)), HYPERLINK("#",""), HYPERLINK(CONCATENATE("#Metadata!", ADDRESS(INDEX($X$2:$X$1001,MATCH(ROWS($V$2:V549),$V$2:$V$1001,0),0), INDEX($AC$1004:$AS$1004,1,MATCH(COLUMNS($AC$1006:AE1006),$AC$1006:$AS$1006,0)))),"Fix")))</f>
        <v>0</v>
      </c>
      <c r="E549" s="5">
        <f>IF(OR(INDEX($W$2:$W$1001,MATCH(ROWS($V$2:V549),$V$2:$V$1001,0),1)&gt;=100000,INDEX($AC$1005:$AS$1005,1,MATCH(COLUMNS($AC$1006:AF1006),$AC$1006:$AS$1006,0))&gt;=100000), " ",IF(INDEX($AC$2:$AS$1001,MATCH(ROWS($V$2:V549),$V$2:$V$1001,0),MATCH(COLUMNS($AC$1006:AF1006),$AC$1006:$AS$1006,0)), HYPERLINK("#",""), HYPERLINK(CONCATENATE("#Metadata!", ADDRESS(INDEX($X$2:$X$1001,MATCH(ROWS($V$2:V549),$V$2:$V$1001,0),0), INDEX($AC$1004:$AS$1004,1,MATCH(COLUMNS($AC$1006:AF1006),$AC$1006:$AS$1006,0)))),"Fix")))</f>
        <v>0</v>
      </c>
      <c r="F549" s="5">
        <f>IF(OR(INDEX($W$2:$W$1001,MATCH(ROWS($V$2:V549),$V$2:$V$1001,0),1)&gt;=100000,INDEX($AC$1005:$AS$1005,1,MATCH(COLUMNS($AC$1006:AG1006),$AC$1006:$AS$1006,0))&gt;=100000), " ",IF(INDEX($AC$2:$AS$1001,MATCH(ROWS($V$2:V549),$V$2:$V$1001,0),MATCH(COLUMNS($AC$1006:AG1006),$AC$1006:$AS$1006,0)), HYPERLINK("#",""), HYPERLINK(CONCATENATE("#Metadata!", ADDRESS(INDEX($X$2:$X$1001,MATCH(ROWS($V$2:V549),$V$2:$V$1001,0),0), INDEX($AC$1004:$AS$1004,1,MATCH(COLUMNS($AC$1006:AG1006),$AC$1006:$AS$1006,0)))),"Fix")))</f>
        <v>0</v>
      </c>
      <c r="G549" s="5">
        <f>IF(OR(INDEX($W$2:$W$1001,MATCH(ROWS($V$2:V549),$V$2:$V$1001,0),1)&gt;=100000,INDEX($AC$1005:$AS$1005,1,MATCH(COLUMNS($AC$1006:AH1006),$AC$1006:$AS$1006,0))&gt;=100000), " ",IF(INDEX($AC$2:$AS$1001,MATCH(ROWS($V$2:V549),$V$2:$V$1001,0),MATCH(COLUMNS($AC$1006:AH1006),$AC$1006:$AS$1006,0)), HYPERLINK("#",""), HYPERLINK(CONCATENATE("#Metadata!", ADDRESS(INDEX($X$2:$X$1001,MATCH(ROWS($V$2:V549),$V$2:$V$1001,0),0), INDEX($AC$1004:$AS$1004,1,MATCH(COLUMNS($AC$1006:AH1006),$AC$1006:$AS$1006,0)))),"Fix")))</f>
        <v>0</v>
      </c>
      <c r="H549" s="5">
        <f>IF(OR(INDEX($W$2:$W$1001,MATCH(ROWS($V$2:V549),$V$2:$V$1001,0),1)&gt;=100000,INDEX($AC$1005:$AS$1005,1,MATCH(COLUMNS($AC$1006:AI1006),$AC$1006:$AS$1006,0))&gt;=100000), " ",IF(INDEX($AC$2:$AS$1001,MATCH(ROWS($V$2:V549),$V$2:$V$1001,0),MATCH(COLUMNS($AC$1006:AI1006),$AC$1006:$AS$1006,0)), HYPERLINK("#",""), HYPERLINK(CONCATENATE("#Metadata!", ADDRESS(INDEX($X$2:$X$1001,MATCH(ROWS($V$2:V549),$V$2:$V$1001,0),0), INDEX($AC$1004:$AS$1004,1,MATCH(COLUMNS($AC$1006:AI1006),$AC$1006:$AS$1006,0)))),"Fix")))</f>
        <v>0</v>
      </c>
      <c r="I549" s="5">
        <f>IF(OR(INDEX($W$2:$W$1001,MATCH(ROWS($V$2:V549),$V$2:$V$1001,0),1)&gt;=100000,INDEX($AC$1005:$AS$1005,1,MATCH(COLUMNS($AC$1006:AJ1006),$AC$1006:$AS$1006,0))&gt;=100000), " ",IF(INDEX($AC$2:$AS$1001,MATCH(ROWS($V$2:V549),$V$2:$V$1001,0),MATCH(COLUMNS($AC$1006:AJ1006),$AC$1006:$AS$1006,0)), HYPERLINK("#",""), HYPERLINK(CONCATENATE("#Metadata!", ADDRESS(INDEX($X$2:$X$1001,MATCH(ROWS($V$2:V549),$V$2:$V$1001,0),0), INDEX($AC$1004:$AS$1004,1,MATCH(COLUMNS($AC$1006:AJ1006),$AC$1006:$AS$1006,0)))),"Fix")))</f>
        <v>0</v>
      </c>
      <c r="J549" s="5">
        <f>IF(OR(INDEX($W$2:$W$1001,MATCH(ROWS($V$2:V549),$V$2:$V$1001,0),1)&gt;=100000,INDEX($AC$1005:$AS$1005,1,MATCH(COLUMNS($AC$1006:AK1006),$AC$1006:$AS$1006,0))&gt;=100000), " ",IF(INDEX($AC$2:$AS$1001,MATCH(ROWS($V$2:V549),$V$2:$V$1001,0),MATCH(COLUMNS($AC$1006:AK1006),$AC$1006:$AS$1006,0)), HYPERLINK("#",""), HYPERLINK(CONCATENATE("#Metadata!", ADDRESS(INDEX($X$2:$X$1001,MATCH(ROWS($V$2:V549),$V$2:$V$1001,0),0), INDEX($AC$1004:$AS$1004,1,MATCH(COLUMNS($AC$1006:AK1006),$AC$1006:$AS$1006,0)))),"Fix")))</f>
        <v>0</v>
      </c>
      <c r="K549" s="5">
        <f>IF(OR(INDEX($W$2:$W$1001,MATCH(ROWS($V$2:V549),$V$2:$V$1001,0),1)&gt;=100000,INDEX($AC$1005:$AS$1005,1,MATCH(COLUMNS($AC$1006:AL1006),$AC$1006:$AS$1006,0))&gt;=100000), " ",IF(INDEX($AC$2:$AS$1001,MATCH(ROWS($V$2:V549),$V$2:$V$1001,0),MATCH(COLUMNS($AC$1006:AL1006),$AC$1006:$AS$1006,0)), HYPERLINK("#",""), HYPERLINK(CONCATENATE("#Metadata!", ADDRESS(INDEX($X$2:$X$1001,MATCH(ROWS($V$2:V549),$V$2:$V$1001,0),0), INDEX($AC$1004:$AS$1004,1,MATCH(COLUMNS($AC$1006:AL1006),$AC$1006:$AS$1006,0)))),"Fix")))</f>
        <v>0</v>
      </c>
      <c r="L549" s="5">
        <f>IF(OR(INDEX($W$2:$W$1001,MATCH(ROWS($V$2:V549),$V$2:$V$1001,0),1)&gt;=100000,INDEX($AC$1005:$AS$1005,1,MATCH(COLUMNS($AC$1006:AM1006),$AC$1006:$AS$1006,0))&gt;=100000), " ",IF(INDEX($AC$2:$AS$1001,MATCH(ROWS($V$2:V549),$V$2:$V$1001,0),MATCH(COLUMNS($AC$1006:AM1006),$AC$1006:$AS$1006,0)), HYPERLINK("#",""), HYPERLINK(CONCATENATE("#Metadata!", ADDRESS(INDEX($X$2:$X$1001,MATCH(ROWS($V$2:V549),$V$2:$V$1001,0),0), INDEX($AC$1004:$AS$1004,1,MATCH(COLUMNS($AC$1006:AM1006),$AC$1006:$AS$1006,0)))),"Fix")))</f>
        <v>0</v>
      </c>
      <c r="M549" s="5">
        <f>IF(OR(INDEX($W$2:$W$1001,MATCH(ROWS($V$2:V549),$V$2:$V$1001,0),1)&gt;=100000,INDEX($AC$1005:$AS$1005,1,MATCH(COLUMNS($AC$1006:AN1006),$AC$1006:$AS$1006,0))&gt;=100000), " ",IF(INDEX($AC$2:$AS$1001,MATCH(ROWS($V$2:V549),$V$2:$V$1001,0),MATCH(COLUMNS($AC$1006:AN1006),$AC$1006:$AS$1006,0)), HYPERLINK("#",""), HYPERLINK(CONCATENATE("#Metadata!", ADDRESS(INDEX($X$2:$X$1001,MATCH(ROWS($V$2:V549),$V$2:$V$1001,0),0), INDEX($AC$1004:$AS$1004,1,MATCH(COLUMNS($AC$1006:AN1006),$AC$1006:$AS$1006,0)))),"Fix")))</f>
        <v>0</v>
      </c>
      <c r="N549" s="5">
        <f>IF(OR(INDEX($W$2:$W$1001,MATCH(ROWS($V$2:V549),$V$2:$V$1001,0),1)&gt;=100000,INDEX($AC$1005:$AS$1005,1,MATCH(COLUMNS($AC$1006:AO1006),$AC$1006:$AS$1006,0))&gt;=100000), " ",IF(INDEX($AC$2:$AS$1001,MATCH(ROWS($V$2:V549),$V$2:$V$1001,0),MATCH(COLUMNS($AC$1006:AO1006),$AC$1006:$AS$1006,0)), HYPERLINK("#",""), HYPERLINK(CONCATENATE("#Metadata!", ADDRESS(INDEX($X$2:$X$1001,MATCH(ROWS($V$2:V549),$V$2:$V$1001,0),0), INDEX($AC$1004:$AS$1004,1,MATCH(COLUMNS($AC$1006:AO1006),$AC$1006:$AS$1006,0)))),"Fix")))</f>
        <v>0</v>
      </c>
      <c r="O549" s="5">
        <f>IF(OR(INDEX($W$2:$W$1001,MATCH(ROWS($V$2:V549),$V$2:$V$1001,0),1)&gt;=100000,INDEX($AC$1005:$AS$1005,1,MATCH(COLUMNS($AC$1006:AP1006),$AC$1006:$AS$1006,0))&gt;=100000), " ",IF(INDEX($AC$2:$AS$1001,MATCH(ROWS($V$2:V549),$V$2:$V$1001,0),MATCH(COLUMNS($AC$1006:AP1006),$AC$1006:$AS$1006,0)), HYPERLINK("#",""), HYPERLINK(CONCATENATE("#Metadata!", ADDRESS(INDEX($X$2:$X$1001,MATCH(ROWS($V$2:V549),$V$2:$V$1001,0),0), INDEX($AC$1004:$AS$1004,1,MATCH(COLUMNS($AC$1006:AP1006),$AC$1006:$AS$1006,0)))),"Fix")))</f>
        <v>0</v>
      </c>
      <c r="P549" s="5">
        <f>IF(OR(INDEX($W$2:$W$1001,MATCH(ROWS($V$2:V549),$V$2:$V$1001,0),1)&gt;=100000,INDEX($AC$1005:$AS$1005,1,MATCH(COLUMNS($AC$1006:AQ1006),$AC$1006:$AS$1006,0))&gt;=100000), " ",IF(INDEX($AC$2:$AS$1001,MATCH(ROWS($V$2:V549),$V$2:$V$1001,0),MATCH(COLUMNS($AC$1006:AQ1006),$AC$1006:$AS$1006,0)), HYPERLINK("#",""), HYPERLINK(CONCATENATE("#Metadata!", ADDRESS(INDEX($X$2:$X$1001,MATCH(ROWS($V$2:V549),$V$2:$V$1001,0),0), INDEX($AC$1004:$AS$1004,1,MATCH(COLUMNS($AC$1006:AQ1006),$AC$1006:$AS$1006,0)))),"Fix")))</f>
        <v>0</v>
      </c>
      <c r="Q549" s="5">
        <f>IF(OR(INDEX($W$2:$W$1001,MATCH(ROWS($V$2:V549),$V$2:$V$1001,0),1)&gt;=100000,INDEX($AC$1005:$AS$1005,1,MATCH(COLUMNS($AC$1006:AR1006),$AC$1006:$AS$1006,0))&gt;=100000), " ",IF(INDEX($AC$2:$AS$1001,MATCH(ROWS($V$2:V549),$V$2:$V$1001,0),MATCH(COLUMNS($AC$1006:AR1006),$AC$1006:$AS$1006,0)), HYPERLINK("#",""), HYPERLINK(CONCATENATE("#Metadata!", ADDRESS(INDEX($X$2:$X$1001,MATCH(ROWS($V$2:V549),$V$2:$V$1001,0),0), INDEX($AC$1004:$AS$1004,1,MATCH(COLUMNS($AC$1006:AR1006),$AC$1006:$AS$1006,0)))),"Fix")))</f>
        <v>0</v>
      </c>
      <c r="R549" s="5">
        <f>IF(OR(INDEX($W$2:$W$1001,MATCH(ROWS($V$2:V549),$V$2:$V$1001,0),1)&gt;=100000,INDEX($AC$1005:$AS$1005,1,MATCH(COLUMNS($AC$1006:AS1006),$AC$1006:$AS$1006,0))&gt;=100000), " ",IF(INDEX($AC$2:$AS$1001,MATCH(ROWS($V$2:V549),$V$2:$V$1001,0),MATCH(COLUMNS($AC$1006:AS1006),$AC$1006:$AS$1006,0)), HYPERLINK("#",""), HYPERLINK(CONCATENATE("#Metadata!", ADDRESS(INDEX($X$2:$X$1001,MATCH(ROWS($V$2:V549),$V$2:$V$1001,0),0), INDEX($AC$1004:$AS$1004,1,MATCH(COLUMNS($AC$1006:AS1006),$AC$1006:$AS$1006,0)))),"Fix")))</f>
        <v>0</v>
      </c>
      <c r="V549">
        <v>0</v>
      </c>
      <c r="W549">
        <v>0</v>
      </c>
      <c r="X549">
        <v>0</v>
      </c>
      <c r="Y549">
        <f>IF(Z549,TRUE,AND(AC549:AS549))</f>
        <v>0</v>
      </c>
      <c r="Z549">
        <f>COUNTBLANK(Metadata!B549:R549)=COLUMNS(Metadata!B549:R549)</f>
        <v>0</v>
      </c>
      <c r="AA549">
        <v>0</v>
      </c>
      <c r="AC549">
        <f>AND(IF(Metadata!B549="",FALSE,TRUE),COUNTIF(Metadata!B:B, Metadata!B549) = 1,NOT(ISERROR(SUMPRODUCT(SEARCH(MID(Metadata!B549,ROW(INDIRECT("1:"&amp;LEN(Metadata!B549))), 1),"0123456789abcdefghijklmnopqrstuvwxyzABCDEFGHIJKLMNOPQRSTUVWXYZ.")))))</f>
        <v>0</v>
      </c>
      <c r="AD549">
        <f>AND(IF(Metadata!C549="",FALSE,TRUE),exact(Metadata!C549,"Host-associated"))</f>
        <v>0</v>
      </c>
      <c r="AE549">
        <f>AND(IF(Metadata!D549="",FALSE,TRUE),OR(exact(Metadata!D549,"Animal"),exact(Metadata!D549,"Fungus"),exact(Metadata!D549,"Plant")))</f>
        <v>0</v>
      </c>
      <c r="AF549">
        <f>AND(IF(Metadata!E549="",FALSE,TRUE),OR(exact(Metadata!E549,"Plant secretion"),exact(Metadata!E549,"Plant rhizosphere"),exact(Metadata!E549,"Plant surface"),exact(Metadata!E549,"Plant corpus"),exact(Metadata!E549,"Fungus surface"),exact(Metadata!E549,"Fungus corpus"),exact(Metadata!E549,"Animal surface"),exact(Metadata!E549,"Animal proximal gut"),exact(Metadata!E549,"Animal corpus"),exact(Metadata!E549,"Animal distal gut"),exact(Metadata!E549,"Animal secretion")))</f>
        <v>0</v>
      </c>
      <c r="AG549">
        <f>OR(AND(IF(Metadata!F549="",FALSE,TRUE),OR(exact(Metadata!F549,"not collected"),exact(Metadata!F549,"not provided"),exact(Metadata!F549,"restricted access"))),AND(IF(Metadata!F549="",FALSE,TRUE),OR(exact(Metadata!F549,"organism-associated habitat"),exact(Metadata!F549,"plant-associated habitat"),exact(Metadata!F549,"animal-associated habitat"),exact(Metadata!F549,"insecta-associated habitat"),exact(Metadata!F549,"mammalia-associated habitat"),exact(Metadata!F549,"human-associated habitat"),exact(Metadata!F549,"livestock-associated habitat"))))</f>
        <v>0</v>
      </c>
      <c r="AH549">
        <f>AND(IF(Metadata!G549="",FALSE,TRUE),exact(Metadata!G549,"host-associated"))</f>
        <v>0</v>
      </c>
      <c r="AI549">
        <f>OR(AND(IF(Metadata!H549="",FALSE,TRUE),OR(exact(Metadata!H549,"not collected"),exact(Metadata!H549,"not provided"))),AND(IF(Metadata!H549="",FALSE,ISNUMBER(VALUE(Metadata!H549))),Metadata!H549&gt;0))</f>
        <v>0</v>
      </c>
      <c r="AJ549">
        <f>AND(IF(Metadata!I549="",FALSE,TRUE),exact(Metadata!I549,"years"))</f>
        <v>0</v>
      </c>
      <c r="AK549">
        <f>IF(Metadata!J549="",FALSE,TRUE)</f>
        <v>0</v>
      </c>
      <c r="AL549">
        <f>OR(AND(IF(Metadata!K549="",FALSE,TRUE),OR(exact(Metadata!K549,"not collected"),exact(Metadata!K549,"not provided"))),AND(IF(Metadata!K549="",FALSE,ISNUMBER(VALUE(Metadata!K549))),Metadata!K549&gt;0))</f>
        <v>0</v>
      </c>
      <c r="AM549">
        <f>AND(IF(Metadata!L549="",FALSE,TRUE),exact(Metadata!L549,"cm"))</f>
        <v>0</v>
      </c>
      <c r="AN549">
        <f>IF(Metadata!M549="",FALSE,TRUE)</f>
        <v>0</v>
      </c>
      <c r="AO549">
        <f>OR(AND(IF(Metadata!N549="",FALSE,TRUE),OR(exact(Metadata!N549,"not applicable"),exact(Metadata!N549,"not collected"),exact(Metadata!N549,"not provided"))),AND(IF(Metadata!N549="",FALSE,IF(ISERROR(INT(Metadata!N549)),FALSE,INT(Metadata!N549)=Metadata!N549)),Metadata!N549&gt;0))</f>
        <v>0</v>
      </c>
      <c r="AP549">
        <f>OR(AND(IF(Metadata!O549="",FALSE,TRUE),OR(exact(Metadata!O549,"not collected"),exact(Metadata!O549,"not provided"))),AND(IF(Metadata!O549="",FALSE,ISNUMBER(VALUE(Metadata!O549))),Metadata!O549&gt;0))</f>
        <v>0</v>
      </c>
      <c r="AQ549">
        <f>AND(IF(Metadata!P549="",FALSE,TRUE),exact(Metadata!P549,"kg"))</f>
        <v>0</v>
      </c>
      <c r="AR549">
        <f>OR(AND(IF(Metadata!Q549="",FALSE,TRUE),OR(exact(Metadata!Q549,"not applicable"),exact(Metadata!Q549,"not collected"),exact(Metadata!Q549,"not provided"),exact(Metadata!Q549,"restricted access"))),IF(Metadata!Q549="",FALSE,IF(ISERROR(INT(Metadata!Q549)),FALSE,INT(Metadata!Q549)=Metadata!Q549)))</f>
        <v>0</v>
      </c>
      <c r="AS549">
        <f>AND(IF(Metadata!R549="",FALSE,TRUE),exact(Metadata!R549,"Not applicable"))</f>
        <v>0</v>
      </c>
    </row>
    <row r="550" spans="1:45">
      <c r="A550" s="4">
        <f>IF(B550=" "," ",HYPERLINK(CONCATENATE("#metadata!",ADDRESS(INDEX($X$2:$X$1001,MATCH(ROWS($V$2:V550),$V$2:$V$1001,0),0),2)),INDEX($AA$2:$AA$1001,MATCH(ROWS($V$2:V550),$V$2:$V$1001,0),0)))</f>
        <v>0</v>
      </c>
      <c r="B550" s="5">
        <f>IF(OR(INDEX($W$2:$W$1001,MATCH(ROWS($V$2:V550),$V$2:$V$1001,0),1)&gt;=100000,INDEX($AC$1005:$AS$1005,1,MATCH(COLUMNS($AC$1006:AC1006),$AC$1006:$AS$1006,0))&gt;=100000), " ",IF(INDEX($AC$2:$AS$1001,MATCH(ROWS($V$2:V550),$V$2:$V$1001,0),MATCH(COLUMNS($AC$1006:AC1006),$AC$1006:$AS$1006,0)), HYPERLINK("#",""), HYPERLINK(CONCATENATE("#Metadata!", ADDRESS(INDEX($X$2:$X$1001,MATCH(ROWS($V$2:V550),$V$2:$V$1001,0),0), INDEX($AC$1004:$AS$1004,1,MATCH(COLUMNS($AC$1006:AC1006),$AC$1006:$AS$1006,0)))),"Fix")))</f>
        <v>0</v>
      </c>
      <c r="C550" s="5">
        <f>IF(OR(INDEX($W$2:$W$1001,MATCH(ROWS($V$2:V550),$V$2:$V$1001,0),1)&gt;=100000,INDEX($AC$1005:$AS$1005,1,MATCH(COLUMNS($AC$1006:AD1006),$AC$1006:$AS$1006,0))&gt;=100000), " ",IF(INDEX($AC$2:$AS$1001,MATCH(ROWS($V$2:V550),$V$2:$V$1001,0),MATCH(COLUMNS($AC$1006:AD1006),$AC$1006:$AS$1006,0)), HYPERLINK("#",""), HYPERLINK(CONCATENATE("#Metadata!", ADDRESS(INDEX($X$2:$X$1001,MATCH(ROWS($V$2:V550),$V$2:$V$1001,0),0), INDEX($AC$1004:$AS$1004,1,MATCH(COLUMNS($AC$1006:AD1006),$AC$1006:$AS$1006,0)))),"Fix")))</f>
        <v>0</v>
      </c>
      <c r="D550" s="5">
        <f>IF(OR(INDEX($W$2:$W$1001,MATCH(ROWS($V$2:V550),$V$2:$V$1001,0),1)&gt;=100000,INDEX($AC$1005:$AS$1005,1,MATCH(COLUMNS($AC$1006:AE1006),$AC$1006:$AS$1006,0))&gt;=100000), " ",IF(INDEX($AC$2:$AS$1001,MATCH(ROWS($V$2:V550),$V$2:$V$1001,0),MATCH(COLUMNS($AC$1006:AE1006),$AC$1006:$AS$1006,0)), HYPERLINK("#",""), HYPERLINK(CONCATENATE("#Metadata!", ADDRESS(INDEX($X$2:$X$1001,MATCH(ROWS($V$2:V550),$V$2:$V$1001,0),0), INDEX($AC$1004:$AS$1004,1,MATCH(COLUMNS($AC$1006:AE1006),$AC$1006:$AS$1006,0)))),"Fix")))</f>
        <v>0</v>
      </c>
      <c r="E550" s="5">
        <f>IF(OR(INDEX($W$2:$W$1001,MATCH(ROWS($V$2:V550),$V$2:$V$1001,0),1)&gt;=100000,INDEX($AC$1005:$AS$1005,1,MATCH(COLUMNS($AC$1006:AF1006),$AC$1006:$AS$1006,0))&gt;=100000), " ",IF(INDEX($AC$2:$AS$1001,MATCH(ROWS($V$2:V550),$V$2:$V$1001,0),MATCH(COLUMNS($AC$1006:AF1006),$AC$1006:$AS$1006,0)), HYPERLINK("#",""), HYPERLINK(CONCATENATE("#Metadata!", ADDRESS(INDEX($X$2:$X$1001,MATCH(ROWS($V$2:V550),$V$2:$V$1001,0),0), INDEX($AC$1004:$AS$1004,1,MATCH(COLUMNS($AC$1006:AF1006),$AC$1006:$AS$1006,0)))),"Fix")))</f>
        <v>0</v>
      </c>
      <c r="F550" s="5">
        <f>IF(OR(INDEX($W$2:$W$1001,MATCH(ROWS($V$2:V550),$V$2:$V$1001,0),1)&gt;=100000,INDEX($AC$1005:$AS$1005,1,MATCH(COLUMNS($AC$1006:AG1006),$AC$1006:$AS$1006,0))&gt;=100000), " ",IF(INDEX($AC$2:$AS$1001,MATCH(ROWS($V$2:V550),$V$2:$V$1001,0),MATCH(COLUMNS($AC$1006:AG1006),$AC$1006:$AS$1006,0)), HYPERLINK("#",""), HYPERLINK(CONCATENATE("#Metadata!", ADDRESS(INDEX($X$2:$X$1001,MATCH(ROWS($V$2:V550),$V$2:$V$1001,0),0), INDEX($AC$1004:$AS$1004,1,MATCH(COLUMNS($AC$1006:AG1006),$AC$1006:$AS$1006,0)))),"Fix")))</f>
        <v>0</v>
      </c>
      <c r="G550" s="5">
        <f>IF(OR(INDEX($W$2:$W$1001,MATCH(ROWS($V$2:V550),$V$2:$V$1001,0),1)&gt;=100000,INDEX($AC$1005:$AS$1005,1,MATCH(COLUMNS($AC$1006:AH1006),$AC$1006:$AS$1006,0))&gt;=100000), " ",IF(INDEX($AC$2:$AS$1001,MATCH(ROWS($V$2:V550),$V$2:$V$1001,0),MATCH(COLUMNS($AC$1006:AH1006),$AC$1006:$AS$1006,0)), HYPERLINK("#",""), HYPERLINK(CONCATENATE("#Metadata!", ADDRESS(INDEX($X$2:$X$1001,MATCH(ROWS($V$2:V550),$V$2:$V$1001,0),0), INDEX($AC$1004:$AS$1004,1,MATCH(COLUMNS($AC$1006:AH1006),$AC$1006:$AS$1006,0)))),"Fix")))</f>
        <v>0</v>
      </c>
      <c r="H550" s="5">
        <f>IF(OR(INDEX($W$2:$W$1001,MATCH(ROWS($V$2:V550),$V$2:$V$1001,0),1)&gt;=100000,INDEX($AC$1005:$AS$1005,1,MATCH(COLUMNS($AC$1006:AI1006),$AC$1006:$AS$1006,0))&gt;=100000), " ",IF(INDEX($AC$2:$AS$1001,MATCH(ROWS($V$2:V550),$V$2:$V$1001,0),MATCH(COLUMNS($AC$1006:AI1006),$AC$1006:$AS$1006,0)), HYPERLINK("#",""), HYPERLINK(CONCATENATE("#Metadata!", ADDRESS(INDEX($X$2:$X$1001,MATCH(ROWS($V$2:V550),$V$2:$V$1001,0),0), INDEX($AC$1004:$AS$1004,1,MATCH(COLUMNS($AC$1006:AI1006),$AC$1006:$AS$1006,0)))),"Fix")))</f>
        <v>0</v>
      </c>
      <c r="I550" s="5">
        <f>IF(OR(INDEX($W$2:$W$1001,MATCH(ROWS($V$2:V550),$V$2:$V$1001,0),1)&gt;=100000,INDEX($AC$1005:$AS$1005,1,MATCH(COLUMNS($AC$1006:AJ1006),$AC$1006:$AS$1006,0))&gt;=100000), " ",IF(INDEX($AC$2:$AS$1001,MATCH(ROWS($V$2:V550),$V$2:$V$1001,0),MATCH(COLUMNS($AC$1006:AJ1006),$AC$1006:$AS$1006,0)), HYPERLINK("#",""), HYPERLINK(CONCATENATE("#Metadata!", ADDRESS(INDEX($X$2:$X$1001,MATCH(ROWS($V$2:V550),$V$2:$V$1001,0),0), INDEX($AC$1004:$AS$1004,1,MATCH(COLUMNS($AC$1006:AJ1006),$AC$1006:$AS$1006,0)))),"Fix")))</f>
        <v>0</v>
      </c>
      <c r="J550" s="5">
        <f>IF(OR(INDEX($W$2:$W$1001,MATCH(ROWS($V$2:V550),$V$2:$V$1001,0),1)&gt;=100000,INDEX($AC$1005:$AS$1005,1,MATCH(COLUMNS($AC$1006:AK1006),$AC$1006:$AS$1006,0))&gt;=100000), " ",IF(INDEX($AC$2:$AS$1001,MATCH(ROWS($V$2:V550),$V$2:$V$1001,0),MATCH(COLUMNS($AC$1006:AK1006),$AC$1006:$AS$1006,0)), HYPERLINK("#",""), HYPERLINK(CONCATENATE("#Metadata!", ADDRESS(INDEX($X$2:$X$1001,MATCH(ROWS($V$2:V550),$V$2:$V$1001,0),0), INDEX($AC$1004:$AS$1004,1,MATCH(COLUMNS($AC$1006:AK1006),$AC$1006:$AS$1006,0)))),"Fix")))</f>
        <v>0</v>
      </c>
      <c r="K550" s="5">
        <f>IF(OR(INDEX($W$2:$W$1001,MATCH(ROWS($V$2:V550),$V$2:$V$1001,0),1)&gt;=100000,INDEX($AC$1005:$AS$1005,1,MATCH(COLUMNS($AC$1006:AL1006),$AC$1006:$AS$1006,0))&gt;=100000), " ",IF(INDEX($AC$2:$AS$1001,MATCH(ROWS($V$2:V550),$V$2:$V$1001,0),MATCH(COLUMNS($AC$1006:AL1006),$AC$1006:$AS$1006,0)), HYPERLINK("#",""), HYPERLINK(CONCATENATE("#Metadata!", ADDRESS(INDEX($X$2:$X$1001,MATCH(ROWS($V$2:V550),$V$2:$V$1001,0),0), INDEX($AC$1004:$AS$1004,1,MATCH(COLUMNS($AC$1006:AL1006),$AC$1006:$AS$1006,0)))),"Fix")))</f>
        <v>0</v>
      </c>
      <c r="L550" s="5">
        <f>IF(OR(INDEX($W$2:$W$1001,MATCH(ROWS($V$2:V550),$V$2:$V$1001,0),1)&gt;=100000,INDEX($AC$1005:$AS$1005,1,MATCH(COLUMNS($AC$1006:AM1006),$AC$1006:$AS$1006,0))&gt;=100000), " ",IF(INDEX($AC$2:$AS$1001,MATCH(ROWS($V$2:V550),$V$2:$V$1001,0),MATCH(COLUMNS($AC$1006:AM1006),$AC$1006:$AS$1006,0)), HYPERLINK("#",""), HYPERLINK(CONCATENATE("#Metadata!", ADDRESS(INDEX($X$2:$X$1001,MATCH(ROWS($V$2:V550),$V$2:$V$1001,0),0), INDEX($AC$1004:$AS$1004,1,MATCH(COLUMNS($AC$1006:AM1006),$AC$1006:$AS$1006,0)))),"Fix")))</f>
        <v>0</v>
      </c>
      <c r="M550" s="5">
        <f>IF(OR(INDEX($W$2:$W$1001,MATCH(ROWS($V$2:V550),$V$2:$V$1001,0),1)&gt;=100000,INDEX($AC$1005:$AS$1005,1,MATCH(COLUMNS($AC$1006:AN1006),$AC$1006:$AS$1006,0))&gt;=100000), " ",IF(INDEX($AC$2:$AS$1001,MATCH(ROWS($V$2:V550),$V$2:$V$1001,0),MATCH(COLUMNS($AC$1006:AN1006),$AC$1006:$AS$1006,0)), HYPERLINK("#",""), HYPERLINK(CONCATENATE("#Metadata!", ADDRESS(INDEX($X$2:$X$1001,MATCH(ROWS($V$2:V550),$V$2:$V$1001,0),0), INDEX($AC$1004:$AS$1004,1,MATCH(COLUMNS($AC$1006:AN1006),$AC$1006:$AS$1006,0)))),"Fix")))</f>
        <v>0</v>
      </c>
      <c r="N550" s="5">
        <f>IF(OR(INDEX($W$2:$W$1001,MATCH(ROWS($V$2:V550),$V$2:$V$1001,0),1)&gt;=100000,INDEX($AC$1005:$AS$1005,1,MATCH(COLUMNS($AC$1006:AO1006),$AC$1006:$AS$1006,0))&gt;=100000), " ",IF(INDEX($AC$2:$AS$1001,MATCH(ROWS($V$2:V550),$V$2:$V$1001,0),MATCH(COLUMNS($AC$1006:AO1006),$AC$1006:$AS$1006,0)), HYPERLINK("#",""), HYPERLINK(CONCATENATE("#Metadata!", ADDRESS(INDEX($X$2:$X$1001,MATCH(ROWS($V$2:V550),$V$2:$V$1001,0),0), INDEX($AC$1004:$AS$1004,1,MATCH(COLUMNS($AC$1006:AO1006),$AC$1006:$AS$1006,0)))),"Fix")))</f>
        <v>0</v>
      </c>
      <c r="O550" s="5">
        <f>IF(OR(INDEX($W$2:$W$1001,MATCH(ROWS($V$2:V550),$V$2:$V$1001,0),1)&gt;=100000,INDEX($AC$1005:$AS$1005,1,MATCH(COLUMNS($AC$1006:AP1006),$AC$1006:$AS$1006,0))&gt;=100000), " ",IF(INDEX($AC$2:$AS$1001,MATCH(ROWS($V$2:V550),$V$2:$V$1001,0),MATCH(COLUMNS($AC$1006:AP1006),$AC$1006:$AS$1006,0)), HYPERLINK("#",""), HYPERLINK(CONCATENATE("#Metadata!", ADDRESS(INDEX($X$2:$X$1001,MATCH(ROWS($V$2:V550),$V$2:$V$1001,0),0), INDEX($AC$1004:$AS$1004,1,MATCH(COLUMNS($AC$1006:AP1006),$AC$1006:$AS$1006,0)))),"Fix")))</f>
        <v>0</v>
      </c>
      <c r="P550" s="5">
        <f>IF(OR(INDEX($W$2:$W$1001,MATCH(ROWS($V$2:V550),$V$2:$V$1001,0),1)&gt;=100000,INDEX($AC$1005:$AS$1005,1,MATCH(COLUMNS($AC$1006:AQ1006),$AC$1006:$AS$1006,0))&gt;=100000), " ",IF(INDEX($AC$2:$AS$1001,MATCH(ROWS($V$2:V550),$V$2:$V$1001,0),MATCH(COLUMNS($AC$1006:AQ1006),$AC$1006:$AS$1006,0)), HYPERLINK("#",""), HYPERLINK(CONCATENATE("#Metadata!", ADDRESS(INDEX($X$2:$X$1001,MATCH(ROWS($V$2:V550),$V$2:$V$1001,0),0), INDEX($AC$1004:$AS$1004,1,MATCH(COLUMNS($AC$1006:AQ1006),$AC$1006:$AS$1006,0)))),"Fix")))</f>
        <v>0</v>
      </c>
      <c r="Q550" s="5">
        <f>IF(OR(INDEX($W$2:$W$1001,MATCH(ROWS($V$2:V550),$V$2:$V$1001,0),1)&gt;=100000,INDEX($AC$1005:$AS$1005,1,MATCH(COLUMNS($AC$1006:AR1006),$AC$1006:$AS$1006,0))&gt;=100000), " ",IF(INDEX($AC$2:$AS$1001,MATCH(ROWS($V$2:V550),$V$2:$V$1001,0),MATCH(COLUMNS($AC$1006:AR1006),$AC$1006:$AS$1006,0)), HYPERLINK("#",""), HYPERLINK(CONCATENATE("#Metadata!", ADDRESS(INDEX($X$2:$X$1001,MATCH(ROWS($V$2:V550),$V$2:$V$1001,0),0), INDEX($AC$1004:$AS$1004,1,MATCH(COLUMNS($AC$1006:AR1006),$AC$1006:$AS$1006,0)))),"Fix")))</f>
        <v>0</v>
      </c>
      <c r="R550" s="5">
        <f>IF(OR(INDEX($W$2:$W$1001,MATCH(ROWS($V$2:V550),$V$2:$V$1001,0),1)&gt;=100000,INDEX($AC$1005:$AS$1005,1,MATCH(COLUMNS($AC$1006:AS1006),$AC$1006:$AS$1006,0))&gt;=100000), " ",IF(INDEX($AC$2:$AS$1001,MATCH(ROWS($V$2:V550),$V$2:$V$1001,0),MATCH(COLUMNS($AC$1006:AS1006),$AC$1006:$AS$1006,0)), HYPERLINK("#",""), HYPERLINK(CONCATENATE("#Metadata!", ADDRESS(INDEX($X$2:$X$1001,MATCH(ROWS($V$2:V550),$V$2:$V$1001,0),0), INDEX($AC$1004:$AS$1004,1,MATCH(COLUMNS($AC$1006:AS1006),$AC$1006:$AS$1006,0)))),"Fix")))</f>
        <v>0</v>
      </c>
      <c r="V550">
        <v>0</v>
      </c>
      <c r="W550">
        <v>0</v>
      </c>
      <c r="X550">
        <v>0</v>
      </c>
      <c r="Y550">
        <f>IF(Z550,TRUE,AND(AC550:AS550))</f>
        <v>0</v>
      </c>
      <c r="Z550">
        <f>COUNTBLANK(Metadata!B550:R550)=COLUMNS(Metadata!B550:R550)</f>
        <v>0</v>
      </c>
      <c r="AA550">
        <v>0</v>
      </c>
      <c r="AC550">
        <f>AND(IF(Metadata!B550="",FALSE,TRUE),COUNTIF(Metadata!B:B, Metadata!B550) = 1,NOT(ISERROR(SUMPRODUCT(SEARCH(MID(Metadata!B550,ROW(INDIRECT("1:"&amp;LEN(Metadata!B550))), 1),"0123456789abcdefghijklmnopqrstuvwxyzABCDEFGHIJKLMNOPQRSTUVWXYZ.")))))</f>
        <v>0</v>
      </c>
      <c r="AD550">
        <f>AND(IF(Metadata!C550="",FALSE,TRUE),exact(Metadata!C550,"Host-associated"))</f>
        <v>0</v>
      </c>
      <c r="AE550">
        <f>AND(IF(Metadata!D550="",FALSE,TRUE),OR(exact(Metadata!D550,"Animal"),exact(Metadata!D550,"Fungus"),exact(Metadata!D550,"Plant")))</f>
        <v>0</v>
      </c>
      <c r="AF550">
        <f>AND(IF(Metadata!E550="",FALSE,TRUE),OR(exact(Metadata!E550,"Plant secretion"),exact(Metadata!E550,"Plant rhizosphere"),exact(Metadata!E550,"Plant surface"),exact(Metadata!E550,"Plant corpus"),exact(Metadata!E550,"Fungus surface"),exact(Metadata!E550,"Fungus corpus"),exact(Metadata!E550,"Animal surface"),exact(Metadata!E550,"Animal proximal gut"),exact(Metadata!E550,"Animal corpus"),exact(Metadata!E550,"Animal distal gut"),exact(Metadata!E550,"Animal secretion")))</f>
        <v>0</v>
      </c>
      <c r="AG550">
        <f>OR(AND(IF(Metadata!F550="",FALSE,TRUE),OR(exact(Metadata!F550,"not collected"),exact(Metadata!F550,"not provided"),exact(Metadata!F550,"restricted access"))),AND(IF(Metadata!F550="",FALSE,TRUE),OR(exact(Metadata!F550,"organism-associated habitat"),exact(Metadata!F550,"plant-associated habitat"),exact(Metadata!F550,"animal-associated habitat"),exact(Metadata!F550,"insecta-associated habitat"),exact(Metadata!F550,"mammalia-associated habitat"),exact(Metadata!F550,"human-associated habitat"),exact(Metadata!F550,"livestock-associated habitat"))))</f>
        <v>0</v>
      </c>
      <c r="AH550">
        <f>AND(IF(Metadata!G550="",FALSE,TRUE),exact(Metadata!G550,"host-associated"))</f>
        <v>0</v>
      </c>
      <c r="AI550">
        <f>OR(AND(IF(Metadata!H550="",FALSE,TRUE),OR(exact(Metadata!H550,"not collected"),exact(Metadata!H550,"not provided"))),AND(IF(Metadata!H550="",FALSE,ISNUMBER(VALUE(Metadata!H550))),Metadata!H550&gt;0))</f>
        <v>0</v>
      </c>
      <c r="AJ550">
        <f>AND(IF(Metadata!I550="",FALSE,TRUE),exact(Metadata!I550,"years"))</f>
        <v>0</v>
      </c>
      <c r="AK550">
        <f>IF(Metadata!J550="",FALSE,TRUE)</f>
        <v>0</v>
      </c>
      <c r="AL550">
        <f>OR(AND(IF(Metadata!K550="",FALSE,TRUE),OR(exact(Metadata!K550,"not collected"),exact(Metadata!K550,"not provided"))),AND(IF(Metadata!K550="",FALSE,ISNUMBER(VALUE(Metadata!K550))),Metadata!K550&gt;0))</f>
        <v>0</v>
      </c>
      <c r="AM550">
        <f>AND(IF(Metadata!L550="",FALSE,TRUE),exact(Metadata!L550,"cm"))</f>
        <v>0</v>
      </c>
      <c r="AN550">
        <f>IF(Metadata!M550="",FALSE,TRUE)</f>
        <v>0</v>
      </c>
      <c r="AO550">
        <f>OR(AND(IF(Metadata!N550="",FALSE,TRUE),OR(exact(Metadata!N550,"not applicable"),exact(Metadata!N550,"not collected"),exact(Metadata!N550,"not provided"))),AND(IF(Metadata!N550="",FALSE,IF(ISERROR(INT(Metadata!N550)),FALSE,INT(Metadata!N550)=Metadata!N550)),Metadata!N550&gt;0))</f>
        <v>0</v>
      </c>
      <c r="AP550">
        <f>OR(AND(IF(Metadata!O550="",FALSE,TRUE),OR(exact(Metadata!O550,"not collected"),exact(Metadata!O550,"not provided"))),AND(IF(Metadata!O550="",FALSE,ISNUMBER(VALUE(Metadata!O550))),Metadata!O550&gt;0))</f>
        <v>0</v>
      </c>
      <c r="AQ550">
        <f>AND(IF(Metadata!P550="",FALSE,TRUE),exact(Metadata!P550,"kg"))</f>
        <v>0</v>
      </c>
      <c r="AR550">
        <f>OR(AND(IF(Metadata!Q550="",FALSE,TRUE),OR(exact(Metadata!Q550,"not applicable"),exact(Metadata!Q550,"not collected"),exact(Metadata!Q550,"not provided"),exact(Metadata!Q550,"restricted access"))),IF(Metadata!Q550="",FALSE,IF(ISERROR(INT(Metadata!Q550)),FALSE,INT(Metadata!Q550)=Metadata!Q550)))</f>
        <v>0</v>
      </c>
      <c r="AS550">
        <f>AND(IF(Metadata!R550="",FALSE,TRUE),exact(Metadata!R550,"Not applicable"))</f>
        <v>0</v>
      </c>
    </row>
    <row r="551" spans="1:45">
      <c r="A551" s="4">
        <f>IF(B551=" "," ",HYPERLINK(CONCATENATE("#metadata!",ADDRESS(INDEX($X$2:$X$1001,MATCH(ROWS($V$2:V551),$V$2:$V$1001,0),0),2)),INDEX($AA$2:$AA$1001,MATCH(ROWS($V$2:V551),$V$2:$V$1001,0),0)))</f>
        <v>0</v>
      </c>
      <c r="B551" s="5">
        <f>IF(OR(INDEX($W$2:$W$1001,MATCH(ROWS($V$2:V551),$V$2:$V$1001,0),1)&gt;=100000,INDEX($AC$1005:$AS$1005,1,MATCH(COLUMNS($AC$1006:AC1006),$AC$1006:$AS$1006,0))&gt;=100000), " ",IF(INDEX($AC$2:$AS$1001,MATCH(ROWS($V$2:V551),$V$2:$V$1001,0),MATCH(COLUMNS($AC$1006:AC1006),$AC$1006:$AS$1006,0)), HYPERLINK("#",""), HYPERLINK(CONCATENATE("#Metadata!", ADDRESS(INDEX($X$2:$X$1001,MATCH(ROWS($V$2:V551),$V$2:$V$1001,0),0), INDEX($AC$1004:$AS$1004,1,MATCH(COLUMNS($AC$1006:AC1006),$AC$1006:$AS$1006,0)))),"Fix")))</f>
        <v>0</v>
      </c>
      <c r="C551" s="5">
        <f>IF(OR(INDEX($W$2:$W$1001,MATCH(ROWS($V$2:V551),$V$2:$V$1001,0),1)&gt;=100000,INDEX($AC$1005:$AS$1005,1,MATCH(COLUMNS($AC$1006:AD1006),$AC$1006:$AS$1006,0))&gt;=100000), " ",IF(INDEX($AC$2:$AS$1001,MATCH(ROWS($V$2:V551),$V$2:$V$1001,0),MATCH(COLUMNS($AC$1006:AD1006),$AC$1006:$AS$1006,0)), HYPERLINK("#",""), HYPERLINK(CONCATENATE("#Metadata!", ADDRESS(INDEX($X$2:$X$1001,MATCH(ROWS($V$2:V551),$V$2:$V$1001,0),0), INDEX($AC$1004:$AS$1004,1,MATCH(COLUMNS($AC$1006:AD1006),$AC$1006:$AS$1006,0)))),"Fix")))</f>
        <v>0</v>
      </c>
      <c r="D551" s="5">
        <f>IF(OR(INDEX($W$2:$W$1001,MATCH(ROWS($V$2:V551),$V$2:$V$1001,0),1)&gt;=100000,INDEX($AC$1005:$AS$1005,1,MATCH(COLUMNS($AC$1006:AE1006),$AC$1006:$AS$1006,0))&gt;=100000), " ",IF(INDEX($AC$2:$AS$1001,MATCH(ROWS($V$2:V551),$V$2:$V$1001,0),MATCH(COLUMNS($AC$1006:AE1006),$AC$1006:$AS$1006,0)), HYPERLINK("#",""), HYPERLINK(CONCATENATE("#Metadata!", ADDRESS(INDEX($X$2:$X$1001,MATCH(ROWS($V$2:V551),$V$2:$V$1001,0),0), INDEX($AC$1004:$AS$1004,1,MATCH(COLUMNS($AC$1006:AE1006),$AC$1006:$AS$1006,0)))),"Fix")))</f>
        <v>0</v>
      </c>
      <c r="E551" s="5">
        <f>IF(OR(INDEX($W$2:$W$1001,MATCH(ROWS($V$2:V551),$V$2:$V$1001,0),1)&gt;=100000,INDEX($AC$1005:$AS$1005,1,MATCH(COLUMNS($AC$1006:AF1006),$AC$1006:$AS$1006,0))&gt;=100000), " ",IF(INDEX($AC$2:$AS$1001,MATCH(ROWS($V$2:V551),$V$2:$V$1001,0),MATCH(COLUMNS($AC$1006:AF1006),$AC$1006:$AS$1006,0)), HYPERLINK("#",""), HYPERLINK(CONCATENATE("#Metadata!", ADDRESS(INDEX($X$2:$X$1001,MATCH(ROWS($V$2:V551),$V$2:$V$1001,0),0), INDEX($AC$1004:$AS$1004,1,MATCH(COLUMNS($AC$1006:AF1006),$AC$1006:$AS$1006,0)))),"Fix")))</f>
        <v>0</v>
      </c>
      <c r="F551" s="5">
        <f>IF(OR(INDEX($W$2:$W$1001,MATCH(ROWS($V$2:V551),$V$2:$V$1001,0),1)&gt;=100000,INDEX($AC$1005:$AS$1005,1,MATCH(COLUMNS($AC$1006:AG1006),$AC$1006:$AS$1006,0))&gt;=100000), " ",IF(INDEX($AC$2:$AS$1001,MATCH(ROWS($V$2:V551),$V$2:$V$1001,0),MATCH(COLUMNS($AC$1006:AG1006),$AC$1006:$AS$1006,0)), HYPERLINK("#",""), HYPERLINK(CONCATENATE("#Metadata!", ADDRESS(INDEX($X$2:$X$1001,MATCH(ROWS($V$2:V551),$V$2:$V$1001,0),0), INDEX($AC$1004:$AS$1004,1,MATCH(COLUMNS($AC$1006:AG1006),$AC$1006:$AS$1006,0)))),"Fix")))</f>
        <v>0</v>
      </c>
      <c r="G551" s="5">
        <f>IF(OR(INDEX($W$2:$W$1001,MATCH(ROWS($V$2:V551),$V$2:$V$1001,0),1)&gt;=100000,INDEX($AC$1005:$AS$1005,1,MATCH(COLUMNS($AC$1006:AH1006),$AC$1006:$AS$1006,0))&gt;=100000), " ",IF(INDEX($AC$2:$AS$1001,MATCH(ROWS($V$2:V551),$V$2:$V$1001,0),MATCH(COLUMNS($AC$1006:AH1006),$AC$1006:$AS$1006,0)), HYPERLINK("#",""), HYPERLINK(CONCATENATE("#Metadata!", ADDRESS(INDEX($X$2:$X$1001,MATCH(ROWS($V$2:V551),$V$2:$V$1001,0),0), INDEX($AC$1004:$AS$1004,1,MATCH(COLUMNS($AC$1006:AH1006),$AC$1006:$AS$1006,0)))),"Fix")))</f>
        <v>0</v>
      </c>
      <c r="H551" s="5">
        <f>IF(OR(INDEX($W$2:$W$1001,MATCH(ROWS($V$2:V551),$V$2:$V$1001,0),1)&gt;=100000,INDEX($AC$1005:$AS$1005,1,MATCH(COLUMNS($AC$1006:AI1006),$AC$1006:$AS$1006,0))&gt;=100000), " ",IF(INDEX($AC$2:$AS$1001,MATCH(ROWS($V$2:V551),$V$2:$V$1001,0),MATCH(COLUMNS($AC$1006:AI1006),$AC$1006:$AS$1006,0)), HYPERLINK("#",""), HYPERLINK(CONCATENATE("#Metadata!", ADDRESS(INDEX($X$2:$X$1001,MATCH(ROWS($V$2:V551),$V$2:$V$1001,0),0), INDEX($AC$1004:$AS$1004,1,MATCH(COLUMNS($AC$1006:AI1006),$AC$1006:$AS$1006,0)))),"Fix")))</f>
        <v>0</v>
      </c>
      <c r="I551" s="5">
        <f>IF(OR(INDEX($W$2:$W$1001,MATCH(ROWS($V$2:V551),$V$2:$V$1001,0),1)&gt;=100000,INDEX($AC$1005:$AS$1005,1,MATCH(COLUMNS($AC$1006:AJ1006),$AC$1006:$AS$1006,0))&gt;=100000), " ",IF(INDEX($AC$2:$AS$1001,MATCH(ROWS($V$2:V551),$V$2:$V$1001,0),MATCH(COLUMNS($AC$1006:AJ1006),$AC$1006:$AS$1006,0)), HYPERLINK("#",""), HYPERLINK(CONCATENATE("#Metadata!", ADDRESS(INDEX($X$2:$X$1001,MATCH(ROWS($V$2:V551),$V$2:$V$1001,0),0), INDEX($AC$1004:$AS$1004,1,MATCH(COLUMNS($AC$1006:AJ1006),$AC$1006:$AS$1006,0)))),"Fix")))</f>
        <v>0</v>
      </c>
      <c r="J551" s="5">
        <f>IF(OR(INDEX($W$2:$W$1001,MATCH(ROWS($V$2:V551),$V$2:$V$1001,0),1)&gt;=100000,INDEX($AC$1005:$AS$1005,1,MATCH(COLUMNS($AC$1006:AK1006),$AC$1006:$AS$1006,0))&gt;=100000), " ",IF(INDEX($AC$2:$AS$1001,MATCH(ROWS($V$2:V551),$V$2:$V$1001,0),MATCH(COLUMNS($AC$1006:AK1006),$AC$1006:$AS$1006,0)), HYPERLINK("#",""), HYPERLINK(CONCATENATE("#Metadata!", ADDRESS(INDEX($X$2:$X$1001,MATCH(ROWS($V$2:V551),$V$2:$V$1001,0),0), INDEX($AC$1004:$AS$1004,1,MATCH(COLUMNS($AC$1006:AK1006),$AC$1006:$AS$1006,0)))),"Fix")))</f>
        <v>0</v>
      </c>
      <c r="K551" s="5">
        <f>IF(OR(INDEX($W$2:$W$1001,MATCH(ROWS($V$2:V551),$V$2:$V$1001,0),1)&gt;=100000,INDEX($AC$1005:$AS$1005,1,MATCH(COLUMNS($AC$1006:AL1006),$AC$1006:$AS$1006,0))&gt;=100000), " ",IF(INDEX($AC$2:$AS$1001,MATCH(ROWS($V$2:V551),$V$2:$V$1001,0),MATCH(COLUMNS($AC$1006:AL1006),$AC$1006:$AS$1006,0)), HYPERLINK("#",""), HYPERLINK(CONCATENATE("#Metadata!", ADDRESS(INDEX($X$2:$X$1001,MATCH(ROWS($V$2:V551),$V$2:$V$1001,0),0), INDEX($AC$1004:$AS$1004,1,MATCH(COLUMNS($AC$1006:AL1006),$AC$1006:$AS$1006,0)))),"Fix")))</f>
        <v>0</v>
      </c>
      <c r="L551" s="5">
        <f>IF(OR(INDEX($W$2:$W$1001,MATCH(ROWS($V$2:V551),$V$2:$V$1001,0),1)&gt;=100000,INDEX($AC$1005:$AS$1005,1,MATCH(COLUMNS($AC$1006:AM1006),$AC$1006:$AS$1006,0))&gt;=100000), " ",IF(INDEX($AC$2:$AS$1001,MATCH(ROWS($V$2:V551),$V$2:$V$1001,0),MATCH(COLUMNS($AC$1006:AM1006),$AC$1006:$AS$1006,0)), HYPERLINK("#",""), HYPERLINK(CONCATENATE("#Metadata!", ADDRESS(INDEX($X$2:$X$1001,MATCH(ROWS($V$2:V551),$V$2:$V$1001,0),0), INDEX($AC$1004:$AS$1004,1,MATCH(COLUMNS($AC$1006:AM1006),$AC$1006:$AS$1006,0)))),"Fix")))</f>
        <v>0</v>
      </c>
      <c r="M551" s="5">
        <f>IF(OR(INDEX($W$2:$W$1001,MATCH(ROWS($V$2:V551),$V$2:$V$1001,0),1)&gt;=100000,INDEX($AC$1005:$AS$1005,1,MATCH(COLUMNS($AC$1006:AN1006),$AC$1006:$AS$1006,0))&gt;=100000), " ",IF(INDEX($AC$2:$AS$1001,MATCH(ROWS($V$2:V551),$V$2:$V$1001,0),MATCH(COLUMNS($AC$1006:AN1006),$AC$1006:$AS$1006,0)), HYPERLINK("#",""), HYPERLINK(CONCATENATE("#Metadata!", ADDRESS(INDEX($X$2:$X$1001,MATCH(ROWS($V$2:V551),$V$2:$V$1001,0),0), INDEX($AC$1004:$AS$1004,1,MATCH(COLUMNS($AC$1006:AN1006),$AC$1006:$AS$1006,0)))),"Fix")))</f>
        <v>0</v>
      </c>
      <c r="N551" s="5">
        <f>IF(OR(INDEX($W$2:$W$1001,MATCH(ROWS($V$2:V551),$V$2:$V$1001,0),1)&gt;=100000,INDEX($AC$1005:$AS$1005,1,MATCH(COLUMNS($AC$1006:AO1006),$AC$1006:$AS$1006,0))&gt;=100000), " ",IF(INDEX($AC$2:$AS$1001,MATCH(ROWS($V$2:V551),$V$2:$V$1001,0),MATCH(COLUMNS($AC$1006:AO1006),$AC$1006:$AS$1006,0)), HYPERLINK("#",""), HYPERLINK(CONCATENATE("#Metadata!", ADDRESS(INDEX($X$2:$X$1001,MATCH(ROWS($V$2:V551),$V$2:$V$1001,0),0), INDEX($AC$1004:$AS$1004,1,MATCH(COLUMNS($AC$1006:AO1006),$AC$1006:$AS$1006,0)))),"Fix")))</f>
        <v>0</v>
      </c>
      <c r="O551" s="5">
        <f>IF(OR(INDEX($W$2:$W$1001,MATCH(ROWS($V$2:V551),$V$2:$V$1001,0),1)&gt;=100000,INDEX($AC$1005:$AS$1005,1,MATCH(COLUMNS($AC$1006:AP1006),$AC$1006:$AS$1006,0))&gt;=100000), " ",IF(INDEX($AC$2:$AS$1001,MATCH(ROWS($V$2:V551),$V$2:$V$1001,0),MATCH(COLUMNS($AC$1006:AP1006),$AC$1006:$AS$1006,0)), HYPERLINK("#",""), HYPERLINK(CONCATENATE("#Metadata!", ADDRESS(INDEX($X$2:$X$1001,MATCH(ROWS($V$2:V551),$V$2:$V$1001,0),0), INDEX($AC$1004:$AS$1004,1,MATCH(COLUMNS($AC$1006:AP1006),$AC$1006:$AS$1006,0)))),"Fix")))</f>
        <v>0</v>
      </c>
      <c r="P551" s="5">
        <f>IF(OR(INDEX($W$2:$W$1001,MATCH(ROWS($V$2:V551),$V$2:$V$1001,0),1)&gt;=100000,INDEX($AC$1005:$AS$1005,1,MATCH(COLUMNS($AC$1006:AQ1006),$AC$1006:$AS$1006,0))&gt;=100000), " ",IF(INDEX($AC$2:$AS$1001,MATCH(ROWS($V$2:V551),$V$2:$V$1001,0),MATCH(COLUMNS($AC$1006:AQ1006),$AC$1006:$AS$1006,0)), HYPERLINK("#",""), HYPERLINK(CONCATENATE("#Metadata!", ADDRESS(INDEX($X$2:$X$1001,MATCH(ROWS($V$2:V551),$V$2:$V$1001,0),0), INDEX($AC$1004:$AS$1004,1,MATCH(COLUMNS($AC$1006:AQ1006),$AC$1006:$AS$1006,0)))),"Fix")))</f>
        <v>0</v>
      </c>
      <c r="Q551" s="5">
        <f>IF(OR(INDEX($W$2:$W$1001,MATCH(ROWS($V$2:V551),$V$2:$V$1001,0),1)&gt;=100000,INDEX($AC$1005:$AS$1005,1,MATCH(COLUMNS($AC$1006:AR1006),$AC$1006:$AS$1006,0))&gt;=100000), " ",IF(INDEX($AC$2:$AS$1001,MATCH(ROWS($V$2:V551),$V$2:$V$1001,0),MATCH(COLUMNS($AC$1006:AR1006),$AC$1006:$AS$1006,0)), HYPERLINK("#",""), HYPERLINK(CONCATENATE("#Metadata!", ADDRESS(INDEX($X$2:$X$1001,MATCH(ROWS($V$2:V551),$V$2:$V$1001,0),0), INDEX($AC$1004:$AS$1004,1,MATCH(COLUMNS($AC$1006:AR1006),$AC$1006:$AS$1006,0)))),"Fix")))</f>
        <v>0</v>
      </c>
      <c r="R551" s="5">
        <f>IF(OR(INDEX($W$2:$W$1001,MATCH(ROWS($V$2:V551),$V$2:$V$1001,0),1)&gt;=100000,INDEX($AC$1005:$AS$1005,1,MATCH(COLUMNS($AC$1006:AS1006),$AC$1006:$AS$1006,0))&gt;=100000), " ",IF(INDEX($AC$2:$AS$1001,MATCH(ROWS($V$2:V551),$V$2:$V$1001,0),MATCH(COLUMNS($AC$1006:AS1006),$AC$1006:$AS$1006,0)), HYPERLINK("#",""), HYPERLINK(CONCATENATE("#Metadata!", ADDRESS(INDEX($X$2:$X$1001,MATCH(ROWS($V$2:V551),$V$2:$V$1001,0),0), INDEX($AC$1004:$AS$1004,1,MATCH(COLUMNS($AC$1006:AS1006),$AC$1006:$AS$1006,0)))),"Fix")))</f>
        <v>0</v>
      </c>
      <c r="V551">
        <v>0</v>
      </c>
      <c r="W551">
        <v>0</v>
      </c>
      <c r="X551">
        <v>0</v>
      </c>
      <c r="Y551">
        <f>IF(Z551,TRUE,AND(AC551:AS551))</f>
        <v>0</v>
      </c>
      <c r="Z551">
        <f>COUNTBLANK(Metadata!B551:R551)=COLUMNS(Metadata!B551:R551)</f>
        <v>0</v>
      </c>
      <c r="AA551">
        <v>0</v>
      </c>
      <c r="AC551">
        <f>AND(IF(Metadata!B551="",FALSE,TRUE),COUNTIF(Metadata!B:B, Metadata!B551) = 1,NOT(ISERROR(SUMPRODUCT(SEARCH(MID(Metadata!B551,ROW(INDIRECT("1:"&amp;LEN(Metadata!B551))), 1),"0123456789abcdefghijklmnopqrstuvwxyzABCDEFGHIJKLMNOPQRSTUVWXYZ.")))))</f>
        <v>0</v>
      </c>
      <c r="AD551">
        <f>AND(IF(Metadata!C551="",FALSE,TRUE),exact(Metadata!C551,"Host-associated"))</f>
        <v>0</v>
      </c>
      <c r="AE551">
        <f>AND(IF(Metadata!D551="",FALSE,TRUE),OR(exact(Metadata!D551,"Animal"),exact(Metadata!D551,"Fungus"),exact(Metadata!D551,"Plant")))</f>
        <v>0</v>
      </c>
      <c r="AF551">
        <f>AND(IF(Metadata!E551="",FALSE,TRUE),OR(exact(Metadata!E551,"Plant secretion"),exact(Metadata!E551,"Plant rhizosphere"),exact(Metadata!E551,"Plant surface"),exact(Metadata!E551,"Plant corpus"),exact(Metadata!E551,"Fungus surface"),exact(Metadata!E551,"Fungus corpus"),exact(Metadata!E551,"Animal surface"),exact(Metadata!E551,"Animal proximal gut"),exact(Metadata!E551,"Animal corpus"),exact(Metadata!E551,"Animal distal gut"),exact(Metadata!E551,"Animal secretion")))</f>
        <v>0</v>
      </c>
      <c r="AG551">
        <f>OR(AND(IF(Metadata!F551="",FALSE,TRUE),OR(exact(Metadata!F551,"not collected"),exact(Metadata!F551,"not provided"),exact(Metadata!F551,"restricted access"))),AND(IF(Metadata!F551="",FALSE,TRUE),OR(exact(Metadata!F551,"organism-associated habitat"),exact(Metadata!F551,"plant-associated habitat"),exact(Metadata!F551,"animal-associated habitat"),exact(Metadata!F551,"insecta-associated habitat"),exact(Metadata!F551,"mammalia-associated habitat"),exact(Metadata!F551,"human-associated habitat"),exact(Metadata!F551,"livestock-associated habitat"))))</f>
        <v>0</v>
      </c>
      <c r="AH551">
        <f>AND(IF(Metadata!G551="",FALSE,TRUE),exact(Metadata!G551,"host-associated"))</f>
        <v>0</v>
      </c>
      <c r="AI551">
        <f>OR(AND(IF(Metadata!H551="",FALSE,TRUE),OR(exact(Metadata!H551,"not collected"),exact(Metadata!H551,"not provided"))),AND(IF(Metadata!H551="",FALSE,ISNUMBER(VALUE(Metadata!H551))),Metadata!H551&gt;0))</f>
        <v>0</v>
      </c>
      <c r="AJ551">
        <f>AND(IF(Metadata!I551="",FALSE,TRUE),exact(Metadata!I551,"years"))</f>
        <v>0</v>
      </c>
      <c r="AK551">
        <f>IF(Metadata!J551="",FALSE,TRUE)</f>
        <v>0</v>
      </c>
      <c r="AL551">
        <f>OR(AND(IF(Metadata!K551="",FALSE,TRUE),OR(exact(Metadata!K551,"not collected"),exact(Metadata!K551,"not provided"))),AND(IF(Metadata!K551="",FALSE,ISNUMBER(VALUE(Metadata!K551))),Metadata!K551&gt;0))</f>
        <v>0</v>
      </c>
      <c r="AM551">
        <f>AND(IF(Metadata!L551="",FALSE,TRUE),exact(Metadata!L551,"cm"))</f>
        <v>0</v>
      </c>
      <c r="AN551">
        <f>IF(Metadata!M551="",FALSE,TRUE)</f>
        <v>0</v>
      </c>
      <c r="AO551">
        <f>OR(AND(IF(Metadata!N551="",FALSE,TRUE),OR(exact(Metadata!N551,"not applicable"),exact(Metadata!N551,"not collected"),exact(Metadata!N551,"not provided"))),AND(IF(Metadata!N551="",FALSE,IF(ISERROR(INT(Metadata!N551)),FALSE,INT(Metadata!N551)=Metadata!N551)),Metadata!N551&gt;0))</f>
        <v>0</v>
      </c>
      <c r="AP551">
        <f>OR(AND(IF(Metadata!O551="",FALSE,TRUE),OR(exact(Metadata!O551,"not collected"),exact(Metadata!O551,"not provided"))),AND(IF(Metadata!O551="",FALSE,ISNUMBER(VALUE(Metadata!O551))),Metadata!O551&gt;0))</f>
        <v>0</v>
      </c>
      <c r="AQ551">
        <f>AND(IF(Metadata!P551="",FALSE,TRUE),exact(Metadata!P551,"kg"))</f>
        <v>0</v>
      </c>
      <c r="AR551">
        <f>OR(AND(IF(Metadata!Q551="",FALSE,TRUE),OR(exact(Metadata!Q551,"not applicable"),exact(Metadata!Q551,"not collected"),exact(Metadata!Q551,"not provided"),exact(Metadata!Q551,"restricted access"))),IF(Metadata!Q551="",FALSE,IF(ISERROR(INT(Metadata!Q551)),FALSE,INT(Metadata!Q551)=Metadata!Q551)))</f>
        <v>0</v>
      </c>
      <c r="AS551">
        <f>AND(IF(Metadata!R551="",FALSE,TRUE),exact(Metadata!R551,"Not applicable"))</f>
        <v>0</v>
      </c>
    </row>
    <row r="552" spans="1:45">
      <c r="A552" s="4">
        <f>IF(B552=" "," ",HYPERLINK(CONCATENATE("#metadata!",ADDRESS(INDEX($X$2:$X$1001,MATCH(ROWS($V$2:V552),$V$2:$V$1001,0),0),2)),INDEX($AA$2:$AA$1001,MATCH(ROWS($V$2:V552),$V$2:$V$1001,0),0)))</f>
        <v>0</v>
      </c>
      <c r="B552" s="5">
        <f>IF(OR(INDEX($W$2:$W$1001,MATCH(ROWS($V$2:V552),$V$2:$V$1001,0),1)&gt;=100000,INDEX($AC$1005:$AS$1005,1,MATCH(COLUMNS($AC$1006:AC1006),$AC$1006:$AS$1006,0))&gt;=100000), " ",IF(INDEX($AC$2:$AS$1001,MATCH(ROWS($V$2:V552),$V$2:$V$1001,0),MATCH(COLUMNS($AC$1006:AC1006),$AC$1006:$AS$1006,0)), HYPERLINK("#",""), HYPERLINK(CONCATENATE("#Metadata!", ADDRESS(INDEX($X$2:$X$1001,MATCH(ROWS($V$2:V552),$V$2:$V$1001,0),0), INDEX($AC$1004:$AS$1004,1,MATCH(COLUMNS($AC$1006:AC1006),$AC$1006:$AS$1006,0)))),"Fix")))</f>
        <v>0</v>
      </c>
      <c r="C552" s="5">
        <f>IF(OR(INDEX($W$2:$W$1001,MATCH(ROWS($V$2:V552),$V$2:$V$1001,0),1)&gt;=100000,INDEX($AC$1005:$AS$1005,1,MATCH(COLUMNS($AC$1006:AD1006),$AC$1006:$AS$1006,0))&gt;=100000), " ",IF(INDEX($AC$2:$AS$1001,MATCH(ROWS($V$2:V552),$V$2:$V$1001,0),MATCH(COLUMNS($AC$1006:AD1006),$AC$1006:$AS$1006,0)), HYPERLINK("#",""), HYPERLINK(CONCATENATE("#Metadata!", ADDRESS(INDEX($X$2:$X$1001,MATCH(ROWS($V$2:V552),$V$2:$V$1001,0),0), INDEX($AC$1004:$AS$1004,1,MATCH(COLUMNS($AC$1006:AD1006),$AC$1006:$AS$1006,0)))),"Fix")))</f>
        <v>0</v>
      </c>
      <c r="D552" s="5">
        <f>IF(OR(INDEX($W$2:$W$1001,MATCH(ROWS($V$2:V552),$V$2:$V$1001,0),1)&gt;=100000,INDEX($AC$1005:$AS$1005,1,MATCH(COLUMNS($AC$1006:AE1006),$AC$1006:$AS$1006,0))&gt;=100000), " ",IF(INDEX($AC$2:$AS$1001,MATCH(ROWS($V$2:V552),$V$2:$V$1001,0),MATCH(COLUMNS($AC$1006:AE1006),$AC$1006:$AS$1006,0)), HYPERLINK("#",""), HYPERLINK(CONCATENATE("#Metadata!", ADDRESS(INDEX($X$2:$X$1001,MATCH(ROWS($V$2:V552),$V$2:$V$1001,0),0), INDEX($AC$1004:$AS$1004,1,MATCH(COLUMNS($AC$1006:AE1006),$AC$1006:$AS$1006,0)))),"Fix")))</f>
        <v>0</v>
      </c>
      <c r="E552" s="5">
        <f>IF(OR(INDEX($W$2:$W$1001,MATCH(ROWS($V$2:V552),$V$2:$V$1001,0),1)&gt;=100000,INDEX($AC$1005:$AS$1005,1,MATCH(COLUMNS($AC$1006:AF1006),$AC$1006:$AS$1006,0))&gt;=100000), " ",IF(INDEX($AC$2:$AS$1001,MATCH(ROWS($V$2:V552),$V$2:$V$1001,0),MATCH(COLUMNS($AC$1006:AF1006),$AC$1006:$AS$1006,0)), HYPERLINK("#",""), HYPERLINK(CONCATENATE("#Metadata!", ADDRESS(INDEX($X$2:$X$1001,MATCH(ROWS($V$2:V552),$V$2:$V$1001,0),0), INDEX($AC$1004:$AS$1004,1,MATCH(COLUMNS($AC$1006:AF1006),$AC$1006:$AS$1006,0)))),"Fix")))</f>
        <v>0</v>
      </c>
      <c r="F552" s="5">
        <f>IF(OR(INDEX($W$2:$W$1001,MATCH(ROWS($V$2:V552),$V$2:$V$1001,0),1)&gt;=100000,INDEX($AC$1005:$AS$1005,1,MATCH(COLUMNS($AC$1006:AG1006),$AC$1006:$AS$1006,0))&gt;=100000), " ",IF(INDEX($AC$2:$AS$1001,MATCH(ROWS($V$2:V552),$V$2:$V$1001,0),MATCH(COLUMNS($AC$1006:AG1006),$AC$1006:$AS$1006,0)), HYPERLINK("#",""), HYPERLINK(CONCATENATE("#Metadata!", ADDRESS(INDEX($X$2:$X$1001,MATCH(ROWS($V$2:V552),$V$2:$V$1001,0),0), INDEX($AC$1004:$AS$1004,1,MATCH(COLUMNS($AC$1006:AG1006),$AC$1006:$AS$1006,0)))),"Fix")))</f>
        <v>0</v>
      </c>
      <c r="G552" s="5">
        <f>IF(OR(INDEX($W$2:$W$1001,MATCH(ROWS($V$2:V552),$V$2:$V$1001,0),1)&gt;=100000,INDEX($AC$1005:$AS$1005,1,MATCH(COLUMNS($AC$1006:AH1006),$AC$1006:$AS$1006,0))&gt;=100000), " ",IF(INDEX($AC$2:$AS$1001,MATCH(ROWS($V$2:V552),$V$2:$V$1001,0),MATCH(COLUMNS($AC$1006:AH1006),$AC$1006:$AS$1006,0)), HYPERLINK("#",""), HYPERLINK(CONCATENATE("#Metadata!", ADDRESS(INDEX($X$2:$X$1001,MATCH(ROWS($V$2:V552),$V$2:$V$1001,0),0), INDEX($AC$1004:$AS$1004,1,MATCH(COLUMNS($AC$1006:AH1006),$AC$1006:$AS$1006,0)))),"Fix")))</f>
        <v>0</v>
      </c>
      <c r="H552" s="5">
        <f>IF(OR(INDEX($W$2:$W$1001,MATCH(ROWS($V$2:V552),$V$2:$V$1001,0),1)&gt;=100000,INDEX($AC$1005:$AS$1005,1,MATCH(COLUMNS($AC$1006:AI1006),$AC$1006:$AS$1006,0))&gt;=100000), " ",IF(INDEX($AC$2:$AS$1001,MATCH(ROWS($V$2:V552),$V$2:$V$1001,0),MATCH(COLUMNS($AC$1006:AI1006),$AC$1006:$AS$1006,0)), HYPERLINK("#",""), HYPERLINK(CONCATENATE("#Metadata!", ADDRESS(INDEX($X$2:$X$1001,MATCH(ROWS($V$2:V552),$V$2:$V$1001,0),0), INDEX($AC$1004:$AS$1004,1,MATCH(COLUMNS($AC$1006:AI1006),$AC$1006:$AS$1006,0)))),"Fix")))</f>
        <v>0</v>
      </c>
      <c r="I552" s="5">
        <f>IF(OR(INDEX($W$2:$W$1001,MATCH(ROWS($V$2:V552),$V$2:$V$1001,0),1)&gt;=100000,INDEX($AC$1005:$AS$1005,1,MATCH(COLUMNS($AC$1006:AJ1006),$AC$1006:$AS$1006,0))&gt;=100000), " ",IF(INDEX($AC$2:$AS$1001,MATCH(ROWS($V$2:V552),$V$2:$V$1001,0),MATCH(COLUMNS($AC$1006:AJ1006),$AC$1006:$AS$1006,0)), HYPERLINK("#",""), HYPERLINK(CONCATENATE("#Metadata!", ADDRESS(INDEX($X$2:$X$1001,MATCH(ROWS($V$2:V552),$V$2:$V$1001,0),0), INDEX($AC$1004:$AS$1004,1,MATCH(COLUMNS($AC$1006:AJ1006),$AC$1006:$AS$1006,0)))),"Fix")))</f>
        <v>0</v>
      </c>
      <c r="J552" s="5">
        <f>IF(OR(INDEX($W$2:$W$1001,MATCH(ROWS($V$2:V552),$V$2:$V$1001,0),1)&gt;=100000,INDEX($AC$1005:$AS$1005,1,MATCH(COLUMNS($AC$1006:AK1006),$AC$1006:$AS$1006,0))&gt;=100000), " ",IF(INDEX($AC$2:$AS$1001,MATCH(ROWS($V$2:V552),$V$2:$V$1001,0),MATCH(COLUMNS($AC$1006:AK1006),$AC$1006:$AS$1006,0)), HYPERLINK("#",""), HYPERLINK(CONCATENATE("#Metadata!", ADDRESS(INDEX($X$2:$X$1001,MATCH(ROWS($V$2:V552),$V$2:$V$1001,0),0), INDEX($AC$1004:$AS$1004,1,MATCH(COLUMNS($AC$1006:AK1006),$AC$1006:$AS$1006,0)))),"Fix")))</f>
        <v>0</v>
      </c>
      <c r="K552" s="5">
        <f>IF(OR(INDEX($W$2:$W$1001,MATCH(ROWS($V$2:V552),$V$2:$V$1001,0),1)&gt;=100000,INDEX($AC$1005:$AS$1005,1,MATCH(COLUMNS($AC$1006:AL1006),$AC$1006:$AS$1006,0))&gt;=100000), " ",IF(INDEX($AC$2:$AS$1001,MATCH(ROWS($V$2:V552),$V$2:$V$1001,0),MATCH(COLUMNS($AC$1006:AL1006),$AC$1006:$AS$1006,0)), HYPERLINK("#",""), HYPERLINK(CONCATENATE("#Metadata!", ADDRESS(INDEX($X$2:$X$1001,MATCH(ROWS($V$2:V552),$V$2:$V$1001,0),0), INDEX($AC$1004:$AS$1004,1,MATCH(COLUMNS($AC$1006:AL1006),$AC$1006:$AS$1006,0)))),"Fix")))</f>
        <v>0</v>
      </c>
      <c r="L552" s="5">
        <f>IF(OR(INDEX($W$2:$W$1001,MATCH(ROWS($V$2:V552),$V$2:$V$1001,0),1)&gt;=100000,INDEX($AC$1005:$AS$1005,1,MATCH(COLUMNS($AC$1006:AM1006),$AC$1006:$AS$1006,0))&gt;=100000), " ",IF(INDEX($AC$2:$AS$1001,MATCH(ROWS($V$2:V552),$V$2:$V$1001,0),MATCH(COLUMNS($AC$1006:AM1006),$AC$1006:$AS$1006,0)), HYPERLINK("#",""), HYPERLINK(CONCATENATE("#Metadata!", ADDRESS(INDEX($X$2:$X$1001,MATCH(ROWS($V$2:V552),$V$2:$V$1001,0),0), INDEX($AC$1004:$AS$1004,1,MATCH(COLUMNS($AC$1006:AM1006),$AC$1006:$AS$1006,0)))),"Fix")))</f>
        <v>0</v>
      </c>
      <c r="M552" s="5">
        <f>IF(OR(INDEX($W$2:$W$1001,MATCH(ROWS($V$2:V552),$V$2:$V$1001,0),1)&gt;=100000,INDEX($AC$1005:$AS$1005,1,MATCH(COLUMNS($AC$1006:AN1006),$AC$1006:$AS$1006,0))&gt;=100000), " ",IF(INDEX($AC$2:$AS$1001,MATCH(ROWS($V$2:V552),$V$2:$V$1001,0),MATCH(COLUMNS($AC$1006:AN1006),$AC$1006:$AS$1006,0)), HYPERLINK("#",""), HYPERLINK(CONCATENATE("#Metadata!", ADDRESS(INDEX($X$2:$X$1001,MATCH(ROWS($V$2:V552),$V$2:$V$1001,0),0), INDEX($AC$1004:$AS$1004,1,MATCH(COLUMNS($AC$1006:AN1006),$AC$1006:$AS$1006,0)))),"Fix")))</f>
        <v>0</v>
      </c>
      <c r="N552" s="5">
        <f>IF(OR(INDEX($W$2:$W$1001,MATCH(ROWS($V$2:V552),$V$2:$V$1001,0),1)&gt;=100000,INDEX($AC$1005:$AS$1005,1,MATCH(COLUMNS($AC$1006:AO1006),$AC$1006:$AS$1006,0))&gt;=100000), " ",IF(INDEX($AC$2:$AS$1001,MATCH(ROWS($V$2:V552),$V$2:$V$1001,0),MATCH(COLUMNS($AC$1006:AO1006),$AC$1006:$AS$1006,0)), HYPERLINK("#",""), HYPERLINK(CONCATENATE("#Metadata!", ADDRESS(INDEX($X$2:$X$1001,MATCH(ROWS($V$2:V552),$V$2:$V$1001,0),0), INDEX($AC$1004:$AS$1004,1,MATCH(COLUMNS($AC$1006:AO1006),$AC$1006:$AS$1006,0)))),"Fix")))</f>
        <v>0</v>
      </c>
      <c r="O552" s="5">
        <f>IF(OR(INDEX($W$2:$W$1001,MATCH(ROWS($V$2:V552),$V$2:$V$1001,0),1)&gt;=100000,INDEX($AC$1005:$AS$1005,1,MATCH(COLUMNS($AC$1006:AP1006),$AC$1006:$AS$1006,0))&gt;=100000), " ",IF(INDEX($AC$2:$AS$1001,MATCH(ROWS($V$2:V552),$V$2:$V$1001,0),MATCH(COLUMNS($AC$1006:AP1006),$AC$1006:$AS$1006,0)), HYPERLINK("#",""), HYPERLINK(CONCATENATE("#Metadata!", ADDRESS(INDEX($X$2:$X$1001,MATCH(ROWS($V$2:V552),$V$2:$V$1001,0),0), INDEX($AC$1004:$AS$1004,1,MATCH(COLUMNS($AC$1006:AP1006),$AC$1006:$AS$1006,0)))),"Fix")))</f>
        <v>0</v>
      </c>
      <c r="P552" s="5">
        <f>IF(OR(INDEX($W$2:$W$1001,MATCH(ROWS($V$2:V552),$V$2:$V$1001,0),1)&gt;=100000,INDEX($AC$1005:$AS$1005,1,MATCH(COLUMNS($AC$1006:AQ1006),$AC$1006:$AS$1006,0))&gt;=100000), " ",IF(INDEX($AC$2:$AS$1001,MATCH(ROWS($V$2:V552),$V$2:$V$1001,0),MATCH(COLUMNS($AC$1006:AQ1006),$AC$1006:$AS$1006,0)), HYPERLINK("#",""), HYPERLINK(CONCATENATE("#Metadata!", ADDRESS(INDEX($X$2:$X$1001,MATCH(ROWS($V$2:V552),$V$2:$V$1001,0),0), INDEX($AC$1004:$AS$1004,1,MATCH(COLUMNS($AC$1006:AQ1006),$AC$1006:$AS$1006,0)))),"Fix")))</f>
        <v>0</v>
      </c>
      <c r="Q552" s="5">
        <f>IF(OR(INDEX($W$2:$W$1001,MATCH(ROWS($V$2:V552),$V$2:$V$1001,0),1)&gt;=100000,INDEX($AC$1005:$AS$1005,1,MATCH(COLUMNS($AC$1006:AR1006),$AC$1006:$AS$1006,0))&gt;=100000), " ",IF(INDEX($AC$2:$AS$1001,MATCH(ROWS($V$2:V552),$V$2:$V$1001,0),MATCH(COLUMNS($AC$1006:AR1006),$AC$1006:$AS$1006,0)), HYPERLINK("#",""), HYPERLINK(CONCATENATE("#Metadata!", ADDRESS(INDEX($X$2:$X$1001,MATCH(ROWS($V$2:V552),$V$2:$V$1001,0),0), INDEX($AC$1004:$AS$1004,1,MATCH(COLUMNS($AC$1006:AR1006),$AC$1006:$AS$1006,0)))),"Fix")))</f>
        <v>0</v>
      </c>
      <c r="R552" s="5">
        <f>IF(OR(INDEX($W$2:$W$1001,MATCH(ROWS($V$2:V552),$V$2:$V$1001,0),1)&gt;=100000,INDEX($AC$1005:$AS$1005,1,MATCH(COLUMNS($AC$1006:AS1006),$AC$1006:$AS$1006,0))&gt;=100000), " ",IF(INDEX($AC$2:$AS$1001,MATCH(ROWS($V$2:V552),$V$2:$V$1001,0),MATCH(COLUMNS($AC$1006:AS1006),$AC$1006:$AS$1006,0)), HYPERLINK("#",""), HYPERLINK(CONCATENATE("#Metadata!", ADDRESS(INDEX($X$2:$X$1001,MATCH(ROWS($V$2:V552),$V$2:$V$1001,0),0), INDEX($AC$1004:$AS$1004,1,MATCH(COLUMNS($AC$1006:AS1006),$AC$1006:$AS$1006,0)))),"Fix")))</f>
        <v>0</v>
      </c>
      <c r="V552">
        <v>0</v>
      </c>
      <c r="W552">
        <v>0</v>
      </c>
      <c r="X552">
        <v>0</v>
      </c>
      <c r="Y552">
        <f>IF(Z552,TRUE,AND(AC552:AS552))</f>
        <v>0</v>
      </c>
      <c r="Z552">
        <f>COUNTBLANK(Metadata!B552:R552)=COLUMNS(Metadata!B552:R552)</f>
        <v>0</v>
      </c>
      <c r="AA552">
        <v>0</v>
      </c>
      <c r="AC552">
        <f>AND(IF(Metadata!B552="",FALSE,TRUE),COUNTIF(Metadata!B:B, Metadata!B552) = 1,NOT(ISERROR(SUMPRODUCT(SEARCH(MID(Metadata!B552,ROW(INDIRECT("1:"&amp;LEN(Metadata!B552))), 1),"0123456789abcdefghijklmnopqrstuvwxyzABCDEFGHIJKLMNOPQRSTUVWXYZ.")))))</f>
        <v>0</v>
      </c>
      <c r="AD552">
        <f>AND(IF(Metadata!C552="",FALSE,TRUE),exact(Metadata!C552,"Host-associated"))</f>
        <v>0</v>
      </c>
      <c r="AE552">
        <f>AND(IF(Metadata!D552="",FALSE,TRUE),OR(exact(Metadata!D552,"Animal"),exact(Metadata!D552,"Fungus"),exact(Metadata!D552,"Plant")))</f>
        <v>0</v>
      </c>
      <c r="AF552">
        <f>AND(IF(Metadata!E552="",FALSE,TRUE),OR(exact(Metadata!E552,"Plant secretion"),exact(Metadata!E552,"Plant rhizosphere"),exact(Metadata!E552,"Plant surface"),exact(Metadata!E552,"Plant corpus"),exact(Metadata!E552,"Fungus surface"),exact(Metadata!E552,"Fungus corpus"),exact(Metadata!E552,"Animal surface"),exact(Metadata!E552,"Animal proximal gut"),exact(Metadata!E552,"Animal corpus"),exact(Metadata!E552,"Animal distal gut"),exact(Metadata!E552,"Animal secretion")))</f>
        <v>0</v>
      </c>
      <c r="AG552">
        <f>OR(AND(IF(Metadata!F552="",FALSE,TRUE),OR(exact(Metadata!F552,"not collected"),exact(Metadata!F552,"not provided"),exact(Metadata!F552,"restricted access"))),AND(IF(Metadata!F552="",FALSE,TRUE),OR(exact(Metadata!F552,"organism-associated habitat"),exact(Metadata!F552,"plant-associated habitat"),exact(Metadata!F552,"animal-associated habitat"),exact(Metadata!F552,"insecta-associated habitat"),exact(Metadata!F552,"mammalia-associated habitat"),exact(Metadata!F552,"human-associated habitat"),exact(Metadata!F552,"livestock-associated habitat"))))</f>
        <v>0</v>
      </c>
      <c r="AH552">
        <f>AND(IF(Metadata!G552="",FALSE,TRUE),exact(Metadata!G552,"host-associated"))</f>
        <v>0</v>
      </c>
      <c r="AI552">
        <f>OR(AND(IF(Metadata!H552="",FALSE,TRUE),OR(exact(Metadata!H552,"not collected"),exact(Metadata!H552,"not provided"))),AND(IF(Metadata!H552="",FALSE,ISNUMBER(VALUE(Metadata!H552))),Metadata!H552&gt;0))</f>
        <v>0</v>
      </c>
      <c r="AJ552">
        <f>AND(IF(Metadata!I552="",FALSE,TRUE),exact(Metadata!I552,"years"))</f>
        <v>0</v>
      </c>
      <c r="AK552">
        <f>IF(Metadata!J552="",FALSE,TRUE)</f>
        <v>0</v>
      </c>
      <c r="AL552">
        <f>OR(AND(IF(Metadata!K552="",FALSE,TRUE),OR(exact(Metadata!K552,"not collected"),exact(Metadata!K552,"not provided"))),AND(IF(Metadata!K552="",FALSE,ISNUMBER(VALUE(Metadata!K552))),Metadata!K552&gt;0))</f>
        <v>0</v>
      </c>
      <c r="AM552">
        <f>AND(IF(Metadata!L552="",FALSE,TRUE),exact(Metadata!L552,"cm"))</f>
        <v>0</v>
      </c>
      <c r="AN552">
        <f>IF(Metadata!M552="",FALSE,TRUE)</f>
        <v>0</v>
      </c>
      <c r="AO552">
        <f>OR(AND(IF(Metadata!N552="",FALSE,TRUE),OR(exact(Metadata!N552,"not applicable"),exact(Metadata!N552,"not collected"),exact(Metadata!N552,"not provided"))),AND(IF(Metadata!N552="",FALSE,IF(ISERROR(INT(Metadata!N552)),FALSE,INT(Metadata!N552)=Metadata!N552)),Metadata!N552&gt;0))</f>
        <v>0</v>
      </c>
      <c r="AP552">
        <f>OR(AND(IF(Metadata!O552="",FALSE,TRUE),OR(exact(Metadata!O552,"not collected"),exact(Metadata!O552,"not provided"))),AND(IF(Metadata!O552="",FALSE,ISNUMBER(VALUE(Metadata!O552))),Metadata!O552&gt;0))</f>
        <v>0</v>
      </c>
      <c r="AQ552">
        <f>AND(IF(Metadata!P552="",FALSE,TRUE),exact(Metadata!P552,"kg"))</f>
        <v>0</v>
      </c>
      <c r="AR552">
        <f>OR(AND(IF(Metadata!Q552="",FALSE,TRUE),OR(exact(Metadata!Q552,"not applicable"),exact(Metadata!Q552,"not collected"),exact(Metadata!Q552,"not provided"),exact(Metadata!Q552,"restricted access"))),IF(Metadata!Q552="",FALSE,IF(ISERROR(INT(Metadata!Q552)),FALSE,INT(Metadata!Q552)=Metadata!Q552)))</f>
        <v>0</v>
      </c>
      <c r="AS552">
        <f>AND(IF(Metadata!R552="",FALSE,TRUE),exact(Metadata!R552,"Not applicable"))</f>
        <v>0</v>
      </c>
    </row>
    <row r="553" spans="1:45">
      <c r="A553" s="4">
        <f>IF(B553=" "," ",HYPERLINK(CONCATENATE("#metadata!",ADDRESS(INDEX($X$2:$X$1001,MATCH(ROWS($V$2:V553),$V$2:$V$1001,0),0),2)),INDEX($AA$2:$AA$1001,MATCH(ROWS($V$2:V553),$V$2:$V$1001,0),0)))</f>
        <v>0</v>
      </c>
      <c r="B553" s="5">
        <f>IF(OR(INDEX($W$2:$W$1001,MATCH(ROWS($V$2:V553),$V$2:$V$1001,0),1)&gt;=100000,INDEX($AC$1005:$AS$1005,1,MATCH(COLUMNS($AC$1006:AC1006),$AC$1006:$AS$1006,0))&gt;=100000), " ",IF(INDEX($AC$2:$AS$1001,MATCH(ROWS($V$2:V553),$V$2:$V$1001,0),MATCH(COLUMNS($AC$1006:AC1006),$AC$1006:$AS$1006,0)), HYPERLINK("#",""), HYPERLINK(CONCATENATE("#Metadata!", ADDRESS(INDEX($X$2:$X$1001,MATCH(ROWS($V$2:V553),$V$2:$V$1001,0),0), INDEX($AC$1004:$AS$1004,1,MATCH(COLUMNS($AC$1006:AC1006),$AC$1006:$AS$1006,0)))),"Fix")))</f>
        <v>0</v>
      </c>
      <c r="C553" s="5">
        <f>IF(OR(INDEX($W$2:$W$1001,MATCH(ROWS($V$2:V553),$V$2:$V$1001,0),1)&gt;=100000,INDEX($AC$1005:$AS$1005,1,MATCH(COLUMNS($AC$1006:AD1006),$AC$1006:$AS$1006,0))&gt;=100000), " ",IF(INDEX($AC$2:$AS$1001,MATCH(ROWS($V$2:V553),$V$2:$V$1001,0),MATCH(COLUMNS($AC$1006:AD1006),$AC$1006:$AS$1006,0)), HYPERLINK("#",""), HYPERLINK(CONCATENATE("#Metadata!", ADDRESS(INDEX($X$2:$X$1001,MATCH(ROWS($V$2:V553),$V$2:$V$1001,0),0), INDEX($AC$1004:$AS$1004,1,MATCH(COLUMNS($AC$1006:AD1006),$AC$1006:$AS$1006,0)))),"Fix")))</f>
        <v>0</v>
      </c>
      <c r="D553" s="5">
        <f>IF(OR(INDEX($W$2:$W$1001,MATCH(ROWS($V$2:V553),$V$2:$V$1001,0),1)&gt;=100000,INDEX($AC$1005:$AS$1005,1,MATCH(COLUMNS($AC$1006:AE1006),$AC$1006:$AS$1006,0))&gt;=100000), " ",IF(INDEX($AC$2:$AS$1001,MATCH(ROWS($V$2:V553),$V$2:$V$1001,0),MATCH(COLUMNS($AC$1006:AE1006),$AC$1006:$AS$1006,0)), HYPERLINK("#",""), HYPERLINK(CONCATENATE("#Metadata!", ADDRESS(INDEX($X$2:$X$1001,MATCH(ROWS($V$2:V553),$V$2:$V$1001,0),0), INDEX($AC$1004:$AS$1004,1,MATCH(COLUMNS($AC$1006:AE1006),$AC$1006:$AS$1006,0)))),"Fix")))</f>
        <v>0</v>
      </c>
      <c r="E553" s="5">
        <f>IF(OR(INDEX($W$2:$W$1001,MATCH(ROWS($V$2:V553),$V$2:$V$1001,0),1)&gt;=100000,INDEX($AC$1005:$AS$1005,1,MATCH(COLUMNS($AC$1006:AF1006),$AC$1006:$AS$1006,0))&gt;=100000), " ",IF(INDEX($AC$2:$AS$1001,MATCH(ROWS($V$2:V553),$V$2:$V$1001,0),MATCH(COLUMNS($AC$1006:AF1006),$AC$1006:$AS$1006,0)), HYPERLINK("#",""), HYPERLINK(CONCATENATE("#Metadata!", ADDRESS(INDEX($X$2:$X$1001,MATCH(ROWS($V$2:V553),$V$2:$V$1001,0),0), INDEX($AC$1004:$AS$1004,1,MATCH(COLUMNS($AC$1006:AF1006),$AC$1006:$AS$1006,0)))),"Fix")))</f>
        <v>0</v>
      </c>
      <c r="F553" s="5">
        <f>IF(OR(INDEX($W$2:$W$1001,MATCH(ROWS($V$2:V553),$V$2:$V$1001,0),1)&gt;=100000,INDEX($AC$1005:$AS$1005,1,MATCH(COLUMNS($AC$1006:AG1006),$AC$1006:$AS$1006,0))&gt;=100000), " ",IF(INDEX($AC$2:$AS$1001,MATCH(ROWS($V$2:V553),$V$2:$V$1001,0),MATCH(COLUMNS($AC$1006:AG1006),$AC$1006:$AS$1006,0)), HYPERLINK("#",""), HYPERLINK(CONCATENATE("#Metadata!", ADDRESS(INDEX($X$2:$X$1001,MATCH(ROWS($V$2:V553),$V$2:$V$1001,0),0), INDEX($AC$1004:$AS$1004,1,MATCH(COLUMNS($AC$1006:AG1006),$AC$1006:$AS$1006,0)))),"Fix")))</f>
        <v>0</v>
      </c>
      <c r="G553" s="5">
        <f>IF(OR(INDEX($W$2:$W$1001,MATCH(ROWS($V$2:V553),$V$2:$V$1001,0),1)&gt;=100000,INDEX($AC$1005:$AS$1005,1,MATCH(COLUMNS($AC$1006:AH1006),$AC$1006:$AS$1006,0))&gt;=100000), " ",IF(INDEX($AC$2:$AS$1001,MATCH(ROWS($V$2:V553),$V$2:$V$1001,0),MATCH(COLUMNS($AC$1006:AH1006),$AC$1006:$AS$1006,0)), HYPERLINK("#",""), HYPERLINK(CONCATENATE("#Metadata!", ADDRESS(INDEX($X$2:$X$1001,MATCH(ROWS($V$2:V553),$V$2:$V$1001,0),0), INDEX($AC$1004:$AS$1004,1,MATCH(COLUMNS($AC$1006:AH1006),$AC$1006:$AS$1006,0)))),"Fix")))</f>
        <v>0</v>
      </c>
      <c r="H553" s="5">
        <f>IF(OR(INDEX($W$2:$W$1001,MATCH(ROWS($V$2:V553),$V$2:$V$1001,0),1)&gt;=100000,INDEX($AC$1005:$AS$1005,1,MATCH(COLUMNS($AC$1006:AI1006),$AC$1006:$AS$1006,0))&gt;=100000), " ",IF(INDEX($AC$2:$AS$1001,MATCH(ROWS($V$2:V553),$V$2:$V$1001,0),MATCH(COLUMNS($AC$1006:AI1006),$AC$1006:$AS$1006,0)), HYPERLINK("#",""), HYPERLINK(CONCATENATE("#Metadata!", ADDRESS(INDEX($X$2:$X$1001,MATCH(ROWS($V$2:V553),$V$2:$V$1001,0),0), INDEX($AC$1004:$AS$1004,1,MATCH(COLUMNS($AC$1006:AI1006),$AC$1006:$AS$1006,0)))),"Fix")))</f>
        <v>0</v>
      </c>
      <c r="I553" s="5">
        <f>IF(OR(INDEX($W$2:$W$1001,MATCH(ROWS($V$2:V553),$V$2:$V$1001,0),1)&gt;=100000,INDEX($AC$1005:$AS$1005,1,MATCH(COLUMNS($AC$1006:AJ1006),$AC$1006:$AS$1006,0))&gt;=100000), " ",IF(INDEX($AC$2:$AS$1001,MATCH(ROWS($V$2:V553),$V$2:$V$1001,0),MATCH(COLUMNS($AC$1006:AJ1006),$AC$1006:$AS$1006,0)), HYPERLINK("#",""), HYPERLINK(CONCATENATE("#Metadata!", ADDRESS(INDEX($X$2:$X$1001,MATCH(ROWS($V$2:V553),$V$2:$V$1001,0),0), INDEX($AC$1004:$AS$1004,1,MATCH(COLUMNS($AC$1006:AJ1006),$AC$1006:$AS$1006,0)))),"Fix")))</f>
        <v>0</v>
      </c>
      <c r="J553" s="5">
        <f>IF(OR(INDEX($W$2:$W$1001,MATCH(ROWS($V$2:V553),$V$2:$V$1001,0),1)&gt;=100000,INDEX($AC$1005:$AS$1005,1,MATCH(COLUMNS($AC$1006:AK1006),$AC$1006:$AS$1006,0))&gt;=100000), " ",IF(INDEX($AC$2:$AS$1001,MATCH(ROWS($V$2:V553),$V$2:$V$1001,0),MATCH(COLUMNS($AC$1006:AK1006),$AC$1006:$AS$1006,0)), HYPERLINK("#",""), HYPERLINK(CONCATENATE("#Metadata!", ADDRESS(INDEX($X$2:$X$1001,MATCH(ROWS($V$2:V553),$V$2:$V$1001,0),0), INDEX($AC$1004:$AS$1004,1,MATCH(COLUMNS($AC$1006:AK1006),$AC$1006:$AS$1006,0)))),"Fix")))</f>
        <v>0</v>
      </c>
      <c r="K553" s="5">
        <f>IF(OR(INDEX($W$2:$W$1001,MATCH(ROWS($V$2:V553),$V$2:$V$1001,0),1)&gt;=100000,INDEX($AC$1005:$AS$1005,1,MATCH(COLUMNS($AC$1006:AL1006),$AC$1006:$AS$1006,0))&gt;=100000), " ",IF(INDEX($AC$2:$AS$1001,MATCH(ROWS($V$2:V553),$V$2:$V$1001,0),MATCH(COLUMNS($AC$1006:AL1006),$AC$1006:$AS$1006,0)), HYPERLINK("#",""), HYPERLINK(CONCATENATE("#Metadata!", ADDRESS(INDEX($X$2:$X$1001,MATCH(ROWS($V$2:V553),$V$2:$V$1001,0),0), INDEX($AC$1004:$AS$1004,1,MATCH(COLUMNS($AC$1006:AL1006),$AC$1006:$AS$1006,0)))),"Fix")))</f>
        <v>0</v>
      </c>
      <c r="L553" s="5">
        <f>IF(OR(INDEX($W$2:$W$1001,MATCH(ROWS($V$2:V553),$V$2:$V$1001,0),1)&gt;=100000,INDEX($AC$1005:$AS$1005,1,MATCH(COLUMNS($AC$1006:AM1006),$AC$1006:$AS$1006,0))&gt;=100000), " ",IF(INDEX($AC$2:$AS$1001,MATCH(ROWS($V$2:V553),$V$2:$V$1001,0),MATCH(COLUMNS($AC$1006:AM1006),$AC$1006:$AS$1006,0)), HYPERLINK("#",""), HYPERLINK(CONCATENATE("#Metadata!", ADDRESS(INDEX($X$2:$X$1001,MATCH(ROWS($V$2:V553),$V$2:$V$1001,0),0), INDEX($AC$1004:$AS$1004,1,MATCH(COLUMNS($AC$1006:AM1006),$AC$1006:$AS$1006,0)))),"Fix")))</f>
        <v>0</v>
      </c>
      <c r="M553" s="5">
        <f>IF(OR(INDEX($W$2:$W$1001,MATCH(ROWS($V$2:V553),$V$2:$V$1001,0),1)&gt;=100000,INDEX($AC$1005:$AS$1005,1,MATCH(COLUMNS($AC$1006:AN1006),$AC$1006:$AS$1006,0))&gt;=100000), " ",IF(INDEX($AC$2:$AS$1001,MATCH(ROWS($V$2:V553),$V$2:$V$1001,0),MATCH(COLUMNS($AC$1006:AN1006),$AC$1006:$AS$1006,0)), HYPERLINK("#",""), HYPERLINK(CONCATENATE("#Metadata!", ADDRESS(INDEX($X$2:$X$1001,MATCH(ROWS($V$2:V553),$V$2:$V$1001,0),0), INDEX($AC$1004:$AS$1004,1,MATCH(COLUMNS($AC$1006:AN1006),$AC$1006:$AS$1006,0)))),"Fix")))</f>
        <v>0</v>
      </c>
      <c r="N553" s="5">
        <f>IF(OR(INDEX($W$2:$W$1001,MATCH(ROWS($V$2:V553),$V$2:$V$1001,0),1)&gt;=100000,INDEX($AC$1005:$AS$1005,1,MATCH(COLUMNS($AC$1006:AO1006),$AC$1006:$AS$1006,0))&gt;=100000), " ",IF(INDEX($AC$2:$AS$1001,MATCH(ROWS($V$2:V553),$V$2:$V$1001,0),MATCH(COLUMNS($AC$1006:AO1006),$AC$1006:$AS$1006,0)), HYPERLINK("#",""), HYPERLINK(CONCATENATE("#Metadata!", ADDRESS(INDEX($X$2:$X$1001,MATCH(ROWS($V$2:V553),$V$2:$V$1001,0),0), INDEX($AC$1004:$AS$1004,1,MATCH(COLUMNS($AC$1006:AO1006),$AC$1006:$AS$1006,0)))),"Fix")))</f>
        <v>0</v>
      </c>
      <c r="O553" s="5">
        <f>IF(OR(INDEX($W$2:$W$1001,MATCH(ROWS($V$2:V553),$V$2:$V$1001,0),1)&gt;=100000,INDEX($AC$1005:$AS$1005,1,MATCH(COLUMNS($AC$1006:AP1006),$AC$1006:$AS$1006,0))&gt;=100000), " ",IF(INDEX($AC$2:$AS$1001,MATCH(ROWS($V$2:V553),$V$2:$V$1001,0),MATCH(COLUMNS($AC$1006:AP1006),$AC$1006:$AS$1006,0)), HYPERLINK("#",""), HYPERLINK(CONCATENATE("#Metadata!", ADDRESS(INDEX($X$2:$X$1001,MATCH(ROWS($V$2:V553),$V$2:$V$1001,0),0), INDEX($AC$1004:$AS$1004,1,MATCH(COLUMNS($AC$1006:AP1006),$AC$1006:$AS$1006,0)))),"Fix")))</f>
        <v>0</v>
      </c>
      <c r="P553" s="5">
        <f>IF(OR(INDEX($W$2:$W$1001,MATCH(ROWS($V$2:V553),$V$2:$V$1001,0),1)&gt;=100000,INDEX($AC$1005:$AS$1005,1,MATCH(COLUMNS($AC$1006:AQ1006),$AC$1006:$AS$1006,0))&gt;=100000), " ",IF(INDEX($AC$2:$AS$1001,MATCH(ROWS($V$2:V553),$V$2:$V$1001,0),MATCH(COLUMNS($AC$1006:AQ1006),$AC$1006:$AS$1006,0)), HYPERLINK("#",""), HYPERLINK(CONCATENATE("#Metadata!", ADDRESS(INDEX($X$2:$X$1001,MATCH(ROWS($V$2:V553),$V$2:$V$1001,0),0), INDEX($AC$1004:$AS$1004,1,MATCH(COLUMNS($AC$1006:AQ1006),$AC$1006:$AS$1006,0)))),"Fix")))</f>
        <v>0</v>
      </c>
      <c r="Q553" s="5">
        <f>IF(OR(INDEX($W$2:$W$1001,MATCH(ROWS($V$2:V553),$V$2:$V$1001,0),1)&gt;=100000,INDEX($AC$1005:$AS$1005,1,MATCH(COLUMNS($AC$1006:AR1006),$AC$1006:$AS$1006,0))&gt;=100000), " ",IF(INDEX($AC$2:$AS$1001,MATCH(ROWS($V$2:V553),$V$2:$V$1001,0),MATCH(COLUMNS($AC$1006:AR1006),$AC$1006:$AS$1006,0)), HYPERLINK("#",""), HYPERLINK(CONCATENATE("#Metadata!", ADDRESS(INDEX($X$2:$X$1001,MATCH(ROWS($V$2:V553),$V$2:$V$1001,0),0), INDEX($AC$1004:$AS$1004,1,MATCH(COLUMNS($AC$1006:AR1006),$AC$1006:$AS$1006,0)))),"Fix")))</f>
        <v>0</v>
      </c>
      <c r="R553" s="5">
        <f>IF(OR(INDEX($W$2:$W$1001,MATCH(ROWS($V$2:V553),$V$2:$V$1001,0),1)&gt;=100000,INDEX($AC$1005:$AS$1005,1,MATCH(COLUMNS($AC$1006:AS1006),$AC$1006:$AS$1006,0))&gt;=100000), " ",IF(INDEX($AC$2:$AS$1001,MATCH(ROWS($V$2:V553),$V$2:$V$1001,0),MATCH(COLUMNS($AC$1006:AS1006),$AC$1006:$AS$1006,0)), HYPERLINK("#",""), HYPERLINK(CONCATENATE("#Metadata!", ADDRESS(INDEX($X$2:$X$1001,MATCH(ROWS($V$2:V553),$V$2:$V$1001,0),0), INDEX($AC$1004:$AS$1004,1,MATCH(COLUMNS($AC$1006:AS1006),$AC$1006:$AS$1006,0)))),"Fix")))</f>
        <v>0</v>
      </c>
      <c r="V553">
        <v>0</v>
      </c>
      <c r="W553">
        <v>0</v>
      </c>
      <c r="X553">
        <v>0</v>
      </c>
      <c r="Y553">
        <f>IF(Z553,TRUE,AND(AC553:AS553))</f>
        <v>0</v>
      </c>
      <c r="Z553">
        <f>COUNTBLANK(Metadata!B553:R553)=COLUMNS(Metadata!B553:R553)</f>
        <v>0</v>
      </c>
      <c r="AA553">
        <v>0</v>
      </c>
      <c r="AC553">
        <f>AND(IF(Metadata!B553="",FALSE,TRUE),COUNTIF(Metadata!B:B, Metadata!B553) = 1,NOT(ISERROR(SUMPRODUCT(SEARCH(MID(Metadata!B553,ROW(INDIRECT("1:"&amp;LEN(Metadata!B553))), 1),"0123456789abcdefghijklmnopqrstuvwxyzABCDEFGHIJKLMNOPQRSTUVWXYZ.")))))</f>
        <v>0</v>
      </c>
      <c r="AD553">
        <f>AND(IF(Metadata!C553="",FALSE,TRUE),exact(Metadata!C553,"Host-associated"))</f>
        <v>0</v>
      </c>
      <c r="AE553">
        <f>AND(IF(Metadata!D553="",FALSE,TRUE),OR(exact(Metadata!D553,"Animal"),exact(Metadata!D553,"Fungus"),exact(Metadata!D553,"Plant")))</f>
        <v>0</v>
      </c>
      <c r="AF553">
        <f>AND(IF(Metadata!E553="",FALSE,TRUE),OR(exact(Metadata!E553,"Plant secretion"),exact(Metadata!E553,"Plant rhizosphere"),exact(Metadata!E553,"Plant surface"),exact(Metadata!E553,"Plant corpus"),exact(Metadata!E553,"Fungus surface"),exact(Metadata!E553,"Fungus corpus"),exact(Metadata!E553,"Animal surface"),exact(Metadata!E553,"Animal proximal gut"),exact(Metadata!E553,"Animal corpus"),exact(Metadata!E553,"Animal distal gut"),exact(Metadata!E553,"Animal secretion")))</f>
        <v>0</v>
      </c>
      <c r="AG553">
        <f>OR(AND(IF(Metadata!F553="",FALSE,TRUE),OR(exact(Metadata!F553,"not collected"),exact(Metadata!F553,"not provided"),exact(Metadata!F553,"restricted access"))),AND(IF(Metadata!F553="",FALSE,TRUE),OR(exact(Metadata!F553,"organism-associated habitat"),exact(Metadata!F553,"plant-associated habitat"),exact(Metadata!F553,"animal-associated habitat"),exact(Metadata!F553,"insecta-associated habitat"),exact(Metadata!F553,"mammalia-associated habitat"),exact(Metadata!F553,"human-associated habitat"),exact(Metadata!F553,"livestock-associated habitat"))))</f>
        <v>0</v>
      </c>
      <c r="AH553">
        <f>AND(IF(Metadata!G553="",FALSE,TRUE),exact(Metadata!G553,"host-associated"))</f>
        <v>0</v>
      </c>
      <c r="AI553">
        <f>OR(AND(IF(Metadata!H553="",FALSE,TRUE),OR(exact(Metadata!H553,"not collected"),exact(Metadata!H553,"not provided"))),AND(IF(Metadata!H553="",FALSE,ISNUMBER(VALUE(Metadata!H553))),Metadata!H553&gt;0))</f>
        <v>0</v>
      </c>
      <c r="AJ553">
        <f>AND(IF(Metadata!I553="",FALSE,TRUE),exact(Metadata!I553,"years"))</f>
        <v>0</v>
      </c>
      <c r="AK553">
        <f>IF(Metadata!J553="",FALSE,TRUE)</f>
        <v>0</v>
      </c>
      <c r="AL553">
        <f>OR(AND(IF(Metadata!K553="",FALSE,TRUE),OR(exact(Metadata!K553,"not collected"),exact(Metadata!K553,"not provided"))),AND(IF(Metadata!K553="",FALSE,ISNUMBER(VALUE(Metadata!K553))),Metadata!K553&gt;0))</f>
        <v>0</v>
      </c>
      <c r="AM553">
        <f>AND(IF(Metadata!L553="",FALSE,TRUE),exact(Metadata!L553,"cm"))</f>
        <v>0</v>
      </c>
      <c r="AN553">
        <f>IF(Metadata!M553="",FALSE,TRUE)</f>
        <v>0</v>
      </c>
      <c r="AO553">
        <f>OR(AND(IF(Metadata!N553="",FALSE,TRUE),OR(exact(Metadata!N553,"not applicable"),exact(Metadata!N553,"not collected"),exact(Metadata!N553,"not provided"))),AND(IF(Metadata!N553="",FALSE,IF(ISERROR(INT(Metadata!N553)),FALSE,INT(Metadata!N553)=Metadata!N553)),Metadata!N553&gt;0))</f>
        <v>0</v>
      </c>
      <c r="AP553">
        <f>OR(AND(IF(Metadata!O553="",FALSE,TRUE),OR(exact(Metadata!O553,"not collected"),exact(Metadata!O553,"not provided"))),AND(IF(Metadata!O553="",FALSE,ISNUMBER(VALUE(Metadata!O553))),Metadata!O553&gt;0))</f>
        <v>0</v>
      </c>
      <c r="AQ553">
        <f>AND(IF(Metadata!P553="",FALSE,TRUE),exact(Metadata!P553,"kg"))</f>
        <v>0</v>
      </c>
      <c r="AR553">
        <f>OR(AND(IF(Metadata!Q553="",FALSE,TRUE),OR(exact(Metadata!Q553,"not applicable"),exact(Metadata!Q553,"not collected"),exact(Metadata!Q553,"not provided"),exact(Metadata!Q553,"restricted access"))),IF(Metadata!Q553="",FALSE,IF(ISERROR(INT(Metadata!Q553)),FALSE,INT(Metadata!Q553)=Metadata!Q553)))</f>
        <v>0</v>
      </c>
      <c r="AS553">
        <f>AND(IF(Metadata!R553="",FALSE,TRUE),exact(Metadata!R553,"Not applicable"))</f>
        <v>0</v>
      </c>
    </row>
    <row r="554" spans="1:45">
      <c r="A554" s="4">
        <f>IF(B554=" "," ",HYPERLINK(CONCATENATE("#metadata!",ADDRESS(INDEX($X$2:$X$1001,MATCH(ROWS($V$2:V554),$V$2:$V$1001,0),0),2)),INDEX($AA$2:$AA$1001,MATCH(ROWS($V$2:V554),$V$2:$V$1001,0),0)))</f>
        <v>0</v>
      </c>
      <c r="B554" s="5">
        <f>IF(OR(INDEX($W$2:$W$1001,MATCH(ROWS($V$2:V554),$V$2:$V$1001,0),1)&gt;=100000,INDEX($AC$1005:$AS$1005,1,MATCH(COLUMNS($AC$1006:AC1006),$AC$1006:$AS$1006,0))&gt;=100000), " ",IF(INDEX($AC$2:$AS$1001,MATCH(ROWS($V$2:V554),$V$2:$V$1001,0),MATCH(COLUMNS($AC$1006:AC1006),$AC$1006:$AS$1006,0)), HYPERLINK("#",""), HYPERLINK(CONCATENATE("#Metadata!", ADDRESS(INDEX($X$2:$X$1001,MATCH(ROWS($V$2:V554),$V$2:$V$1001,0),0), INDEX($AC$1004:$AS$1004,1,MATCH(COLUMNS($AC$1006:AC1006),$AC$1006:$AS$1006,0)))),"Fix")))</f>
        <v>0</v>
      </c>
      <c r="C554" s="5">
        <f>IF(OR(INDEX($W$2:$W$1001,MATCH(ROWS($V$2:V554),$V$2:$V$1001,0),1)&gt;=100000,INDEX($AC$1005:$AS$1005,1,MATCH(COLUMNS($AC$1006:AD1006),$AC$1006:$AS$1006,0))&gt;=100000), " ",IF(INDEX($AC$2:$AS$1001,MATCH(ROWS($V$2:V554),$V$2:$V$1001,0),MATCH(COLUMNS($AC$1006:AD1006),$AC$1006:$AS$1006,0)), HYPERLINK("#",""), HYPERLINK(CONCATENATE("#Metadata!", ADDRESS(INDEX($X$2:$X$1001,MATCH(ROWS($V$2:V554),$V$2:$V$1001,0),0), INDEX($AC$1004:$AS$1004,1,MATCH(COLUMNS($AC$1006:AD1006),$AC$1006:$AS$1006,0)))),"Fix")))</f>
        <v>0</v>
      </c>
      <c r="D554" s="5">
        <f>IF(OR(INDEX($W$2:$W$1001,MATCH(ROWS($V$2:V554),$V$2:$V$1001,0),1)&gt;=100000,INDEX($AC$1005:$AS$1005,1,MATCH(COLUMNS($AC$1006:AE1006),$AC$1006:$AS$1006,0))&gt;=100000), " ",IF(INDEX($AC$2:$AS$1001,MATCH(ROWS($V$2:V554),$V$2:$V$1001,0),MATCH(COLUMNS($AC$1006:AE1006),$AC$1006:$AS$1006,0)), HYPERLINK("#",""), HYPERLINK(CONCATENATE("#Metadata!", ADDRESS(INDEX($X$2:$X$1001,MATCH(ROWS($V$2:V554),$V$2:$V$1001,0),0), INDEX($AC$1004:$AS$1004,1,MATCH(COLUMNS($AC$1006:AE1006),$AC$1006:$AS$1006,0)))),"Fix")))</f>
        <v>0</v>
      </c>
      <c r="E554" s="5">
        <f>IF(OR(INDEX($W$2:$W$1001,MATCH(ROWS($V$2:V554),$V$2:$V$1001,0),1)&gt;=100000,INDEX($AC$1005:$AS$1005,1,MATCH(COLUMNS($AC$1006:AF1006),$AC$1006:$AS$1006,0))&gt;=100000), " ",IF(INDEX($AC$2:$AS$1001,MATCH(ROWS($V$2:V554),$V$2:$V$1001,0),MATCH(COLUMNS($AC$1006:AF1006),$AC$1006:$AS$1006,0)), HYPERLINK("#",""), HYPERLINK(CONCATENATE("#Metadata!", ADDRESS(INDEX($X$2:$X$1001,MATCH(ROWS($V$2:V554),$V$2:$V$1001,0),0), INDEX($AC$1004:$AS$1004,1,MATCH(COLUMNS($AC$1006:AF1006),$AC$1006:$AS$1006,0)))),"Fix")))</f>
        <v>0</v>
      </c>
      <c r="F554" s="5">
        <f>IF(OR(INDEX($W$2:$W$1001,MATCH(ROWS($V$2:V554),$V$2:$V$1001,0),1)&gt;=100000,INDEX($AC$1005:$AS$1005,1,MATCH(COLUMNS($AC$1006:AG1006),$AC$1006:$AS$1006,0))&gt;=100000), " ",IF(INDEX($AC$2:$AS$1001,MATCH(ROWS($V$2:V554),$V$2:$V$1001,0),MATCH(COLUMNS($AC$1006:AG1006),$AC$1006:$AS$1006,0)), HYPERLINK("#",""), HYPERLINK(CONCATENATE("#Metadata!", ADDRESS(INDEX($X$2:$X$1001,MATCH(ROWS($V$2:V554),$V$2:$V$1001,0),0), INDEX($AC$1004:$AS$1004,1,MATCH(COLUMNS($AC$1006:AG1006),$AC$1006:$AS$1006,0)))),"Fix")))</f>
        <v>0</v>
      </c>
      <c r="G554" s="5">
        <f>IF(OR(INDEX($W$2:$W$1001,MATCH(ROWS($V$2:V554),$V$2:$V$1001,0),1)&gt;=100000,INDEX($AC$1005:$AS$1005,1,MATCH(COLUMNS($AC$1006:AH1006),$AC$1006:$AS$1006,0))&gt;=100000), " ",IF(INDEX($AC$2:$AS$1001,MATCH(ROWS($V$2:V554),$V$2:$V$1001,0),MATCH(COLUMNS($AC$1006:AH1006),$AC$1006:$AS$1006,0)), HYPERLINK("#",""), HYPERLINK(CONCATENATE("#Metadata!", ADDRESS(INDEX($X$2:$X$1001,MATCH(ROWS($V$2:V554),$V$2:$V$1001,0),0), INDEX($AC$1004:$AS$1004,1,MATCH(COLUMNS($AC$1006:AH1006),$AC$1006:$AS$1006,0)))),"Fix")))</f>
        <v>0</v>
      </c>
      <c r="H554" s="5">
        <f>IF(OR(INDEX($W$2:$W$1001,MATCH(ROWS($V$2:V554),$V$2:$V$1001,0),1)&gt;=100000,INDEX($AC$1005:$AS$1005,1,MATCH(COLUMNS($AC$1006:AI1006),$AC$1006:$AS$1006,0))&gt;=100000), " ",IF(INDEX($AC$2:$AS$1001,MATCH(ROWS($V$2:V554),$V$2:$V$1001,0),MATCH(COLUMNS($AC$1006:AI1006),$AC$1006:$AS$1006,0)), HYPERLINK("#",""), HYPERLINK(CONCATENATE("#Metadata!", ADDRESS(INDEX($X$2:$X$1001,MATCH(ROWS($V$2:V554),$V$2:$V$1001,0),0), INDEX($AC$1004:$AS$1004,1,MATCH(COLUMNS($AC$1006:AI1006),$AC$1006:$AS$1006,0)))),"Fix")))</f>
        <v>0</v>
      </c>
      <c r="I554" s="5">
        <f>IF(OR(INDEX($W$2:$W$1001,MATCH(ROWS($V$2:V554),$V$2:$V$1001,0),1)&gt;=100000,INDEX($AC$1005:$AS$1005,1,MATCH(COLUMNS($AC$1006:AJ1006),$AC$1006:$AS$1006,0))&gt;=100000), " ",IF(INDEX($AC$2:$AS$1001,MATCH(ROWS($V$2:V554),$V$2:$V$1001,0),MATCH(COLUMNS($AC$1006:AJ1006),$AC$1006:$AS$1006,0)), HYPERLINK("#",""), HYPERLINK(CONCATENATE("#Metadata!", ADDRESS(INDEX($X$2:$X$1001,MATCH(ROWS($V$2:V554),$V$2:$V$1001,0),0), INDEX($AC$1004:$AS$1004,1,MATCH(COLUMNS($AC$1006:AJ1006),$AC$1006:$AS$1006,0)))),"Fix")))</f>
        <v>0</v>
      </c>
      <c r="J554" s="5">
        <f>IF(OR(INDEX($W$2:$W$1001,MATCH(ROWS($V$2:V554),$V$2:$V$1001,0),1)&gt;=100000,INDEX($AC$1005:$AS$1005,1,MATCH(COLUMNS($AC$1006:AK1006),$AC$1006:$AS$1006,0))&gt;=100000), " ",IF(INDEX($AC$2:$AS$1001,MATCH(ROWS($V$2:V554),$V$2:$V$1001,0),MATCH(COLUMNS($AC$1006:AK1006),$AC$1006:$AS$1006,0)), HYPERLINK("#",""), HYPERLINK(CONCATENATE("#Metadata!", ADDRESS(INDEX($X$2:$X$1001,MATCH(ROWS($V$2:V554),$V$2:$V$1001,0),0), INDEX($AC$1004:$AS$1004,1,MATCH(COLUMNS($AC$1006:AK1006),$AC$1006:$AS$1006,0)))),"Fix")))</f>
        <v>0</v>
      </c>
      <c r="K554" s="5">
        <f>IF(OR(INDEX($W$2:$W$1001,MATCH(ROWS($V$2:V554),$V$2:$V$1001,0),1)&gt;=100000,INDEX($AC$1005:$AS$1005,1,MATCH(COLUMNS($AC$1006:AL1006),$AC$1006:$AS$1006,0))&gt;=100000), " ",IF(INDEX($AC$2:$AS$1001,MATCH(ROWS($V$2:V554),$V$2:$V$1001,0),MATCH(COLUMNS($AC$1006:AL1006),$AC$1006:$AS$1006,0)), HYPERLINK("#",""), HYPERLINK(CONCATENATE("#Metadata!", ADDRESS(INDEX($X$2:$X$1001,MATCH(ROWS($V$2:V554),$V$2:$V$1001,0),0), INDEX($AC$1004:$AS$1004,1,MATCH(COLUMNS($AC$1006:AL1006),$AC$1006:$AS$1006,0)))),"Fix")))</f>
        <v>0</v>
      </c>
      <c r="L554" s="5">
        <f>IF(OR(INDEX($W$2:$W$1001,MATCH(ROWS($V$2:V554),$V$2:$V$1001,0),1)&gt;=100000,INDEX($AC$1005:$AS$1005,1,MATCH(COLUMNS($AC$1006:AM1006),$AC$1006:$AS$1006,0))&gt;=100000), " ",IF(INDEX($AC$2:$AS$1001,MATCH(ROWS($V$2:V554),$V$2:$V$1001,0),MATCH(COLUMNS($AC$1006:AM1006),$AC$1006:$AS$1006,0)), HYPERLINK("#",""), HYPERLINK(CONCATENATE("#Metadata!", ADDRESS(INDEX($X$2:$X$1001,MATCH(ROWS($V$2:V554),$V$2:$V$1001,0),0), INDEX($AC$1004:$AS$1004,1,MATCH(COLUMNS($AC$1006:AM1006),$AC$1006:$AS$1006,0)))),"Fix")))</f>
        <v>0</v>
      </c>
      <c r="M554" s="5">
        <f>IF(OR(INDEX($W$2:$W$1001,MATCH(ROWS($V$2:V554),$V$2:$V$1001,0),1)&gt;=100000,INDEX($AC$1005:$AS$1005,1,MATCH(COLUMNS($AC$1006:AN1006),$AC$1006:$AS$1006,0))&gt;=100000), " ",IF(INDEX($AC$2:$AS$1001,MATCH(ROWS($V$2:V554),$V$2:$V$1001,0),MATCH(COLUMNS($AC$1006:AN1006),$AC$1006:$AS$1006,0)), HYPERLINK("#",""), HYPERLINK(CONCATENATE("#Metadata!", ADDRESS(INDEX($X$2:$X$1001,MATCH(ROWS($V$2:V554),$V$2:$V$1001,0),0), INDEX($AC$1004:$AS$1004,1,MATCH(COLUMNS($AC$1006:AN1006),$AC$1006:$AS$1006,0)))),"Fix")))</f>
        <v>0</v>
      </c>
      <c r="N554" s="5">
        <f>IF(OR(INDEX($W$2:$W$1001,MATCH(ROWS($V$2:V554),$V$2:$V$1001,0),1)&gt;=100000,INDEX($AC$1005:$AS$1005,1,MATCH(COLUMNS($AC$1006:AO1006),$AC$1006:$AS$1006,0))&gt;=100000), " ",IF(INDEX($AC$2:$AS$1001,MATCH(ROWS($V$2:V554),$V$2:$V$1001,0),MATCH(COLUMNS($AC$1006:AO1006),$AC$1006:$AS$1006,0)), HYPERLINK("#",""), HYPERLINK(CONCATENATE("#Metadata!", ADDRESS(INDEX($X$2:$X$1001,MATCH(ROWS($V$2:V554),$V$2:$V$1001,0),0), INDEX($AC$1004:$AS$1004,1,MATCH(COLUMNS($AC$1006:AO1006),$AC$1006:$AS$1006,0)))),"Fix")))</f>
        <v>0</v>
      </c>
      <c r="O554" s="5">
        <f>IF(OR(INDEX($W$2:$W$1001,MATCH(ROWS($V$2:V554),$V$2:$V$1001,0),1)&gt;=100000,INDEX($AC$1005:$AS$1005,1,MATCH(COLUMNS($AC$1006:AP1006),$AC$1006:$AS$1006,0))&gt;=100000), " ",IF(INDEX($AC$2:$AS$1001,MATCH(ROWS($V$2:V554),$V$2:$V$1001,0),MATCH(COLUMNS($AC$1006:AP1006),$AC$1006:$AS$1006,0)), HYPERLINK("#",""), HYPERLINK(CONCATENATE("#Metadata!", ADDRESS(INDEX($X$2:$X$1001,MATCH(ROWS($V$2:V554),$V$2:$V$1001,0),0), INDEX($AC$1004:$AS$1004,1,MATCH(COLUMNS($AC$1006:AP1006),$AC$1006:$AS$1006,0)))),"Fix")))</f>
        <v>0</v>
      </c>
      <c r="P554" s="5">
        <f>IF(OR(INDEX($W$2:$W$1001,MATCH(ROWS($V$2:V554),$V$2:$V$1001,0),1)&gt;=100000,INDEX($AC$1005:$AS$1005,1,MATCH(COLUMNS($AC$1006:AQ1006),$AC$1006:$AS$1006,0))&gt;=100000), " ",IF(INDEX($AC$2:$AS$1001,MATCH(ROWS($V$2:V554),$V$2:$V$1001,0),MATCH(COLUMNS($AC$1006:AQ1006),$AC$1006:$AS$1006,0)), HYPERLINK("#",""), HYPERLINK(CONCATENATE("#Metadata!", ADDRESS(INDEX($X$2:$X$1001,MATCH(ROWS($V$2:V554),$V$2:$V$1001,0),0), INDEX($AC$1004:$AS$1004,1,MATCH(COLUMNS($AC$1006:AQ1006),$AC$1006:$AS$1006,0)))),"Fix")))</f>
        <v>0</v>
      </c>
      <c r="Q554" s="5">
        <f>IF(OR(INDEX($W$2:$W$1001,MATCH(ROWS($V$2:V554),$V$2:$V$1001,0),1)&gt;=100000,INDEX($AC$1005:$AS$1005,1,MATCH(COLUMNS($AC$1006:AR1006),$AC$1006:$AS$1006,0))&gt;=100000), " ",IF(INDEX($AC$2:$AS$1001,MATCH(ROWS($V$2:V554),$V$2:$V$1001,0),MATCH(COLUMNS($AC$1006:AR1006),$AC$1006:$AS$1006,0)), HYPERLINK("#",""), HYPERLINK(CONCATENATE("#Metadata!", ADDRESS(INDEX($X$2:$X$1001,MATCH(ROWS($V$2:V554),$V$2:$V$1001,0),0), INDEX($AC$1004:$AS$1004,1,MATCH(COLUMNS($AC$1006:AR1006),$AC$1006:$AS$1006,0)))),"Fix")))</f>
        <v>0</v>
      </c>
      <c r="R554" s="5">
        <f>IF(OR(INDEX($W$2:$W$1001,MATCH(ROWS($V$2:V554),$V$2:$V$1001,0),1)&gt;=100000,INDEX($AC$1005:$AS$1005,1,MATCH(COLUMNS($AC$1006:AS1006),$AC$1006:$AS$1006,0))&gt;=100000), " ",IF(INDEX($AC$2:$AS$1001,MATCH(ROWS($V$2:V554),$V$2:$V$1001,0),MATCH(COLUMNS($AC$1006:AS1006),$AC$1006:$AS$1006,0)), HYPERLINK("#",""), HYPERLINK(CONCATENATE("#Metadata!", ADDRESS(INDEX($X$2:$X$1001,MATCH(ROWS($V$2:V554),$V$2:$V$1001,0),0), INDEX($AC$1004:$AS$1004,1,MATCH(COLUMNS($AC$1006:AS1006),$AC$1006:$AS$1006,0)))),"Fix")))</f>
        <v>0</v>
      </c>
      <c r="V554">
        <v>0</v>
      </c>
      <c r="W554">
        <v>0</v>
      </c>
      <c r="X554">
        <v>0</v>
      </c>
      <c r="Y554">
        <f>IF(Z554,TRUE,AND(AC554:AS554))</f>
        <v>0</v>
      </c>
      <c r="Z554">
        <f>COUNTBLANK(Metadata!B554:R554)=COLUMNS(Metadata!B554:R554)</f>
        <v>0</v>
      </c>
      <c r="AA554">
        <v>0</v>
      </c>
      <c r="AC554">
        <f>AND(IF(Metadata!B554="",FALSE,TRUE),COUNTIF(Metadata!B:B, Metadata!B554) = 1,NOT(ISERROR(SUMPRODUCT(SEARCH(MID(Metadata!B554,ROW(INDIRECT("1:"&amp;LEN(Metadata!B554))), 1),"0123456789abcdefghijklmnopqrstuvwxyzABCDEFGHIJKLMNOPQRSTUVWXYZ.")))))</f>
        <v>0</v>
      </c>
      <c r="AD554">
        <f>AND(IF(Metadata!C554="",FALSE,TRUE),exact(Metadata!C554,"Host-associated"))</f>
        <v>0</v>
      </c>
      <c r="AE554">
        <f>AND(IF(Metadata!D554="",FALSE,TRUE),OR(exact(Metadata!D554,"Animal"),exact(Metadata!D554,"Fungus"),exact(Metadata!D554,"Plant")))</f>
        <v>0</v>
      </c>
      <c r="AF554">
        <f>AND(IF(Metadata!E554="",FALSE,TRUE),OR(exact(Metadata!E554,"Plant secretion"),exact(Metadata!E554,"Plant rhizosphere"),exact(Metadata!E554,"Plant surface"),exact(Metadata!E554,"Plant corpus"),exact(Metadata!E554,"Fungus surface"),exact(Metadata!E554,"Fungus corpus"),exact(Metadata!E554,"Animal surface"),exact(Metadata!E554,"Animal proximal gut"),exact(Metadata!E554,"Animal corpus"),exact(Metadata!E554,"Animal distal gut"),exact(Metadata!E554,"Animal secretion")))</f>
        <v>0</v>
      </c>
      <c r="AG554">
        <f>OR(AND(IF(Metadata!F554="",FALSE,TRUE),OR(exact(Metadata!F554,"not collected"),exact(Metadata!F554,"not provided"),exact(Metadata!F554,"restricted access"))),AND(IF(Metadata!F554="",FALSE,TRUE),OR(exact(Metadata!F554,"organism-associated habitat"),exact(Metadata!F554,"plant-associated habitat"),exact(Metadata!F554,"animal-associated habitat"),exact(Metadata!F554,"insecta-associated habitat"),exact(Metadata!F554,"mammalia-associated habitat"),exact(Metadata!F554,"human-associated habitat"),exact(Metadata!F554,"livestock-associated habitat"))))</f>
        <v>0</v>
      </c>
      <c r="AH554">
        <f>AND(IF(Metadata!G554="",FALSE,TRUE),exact(Metadata!G554,"host-associated"))</f>
        <v>0</v>
      </c>
      <c r="AI554">
        <f>OR(AND(IF(Metadata!H554="",FALSE,TRUE),OR(exact(Metadata!H554,"not collected"),exact(Metadata!H554,"not provided"))),AND(IF(Metadata!H554="",FALSE,ISNUMBER(VALUE(Metadata!H554))),Metadata!H554&gt;0))</f>
        <v>0</v>
      </c>
      <c r="AJ554">
        <f>AND(IF(Metadata!I554="",FALSE,TRUE),exact(Metadata!I554,"years"))</f>
        <v>0</v>
      </c>
      <c r="AK554">
        <f>IF(Metadata!J554="",FALSE,TRUE)</f>
        <v>0</v>
      </c>
      <c r="AL554">
        <f>OR(AND(IF(Metadata!K554="",FALSE,TRUE),OR(exact(Metadata!K554,"not collected"),exact(Metadata!K554,"not provided"))),AND(IF(Metadata!K554="",FALSE,ISNUMBER(VALUE(Metadata!K554))),Metadata!K554&gt;0))</f>
        <v>0</v>
      </c>
      <c r="AM554">
        <f>AND(IF(Metadata!L554="",FALSE,TRUE),exact(Metadata!L554,"cm"))</f>
        <v>0</v>
      </c>
      <c r="AN554">
        <f>IF(Metadata!M554="",FALSE,TRUE)</f>
        <v>0</v>
      </c>
      <c r="AO554">
        <f>OR(AND(IF(Metadata!N554="",FALSE,TRUE),OR(exact(Metadata!N554,"not applicable"),exact(Metadata!N554,"not collected"),exact(Metadata!N554,"not provided"))),AND(IF(Metadata!N554="",FALSE,IF(ISERROR(INT(Metadata!N554)),FALSE,INT(Metadata!N554)=Metadata!N554)),Metadata!N554&gt;0))</f>
        <v>0</v>
      </c>
      <c r="AP554">
        <f>OR(AND(IF(Metadata!O554="",FALSE,TRUE),OR(exact(Metadata!O554,"not collected"),exact(Metadata!O554,"not provided"))),AND(IF(Metadata!O554="",FALSE,ISNUMBER(VALUE(Metadata!O554))),Metadata!O554&gt;0))</f>
        <v>0</v>
      </c>
      <c r="AQ554">
        <f>AND(IF(Metadata!P554="",FALSE,TRUE),exact(Metadata!P554,"kg"))</f>
        <v>0</v>
      </c>
      <c r="AR554">
        <f>OR(AND(IF(Metadata!Q554="",FALSE,TRUE),OR(exact(Metadata!Q554,"not applicable"),exact(Metadata!Q554,"not collected"),exact(Metadata!Q554,"not provided"),exact(Metadata!Q554,"restricted access"))),IF(Metadata!Q554="",FALSE,IF(ISERROR(INT(Metadata!Q554)),FALSE,INT(Metadata!Q554)=Metadata!Q554)))</f>
        <v>0</v>
      </c>
      <c r="AS554">
        <f>AND(IF(Metadata!R554="",FALSE,TRUE),exact(Metadata!R554,"Not applicable"))</f>
        <v>0</v>
      </c>
    </row>
    <row r="555" spans="1:45">
      <c r="A555" s="4">
        <f>IF(B555=" "," ",HYPERLINK(CONCATENATE("#metadata!",ADDRESS(INDEX($X$2:$X$1001,MATCH(ROWS($V$2:V555),$V$2:$V$1001,0),0),2)),INDEX($AA$2:$AA$1001,MATCH(ROWS($V$2:V555),$V$2:$V$1001,0),0)))</f>
        <v>0</v>
      </c>
      <c r="B555" s="5">
        <f>IF(OR(INDEX($W$2:$W$1001,MATCH(ROWS($V$2:V555),$V$2:$V$1001,0),1)&gt;=100000,INDEX($AC$1005:$AS$1005,1,MATCH(COLUMNS($AC$1006:AC1006),$AC$1006:$AS$1006,0))&gt;=100000), " ",IF(INDEX($AC$2:$AS$1001,MATCH(ROWS($V$2:V555),$V$2:$V$1001,0),MATCH(COLUMNS($AC$1006:AC1006),$AC$1006:$AS$1006,0)), HYPERLINK("#",""), HYPERLINK(CONCATENATE("#Metadata!", ADDRESS(INDEX($X$2:$X$1001,MATCH(ROWS($V$2:V555),$V$2:$V$1001,0),0), INDEX($AC$1004:$AS$1004,1,MATCH(COLUMNS($AC$1006:AC1006),$AC$1006:$AS$1006,0)))),"Fix")))</f>
        <v>0</v>
      </c>
      <c r="C555" s="5">
        <f>IF(OR(INDEX($W$2:$W$1001,MATCH(ROWS($V$2:V555),$V$2:$V$1001,0),1)&gt;=100000,INDEX($AC$1005:$AS$1005,1,MATCH(COLUMNS($AC$1006:AD1006),$AC$1006:$AS$1006,0))&gt;=100000), " ",IF(INDEX($AC$2:$AS$1001,MATCH(ROWS($V$2:V555),$V$2:$V$1001,0),MATCH(COLUMNS($AC$1006:AD1006),$AC$1006:$AS$1006,0)), HYPERLINK("#",""), HYPERLINK(CONCATENATE("#Metadata!", ADDRESS(INDEX($X$2:$X$1001,MATCH(ROWS($V$2:V555),$V$2:$V$1001,0),0), INDEX($AC$1004:$AS$1004,1,MATCH(COLUMNS($AC$1006:AD1006),$AC$1006:$AS$1006,0)))),"Fix")))</f>
        <v>0</v>
      </c>
      <c r="D555" s="5">
        <f>IF(OR(INDEX($W$2:$W$1001,MATCH(ROWS($V$2:V555),$V$2:$V$1001,0),1)&gt;=100000,INDEX($AC$1005:$AS$1005,1,MATCH(COLUMNS($AC$1006:AE1006),$AC$1006:$AS$1006,0))&gt;=100000), " ",IF(INDEX($AC$2:$AS$1001,MATCH(ROWS($V$2:V555),$V$2:$V$1001,0),MATCH(COLUMNS($AC$1006:AE1006),$AC$1006:$AS$1006,0)), HYPERLINK("#",""), HYPERLINK(CONCATENATE("#Metadata!", ADDRESS(INDEX($X$2:$X$1001,MATCH(ROWS($V$2:V555),$V$2:$V$1001,0),0), INDEX($AC$1004:$AS$1004,1,MATCH(COLUMNS($AC$1006:AE1006),$AC$1006:$AS$1006,0)))),"Fix")))</f>
        <v>0</v>
      </c>
      <c r="E555" s="5">
        <f>IF(OR(INDEX($W$2:$W$1001,MATCH(ROWS($V$2:V555),$V$2:$V$1001,0),1)&gt;=100000,INDEX($AC$1005:$AS$1005,1,MATCH(COLUMNS($AC$1006:AF1006),$AC$1006:$AS$1006,0))&gt;=100000), " ",IF(INDEX($AC$2:$AS$1001,MATCH(ROWS($V$2:V555),$V$2:$V$1001,0),MATCH(COLUMNS($AC$1006:AF1006),$AC$1006:$AS$1006,0)), HYPERLINK("#",""), HYPERLINK(CONCATENATE("#Metadata!", ADDRESS(INDEX($X$2:$X$1001,MATCH(ROWS($V$2:V555),$V$2:$V$1001,0),0), INDEX($AC$1004:$AS$1004,1,MATCH(COLUMNS($AC$1006:AF1006),$AC$1006:$AS$1006,0)))),"Fix")))</f>
        <v>0</v>
      </c>
      <c r="F555" s="5">
        <f>IF(OR(INDEX($W$2:$W$1001,MATCH(ROWS($V$2:V555),$V$2:$V$1001,0),1)&gt;=100000,INDEX($AC$1005:$AS$1005,1,MATCH(COLUMNS($AC$1006:AG1006),$AC$1006:$AS$1006,0))&gt;=100000), " ",IF(INDEX($AC$2:$AS$1001,MATCH(ROWS($V$2:V555),$V$2:$V$1001,0),MATCH(COLUMNS($AC$1006:AG1006),$AC$1006:$AS$1006,0)), HYPERLINK("#",""), HYPERLINK(CONCATENATE("#Metadata!", ADDRESS(INDEX($X$2:$X$1001,MATCH(ROWS($V$2:V555),$V$2:$V$1001,0),0), INDEX($AC$1004:$AS$1004,1,MATCH(COLUMNS($AC$1006:AG1006),$AC$1006:$AS$1006,0)))),"Fix")))</f>
        <v>0</v>
      </c>
      <c r="G555" s="5">
        <f>IF(OR(INDEX($W$2:$W$1001,MATCH(ROWS($V$2:V555),$V$2:$V$1001,0),1)&gt;=100000,INDEX($AC$1005:$AS$1005,1,MATCH(COLUMNS($AC$1006:AH1006),$AC$1006:$AS$1006,0))&gt;=100000), " ",IF(INDEX($AC$2:$AS$1001,MATCH(ROWS($V$2:V555),$V$2:$V$1001,0),MATCH(COLUMNS($AC$1006:AH1006),$AC$1006:$AS$1006,0)), HYPERLINK("#",""), HYPERLINK(CONCATENATE("#Metadata!", ADDRESS(INDEX($X$2:$X$1001,MATCH(ROWS($V$2:V555),$V$2:$V$1001,0),0), INDEX($AC$1004:$AS$1004,1,MATCH(COLUMNS($AC$1006:AH1006),$AC$1006:$AS$1006,0)))),"Fix")))</f>
        <v>0</v>
      </c>
      <c r="H555" s="5">
        <f>IF(OR(INDEX($W$2:$W$1001,MATCH(ROWS($V$2:V555),$V$2:$V$1001,0),1)&gt;=100000,INDEX($AC$1005:$AS$1005,1,MATCH(COLUMNS($AC$1006:AI1006),$AC$1006:$AS$1006,0))&gt;=100000), " ",IF(INDEX($AC$2:$AS$1001,MATCH(ROWS($V$2:V555),$V$2:$V$1001,0),MATCH(COLUMNS($AC$1006:AI1006),$AC$1006:$AS$1006,0)), HYPERLINK("#",""), HYPERLINK(CONCATENATE("#Metadata!", ADDRESS(INDEX($X$2:$X$1001,MATCH(ROWS($V$2:V555),$V$2:$V$1001,0),0), INDEX($AC$1004:$AS$1004,1,MATCH(COLUMNS($AC$1006:AI1006),$AC$1006:$AS$1006,0)))),"Fix")))</f>
        <v>0</v>
      </c>
      <c r="I555" s="5">
        <f>IF(OR(INDEX($W$2:$W$1001,MATCH(ROWS($V$2:V555),$V$2:$V$1001,0),1)&gt;=100000,INDEX($AC$1005:$AS$1005,1,MATCH(COLUMNS($AC$1006:AJ1006),$AC$1006:$AS$1006,0))&gt;=100000), " ",IF(INDEX($AC$2:$AS$1001,MATCH(ROWS($V$2:V555),$V$2:$V$1001,0),MATCH(COLUMNS($AC$1006:AJ1006),$AC$1006:$AS$1006,0)), HYPERLINK("#",""), HYPERLINK(CONCATENATE("#Metadata!", ADDRESS(INDEX($X$2:$X$1001,MATCH(ROWS($V$2:V555),$V$2:$V$1001,0),0), INDEX($AC$1004:$AS$1004,1,MATCH(COLUMNS($AC$1006:AJ1006),$AC$1006:$AS$1006,0)))),"Fix")))</f>
        <v>0</v>
      </c>
      <c r="J555" s="5">
        <f>IF(OR(INDEX($W$2:$W$1001,MATCH(ROWS($V$2:V555),$V$2:$V$1001,0),1)&gt;=100000,INDEX($AC$1005:$AS$1005,1,MATCH(COLUMNS($AC$1006:AK1006),$AC$1006:$AS$1006,0))&gt;=100000), " ",IF(INDEX($AC$2:$AS$1001,MATCH(ROWS($V$2:V555),$V$2:$V$1001,0),MATCH(COLUMNS($AC$1006:AK1006),$AC$1006:$AS$1006,0)), HYPERLINK("#",""), HYPERLINK(CONCATENATE("#Metadata!", ADDRESS(INDEX($X$2:$X$1001,MATCH(ROWS($V$2:V555),$V$2:$V$1001,0),0), INDEX($AC$1004:$AS$1004,1,MATCH(COLUMNS($AC$1006:AK1006),$AC$1006:$AS$1006,0)))),"Fix")))</f>
        <v>0</v>
      </c>
      <c r="K555" s="5">
        <f>IF(OR(INDEX($W$2:$W$1001,MATCH(ROWS($V$2:V555),$V$2:$V$1001,0),1)&gt;=100000,INDEX($AC$1005:$AS$1005,1,MATCH(COLUMNS($AC$1006:AL1006),$AC$1006:$AS$1006,0))&gt;=100000), " ",IF(INDEX($AC$2:$AS$1001,MATCH(ROWS($V$2:V555),$V$2:$V$1001,0),MATCH(COLUMNS($AC$1006:AL1006),$AC$1006:$AS$1006,0)), HYPERLINK("#",""), HYPERLINK(CONCATENATE("#Metadata!", ADDRESS(INDEX($X$2:$X$1001,MATCH(ROWS($V$2:V555),$V$2:$V$1001,0),0), INDEX($AC$1004:$AS$1004,1,MATCH(COLUMNS($AC$1006:AL1006),$AC$1006:$AS$1006,0)))),"Fix")))</f>
        <v>0</v>
      </c>
      <c r="L555" s="5">
        <f>IF(OR(INDEX($W$2:$W$1001,MATCH(ROWS($V$2:V555),$V$2:$V$1001,0),1)&gt;=100000,INDEX($AC$1005:$AS$1005,1,MATCH(COLUMNS($AC$1006:AM1006),$AC$1006:$AS$1006,0))&gt;=100000), " ",IF(INDEX($AC$2:$AS$1001,MATCH(ROWS($V$2:V555),$V$2:$V$1001,0),MATCH(COLUMNS($AC$1006:AM1006),$AC$1006:$AS$1006,0)), HYPERLINK("#",""), HYPERLINK(CONCATENATE("#Metadata!", ADDRESS(INDEX($X$2:$X$1001,MATCH(ROWS($V$2:V555),$V$2:$V$1001,0),0), INDEX($AC$1004:$AS$1004,1,MATCH(COLUMNS($AC$1006:AM1006),$AC$1006:$AS$1006,0)))),"Fix")))</f>
        <v>0</v>
      </c>
      <c r="M555" s="5">
        <f>IF(OR(INDEX($W$2:$W$1001,MATCH(ROWS($V$2:V555),$V$2:$V$1001,0),1)&gt;=100000,INDEX($AC$1005:$AS$1005,1,MATCH(COLUMNS($AC$1006:AN1006),$AC$1006:$AS$1006,0))&gt;=100000), " ",IF(INDEX($AC$2:$AS$1001,MATCH(ROWS($V$2:V555),$V$2:$V$1001,0),MATCH(COLUMNS($AC$1006:AN1006),$AC$1006:$AS$1006,0)), HYPERLINK("#",""), HYPERLINK(CONCATENATE("#Metadata!", ADDRESS(INDEX($X$2:$X$1001,MATCH(ROWS($V$2:V555),$V$2:$V$1001,0),0), INDEX($AC$1004:$AS$1004,1,MATCH(COLUMNS($AC$1006:AN1006),$AC$1006:$AS$1006,0)))),"Fix")))</f>
        <v>0</v>
      </c>
      <c r="N555" s="5">
        <f>IF(OR(INDEX($W$2:$W$1001,MATCH(ROWS($V$2:V555),$V$2:$V$1001,0),1)&gt;=100000,INDEX($AC$1005:$AS$1005,1,MATCH(COLUMNS($AC$1006:AO1006),$AC$1006:$AS$1006,0))&gt;=100000), " ",IF(INDEX($AC$2:$AS$1001,MATCH(ROWS($V$2:V555),$V$2:$V$1001,0),MATCH(COLUMNS($AC$1006:AO1006),$AC$1006:$AS$1006,0)), HYPERLINK("#",""), HYPERLINK(CONCATENATE("#Metadata!", ADDRESS(INDEX($X$2:$X$1001,MATCH(ROWS($V$2:V555),$V$2:$V$1001,0),0), INDEX($AC$1004:$AS$1004,1,MATCH(COLUMNS($AC$1006:AO1006),$AC$1006:$AS$1006,0)))),"Fix")))</f>
        <v>0</v>
      </c>
      <c r="O555" s="5">
        <f>IF(OR(INDEX($W$2:$W$1001,MATCH(ROWS($V$2:V555),$V$2:$V$1001,0),1)&gt;=100000,INDEX($AC$1005:$AS$1005,1,MATCH(COLUMNS($AC$1006:AP1006),$AC$1006:$AS$1006,0))&gt;=100000), " ",IF(INDEX($AC$2:$AS$1001,MATCH(ROWS($V$2:V555),$V$2:$V$1001,0),MATCH(COLUMNS($AC$1006:AP1006),$AC$1006:$AS$1006,0)), HYPERLINK("#",""), HYPERLINK(CONCATENATE("#Metadata!", ADDRESS(INDEX($X$2:$X$1001,MATCH(ROWS($V$2:V555),$V$2:$V$1001,0),0), INDEX($AC$1004:$AS$1004,1,MATCH(COLUMNS($AC$1006:AP1006),$AC$1006:$AS$1006,0)))),"Fix")))</f>
        <v>0</v>
      </c>
      <c r="P555" s="5">
        <f>IF(OR(INDEX($W$2:$W$1001,MATCH(ROWS($V$2:V555),$V$2:$V$1001,0),1)&gt;=100000,INDEX($AC$1005:$AS$1005,1,MATCH(COLUMNS($AC$1006:AQ1006),$AC$1006:$AS$1006,0))&gt;=100000), " ",IF(INDEX($AC$2:$AS$1001,MATCH(ROWS($V$2:V555),$V$2:$V$1001,0),MATCH(COLUMNS($AC$1006:AQ1006),$AC$1006:$AS$1006,0)), HYPERLINK("#",""), HYPERLINK(CONCATENATE("#Metadata!", ADDRESS(INDEX($X$2:$X$1001,MATCH(ROWS($V$2:V555),$V$2:$V$1001,0),0), INDEX($AC$1004:$AS$1004,1,MATCH(COLUMNS($AC$1006:AQ1006),$AC$1006:$AS$1006,0)))),"Fix")))</f>
        <v>0</v>
      </c>
      <c r="Q555" s="5">
        <f>IF(OR(INDEX($W$2:$W$1001,MATCH(ROWS($V$2:V555),$V$2:$V$1001,0),1)&gt;=100000,INDEX($AC$1005:$AS$1005,1,MATCH(COLUMNS($AC$1006:AR1006),$AC$1006:$AS$1006,0))&gt;=100000), " ",IF(INDEX($AC$2:$AS$1001,MATCH(ROWS($V$2:V555),$V$2:$V$1001,0),MATCH(COLUMNS($AC$1006:AR1006),$AC$1006:$AS$1006,0)), HYPERLINK("#",""), HYPERLINK(CONCATENATE("#Metadata!", ADDRESS(INDEX($X$2:$X$1001,MATCH(ROWS($V$2:V555),$V$2:$V$1001,0),0), INDEX($AC$1004:$AS$1004,1,MATCH(COLUMNS($AC$1006:AR1006),$AC$1006:$AS$1006,0)))),"Fix")))</f>
        <v>0</v>
      </c>
      <c r="R555" s="5">
        <f>IF(OR(INDEX($W$2:$W$1001,MATCH(ROWS($V$2:V555),$V$2:$V$1001,0),1)&gt;=100000,INDEX($AC$1005:$AS$1005,1,MATCH(COLUMNS($AC$1006:AS1006),$AC$1006:$AS$1006,0))&gt;=100000), " ",IF(INDEX($AC$2:$AS$1001,MATCH(ROWS($V$2:V555),$V$2:$V$1001,0),MATCH(COLUMNS($AC$1006:AS1006),$AC$1006:$AS$1006,0)), HYPERLINK("#",""), HYPERLINK(CONCATENATE("#Metadata!", ADDRESS(INDEX($X$2:$X$1001,MATCH(ROWS($V$2:V555),$V$2:$V$1001,0),0), INDEX($AC$1004:$AS$1004,1,MATCH(COLUMNS($AC$1006:AS1006),$AC$1006:$AS$1006,0)))),"Fix")))</f>
        <v>0</v>
      </c>
      <c r="V555">
        <v>0</v>
      </c>
      <c r="W555">
        <v>0</v>
      </c>
      <c r="X555">
        <v>0</v>
      </c>
      <c r="Y555">
        <f>IF(Z555,TRUE,AND(AC555:AS555))</f>
        <v>0</v>
      </c>
      <c r="Z555">
        <f>COUNTBLANK(Metadata!B555:R555)=COLUMNS(Metadata!B555:R555)</f>
        <v>0</v>
      </c>
      <c r="AA555">
        <v>0</v>
      </c>
      <c r="AC555">
        <f>AND(IF(Metadata!B555="",FALSE,TRUE),COUNTIF(Metadata!B:B, Metadata!B555) = 1,NOT(ISERROR(SUMPRODUCT(SEARCH(MID(Metadata!B555,ROW(INDIRECT("1:"&amp;LEN(Metadata!B555))), 1),"0123456789abcdefghijklmnopqrstuvwxyzABCDEFGHIJKLMNOPQRSTUVWXYZ.")))))</f>
        <v>0</v>
      </c>
      <c r="AD555">
        <f>AND(IF(Metadata!C555="",FALSE,TRUE),exact(Metadata!C555,"Host-associated"))</f>
        <v>0</v>
      </c>
      <c r="AE555">
        <f>AND(IF(Metadata!D555="",FALSE,TRUE),OR(exact(Metadata!D555,"Animal"),exact(Metadata!D555,"Fungus"),exact(Metadata!D555,"Plant")))</f>
        <v>0</v>
      </c>
      <c r="AF555">
        <f>AND(IF(Metadata!E555="",FALSE,TRUE),OR(exact(Metadata!E555,"Plant secretion"),exact(Metadata!E555,"Plant rhizosphere"),exact(Metadata!E555,"Plant surface"),exact(Metadata!E555,"Plant corpus"),exact(Metadata!E555,"Fungus surface"),exact(Metadata!E555,"Fungus corpus"),exact(Metadata!E555,"Animal surface"),exact(Metadata!E555,"Animal proximal gut"),exact(Metadata!E555,"Animal corpus"),exact(Metadata!E555,"Animal distal gut"),exact(Metadata!E555,"Animal secretion")))</f>
        <v>0</v>
      </c>
      <c r="AG555">
        <f>OR(AND(IF(Metadata!F555="",FALSE,TRUE),OR(exact(Metadata!F555,"not collected"),exact(Metadata!F555,"not provided"),exact(Metadata!F555,"restricted access"))),AND(IF(Metadata!F555="",FALSE,TRUE),OR(exact(Metadata!F555,"organism-associated habitat"),exact(Metadata!F555,"plant-associated habitat"),exact(Metadata!F555,"animal-associated habitat"),exact(Metadata!F555,"insecta-associated habitat"),exact(Metadata!F555,"mammalia-associated habitat"),exact(Metadata!F555,"human-associated habitat"),exact(Metadata!F555,"livestock-associated habitat"))))</f>
        <v>0</v>
      </c>
      <c r="AH555">
        <f>AND(IF(Metadata!G555="",FALSE,TRUE),exact(Metadata!G555,"host-associated"))</f>
        <v>0</v>
      </c>
      <c r="AI555">
        <f>OR(AND(IF(Metadata!H555="",FALSE,TRUE),OR(exact(Metadata!H555,"not collected"),exact(Metadata!H555,"not provided"))),AND(IF(Metadata!H555="",FALSE,ISNUMBER(VALUE(Metadata!H555))),Metadata!H555&gt;0))</f>
        <v>0</v>
      </c>
      <c r="AJ555">
        <f>AND(IF(Metadata!I555="",FALSE,TRUE),exact(Metadata!I555,"years"))</f>
        <v>0</v>
      </c>
      <c r="AK555">
        <f>IF(Metadata!J555="",FALSE,TRUE)</f>
        <v>0</v>
      </c>
      <c r="AL555">
        <f>OR(AND(IF(Metadata!K555="",FALSE,TRUE),OR(exact(Metadata!K555,"not collected"),exact(Metadata!K555,"not provided"))),AND(IF(Metadata!K555="",FALSE,ISNUMBER(VALUE(Metadata!K555))),Metadata!K555&gt;0))</f>
        <v>0</v>
      </c>
      <c r="AM555">
        <f>AND(IF(Metadata!L555="",FALSE,TRUE),exact(Metadata!L555,"cm"))</f>
        <v>0</v>
      </c>
      <c r="AN555">
        <f>IF(Metadata!M555="",FALSE,TRUE)</f>
        <v>0</v>
      </c>
      <c r="AO555">
        <f>OR(AND(IF(Metadata!N555="",FALSE,TRUE),OR(exact(Metadata!N555,"not applicable"),exact(Metadata!N555,"not collected"),exact(Metadata!N555,"not provided"))),AND(IF(Metadata!N555="",FALSE,IF(ISERROR(INT(Metadata!N555)),FALSE,INT(Metadata!N555)=Metadata!N555)),Metadata!N555&gt;0))</f>
        <v>0</v>
      </c>
      <c r="AP555">
        <f>OR(AND(IF(Metadata!O555="",FALSE,TRUE),OR(exact(Metadata!O555,"not collected"),exact(Metadata!O555,"not provided"))),AND(IF(Metadata!O555="",FALSE,ISNUMBER(VALUE(Metadata!O555))),Metadata!O555&gt;0))</f>
        <v>0</v>
      </c>
      <c r="AQ555">
        <f>AND(IF(Metadata!P555="",FALSE,TRUE),exact(Metadata!P555,"kg"))</f>
        <v>0</v>
      </c>
      <c r="AR555">
        <f>OR(AND(IF(Metadata!Q555="",FALSE,TRUE),OR(exact(Metadata!Q555,"not applicable"),exact(Metadata!Q555,"not collected"),exact(Metadata!Q555,"not provided"),exact(Metadata!Q555,"restricted access"))),IF(Metadata!Q555="",FALSE,IF(ISERROR(INT(Metadata!Q555)),FALSE,INT(Metadata!Q555)=Metadata!Q555)))</f>
        <v>0</v>
      </c>
      <c r="AS555">
        <f>AND(IF(Metadata!R555="",FALSE,TRUE),exact(Metadata!R555,"Not applicable"))</f>
        <v>0</v>
      </c>
    </row>
    <row r="556" spans="1:45">
      <c r="A556" s="4">
        <f>IF(B556=" "," ",HYPERLINK(CONCATENATE("#metadata!",ADDRESS(INDEX($X$2:$X$1001,MATCH(ROWS($V$2:V556),$V$2:$V$1001,0),0),2)),INDEX($AA$2:$AA$1001,MATCH(ROWS($V$2:V556),$V$2:$V$1001,0),0)))</f>
        <v>0</v>
      </c>
      <c r="B556" s="5">
        <f>IF(OR(INDEX($W$2:$W$1001,MATCH(ROWS($V$2:V556),$V$2:$V$1001,0),1)&gt;=100000,INDEX($AC$1005:$AS$1005,1,MATCH(COLUMNS($AC$1006:AC1006),$AC$1006:$AS$1006,0))&gt;=100000), " ",IF(INDEX($AC$2:$AS$1001,MATCH(ROWS($V$2:V556),$V$2:$V$1001,0),MATCH(COLUMNS($AC$1006:AC1006),$AC$1006:$AS$1006,0)), HYPERLINK("#",""), HYPERLINK(CONCATENATE("#Metadata!", ADDRESS(INDEX($X$2:$X$1001,MATCH(ROWS($V$2:V556),$V$2:$V$1001,0),0), INDEX($AC$1004:$AS$1004,1,MATCH(COLUMNS($AC$1006:AC1006),$AC$1006:$AS$1006,0)))),"Fix")))</f>
        <v>0</v>
      </c>
      <c r="C556" s="5">
        <f>IF(OR(INDEX($W$2:$W$1001,MATCH(ROWS($V$2:V556),$V$2:$V$1001,0),1)&gt;=100000,INDEX($AC$1005:$AS$1005,1,MATCH(COLUMNS($AC$1006:AD1006),$AC$1006:$AS$1006,0))&gt;=100000), " ",IF(INDEX($AC$2:$AS$1001,MATCH(ROWS($V$2:V556),$V$2:$V$1001,0),MATCH(COLUMNS($AC$1006:AD1006),$AC$1006:$AS$1006,0)), HYPERLINK("#",""), HYPERLINK(CONCATENATE("#Metadata!", ADDRESS(INDEX($X$2:$X$1001,MATCH(ROWS($V$2:V556),$V$2:$V$1001,0),0), INDEX($AC$1004:$AS$1004,1,MATCH(COLUMNS($AC$1006:AD1006),$AC$1006:$AS$1006,0)))),"Fix")))</f>
        <v>0</v>
      </c>
      <c r="D556" s="5">
        <f>IF(OR(INDEX($W$2:$W$1001,MATCH(ROWS($V$2:V556),$V$2:$V$1001,0),1)&gt;=100000,INDEX($AC$1005:$AS$1005,1,MATCH(COLUMNS($AC$1006:AE1006),$AC$1006:$AS$1006,0))&gt;=100000), " ",IF(INDEX($AC$2:$AS$1001,MATCH(ROWS($V$2:V556),$V$2:$V$1001,0),MATCH(COLUMNS($AC$1006:AE1006),$AC$1006:$AS$1006,0)), HYPERLINK("#",""), HYPERLINK(CONCATENATE("#Metadata!", ADDRESS(INDEX($X$2:$X$1001,MATCH(ROWS($V$2:V556),$V$2:$V$1001,0),0), INDEX($AC$1004:$AS$1004,1,MATCH(COLUMNS($AC$1006:AE1006),$AC$1006:$AS$1006,0)))),"Fix")))</f>
        <v>0</v>
      </c>
      <c r="E556" s="5">
        <f>IF(OR(INDEX($W$2:$W$1001,MATCH(ROWS($V$2:V556),$V$2:$V$1001,0),1)&gt;=100000,INDEX($AC$1005:$AS$1005,1,MATCH(COLUMNS($AC$1006:AF1006),$AC$1006:$AS$1006,0))&gt;=100000), " ",IF(INDEX($AC$2:$AS$1001,MATCH(ROWS($V$2:V556),$V$2:$V$1001,0),MATCH(COLUMNS($AC$1006:AF1006),$AC$1006:$AS$1006,0)), HYPERLINK("#",""), HYPERLINK(CONCATENATE("#Metadata!", ADDRESS(INDEX($X$2:$X$1001,MATCH(ROWS($V$2:V556),$V$2:$V$1001,0),0), INDEX($AC$1004:$AS$1004,1,MATCH(COLUMNS($AC$1006:AF1006),$AC$1006:$AS$1006,0)))),"Fix")))</f>
        <v>0</v>
      </c>
      <c r="F556" s="5">
        <f>IF(OR(INDEX($W$2:$W$1001,MATCH(ROWS($V$2:V556),$V$2:$V$1001,0),1)&gt;=100000,INDEX($AC$1005:$AS$1005,1,MATCH(COLUMNS($AC$1006:AG1006),$AC$1006:$AS$1006,0))&gt;=100000), " ",IF(INDEX($AC$2:$AS$1001,MATCH(ROWS($V$2:V556),$V$2:$V$1001,0),MATCH(COLUMNS($AC$1006:AG1006),$AC$1006:$AS$1006,0)), HYPERLINK("#",""), HYPERLINK(CONCATENATE("#Metadata!", ADDRESS(INDEX($X$2:$X$1001,MATCH(ROWS($V$2:V556),$V$2:$V$1001,0),0), INDEX($AC$1004:$AS$1004,1,MATCH(COLUMNS($AC$1006:AG1006),$AC$1006:$AS$1006,0)))),"Fix")))</f>
        <v>0</v>
      </c>
      <c r="G556" s="5">
        <f>IF(OR(INDEX($W$2:$W$1001,MATCH(ROWS($V$2:V556),$V$2:$V$1001,0),1)&gt;=100000,INDEX($AC$1005:$AS$1005,1,MATCH(COLUMNS($AC$1006:AH1006),$AC$1006:$AS$1006,0))&gt;=100000), " ",IF(INDEX($AC$2:$AS$1001,MATCH(ROWS($V$2:V556),$V$2:$V$1001,0),MATCH(COLUMNS($AC$1006:AH1006),$AC$1006:$AS$1006,0)), HYPERLINK("#",""), HYPERLINK(CONCATENATE("#Metadata!", ADDRESS(INDEX($X$2:$X$1001,MATCH(ROWS($V$2:V556),$V$2:$V$1001,0),0), INDEX($AC$1004:$AS$1004,1,MATCH(COLUMNS($AC$1006:AH1006),$AC$1006:$AS$1006,0)))),"Fix")))</f>
        <v>0</v>
      </c>
      <c r="H556" s="5">
        <f>IF(OR(INDEX($W$2:$W$1001,MATCH(ROWS($V$2:V556),$V$2:$V$1001,0),1)&gt;=100000,INDEX($AC$1005:$AS$1005,1,MATCH(COLUMNS($AC$1006:AI1006),$AC$1006:$AS$1006,0))&gt;=100000), " ",IF(INDEX($AC$2:$AS$1001,MATCH(ROWS($V$2:V556),$V$2:$V$1001,0),MATCH(COLUMNS($AC$1006:AI1006),$AC$1006:$AS$1006,0)), HYPERLINK("#",""), HYPERLINK(CONCATENATE("#Metadata!", ADDRESS(INDEX($X$2:$X$1001,MATCH(ROWS($V$2:V556),$V$2:$V$1001,0),0), INDEX($AC$1004:$AS$1004,1,MATCH(COLUMNS($AC$1006:AI1006),$AC$1006:$AS$1006,0)))),"Fix")))</f>
        <v>0</v>
      </c>
      <c r="I556" s="5">
        <f>IF(OR(INDEX($W$2:$W$1001,MATCH(ROWS($V$2:V556),$V$2:$V$1001,0),1)&gt;=100000,INDEX($AC$1005:$AS$1005,1,MATCH(COLUMNS($AC$1006:AJ1006),$AC$1006:$AS$1006,0))&gt;=100000), " ",IF(INDEX($AC$2:$AS$1001,MATCH(ROWS($V$2:V556),$V$2:$V$1001,0),MATCH(COLUMNS($AC$1006:AJ1006),$AC$1006:$AS$1006,0)), HYPERLINK("#",""), HYPERLINK(CONCATENATE("#Metadata!", ADDRESS(INDEX($X$2:$X$1001,MATCH(ROWS($V$2:V556),$V$2:$V$1001,0),0), INDEX($AC$1004:$AS$1004,1,MATCH(COLUMNS($AC$1006:AJ1006),$AC$1006:$AS$1006,0)))),"Fix")))</f>
        <v>0</v>
      </c>
      <c r="J556" s="5">
        <f>IF(OR(INDEX($W$2:$W$1001,MATCH(ROWS($V$2:V556),$V$2:$V$1001,0),1)&gt;=100000,INDEX($AC$1005:$AS$1005,1,MATCH(COLUMNS($AC$1006:AK1006),$AC$1006:$AS$1006,0))&gt;=100000), " ",IF(INDEX($AC$2:$AS$1001,MATCH(ROWS($V$2:V556),$V$2:$V$1001,0),MATCH(COLUMNS($AC$1006:AK1006),$AC$1006:$AS$1006,0)), HYPERLINK("#",""), HYPERLINK(CONCATENATE("#Metadata!", ADDRESS(INDEX($X$2:$X$1001,MATCH(ROWS($V$2:V556),$V$2:$V$1001,0),0), INDEX($AC$1004:$AS$1004,1,MATCH(COLUMNS($AC$1006:AK1006),$AC$1006:$AS$1006,0)))),"Fix")))</f>
        <v>0</v>
      </c>
      <c r="K556" s="5">
        <f>IF(OR(INDEX($W$2:$W$1001,MATCH(ROWS($V$2:V556),$V$2:$V$1001,0),1)&gt;=100000,INDEX($AC$1005:$AS$1005,1,MATCH(COLUMNS($AC$1006:AL1006),$AC$1006:$AS$1006,0))&gt;=100000), " ",IF(INDEX($AC$2:$AS$1001,MATCH(ROWS($V$2:V556),$V$2:$V$1001,0),MATCH(COLUMNS($AC$1006:AL1006),$AC$1006:$AS$1006,0)), HYPERLINK("#",""), HYPERLINK(CONCATENATE("#Metadata!", ADDRESS(INDEX($X$2:$X$1001,MATCH(ROWS($V$2:V556),$V$2:$V$1001,0),0), INDEX($AC$1004:$AS$1004,1,MATCH(COLUMNS($AC$1006:AL1006),$AC$1006:$AS$1006,0)))),"Fix")))</f>
        <v>0</v>
      </c>
      <c r="L556" s="5">
        <f>IF(OR(INDEX($W$2:$W$1001,MATCH(ROWS($V$2:V556),$V$2:$V$1001,0),1)&gt;=100000,INDEX($AC$1005:$AS$1005,1,MATCH(COLUMNS($AC$1006:AM1006),$AC$1006:$AS$1006,0))&gt;=100000), " ",IF(INDEX($AC$2:$AS$1001,MATCH(ROWS($V$2:V556),$V$2:$V$1001,0),MATCH(COLUMNS($AC$1006:AM1006),$AC$1006:$AS$1006,0)), HYPERLINK("#",""), HYPERLINK(CONCATENATE("#Metadata!", ADDRESS(INDEX($X$2:$X$1001,MATCH(ROWS($V$2:V556),$V$2:$V$1001,0),0), INDEX($AC$1004:$AS$1004,1,MATCH(COLUMNS($AC$1006:AM1006),$AC$1006:$AS$1006,0)))),"Fix")))</f>
        <v>0</v>
      </c>
      <c r="M556" s="5">
        <f>IF(OR(INDEX($W$2:$W$1001,MATCH(ROWS($V$2:V556),$V$2:$V$1001,0),1)&gt;=100000,INDEX($AC$1005:$AS$1005,1,MATCH(COLUMNS($AC$1006:AN1006),$AC$1006:$AS$1006,0))&gt;=100000), " ",IF(INDEX($AC$2:$AS$1001,MATCH(ROWS($V$2:V556),$V$2:$V$1001,0),MATCH(COLUMNS($AC$1006:AN1006),$AC$1006:$AS$1006,0)), HYPERLINK("#",""), HYPERLINK(CONCATENATE("#Metadata!", ADDRESS(INDEX($X$2:$X$1001,MATCH(ROWS($V$2:V556),$V$2:$V$1001,0),0), INDEX($AC$1004:$AS$1004,1,MATCH(COLUMNS($AC$1006:AN1006),$AC$1006:$AS$1006,0)))),"Fix")))</f>
        <v>0</v>
      </c>
      <c r="N556" s="5">
        <f>IF(OR(INDEX($W$2:$W$1001,MATCH(ROWS($V$2:V556),$V$2:$V$1001,0),1)&gt;=100000,INDEX($AC$1005:$AS$1005,1,MATCH(COLUMNS($AC$1006:AO1006),$AC$1006:$AS$1006,0))&gt;=100000), " ",IF(INDEX($AC$2:$AS$1001,MATCH(ROWS($V$2:V556),$V$2:$V$1001,0),MATCH(COLUMNS($AC$1006:AO1006),$AC$1006:$AS$1006,0)), HYPERLINK("#",""), HYPERLINK(CONCATENATE("#Metadata!", ADDRESS(INDEX($X$2:$X$1001,MATCH(ROWS($V$2:V556),$V$2:$V$1001,0),0), INDEX($AC$1004:$AS$1004,1,MATCH(COLUMNS($AC$1006:AO1006),$AC$1006:$AS$1006,0)))),"Fix")))</f>
        <v>0</v>
      </c>
      <c r="O556" s="5">
        <f>IF(OR(INDEX($W$2:$W$1001,MATCH(ROWS($V$2:V556),$V$2:$V$1001,0),1)&gt;=100000,INDEX($AC$1005:$AS$1005,1,MATCH(COLUMNS($AC$1006:AP1006),$AC$1006:$AS$1006,0))&gt;=100000), " ",IF(INDEX($AC$2:$AS$1001,MATCH(ROWS($V$2:V556),$V$2:$V$1001,0),MATCH(COLUMNS($AC$1006:AP1006),$AC$1006:$AS$1006,0)), HYPERLINK("#",""), HYPERLINK(CONCATENATE("#Metadata!", ADDRESS(INDEX($X$2:$X$1001,MATCH(ROWS($V$2:V556),$V$2:$V$1001,0),0), INDEX($AC$1004:$AS$1004,1,MATCH(COLUMNS($AC$1006:AP1006),$AC$1006:$AS$1006,0)))),"Fix")))</f>
        <v>0</v>
      </c>
      <c r="P556" s="5">
        <f>IF(OR(INDEX($W$2:$W$1001,MATCH(ROWS($V$2:V556),$V$2:$V$1001,0),1)&gt;=100000,INDEX($AC$1005:$AS$1005,1,MATCH(COLUMNS($AC$1006:AQ1006),$AC$1006:$AS$1006,0))&gt;=100000), " ",IF(INDEX($AC$2:$AS$1001,MATCH(ROWS($V$2:V556),$V$2:$V$1001,0),MATCH(COLUMNS($AC$1006:AQ1006),$AC$1006:$AS$1006,0)), HYPERLINK("#",""), HYPERLINK(CONCATENATE("#Metadata!", ADDRESS(INDEX($X$2:$X$1001,MATCH(ROWS($V$2:V556),$V$2:$V$1001,0),0), INDEX($AC$1004:$AS$1004,1,MATCH(COLUMNS($AC$1006:AQ1006),$AC$1006:$AS$1006,0)))),"Fix")))</f>
        <v>0</v>
      </c>
      <c r="Q556" s="5">
        <f>IF(OR(INDEX($W$2:$W$1001,MATCH(ROWS($V$2:V556),$V$2:$V$1001,0),1)&gt;=100000,INDEX($AC$1005:$AS$1005,1,MATCH(COLUMNS($AC$1006:AR1006),$AC$1006:$AS$1006,0))&gt;=100000), " ",IF(INDEX($AC$2:$AS$1001,MATCH(ROWS($V$2:V556),$V$2:$V$1001,0),MATCH(COLUMNS($AC$1006:AR1006),$AC$1006:$AS$1006,0)), HYPERLINK("#",""), HYPERLINK(CONCATENATE("#Metadata!", ADDRESS(INDEX($X$2:$X$1001,MATCH(ROWS($V$2:V556),$V$2:$V$1001,0),0), INDEX($AC$1004:$AS$1004,1,MATCH(COLUMNS($AC$1006:AR1006),$AC$1006:$AS$1006,0)))),"Fix")))</f>
        <v>0</v>
      </c>
      <c r="R556" s="5">
        <f>IF(OR(INDEX($W$2:$W$1001,MATCH(ROWS($V$2:V556),$V$2:$V$1001,0),1)&gt;=100000,INDEX($AC$1005:$AS$1005,1,MATCH(COLUMNS($AC$1006:AS1006),$AC$1006:$AS$1006,0))&gt;=100000), " ",IF(INDEX($AC$2:$AS$1001,MATCH(ROWS($V$2:V556),$V$2:$V$1001,0),MATCH(COLUMNS($AC$1006:AS1006),$AC$1006:$AS$1006,0)), HYPERLINK("#",""), HYPERLINK(CONCATENATE("#Metadata!", ADDRESS(INDEX($X$2:$X$1001,MATCH(ROWS($V$2:V556),$V$2:$V$1001,0),0), INDEX($AC$1004:$AS$1004,1,MATCH(COLUMNS($AC$1006:AS1006),$AC$1006:$AS$1006,0)))),"Fix")))</f>
        <v>0</v>
      </c>
      <c r="V556">
        <v>0</v>
      </c>
      <c r="W556">
        <v>0</v>
      </c>
      <c r="X556">
        <v>0</v>
      </c>
      <c r="Y556">
        <f>IF(Z556,TRUE,AND(AC556:AS556))</f>
        <v>0</v>
      </c>
      <c r="Z556">
        <f>COUNTBLANK(Metadata!B556:R556)=COLUMNS(Metadata!B556:R556)</f>
        <v>0</v>
      </c>
      <c r="AA556">
        <v>0</v>
      </c>
      <c r="AC556">
        <f>AND(IF(Metadata!B556="",FALSE,TRUE),COUNTIF(Metadata!B:B, Metadata!B556) = 1,NOT(ISERROR(SUMPRODUCT(SEARCH(MID(Metadata!B556,ROW(INDIRECT("1:"&amp;LEN(Metadata!B556))), 1),"0123456789abcdefghijklmnopqrstuvwxyzABCDEFGHIJKLMNOPQRSTUVWXYZ.")))))</f>
        <v>0</v>
      </c>
      <c r="AD556">
        <f>AND(IF(Metadata!C556="",FALSE,TRUE),exact(Metadata!C556,"Host-associated"))</f>
        <v>0</v>
      </c>
      <c r="AE556">
        <f>AND(IF(Metadata!D556="",FALSE,TRUE),OR(exact(Metadata!D556,"Animal"),exact(Metadata!D556,"Fungus"),exact(Metadata!D556,"Plant")))</f>
        <v>0</v>
      </c>
      <c r="AF556">
        <f>AND(IF(Metadata!E556="",FALSE,TRUE),OR(exact(Metadata!E556,"Plant secretion"),exact(Metadata!E556,"Plant rhizosphere"),exact(Metadata!E556,"Plant surface"),exact(Metadata!E556,"Plant corpus"),exact(Metadata!E556,"Fungus surface"),exact(Metadata!E556,"Fungus corpus"),exact(Metadata!E556,"Animal surface"),exact(Metadata!E556,"Animal proximal gut"),exact(Metadata!E556,"Animal corpus"),exact(Metadata!E556,"Animal distal gut"),exact(Metadata!E556,"Animal secretion")))</f>
        <v>0</v>
      </c>
      <c r="AG556">
        <f>OR(AND(IF(Metadata!F556="",FALSE,TRUE),OR(exact(Metadata!F556,"not collected"),exact(Metadata!F556,"not provided"),exact(Metadata!F556,"restricted access"))),AND(IF(Metadata!F556="",FALSE,TRUE),OR(exact(Metadata!F556,"organism-associated habitat"),exact(Metadata!F556,"plant-associated habitat"),exact(Metadata!F556,"animal-associated habitat"),exact(Metadata!F556,"insecta-associated habitat"),exact(Metadata!F556,"mammalia-associated habitat"),exact(Metadata!F556,"human-associated habitat"),exact(Metadata!F556,"livestock-associated habitat"))))</f>
        <v>0</v>
      </c>
      <c r="AH556">
        <f>AND(IF(Metadata!G556="",FALSE,TRUE),exact(Metadata!G556,"host-associated"))</f>
        <v>0</v>
      </c>
      <c r="AI556">
        <f>OR(AND(IF(Metadata!H556="",FALSE,TRUE),OR(exact(Metadata!H556,"not collected"),exact(Metadata!H556,"not provided"))),AND(IF(Metadata!H556="",FALSE,ISNUMBER(VALUE(Metadata!H556))),Metadata!H556&gt;0))</f>
        <v>0</v>
      </c>
      <c r="AJ556">
        <f>AND(IF(Metadata!I556="",FALSE,TRUE),exact(Metadata!I556,"years"))</f>
        <v>0</v>
      </c>
      <c r="AK556">
        <f>IF(Metadata!J556="",FALSE,TRUE)</f>
        <v>0</v>
      </c>
      <c r="AL556">
        <f>OR(AND(IF(Metadata!K556="",FALSE,TRUE),OR(exact(Metadata!K556,"not collected"),exact(Metadata!K556,"not provided"))),AND(IF(Metadata!K556="",FALSE,ISNUMBER(VALUE(Metadata!K556))),Metadata!K556&gt;0))</f>
        <v>0</v>
      </c>
      <c r="AM556">
        <f>AND(IF(Metadata!L556="",FALSE,TRUE),exact(Metadata!L556,"cm"))</f>
        <v>0</v>
      </c>
      <c r="AN556">
        <f>IF(Metadata!M556="",FALSE,TRUE)</f>
        <v>0</v>
      </c>
      <c r="AO556">
        <f>OR(AND(IF(Metadata!N556="",FALSE,TRUE),OR(exact(Metadata!N556,"not applicable"),exact(Metadata!N556,"not collected"),exact(Metadata!N556,"not provided"))),AND(IF(Metadata!N556="",FALSE,IF(ISERROR(INT(Metadata!N556)),FALSE,INT(Metadata!N556)=Metadata!N556)),Metadata!N556&gt;0))</f>
        <v>0</v>
      </c>
      <c r="AP556">
        <f>OR(AND(IF(Metadata!O556="",FALSE,TRUE),OR(exact(Metadata!O556,"not collected"),exact(Metadata!O556,"not provided"))),AND(IF(Metadata!O556="",FALSE,ISNUMBER(VALUE(Metadata!O556))),Metadata!O556&gt;0))</f>
        <v>0</v>
      </c>
      <c r="AQ556">
        <f>AND(IF(Metadata!P556="",FALSE,TRUE),exact(Metadata!P556,"kg"))</f>
        <v>0</v>
      </c>
      <c r="AR556">
        <f>OR(AND(IF(Metadata!Q556="",FALSE,TRUE),OR(exact(Metadata!Q556,"not applicable"),exact(Metadata!Q556,"not collected"),exact(Metadata!Q556,"not provided"),exact(Metadata!Q556,"restricted access"))),IF(Metadata!Q556="",FALSE,IF(ISERROR(INT(Metadata!Q556)),FALSE,INT(Metadata!Q556)=Metadata!Q556)))</f>
        <v>0</v>
      </c>
      <c r="AS556">
        <f>AND(IF(Metadata!R556="",FALSE,TRUE),exact(Metadata!R556,"Not applicable"))</f>
        <v>0</v>
      </c>
    </row>
    <row r="557" spans="1:45">
      <c r="A557" s="4">
        <f>IF(B557=" "," ",HYPERLINK(CONCATENATE("#metadata!",ADDRESS(INDEX($X$2:$X$1001,MATCH(ROWS($V$2:V557),$V$2:$V$1001,0),0),2)),INDEX($AA$2:$AA$1001,MATCH(ROWS($V$2:V557),$V$2:$V$1001,0),0)))</f>
        <v>0</v>
      </c>
      <c r="B557" s="5">
        <f>IF(OR(INDEX($W$2:$W$1001,MATCH(ROWS($V$2:V557),$V$2:$V$1001,0),1)&gt;=100000,INDEX($AC$1005:$AS$1005,1,MATCH(COLUMNS($AC$1006:AC1006),$AC$1006:$AS$1006,0))&gt;=100000), " ",IF(INDEX($AC$2:$AS$1001,MATCH(ROWS($V$2:V557),$V$2:$V$1001,0),MATCH(COLUMNS($AC$1006:AC1006),$AC$1006:$AS$1006,0)), HYPERLINK("#",""), HYPERLINK(CONCATENATE("#Metadata!", ADDRESS(INDEX($X$2:$X$1001,MATCH(ROWS($V$2:V557),$V$2:$V$1001,0),0), INDEX($AC$1004:$AS$1004,1,MATCH(COLUMNS($AC$1006:AC1006),$AC$1006:$AS$1006,0)))),"Fix")))</f>
        <v>0</v>
      </c>
      <c r="C557" s="5">
        <f>IF(OR(INDEX($W$2:$W$1001,MATCH(ROWS($V$2:V557),$V$2:$V$1001,0),1)&gt;=100000,INDEX($AC$1005:$AS$1005,1,MATCH(COLUMNS($AC$1006:AD1006),$AC$1006:$AS$1006,0))&gt;=100000), " ",IF(INDEX($AC$2:$AS$1001,MATCH(ROWS($V$2:V557),$V$2:$V$1001,0),MATCH(COLUMNS($AC$1006:AD1006),$AC$1006:$AS$1006,0)), HYPERLINK("#",""), HYPERLINK(CONCATENATE("#Metadata!", ADDRESS(INDEX($X$2:$X$1001,MATCH(ROWS($V$2:V557),$V$2:$V$1001,0),0), INDEX($AC$1004:$AS$1004,1,MATCH(COLUMNS($AC$1006:AD1006),$AC$1006:$AS$1006,0)))),"Fix")))</f>
        <v>0</v>
      </c>
      <c r="D557" s="5">
        <f>IF(OR(INDEX($W$2:$W$1001,MATCH(ROWS($V$2:V557),$V$2:$V$1001,0),1)&gt;=100000,INDEX($AC$1005:$AS$1005,1,MATCH(COLUMNS($AC$1006:AE1006),$AC$1006:$AS$1006,0))&gt;=100000), " ",IF(INDEX($AC$2:$AS$1001,MATCH(ROWS($V$2:V557),$V$2:$V$1001,0),MATCH(COLUMNS($AC$1006:AE1006),$AC$1006:$AS$1006,0)), HYPERLINK("#",""), HYPERLINK(CONCATENATE("#Metadata!", ADDRESS(INDEX($X$2:$X$1001,MATCH(ROWS($V$2:V557),$V$2:$V$1001,0),0), INDEX($AC$1004:$AS$1004,1,MATCH(COLUMNS($AC$1006:AE1006),$AC$1006:$AS$1006,0)))),"Fix")))</f>
        <v>0</v>
      </c>
      <c r="E557" s="5">
        <f>IF(OR(INDEX($W$2:$W$1001,MATCH(ROWS($V$2:V557),$V$2:$V$1001,0),1)&gt;=100000,INDEX($AC$1005:$AS$1005,1,MATCH(COLUMNS($AC$1006:AF1006),$AC$1006:$AS$1006,0))&gt;=100000), " ",IF(INDEX($AC$2:$AS$1001,MATCH(ROWS($V$2:V557),$V$2:$V$1001,0),MATCH(COLUMNS($AC$1006:AF1006),$AC$1006:$AS$1006,0)), HYPERLINK("#",""), HYPERLINK(CONCATENATE("#Metadata!", ADDRESS(INDEX($X$2:$X$1001,MATCH(ROWS($V$2:V557),$V$2:$V$1001,0),0), INDEX($AC$1004:$AS$1004,1,MATCH(COLUMNS($AC$1006:AF1006),$AC$1006:$AS$1006,0)))),"Fix")))</f>
        <v>0</v>
      </c>
      <c r="F557" s="5">
        <f>IF(OR(INDEX($W$2:$W$1001,MATCH(ROWS($V$2:V557),$V$2:$V$1001,0),1)&gt;=100000,INDEX($AC$1005:$AS$1005,1,MATCH(COLUMNS($AC$1006:AG1006),$AC$1006:$AS$1006,0))&gt;=100000), " ",IF(INDEX($AC$2:$AS$1001,MATCH(ROWS($V$2:V557),$V$2:$V$1001,0),MATCH(COLUMNS($AC$1006:AG1006),$AC$1006:$AS$1006,0)), HYPERLINK("#",""), HYPERLINK(CONCATENATE("#Metadata!", ADDRESS(INDEX($X$2:$X$1001,MATCH(ROWS($V$2:V557),$V$2:$V$1001,0),0), INDEX($AC$1004:$AS$1004,1,MATCH(COLUMNS($AC$1006:AG1006),$AC$1006:$AS$1006,0)))),"Fix")))</f>
        <v>0</v>
      </c>
      <c r="G557" s="5">
        <f>IF(OR(INDEX($W$2:$W$1001,MATCH(ROWS($V$2:V557),$V$2:$V$1001,0),1)&gt;=100000,INDEX($AC$1005:$AS$1005,1,MATCH(COLUMNS($AC$1006:AH1006),$AC$1006:$AS$1006,0))&gt;=100000), " ",IF(INDEX($AC$2:$AS$1001,MATCH(ROWS($V$2:V557),$V$2:$V$1001,0),MATCH(COLUMNS($AC$1006:AH1006),$AC$1006:$AS$1006,0)), HYPERLINK("#",""), HYPERLINK(CONCATENATE("#Metadata!", ADDRESS(INDEX($X$2:$X$1001,MATCH(ROWS($V$2:V557),$V$2:$V$1001,0),0), INDEX($AC$1004:$AS$1004,1,MATCH(COLUMNS($AC$1006:AH1006),$AC$1006:$AS$1006,0)))),"Fix")))</f>
        <v>0</v>
      </c>
      <c r="H557" s="5">
        <f>IF(OR(INDEX($W$2:$W$1001,MATCH(ROWS($V$2:V557),$V$2:$V$1001,0),1)&gt;=100000,INDEX($AC$1005:$AS$1005,1,MATCH(COLUMNS($AC$1006:AI1006),$AC$1006:$AS$1006,0))&gt;=100000), " ",IF(INDEX($AC$2:$AS$1001,MATCH(ROWS($V$2:V557),$V$2:$V$1001,0),MATCH(COLUMNS($AC$1006:AI1006),$AC$1006:$AS$1006,0)), HYPERLINK("#",""), HYPERLINK(CONCATENATE("#Metadata!", ADDRESS(INDEX($X$2:$X$1001,MATCH(ROWS($V$2:V557),$V$2:$V$1001,0),0), INDEX($AC$1004:$AS$1004,1,MATCH(COLUMNS($AC$1006:AI1006),$AC$1006:$AS$1006,0)))),"Fix")))</f>
        <v>0</v>
      </c>
      <c r="I557" s="5">
        <f>IF(OR(INDEX($W$2:$W$1001,MATCH(ROWS($V$2:V557),$V$2:$V$1001,0),1)&gt;=100000,INDEX($AC$1005:$AS$1005,1,MATCH(COLUMNS($AC$1006:AJ1006),$AC$1006:$AS$1006,0))&gt;=100000), " ",IF(INDEX($AC$2:$AS$1001,MATCH(ROWS($V$2:V557),$V$2:$V$1001,0),MATCH(COLUMNS($AC$1006:AJ1006),$AC$1006:$AS$1006,0)), HYPERLINK("#",""), HYPERLINK(CONCATENATE("#Metadata!", ADDRESS(INDEX($X$2:$X$1001,MATCH(ROWS($V$2:V557),$V$2:$V$1001,0),0), INDEX($AC$1004:$AS$1004,1,MATCH(COLUMNS($AC$1006:AJ1006),$AC$1006:$AS$1006,0)))),"Fix")))</f>
        <v>0</v>
      </c>
      <c r="J557" s="5">
        <f>IF(OR(INDEX($W$2:$W$1001,MATCH(ROWS($V$2:V557),$V$2:$V$1001,0),1)&gt;=100000,INDEX($AC$1005:$AS$1005,1,MATCH(COLUMNS($AC$1006:AK1006),$AC$1006:$AS$1006,0))&gt;=100000), " ",IF(INDEX($AC$2:$AS$1001,MATCH(ROWS($V$2:V557),$V$2:$V$1001,0),MATCH(COLUMNS($AC$1006:AK1006),$AC$1006:$AS$1006,0)), HYPERLINK("#",""), HYPERLINK(CONCATENATE("#Metadata!", ADDRESS(INDEX($X$2:$X$1001,MATCH(ROWS($V$2:V557),$V$2:$V$1001,0),0), INDEX($AC$1004:$AS$1004,1,MATCH(COLUMNS($AC$1006:AK1006),$AC$1006:$AS$1006,0)))),"Fix")))</f>
        <v>0</v>
      </c>
      <c r="K557" s="5">
        <f>IF(OR(INDEX($W$2:$W$1001,MATCH(ROWS($V$2:V557),$V$2:$V$1001,0),1)&gt;=100000,INDEX($AC$1005:$AS$1005,1,MATCH(COLUMNS($AC$1006:AL1006),$AC$1006:$AS$1006,0))&gt;=100000), " ",IF(INDEX($AC$2:$AS$1001,MATCH(ROWS($V$2:V557),$V$2:$V$1001,0),MATCH(COLUMNS($AC$1006:AL1006),$AC$1006:$AS$1006,0)), HYPERLINK("#",""), HYPERLINK(CONCATENATE("#Metadata!", ADDRESS(INDEX($X$2:$X$1001,MATCH(ROWS($V$2:V557),$V$2:$V$1001,0),0), INDEX($AC$1004:$AS$1004,1,MATCH(COLUMNS($AC$1006:AL1006),$AC$1006:$AS$1006,0)))),"Fix")))</f>
        <v>0</v>
      </c>
      <c r="L557" s="5">
        <f>IF(OR(INDEX($W$2:$W$1001,MATCH(ROWS($V$2:V557),$V$2:$V$1001,0),1)&gt;=100000,INDEX($AC$1005:$AS$1005,1,MATCH(COLUMNS($AC$1006:AM1006),$AC$1006:$AS$1006,0))&gt;=100000), " ",IF(INDEX($AC$2:$AS$1001,MATCH(ROWS($V$2:V557),$V$2:$V$1001,0),MATCH(COLUMNS($AC$1006:AM1006),$AC$1006:$AS$1006,0)), HYPERLINK("#",""), HYPERLINK(CONCATENATE("#Metadata!", ADDRESS(INDEX($X$2:$X$1001,MATCH(ROWS($V$2:V557),$V$2:$V$1001,0),0), INDEX($AC$1004:$AS$1004,1,MATCH(COLUMNS($AC$1006:AM1006),$AC$1006:$AS$1006,0)))),"Fix")))</f>
        <v>0</v>
      </c>
      <c r="M557" s="5">
        <f>IF(OR(INDEX($W$2:$W$1001,MATCH(ROWS($V$2:V557),$V$2:$V$1001,0),1)&gt;=100000,INDEX($AC$1005:$AS$1005,1,MATCH(COLUMNS($AC$1006:AN1006),$AC$1006:$AS$1006,0))&gt;=100000), " ",IF(INDEX($AC$2:$AS$1001,MATCH(ROWS($V$2:V557),$V$2:$V$1001,0),MATCH(COLUMNS($AC$1006:AN1006),$AC$1006:$AS$1006,0)), HYPERLINK("#",""), HYPERLINK(CONCATENATE("#Metadata!", ADDRESS(INDEX($X$2:$X$1001,MATCH(ROWS($V$2:V557),$V$2:$V$1001,0),0), INDEX($AC$1004:$AS$1004,1,MATCH(COLUMNS($AC$1006:AN1006),$AC$1006:$AS$1006,0)))),"Fix")))</f>
        <v>0</v>
      </c>
      <c r="N557" s="5">
        <f>IF(OR(INDEX($W$2:$W$1001,MATCH(ROWS($V$2:V557),$V$2:$V$1001,0),1)&gt;=100000,INDEX($AC$1005:$AS$1005,1,MATCH(COLUMNS($AC$1006:AO1006),$AC$1006:$AS$1006,0))&gt;=100000), " ",IF(INDEX($AC$2:$AS$1001,MATCH(ROWS($V$2:V557),$V$2:$V$1001,0),MATCH(COLUMNS($AC$1006:AO1006),$AC$1006:$AS$1006,0)), HYPERLINK("#",""), HYPERLINK(CONCATENATE("#Metadata!", ADDRESS(INDEX($X$2:$X$1001,MATCH(ROWS($V$2:V557),$V$2:$V$1001,0),0), INDEX($AC$1004:$AS$1004,1,MATCH(COLUMNS($AC$1006:AO1006),$AC$1006:$AS$1006,0)))),"Fix")))</f>
        <v>0</v>
      </c>
      <c r="O557" s="5">
        <f>IF(OR(INDEX($W$2:$W$1001,MATCH(ROWS($V$2:V557),$V$2:$V$1001,0),1)&gt;=100000,INDEX($AC$1005:$AS$1005,1,MATCH(COLUMNS($AC$1006:AP1006),$AC$1006:$AS$1006,0))&gt;=100000), " ",IF(INDEX($AC$2:$AS$1001,MATCH(ROWS($V$2:V557),$V$2:$V$1001,0),MATCH(COLUMNS($AC$1006:AP1006),$AC$1006:$AS$1006,0)), HYPERLINK("#",""), HYPERLINK(CONCATENATE("#Metadata!", ADDRESS(INDEX($X$2:$X$1001,MATCH(ROWS($V$2:V557),$V$2:$V$1001,0),0), INDEX($AC$1004:$AS$1004,1,MATCH(COLUMNS($AC$1006:AP1006),$AC$1006:$AS$1006,0)))),"Fix")))</f>
        <v>0</v>
      </c>
      <c r="P557" s="5">
        <f>IF(OR(INDEX($W$2:$W$1001,MATCH(ROWS($V$2:V557),$V$2:$V$1001,0),1)&gt;=100000,INDEX($AC$1005:$AS$1005,1,MATCH(COLUMNS($AC$1006:AQ1006),$AC$1006:$AS$1006,0))&gt;=100000), " ",IF(INDEX($AC$2:$AS$1001,MATCH(ROWS($V$2:V557),$V$2:$V$1001,0),MATCH(COLUMNS($AC$1006:AQ1006),$AC$1006:$AS$1006,0)), HYPERLINK("#",""), HYPERLINK(CONCATENATE("#Metadata!", ADDRESS(INDEX($X$2:$X$1001,MATCH(ROWS($V$2:V557),$V$2:$V$1001,0),0), INDEX($AC$1004:$AS$1004,1,MATCH(COLUMNS($AC$1006:AQ1006),$AC$1006:$AS$1006,0)))),"Fix")))</f>
        <v>0</v>
      </c>
      <c r="Q557" s="5">
        <f>IF(OR(INDEX($W$2:$W$1001,MATCH(ROWS($V$2:V557),$V$2:$V$1001,0),1)&gt;=100000,INDEX($AC$1005:$AS$1005,1,MATCH(COLUMNS($AC$1006:AR1006),$AC$1006:$AS$1006,0))&gt;=100000), " ",IF(INDEX($AC$2:$AS$1001,MATCH(ROWS($V$2:V557),$V$2:$V$1001,0),MATCH(COLUMNS($AC$1006:AR1006),$AC$1006:$AS$1006,0)), HYPERLINK("#",""), HYPERLINK(CONCATENATE("#Metadata!", ADDRESS(INDEX($X$2:$X$1001,MATCH(ROWS($V$2:V557),$V$2:$V$1001,0),0), INDEX($AC$1004:$AS$1004,1,MATCH(COLUMNS($AC$1006:AR1006),$AC$1006:$AS$1006,0)))),"Fix")))</f>
        <v>0</v>
      </c>
      <c r="R557" s="5">
        <f>IF(OR(INDEX($W$2:$W$1001,MATCH(ROWS($V$2:V557),$V$2:$V$1001,0),1)&gt;=100000,INDEX($AC$1005:$AS$1005,1,MATCH(COLUMNS($AC$1006:AS1006),$AC$1006:$AS$1006,0))&gt;=100000), " ",IF(INDEX($AC$2:$AS$1001,MATCH(ROWS($V$2:V557),$V$2:$V$1001,0),MATCH(COLUMNS($AC$1006:AS1006),$AC$1006:$AS$1006,0)), HYPERLINK("#",""), HYPERLINK(CONCATENATE("#Metadata!", ADDRESS(INDEX($X$2:$X$1001,MATCH(ROWS($V$2:V557),$V$2:$V$1001,0),0), INDEX($AC$1004:$AS$1004,1,MATCH(COLUMNS($AC$1006:AS1006),$AC$1006:$AS$1006,0)))),"Fix")))</f>
        <v>0</v>
      </c>
      <c r="V557">
        <v>0</v>
      </c>
      <c r="W557">
        <v>0</v>
      </c>
      <c r="X557">
        <v>0</v>
      </c>
      <c r="Y557">
        <f>IF(Z557,TRUE,AND(AC557:AS557))</f>
        <v>0</v>
      </c>
      <c r="Z557">
        <f>COUNTBLANK(Metadata!B557:R557)=COLUMNS(Metadata!B557:R557)</f>
        <v>0</v>
      </c>
      <c r="AA557">
        <v>0</v>
      </c>
      <c r="AC557">
        <f>AND(IF(Metadata!B557="",FALSE,TRUE),COUNTIF(Metadata!B:B, Metadata!B557) = 1,NOT(ISERROR(SUMPRODUCT(SEARCH(MID(Metadata!B557,ROW(INDIRECT("1:"&amp;LEN(Metadata!B557))), 1),"0123456789abcdefghijklmnopqrstuvwxyzABCDEFGHIJKLMNOPQRSTUVWXYZ.")))))</f>
        <v>0</v>
      </c>
      <c r="AD557">
        <f>AND(IF(Metadata!C557="",FALSE,TRUE),exact(Metadata!C557,"Host-associated"))</f>
        <v>0</v>
      </c>
      <c r="AE557">
        <f>AND(IF(Metadata!D557="",FALSE,TRUE),OR(exact(Metadata!D557,"Animal"),exact(Metadata!D557,"Fungus"),exact(Metadata!D557,"Plant")))</f>
        <v>0</v>
      </c>
      <c r="AF557">
        <f>AND(IF(Metadata!E557="",FALSE,TRUE),OR(exact(Metadata!E557,"Plant secretion"),exact(Metadata!E557,"Plant rhizosphere"),exact(Metadata!E557,"Plant surface"),exact(Metadata!E557,"Plant corpus"),exact(Metadata!E557,"Fungus surface"),exact(Metadata!E557,"Fungus corpus"),exact(Metadata!E557,"Animal surface"),exact(Metadata!E557,"Animal proximal gut"),exact(Metadata!E557,"Animal corpus"),exact(Metadata!E557,"Animal distal gut"),exact(Metadata!E557,"Animal secretion")))</f>
        <v>0</v>
      </c>
      <c r="AG557">
        <f>OR(AND(IF(Metadata!F557="",FALSE,TRUE),OR(exact(Metadata!F557,"not collected"),exact(Metadata!F557,"not provided"),exact(Metadata!F557,"restricted access"))),AND(IF(Metadata!F557="",FALSE,TRUE),OR(exact(Metadata!F557,"organism-associated habitat"),exact(Metadata!F557,"plant-associated habitat"),exact(Metadata!F557,"animal-associated habitat"),exact(Metadata!F557,"insecta-associated habitat"),exact(Metadata!F557,"mammalia-associated habitat"),exact(Metadata!F557,"human-associated habitat"),exact(Metadata!F557,"livestock-associated habitat"))))</f>
        <v>0</v>
      </c>
      <c r="AH557">
        <f>AND(IF(Metadata!G557="",FALSE,TRUE),exact(Metadata!G557,"host-associated"))</f>
        <v>0</v>
      </c>
      <c r="AI557">
        <f>OR(AND(IF(Metadata!H557="",FALSE,TRUE),OR(exact(Metadata!H557,"not collected"),exact(Metadata!H557,"not provided"))),AND(IF(Metadata!H557="",FALSE,ISNUMBER(VALUE(Metadata!H557))),Metadata!H557&gt;0))</f>
        <v>0</v>
      </c>
      <c r="AJ557">
        <f>AND(IF(Metadata!I557="",FALSE,TRUE),exact(Metadata!I557,"years"))</f>
        <v>0</v>
      </c>
      <c r="AK557">
        <f>IF(Metadata!J557="",FALSE,TRUE)</f>
        <v>0</v>
      </c>
      <c r="AL557">
        <f>OR(AND(IF(Metadata!K557="",FALSE,TRUE),OR(exact(Metadata!K557,"not collected"),exact(Metadata!K557,"not provided"))),AND(IF(Metadata!K557="",FALSE,ISNUMBER(VALUE(Metadata!K557))),Metadata!K557&gt;0))</f>
        <v>0</v>
      </c>
      <c r="AM557">
        <f>AND(IF(Metadata!L557="",FALSE,TRUE),exact(Metadata!L557,"cm"))</f>
        <v>0</v>
      </c>
      <c r="AN557">
        <f>IF(Metadata!M557="",FALSE,TRUE)</f>
        <v>0</v>
      </c>
      <c r="AO557">
        <f>OR(AND(IF(Metadata!N557="",FALSE,TRUE),OR(exact(Metadata!N557,"not applicable"),exact(Metadata!N557,"not collected"),exact(Metadata!N557,"not provided"))),AND(IF(Metadata!N557="",FALSE,IF(ISERROR(INT(Metadata!N557)),FALSE,INT(Metadata!N557)=Metadata!N557)),Metadata!N557&gt;0))</f>
        <v>0</v>
      </c>
      <c r="AP557">
        <f>OR(AND(IF(Metadata!O557="",FALSE,TRUE),OR(exact(Metadata!O557,"not collected"),exact(Metadata!O557,"not provided"))),AND(IF(Metadata!O557="",FALSE,ISNUMBER(VALUE(Metadata!O557))),Metadata!O557&gt;0))</f>
        <v>0</v>
      </c>
      <c r="AQ557">
        <f>AND(IF(Metadata!P557="",FALSE,TRUE),exact(Metadata!P557,"kg"))</f>
        <v>0</v>
      </c>
      <c r="AR557">
        <f>OR(AND(IF(Metadata!Q557="",FALSE,TRUE),OR(exact(Metadata!Q557,"not applicable"),exact(Metadata!Q557,"not collected"),exact(Metadata!Q557,"not provided"),exact(Metadata!Q557,"restricted access"))),IF(Metadata!Q557="",FALSE,IF(ISERROR(INT(Metadata!Q557)),FALSE,INT(Metadata!Q557)=Metadata!Q557)))</f>
        <v>0</v>
      </c>
      <c r="AS557">
        <f>AND(IF(Metadata!R557="",FALSE,TRUE),exact(Metadata!R557,"Not applicable"))</f>
        <v>0</v>
      </c>
    </row>
    <row r="558" spans="1:45">
      <c r="A558" s="4">
        <f>IF(B558=" "," ",HYPERLINK(CONCATENATE("#metadata!",ADDRESS(INDEX($X$2:$X$1001,MATCH(ROWS($V$2:V558),$V$2:$V$1001,0),0),2)),INDEX($AA$2:$AA$1001,MATCH(ROWS($V$2:V558),$V$2:$V$1001,0),0)))</f>
        <v>0</v>
      </c>
      <c r="B558" s="5">
        <f>IF(OR(INDEX($W$2:$W$1001,MATCH(ROWS($V$2:V558),$V$2:$V$1001,0),1)&gt;=100000,INDEX($AC$1005:$AS$1005,1,MATCH(COLUMNS($AC$1006:AC1006),$AC$1006:$AS$1006,0))&gt;=100000), " ",IF(INDEX($AC$2:$AS$1001,MATCH(ROWS($V$2:V558),$V$2:$V$1001,0),MATCH(COLUMNS($AC$1006:AC1006),$AC$1006:$AS$1006,0)), HYPERLINK("#",""), HYPERLINK(CONCATENATE("#Metadata!", ADDRESS(INDEX($X$2:$X$1001,MATCH(ROWS($V$2:V558),$V$2:$V$1001,0),0), INDEX($AC$1004:$AS$1004,1,MATCH(COLUMNS($AC$1006:AC1006),$AC$1006:$AS$1006,0)))),"Fix")))</f>
        <v>0</v>
      </c>
      <c r="C558" s="5">
        <f>IF(OR(INDEX($W$2:$W$1001,MATCH(ROWS($V$2:V558),$V$2:$V$1001,0),1)&gt;=100000,INDEX($AC$1005:$AS$1005,1,MATCH(COLUMNS($AC$1006:AD1006),$AC$1006:$AS$1006,0))&gt;=100000), " ",IF(INDEX($AC$2:$AS$1001,MATCH(ROWS($V$2:V558),$V$2:$V$1001,0),MATCH(COLUMNS($AC$1006:AD1006),$AC$1006:$AS$1006,0)), HYPERLINK("#",""), HYPERLINK(CONCATENATE("#Metadata!", ADDRESS(INDEX($X$2:$X$1001,MATCH(ROWS($V$2:V558),$V$2:$V$1001,0),0), INDEX($AC$1004:$AS$1004,1,MATCH(COLUMNS($AC$1006:AD1006),$AC$1006:$AS$1006,0)))),"Fix")))</f>
        <v>0</v>
      </c>
      <c r="D558" s="5">
        <f>IF(OR(INDEX($W$2:$W$1001,MATCH(ROWS($V$2:V558),$V$2:$V$1001,0),1)&gt;=100000,INDEX($AC$1005:$AS$1005,1,MATCH(COLUMNS($AC$1006:AE1006),$AC$1006:$AS$1006,0))&gt;=100000), " ",IF(INDEX($AC$2:$AS$1001,MATCH(ROWS($V$2:V558),$V$2:$V$1001,0),MATCH(COLUMNS($AC$1006:AE1006),$AC$1006:$AS$1006,0)), HYPERLINK("#",""), HYPERLINK(CONCATENATE("#Metadata!", ADDRESS(INDEX($X$2:$X$1001,MATCH(ROWS($V$2:V558),$V$2:$V$1001,0),0), INDEX($AC$1004:$AS$1004,1,MATCH(COLUMNS($AC$1006:AE1006),$AC$1006:$AS$1006,0)))),"Fix")))</f>
        <v>0</v>
      </c>
      <c r="E558" s="5">
        <f>IF(OR(INDEX($W$2:$W$1001,MATCH(ROWS($V$2:V558),$V$2:$V$1001,0),1)&gt;=100000,INDEX($AC$1005:$AS$1005,1,MATCH(COLUMNS($AC$1006:AF1006),$AC$1006:$AS$1006,0))&gt;=100000), " ",IF(INDEX($AC$2:$AS$1001,MATCH(ROWS($V$2:V558),$V$2:$V$1001,0),MATCH(COLUMNS($AC$1006:AF1006),$AC$1006:$AS$1006,0)), HYPERLINK("#",""), HYPERLINK(CONCATENATE("#Metadata!", ADDRESS(INDEX($X$2:$X$1001,MATCH(ROWS($V$2:V558),$V$2:$V$1001,0),0), INDEX($AC$1004:$AS$1004,1,MATCH(COLUMNS($AC$1006:AF1006),$AC$1006:$AS$1006,0)))),"Fix")))</f>
        <v>0</v>
      </c>
      <c r="F558" s="5">
        <f>IF(OR(INDEX($W$2:$W$1001,MATCH(ROWS($V$2:V558),$V$2:$V$1001,0),1)&gt;=100000,INDEX($AC$1005:$AS$1005,1,MATCH(COLUMNS($AC$1006:AG1006),$AC$1006:$AS$1006,0))&gt;=100000), " ",IF(INDEX($AC$2:$AS$1001,MATCH(ROWS($V$2:V558),$V$2:$V$1001,0),MATCH(COLUMNS($AC$1006:AG1006),$AC$1006:$AS$1006,0)), HYPERLINK("#",""), HYPERLINK(CONCATENATE("#Metadata!", ADDRESS(INDEX($X$2:$X$1001,MATCH(ROWS($V$2:V558),$V$2:$V$1001,0),0), INDEX($AC$1004:$AS$1004,1,MATCH(COLUMNS($AC$1006:AG1006),$AC$1006:$AS$1006,0)))),"Fix")))</f>
        <v>0</v>
      </c>
      <c r="G558" s="5">
        <f>IF(OR(INDEX($W$2:$W$1001,MATCH(ROWS($V$2:V558),$V$2:$V$1001,0),1)&gt;=100000,INDEX($AC$1005:$AS$1005,1,MATCH(COLUMNS($AC$1006:AH1006),$AC$1006:$AS$1006,0))&gt;=100000), " ",IF(INDEX($AC$2:$AS$1001,MATCH(ROWS($V$2:V558),$V$2:$V$1001,0),MATCH(COLUMNS($AC$1006:AH1006),$AC$1006:$AS$1006,0)), HYPERLINK("#",""), HYPERLINK(CONCATENATE("#Metadata!", ADDRESS(INDEX($X$2:$X$1001,MATCH(ROWS($V$2:V558),$V$2:$V$1001,0),0), INDEX($AC$1004:$AS$1004,1,MATCH(COLUMNS($AC$1006:AH1006),$AC$1006:$AS$1006,0)))),"Fix")))</f>
        <v>0</v>
      </c>
      <c r="H558" s="5">
        <f>IF(OR(INDEX($W$2:$W$1001,MATCH(ROWS($V$2:V558),$V$2:$V$1001,0),1)&gt;=100000,INDEX($AC$1005:$AS$1005,1,MATCH(COLUMNS($AC$1006:AI1006),$AC$1006:$AS$1006,0))&gt;=100000), " ",IF(INDEX($AC$2:$AS$1001,MATCH(ROWS($V$2:V558),$V$2:$V$1001,0),MATCH(COLUMNS($AC$1006:AI1006),$AC$1006:$AS$1006,0)), HYPERLINK("#",""), HYPERLINK(CONCATENATE("#Metadata!", ADDRESS(INDEX($X$2:$X$1001,MATCH(ROWS($V$2:V558),$V$2:$V$1001,0),0), INDEX($AC$1004:$AS$1004,1,MATCH(COLUMNS($AC$1006:AI1006),$AC$1006:$AS$1006,0)))),"Fix")))</f>
        <v>0</v>
      </c>
      <c r="I558" s="5">
        <f>IF(OR(INDEX($W$2:$W$1001,MATCH(ROWS($V$2:V558),$V$2:$V$1001,0),1)&gt;=100000,INDEX($AC$1005:$AS$1005,1,MATCH(COLUMNS($AC$1006:AJ1006),$AC$1006:$AS$1006,0))&gt;=100000), " ",IF(INDEX($AC$2:$AS$1001,MATCH(ROWS($V$2:V558),$V$2:$V$1001,0),MATCH(COLUMNS($AC$1006:AJ1006),$AC$1006:$AS$1006,0)), HYPERLINK("#",""), HYPERLINK(CONCATENATE("#Metadata!", ADDRESS(INDEX($X$2:$X$1001,MATCH(ROWS($V$2:V558),$V$2:$V$1001,0),0), INDEX($AC$1004:$AS$1004,1,MATCH(COLUMNS($AC$1006:AJ1006),$AC$1006:$AS$1006,0)))),"Fix")))</f>
        <v>0</v>
      </c>
      <c r="J558" s="5">
        <f>IF(OR(INDEX($W$2:$W$1001,MATCH(ROWS($V$2:V558),$V$2:$V$1001,0),1)&gt;=100000,INDEX($AC$1005:$AS$1005,1,MATCH(COLUMNS($AC$1006:AK1006),$AC$1006:$AS$1006,0))&gt;=100000), " ",IF(INDEX($AC$2:$AS$1001,MATCH(ROWS($V$2:V558),$V$2:$V$1001,0),MATCH(COLUMNS($AC$1006:AK1006),$AC$1006:$AS$1006,0)), HYPERLINK("#",""), HYPERLINK(CONCATENATE("#Metadata!", ADDRESS(INDEX($X$2:$X$1001,MATCH(ROWS($V$2:V558),$V$2:$V$1001,0),0), INDEX($AC$1004:$AS$1004,1,MATCH(COLUMNS($AC$1006:AK1006),$AC$1006:$AS$1006,0)))),"Fix")))</f>
        <v>0</v>
      </c>
      <c r="K558" s="5">
        <f>IF(OR(INDEX($W$2:$W$1001,MATCH(ROWS($V$2:V558),$V$2:$V$1001,0),1)&gt;=100000,INDEX($AC$1005:$AS$1005,1,MATCH(COLUMNS($AC$1006:AL1006),$AC$1006:$AS$1006,0))&gt;=100000), " ",IF(INDEX($AC$2:$AS$1001,MATCH(ROWS($V$2:V558),$V$2:$V$1001,0),MATCH(COLUMNS($AC$1006:AL1006),$AC$1006:$AS$1006,0)), HYPERLINK("#",""), HYPERLINK(CONCATENATE("#Metadata!", ADDRESS(INDEX($X$2:$X$1001,MATCH(ROWS($V$2:V558),$V$2:$V$1001,0),0), INDEX($AC$1004:$AS$1004,1,MATCH(COLUMNS($AC$1006:AL1006),$AC$1006:$AS$1006,0)))),"Fix")))</f>
        <v>0</v>
      </c>
      <c r="L558" s="5">
        <f>IF(OR(INDEX($W$2:$W$1001,MATCH(ROWS($V$2:V558),$V$2:$V$1001,0),1)&gt;=100000,INDEX($AC$1005:$AS$1005,1,MATCH(COLUMNS($AC$1006:AM1006),$AC$1006:$AS$1006,0))&gt;=100000), " ",IF(INDEX($AC$2:$AS$1001,MATCH(ROWS($V$2:V558),$V$2:$V$1001,0),MATCH(COLUMNS($AC$1006:AM1006),$AC$1006:$AS$1006,0)), HYPERLINK("#",""), HYPERLINK(CONCATENATE("#Metadata!", ADDRESS(INDEX($X$2:$X$1001,MATCH(ROWS($V$2:V558),$V$2:$V$1001,0),0), INDEX($AC$1004:$AS$1004,1,MATCH(COLUMNS($AC$1006:AM1006),$AC$1006:$AS$1006,0)))),"Fix")))</f>
        <v>0</v>
      </c>
      <c r="M558" s="5">
        <f>IF(OR(INDEX($W$2:$W$1001,MATCH(ROWS($V$2:V558),$V$2:$V$1001,0),1)&gt;=100000,INDEX($AC$1005:$AS$1005,1,MATCH(COLUMNS($AC$1006:AN1006),$AC$1006:$AS$1006,0))&gt;=100000), " ",IF(INDEX($AC$2:$AS$1001,MATCH(ROWS($V$2:V558),$V$2:$V$1001,0),MATCH(COLUMNS($AC$1006:AN1006),$AC$1006:$AS$1006,0)), HYPERLINK("#",""), HYPERLINK(CONCATENATE("#Metadata!", ADDRESS(INDEX($X$2:$X$1001,MATCH(ROWS($V$2:V558),$V$2:$V$1001,0),0), INDEX($AC$1004:$AS$1004,1,MATCH(COLUMNS($AC$1006:AN1006),$AC$1006:$AS$1006,0)))),"Fix")))</f>
        <v>0</v>
      </c>
      <c r="N558" s="5">
        <f>IF(OR(INDEX($W$2:$W$1001,MATCH(ROWS($V$2:V558),$V$2:$V$1001,0),1)&gt;=100000,INDEX($AC$1005:$AS$1005,1,MATCH(COLUMNS($AC$1006:AO1006),$AC$1006:$AS$1006,0))&gt;=100000), " ",IF(INDEX($AC$2:$AS$1001,MATCH(ROWS($V$2:V558),$V$2:$V$1001,0),MATCH(COLUMNS($AC$1006:AO1006),$AC$1006:$AS$1006,0)), HYPERLINK("#",""), HYPERLINK(CONCATENATE("#Metadata!", ADDRESS(INDEX($X$2:$X$1001,MATCH(ROWS($V$2:V558),$V$2:$V$1001,0),0), INDEX($AC$1004:$AS$1004,1,MATCH(COLUMNS($AC$1006:AO1006),$AC$1006:$AS$1006,0)))),"Fix")))</f>
        <v>0</v>
      </c>
      <c r="O558" s="5">
        <f>IF(OR(INDEX($W$2:$W$1001,MATCH(ROWS($V$2:V558),$V$2:$V$1001,0),1)&gt;=100000,INDEX($AC$1005:$AS$1005,1,MATCH(COLUMNS($AC$1006:AP1006),$AC$1006:$AS$1006,0))&gt;=100000), " ",IF(INDEX($AC$2:$AS$1001,MATCH(ROWS($V$2:V558),$V$2:$V$1001,0),MATCH(COLUMNS($AC$1006:AP1006),$AC$1006:$AS$1006,0)), HYPERLINK("#",""), HYPERLINK(CONCATENATE("#Metadata!", ADDRESS(INDEX($X$2:$X$1001,MATCH(ROWS($V$2:V558),$V$2:$V$1001,0),0), INDEX($AC$1004:$AS$1004,1,MATCH(COLUMNS($AC$1006:AP1006),$AC$1006:$AS$1006,0)))),"Fix")))</f>
        <v>0</v>
      </c>
      <c r="P558" s="5">
        <f>IF(OR(INDEX($W$2:$W$1001,MATCH(ROWS($V$2:V558),$V$2:$V$1001,0),1)&gt;=100000,INDEX($AC$1005:$AS$1005,1,MATCH(COLUMNS($AC$1006:AQ1006),$AC$1006:$AS$1006,0))&gt;=100000), " ",IF(INDEX($AC$2:$AS$1001,MATCH(ROWS($V$2:V558),$V$2:$V$1001,0),MATCH(COLUMNS($AC$1006:AQ1006),$AC$1006:$AS$1006,0)), HYPERLINK("#",""), HYPERLINK(CONCATENATE("#Metadata!", ADDRESS(INDEX($X$2:$X$1001,MATCH(ROWS($V$2:V558),$V$2:$V$1001,0),0), INDEX($AC$1004:$AS$1004,1,MATCH(COLUMNS($AC$1006:AQ1006),$AC$1006:$AS$1006,0)))),"Fix")))</f>
        <v>0</v>
      </c>
      <c r="Q558" s="5">
        <f>IF(OR(INDEX($W$2:$W$1001,MATCH(ROWS($V$2:V558),$V$2:$V$1001,0),1)&gt;=100000,INDEX($AC$1005:$AS$1005,1,MATCH(COLUMNS($AC$1006:AR1006),$AC$1006:$AS$1006,0))&gt;=100000), " ",IF(INDEX($AC$2:$AS$1001,MATCH(ROWS($V$2:V558),$V$2:$V$1001,0),MATCH(COLUMNS($AC$1006:AR1006),$AC$1006:$AS$1006,0)), HYPERLINK("#",""), HYPERLINK(CONCATENATE("#Metadata!", ADDRESS(INDEX($X$2:$X$1001,MATCH(ROWS($V$2:V558),$V$2:$V$1001,0),0), INDEX($AC$1004:$AS$1004,1,MATCH(COLUMNS($AC$1006:AR1006),$AC$1006:$AS$1006,0)))),"Fix")))</f>
        <v>0</v>
      </c>
      <c r="R558" s="5">
        <f>IF(OR(INDEX($W$2:$W$1001,MATCH(ROWS($V$2:V558),$V$2:$V$1001,0),1)&gt;=100000,INDEX($AC$1005:$AS$1005,1,MATCH(COLUMNS($AC$1006:AS1006),$AC$1006:$AS$1006,0))&gt;=100000), " ",IF(INDEX($AC$2:$AS$1001,MATCH(ROWS($V$2:V558),$V$2:$V$1001,0),MATCH(COLUMNS($AC$1006:AS1006),$AC$1006:$AS$1006,0)), HYPERLINK("#",""), HYPERLINK(CONCATENATE("#Metadata!", ADDRESS(INDEX($X$2:$X$1001,MATCH(ROWS($V$2:V558),$V$2:$V$1001,0),0), INDEX($AC$1004:$AS$1004,1,MATCH(COLUMNS($AC$1006:AS1006),$AC$1006:$AS$1006,0)))),"Fix")))</f>
        <v>0</v>
      </c>
      <c r="V558">
        <v>0</v>
      </c>
      <c r="W558">
        <v>0</v>
      </c>
      <c r="X558">
        <v>0</v>
      </c>
      <c r="Y558">
        <f>IF(Z558,TRUE,AND(AC558:AS558))</f>
        <v>0</v>
      </c>
      <c r="Z558">
        <f>COUNTBLANK(Metadata!B558:R558)=COLUMNS(Metadata!B558:R558)</f>
        <v>0</v>
      </c>
      <c r="AA558">
        <v>0</v>
      </c>
      <c r="AC558">
        <f>AND(IF(Metadata!B558="",FALSE,TRUE),COUNTIF(Metadata!B:B, Metadata!B558) = 1,NOT(ISERROR(SUMPRODUCT(SEARCH(MID(Metadata!B558,ROW(INDIRECT("1:"&amp;LEN(Metadata!B558))), 1),"0123456789abcdefghijklmnopqrstuvwxyzABCDEFGHIJKLMNOPQRSTUVWXYZ.")))))</f>
        <v>0</v>
      </c>
      <c r="AD558">
        <f>AND(IF(Metadata!C558="",FALSE,TRUE),exact(Metadata!C558,"Host-associated"))</f>
        <v>0</v>
      </c>
      <c r="AE558">
        <f>AND(IF(Metadata!D558="",FALSE,TRUE),OR(exact(Metadata!D558,"Animal"),exact(Metadata!D558,"Fungus"),exact(Metadata!D558,"Plant")))</f>
        <v>0</v>
      </c>
      <c r="AF558">
        <f>AND(IF(Metadata!E558="",FALSE,TRUE),OR(exact(Metadata!E558,"Plant secretion"),exact(Metadata!E558,"Plant rhizosphere"),exact(Metadata!E558,"Plant surface"),exact(Metadata!E558,"Plant corpus"),exact(Metadata!E558,"Fungus surface"),exact(Metadata!E558,"Fungus corpus"),exact(Metadata!E558,"Animal surface"),exact(Metadata!E558,"Animal proximal gut"),exact(Metadata!E558,"Animal corpus"),exact(Metadata!E558,"Animal distal gut"),exact(Metadata!E558,"Animal secretion")))</f>
        <v>0</v>
      </c>
      <c r="AG558">
        <f>OR(AND(IF(Metadata!F558="",FALSE,TRUE),OR(exact(Metadata!F558,"not collected"),exact(Metadata!F558,"not provided"),exact(Metadata!F558,"restricted access"))),AND(IF(Metadata!F558="",FALSE,TRUE),OR(exact(Metadata!F558,"organism-associated habitat"),exact(Metadata!F558,"plant-associated habitat"),exact(Metadata!F558,"animal-associated habitat"),exact(Metadata!F558,"insecta-associated habitat"),exact(Metadata!F558,"mammalia-associated habitat"),exact(Metadata!F558,"human-associated habitat"),exact(Metadata!F558,"livestock-associated habitat"))))</f>
        <v>0</v>
      </c>
      <c r="AH558">
        <f>AND(IF(Metadata!G558="",FALSE,TRUE),exact(Metadata!G558,"host-associated"))</f>
        <v>0</v>
      </c>
      <c r="AI558">
        <f>OR(AND(IF(Metadata!H558="",FALSE,TRUE),OR(exact(Metadata!H558,"not collected"),exact(Metadata!H558,"not provided"))),AND(IF(Metadata!H558="",FALSE,ISNUMBER(VALUE(Metadata!H558))),Metadata!H558&gt;0))</f>
        <v>0</v>
      </c>
      <c r="AJ558">
        <f>AND(IF(Metadata!I558="",FALSE,TRUE),exact(Metadata!I558,"years"))</f>
        <v>0</v>
      </c>
      <c r="AK558">
        <f>IF(Metadata!J558="",FALSE,TRUE)</f>
        <v>0</v>
      </c>
      <c r="AL558">
        <f>OR(AND(IF(Metadata!K558="",FALSE,TRUE),OR(exact(Metadata!K558,"not collected"),exact(Metadata!K558,"not provided"))),AND(IF(Metadata!K558="",FALSE,ISNUMBER(VALUE(Metadata!K558))),Metadata!K558&gt;0))</f>
        <v>0</v>
      </c>
      <c r="AM558">
        <f>AND(IF(Metadata!L558="",FALSE,TRUE),exact(Metadata!L558,"cm"))</f>
        <v>0</v>
      </c>
      <c r="AN558">
        <f>IF(Metadata!M558="",FALSE,TRUE)</f>
        <v>0</v>
      </c>
      <c r="AO558">
        <f>OR(AND(IF(Metadata!N558="",FALSE,TRUE),OR(exact(Metadata!N558,"not applicable"),exact(Metadata!N558,"not collected"),exact(Metadata!N558,"not provided"))),AND(IF(Metadata!N558="",FALSE,IF(ISERROR(INT(Metadata!N558)),FALSE,INT(Metadata!N558)=Metadata!N558)),Metadata!N558&gt;0))</f>
        <v>0</v>
      </c>
      <c r="AP558">
        <f>OR(AND(IF(Metadata!O558="",FALSE,TRUE),OR(exact(Metadata!O558,"not collected"),exact(Metadata!O558,"not provided"))),AND(IF(Metadata!O558="",FALSE,ISNUMBER(VALUE(Metadata!O558))),Metadata!O558&gt;0))</f>
        <v>0</v>
      </c>
      <c r="AQ558">
        <f>AND(IF(Metadata!P558="",FALSE,TRUE),exact(Metadata!P558,"kg"))</f>
        <v>0</v>
      </c>
      <c r="AR558">
        <f>OR(AND(IF(Metadata!Q558="",FALSE,TRUE),OR(exact(Metadata!Q558,"not applicable"),exact(Metadata!Q558,"not collected"),exact(Metadata!Q558,"not provided"),exact(Metadata!Q558,"restricted access"))),IF(Metadata!Q558="",FALSE,IF(ISERROR(INT(Metadata!Q558)),FALSE,INT(Metadata!Q558)=Metadata!Q558)))</f>
        <v>0</v>
      </c>
      <c r="AS558">
        <f>AND(IF(Metadata!R558="",FALSE,TRUE),exact(Metadata!R558,"Not applicable"))</f>
        <v>0</v>
      </c>
    </row>
    <row r="559" spans="1:45">
      <c r="A559" s="4">
        <f>IF(B559=" "," ",HYPERLINK(CONCATENATE("#metadata!",ADDRESS(INDEX($X$2:$X$1001,MATCH(ROWS($V$2:V559),$V$2:$V$1001,0),0),2)),INDEX($AA$2:$AA$1001,MATCH(ROWS($V$2:V559),$V$2:$V$1001,0),0)))</f>
        <v>0</v>
      </c>
      <c r="B559" s="5">
        <f>IF(OR(INDEX($W$2:$W$1001,MATCH(ROWS($V$2:V559),$V$2:$V$1001,0),1)&gt;=100000,INDEX($AC$1005:$AS$1005,1,MATCH(COLUMNS($AC$1006:AC1006),$AC$1006:$AS$1006,0))&gt;=100000), " ",IF(INDEX($AC$2:$AS$1001,MATCH(ROWS($V$2:V559),$V$2:$V$1001,0),MATCH(COLUMNS($AC$1006:AC1006),$AC$1006:$AS$1006,0)), HYPERLINK("#",""), HYPERLINK(CONCATENATE("#Metadata!", ADDRESS(INDEX($X$2:$X$1001,MATCH(ROWS($V$2:V559),$V$2:$V$1001,0),0), INDEX($AC$1004:$AS$1004,1,MATCH(COLUMNS($AC$1006:AC1006),$AC$1006:$AS$1006,0)))),"Fix")))</f>
        <v>0</v>
      </c>
      <c r="C559" s="5">
        <f>IF(OR(INDEX($W$2:$W$1001,MATCH(ROWS($V$2:V559),$V$2:$V$1001,0),1)&gt;=100000,INDEX($AC$1005:$AS$1005,1,MATCH(COLUMNS($AC$1006:AD1006),$AC$1006:$AS$1006,0))&gt;=100000), " ",IF(INDEX($AC$2:$AS$1001,MATCH(ROWS($V$2:V559),$V$2:$V$1001,0),MATCH(COLUMNS($AC$1006:AD1006),$AC$1006:$AS$1006,0)), HYPERLINK("#",""), HYPERLINK(CONCATENATE("#Metadata!", ADDRESS(INDEX($X$2:$X$1001,MATCH(ROWS($V$2:V559),$V$2:$V$1001,0),0), INDEX($AC$1004:$AS$1004,1,MATCH(COLUMNS($AC$1006:AD1006),$AC$1006:$AS$1006,0)))),"Fix")))</f>
        <v>0</v>
      </c>
      <c r="D559" s="5">
        <f>IF(OR(INDEX($W$2:$W$1001,MATCH(ROWS($V$2:V559),$V$2:$V$1001,0),1)&gt;=100000,INDEX($AC$1005:$AS$1005,1,MATCH(COLUMNS($AC$1006:AE1006),$AC$1006:$AS$1006,0))&gt;=100000), " ",IF(INDEX($AC$2:$AS$1001,MATCH(ROWS($V$2:V559),$V$2:$V$1001,0),MATCH(COLUMNS($AC$1006:AE1006),$AC$1006:$AS$1006,0)), HYPERLINK("#",""), HYPERLINK(CONCATENATE("#Metadata!", ADDRESS(INDEX($X$2:$X$1001,MATCH(ROWS($V$2:V559),$V$2:$V$1001,0),0), INDEX($AC$1004:$AS$1004,1,MATCH(COLUMNS($AC$1006:AE1006),$AC$1006:$AS$1006,0)))),"Fix")))</f>
        <v>0</v>
      </c>
      <c r="E559" s="5">
        <f>IF(OR(INDEX($W$2:$W$1001,MATCH(ROWS($V$2:V559),$V$2:$V$1001,0),1)&gt;=100000,INDEX($AC$1005:$AS$1005,1,MATCH(COLUMNS($AC$1006:AF1006),$AC$1006:$AS$1006,0))&gt;=100000), " ",IF(INDEX($AC$2:$AS$1001,MATCH(ROWS($V$2:V559),$V$2:$V$1001,0),MATCH(COLUMNS($AC$1006:AF1006),$AC$1006:$AS$1006,0)), HYPERLINK("#",""), HYPERLINK(CONCATENATE("#Metadata!", ADDRESS(INDEX($X$2:$X$1001,MATCH(ROWS($V$2:V559),$V$2:$V$1001,0),0), INDEX($AC$1004:$AS$1004,1,MATCH(COLUMNS($AC$1006:AF1006),$AC$1006:$AS$1006,0)))),"Fix")))</f>
        <v>0</v>
      </c>
      <c r="F559" s="5">
        <f>IF(OR(INDEX($W$2:$W$1001,MATCH(ROWS($V$2:V559),$V$2:$V$1001,0),1)&gt;=100000,INDEX($AC$1005:$AS$1005,1,MATCH(COLUMNS($AC$1006:AG1006),$AC$1006:$AS$1006,0))&gt;=100000), " ",IF(INDEX($AC$2:$AS$1001,MATCH(ROWS($V$2:V559),$V$2:$V$1001,0),MATCH(COLUMNS($AC$1006:AG1006),$AC$1006:$AS$1006,0)), HYPERLINK("#",""), HYPERLINK(CONCATENATE("#Metadata!", ADDRESS(INDEX($X$2:$X$1001,MATCH(ROWS($V$2:V559),$V$2:$V$1001,0),0), INDEX($AC$1004:$AS$1004,1,MATCH(COLUMNS($AC$1006:AG1006),$AC$1006:$AS$1006,0)))),"Fix")))</f>
        <v>0</v>
      </c>
      <c r="G559" s="5">
        <f>IF(OR(INDEX($W$2:$W$1001,MATCH(ROWS($V$2:V559),$V$2:$V$1001,0),1)&gt;=100000,INDEX($AC$1005:$AS$1005,1,MATCH(COLUMNS($AC$1006:AH1006),$AC$1006:$AS$1006,0))&gt;=100000), " ",IF(INDEX($AC$2:$AS$1001,MATCH(ROWS($V$2:V559),$V$2:$V$1001,0),MATCH(COLUMNS($AC$1006:AH1006),$AC$1006:$AS$1006,0)), HYPERLINK("#",""), HYPERLINK(CONCATENATE("#Metadata!", ADDRESS(INDEX($X$2:$X$1001,MATCH(ROWS($V$2:V559),$V$2:$V$1001,0),0), INDEX($AC$1004:$AS$1004,1,MATCH(COLUMNS($AC$1006:AH1006),$AC$1006:$AS$1006,0)))),"Fix")))</f>
        <v>0</v>
      </c>
      <c r="H559" s="5">
        <f>IF(OR(INDEX($W$2:$W$1001,MATCH(ROWS($V$2:V559),$V$2:$V$1001,0),1)&gt;=100000,INDEX($AC$1005:$AS$1005,1,MATCH(COLUMNS($AC$1006:AI1006),$AC$1006:$AS$1006,0))&gt;=100000), " ",IF(INDEX($AC$2:$AS$1001,MATCH(ROWS($V$2:V559),$V$2:$V$1001,0),MATCH(COLUMNS($AC$1006:AI1006),$AC$1006:$AS$1006,0)), HYPERLINK("#",""), HYPERLINK(CONCATENATE("#Metadata!", ADDRESS(INDEX($X$2:$X$1001,MATCH(ROWS($V$2:V559),$V$2:$V$1001,0),0), INDEX($AC$1004:$AS$1004,1,MATCH(COLUMNS($AC$1006:AI1006),$AC$1006:$AS$1006,0)))),"Fix")))</f>
        <v>0</v>
      </c>
      <c r="I559" s="5">
        <f>IF(OR(INDEX($W$2:$W$1001,MATCH(ROWS($V$2:V559),$V$2:$V$1001,0),1)&gt;=100000,INDEX($AC$1005:$AS$1005,1,MATCH(COLUMNS($AC$1006:AJ1006),$AC$1006:$AS$1006,0))&gt;=100000), " ",IF(INDEX($AC$2:$AS$1001,MATCH(ROWS($V$2:V559),$V$2:$V$1001,0),MATCH(COLUMNS($AC$1006:AJ1006),$AC$1006:$AS$1006,0)), HYPERLINK("#",""), HYPERLINK(CONCATENATE("#Metadata!", ADDRESS(INDEX($X$2:$X$1001,MATCH(ROWS($V$2:V559),$V$2:$V$1001,0),0), INDEX($AC$1004:$AS$1004,1,MATCH(COLUMNS($AC$1006:AJ1006),$AC$1006:$AS$1006,0)))),"Fix")))</f>
        <v>0</v>
      </c>
      <c r="J559" s="5">
        <f>IF(OR(INDEX($W$2:$W$1001,MATCH(ROWS($V$2:V559),$V$2:$V$1001,0),1)&gt;=100000,INDEX($AC$1005:$AS$1005,1,MATCH(COLUMNS($AC$1006:AK1006),$AC$1006:$AS$1006,0))&gt;=100000), " ",IF(INDEX($AC$2:$AS$1001,MATCH(ROWS($V$2:V559),$V$2:$V$1001,0),MATCH(COLUMNS($AC$1006:AK1006),$AC$1006:$AS$1006,0)), HYPERLINK("#",""), HYPERLINK(CONCATENATE("#Metadata!", ADDRESS(INDEX($X$2:$X$1001,MATCH(ROWS($V$2:V559),$V$2:$V$1001,0),0), INDEX($AC$1004:$AS$1004,1,MATCH(COLUMNS($AC$1006:AK1006),$AC$1006:$AS$1006,0)))),"Fix")))</f>
        <v>0</v>
      </c>
      <c r="K559" s="5">
        <f>IF(OR(INDEX($W$2:$W$1001,MATCH(ROWS($V$2:V559),$V$2:$V$1001,0),1)&gt;=100000,INDEX($AC$1005:$AS$1005,1,MATCH(COLUMNS($AC$1006:AL1006),$AC$1006:$AS$1006,0))&gt;=100000), " ",IF(INDEX($AC$2:$AS$1001,MATCH(ROWS($V$2:V559),$V$2:$V$1001,0),MATCH(COLUMNS($AC$1006:AL1006),$AC$1006:$AS$1006,0)), HYPERLINK("#",""), HYPERLINK(CONCATENATE("#Metadata!", ADDRESS(INDEX($X$2:$X$1001,MATCH(ROWS($V$2:V559),$V$2:$V$1001,0),0), INDEX($AC$1004:$AS$1004,1,MATCH(COLUMNS($AC$1006:AL1006),$AC$1006:$AS$1006,0)))),"Fix")))</f>
        <v>0</v>
      </c>
      <c r="L559" s="5">
        <f>IF(OR(INDEX($W$2:$W$1001,MATCH(ROWS($V$2:V559),$V$2:$V$1001,0),1)&gt;=100000,INDEX($AC$1005:$AS$1005,1,MATCH(COLUMNS($AC$1006:AM1006),$AC$1006:$AS$1006,0))&gt;=100000), " ",IF(INDEX($AC$2:$AS$1001,MATCH(ROWS($V$2:V559),$V$2:$V$1001,0),MATCH(COLUMNS($AC$1006:AM1006),$AC$1006:$AS$1006,0)), HYPERLINK("#",""), HYPERLINK(CONCATENATE("#Metadata!", ADDRESS(INDEX($X$2:$X$1001,MATCH(ROWS($V$2:V559),$V$2:$V$1001,0),0), INDEX($AC$1004:$AS$1004,1,MATCH(COLUMNS($AC$1006:AM1006),$AC$1006:$AS$1006,0)))),"Fix")))</f>
        <v>0</v>
      </c>
      <c r="M559" s="5">
        <f>IF(OR(INDEX($W$2:$W$1001,MATCH(ROWS($V$2:V559),$V$2:$V$1001,0),1)&gt;=100000,INDEX($AC$1005:$AS$1005,1,MATCH(COLUMNS($AC$1006:AN1006),$AC$1006:$AS$1006,0))&gt;=100000), " ",IF(INDEX($AC$2:$AS$1001,MATCH(ROWS($V$2:V559),$V$2:$V$1001,0),MATCH(COLUMNS($AC$1006:AN1006),$AC$1006:$AS$1006,0)), HYPERLINK("#",""), HYPERLINK(CONCATENATE("#Metadata!", ADDRESS(INDEX($X$2:$X$1001,MATCH(ROWS($V$2:V559),$V$2:$V$1001,0),0), INDEX($AC$1004:$AS$1004,1,MATCH(COLUMNS($AC$1006:AN1006),$AC$1006:$AS$1006,0)))),"Fix")))</f>
        <v>0</v>
      </c>
      <c r="N559" s="5">
        <f>IF(OR(INDEX($W$2:$W$1001,MATCH(ROWS($V$2:V559),$V$2:$V$1001,0),1)&gt;=100000,INDEX($AC$1005:$AS$1005,1,MATCH(COLUMNS($AC$1006:AO1006),$AC$1006:$AS$1006,0))&gt;=100000), " ",IF(INDEX($AC$2:$AS$1001,MATCH(ROWS($V$2:V559),$V$2:$V$1001,0),MATCH(COLUMNS($AC$1006:AO1006),$AC$1006:$AS$1006,0)), HYPERLINK("#",""), HYPERLINK(CONCATENATE("#Metadata!", ADDRESS(INDEX($X$2:$X$1001,MATCH(ROWS($V$2:V559),$V$2:$V$1001,0),0), INDEX($AC$1004:$AS$1004,1,MATCH(COLUMNS($AC$1006:AO1006),$AC$1006:$AS$1006,0)))),"Fix")))</f>
        <v>0</v>
      </c>
      <c r="O559" s="5">
        <f>IF(OR(INDEX($W$2:$W$1001,MATCH(ROWS($V$2:V559),$V$2:$V$1001,0),1)&gt;=100000,INDEX($AC$1005:$AS$1005,1,MATCH(COLUMNS($AC$1006:AP1006),$AC$1006:$AS$1006,0))&gt;=100000), " ",IF(INDEX($AC$2:$AS$1001,MATCH(ROWS($V$2:V559),$V$2:$V$1001,0),MATCH(COLUMNS($AC$1006:AP1006),$AC$1006:$AS$1006,0)), HYPERLINK("#",""), HYPERLINK(CONCATENATE("#Metadata!", ADDRESS(INDEX($X$2:$X$1001,MATCH(ROWS($V$2:V559),$V$2:$V$1001,0),0), INDEX($AC$1004:$AS$1004,1,MATCH(COLUMNS($AC$1006:AP1006),$AC$1006:$AS$1006,0)))),"Fix")))</f>
        <v>0</v>
      </c>
      <c r="P559" s="5">
        <f>IF(OR(INDEX($W$2:$W$1001,MATCH(ROWS($V$2:V559),$V$2:$V$1001,0),1)&gt;=100000,INDEX($AC$1005:$AS$1005,1,MATCH(COLUMNS($AC$1006:AQ1006),$AC$1006:$AS$1006,0))&gt;=100000), " ",IF(INDEX($AC$2:$AS$1001,MATCH(ROWS($V$2:V559),$V$2:$V$1001,0),MATCH(COLUMNS($AC$1006:AQ1006),$AC$1006:$AS$1006,0)), HYPERLINK("#",""), HYPERLINK(CONCATENATE("#Metadata!", ADDRESS(INDEX($X$2:$X$1001,MATCH(ROWS($V$2:V559),$V$2:$V$1001,0),0), INDEX($AC$1004:$AS$1004,1,MATCH(COLUMNS($AC$1006:AQ1006),$AC$1006:$AS$1006,0)))),"Fix")))</f>
        <v>0</v>
      </c>
      <c r="Q559" s="5">
        <f>IF(OR(INDEX($W$2:$W$1001,MATCH(ROWS($V$2:V559),$V$2:$V$1001,0),1)&gt;=100000,INDEX($AC$1005:$AS$1005,1,MATCH(COLUMNS($AC$1006:AR1006),$AC$1006:$AS$1006,0))&gt;=100000), " ",IF(INDEX($AC$2:$AS$1001,MATCH(ROWS($V$2:V559),$V$2:$V$1001,0),MATCH(COLUMNS($AC$1006:AR1006),$AC$1006:$AS$1006,0)), HYPERLINK("#",""), HYPERLINK(CONCATENATE("#Metadata!", ADDRESS(INDEX($X$2:$X$1001,MATCH(ROWS($V$2:V559),$V$2:$V$1001,0),0), INDEX($AC$1004:$AS$1004,1,MATCH(COLUMNS($AC$1006:AR1006),$AC$1006:$AS$1006,0)))),"Fix")))</f>
        <v>0</v>
      </c>
      <c r="R559" s="5">
        <f>IF(OR(INDEX($W$2:$W$1001,MATCH(ROWS($V$2:V559),$V$2:$V$1001,0),1)&gt;=100000,INDEX($AC$1005:$AS$1005,1,MATCH(COLUMNS($AC$1006:AS1006),$AC$1006:$AS$1006,0))&gt;=100000), " ",IF(INDEX($AC$2:$AS$1001,MATCH(ROWS($V$2:V559),$V$2:$V$1001,0),MATCH(COLUMNS($AC$1006:AS1006),$AC$1006:$AS$1006,0)), HYPERLINK("#",""), HYPERLINK(CONCATENATE("#Metadata!", ADDRESS(INDEX($X$2:$X$1001,MATCH(ROWS($V$2:V559),$V$2:$V$1001,0),0), INDEX($AC$1004:$AS$1004,1,MATCH(COLUMNS($AC$1006:AS1006),$AC$1006:$AS$1006,0)))),"Fix")))</f>
        <v>0</v>
      </c>
      <c r="V559">
        <v>0</v>
      </c>
      <c r="W559">
        <v>0</v>
      </c>
      <c r="X559">
        <v>0</v>
      </c>
      <c r="Y559">
        <f>IF(Z559,TRUE,AND(AC559:AS559))</f>
        <v>0</v>
      </c>
      <c r="Z559">
        <f>COUNTBLANK(Metadata!B559:R559)=COLUMNS(Metadata!B559:R559)</f>
        <v>0</v>
      </c>
      <c r="AA559">
        <v>0</v>
      </c>
      <c r="AC559">
        <f>AND(IF(Metadata!B559="",FALSE,TRUE),COUNTIF(Metadata!B:B, Metadata!B559) = 1,NOT(ISERROR(SUMPRODUCT(SEARCH(MID(Metadata!B559,ROW(INDIRECT("1:"&amp;LEN(Metadata!B559))), 1),"0123456789abcdefghijklmnopqrstuvwxyzABCDEFGHIJKLMNOPQRSTUVWXYZ.")))))</f>
        <v>0</v>
      </c>
      <c r="AD559">
        <f>AND(IF(Metadata!C559="",FALSE,TRUE),exact(Metadata!C559,"Host-associated"))</f>
        <v>0</v>
      </c>
      <c r="AE559">
        <f>AND(IF(Metadata!D559="",FALSE,TRUE),OR(exact(Metadata!D559,"Animal"),exact(Metadata!D559,"Fungus"),exact(Metadata!D559,"Plant")))</f>
        <v>0</v>
      </c>
      <c r="AF559">
        <f>AND(IF(Metadata!E559="",FALSE,TRUE),OR(exact(Metadata!E559,"Plant secretion"),exact(Metadata!E559,"Plant rhizosphere"),exact(Metadata!E559,"Plant surface"),exact(Metadata!E559,"Plant corpus"),exact(Metadata!E559,"Fungus surface"),exact(Metadata!E559,"Fungus corpus"),exact(Metadata!E559,"Animal surface"),exact(Metadata!E559,"Animal proximal gut"),exact(Metadata!E559,"Animal corpus"),exact(Metadata!E559,"Animal distal gut"),exact(Metadata!E559,"Animal secretion")))</f>
        <v>0</v>
      </c>
      <c r="AG559">
        <f>OR(AND(IF(Metadata!F559="",FALSE,TRUE),OR(exact(Metadata!F559,"not collected"),exact(Metadata!F559,"not provided"),exact(Metadata!F559,"restricted access"))),AND(IF(Metadata!F559="",FALSE,TRUE),OR(exact(Metadata!F559,"organism-associated habitat"),exact(Metadata!F559,"plant-associated habitat"),exact(Metadata!F559,"animal-associated habitat"),exact(Metadata!F559,"insecta-associated habitat"),exact(Metadata!F559,"mammalia-associated habitat"),exact(Metadata!F559,"human-associated habitat"),exact(Metadata!F559,"livestock-associated habitat"))))</f>
        <v>0</v>
      </c>
      <c r="AH559">
        <f>AND(IF(Metadata!G559="",FALSE,TRUE),exact(Metadata!G559,"host-associated"))</f>
        <v>0</v>
      </c>
      <c r="AI559">
        <f>OR(AND(IF(Metadata!H559="",FALSE,TRUE),OR(exact(Metadata!H559,"not collected"),exact(Metadata!H559,"not provided"))),AND(IF(Metadata!H559="",FALSE,ISNUMBER(VALUE(Metadata!H559))),Metadata!H559&gt;0))</f>
        <v>0</v>
      </c>
      <c r="AJ559">
        <f>AND(IF(Metadata!I559="",FALSE,TRUE),exact(Metadata!I559,"years"))</f>
        <v>0</v>
      </c>
      <c r="AK559">
        <f>IF(Metadata!J559="",FALSE,TRUE)</f>
        <v>0</v>
      </c>
      <c r="AL559">
        <f>OR(AND(IF(Metadata!K559="",FALSE,TRUE),OR(exact(Metadata!K559,"not collected"),exact(Metadata!K559,"not provided"))),AND(IF(Metadata!K559="",FALSE,ISNUMBER(VALUE(Metadata!K559))),Metadata!K559&gt;0))</f>
        <v>0</v>
      </c>
      <c r="AM559">
        <f>AND(IF(Metadata!L559="",FALSE,TRUE),exact(Metadata!L559,"cm"))</f>
        <v>0</v>
      </c>
      <c r="AN559">
        <f>IF(Metadata!M559="",FALSE,TRUE)</f>
        <v>0</v>
      </c>
      <c r="AO559">
        <f>OR(AND(IF(Metadata!N559="",FALSE,TRUE),OR(exact(Metadata!N559,"not applicable"),exact(Metadata!N559,"not collected"),exact(Metadata!N559,"not provided"))),AND(IF(Metadata!N559="",FALSE,IF(ISERROR(INT(Metadata!N559)),FALSE,INT(Metadata!N559)=Metadata!N559)),Metadata!N559&gt;0))</f>
        <v>0</v>
      </c>
      <c r="AP559">
        <f>OR(AND(IF(Metadata!O559="",FALSE,TRUE),OR(exact(Metadata!O559,"not collected"),exact(Metadata!O559,"not provided"))),AND(IF(Metadata!O559="",FALSE,ISNUMBER(VALUE(Metadata!O559))),Metadata!O559&gt;0))</f>
        <v>0</v>
      </c>
      <c r="AQ559">
        <f>AND(IF(Metadata!P559="",FALSE,TRUE),exact(Metadata!P559,"kg"))</f>
        <v>0</v>
      </c>
      <c r="AR559">
        <f>OR(AND(IF(Metadata!Q559="",FALSE,TRUE),OR(exact(Metadata!Q559,"not applicable"),exact(Metadata!Q559,"not collected"),exact(Metadata!Q559,"not provided"),exact(Metadata!Q559,"restricted access"))),IF(Metadata!Q559="",FALSE,IF(ISERROR(INT(Metadata!Q559)),FALSE,INT(Metadata!Q559)=Metadata!Q559)))</f>
        <v>0</v>
      </c>
      <c r="AS559">
        <f>AND(IF(Metadata!R559="",FALSE,TRUE),exact(Metadata!R559,"Not applicable"))</f>
        <v>0</v>
      </c>
    </row>
    <row r="560" spans="1:45">
      <c r="A560" s="4">
        <f>IF(B560=" "," ",HYPERLINK(CONCATENATE("#metadata!",ADDRESS(INDEX($X$2:$X$1001,MATCH(ROWS($V$2:V560),$V$2:$V$1001,0),0),2)),INDEX($AA$2:$AA$1001,MATCH(ROWS($V$2:V560),$V$2:$V$1001,0),0)))</f>
        <v>0</v>
      </c>
      <c r="B560" s="5">
        <f>IF(OR(INDEX($W$2:$W$1001,MATCH(ROWS($V$2:V560),$V$2:$V$1001,0),1)&gt;=100000,INDEX($AC$1005:$AS$1005,1,MATCH(COLUMNS($AC$1006:AC1006),$AC$1006:$AS$1006,0))&gt;=100000), " ",IF(INDEX($AC$2:$AS$1001,MATCH(ROWS($V$2:V560),$V$2:$V$1001,0),MATCH(COLUMNS($AC$1006:AC1006),$AC$1006:$AS$1006,0)), HYPERLINK("#",""), HYPERLINK(CONCATENATE("#Metadata!", ADDRESS(INDEX($X$2:$X$1001,MATCH(ROWS($V$2:V560),$V$2:$V$1001,0),0), INDEX($AC$1004:$AS$1004,1,MATCH(COLUMNS($AC$1006:AC1006),$AC$1006:$AS$1006,0)))),"Fix")))</f>
        <v>0</v>
      </c>
      <c r="C560" s="5">
        <f>IF(OR(INDEX($W$2:$W$1001,MATCH(ROWS($V$2:V560),$V$2:$V$1001,0),1)&gt;=100000,INDEX($AC$1005:$AS$1005,1,MATCH(COLUMNS($AC$1006:AD1006),$AC$1006:$AS$1006,0))&gt;=100000), " ",IF(INDEX($AC$2:$AS$1001,MATCH(ROWS($V$2:V560),$V$2:$V$1001,0),MATCH(COLUMNS($AC$1006:AD1006),$AC$1006:$AS$1006,0)), HYPERLINK("#",""), HYPERLINK(CONCATENATE("#Metadata!", ADDRESS(INDEX($X$2:$X$1001,MATCH(ROWS($V$2:V560),$V$2:$V$1001,0),0), INDEX($AC$1004:$AS$1004,1,MATCH(COLUMNS($AC$1006:AD1006),$AC$1006:$AS$1006,0)))),"Fix")))</f>
        <v>0</v>
      </c>
      <c r="D560" s="5">
        <f>IF(OR(INDEX($W$2:$W$1001,MATCH(ROWS($V$2:V560),$V$2:$V$1001,0),1)&gt;=100000,INDEX($AC$1005:$AS$1005,1,MATCH(COLUMNS($AC$1006:AE1006),$AC$1006:$AS$1006,0))&gt;=100000), " ",IF(INDEX($AC$2:$AS$1001,MATCH(ROWS($V$2:V560),$V$2:$V$1001,0),MATCH(COLUMNS($AC$1006:AE1006),$AC$1006:$AS$1006,0)), HYPERLINK("#",""), HYPERLINK(CONCATENATE("#Metadata!", ADDRESS(INDEX($X$2:$X$1001,MATCH(ROWS($V$2:V560),$V$2:$V$1001,0),0), INDEX($AC$1004:$AS$1004,1,MATCH(COLUMNS($AC$1006:AE1006),$AC$1006:$AS$1006,0)))),"Fix")))</f>
        <v>0</v>
      </c>
      <c r="E560" s="5">
        <f>IF(OR(INDEX($W$2:$W$1001,MATCH(ROWS($V$2:V560),$V$2:$V$1001,0),1)&gt;=100000,INDEX($AC$1005:$AS$1005,1,MATCH(COLUMNS($AC$1006:AF1006),$AC$1006:$AS$1006,0))&gt;=100000), " ",IF(INDEX($AC$2:$AS$1001,MATCH(ROWS($V$2:V560),$V$2:$V$1001,0),MATCH(COLUMNS($AC$1006:AF1006),$AC$1006:$AS$1006,0)), HYPERLINK("#",""), HYPERLINK(CONCATENATE("#Metadata!", ADDRESS(INDEX($X$2:$X$1001,MATCH(ROWS($V$2:V560),$V$2:$V$1001,0),0), INDEX($AC$1004:$AS$1004,1,MATCH(COLUMNS($AC$1006:AF1006),$AC$1006:$AS$1006,0)))),"Fix")))</f>
        <v>0</v>
      </c>
      <c r="F560" s="5">
        <f>IF(OR(INDEX($W$2:$W$1001,MATCH(ROWS($V$2:V560),$V$2:$V$1001,0),1)&gt;=100000,INDEX($AC$1005:$AS$1005,1,MATCH(COLUMNS($AC$1006:AG1006),$AC$1006:$AS$1006,0))&gt;=100000), " ",IF(INDEX($AC$2:$AS$1001,MATCH(ROWS($V$2:V560),$V$2:$V$1001,0),MATCH(COLUMNS($AC$1006:AG1006),$AC$1006:$AS$1006,0)), HYPERLINK("#",""), HYPERLINK(CONCATENATE("#Metadata!", ADDRESS(INDEX($X$2:$X$1001,MATCH(ROWS($V$2:V560),$V$2:$V$1001,0),0), INDEX($AC$1004:$AS$1004,1,MATCH(COLUMNS($AC$1006:AG1006),$AC$1006:$AS$1006,0)))),"Fix")))</f>
        <v>0</v>
      </c>
      <c r="G560" s="5">
        <f>IF(OR(INDEX($W$2:$W$1001,MATCH(ROWS($V$2:V560),$V$2:$V$1001,0),1)&gt;=100000,INDEX($AC$1005:$AS$1005,1,MATCH(COLUMNS($AC$1006:AH1006),$AC$1006:$AS$1006,0))&gt;=100000), " ",IF(INDEX($AC$2:$AS$1001,MATCH(ROWS($V$2:V560),$V$2:$V$1001,0),MATCH(COLUMNS($AC$1006:AH1006),$AC$1006:$AS$1006,0)), HYPERLINK("#",""), HYPERLINK(CONCATENATE("#Metadata!", ADDRESS(INDEX($X$2:$X$1001,MATCH(ROWS($V$2:V560),$V$2:$V$1001,0),0), INDEX($AC$1004:$AS$1004,1,MATCH(COLUMNS($AC$1006:AH1006),$AC$1006:$AS$1006,0)))),"Fix")))</f>
        <v>0</v>
      </c>
      <c r="H560" s="5">
        <f>IF(OR(INDEX($W$2:$W$1001,MATCH(ROWS($V$2:V560),$V$2:$V$1001,0),1)&gt;=100000,INDEX($AC$1005:$AS$1005,1,MATCH(COLUMNS($AC$1006:AI1006),$AC$1006:$AS$1006,0))&gt;=100000), " ",IF(INDEX($AC$2:$AS$1001,MATCH(ROWS($V$2:V560),$V$2:$V$1001,0),MATCH(COLUMNS($AC$1006:AI1006),$AC$1006:$AS$1006,0)), HYPERLINK("#",""), HYPERLINK(CONCATENATE("#Metadata!", ADDRESS(INDEX($X$2:$X$1001,MATCH(ROWS($V$2:V560),$V$2:$V$1001,0),0), INDEX($AC$1004:$AS$1004,1,MATCH(COLUMNS($AC$1006:AI1006),$AC$1006:$AS$1006,0)))),"Fix")))</f>
        <v>0</v>
      </c>
      <c r="I560" s="5">
        <f>IF(OR(INDEX($W$2:$W$1001,MATCH(ROWS($V$2:V560),$V$2:$V$1001,0),1)&gt;=100000,INDEX($AC$1005:$AS$1005,1,MATCH(COLUMNS($AC$1006:AJ1006),$AC$1006:$AS$1006,0))&gt;=100000), " ",IF(INDEX($AC$2:$AS$1001,MATCH(ROWS($V$2:V560),$V$2:$V$1001,0),MATCH(COLUMNS($AC$1006:AJ1006),$AC$1006:$AS$1006,0)), HYPERLINK("#",""), HYPERLINK(CONCATENATE("#Metadata!", ADDRESS(INDEX($X$2:$X$1001,MATCH(ROWS($V$2:V560),$V$2:$V$1001,0),0), INDEX($AC$1004:$AS$1004,1,MATCH(COLUMNS($AC$1006:AJ1006),$AC$1006:$AS$1006,0)))),"Fix")))</f>
        <v>0</v>
      </c>
      <c r="J560" s="5">
        <f>IF(OR(INDEX($W$2:$W$1001,MATCH(ROWS($V$2:V560),$V$2:$V$1001,0),1)&gt;=100000,INDEX($AC$1005:$AS$1005,1,MATCH(COLUMNS($AC$1006:AK1006),$AC$1006:$AS$1006,0))&gt;=100000), " ",IF(INDEX($AC$2:$AS$1001,MATCH(ROWS($V$2:V560),$V$2:$V$1001,0),MATCH(COLUMNS($AC$1006:AK1006),$AC$1006:$AS$1006,0)), HYPERLINK("#",""), HYPERLINK(CONCATENATE("#Metadata!", ADDRESS(INDEX($X$2:$X$1001,MATCH(ROWS($V$2:V560),$V$2:$V$1001,0),0), INDEX($AC$1004:$AS$1004,1,MATCH(COLUMNS($AC$1006:AK1006),$AC$1006:$AS$1006,0)))),"Fix")))</f>
        <v>0</v>
      </c>
      <c r="K560" s="5">
        <f>IF(OR(INDEX($W$2:$W$1001,MATCH(ROWS($V$2:V560),$V$2:$V$1001,0),1)&gt;=100000,INDEX($AC$1005:$AS$1005,1,MATCH(COLUMNS($AC$1006:AL1006),$AC$1006:$AS$1006,0))&gt;=100000), " ",IF(INDEX($AC$2:$AS$1001,MATCH(ROWS($V$2:V560),$V$2:$V$1001,0),MATCH(COLUMNS($AC$1006:AL1006),$AC$1006:$AS$1006,0)), HYPERLINK("#",""), HYPERLINK(CONCATENATE("#Metadata!", ADDRESS(INDEX($X$2:$X$1001,MATCH(ROWS($V$2:V560),$V$2:$V$1001,0),0), INDEX($AC$1004:$AS$1004,1,MATCH(COLUMNS($AC$1006:AL1006),$AC$1006:$AS$1006,0)))),"Fix")))</f>
        <v>0</v>
      </c>
      <c r="L560" s="5">
        <f>IF(OR(INDEX($W$2:$W$1001,MATCH(ROWS($V$2:V560),$V$2:$V$1001,0),1)&gt;=100000,INDEX($AC$1005:$AS$1005,1,MATCH(COLUMNS($AC$1006:AM1006),$AC$1006:$AS$1006,0))&gt;=100000), " ",IF(INDEX($AC$2:$AS$1001,MATCH(ROWS($V$2:V560),$V$2:$V$1001,0),MATCH(COLUMNS($AC$1006:AM1006),$AC$1006:$AS$1006,0)), HYPERLINK("#",""), HYPERLINK(CONCATENATE("#Metadata!", ADDRESS(INDEX($X$2:$X$1001,MATCH(ROWS($V$2:V560),$V$2:$V$1001,0),0), INDEX($AC$1004:$AS$1004,1,MATCH(COLUMNS($AC$1006:AM1006),$AC$1006:$AS$1006,0)))),"Fix")))</f>
        <v>0</v>
      </c>
      <c r="M560" s="5">
        <f>IF(OR(INDEX($W$2:$W$1001,MATCH(ROWS($V$2:V560),$V$2:$V$1001,0),1)&gt;=100000,INDEX($AC$1005:$AS$1005,1,MATCH(COLUMNS($AC$1006:AN1006),$AC$1006:$AS$1006,0))&gt;=100000), " ",IF(INDEX($AC$2:$AS$1001,MATCH(ROWS($V$2:V560),$V$2:$V$1001,0),MATCH(COLUMNS($AC$1006:AN1006),$AC$1006:$AS$1006,0)), HYPERLINK("#",""), HYPERLINK(CONCATENATE("#Metadata!", ADDRESS(INDEX($X$2:$X$1001,MATCH(ROWS($V$2:V560),$V$2:$V$1001,0),0), INDEX($AC$1004:$AS$1004,1,MATCH(COLUMNS($AC$1006:AN1006),$AC$1006:$AS$1006,0)))),"Fix")))</f>
        <v>0</v>
      </c>
      <c r="N560" s="5">
        <f>IF(OR(INDEX($W$2:$W$1001,MATCH(ROWS($V$2:V560),$V$2:$V$1001,0),1)&gt;=100000,INDEX($AC$1005:$AS$1005,1,MATCH(COLUMNS($AC$1006:AO1006),$AC$1006:$AS$1006,0))&gt;=100000), " ",IF(INDEX($AC$2:$AS$1001,MATCH(ROWS($V$2:V560),$V$2:$V$1001,0),MATCH(COLUMNS($AC$1006:AO1006),$AC$1006:$AS$1006,0)), HYPERLINK("#",""), HYPERLINK(CONCATENATE("#Metadata!", ADDRESS(INDEX($X$2:$X$1001,MATCH(ROWS($V$2:V560),$V$2:$V$1001,0),0), INDEX($AC$1004:$AS$1004,1,MATCH(COLUMNS($AC$1006:AO1006),$AC$1006:$AS$1006,0)))),"Fix")))</f>
        <v>0</v>
      </c>
      <c r="O560" s="5">
        <f>IF(OR(INDEX($W$2:$W$1001,MATCH(ROWS($V$2:V560),$V$2:$V$1001,0),1)&gt;=100000,INDEX($AC$1005:$AS$1005,1,MATCH(COLUMNS($AC$1006:AP1006),$AC$1006:$AS$1006,0))&gt;=100000), " ",IF(INDEX($AC$2:$AS$1001,MATCH(ROWS($V$2:V560),$V$2:$V$1001,0),MATCH(COLUMNS($AC$1006:AP1006),$AC$1006:$AS$1006,0)), HYPERLINK("#",""), HYPERLINK(CONCATENATE("#Metadata!", ADDRESS(INDEX($X$2:$X$1001,MATCH(ROWS($V$2:V560),$V$2:$V$1001,0),0), INDEX($AC$1004:$AS$1004,1,MATCH(COLUMNS($AC$1006:AP1006),$AC$1006:$AS$1006,0)))),"Fix")))</f>
        <v>0</v>
      </c>
      <c r="P560" s="5">
        <f>IF(OR(INDEX($W$2:$W$1001,MATCH(ROWS($V$2:V560),$V$2:$V$1001,0),1)&gt;=100000,INDEX($AC$1005:$AS$1005,1,MATCH(COLUMNS($AC$1006:AQ1006),$AC$1006:$AS$1006,0))&gt;=100000), " ",IF(INDEX($AC$2:$AS$1001,MATCH(ROWS($V$2:V560),$V$2:$V$1001,0),MATCH(COLUMNS($AC$1006:AQ1006),$AC$1006:$AS$1006,0)), HYPERLINK("#",""), HYPERLINK(CONCATENATE("#Metadata!", ADDRESS(INDEX($X$2:$X$1001,MATCH(ROWS($V$2:V560),$V$2:$V$1001,0),0), INDEX($AC$1004:$AS$1004,1,MATCH(COLUMNS($AC$1006:AQ1006),$AC$1006:$AS$1006,0)))),"Fix")))</f>
        <v>0</v>
      </c>
      <c r="Q560" s="5">
        <f>IF(OR(INDEX($W$2:$W$1001,MATCH(ROWS($V$2:V560),$V$2:$V$1001,0),1)&gt;=100000,INDEX($AC$1005:$AS$1005,1,MATCH(COLUMNS($AC$1006:AR1006),$AC$1006:$AS$1006,0))&gt;=100000), " ",IF(INDEX($AC$2:$AS$1001,MATCH(ROWS($V$2:V560),$V$2:$V$1001,0),MATCH(COLUMNS($AC$1006:AR1006),$AC$1006:$AS$1006,0)), HYPERLINK("#",""), HYPERLINK(CONCATENATE("#Metadata!", ADDRESS(INDEX($X$2:$X$1001,MATCH(ROWS($V$2:V560),$V$2:$V$1001,0),0), INDEX($AC$1004:$AS$1004,1,MATCH(COLUMNS($AC$1006:AR1006),$AC$1006:$AS$1006,0)))),"Fix")))</f>
        <v>0</v>
      </c>
      <c r="R560" s="5">
        <f>IF(OR(INDEX($W$2:$W$1001,MATCH(ROWS($V$2:V560),$V$2:$V$1001,0),1)&gt;=100000,INDEX($AC$1005:$AS$1005,1,MATCH(COLUMNS($AC$1006:AS1006),$AC$1006:$AS$1006,0))&gt;=100000), " ",IF(INDEX($AC$2:$AS$1001,MATCH(ROWS($V$2:V560),$V$2:$V$1001,0),MATCH(COLUMNS($AC$1006:AS1006),$AC$1006:$AS$1006,0)), HYPERLINK("#",""), HYPERLINK(CONCATENATE("#Metadata!", ADDRESS(INDEX($X$2:$X$1001,MATCH(ROWS($V$2:V560),$V$2:$V$1001,0),0), INDEX($AC$1004:$AS$1004,1,MATCH(COLUMNS($AC$1006:AS1006),$AC$1006:$AS$1006,0)))),"Fix")))</f>
        <v>0</v>
      </c>
      <c r="V560">
        <v>0</v>
      </c>
      <c r="W560">
        <v>0</v>
      </c>
      <c r="X560">
        <v>0</v>
      </c>
      <c r="Y560">
        <f>IF(Z560,TRUE,AND(AC560:AS560))</f>
        <v>0</v>
      </c>
      <c r="Z560">
        <f>COUNTBLANK(Metadata!B560:R560)=COLUMNS(Metadata!B560:R560)</f>
        <v>0</v>
      </c>
      <c r="AA560">
        <v>0</v>
      </c>
      <c r="AC560">
        <f>AND(IF(Metadata!B560="",FALSE,TRUE),COUNTIF(Metadata!B:B, Metadata!B560) = 1,NOT(ISERROR(SUMPRODUCT(SEARCH(MID(Metadata!B560,ROW(INDIRECT("1:"&amp;LEN(Metadata!B560))), 1),"0123456789abcdefghijklmnopqrstuvwxyzABCDEFGHIJKLMNOPQRSTUVWXYZ.")))))</f>
        <v>0</v>
      </c>
      <c r="AD560">
        <f>AND(IF(Metadata!C560="",FALSE,TRUE),exact(Metadata!C560,"Host-associated"))</f>
        <v>0</v>
      </c>
      <c r="AE560">
        <f>AND(IF(Metadata!D560="",FALSE,TRUE),OR(exact(Metadata!D560,"Animal"),exact(Metadata!D560,"Fungus"),exact(Metadata!D560,"Plant")))</f>
        <v>0</v>
      </c>
      <c r="AF560">
        <f>AND(IF(Metadata!E560="",FALSE,TRUE),OR(exact(Metadata!E560,"Plant secretion"),exact(Metadata!E560,"Plant rhizosphere"),exact(Metadata!E560,"Plant surface"),exact(Metadata!E560,"Plant corpus"),exact(Metadata!E560,"Fungus surface"),exact(Metadata!E560,"Fungus corpus"),exact(Metadata!E560,"Animal surface"),exact(Metadata!E560,"Animal proximal gut"),exact(Metadata!E560,"Animal corpus"),exact(Metadata!E560,"Animal distal gut"),exact(Metadata!E560,"Animal secretion")))</f>
        <v>0</v>
      </c>
      <c r="AG560">
        <f>OR(AND(IF(Metadata!F560="",FALSE,TRUE),OR(exact(Metadata!F560,"not collected"),exact(Metadata!F560,"not provided"),exact(Metadata!F560,"restricted access"))),AND(IF(Metadata!F560="",FALSE,TRUE),OR(exact(Metadata!F560,"organism-associated habitat"),exact(Metadata!F560,"plant-associated habitat"),exact(Metadata!F560,"animal-associated habitat"),exact(Metadata!F560,"insecta-associated habitat"),exact(Metadata!F560,"mammalia-associated habitat"),exact(Metadata!F560,"human-associated habitat"),exact(Metadata!F560,"livestock-associated habitat"))))</f>
        <v>0</v>
      </c>
      <c r="AH560">
        <f>AND(IF(Metadata!G560="",FALSE,TRUE),exact(Metadata!G560,"host-associated"))</f>
        <v>0</v>
      </c>
      <c r="AI560">
        <f>OR(AND(IF(Metadata!H560="",FALSE,TRUE),OR(exact(Metadata!H560,"not collected"),exact(Metadata!H560,"not provided"))),AND(IF(Metadata!H560="",FALSE,ISNUMBER(VALUE(Metadata!H560))),Metadata!H560&gt;0))</f>
        <v>0</v>
      </c>
      <c r="AJ560">
        <f>AND(IF(Metadata!I560="",FALSE,TRUE),exact(Metadata!I560,"years"))</f>
        <v>0</v>
      </c>
      <c r="AK560">
        <f>IF(Metadata!J560="",FALSE,TRUE)</f>
        <v>0</v>
      </c>
      <c r="AL560">
        <f>OR(AND(IF(Metadata!K560="",FALSE,TRUE),OR(exact(Metadata!K560,"not collected"),exact(Metadata!K560,"not provided"))),AND(IF(Metadata!K560="",FALSE,ISNUMBER(VALUE(Metadata!K560))),Metadata!K560&gt;0))</f>
        <v>0</v>
      </c>
      <c r="AM560">
        <f>AND(IF(Metadata!L560="",FALSE,TRUE),exact(Metadata!L560,"cm"))</f>
        <v>0</v>
      </c>
      <c r="AN560">
        <f>IF(Metadata!M560="",FALSE,TRUE)</f>
        <v>0</v>
      </c>
      <c r="AO560">
        <f>OR(AND(IF(Metadata!N560="",FALSE,TRUE),OR(exact(Metadata!N560,"not applicable"),exact(Metadata!N560,"not collected"),exact(Metadata!N560,"not provided"))),AND(IF(Metadata!N560="",FALSE,IF(ISERROR(INT(Metadata!N560)),FALSE,INT(Metadata!N560)=Metadata!N560)),Metadata!N560&gt;0))</f>
        <v>0</v>
      </c>
      <c r="AP560">
        <f>OR(AND(IF(Metadata!O560="",FALSE,TRUE),OR(exact(Metadata!O560,"not collected"),exact(Metadata!O560,"not provided"))),AND(IF(Metadata!O560="",FALSE,ISNUMBER(VALUE(Metadata!O560))),Metadata!O560&gt;0))</f>
        <v>0</v>
      </c>
      <c r="AQ560">
        <f>AND(IF(Metadata!P560="",FALSE,TRUE),exact(Metadata!P560,"kg"))</f>
        <v>0</v>
      </c>
      <c r="AR560">
        <f>OR(AND(IF(Metadata!Q560="",FALSE,TRUE),OR(exact(Metadata!Q560,"not applicable"),exact(Metadata!Q560,"not collected"),exact(Metadata!Q560,"not provided"),exact(Metadata!Q560,"restricted access"))),IF(Metadata!Q560="",FALSE,IF(ISERROR(INT(Metadata!Q560)),FALSE,INT(Metadata!Q560)=Metadata!Q560)))</f>
        <v>0</v>
      </c>
      <c r="AS560">
        <f>AND(IF(Metadata!R560="",FALSE,TRUE),exact(Metadata!R560,"Not applicable"))</f>
        <v>0</v>
      </c>
    </row>
    <row r="561" spans="1:45">
      <c r="A561" s="4">
        <f>IF(B561=" "," ",HYPERLINK(CONCATENATE("#metadata!",ADDRESS(INDEX($X$2:$X$1001,MATCH(ROWS($V$2:V561),$V$2:$V$1001,0),0),2)),INDEX($AA$2:$AA$1001,MATCH(ROWS($V$2:V561),$V$2:$V$1001,0),0)))</f>
        <v>0</v>
      </c>
      <c r="B561" s="5">
        <f>IF(OR(INDEX($W$2:$W$1001,MATCH(ROWS($V$2:V561),$V$2:$V$1001,0),1)&gt;=100000,INDEX($AC$1005:$AS$1005,1,MATCH(COLUMNS($AC$1006:AC1006),$AC$1006:$AS$1006,0))&gt;=100000), " ",IF(INDEX($AC$2:$AS$1001,MATCH(ROWS($V$2:V561),$V$2:$V$1001,0),MATCH(COLUMNS($AC$1006:AC1006),$AC$1006:$AS$1006,0)), HYPERLINK("#",""), HYPERLINK(CONCATENATE("#Metadata!", ADDRESS(INDEX($X$2:$X$1001,MATCH(ROWS($V$2:V561),$V$2:$V$1001,0),0), INDEX($AC$1004:$AS$1004,1,MATCH(COLUMNS($AC$1006:AC1006),$AC$1006:$AS$1006,0)))),"Fix")))</f>
        <v>0</v>
      </c>
      <c r="C561" s="5">
        <f>IF(OR(INDEX($W$2:$W$1001,MATCH(ROWS($V$2:V561),$V$2:$V$1001,0),1)&gt;=100000,INDEX($AC$1005:$AS$1005,1,MATCH(COLUMNS($AC$1006:AD1006),$AC$1006:$AS$1006,0))&gt;=100000), " ",IF(INDEX($AC$2:$AS$1001,MATCH(ROWS($V$2:V561),$V$2:$V$1001,0),MATCH(COLUMNS($AC$1006:AD1006),$AC$1006:$AS$1006,0)), HYPERLINK("#",""), HYPERLINK(CONCATENATE("#Metadata!", ADDRESS(INDEX($X$2:$X$1001,MATCH(ROWS($V$2:V561),$V$2:$V$1001,0),0), INDEX($AC$1004:$AS$1004,1,MATCH(COLUMNS($AC$1006:AD1006),$AC$1006:$AS$1006,0)))),"Fix")))</f>
        <v>0</v>
      </c>
      <c r="D561" s="5">
        <f>IF(OR(INDEX($W$2:$W$1001,MATCH(ROWS($V$2:V561),$V$2:$V$1001,0),1)&gt;=100000,INDEX($AC$1005:$AS$1005,1,MATCH(COLUMNS($AC$1006:AE1006),$AC$1006:$AS$1006,0))&gt;=100000), " ",IF(INDEX($AC$2:$AS$1001,MATCH(ROWS($V$2:V561),$V$2:$V$1001,0),MATCH(COLUMNS($AC$1006:AE1006),$AC$1006:$AS$1006,0)), HYPERLINK("#",""), HYPERLINK(CONCATENATE("#Metadata!", ADDRESS(INDEX($X$2:$X$1001,MATCH(ROWS($V$2:V561),$V$2:$V$1001,0),0), INDEX($AC$1004:$AS$1004,1,MATCH(COLUMNS($AC$1006:AE1006),$AC$1006:$AS$1006,0)))),"Fix")))</f>
        <v>0</v>
      </c>
      <c r="E561" s="5">
        <f>IF(OR(INDEX($W$2:$W$1001,MATCH(ROWS($V$2:V561),$V$2:$V$1001,0),1)&gt;=100000,INDEX($AC$1005:$AS$1005,1,MATCH(COLUMNS($AC$1006:AF1006),$AC$1006:$AS$1006,0))&gt;=100000), " ",IF(INDEX($AC$2:$AS$1001,MATCH(ROWS($V$2:V561),$V$2:$V$1001,0),MATCH(COLUMNS($AC$1006:AF1006),$AC$1006:$AS$1006,0)), HYPERLINK("#",""), HYPERLINK(CONCATENATE("#Metadata!", ADDRESS(INDEX($X$2:$X$1001,MATCH(ROWS($V$2:V561),$V$2:$V$1001,0),0), INDEX($AC$1004:$AS$1004,1,MATCH(COLUMNS($AC$1006:AF1006),$AC$1006:$AS$1006,0)))),"Fix")))</f>
        <v>0</v>
      </c>
      <c r="F561" s="5">
        <f>IF(OR(INDEX($W$2:$W$1001,MATCH(ROWS($V$2:V561),$V$2:$V$1001,0),1)&gt;=100000,INDEX($AC$1005:$AS$1005,1,MATCH(COLUMNS($AC$1006:AG1006),$AC$1006:$AS$1006,0))&gt;=100000), " ",IF(INDEX($AC$2:$AS$1001,MATCH(ROWS($V$2:V561),$V$2:$V$1001,0),MATCH(COLUMNS($AC$1006:AG1006),$AC$1006:$AS$1006,0)), HYPERLINK("#",""), HYPERLINK(CONCATENATE("#Metadata!", ADDRESS(INDEX($X$2:$X$1001,MATCH(ROWS($V$2:V561),$V$2:$V$1001,0),0), INDEX($AC$1004:$AS$1004,1,MATCH(COLUMNS($AC$1006:AG1006),$AC$1006:$AS$1006,0)))),"Fix")))</f>
        <v>0</v>
      </c>
      <c r="G561" s="5">
        <f>IF(OR(INDEX($W$2:$W$1001,MATCH(ROWS($V$2:V561),$V$2:$V$1001,0),1)&gt;=100000,INDEX($AC$1005:$AS$1005,1,MATCH(COLUMNS($AC$1006:AH1006),$AC$1006:$AS$1006,0))&gt;=100000), " ",IF(INDEX($AC$2:$AS$1001,MATCH(ROWS($V$2:V561),$V$2:$V$1001,0),MATCH(COLUMNS($AC$1006:AH1006),$AC$1006:$AS$1006,0)), HYPERLINK("#",""), HYPERLINK(CONCATENATE("#Metadata!", ADDRESS(INDEX($X$2:$X$1001,MATCH(ROWS($V$2:V561),$V$2:$V$1001,0),0), INDEX($AC$1004:$AS$1004,1,MATCH(COLUMNS($AC$1006:AH1006),$AC$1006:$AS$1006,0)))),"Fix")))</f>
        <v>0</v>
      </c>
      <c r="H561" s="5">
        <f>IF(OR(INDEX($W$2:$W$1001,MATCH(ROWS($V$2:V561),$V$2:$V$1001,0),1)&gt;=100000,INDEX($AC$1005:$AS$1005,1,MATCH(COLUMNS($AC$1006:AI1006),$AC$1006:$AS$1006,0))&gt;=100000), " ",IF(INDEX($AC$2:$AS$1001,MATCH(ROWS($V$2:V561),$V$2:$V$1001,0),MATCH(COLUMNS($AC$1006:AI1006),$AC$1006:$AS$1006,0)), HYPERLINK("#",""), HYPERLINK(CONCATENATE("#Metadata!", ADDRESS(INDEX($X$2:$X$1001,MATCH(ROWS($V$2:V561),$V$2:$V$1001,0),0), INDEX($AC$1004:$AS$1004,1,MATCH(COLUMNS($AC$1006:AI1006),$AC$1006:$AS$1006,0)))),"Fix")))</f>
        <v>0</v>
      </c>
      <c r="I561" s="5">
        <f>IF(OR(INDEX($W$2:$W$1001,MATCH(ROWS($V$2:V561),$V$2:$V$1001,0),1)&gt;=100000,INDEX($AC$1005:$AS$1005,1,MATCH(COLUMNS($AC$1006:AJ1006),$AC$1006:$AS$1006,0))&gt;=100000), " ",IF(INDEX($AC$2:$AS$1001,MATCH(ROWS($V$2:V561),$V$2:$V$1001,0),MATCH(COLUMNS($AC$1006:AJ1006),$AC$1006:$AS$1006,0)), HYPERLINK("#",""), HYPERLINK(CONCATENATE("#Metadata!", ADDRESS(INDEX($X$2:$X$1001,MATCH(ROWS($V$2:V561),$V$2:$V$1001,0),0), INDEX($AC$1004:$AS$1004,1,MATCH(COLUMNS($AC$1006:AJ1006),$AC$1006:$AS$1006,0)))),"Fix")))</f>
        <v>0</v>
      </c>
      <c r="J561" s="5">
        <f>IF(OR(INDEX($W$2:$W$1001,MATCH(ROWS($V$2:V561),$V$2:$V$1001,0),1)&gt;=100000,INDEX($AC$1005:$AS$1005,1,MATCH(COLUMNS($AC$1006:AK1006),$AC$1006:$AS$1006,0))&gt;=100000), " ",IF(INDEX($AC$2:$AS$1001,MATCH(ROWS($V$2:V561),$V$2:$V$1001,0),MATCH(COLUMNS($AC$1006:AK1006),$AC$1006:$AS$1006,0)), HYPERLINK("#",""), HYPERLINK(CONCATENATE("#Metadata!", ADDRESS(INDEX($X$2:$X$1001,MATCH(ROWS($V$2:V561),$V$2:$V$1001,0),0), INDEX($AC$1004:$AS$1004,1,MATCH(COLUMNS($AC$1006:AK1006),$AC$1006:$AS$1006,0)))),"Fix")))</f>
        <v>0</v>
      </c>
      <c r="K561" s="5">
        <f>IF(OR(INDEX($W$2:$W$1001,MATCH(ROWS($V$2:V561),$V$2:$V$1001,0),1)&gt;=100000,INDEX($AC$1005:$AS$1005,1,MATCH(COLUMNS($AC$1006:AL1006),$AC$1006:$AS$1006,0))&gt;=100000), " ",IF(INDEX($AC$2:$AS$1001,MATCH(ROWS($V$2:V561),$V$2:$V$1001,0),MATCH(COLUMNS($AC$1006:AL1006),$AC$1006:$AS$1006,0)), HYPERLINK("#",""), HYPERLINK(CONCATENATE("#Metadata!", ADDRESS(INDEX($X$2:$X$1001,MATCH(ROWS($V$2:V561),$V$2:$V$1001,0),0), INDEX($AC$1004:$AS$1004,1,MATCH(COLUMNS($AC$1006:AL1006),$AC$1006:$AS$1006,0)))),"Fix")))</f>
        <v>0</v>
      </c>
      <c r="L561" s="5">
        <f>IF(OR(INDEX($W$2:$W$1001,MATCH(ROWS($V$2:V561),$V$2:$V$1001,0),1)&gt;=100000,INDEX($AC$1005:$AS$1005,1,MATCH(COLUMNS($AC$1006:AM1006),$AC$1006:$AS$1006,0))&gt;=100000), " ",IF(INDEX($AC$2:$AS$1001,MATCH(ROWS($V$2:V561),$V$2:$V$1001,0),MATCH(COLUMNS($AC$1006:AM1006),$AC$1006:$AS$1006,0)), HYPERLINK("#",""), HYPERLINK(CONCATENATE("#Metadata!", ADDRESS(INDEX($X$2:$X$1001,MATCH(ROWS($V$2:V561),$V$2:$V$1001,0),0), INDEX($AC$1004:$AS$1004,1,MATCH(COLUMNS($AC$1006:AM1006),$AC$1006:$AS$1006,0)))),"Fix")))</f>
        <v>0</v>
      </c>
      <c r="M561" s="5">
        <f>IF(OR(INDEX($W$2:$W$1001,MATCH(ROWS($V$2:V561),$V$2:$V$1001,0),1)&gt;=100000,INDEX($AC$1005:$AS$1005,1,MATCH(COLUMNS($AC$1006:AN1006),$AC$1006:$AS$1006,0))&gt;=100000), " ",IF(INDEX($AC$2:$AS$1001,MATCH(ROWS($V$2:V561),$V$2:$V$1001,0),MATCH(COLUMNS($AC$1006:AN1006),$AC$1006:$AS$1006,0)), HYPERLINK("#",""), HYPERLINK(CONCATENATE("#Metadata!", ADDRESS(INDEX($X$2:$X$1001,MATCH(ROWS($V$2:V561),$V$2:$V$1001,0),0), INDEX($AC$1004:$AS$1004,1,MATCH(COLUMNS($AC$1006:AN1006),$AC$1006:$AS$1006,0)))),"Fix")))</f>
        <v>0</v>
      </c>
      <c r="N561" s="5">
        <f>IF(OR(INDEX($W$2:$W$1001,MATCH(ROWS($V$2:V561),$V$2:$V$1001,0),1)&gt;=100000,INDEX($AC$1005:$AS$1005,1,MATCH(COLUMNS($AC$1006:AO1006),$AC$1006:$AS$1006,0))&gt;=100000), " ",IF(INDEX($AC$2:$AS$1001,MATCH(ROWS($V$2:V561),$V$2:$V$1001,0),MATCH(COLUMNS($AC$1006:AO1006),$AC$1006:$AS$1006,0)), HYPERLINK("#",""), HYPERLINK(CONCATENATE("#Metadata!", ADDRESS(INDEX($X$2:$X$1001,MATCH(ROWS($V$2:V561),$V$2:$V$1001,0),0), INDEX($AC$1004:$AS$1004,1,MATCH(COLUMNS($AC$1006:AO1006),$AC$1006:$AS$1006,0)))),"Fix")))</f>
        <v>0</v>
      </c>
      <c r="O561" s="5">
        <f>IF(OR(INDEX($W$2:$W$1001,MATCH(ROWS($V$2:V561),$V$2:$V$1001,0),1)&gt;=100000,INDEX($AC$1005:$AS$1005,1,MATCH(COLUMNS($AC$1006:AP1006),$AC$1006:$AS$1006,0))&gt;=100000), " ",IF(INDEX($AC$2:$AS$1001,MATCH(ROWS($V$2:V561),$V$2:$V$1001,0),MATCH(COLUMNS($AC$1006:AP1006),$AC$1006:$AS$1006,0)), HYPERLINK("#",""), HYPERLINK(CONCATENATE("#Metadata!", ADDRESS(INDEX($X$2:$X$1001,MATCH(ROWS($V$2:V561),$V$2:$V$1001,0),0), INDEX($AC$1004:$AS$1004,1,MATCH(COLUMNS($AC$1006:AP1006),$AC$1006:$AS$1006,0)))),"Fix")))</f>
        <v>0</v>
      </c>
      <c r="P561" s="5">
        <f>IF(OR(INDEX($W$2:$W$1001,MATCH(ROWS($V$2:V561),$V$2:$V$1001,0),1)&gt;=100000,INDEX($AC$1005:$AS$1005,1,MATCH(COLUMNS($AC$1006:AQ1006),$AC$1006:$AS$1006,0))&gt;=100000), " ",IF(INDEX($AC$2:$AS$1001,MATCH(ROWS($V$2:V561),$V$2:$V$1001,0),MATCH(COLUMNS($AC$1006:AQ1006),$AC$1006:$AS$1006,0)), HYPERLINK("#",""), HYPERLINK(CONCATENATE("#Metadata!", ADDRESS(INDEX($X$2:$X$1001,MATCH(ROWS($V$2:V561),$V$2:$V$1001,0),0), INDEX($AC$1004:$AS$1004,1,MATCH(COLUMNS($AC$1006:AQ1006),$AC$1006:$AS$1006,0)))),"Fix")))</f>
        <v>0</v>
      </c>
      <c r="Q561" s="5">
        <f>IF(OR(INDEX($W$2:$W$1001,MATCH(ROWS($V$2:V561),$V$2:$V$1001,0),1)&gt;=100000,INDEX($AC$1005:$AS$1005,1,MATCH(COLUMNS($AC$1006:AR1006),$AC$1006:$AS$1006,0))&gt;=100000), " ",IF(INDEX($AC$2:$AS$1001,MATCH(ROWS($V$2:V561),$V$2:$V$1001,0),MATCH(COLUMNS($AC$1006:AR1006),$AC$1006:$AS$1006,0)), HYPERLINK("#",""), HYPERLINK(CONCATENATE("#Metadata!", ADDRESS(INDEX($X$2:$X$1001,MATCH(ROWS($V$2:V561),$V$2:$V$1001,0),0), INDEX($AC$1004:$AS$1004,1,MATCH(COLUMNS($AC$1006:AR1006),$AC$1006:$AS$1006,0)))),"Fix")))</f>
        <v>0</v>
      </c>
      <c r="R561" s="5">
        <f>IF(OR(INDEX($W$2:$W$1001,MATCH(ROWS($V$2:V561),$V$2:$V$1001,0),1)&gt;=100000,INDEX($AC$1005:$AS$1005,1,MATCH(COLUMNS($AC$1006:AS1006),$AC$1006:$AS$1006,0))&gt;=100000), " ",IF(INDEX($AC$2:$AS$1001,MATCH(ROWS($V$2:V561),$V$2:$V$1001,0),MATCH(COLUMNS($AC$1006:AS1006),$AC$1006:$AS$1006,0)), HYPERLINK("#",""), HYPERLINK(CONCATENATE("#Metadata!", ADDRESS(INDEX($X$2:$X$1001,MATCH(ROWS($V$2:V561),$V$2:$V$1001,0),0), INDEX($AC$1004:$AS$1004,1,MATCH(COLUMNS($AC$1006:AS1006),$AC$1006:$AS$1006,0)))),"Fix")))</f>
        <v>0</v>
      </c>
      <c r="V561">
        <v>0</v>
      </c>
      <c r="W561">
        <v>0</v>
      </c>
      <c r="X561">
        <v>0</v>
      </c>
      <c r="Y561">
        <f>IF(Z561,TRUE,AND(AC561:AS561))</f>
        <v>0</v>
      </c>
      <c r="Z561">
        <f>COUNTBLANK(Metadata!B561:R561)=COLUMNS(Metadata!B561:R561)</f>
        <v>0</v>
      </c>
      <c r="AA561">
        <v>0</v>
      </c>
      <c r="AC561">
        <f>AND(IF(Metadata!B561="",FALSE,TRUE),COUNTIF(Metadata!B:B, Metadata!B561) = 1,NOT(ISERROR(SUMPRODUCT(SEARCH(MID(Metadata!B561,ROW(INDIRECT("1:"&amp;LEN(Metadata!B561))), 1),"0123456789abcdefghijklmnopqrstuvwxyzABCDEFGHIJKLMNOPQRSTUVWXYZ.")))))</f>
        <v>0</v>
      </c>
      <c r="AD561">
        <f>AND(IF(Metadata!C561="",FALSE,TRUE),exact(Metadata!C561,"Host-associated"))</f>
        <v>0</v>
      </c>
      <c r="AE561">
        <f>AND(IF(Metadata!D561="",FALSE,TRUE),OR(exact(Metadata!D561,"Animal"),exact(Metadata!D561,"Fungus"),exact(Metadata!D561,"Plant")))</f>
        <v>0</v>
      </c>
      <c r="AF561">
        <f>AND(IF(Metadata!E561="",FALSE,TRUE),OR(exact(Metadata!E561,"Plant secretion"),exact(Metadata!E561,"Plant rhizosphere"),exact(Metadata!E561,"Plant surface"),exact(Metadata!E561,"Plant corpus"),exact(Metadata!E561,"Fungus surface"),exact(Metadata!E561,"Fungus corpus"),exact(Metadata!E561,"Animal surface"),exact(Metadata!E561,"Animal proximal gut"),exact(Metadata!E561,"Animal corpus"),exact(Metadata!E561,"Animal distal gut"),exact(Metadata!E561,"Animal secretion")))</f>
        <v>0</v>
      </c>
      <c r="AG561">
        <f>OR(AND(IF(Metadata!F561="",FALSE,TRUE),OR(exact(Metadata!F561,"not collected"),exact(Metadata!F561,"not provided"),exact(Metadata!F561,"restricted access"))),AND(IF(Metadata!F561="",FALSE,TRUE),OR(exact(Metadata!F561,"organism-associated habitat"),exact(Metadata!F561,"plant-associated habitat"),exact(Metadata!F561,"animal-associated habitat"),exact(Metadata!F561,"insecta-associated habitat"),exact(Metadata!F561,"mammalia-associated habitat"),exact(Metadata!F561,"human-associated habitat"),exact(Metadata!F561,"livestock-associated habitat"))))</f>
        <v>0</v>
      </c>
      <c r="AH561">
        <f>AND(IF(Metadata!G561="",FALSE,TRUE),exact(Metadata!G561,"host-associated"))</f>
        <v>0</v>
      </c>
      <c r="AI561">
        <f>OR(AND(IF(Metadata!H561="",FALSE,TRUE),OR(exact(Metadata!H561,"not collected"),exact(Metadata!H561,"not provided"))),AND(IF(Metadata!H561="",FALSE,ISNUMBER(VALUE(Metadata!H561))),Metadata!H561&gt;0))</f>
        <v>0</v>
      </c>
      <c r="AJ561">
        <f>AND(IF(Metadata!I561="",FALSE,TRUE),exact(Metadata!I561,"years"))</f>
        <v>0</v>
      </c>
      <c r="AK561">
        <f>IF(Metadata!J561="",FALSE,TRUE)</f>
        <v>0</v>
      </c>
      <c r="AL561">
        <f>OR(AND(IF(Metadata!K561="",FALSE,TRUE),OR(exact(Metadata!K561,"not collected"),exact(Metadata!K561,"not provided"))),AND(IF(Metadata!K561="",FALSE,ISNUMBER(VALUE(Metadata!K561))),Metadata!K561&gt;0))</f>
        <v>0</v>
      </c>
      <c r="AM561">
        <f>AND(IF(Metadata!L561="",FALSE,TRUE),exact(Metadata!L561,"cm"))</f>
        <v>0</v>
      </c>
      <c r="AN561">
        <f>IF(Metadata!M561="",FALSE,TRUE)</f>
        <v>0</v>
      </c>
      <c r="AO561">
        <f>OR(AND(IF(Metadata!N561="",FALSE,TRUE),OR(exact(Metadata!N561,"not applicable"),exact(Metadata!N561,"not collected"),exact(Metadata!N561,"not provided"))),AND(IF(Metadata!N561="",FALSE,IF(ISERROR(INT(Metadata!N561)),FALSE,INT(Metadata!N561)=Metadata!N561)),Metadata!N561&gt;0))</f>
        <v>0</v>
      </c>
      <c r="AP561">
        <f>OR(AND(IF(Metadata!O561="",FALSE,TRUE),OR(exact(Metadata!O561,"not collected"),exact(Metadata!O561,"not provided"))),AND(IF(Metadata!O561="",FALSE,ISNUMBER(VALUE(Metadata!O561))),Metadata!O561&gt;0))</f>
        <v>0</v>
      </c>
      <c r="AQ561">
        <f>AND(IF(Metadata!P561="",FALSE,TRUE),exact(Metadata!P561,"kg"))</f>
        <v>0</v>
      </c>
      <c r="AR561">
        <f>OR(AND(IF(Metadata!Q561="",FALSE,TRUE),OR(exact(Metadata!Q561,"not applicable"),exact(Metadata!Q561,"not collected"),exact(Metadata!Q561,"not provided"),exact(Metadata!Q561,"restricted access"))),IF(Metadata!Q561="",FALSE,IF(ISERROR(INT(Metadata!Q561)),FALSE,INT(Metadata!Q561)=Metadata!Q561)))</f>
        <v>0</v>
      </c>
      <c r="AS561">
        <f>AND(IF(Metadata!R561="",FALSE,TRUE),exact(Metadata!R561,"Not applicable"))</f>
        <v>0</v>
      </c>
    </row>
    <row r="562" spans="1:45">
      <c r="A562" s="4">
        <f>IF(B562=" "," ",HYPERLINK(CONCATENATE("#metadata!",ADDRESS(INDEX($X$2:$X$1001,MATCH(ROWS($V$2:V562),$V$2:$V$1001,0),0),2)),INDEX($AA$2:$AA$1001,MATCH(ROWS($V$2:V562),$V$2:$V$1001,0),0)))</f>
        <v>0</v>
      </c>
      <c r="B562" s="5">
        <f>IF(OR(INDEX($W$2:$W$1001,MATCH(ROWS($V$2:V562),$V$2:$V$1001,0),1)&gt;=100000,INDEX($AC$1005:$AS$1005,1,MATCH(COLUMNS($AC$1006:AC1006),$AC$1006:$AS$1006,0))&gt;=100000), " ",IF(INDEX($AC$2:$AS$1001,MATCH(ROWS($V$2:V562),$V$2:$V$1001,0),MATCH(COLUMNS($AC$1006:AC1006),$AC$1006:$AS$1006,0)), HYPERLINK("#",""), HYPERLINK(CONCATENATE("#Metadata!", ADDRESS(INDEX($X$2:$X$1001,MATCH(ROWS($V$2:V562),$V$2:$V$1001,0),0), INDEX($AC$1004:$AS$1004,1,MATCH(COLUMNS($AC$1006:AC1006),$AC$1006:$AS$1006,0)))),"Fix")))</f>
        <v>0</v>
      </c>
      <c r="C562" s="5">
        <f>IF(OR(INDEX($W$2:$W$1001,MATCH(ROWS($V$2:V562),$V$2:$V$1001,0),1)&gt;=100000,INDEX($AC$1005:$AS$1005,1,MATCH(COLUMNS($AC$1006:AD1006),$AC$1006:$AS$1006,0))&gt;=100000), " ",IF(INDEX($AC$2:$AS$1001,MATCH(ROWS($V$2:V562),$V$2:$V$1001,0),MATCH(COLUMNS($AC$1006:AD1006),$AC$1006:$AS$1006,0)), HYPERLINK("#",""), HYPERLINK(CONCATENATE("#Metadata!", ADDRESS(INDEX($X$2:$X$1001,MATCH(ROWS($V$2:V562),$V$2:$V$1001,0),0), INDEX($AC$1004:$AS$1004,1,MATCH(COLUMNS($AC$1006:AD1006),$AC$1006:$AS$1006,0)))),"Fix")))</f>
        <v>0</v>
      </c>
      <c r="D562" s="5">
        <f>IF(OR(INDEX($W$2:$W$1001,MATCH(ROWS($V$2:V562),$V$2:$V$1001,0),1)&gt;=100000,INDEX($AC$1005:$AS$1005,1,MATCH(COLUMNS($AC$1006:AE1006),$AC$1006:$AS$1006,0))&gt;=100000), " ",IF(INDEX($AC$2:$AS$1001,MATCH(ROWS($V$2:V562),$V$2:$V$1001,0),MATCH(COLUMNS($AC$1006:AE1006),$AC$1006:$AS$1006,0)), HYPERLINK("#",""), HYPERLINK(CONCATENATE("#Metadata!", ADDRESS(INDEX($X$2:$X$1001,MATCH(ROWS($V$2:V562),$V$2:$V$1001,0),0), INDEX($AC$1004:$AS$1004,1,MATCH(COLUMNS($AC$1006:AE1006),$AC$1006:$AS$1006,0)))),"Fix")))</f>
        <v>0</v>
      </c>
      <c r="E562" s="5">
        <f>IF(OR(INDEX($W$2:$W$1001,MATCH(ROWS($V$2:V562),$V$2:$V$1001,0),1)&gt;=100000,INDEX($AC$1005:$AS$1005,1,MATCH(COLUMNS($AC$1006:AF1006),$AC$1006:$AS$1006,0))&gt;=100000), " ",IF(INDEX($AC$2:$AS$1001,MATCH(ROWS($V$2:V562),$V$2:$V$1001,0),MATCH(COLUMNS($AC$1006:AF1006),$AC$1006:$AS$1006,0)), HYPERLINK("#",""), HYPERLINK(CONCATENATE("#Metadata!", ADDRESS(INDEX($X$2:$X$1001,MATCH(ROWS($V$2:V562),$V$2:$V$1001,0),0), INDEX($AC$1004:$AS$1004,1,MATCH(COLUMNS($AC$1006:AF1006),$AC$1006:$AS$1006,0)))),"Fix")))</f>
        <v>0</v>
      </c>
      <c r="F562" s="5">
        <f>IF(OR(INDEX($W$2:$W$1001,MATCH(ROWS($V$2:V562),$V$2:$V$1001,0),1)&gt;=100000,INDEX($AC$1005:$AS$1005,1,MATCH(COLUMNS($AC$1006:AG1006),$AC$1006:$AS$1006,0))&gt;=100000), " ",IF(INDEX($AC$2:$AS$1001,MATCH(ROWS($V$2:V562),$V$2:$V$1001,0),MATCH(COLUMNS($AC$1006:AG1006),$AC$1006:$AS$1006,0)), HYPERLINK("#",""), HYPERLINK(CONCATENATE("#Metadata!", ADDRESS(INDEX($X$2:$X$1001,MATCH(ROWS($V$2:V562),$V$2:$V$1001,0),0), INDEX($AC$1004:$AS$1004,1,MATCH(COLUMNS($AC$1006:AG1006),$AC$1006:$AS$1006,0)))),"Fix")))</f>
        <v>0</v>
      </c>
      <c r="G562" s="5">
        <f>IF(OR(INDEX($W$2:$W$1001,MATCH(ROWS($V$2:V562),$V$2:$V$1001,0),1)&gt;=100000,INDEX($AC$1005:$AS$1005,1,MATCH(COLUMNS($AC$1006:AH1006),$AC$1006:$AS$1006,0))&gt;=100000), " ",IF(INDEX($AC$2:$AS$1001,MATCH(ROWS($V$2:V562),$V$2:$V$1001,0),MATCH(COLUMNS($AC$1006:AH1006),$AC$1006:$AS$1006,0)), HYPERLINK("#",""), HYPERLINK(CONCATENATE("#Metadata!", ADDRESS(INDEX($X$2:$X$1001,MATCH(ROWS($V$2:V562),$V$2:$V$1001,0),0), INDEX($AC$1004:$AS$1004,1,MATCH(COLUMNS($AC$1006:AH1006),$AC$1006:$AS$1006,0)))),"Fix")))</f>
        <v>0</v>
      </c>
      <c r="H562" s="5">
        <f>IF(OR(INDEX($W$2:$W$1001,MATCH(ROWS($V$2:V562),$V$2:$V$1001,0),1)&gt;=100000,INDEX($AC$1005:$AS$1005,1,MATCH(COLUMNS($AC$1006:AI1006),$AC$1006:$AS$1006,0))&gt;=100000), " ",IF(INDEX($AC$2:$AS$1001,MATCH(ROWS($V$2:V562),$V$2:$V$1001,0),MATCH(COLUMNS($AC$1006:AI1006),$AC$1006:$AS$1006,0)), HYPERLINK("#",""), HYPERLINK(CONCATENATE("#Metadata!", ADDRESS(INDEX($X$2:$X$1001,MATCH(ROWS($V$2:V562),$V$2:$V$1001,0),0), INDEX($AC$1004:$AS$1004,1,MATCH(COLUMNS($AC$1006:AI1006),$AC$1006:$AS$1006,0)))),"Fix")))</f>
        <v>0</v>
      </c>
      <c r="I562" s="5">
        <f>IF(OR(INDEX($W$2:$W$1001,MATCH(ROWS($V$2:V562),$V$2:$V$1001,0),1)&gt;=100000,INDEX($AC$1005:$AS$1005,1,MATCH(COLUMNS($AC$1006:AJ1006),$AC$1006:$AS$1006,0))&gt;=100000), " ",IF(INDEX($AC$2:$AS$1001,MATCH(ROWS($V$2:V562),$V$2:$V$1001,0),MATCH(COLUMNS($AC$1006:AJ1006),$AC$1006:$AS$1006,0)), HYPERLINK("#",""), HYPERLINK(CONCATENATE("#Metadata!", ADDRESS(INDEX($X$2:$X$1001,MATCH(ROWS($V$2:V562),$V$2:$V$1001,0),0), INDEX($AC$1004:$AS$1004,1,MATCH(COLUMNS($AC$1006:AJ1006),$AC$1006:$AS$1006,0)))),"Fix")))</f>
        <v>0</v>
      </c>
      <c r="J562" s="5">
        <f>IF(OR(INDEX($W$2:$W$1001,MATCH(ROWS($V$2:V562),$V$2:$V$1001,0),1)&gt;=100000,INDEX($AC$1005:$AS$1005,1,MATCH(COLUMNS($AC$1006:AK1006),$AC$1006:$AS$1006,0))&gt;=100000), " ",IF(INDEX($AC$2:$AS$1001,MATCH(ROWS($V$2:V562),$V$2:$V$1001,0),MATCH(COLUMNS($AC$1006:AK1006),$AC$1006:$AS$1006,0)), HYPERLINK("#",""), HYPERLINK(CONCATENATE("#Metadata!", ADDRESS(INDEX($X$2:$X$1001,MATCH(ROWS($V$2:V562),$V$2:$V$1001,0),0), INDEX($AC$1004:$AS$1004,1,MATCH(COLUMNS($AC$1006:AK1006),$AC$1006:$AS$1006,0)))),"Fix")))</f>
        <v>0</v>
      </c>
      <c r="K562" s="5">
        <f>IF(OR(INDEX($W$2:$W$1001,MATCH(ROWS($V$2:V562),$V$2:$V$1001,0),1)&gt;=100000,INDEX($AC$1005:$AS$1005,1,MATCH(COLUMNS($AC$1006:AL1006),$AC$1006:$AS$1006,0))&gt;=100000), " ",IF(INDEX($AC$2:$AS$1001,MATCH(ROWS($V$2:V562),$V$2:$V$1001,0),MATCH(COLUMNS($AC$1006:AL1006),$AC$1006:$AS$1006,0)), HYPERLINK("#",""), HYPERLINK(CONCATENATE("#Metadata!", ADDRESS(INDEX($X$2:$X$1001,MATCH(ROWS($V$2:V562),$V$2:$V$1001,0),0), INDEX($AC$1004:$AS$1004,1,MATCH(COLUMNS($AC$1006:AL1006),$AC$1006:$AS$1006,0)))),"Fix")))</f>
        <v>0</v>
      </c>
      <c r="L562" s="5">
        <f>IF(OR(INDEX($W$2:$W$1001,MATCH(ROWS($V$2:V562),$V$2:$V$1001,0),1)&gt;=100000,INDEX($AC$1005:$AS$1005,1,MATCH(COLUMNS($AC$1006:AM1006),$AC$1006:$AS$1006,0))&gt;=100000), " ",IF(INDEX($AC$2:$AS$1001,MATCH(ROWS($V$2:V562),$V$2:$V$1001,0),MATCH(COLUMNS($AC$1006:AM1006),$AC$1006:$AS$1006,0)), HYPERLINK("#",""), HYPERLINK(CONCATENATE("#Metadata!", ADDRESS(INDEX($X$2:$X$1001,MATCH(ROWS($V$2:V562),$V$2:$V$1001,0),0), INDEX($AC$1004:$AS$1004,1,MATCH(COLUMNS($AC$1006:AM1006),$AC$1006:$AS$1006,0)))),"Fix")))</f>
        <v>0</v>
      </c>
      <c r="M562" s="5">
        <f>IF(OR(INDEX($W$2:$W$1001,MATCH(ROWS($V$2:V562),$V$2:$V$1001,0),1)&gt;=100000,INDEX($AC$1005:$AS$1005,1,MATCH(COLUMNS($AC$1006:AN1006),$AC$1006:$AS$1006,0))&gt;=100000), " ",IF(INDEX($AC$2:$AS$1001,MATCH(ROWS($V$2:V562),$V$2:$V$1001,0),MATCH(COLUMNS($AC$1006:AN1006),$AC$1006:$AS$1006,0)), HYPERLINK("#",""), HYPERLINK(CONCATENATE("#Metadata!", ADDRESS(INDEX($X$2:$X$1001,MATCH(ROWS($V$2:V562),$V$2:$V$1001,0),0), INDEX($AC$1004:$AS$1004,1,MATCH(COLUMNS($AC$1006:AN1006),$AC$1006:$AS$1006,0)))),"Fix")))</f>
        <v>0</v>
      </c>
      <c r="N562" s="5">
        <f>IF(OR(INDEX($W$2:$W$1001,MATCH(ROWS($V$2:V562),$V$2:$V$1001,0),1)&gt;=100000,INDEX($AC$1005:$AS$1005,1,MATCH(COLUMNS($AC$1006:AO1006),$AC$1006:$AS$1006,0))&gt;=100000), " ",IF(INDEX($AC$2:$AS$1001,MATCH(ROWS($V$2:V562),$V$2:$V$1001,0),MATCH(COLUMNS($AC$1006:AO1006),$AC$1006:$AS$1006,0)), HYPERLINK("#",""), HYPERLINK(CONCATENATE("#Metadata!", ADDRESS(INDEX($X$2:$X$1001,MATCH(ROWS($V$2:V562),$V$2:$V$1001,0),0), INDEX($AC$1004:$AS$1004,1,MATCH(COLUMNS($AC$1006:AO1006),$AC$1006:$AS$1006,0)))),"Fix")))</f>
        <v>0</v>
      </c>
      <c r="O562" s="5">
        <f>IF(OR(INDEX($W$2:$W$1001,MATCH(ROWS($V$2:V562),$V$2:$V$1001,0),1)&gt;=100000,INDEX($AC$1005:$AS$1005,1,MATCH(COLUMNS($AC$1006:AP1006),$AC$1006:$AS$1006,0))&gt;=100000), " ",IF(INDEX($AC$2:$AS$1001,MATCH(ROWS($V$2:V562),$V$2:$V$1001,0),MATCH(COLUMNS($AC$1006:AP1006),$AC$1006:$AS$1006,0)), HYPERLINK("#",""), HYPERLINK(CONCATENATE("#Metadata!", ADDRESS(INDEX($X$2:$X$1001,MATCH(ROWS($V$2:V562),$V$2:$V$1001,0),0), INDEX($AC$1004:$AS$1004,1,MATCH(COLUMNS($AC$1006:AP1006),$AC$1006:$AS$1006,0)))),"Fix")))</f>
        <v>0</v>
      </c>
      <c r="P562" s="5">
        <f>IF(OR(INDEX($W$2:$W$1001,MATCH(ROWS($V$2:V562),$V$2:$V$1001,0),1)&gt;=100000,INDEX($AC$1005:$AS$1005,1,MATCH(COLUMNS($AC$1006:AQ1006),$AC$1006:$AS$1006,0))&gt;=100000), " ",IF(INDEX($AC$2:$AS$1001,MATCH(ROWS($V$2:V562),$V$2:$V$1001,0),MATCH(COLUMNS($AC$1006:AQ1006),$AC$1006:$AS$1006,0)), HYPERLINK("#",""), HYPERLINK(CONCATENATE("#Metadata!", ADDRESS(INDEX($X$2:$X$1001,MATCH(ROWS($V$2:V562),$V$2:$V$1001,0),0), INDEX($AC$1004:$AS$1004,1,MATCH(COLUMNS($AC$1006:AQ1006),$AC$1006:$AS$1006,0)))),"Fix")))</f>
        <v>0</v>
      </c>
      <c r="Q562" s="5">
        <f>IF(OR(INDEX($W$2:$W$1001,MATCH(ROWS($V$2:V562),$V$2:$V$1001,0),1)&gt;=100000,INDEX($AC$1005:$AS$1005,1,MATCH(COLUMNS($AC$1006:AR1006),$AC$1006:$AS$1006,0))&gt;=100000), " ",IF(INDEX($AC$2:$AS$1001,MATCH(ROWS($V$2:V562),$V$2:$V$1001,0),MATCH(COLUMNS($AC$1006:AR1006),$AC$1006:$AS$1006,0)), HYPERLINK("#",""), HYPERLINK(CONCATENATE("#Metadata!", ADDRESS(INDEX($X$2:$X$1001,MATCH(ROWS($V$2:V562),$V$2:$V$1001,0),0), INDEX($AC$1004:$AS$1004,1,MATCH(COLUMNS($AC$1006:AR1006),$AC$1006:$AS$1006,0)))),"Fix")))</f>
        <v>0</v>
      </c>
      <c r="R562" s="5">
        <f>IF(OR(INDEX($W$2:$W$1001,MATCH(ROWS($V$2:V562),$V$2:$V$1001,0),1)&gt;=100000,INDEX($AC$1005:$AS$1005,1,MATCH(COLUMNS($AC$1006:AS1006),$AC$1006:$AS$1006,0))&gt;=100000), " ",IF(INDEX($AC$2:$AS$1001,MATCH(ROWS($V$2:V562),$V$2:$V$1001,0),MATCH(COLUMNS($AC$1006:AS1006),$AC$1006:$AS$1006,0)), HYPERLINK("#",""), HYPERLINK(CONCATENATE("#Metadata!", ADDRESS(INDEX($X$2:$X$1001,MATCH(ROWS($V$2:V562),$V$2:$V$1001,0),0), INDEX($AC$1004:$AS$1004,1,MATCH(COLUMNS($AC$1006:AS1006),$AC$1006:$AS$1006,0)))),"Fix")))</f>
        <v>0</v>
      </c>
      <c r="V562">
        <v>0</v>
      </c>
      <c r="W562">
        <v>0</v>
      </c>
      <c r="X562">
        <v>0</v>
      </c>
      <c r="Y562">
        <f>IF(Z562,TRUE,AND(AC562:AS562))</f>
        <v>0</v>
      </c>
      <c r="Z562">
        <f>COUNTBLANK(Metadata!B562:R562)=COLUMNS(Metadata!B562:R562)</f>
        <v>0</v>
      </c>
      <c r="AA562">
        <v>0</v>
      </c>
      <c r="AC562">
        <f>AND(IF(Metadata!B562="",FALSE,TRUE),COUNTIF(Metadata!B:B, Metadata!B562) = 1,NOT(ISERROR(SUMPRODUCT(SEARCH(MID(Metadata!B562,ROW(INDIRECT("1:"&amp;LEN(Metadata!B562))), 1),"0123456789abcdefghijklmnopqrstuvwxyzABCDEFGHIJKLMNOPQRSTUVWXYZ.")))))</f>
        <v>0</v>
      </c>
      <c r="AD562">
        <f>AND(IF(Metadata!C562="",FALSE,TRUE),exact(Metadata!C562,"Host-associated"))</f>
        <v>0</v>
      </c>
      <c r="AE562">
        <f>AND(IF(Metadata!D562="",FALSE,TRUE),OR(exact(Metadata!D562,"Animal"),exact(Metadata!D562,"Fungus"),exact(Metadata!D562,"Plant")))</f>
        <v>0</v>
      </c>
      <c r="AF562">
        <f>AND(IF(Metadata!E562="",FALSE,TRUE),OR(exact(Metadata!E562,"Plant secretion"),exact(Metadata!E562,"Plant rhizosphere"),exact(Metadata!E562,"Plant surface"),exact(Metadata!E562,"Plant corpus"),exact(Metadata!E562,"Fungus surface"),exact(Metadata!E562,"Fungus corpus"),exact(Metadata!E562,"Animal surface"),exact(Metadata!E562,"Animal proximal gut"),exact(Metadata!E562,"Animal corpus"),exact(Metadata!E562,"Animal distal gut"),exact(Metadata!E562,"Animal secretion")))</f>
        <v>0</v>
      </c>
      <c r="AG562">
        <f>OR(AND(IF(Metadata!F562="",FALSE,TRUE),OR(exact(Metadata!F562,"not collected"),exact(Metadata!F562,"not provided"),exact(Metadata!F562,"restricted access"))),AND(IF(Metadata!F562="",FALSE,TRUE),OR(exact(Metadata!F562,"organism-associated habitat"),exact(Metadata!F562,"plant-associated habitat"),exact(Metadata!F562,"animal-associated habitat"),exact(Metadata!F562,"insecta-associated habitat"),exact(Metadata!F562,"mammalia-associated habitat"),exact(Metadata!F562,"human-associated habitat"),exact(Metadata!F562,"livestock-associated habitat"))))</f>
        <v>0</v>
      </c>
      <c r="AH562">
        <f>AND(IF(Metadata!G562="",FALSE,TRUE),exact(Metadata!G562,"host-associated"))</f>
        <v>0</v>
      </c>
      <c r="AI562">
        <f>OR(AND(IF(Metadata!H562="",FALSE,TRUE),OR(exact(Metadata!H562,"not collected"),exact(Metadata!H562,"not provided"))),AND(IF(Metadata!H562="",FALSE,ISNUMBER(VALUE(Metadata!H562))),Metadata!H562&gt;0))</f>
        <v>0</v>
      </c>
      <c r="AJ562">
        <f>AND(IF(Metadata!I562="",FALSE,TRUE),exact(Metadata!I562,"years"))</f>
        <v>0</v>
      </c>
      <c r="AK562">
        <f>IF(Metadata!J562="",FALSE,TRUE)</f>
        <v>0</v>
      </c>
      <c r="AL562">
        <f>OR(AND(IF(Metadata!K562="",FALSE,TRUE),OR(exact(Metadata!K562,"not collected"),exact(Metadata!K562,"not provided"))),AND(IF(Metadata!K562="",FALSE,ISNUMBER(VALUE(Metadata!K562))),Metadata!K562&gt;0))</f>
        <v>0</v>
      </c>
      <c r="AM562">
        <f>AND(IF(Metadata!L562="",FALSE,TRUE),exact(Metadata!L562,"cm"))</f>
        <v>0</v>
      </c>
      <c r="AN562">
        <f>IF(Metadata!M562="",FALSE,TRUE)</f>
        <v>0</v>
      </c>
      <c r="AO562">
        <f>OR(AND(IF(Metadata!N562="",FALSE,TRUE),OR(exact(Metadata!N562,"not applicable"),exact(Metadata!N562,"not collected"),exact(Metadata!N562,"not provided"))),AND(IF(Metadata!N562="",FALSE,IF(ISERROR(INT(Metadata!N562)),FALSE,INT(Metadata!N562)=Metadata!N562)),Metadata!N562&gt;0))</f>
        <v>0</v>
      </c>
      <c r="AP562">
        <f>OR(AND(IF(Metadata!O562="",FALSE,TRUE),OR(exact(Metadata!O562,"not collected"),exact(Metadata!O562,"not provided"))),AND(IF(Metadata!O562="",FALSE,ISNUMBER(VALUE(Metadata!O562))),Metadata!O562&gt;0))</f>
        <v>0</v>
      </c>
      <c r="AQ562">
        <f>AND(IF(Metadata!P562="",FALSE,TRUE),exact(Metadata!P562,"kg"))</f>
        <v>0</v>
      </c>
      <c r="AR562">
        <f>OR(AND(IF(Metadata!Q562="",FALSE,TRUE),OR(exact(Metadata!Q562,"not applicable"),exact(Metadata!Q562,"not collected"),exact(Metadata!Q562,"not provided"),exact(Metadata!Q562,"restricted access"))),IF(Metadata!Q562="",FALSE,IF(ISERROR(INT(Metadata!Q562)),FALSE,INT(Metadata!Q562)=Metadata!Q562)))</f>
        <v>0</v>
      </c>
      <c r="AS562">
        <f>AND(IF(Metadata!R562="",FALSE,TRUE),exact(Metadata!R562,"Not applicable"))</f>
        <v>0</v>
      </c>
    </row>
    <row r="563" spans="1:45">
      <c r="A563" s="4">
        <f>IF(B563=" "," ",HYPERLINK(CONCATENATE("#metadata!",ADDRESS(INDEX($X$2:$X$1001,MATCH(ROWS($V$2:V563),$V$2:$V$1001,0),0),2)),INDEX($AA$2:$AA$1001,MATCH(ROWS($V$2:V563),$V$2:$V$1001,0),0)))</f>
        <v>0</v>
      </c>
      <c r="B563" s="5">
        <f>IF(OR(INDEX($W$2:$W$1001,MATCH(ROWS($V$2:V563),$V$2:$V$1001,0),1)&gt;=100000,INDEX($AC$1005:$AS$1005,1,MATCH(COLUMNS($AC$1006:AC1006),$AC$1006:$AS$1006,0))&gt;=100000), " ",IF(INDEX($AC$2:$AS$1001,MATCH(ROWS($V$2:V563),$V$2:$V$1001,0),MATCH(COLUMNS($AC$1006:AC1006),$AC$1006:$AS$1006,0)), HYPERLINK("#",""), HYPERLINK(CONCATENATE("#Metadata!", ADDRESS(INDEX($X$2:$X$1001,MATCH(ROWS($V$2:V563),$V$2:$V$1001,0),0), INDEX($AC$1004:$AS$1004,1,MATCH(COLUMNS($AC$1006:AC1006),$AC$1006:$AS$1006,0)))),"Fix")))</f>
        <v>0</v>
      </c>
      <c r="C563" s="5">
        <f>IF(OR(INDEX($W$2:$W$1001,MATCH(ROWS($V$2:V563),$V$2:$V$1001,0),1)&gt;=100000,INDEX($AC$1005:$AS$1005,1,MATCH(COLUMNS($AC$1006:AD1006),$AC$1006:$AS$1006,0))&gt;=100000), " ",IF(INDEX($AC$2:$AS$1001,MATCH(ROWS($V$2:V563),$V$2:$V$1001,0),MATCH(COLUMNS($AC$1006:AD1006),$AC$1006:$AS$1006,0)), HYPERLINK("#",""), HYPERLINK(CONCATENATE("#Metadata!", ADDRESS(INDEX($X$2:$X$1001,MATCH(ROWS($V$2:V563),$V$2:$V$1001,0),0), INDEX($AC$1004:$AS$1004,1,MATCH(COLUMNS($AC$1006:AD1006),$AC$1006:$AS$1006,0)))),"Fix")))</f>
        <v>0</v>
      </c>
      <c r="D563" s="5">
        <f>IF(OR(INDEX($W$2:$W$1001,MATCH(ROWS($V$2:V563),$V$2:$V$1001,0),1)&gt;=100000,INDEX($AC$1005:$AS$1005,1,MATCH(COLUMNS($AC$1006:AE1006),$AC$1006:$AS$1006,0))&gt;=100000), " ",IF(INDEX($AC$2:$AS$1001,MATCH(ROWS($V$2:V563),$V$2:$V$1001,0),MATCH(COLUMNS($AC$1006:AE1006),$AC$1006:$AS$1006,0)), HYPERLINK("#",""), HYPERLINK(CONCATENATE("#Metadata!", ADDRESS(INDEX($X$2:$X$1001,MATCH(ROWS($V$2:V563),$V$2:$V$1001,0),0), INDEX($AC$1004:$AS$1004,1,MATCH(COLUMNS($AC$1006:AE1006),$AC$1006:$AS$1006,0)))),"Fix")))</f>
        <v>0</v>
      </c>
      <c r="E563" s="5">
        <f>IF(OR(INDEX($W$2:$W$1001,MATCH(ROWS($V$2:V563),$V$2:$V$1001,0),1)&gt;=100000,INDEX($AC$1005:$AS$1005,1,MATCH(COLUMNS($AC$1006:AF1006),$AC$1006:$AS$1006,0))&gt;=100000), " ",IF(INDEX($AC$2:$AS$1001,MATCH(ROWS($V$2:V563),$V$2:$V$1001,0),MATCH(COLUMNS($AC$1006:AF1006),$AC$1006:$AS$1006,0)), HYPERLINK("#",""), HYPERLINK(CONCATENATE("#Metadata!", ADDRESS(INDEX($X$2:$X$1001,MATCH(ROWS($V$2:V563),$V$2:$V$1001,0),0), INDEX($AC$1004:$AS$1004,1,MATCH(COLUMNS($AC$1006:AF1006),$AC$1006:$AS$1006,0)))),"Fix")))</f>
        <v>0</v>
      </c>
      <c r="F563" s="5">
        <f>IF(OR(INDEX($W$2:$W$1001,MATCH(ROWS($V$2:V563),$V$2:$V$1001,0),1)&gt;=100000,INDEX($AC$1005:$AS$1005,1,MATCH(COLUMNS($AC$1006:AG1006),$AC$1006:$AS$1006,0))&gt;=100000), " ",IF(INDEX($AC$2:$AS$1001,MATCH(ROWS($V$2:V563),$V$2:$V$1001,0),MATCH(COLUMNS($AC$1006:AG1006),$AC$1006:$AS$1006,0)), HYPERLINK("#",""), HYPERLINK(CONCATENATE("#Metadata!", ADDRESS(INDEX($X$2:$X$1001,MATCH(ROWS($V$2:V563),$V$2:$V$1001,0),0), INDEX($AC$1004:$AS$1004,1,MATCH(COLUMNS($AC$1006:AG1006),$AC$1006:$AS$1006,0)))),"Fix")))</f>
        <v>0</v>
      </c>
      <c r="G563" s="5">
        <f>IF(OR(INDEX($W$2:$W$1001,MATCH(ROWS($V$2:V563),$V$2:$V$1001,0),1)&gt;=100000,INDEX($AC$1005:$AS$1005,1,MATCH(COLUMNS($AC$1006:AH1006),$AC$1006:$AS$1006,0))&gt;=100000), " ",IF(INDEX($AC$2:$AS$1001,MATCH(ROWS($V$2:V563),$V$2:$V$1001,0),MATCH(COLUMNS($AC$1006:AH1006),$AC$1006:$AS$1006,0)), HYPERLINK("#",""), HYPERLINK(CONCATENATE("#Metadata!", ADDRESS(INDEX($X$2:$X$1001,MATCH(ROWS($V$2:V563),$V$2:$V$1001,0),0), INDEX($AC$1004:$AS$1004,1,MATCH(COLUMNS($AC$1006:AH1006),$AC$1006:$AS$1006,0)))),"Fix")))</f>
        <v>0</v>
      </c>
      <c r="H563" s="5">
        <f>IF(OR(INDEX($W$2:$W$1001,MATCH(ROWS($V$2:V563),$V$2:$V$1001,0),1)&gt;=100000,INDEX($AC$1005:$AS$1005,1,MATCH(COLUMNS($AC$1006:AI1006),$AC$1006:$AS$1006,0))&gt;=100000), " ",IF(INDEX($AC$2:$AS$1001,MATCH(ROWS($V$2:V563),$V$2:$V$1001,0),MATCH(COLUMNS($AC$1006:AI1006),$AC$1006:$AS$1006,0)), HYPERLINK("#",""), HYPERLINK(CONCATENATE("#Metadata!", ADDRESS(INDEX($X$2:$X$1001,MATCH(ROWS($V$2:V563),$V$2:$V$1001,0),0), INDEX($AC$1004:$AS$1004,1,MATCH(COLUMNS($AC$1006:AI1006),$AC$1006:$AS$1006,0)))),"Fix")))</f>
        <v>0</v>
      </c>
      <c r="I563" s="5">
        <f>IF(OR(INDEX($W$2:$W$1001,MATCH(ROWS($V$2:V563),$V$2:$V$1001,0),1)&gt;=100000,INDEX($AC$1005:$AS$1005,1,MATCH(COLUMNS($AC$1006:AJ1006),$AC$1006:$AS$1006,0))&gt;=100000), " ",IF(INDEX($AC$2:$AS$1001,MATCH(ROWS($V$2:V563),$V$2:$V$1001,0),MATCH(COLUMNS($AC$1006:AJ1006),$AC$1006:$AS$1006,0)), HYPERLINK("#",""), HYPERLINK(CONCATENATE("#Metadata!", ADDRESS(INDEX($X$2:$X$1001,MATCH(ROWS($V$2:V563),$V$2:$V$1001,0),0), INDEX($AC$1004:$AS$1004,1,MATCH(COLUMNS($AC$1006:AJ1006),$AC$1006:$AS$1006,0)))),"Fix")))</f>
        <v>0</v>
      </c>
      <c r="J563" s="5">
        <f>IF(OR(INDEX($W$2:$W$1001,MATCH(ROWS($V$2:V563),$V$2:$V$1001,0),1)&gt;=100000,INDEX($AC$1005:$AS$1005,1,MATCH(COLUMNS($AC$1006:AK1006),$AC$1006:$AS$1006,0))&gt;=100000), " ",IF(INDEX($AC$2:$AS$1001,MATCH(ROWS($V$2:V563),$V$2:$V$1001,0),MATCH(COLUMNS($AC$1006:AK1006),$AC$1006:$AS$1006,0)), HYPERLINK("#",""), HYPERLINK(CONCATENATE("#Metadata!", ADDRESS(INDEX($X$2:$X$1001,MATCH(ROWS($V$2:V563),$V$2:$V$1001,0),0), INDEX($AC$1004:$AS$1004,1,MATCH(COLUMNS($AC$1006:AK1006),$AC$1006:$AS$1006,0)))),"Fix")))</f>
        <v>0</v>
      </c>
      <c r="K563" s="5">
        <f>IF(OR(INDEX($W$2:$W$1001,MATCH(ROWS($V$2:V563),$V$2:$V$1001,0),1)&gt;=100000,INDEX($AC$1005:$AS$1005,1,MATCH(COLUMNS($AC$1006:AL1006),$AC$1006:$AS$1006,0))&gt;=100000), " ",IF(INDEX($AC$2:$AS$1001,MATCH(ROWS($V$2:V563),$V$2:$V$1001,0),MATCH(COLUMNS($AC$1006:AL1006),$AC$1006:$AS$1006,0)), HYPERLINK("#",""), HYPERLINK(CONCATENATE("#Metadata!", ADDRESS(INDEX($X$2:$X$1001,MATCH(ROWS($V$2:V563),$V$2:$V$1001,0),0), INDEX($AC$1004:$AS$1004,1,MATCH(COLUMNS($AC$1006:AL1006),$AC$1006:$AS$1006,0)))),"Fix")))</f>
        <v>0</v>
      </c>
      <c r="L563" s="5">
        <f>IF(OR(INDEX($W$2:$W$1001,MATCH(ROWS($V$2:V563),$V$2:$V$1001,0),1)&gt;=100000,INDEX($AC$1005:$AS$1005,1,MATCH(COLUMNS($AC$1006:AM1006),$AC$1006:$AS$1006,0))&gt;=100000), " ",IF(INDEX($AC$2:$AS$1001,MATCH(ROWS($V$2:V563),$V$2:$V$1001,0),MATCH(COLUMNS($AC$1006:AM1006),$AC$1006:$AS$1006,0)), HYPERLINK("#",""), HYPERLINK(CONCATENATE("#Metadata!", ADDRESS(INDEX($X$2:$X$1001,MATCH(ROWS($V$2:V563),$V$2:$V$1001,0),0), INDEX($AC$1004:$AS$1004,1,MATCH(COLUMNS($AC$1006:AM1006),$AC$1006:$AS$1006,0)))),"Fix")))</f>
        <v>0</v>
      </c>
      <c r="M563" s="5">
        <f>IF(OR(INDEX($W$2:$W$1001,MATCH(ROWS($V$2:V563),$V$2:$V$1001,0),1)&gt;=100000,INDEX($AC$1005:$AS$1005,1,MATCH(COLUMNS($AC$1006:AN1006),$AC$1006:$AS$1006,0))&gt;=100000), " ",IF(INDEX($AC$2:$AS$1001,MATCH(ROWS($V$2:V563),$V$2:$V$1001,0),MATCH(COLUMNS($AC$1006:AN1006),$AC$1006:$AS$1006,0)), HYPERLINK("#",""), HYPERLINK(CONCATENATE("#Metadata!", ADDRESS(INDEX($X$2:$X$1001,MATCH(ROWS($V$2:V563),$V$2:$V$1001,0),0), INDEX($AC$1004:$AS$1004,1,MATCH(COLUMNS($AC$1006:AN1006),$AC$1006:$AS$1006,0)))),"Fix")))</f>
        <v>0</v>
      </c>
      <c r="N563" s="5">
        <f>IF(OR(INDEX($W$2:$W$1001,MATCH(ROWS($V$2:V563),$V$2:$V$1001,0),1)&gt;=100000,INDEX($AC$1005:$AS$1005,1,MATCH(COLUMNS($AC$1006:AO1006),$AC$1006:$AS$1006,0))&gt;=100000), " ",IF(INDEX($AC$2:$AS$1001,MATCH(ROWS($V$2:V563),$V$2:$V$1001,0),MATCH(COLUMNS($AC$1006:AO1006),$AC$1006:$AS$1006,0)), HYPERLINK("#",""), HYPERLINK(CONCATENATE("#Metadata!", ADDRESS(INDEX($X$2:$X$1001,MATCH(ROWS($V$2:V563),$V$2:$V$1001,0),0), INDEX($AC$1004:$AS$1004,1,MATCH(COLUMNS($AC$1006:AO1006),$AC$1006:$AS$1006,0)))),"Fix")))</f>
        <v>0</v>
      </c>
      <c r="O563" s="5">
        <f>IF(OR(INDEX($W$2:$W$1001,MATCH(ROWS($V$2:V563),$V$2:$V$1001,0),1)&gt;=100000,INDEX($AC$1005:$AS$1005,1,MATCH(COLUMNS($AC$1006:AP1006),$AC$1006:$AS$1006,0))&gt;=100000), " ",IF(INDEX($AC$2:$AS$1001,MATCH(ROWS($V$2:V563),$V$2:$V$1001,0),MATCH(COLUMNS($AC$1006:AP1006),$AC$1006:$AS$1006,0)), HYPERLINK("#",""), HYPERLINK(CONCATENATE("#Metadata!", ADDRESS(INDEX($X$2:$X$1001,MATCH(ROWS($V$2:V563),$V$2:$V$1001,0),0), INDEX($AC$1004:$AS$1004,1,MATCH(COLUMNS($AC$1006:AP1006),$AC$1006:$AS$1006,0)))),"Fix")))</f>
        <v>0</v>
      </c>
      <c r="P563" s="5">
        <f>IF(OR(INDEX($W$2:$W$1001,MATCH(ROWS($V$2:V563),$V$2:$V$1001,0),1)&gt;=100000,INDEX($AC$1005:$AS$1005,1,MATCH(COLUMNS($AC$1006:AQ1006),$AC$1006:$AS$1006,0))&gt;=100000), " ",IF(INDEX($AC$2:$AS$1001,MATCH(ROWS($V$2:V563),$V$2:$V$1001,0),MATCH(COLUMNS($AC$1006:AQ1006),$AC$1006:$AS$1006,0)), HYPERLINK("#",""), HYPERLINK(CONCATENATE("#Metadata!", ADDRESS(INDEX($X$2:$X$1001,MATCH(ROWS($V$2:V563),$V$2:$V$1001,0),0), INDEX($AC$1004:$AS$1004,1,MATCH(COLUMNS($AC$1006:AQ1006),$AC$1006:$AS$1006,0)))),"Fix")))</f>
        <v>0</v>
      </c>
      <c r="Q563" s="5">
        <f>IF(OR(INDEX($W$2:$W$1001,MATCH(ROWS($V$2:V563),$V$2:$V$1001,0),1)&gt;=100000,INDEX($AC$1005:$AS$1005,1,MATCH(COLUMNS($AC$1006:AR1006),$AC$1006:$AS$1006,0))&gt;=100000), " ",IF(INDEX($AC$2:$AS$1001,MATCH(ROWS($V$2:V563),$V$2:$V$1001,0),MATCH(COLUMNS($AC$1006:AR1006),$AC$1006:$AS$1006,0)), HYPERLINK("#",""), HYPERLINK(CONCATENATE("#Metadata!", ADDRESS(INDEX($X$2:$X$1001,MATCH(ROWS($V$2:V563),$V$2:$V$1001,0),0), INDEX($AC$1004:$AS$1004,1,MATCH(COLUMNS($AC$1006:AR1006),$AC$1006:$AS$1006,0)))),"Fix")))</f>
        <v>0</v>
      </c>
      <c r="R563" s="5">
        <f>IF(OR(INDEX($W$2:$W$1001,MATCH(ROWS($V$2:V563),$V$2:$V$1001,0),1)&gt;=100000,INDEX($AC$1005:$AS$1005,1,MATCH(COLUMNS($AC$1006:AS1006),$AC$1006:$AS$1006,0))&gt;=100000), " ",IF(INDEX($AC$2:$AS$1001,MATCH(ROWS($V$2:V563),$V$2:$V$1001,0),MATCH(COLUMNS($AC$1006:AS1006),$AC$1006:$AS$1006,0)), HYPERLINK("#",""), HYPERLINK(CONCATENATE("#Metadata!", ADDRESS(INDEX($X$2:$X$1001,MATCH(ROWS($V$2:V563),$V$2:$V$1001,0),0), INDEX($AC$1004:$AS$1004,1,MATCH(COLUMNS($AC$1006:AS1006),$AC$1006:$AS$1006,0)))),"Fix")))</f>
        <v>0</v>
      </c>
      <c r="V563">
        <v>0</v>
      </c>
      <c r="W563">
        <v>0</v>
      </c>
      <c r="X563">
        <v>0</v>
      </c>
      <c r="Y563">
        <f>IF(Z563,TRUE,AND(AC563:AS563))</f>
        <v>0</v>
      </c>
      <c r="Z563">
        <f>COUNTBLANK(Metadata!B563:R563)=COLUMNS(Metadata!B563:R563)</f>
        <v>0</v>
      </c>
      <c r="AA563">
        <v>0</v>
      </c>
      <c r="AC563">
        <f>AND(IF(Metadata!B563="",FALSE,TRUE),COUNTIF(Metadata!B:B, Metadata!B563) = 1,NOT(ISERROR(SUMPRODUCT(SEARCH(MID(Metadata!B563,ROW(INDIRECT("1:"&amp;LEN(Metadata!B563))), 1),"0123456789abcdefghijklmnopqrstuvwxyzABCDEFGHIJKLMNOPQRSTUVWXYZ.")))))</f>
        <v>0</v>
      </c>
      <c r="AD563">
        <f>AND(IF(Metadata!C563="",FALSE,TRUE),exact(Metadata!C563,"Host-associated"))</f>
        <v>0</v>
      </c>
      <c r="AE563">
        <f>AND(IF(Metadata!D563="",FALSE,TRUE),OR(exact(Metadata!D563,"Animal"),exact(Metadata!D563,"Fungus"),exact(Metadata!D563,"Plant")))</f>
        <v>0</v>
      </c>
      <c r="AF563">
        <f>AND(IF(Metadata!E563="",FALSE,TRUE),OR(exact(Metadata!E563,"Plant secretion"),exact(Metadata!E563,"Plant rhizosphere"),exact(Metadata!E563,"Plant surface"),exact(Metadata!E563,"Plant corpus"),exact(Metadata!E563,"Fungus surface"),exact(Metadata!E563,"Fungus corpus"),exact(Metadata!E563,"Animal surface"),exact(Metadata!E563,"Animal proximal gut"),exact(Metadata!E563,"Animal corpus"),exact(Metadata!E563,"Animal distal gut"),exact(Metadata!E563,"Animal secretion")))</f>
        <v>0</v>
      </c>
      <c r="AG563">
        <f>OR(AND(IF(Metadata!F563="",FALSE,TRUE),OR(exact(Metadata!F563,"not collected"),exact(Metadata!F563,"not provided"),exact(Metadata!F563,"restricted access"))),AND(IF(Metadata!F563="",FALSE,TRUE),OR(exact(Metadata!F563,"organism-associated habitat"),exact(Metadata!F563,"plant-associated habitat"),exact(Metadata!F563,"animal-associated habitat"),exact(Metadata!F563,"insecta-associated habitat"),exact(Metadata!F563,"mammalia-associated habitat"),exact(Metadata!F563,"human-associated habitat"),exact(Metadata!F563,"livestock-associated habitat"))))</f>
        <v>0</v>
      </c>
      <c r="AH563">
        <f>AND(IF(Metadata!G563="",FALSE,TRUE),exact(Metadata!G563,"host-associated"))</f>
        <v>0</v>
      </c>
      <c r="AI563">
        <f>OR(AND(IF(Metadata!H563="",FALSE,TRUE),OR(exact(Metadata!H563,"not collected"),exact(Metadata!H563,"not provided"))),AND(IF(Metadata!H563="",FALSE,ISNUMBER(VALUE(Metadata!H563))),Metadata!H563&gt;0))</f>
        <v>0</v>
      </c>
      <c r="AJ563">
        <f>AND(IF(Metadata!I563="",FALSE,TRUE),exact(Metadata!I563,"years"))</f>
        <v>0</v>
      </c>
      <c r="AK563">
        <f>IF(Metadata!J563="",FALSE,TRUE)</f>
        <v>0</v>
      </c>
      <c r="AL563">
        <f>OR(AND(IF(Metadata!K563="",FALSE,TRUE),OR(exact(Metadata!K563,"not collected"),exact(Metadata!K563,"not provided"))),AND(IF(Metadata!K563="",FALSE,ISNUMBER(VALUE(Metadata!K563))),Metadata!K563&gt;0))</f>
        <v>0</v>
      </c>
      <c r="AM563">
        <f>AND(IF(Metadata!L563="",FALSE,TRUE),exact(Metadata!L563,"cm"))</f>
        <v>0</v>
      </c>
      <c r="AN563">
        <f>IF(Metadata!M563="",FALSE,TRUE)</f>
        <v>0</v>
      </c>
      <c r="AO563">
        <f>OR(AND(IF(Metadata!N563="",FALSE,TRUE),OR(exact(Metadata!N563,"not applicable"),exact(Metadata!N563,"not collected"),exact(Metadata!N563,"not provided"))),AND(IF(Metadata!N563="",FALSE,IF(ISERROR(INT(Metadata!N563)),FALSE,INT(Metadata!N563)=Metadata!N563)),Metadata!N563&gt;0))</f>
        <v>0</v>
      </c>
      <c r="AP563">
        <f>OR(AND(IF(Metadata!O563="",FALSE,TRUE),OR(exact(Metadata!O563,"not collected"),exact(Metadata!O563,"not provided"))),AND(IF(Metadata!O563="",FALSE,ISNUMBER(VALUE(Metadata!O563))),Metadata!O563&gt;0))</f>
        <v>0</v>
      </c>
      <c r="AQ563">
        <f>AND(IF(Metadata!P563="",FALSE,TRUE),exact(Metadata!P563,"kg"))</f>
        <v>0</v>
      </c>
      <c r="AR563">
        <f>OR(AND(IF(Metadata!Q563="",FALSE,TRUE),OR(exact(Metadata!Q563,"not applicable"),exact(Metadata!Q563,"not collected"),exact(Metadata!Q563,"not provided"),exact(Metadata!Q563,"restricted access"))),IF(Metadata!Q563="",FALSE,IF(ISERROR(INT(Metadata!Q563)),FALSE,INT(Metadata!Q563)=Metadata!Q563)))</f>
        <v>0</v>
      </c>
      <c r="AS563">
        <f>AND(IF(Metadata!R563="",FALSE,TRUE),exact(Metadata!R563,"Not applicable"))</f>
        <v>0</v>
      </c>
    </row>
    <row r="564" spans="1:45">
      <c r="A564" s="4">
        <f>IF(B564=" "," ",HYPERLINK(CONCATENATE("#metadata!",ADDRESS(INDEX($X$2:$X$1001,MATCH(ROWS($V$2:V564),$V$2:$V$1001,0),0),2)),INDEX($AA$2:$AA$1001,MATCH(ROWS($V$2:V564),$V$2:$V$1001,0),0)))</f>
        <v>0</v>
      </c>
      <c r="B564" s="5">
        <f>IF(OR(INDEX($W$2:$W$1001,MATCH(ROWS($V$2:V564),$V$2:$V$1001,0),1)&gt;=100000,INDEX($AC$1005:$AS$1005,1,MATCH(COLUMNS($AC$1006:AC1006),$AC$1006:$AS$1006,0))&gt;=100000), " ",IF(INDEX($AC$2:$AS$1001,MATCH(ROWS($V$2:V564),$V$2:$V$1001,0),MATCH(COLUMNS($AC$1006:AC1006),$AC$1006:$AS$1006,0)), HYPERLINK("#",""), HYPERLINK(CONCATENATE("#Metadata!", ADDRESS(INDEX($X$2:$X$1001,MATCH(ROWS($V$2:V564),$V$2:$V$1001,0),0), INDEX($AC$1004:$AS$1004,1,MATCH(COLUMNS($AC$1006:AC1006),$AC$1006:$AS$1006,0)))),"Fix")))</f>
        <v>0</v>
      </c>
      <c r="C564" s="5">
        <f>IF(OR(INDEX($W$2:$W$1001,MATCH(ROWS($V$2:V564),$V$2:$V$1001,0),1)&gt;=100000,INDEX($AC$1005:$AS$1005,1,MATCH(COLUMNS($AC$1006:AD1006),$AC$1006:$AS$1006,0))&gt;=100000), " ",IF(INDEX($AC$2:$AS$1001,MATCH(ROWS($V$2:V564),$V$2:$V$1001,0),MATCH(COLUMNS($AC$1006:AD1006),$AC$1006:$AS$1006,0)), HYPERLINK("#",""), HYPERLINK(CONCATENATE("#Metadata!", ADDRESS(INDEX($X$2:$X$1001,MATCH(ROWS($V$2:V564),$V$2:$V$1001,0),0), INDEX($AC$1004:$AS$1004,1,MATCH(COLUMNS($AC$1006:AD1006),$AC$1006:$AS$1006,0)))),"Fix")))</f>
        <v>0</v>
      </c>
      <c r="D564" s="5">
        <f>IF(OR(INDEX($W$2:$W$1001,MATCH(ROWS($V$2:V564),$V$2:$V$1001,0),1)&gt;=100000,INDEX($AC$1005:$AS$1005,1,MATCH(COLUMNS($AC$1006:AE1006),$AC$1006:$AS$1006,0))&gt;=100000), " ",IF(INDEX($AC$2:$AS$1001,MATCH(ROWS($V$2:V564),$V$2:$V$1001,0),MATCH(COLUMNS($AC$1006:AE1006),$AC$1006:$AS$1006,0)), HYPERLINK("#",""), HYPERLINK(CONCATENATE("#Metadata!", ADDRESS(INDEX($X$2:$X$1001,MATCH(ROWS($V$2:V564),$V$2:$V$1001,0),0), INDEX($AC$1004:$AS$1004,1,MATCH(COLUMNS($AC$1006:AE1006),$AC$1006:$AS$1006,0)))),"Fix")))</f>
        <v>0</v>
      </c>
      <c r="E564" s="5">
        <f>IF(OR(INDEX($W$2:$W$1001,MATCH(ROWS($V$2:V564),$V$2:$V$1001,0),1)&gt;=100000,INDEX($AC$1005:$AS$1005,1,MATCH(COLUMNS($AC$1006:AF1006),$AC$1006:$AS$1006,0))&gt;=100000), " ",IF(INDEX($AC$2:$AS$1001,MATCH(ROWS($V$2:V564),$V$2:$V$1001,0),MATCH(COLUMNS($AC$1006:AF1006),$AC$1006:$AS$1006,0)), HYPERLINK("#",""), HYPERLINK(CONCATENATE("#Metadata!", ADDRESS(INDEX($X$2:$X$1001,MATCH(ROWS($V$2:V564),$V$2:$V$1001,0),0), INDEX($AC$1004:$AS$1004,1,MATCH(COLUMNS($AC$1006:AF1006),$AC$1006:$AS$1006,0)))),"Fix")))</f>
        <v>0</v>
      </c>
      <c r="F564" s="5">
        <f>IF(OR(INDEX($W$2:$W$1001,MATCH(ROWS($V$2:V564),$V$2:$V$1001,0),1)&gt;=100000,INDEX($AC$1005:$AS$1005,1,MATCH(COLUMNS($AC$1006:AG1006),$AC$1006:$AS$1006,0))&gt;=100000), " ",IF(INDEX($AC$2:$AS$1001,MATCH(ROWS($V$2:V564),$V$2:$V$1001,0),MATCH(COLUMNS($AC$1006:AG1006),$AC$1006:$AS$1006,0)), HYPERLINK("#",""), HYPERLINK(CONCATENATE("#Metadata!", ADDRESS(INDEX($X$2:$X$1001,MATCH(ROWS($V$2:V564),$V$2:$V$1001,0),0), INDEX($AC$1004:$AS$1004,1,MATCH(COLUMNS($AC$1006:AG1006),$AC$1006:$AS$1006,0)))),"Fix")))</f>
        <v>0</v>
      </c>
      <c r="G564" s="5">
        <f>IF(OR(INDEX($W$2:$W$1001,MATCH(ROWS($V$2:V564),$V$2:$V$1001,0),1)&gt;=100000,INDEX($AC$1005:$AS$1005,1,MATCH(COLUMNS($AC$1006:AH1006),$AC$1006:$AS$1006,0))&gt;=100000), " ",IF(INDEX($AC$2:$AS$1001,MATCH(ROWS($V$2:V564),$V$2:$V$1001,0),MATCH(COLUMNS($AC$1006:AH1006),$AC$1006:$AS$1006,0)), HYPERLINK("#",""), HYPERLINK(CONCATENATE("#Metadata!", ADDRESS(INDEX($X$2:$X$1001,MATCH(ROWS($V$2:V564),$V$2:$V$1001,0),0), INDEX($AC$1004:$AS$1004,1,MATCH(COLUMNS($AC$1006:AH1006),$AC$1006:$AS$1006,0)))),"Fix")))</f>
        <v>0</v>
      </c>
      <c r="H564" s="5">
        <f>IF(OR(INDEX($W$2:$W$1001,MATCH(ROWS($V$2:V564),$V$2:$V$1001,0),1)&gt;=100000,INDEX($AC$1005:$AS$1005,1,MATCH(COLUMNS($AC$1006:AI1006),$AC$1006:$AS$1006,0))&gt;=100000), " ",IF(INDEX($AC$2:$AS$1001,MATCH(ROWS($V$2:V564),$V$2:$V$1001,0),MATCH(COLUMNS($AC$1006:AI1006),$AC$1006:$AS$1006,0)), HYPERLINK("#",""), HYPERLINK(CONCATENATE("#Metadata!", ADDRESS(INDEX($X$2:$X$1001,MATCH(ROWS($V$2:V564),$V$2:$V$1001,0),0), INDEX($AC$1004:$AS$1004,1,MATCH(COLUMNS($AC$1006:AI1006),$AC$1006:$AS$1006,0)))),"Fix")))</f>
        <v>0</v>
      </c>
      <c r="I564" s="5">
        <f>IF(OR(INDEX($W$2:$W$1001,MATCH(ROWS($V$2:V564),$V$2:$V$1001,0),1)&gt;=100000,INDEX($AC$1005:$AS$1005,1,MATCH(COLUMNS($AC$1006:AJ1006),$AC$1006:$AS$1006,0))&gt;=100000), " ",IF(INDEX($AC$2:$AS$1001,MATCH(ROWS($V$2:V564),$V$2:$V$1001,0),MATCH(COLUMNS($AC$1006:AJ1006),$AC$1006:$AS$1006,0)), HYPERLINK("#",""), HYPERLINK(CONCATENATE("#Metadata!", ADDRESS(INDEX($X$2:$X$1001,MATCH(ROWS($V$2:V564),$V$2:$V$1001,0),0), INDEX($AC$1004:$AS$1004,1,MATCH(COLUMNS($AC$1006:AJ1006),$AC$1006:$AS$1006,0)))),"Fix")))</f>
        <v>0</v>
      </c>
      <c r="J564" s="5">
        <f>IF(OR(INDEX($W$2:$W$1001,MATCH(ROWS($V$2:V564),$V$2:$V$1001,0),1)&gt;=100000,INDEX($AC$1005:$AS$1005,1,MATCH(COLUMNS($AC$1006:AK1006),$AC$1006:$AS$1006,0))&gt;=100000), " ",IF(INDEX($AC$2:$AS$1001,MATCH(ROWS($V$2:V564),$V$2:$V$1001,0),MATCH(COLUMNS($AC$1006:AK1006),$AC$1006:$AS$1006,0)), HYPERLINK("#",""), HYPERLINK(CONCATENATE("#Metadata!", ADDRESS(INDEX($X$2:$X$1001,MATCH(ROWS($V$2:V564),$V$2:$V$1001,0),0), INDEX($AC$1004:$AS$1004,1,MATCH(COLUMNS($AC$1006:AK1006),$AC$1006:$AS$1006,0)))),"Fix")))</f>
        <v>0</v>
      </c>
      <c r="K564" s="5">
        <f>IF(OR(INDEX($W$2:$W$1001,MATCH(ROWS($V$2:V564),$V$2:$V$1001,0),1)&gt;=100000,INDEX($AC$1005:$AS$1005,1,MATCH(COLUMNS($AC$1006:AL1006),$AC$1006:$AS$1006,0))&gt;=100000), " ",IF(INDEX($AC$2:$AS$1001,MATCH(ROWS($V$2:V564),$V$2:$V$1001,0),MATCH(COLUMNS($AC$1006:AL1006),$AC$1006:$AS$1006,0)), HYPERLINK("#",""), HYPERLINK(CONCATENATE("#Metadata!", ADDRESS(INDEX($X$2:$X$1001,MATCH(ROWS($V$2:V564),$V$2:$V$1001,0),0), INDEX($AC$1004:$AS$1004,1,MATCH(COLUMNS($AC$1006:AL1006),$AC$1006:$AS$1006,0)))),"Fix")))</f>
        <v>0</v>
      </c>
      <c r="L564" s="5">
        <f>IF(OR(INDEX($W$2:$W$1001,MATCH(ROWS($V$2:V564),$V$2:$V$1001,0),1)&gt;=100000,INDEX($AC$1005:$AS$1005,1,MATCH(COLUMNS($AC$1006:AM1006),$AC$1006:$AS$1006,0))&gt;=100000), " ",IF(INDEX($AC$2:$AS$1001,MATCH(ROWS($V$2:V564),$V$2:$V$1001,0),MATCH(COLUMNS($AC$1006:AM1006),$AC$1006:$AS$1006,0)), HYPERLINK("#",""), HYPERLINK(CONCATENATE("#Metadata!", ADDRESS(INDEX($X$2:$X$1001,MATCH(ROWS($V$2:V564),$V$2:$V$1001,0),0), INDEX($AC$1004:$AS$1004,1,MATCH(COLUMNS($AC$1006:AM1006),$AC$1006:$AS$1006,0)))),"Fix")))</f>
        <v>0</v>
      </c>
      <c r="M564" s="5">
        <f>IF(OR(INDEX($W$2:$W$1001,MATCH(ROWS($V$2:V564),$V$2:$V$1001,0),1)&gt;=100000,INDEX($AC$1005:$AS$1005,1,MATCH(COLUMNS($AC$1006:AN1006),$AC$1006:$AS$1006,0))&gt;=100000), " ",IF(INDEX($AC$2:$AS$1001,MATCH(ROWS($V$2:V564),$V$2:$V$1001,0),MATCH(COLUMNS($AC$1006:AN1006),$AC$1006:$AS$1006,0)), HYPERLINK("#",""), HYPERLINK(CONCATENATE("#Metadata!", ADDRESS(INDEX($X$2:$X$1001,MATCH(ROWS($V$2:V564),$V$2:$V$1001,0),0), INDEX($AC$1004:$AS$1004,1,MATCH(COLUMNS($AC$1006:AN1006),$AC$1006:$AS$1006,0)))),"Fix")))</f>
        <v>0</v>
      </c>
      <c r="N564" s="5">
        <f>IF(OR(INDEX($W$2:$W$1001,MATCH(ROWS($V$2:V564),$V$2:$V$1001,0),1)&gt;=100000,INDEX($AC$1005:$AS$1005,1,MATCH(COLUMNS($AC$1006:AO1006),$AC$1006:$AS$1006,0))&gt;=100000), " ",IF(INDEX($AC$2:$AS$1001,MATCH(ROWS($V$2:V564),$V$2:$V$1001,0),MATCH(COLUMNS($AC$1006:AO1006),$AC$1006:$AS$1006,0)), HYPERLINK("#",""), HYPERLINK(CONCATENATE("#Metadata!", ADDRESS(INDEX($X$2:$X$1001,MATCH(ROWS($V$2:V564),$V$2:$V$1001,0),0), INDEX($AC$1004:$AS$1004,1,MATCH(COLUMNS($AC$1006:AO1006),$AC$1006:$AS$1006,0)))),"Fix")))</f>
        <v>0</v>
      </c>
      <c r="O564" s="5">
        <f>IF(OR(INDEX($W$2:$W$1001,MATCH(ROWS($V$2:V564),$V$2:$V$1001,0),1)&gt;=100000,INDEX($AC$1005:$AS$1005,1,MATCH(COLUMNS($AC$1006:AP1006),$AC$1006:$AS$1006,0))&gt;=100000), " ",IF(INDEX($AC$2:$AS$1001,MATCH(ROWS($V$2:V564),$V$2:$V$1001,0),MATCH(COLUMNS($AC$1006:AP1006),$AC$1006:$AS$1006,0)), HYPERLINK("#",""), HYPERLINK(CONCATENATE("#Metadata!", ADDRESS(INDEX($X$2:$X$1001,MATCH(ROWS($V$2:V564),$V$2:$V$1001,0),0), INDEX($AC$1004:$AS$1004,1,MATCH(COLUMNS($AC$1006:AP1006),$AC$1006:$AS$1006,0)))),"Fix")))</f>
        <v>0</v>
      </c>
      <c r="P564" s="5">
        <f>IF(OR(INDEX($W$2:$W$1001,MATCH(ROWS($V$2:V564),$V$2:$V$1001,0),1)&gt;=100000,INDEX($AC$1005:$AS$1005,1,MATCH(COLUMNS($AC$1006:AQ1006),$AC$1006:$AS$1006,0))&gt;=100000), " ",IF(INDEX($AC$2:$AS$1001,MATCH(ROWS($V$2:V564),$V$2:$V$1001,0),MATCH(COLUMNS($AC$1006:AQ1006),$AC$1006:$AS$1006,0)), HYPERLINK("#",""), HYPERLINK(CONCATENATE("#Metadata!", ADDRESS(INDEX($X$2:$X$1001,MATCH(ROWS($V$2:V564),$V$2:$V$1001,0),0), INDEX($AC$1004:$AS$1004,1,MATCH(COLUMNS($AC$1006:AQ1006),$AC$1006:$AS$1006,0)))),"Fix")))</f>
        <v>0</v>
      </c>
      <c r="Q564" s="5">
        <f>IF(OR(INDEX($W$2:$W$1001,MATCH(ROWS($V$2:V564),$V$2:$V$1001,0),1)&gt;=100000,INDEX($AC$1005:$AS$1005,1,MATCH(COLUMNS($AC$1006:AR1006),$AC$1006:$AS$1006,0))&gt;=100000), " ",IF(INDEX($AC$2:$AS$1001,MATCH(ROWS($V$2:V564),$V$2:$V$1001,0),MATCH(COLUMNS($AC$1006:AR1006),$AC$1006:$AS$1006,0)), HYPERLINK("#",""), HYPERLINK(CONCATENATE("#Metadata!", ADDRESS(INDEX($X$2:$X$1001,MATCH(ROWS($V$2:V564),$V$2:$V$1001,0),0), INDEX($AC$1004:$AS$1004,1,MATCH(COLUMNS($AC$1006:AR1006),$AC$1006:$AS$1006,0)))),"Fix")))</f>
        <v>0</v>
      </c>
      <c r="R564" s="5">
        <f>IF(OR(INDEX($W$2:$W$1001,MATCH(ROWS($V$2:V564),$V$2:$V$1001,0),1)&gt;=100000,INDEX($AC$1005:$AS$1005,1,MATCH(COLUMNS($AC$1006:AS1006),$AC$1006:$AS$1006,0))&gt;=100000), " ",IF(INDEX($AC$2:$AS$1001,MATCH(ROWS($V$2:V564),$V$2:$V$1001,0),MATCH(COLUMNS($AC$1006:AS1006),$AC$1006:$AS$1006,0)), HYPERLINK("#",""), HYPERLINK(CONCATENATE("#Metadata!", ADDRESS(INDEX($X$2:$X$1001,MATCH(ROWS($V$2:V564),$V$2:$V$1001,0),0), INDEX($AC$1004:$AS$1004,1,MATCH(COLUMNS($AC$1006:AS1006),$AC$1006:$AS$1006,0)))),"Fix")))</f>
        <v>0</v>
      </c>
      <c r="V564">
        <v>0</v>
      </c>
      <c r="W564">
        <v>0</v>
      </c>
      <c r="X564">
        <v>0</v>
      </c>
      <c r="Y564">
        <f>IF(Z564,TRUE,AND(AC564:AS564))</f>
        <v>0</v>
      </c>
      <c r="Z564">
        <f>COUNTBLANK(Metadata!B564:R564)=COLUMNS(Metadata!B564:R564)</f>
        <v>0</v>
      </c>
      <c r="AA564">
        <v>0</v>
      </c>
      <c r="AC564">
        <f>AND(IF(Metadata!B564="",FALSE,TRUE),COUNTIF(Metadata!B:B, Metadata!B564) = 1,NOT(ISERROR(SUMPRODUCT(SEARCH(MID(Metadata!B564,ROW(INDIRECT("1:"&amp;LEN(Metadata!B564))), 1),"0123456789abcdefghijklmnopqrstuvwxyzABCDEFGHIJKLMNOPQRSTUVWXYZ.")))))</f>
        <v>0</v>
      </c>
      <c r="AD564">
        <f>AND(IF(Metadata!C564="",FALSE,TRUE),exact(Metadata!C564,"Host-associated"))</f>
        <v>0</v>
      </c>
      <c r="AE564">
        <f>AND(IF(Metadata!D564="",FALSE,TRUE),OR(exact(Metadata!D564,"Animal"),exact(Metadata!D564,"Fungus"),exact(Metadata!D564,"Plant")))</f>
        <v>0</v>
      </c>
      <c r="AF564">
        <f>AND(IF(Metadata!E564="",FALSE,TRUE),OR(exact(Metadata!E564,"Plant secretion"),exact(Metadata!E564,"Plant rhizosphere"),exact(Metadata!E564,"Plant surface"),exact(Metadata!E564,"Plant corpus"),exact(Metadata!E564,"Fungus surface"),exact(Metadata!E564,"Fungus corpus"),exact(Metadata!E564,"Animal surface"),exact(Metadata!E564,"Animal proximal gut"),exact(Metadata!E564,"Animal corpus"),exact(Metadata!E564,"Animal distal gut"),exact(Metadata!E564,"Animal secretion")))</f>
        <v>0</v>
      </c>
      <c r="AG564">
        <f>OR(AND(IF(Metadata!F564="",FALSE,TRUE),OR(exact(Metadata!F564,"not collected"),exact(Metadata!F564,"not provided"),exact(Metadata!F564,"restricted access"))),AND(IF(Metadata!F564="",FALSE,TRUE),OR(exact(Metadata!F564,"organism-associated habitat"),exact(Metadata!F564,"plant-associated habitat"),exact(Metadata!F564,"animal-associated habitat"),exact(Metadata!F564,"insecta-associated habitat"),exact(Metadata!F564,"mammalia-associated habitat"),exact(Metadata!F564,"human-associated habitat"),exact(Metadata!F564,"livestock-associated habitat"))))</f>
        <v>0</v>
      </c>
      <c r="AH564">
        <f>AND(IF(Metadata!G564="",FALSE,TRUE),exact(Metadata!G564,"host-associated"))</f>
        <v>0</v>
      </c>
      <c r="AI564">
        <f>OR(AND(IF(Metadata!H564="",FALSE,TRUE),OR(exact(Metadata!H564,"not collected"),exact(Metadata!H564,"not provided"))),AND(IF(Metadata!H564="",FALSE,ISNUMBER(VALUE(Metadata!H564))),Metadata!H564&gt;0))</f>
        <v>0</v>
      </c>
      <c r="AJ564">
        <f>AND(IF(Metadata!I564="",FALSE,TRUE),exact(Metadata!I564,"years"))</f>
        <v>0</v>
      </c>
      <c r="AK564">
        <f>IF(Metadata!J564="",FALSE,TRUE)</f>
        <v>0</v>
      </c>
      <c r="AL564">
        <f>OR(AND(IF(Metadata!K564="",FALSE,TRUE),OR(exact(Metadata!K564,"not collected"),exact(Metadata!K564,"not provided"))),AND(IF(Metadata!K564="",FALSE,ISNUMBER(VALUE(Metadata!K564))),Metadata!K564&gt;0))</f>
        <v>0</v>
      </c>
      <c r="AM564">
        <f>AND(IF(Metadata!L564="",FALSE,TRUE),exact(Metadata!L564,"cm"))</f>
        <v>0</v>
      </c>
      <c r="AN564">
        <f>IF(Metadata!M564="",FALSE,TRUE)</f>
        <v>0</v>
      </c>
      <c r="AO564">
        <f>OR(AND(IF(Metadata!N564="",FALSE,TRUE),OR(exact(Metadata!N564,"not applicable"),exact(Metadata!N564,"not collected"),exact(Metadata!N564,"not provided"))),AND(IF(Metadata!N564="",FALSE,IF(ISERROR(INT(Metadata!N564)),FALSE,INT(Metadata!N564)=Metadata!N564)),Metadata!N564&gt;0))</f>
        <v>0</v>
      </c>
      <c r="AP564">
        <f>OR(AND(IF(Metadata!O564="",FALSE,TRUE),OR(exact(Metadata!O564,"not collected"),exact(Metadata!O564,"not provided"))),AND(IF(Metadata!O564="",FALSE,ISNUMBER(VALUE(Metadata!O564))),Metadata!O564&gt;0))</f>
        <v>0</v>
      </c>
      <c r="AQ564">
        <f>AND(IF(Metadata!P564="",FALSE,TRUE),exact(Metadata!P564,"kg"))</f>
        <v>0</v>
      </c>
      <c r="AR564">
        <f>OR(AND(IF(Metadata!Q564="",FALSE,TRUE),OR(exact(Metadata!Q564,"not applicable"),exact(Metadata!Q564,"not collected"),exact(Metadata!Q564,"not provided"),exact(Metadata!Q564,"restricted access"))),IF(Metadata!Q564="",FALSE,IF(ISERROR(INT(Metadata!Q564)),FALSE,INT(Metadata!Q564)=Metadata!Q564)))</f>
        <v>0</v>
      </c>
      <c r="AS564">
        <f>AND(IF(Metadata!R564="",FALSE,TRUE),exact(Metadata!R564,"Not applicable"))</f>
        <v>0</v>
      </c>
    </row>
    <row r="565" spans="1:45">
      <c r="A565" s="4">
        <f>IF(B565=" "," ",HYPERLINK(CONCATENATE("#metadata!",ADDRESS(INDEX($X$2:$X$1001,MATCH(ROWS($V$2:V565),$V$2:$V$1001,0),0),2)),INDEX($AA$2:$AA$1001,MATCH(ROWS($V$2:V565),$V$2:$V$1001,0),0)))</f>
        <v>0</v>
      </c>
      <c r="B565" s="5">
        <f>IF(OR(INDEX($W$2:$W$1001,MATCH(ROWS($V$2:V565),$V$2:$V$1001,0),1)&gt;=100000,INDEX($AC$1005:$AS$1005,1,MATCH(COLUMNS($AC$1006:AC1006),$AC$1006:$AS$1006,0))&gt;=100000), " ",IF(INDEX($AC$2:$AS$1001,MATCH(ROWS($V$2:V565),$V$2:$V$1001,0),MATCH(COLUMNS($AC$1006:AC1006),$AC$1006:$AS$1006,0)), HYPERLINK("#",""), HYPERLINK(CONCATENATE("#Metadata!", ADDRESS(INDEX($X$2:$X$1001,MATCH(ROWS($V$2:V565),$V$2:$V$1001,0),0), INDEX($AC$1004:$AS$1004,1,MATCH(COLUMNS($AC$1006:AC1006),$AC$1006:$AS$1006,0)))),"Fix")))</f>
        <v>0</v>
      </c>
      <c r="C565" s="5">
        <f>IF(OR(INDEX($W$2:$W$1001,MATCH(ROWS($V$2:V565),$V$2:$V$1001,0),1)&gt;=100000,INDEX($AC$1005:$AS$1005,1,MATCH(COLUMNS($AC$1006:AD1006),$AC$1006:$AS$1006,0))&gt;=100000), " ",IF(INDEX($AC$2:$AS$1001,MATCH(ROWS($V$2:V565),$V$2:$V$1001,0),MATCH(COLUMNS($AC$1006:AD1006),$AC$1006:$AS$1006,0)), HYPERLINK("#",""), HYPERLINK(CONCATENATE("#Metadata!", ADDRESS(INDEX($X$2:$X$1001,MATCH(ROWS($V$2:V565),$V$2:$V$1001,0),0), INDEX($AC$1004:$AS$1004,1,MATCH(COLUMNS($AC$1006:AD1006),$AC$1006:$AS$1006,0)))),"Fix")))</f>
        <v>0</v>
      </c>
      <c r="D565" s="5">
        <f>IF(OR(INDEX($W$2:$W$1001,MATCH(ROWS($V$2:V565),$V$2:$V$1001,0),1)&gt;=100000,INDEX($AC$1005:$AS$1005,1,MATCH(COLUMNS($AC$1006:AE1006),$AC$1006:$AS$1006,0))&gt;=100000), " ",IF(INDEX($AC$2:$AS$1001,MATCH(ROWS($V$2:V565),$V$2:$V$1001,0),MATCH(COLUMNS($AC$1006:AE1006),$AC$1006:$AS$1006,0)), HYPERLINK("#",""), HYPERLINK(CONCATENATE("#Metadata!", ADDRESS(INDEX($X$2:$X$1001,MATCH(ROWS($V$2:V565),$V$2:$V$1001,0),0), INDEX($AC$1004:$AS$1004,1,MATCH(COLUMNS($AC$1006:AE1006),$AC$1006:$AS$1006,0)))),"Fix")))</f>
        <v>0</v>
      </c>
      <c r="E565" s="5">
        <f>IF(OR(INDEX($W$2:$W$1001,MATCH(ROWS($V$2:V565),$V$2:$V$1001,0),1)&gt;=100000,INDEX($AC$1005:$AS$1005,1,MATCH(COLUMNS($AC$1006:AF1006),$AC$1006:$AS$1006,0))&gt;=100000), " ",IF(INDEX($AC$2:$AS$1001,MATCH(ROWS($V$2:V565),$V$2:$V$1001,0),MATCH(COLUMNS($AC$1006:AF1006),$AC$1006:$AS$1006,0)), HYPERLINK("#",""), HYPERLINK(CONCATENATE("#Metadata!", ADDRESS(INDEX($X$2:$X$1001,MATCH(ROWS($V$2:V565),$V$2:$V$1001,0),0), INDEX($AC$1004:$AS$1004,1,MATCH(COLUMNS($AC$1006:AF1006),$AC$1006:$AS$1006,0)))),"Fix")))</f>
        <v>0</v>
      </c>
      <c r="F565" s="5">
        <f>IF(OR(INDEX($W$2:$W$1001,MATCH(ROWS($V$2:V565),$V$2:$V$1001,0),1)&gt;=100000,INDEX($AC$1005:$AS$1005,1,MATCH(COLUMNS($AC$1006:AG1006),$AC$1006:$AS$1006,0))&gt;=100000), " ",IF(INDEX($AC$2:$AS$1001,MATCH(ROWS($V$2:V565),$V$2:$V$1001,0),MATCH(COLUMNS($AC$1006:AG1006),$AC$1006:$AS$1006,0)), HYPERLINK("#",""), HYPERLINK(CONCATENATE("#Metadata!", ADDRESS(INDEX($X$2:$X$1001,MATCH(ROWS($V$2:V565),$V$2:$V$1001,0),0), INDEX($AC$1004:$AS$1004,1,MATCH(COLUMNS($AC$1006:AG1006),$AC$1006:$AS$1006,0)))),"Fix")))</f>
        <v>0</v>
      </c>
      <c r="G565" s="5">
        <f>IF(OR(INDEX($W$2:$W$1001,MATCH(ROWS($V$2:V565),$V$2:$V$1001,0),1)&gt;=100000,INDEX($AC$1005:$AS$1005,1,MATCH(COLUMNS($AC$1006:AH1006),$AC$1006:$AS$1006,0))&gt;=100000), " ",IF(INDEX($AC$2:$AS$1001,MATCH(ROWS($V$2:V565),$V$2:$V$1001,0),MATCH(COLUMNS($AC$1006:AH1006),$AC$1006:$AS$1006,0)), HYPERLINK("#",""), HYPERLINK(CONCATENATE("#Metadata!", ADDRESS(INDEX($X$2:$X$1001,MATCH(ROWS($V$2:V565),$V$2:$V$1001,0),0), INDEX($AC$1004:$AS$1004,1,MATCH(COLUMNS($AC$1006:AH1006),$AC$1006:$AS$1006,0)))),"Fix")))</f>
        <v>0</v>
      </c>
      <c r="H565" s="5">
        <f>IF(OR(INDEX($W$2:$W$1001,MATCH(ROWS($V$2:V565),$V$2:$V$1001,0),1)&gt;=100000,INDEX($AC$1005:$AS$1005,1,MATCH(COLUMNS($AC$1006:AI1006),$AC$1006:$AS$1006,0))&gt;=100000), " ",IF(INDEX($AC$2:$AS$1001,MATCH(ROWS($V$2:V565),$V$2:$V$1001,0),MATCH(COLUMNS($AC$1006:AI1006),$AC$1006:$AS$1006,0)), HYPERLINK("#",""), HYPERLINK(CONCATENATE("#Metadata!", ADDRESS(INDEX($X$2:$X$1001,MATCH(ROWS($V$2:V565),$V$2:$V$1001,0),0), INDEX($AC$1004:$AS$1004,1,MATCH(COLUMNS($AC$1006:AI1006),$AC$1006:$AS$1006,0)))),"Fix")))</f>
        <v>0</v>
      </c>
      <c r="I565" s="5">
        <f>IF(OR(INDEX($W$2:$W$1001,MATCH(ROWS($V$2:V565),$V$2:$V$1001,0),1)&gt;=100000,INDEX($AC$1005:$AS$1005,1,MATCH(COLUMNS($AC$1006:AJ1006),$AC$1006:$AS$1006,0))&gt;=100000), " ",IF(INDEX($AC$2:$AS$1001,MATCH(ROWS($V$2:V565),$V$2:$V$1001,0),MATCH(COLUMNS($AC$1006:AJ1006),$AC$1006:$AS$1006,0)), HYPERLINK("#",""), HYPERLINK(CONCATENATE("#Metadata!", ADDRESS(INDEX($X$2:$X$1001,MATCH(ROWS($V$2:V565),$V$2:$V$1001,0),0), INDEX($AC$1004:$AS$1004,1,MATCH(COLUMNS($AC$1006:AJ1006),$AC$1006:$AS$1006,0)))),"Fix")))</f>
        <v>0</v>
      </c>
      <c r="J565" s="5">
        <f>IF(OR(INDEX($W$2:$W$1001,MATCH(ROWS($V$2:V565),$V$2:$V$1001,0),1)&gt;=100000,INDEX($AC$1005:$AS$1005,1,MATCH(COLUMNS($AC$1006:AK1006),$AC$1006:$AS$1006,0))&gt;=100000), " ",IF(INDEX($AC$2:$AS$1001,MATCH(ROWS($V$2:V565),$V$2:$V$1001,0),MATCH(COLUMNS($AC$1006:AK1006),$AC$1006:$AS$1006,0)), HYPERLINK("#",""), HYPERLINK(CONCATENATE("#Metadata!", ADDRESS(INDEX($X$2:$X$1001,MATCH(ROWS($V$2:V565),$V$2:$V$1001,0),0), INDEX($AC$1004:$AS$1004,1,MATCH(COLUMNS($AC$1006:AK1006),$AC$1006:$AS$1006,0)))),"Fix")))</f>
        <v>0</v>
      </c>
      <c r="K565" s="5">
        <f>IF(OR(INDEX($W$2:$W$1001,MATCH(ROWS($V$2:V565),$V$2:$V$1001,0),1)&gt;=100000,INDEX($AC$1005:$AS$1005,1,MATCH(COLUMNS($AC$1006:AL1006),$AC$1006:$AS$1006,0))&gt;=100000), " ",IF(INDEX($AC$2:$AS$1001,MATCH(ROWS($V$2:V565),$V$2:$V$1001,0),MATCH(COLUMNS($AC$1006:AL1006),$AC$1006:$AS$1006,0)), HYPERLINK("#",""), HYPERLINK(CONCATENATE("#Metadata!", ADDRESS(INDEX($X$2:$X$1001,MATCH(ROWS($V$2:V565),$V$2:$V$1001,0),0), INDEX($AC$1004:$AS$1004,1,MATCH(COLUMNS($AC$1006:AL1006),$AC$1006:$AS$1006,0)))),"Fix")))</f>
        <v>0</v>
      </c>
      <c r="L565" s="5">
        <f>IF(OR(INDEX($W$2:$W$1001,MATCH(ROWS($V$2:V565),$V$2:$V$1001,0),1)&gt;=100000,INDEX($AC$1005:$AS$1005,1,MATCH(COLUMNS($AC$1006:AM1006),$AC$1006:$AS$1006,0))&gt;=100000), " ",IF(INDEX($AC$2:$AS$1001,MATCH(ROWS($V$2:V565),$V$2:$V$1001,0),MATCH(COLUMNS($AC$1006:AM1006),$AC$1006:$AS$1006,0)), HYPERLINK("#",""), HYPERLINK(CONCATENATE("#Metadata!", ADDRESS(INDEX($X$2:$X$1001,MATCH(ROWS($V$2:V565),$V$2:$V$1001,0),0), INDEX($AC$1004:$AS$1004,1,MATCH(COLUMNS($AC$1006:AM1006),$AC$1006:$AS$1006,0)))),"Fix")))</f>
        <v>0</v>
      </c>
      <c r="M565" s="5">
        <f>IF(OR(INDEX($W$2:$W$1001,MATCH(ROWS($V$2:V565),$V$2:$V$1001,0),1)&gt;=100000,INDEX($AC$1005:$AS$1005,1,MATCH(COLUMNS($AC$1006:AN1006),$AC$1006:$AS$1006,0))&gt;=100000), " ",IF(INDEX($AC$2:$AS$1001,MATCH(ROWS($V$2:V565),$V$2:$V$1001,0),MATCH(COLUMNS($AC$1006:AN1006),$AC$1006:$AS$1006,0)), HYPERLINK("#",""), HYPERLINK(CONCATENATE("#Metadata!", ADDRESS(INDEX($X$2:$X$1001,MATCH(ROWS($V$2:V565),$V$2:$V$1001,0),0), INDEX($AC$1004:$AS$1004,1,MATCH(COLUMNS($AC$1006:AN1006),$AC$1006:$AS$1006,0)))),"Fix")))</f>
        <v>0</v>
      </c>
      <c r="N565" s="5">
        <f>IF(OR(INDEX($W$2:$W$1001,MATCH(ROWS($V$2:V565),$V$2:$V$1001,0),1)&gt;=100000,INDEX($AC$1005:$AS$1005,1,MATCH(COLUMNS($AC$1006:AO1006),$AC$1006:$AS$1006,0))&gt;=100000), " ",IF(INDEX($AC$2:$AS$1001,MATCH(ROWS($V$2:V565),$V$2:$V$1001,0),MATCH(COLUMNS($AC$1006:AO1006),$AC$1006:$AS$1006,0)), HYPERLINK("#",""), HYPERLINK(CONCATENATE("#Metadata!", ADDRESS(INDEX($X$2:$X$1001,MATCH(ROWS($V$2:V565),$V$2:$V$1001,0),0), INDEX($AC$1004:$AS$1004,1,MATCH(COLUMNS($AC$1006:AO1006),$AC$1006:$AS$1006,0)))),"Fix")))</f>
        <v>0</v>
      </c>
      <c r="O565" s="5">
        <f>IF(OR(INDEX($W$2:$W$1001,MATCH(ROWS($V$2:V565),$V$2:$V$1001,0),1)&gt;=100000,INDEX($AC$1005:$AS$1005,1,MATCH(COLUMNS($AC$1006:AP1006),$AC$1006:$AS$1006,0))&gt;=100000), " ",IF(INDEX($AC$2:$AS$1001,MATCH(ROWS($V$2:V565),$V$2:$V$1001,0),MATCH(COLUMNS($AC$1006:AP1006),$AC$1006:$AS$1006,0)), HYPERLINK("#",""), HYPERLINK(CONCATENATE("#Metadata!", ADDRESS(INDEX($X$2:$X$1001,MATCH(ROWS($V$2:V565),$V$2:$V$1001,0),0), INDEX($AC$1004:$AS$1004,1,MATCH(COLUMNS($AC$1006:AP1006),$AC$1006:$AS$1006,0)))),"Fix")))</f>
        <v>0</v>
      </c>
      <c r="P565" s="5">
        <f>IF(OR(INDEX($W$2:$W$1001,MATCH(ROWS($V$2:V565),$V$2:$V$1001,0),1)&gt;=100000,INDEX($AC$1005:$AS$1005,1,MATCH(COLUMNS($AC$1006:AQ1006),$AC$1006:$AS$1006,0))&gt;=100000), " ",IF(INDEX($AC$2:$AS$1001,MATCH(ROWS($V$2:V565),$V$2:$V$1001,0),MATCH(COLUMNS($AC$1006:AQ1006),$AC$1006:$AS$1006,0)), HYPERLINK("#",""), HYPERLINK(CONCATENATE("#Metadata!", ADDRESS(INDEX($X$2:$X$1001,MATCH(ROWS($V$2:V565),$V$2:$V$1001,0),0), INDEX($AC$1004:$AS$1004,1,MATCH(COLUMNS($AC$1006:AQ1006),$AC$1006:$AS$1006,0)))),"Fix")))</f>
        <v>0</v>
      </c>
      <c r="Q565" s="5">
        <f>IF(OR(INDEX($W$2:$W$1001,MATCH(ROWS($V$2:V565),$V$2:$V$1001,0),1)&gt;=100000,INDEX($AC$1005:$AS$1005,1,MATCH(COLUMNS($AC$1006:AR1006),$AC$1006:$AS$1006,0))&gt;=100000), " ",IF(INDEX($AC$2:$AS$1001,MATCH(ROWS($V$2:V565),$V$2:$V$1001,0),MATCH(COLUMNS($AC$1006:AR1006),$AC$1006:$AS$1006,0)), HYPERLINK("#",""), HYPERLINK(CONCATENATE("#Metadata!", ADDRESS(INDEX($X$2:$X$1001,MATCH(ROWS($V$2:V565),$V$2:$V$1001,0),0), INDEX($AC$1004:$AS$1004,1,MATCH(COLUMNS($AC$1006:AR1006),$AC$1006:$AS$1006,0)))),"Fix")))</f>
        <v>0</v>
      </c>
      <c r="R565" s="5">
        <f>IF(OR(INDEX($W$2:$W$1001,MATCH(ROWS($V$2:V565),$V$2:$V$1001,0),1)&gt;=100000,INDEX($AC$1005:$AS$1005,1,MATCH(COLUMNS($AC$1006:AS1006),$AC$1006:$AS$1006,0))&gt;=100000), " ",IF(INDEX($AC$2:$AS$1001,MATCH(ROWS($V$2:V565),$V$2:$V$1001,0),MATCH(COLUMNS($AC$1006:AS1006),$AC$1006:$AS$1006,0)), HYPERLINK("#",""), HYPERLINK(CONCATENATE("#Metadata!", ADDRESS(INDEX($X$2:$X$1001,MATCH(ROWS($V$2:V565),$V$2:$V$1001,0),0), INDEX($AC$1004:$AS$1004,1,MATCH(COLUMNS($AC$1006:AS1006),$AC$1006:$AS$1006,0)))),"Fix")))</f>
        <v>0</v>
      </c>
      <c r="V565">
        <v>0</v>
      </c>
      <c r="W565">
        <v>0</v>
      </c>
      <c r="X565">
        <v>0</v>
      </c>
      <c r="Y565">
        <f>IF(Z565,TRUE,AND(AC565:AS565))</f>
        <v>0</v>
      </c>
      <c r="Z565">
        <f>COUNTBLANK(Metadata!B565:R565)=COLUMNS(Metadata!B565:R565)</f>
        <v>0</v>
      </c>
      <c r="AA565">
        <v>0</v>
      </c>
      <c r="AC565">
        <f>AND(IF(Metadata!B565="",FALSE,TRUE),COUNTIF(Metadata!B:B, Metadata!B565) = 1,NOT(ISERROR(SUMPRODUCT(SEARCH(MID(Metadata!B565,ROW(INDIRECT("1:"&amp;LEN(Metadata!B565))), 1),"0123456789abcdefghijklmnopqrstuvwxyzABCDEFGHIJKLMNOPQRSTUVWXYZ.")))))</f>
        <v>0</v>
      </c>
      <c r="AD565">
        <f>AND(IF(Metadata!C565="",FALSE,TRUE),exact(Metadata!C565,"Host-associated"))</f>
        <v>0</v>
      </c>
      <c r="AE565">
        <f>AND(IF(Metadata!D565="",FALSE,TRUE),OR(exact(Metadata!D565,"Animal"),exact(Metadata!D565,"Fungus"),exact(Metadata!D565,"Plant")))</f>
        <v>0</v>
      </c>
      <c r="AF565">
        <f>AND(IF(Metadata!E565="",FALSE,TRUE),OR(exact(Metadata!E565,"Plant secretion"),exact(Metadata!E565,"Plant rhizosphere"),exact(Metadata!E565,"Plant surface"),exact(Metadata!E565,"Plant corpus"),exact(Metadata!E565,"Fungus surface"),exact(Metadata!E565,"Fungus corpus"),exact(Metadata!E565,"Animal surface"),exact(Metadata!E565,"Animal proximal gut"),exact(Metadata!E565,"Animal corpus"),exact(Metadata!E565,"Animal distal gut"),exact(Metadata!E565,"Animal secretion")))</f>
        <v>0</v>
      </c>
      <c r="AG565">
        <f>OR(AND(IF(Metadata!F565="",FALSE,TRUE),OR(exact(Metadata!F565,"not collected"),exact(Metadata!F565,"not provided"),exact(Metadata!F565,"restricted access"))),AND(IF(Metadata!F565="",FALSE,TRUE),OR(exact(Metadata!F565,"organism-associated habitat"),exact(Metadata!F565,"plant-associated habitat"),exact(Metadata!F565,"animal-associated habitat"),exact(Metadata!F565,"insecta-associated habitat"),exact(Metadata!F565,"mammalia-associated habitat"),exact(Metadata!F565,"human-associated habitat"),exact(Metadata!F565,"livestock-associated habitat"))))</f>
        <v>0</v>
      </c>
      <c r="AH565">
        <f>AND(IF(Metadata!G565="",FALSE,TRUE),exact(Metadata!G565,"host-associated"))</f>
        <v>0</v>
      </c>
      <c r="AI565">
        <f>OR(AND(IF(Metadata!H565="",FALSE,TRUE),OR(exact(Metadata!H565,"not collected"),exact(Metadata!H565,"not provided"))),AND(IF(Metadata!H565="",FALSE,ISNUMBER(VALUE(Metadata!H565))),Metadata!H565&gt;0))</f>
        <v>0</v>
      </c>
      <c r="AJ565">
        <f>AND(IF(Metadata!I565="",FALSE,TRUE),exact(Metadata!I565,"years"))</f>
        <v>0</v>
      </c>
      <c r="AK565">
        <f>IF(Metadata!J565="",FALSE,TRUE)</f>
        <v>0</v>
      </c>
      <c r="AL565">
        <f>OR(AND(IF(Metadata!K565="",FALSE,TRUE),OR(exact(Metadata!K565,"not collected"),exact(Metadata!K565,"not provided"))),AND(IF(Metadata!K565="",FALSE,ISNUMBER(VALUE(Metadata!K565))),Metadata!K565&gt;0))</f>
        <v>0</v>
      </c>
      <c r="AM565">
        <f>AND(IF(Metadata!L565="",FALSE,TRUE),exact(Metadata!L565,"cm"))</f>
        <v>0</v>
      </c>
      <c r="AN565">
        <f>IF(Metadata!M565="",FALSE,TRUE)</f>
        <v>0</v>
      </c>
      <c r="AO565">
        <f>OR(AND(IF(Metadata!N565="",FALSE,TRUE),OR(exact(Metadata!N565,"not applicable"),exact(Metadata!N565,"not collected"),exact(Metadata!N565,"not provided"))),AND(IF(Metadata!N565="",FALSE,IF(ISERROR(INT(Metadata!N565)),FALSE,INT(Metadata!N565)=Metadata!N565)),Metadata!N565&gt;0))</f>
        <v>0</v>
      </c>
      <c r="AP565">
        <f>OR(AND(IF(Metadata!O565="",FALSE,TRUE),OR(exact(Metadata!O565,"not collected"),exact(Metadata!O565,"not provided"))),AND(IF(Metadata!O565="",FALSE,ISNUMBER(VALUE(Metadata!O565))),Metadata!O565&gt;0))</f>
        <v>0</v>
      </c>
      <c r="AQ565">
        <f>AND(IF(Metadata!P565="",FALSE,TRUE),exact(Metadata!P565,"kg"))</f>
        <v>0</v>
      </c>
      <c r="AR565">
        <f>OR(AND(IF(Metadata!Q565="",FALSE,TRUE),OR(exact(Metadata!Q565,"not applicable"),exact(Metadata!Q565,"not collected"),exact(Metadata!Q565,"not provided"),exact(Metadata!Q565,"restricted access"))),IF(Metadata!Q565="",FALSE,IF(ISERROR(INT(Metadata!Q565)),FALSE,INT(Metadata!Q565)=Metadata!Q565)))</f>
        <v>0</v>
      </c>
      <c r="AS565">
        <f>AND(IF(Metadata!R565="",FALSE,TRUE),exact(Metadata!R565,"Not applicable"))</f>
        <v>0</v>
      </c>
    </row>
    <row r="566" spans="1:45">
      <c r="A566" s="4">
        <f>IF(B566=" "," ",HYPERLINK(CONCATENATE("#metadata!",ADDRESS(INDEX($X$2:$X$1001,MATCH(ROWS($V$2:V566),$V$2:$V$1001,0),0),2)),INDEX($AA$2:$AA$1001,MATCH(ROWS($V$2:V566),$V$2:$V$1001,0),0)))</f>
        <v>0</v>
      </c>
      <c r="B566" s="5">
        <f>IF(OR(INDEX($W$2:$W$1001,MATCH(ROWS($V$2:V566),$V$2:$V$1001,0),1)&gt;=100000,INDEX($AC$1005:$AS$1005,1,MATCH(COLUMNS($AC$1006:AC1006),$AC$1006:$AS$1006,0))&gt;=100000), " ",IF(INDEX($AC$2:$AS$1001,MATCH(ROWS($V$2:V566),$V$2:$V$1001,0),MATCH(COLUMNS($AC$1006:AC1006),$AC$1006:$AS$1006,0)), HYPERLINK("#",""), HYPERLINK(CONCATENATE("#Metadata!", ADDRESS(INDEX($X$2:$X$1001,MATCH(ROWS($V$2:V566),$V$2:$V$1001,0),0), INDEX($AC$1004:$AS$1004,1,MATCH(COLUMNS($AC$1006:AC1006),$AC$1006:$AS$1006,0)))),"Fix")))</f>
        <v>0</v>
      </c>
      <c r="C566" s="5">
        <f>IF(OR(INDEX($W$2:$W$1001,MATCH(ROWS($V$2:V566),$V$2:$V$1001,0),1)&gt;=100000,INDEX($AC$1005:$AS$1005,1,MATCH(COLUMNS($AC$1006:AD1006),$AC$1006:$AS$1006,0))&gt;=100000), " ",IF(INDEX($AC$2:$AS$1001,MATCH(ROWS($V$2:V566),$V$2:$V$1001,0),MATCH(COLUMNS($AC$1006:AD1006),$AC$1006:$AS$1006,0)), HYPERLINK("#",""), HYPERLINK(CONCATENATE("#Metadata!", ADDRESS(INDEX($X$2:$X$1001,MATCH(ROWS($V$2:V566),$V$2:$V$1001,0),0), INDEX($AC$1004:$AS$1004,1,MATCH(COLUMNS($AC$1006:AD1006),$AC$1006:$AS$1006,0)))),"Fix")))</f>
        <v>0</v>
      </c>
      <c r="D566" s="5">
        <f>IF(OR(INDEX($W$2:$W$1001,MATCH(ROWS($V$2:V566),$V$2:$V$1001,0),1)&gt;=100000,INDEX($AC$1005:$AS$1005,1,MATCH(COLUMNS($AC$1006:AE1006),$AC$1006:$AS$1006,0))&gt;=100000), " ",IF(INDEX($AC$2:$AS$1001,MATCH(ROWS($V$2:V566),$V$2:$V$1001,0),MATCH(COLUMNS($AC$1006:AE1006),$AC$1006:$AS$1006,0)), HYPERLINK("#",""), HYPERLINK(CONCATENATE("#Metadata!", ADDRESS(INDEX($X$2:$X$1001,MATCH(ROWS($V$2:V566),$V$2:$V$1001,0),0), INDEX($AC$1004:$AS$1004,1,MATCH(COLUMNS($AC$1006:AE1006),$AC$1006:$AS$1006,0)))),"Fix")))</f>
        <v>0</v>
      </c>
      <c r="E566" s="5">
        <f>IF(OR(INDEX($W$2:$W$1001,MATCH(ROWS($V$2:V566),$V$2:$V$1001,0),1)&gt;=100000,INDEX($AC$1005:$AS$1005,1,MATCH(COLUMNS($AC$1006:AF1006),$AC$1006:$AS$1006,0))&gt;=100000), " ",IF(INDEX($AC$2:$AS$1001,MATCH(ROWS($V$2:V566),$V$2:$V$1001,0),MATCH(COLUMNS($AC$1006:AF1006),$AC$1006:$AS$1006,0)), HYPERLINK("#",""), HYPERLINK(CONCATENATE("#Metadata!", ADDRESS(INDEX($X$2:$X$1001,MATCH(ROWS($V$2:V566),$V$2:$V$1001,0),0), INDEX($AC$1004:$AS$1004,1,MATCH(COLUMNS($AC$1006:AF1006),$AC$1006:$AS$1006,0)))),"Fix")))</f>
        <v>0</v>
      </c>
      <c r="F566" s="5">
        <f>IF(OR(INDEX($W$2:$W$1001,MATCH(ROWS($V$2:V566),$V$2:$V$1001,0),1)&gt;=100000,INDEX($AC$1005:$AS$1005,1,MATCH(COLUMNS($AC$1006:AG1006),$AC$1006:$AS$1006,0))&gt;=100000), " ",IF(INDEX($AC$2:$AS$1001,MATCH(ROWS($V$2:V566),$V$2:$V$1001,0),MATCH(COLUMNS($AC$1006:AG1006),$AC$1006:$AS$1006,0)), HYPERLINK("#",""), HYPERLINK(CONCATENATE("#Metadata!", ADDRESS(INDEX($X$2:$X$1001,MATCH(ROWS($V$2:V566),$V$2:$V$1001,0),0), INDEX($AC$1004:$AS$1004,1,MATCH(COLUMNS($AC$1006:AG1006),$AC$1006:$AS$1006,0)))),"Fix")))</f>
        <v>0</v>
      </c>
      <c r="G566" s="5">
        <f>IF(OR(INDEX($W$2:$W$1001,MATCH(ROWS($V$2:V566),$V$2:$V$1001,0),1)&gt;=100000,INDEX($AC$1005:$AS$1005,1,MATCH(COLUMNS($AC$1006:AH1006),$AC$1006:$AS$1006,0))&gt;=100000), " ",IF(INDEX($AC$2:$AS$1001,MATCH(ROWS($V$2:V566),$V$2:$V$1001,0),MATCH(COLUMNS($AC$1006:AH1006),$AC$1006:$AS$1006,0)), HYPERLINK("#",""), HYPERLINK(CONCATENATE("#Metadata!", ADDRESS(INDEX($X$2:$X$1001,MATCH(ROWS($V$2:V566),$V$2:$V$1001,0),0), INDEX($AC$1004:$AS$1004,1,MATCH(COLUMNS($AC$1006:AH1006),$AC$1006:$AS$1006,0)))),"Fix")))</f>
        <v>0</v>
      </c>
      <c r="H566" s="5">
        <f>IF(OR(INDEX($W$2:$W$1001,MATCH(ROWS($V$2:V566),$V$2:$V$1001,0),1)&gt;=100000,INDEX($AC$1005:$AS$1005,1,MATCH(COLUMNS($AC$1006:AI1006),$AC$1006:$AS$1006,0))&gt;=100000), " ",IF(INDEX($AC$2:$AS$1001,MATCH(ROWS($V$2:V566),$V$2:$V$1001,0),MATCH(COLUMNS($AC$1006:AI1006),$AC$1006:$AS$1006,0)), HYPERLINK("#",""), HYPERLINK(CONCATENATE("#Metadata!", ADDRESS(INDEX($X$2:$X$1001,MATCH(ROWS($V$2:V566),$V$2:$V$1001,0),0), INDEX($AC$1004:$AS$1004,1,MATCH(COLUMNS($AC$1006:AI1006),$AC$1006:$AS$1006,0)))),"Fix")))</f>
        <v>0</v>
      </c>
      <c r="I566" s="5">
        <f>IF(OR(INDEX($W$2:$W$1001,MATCH(ROWS($V$2:V566),$V$2:$V$1001,0),1)&gt;=100000,INDEX($AC$1005:$AS$1005,1,MATCH(COLUMNS($AC$1006:AJ1006),$AC$1006:$AS$1006,0))&gt;=100000), " ",IF(INDEX($AC$2:$AS$1001,MATCH(ROWS($V$2:V566),$V$2:$V$1001,0),MATCH(COLUMNS($AC$1006:AJ1006),$AC$1006:$AS$1006,0)), HYPERLINK("#",""), HYPERLINK(CONCATENATE("#Metadata!", ADDRESS(INDEX($X$2:$X$1001,MATCH(ROWS($V$2:V566),$V$2:$V$1001,0),0), INDEX($AC$1004:$AS$1004,1,MATCH(COLUMNS($AC$1006:AJ1006),$AC$1006:$AS$1006,0)))),"Fix")))</f>
        <v>0</v>
      </c>
      <c r="J566" s="5">
        <f>IF(OR(INDEX($W$2:$W$1001,MATCH(ROWS($V$2:V566),$V$2:$V$1001,0),1)&gt;=100000,INDEX($AC$1005:$AS$1005,1,MATCH(COLUMNS($AC$1006:AK1006),$AC$1006:$AS$1006,0))&gt;=100000), " ",IF(INDEX($AC$2:$AS$1001,MATCH(ROWS($V$2:V566),$V$2:$V$1001,0),MATCH(COLUMNS($AC$1006:AK1006),$AC$1006:$AS$1006,0)), HYPERLINK("#",""), HYPERLINK(CONCATENATE("#Metadata!", ADDRESS(INDEX($X$2:$X$1001,MATCH(ROWS($V$2:V566),$V$2:$V$1001,0),0), INDEX($AC$1004:$AS$1004,1,MATCH(COLUMNS($AC$1006:AK1006),$AC$1006:$AS$1006,0)))),"Fix")))</f>
        <v>0</v>
      </c>
      <c r="K566" s="5">
        <f>IF(OR(INDEX($W$2:$W$1001,MATCH(ROWS($V$2:V566),$V$2:$V$1001,0),1)&gt;=100000,INDEX($AC$1005:$AS$1005,1,MATCH(COLUMNS($AC$1006:AL1006),$AC$1006:$AS$1006,0))&gt;=100000), " ",IF(INDEX($AC$2:$AS$1001,MATCH(ROWS($V$2:V566),$V$2:$V$1001,0),MATCH(COLUMNS($AC$1006:AL1006),$AC$1006:$AS$1006,0)), HYPERLINK("#",""), HYPERLINK(CONCATENATE("#Metadata!", ADDRESS(INDEX($X$2:$X$1001,MATCH(ROWS($V$2:V566),$V$2:$V$1001,0),0), INDEX($AC$1004:$AS$1004,1,MATCH(COLUMNS($AC$1006:AL1006),$AC$1006:$AS$1006,0)))),"Fix")))</f>
        <v>0</v>
      </c>
      <c r="L566" s="5">
        <f>IF(OR(INDEX($W$2:$W$1001,MATCH(ROWS($V$2:V566),$V$2:$V$1001,0),1)&gt;=100000,INDEX($AC$1005:$AS$1005,1,MATCH(COLUMNS($AC$1006:AM1006),$AC$1006:$AS$1006,0))&gt;=100000), " ",IF(INDEX($AC$2:$AS$1001,MATCH(ROWS($V$2:V566),$V$2:$V$1001,0),MATCH(COLUMNS($AC$1006:AM1006),$AC$1006:$AS$1006,0)), HYPERLINK("#",""), HYPERLINK(CONCATENATE("#Metadata!", ADDRESS(INDEX($X$2:$X$1001,MATCH(ROWS($V$2:V566),$V$2:$V$1001,0),0), INDEX($AC$1004:$AS$1004,1,MATCH(COLUMNS($AC$1006:AM1006),$AC$1006:$AS$1006,0)))),"Fix")))</f>
        <v>0</v>
      </c>
      <c r="M566" s="5">
        <f>IF(OR(INDEX($W$2:$W$1001,MATCH(ROWS($V$2:V566),$V$2:$V$1001,0),1)&gt;=100000,INDEX($AC$1005:$AS$1005,1,MATCH(COLUMNS($AC$1006:AN1006),$AC$1006:$AS$1006,0))&gt;=100000), " ",IF(INDEX($AC$2:$AS$1001,MATCH(ROWS($V$2:V566),$V$2:$V$1001,0),MATCH(COLUMNS($AC$1006:AN1006),$AC$1006:$AS$1006,0)), HYPERLINK("#",""), HYPERLINK(CONCATENATE("#Metadata!", ADDRESS(INDEX($X$2:$X$1001,MATCH(ROWS($V$2:V566),$V$2:$V$1001,0),0), INDEX($AC$1004:$AS$1004,1,MATCH(COLUMNS($AC$1006:AN1006),$AC$1006:$AS$1006,0)))),"Fix")))</f>
        <v>0</v>
      </c>
      <c r="N566" s="5">
        <f>IF(OR(INDEX($W$2:$W$1001,MATCH(ROWS($V$2:V566),$V$2:$V$1001,0),1)&gt;=100000,INDEX($AC$1005:$AS$1005,1,MATCH(COLUMNS($AC$1006:AO1006),$AC$1006:$AS$1006,0))&gt;=100000), " ",IF(INDEX($AC$2:$AS$1001,MATCH(ROWS($V$2:V566),$V$2:$V$1001,0),MATCH(COLUMNS($AC$1006:AO1006),$AC$1006:$AS$1006,0)), HYPERLINK("#",""), HYPERLINK(CONCATENATE("#Metadata!", ADDRESS(INDEX($X$2:$X$1001,MATCH(ROWS($V$2:V566),$V$2:$V$1001,0),0), INDEX($AC$1004:$AS$1004,1,MATCH(COLUMNS($AC$1006:AO1006),$AC$1006:$AS$1006,0)))),"Fix")))</f>
        <v>0</v>
      </c>
      <c r="O566" s="5">
        <f>IF(OR(INDEX($W$2:$W$1001,MATCH(ROWS($V$2:V566),$V$2:$V$1001,0),1)&gt;=100000,INDEX($AC$1005:$AS$1005,1,MATCH(COLUMNS($AC$1006:AP1006),$AC$1006:$AS$1006,0))&gt;=100000), " ",IF(INDEX($AC$2:$AS$1001,MATCH(ROWS($V$2:V566),$V$2:$V$1001,0),MATCH(COLUMNS($AC$1006:AP1006),$AC$1006:$AS$1006,0)), HYPERLINK("#",""), HYPERLINK(CONCATENATE("#Metadata!", ADDRESS(INDEX($X$2:$X$1001,MATCH(ROWS($V$2:V566),$V$2:$V$1001,0),0), INDEX($AC$1004:$AS$1004,1,MATCH(COLUMNS($AC$1006:AP1006),$AC$1006:$AS$1006,0)))),"Fix")))</f>
        <v>0</v>
      </c>
      <c r="P566" s="5">
        <f>IF(OR(INDEX($W$2:$W$1001,MATCH(ROWS($V$2:V566),$V$2:$V$1001,0),1)&gt;=100000,INDEX($AC$1005:$AS$1005,1,MATCH(COLUMNS($AC$1006:AQ1006),$AC$1006:$AS$1006,0))&gt;=100000), " ",IF(INDEX($AC$2:$AS$1001,MATCH(ROWS($V$2:V566),$V$2:$V$1001,0),MATCH(COLUMNS($AC$1006:AQ1006),$AC$1006:$AS$1006,0)), HYPERLINK("#",""), HYPERLINK(CONCATENATE("#Metadata!", ADDRESS(INDEX($X$2:$X$1001,MATCH(ROWS($V$2:V566),$V$2:$V$1001,0),0), INDEX($AC$1004:$AS$1004,1,MATCH(COLUMNS($AC$1006:AQ1006),$AC$1006:$AS$1006,0)))),"Fix")))</f>
        <v>0</v>
      </c>
      <c r="Q566" s="5">
        <f>IF(OR(INDEX($W$2:$W$1001,MATCH(ROWS($V$2:V566),$V$2:$V$1001,0),1)&gt;=100000,INDEX($AC$1005:$AS$1005,1,MATCH(COLUMNS($AC$1006:AR1006),$AC$1006:$AS$1006,0))&gt;=100000), " ",IF(INDEX($AC$2:$AS$1001,MATCH(ROWS($V$2:V566),$V$2:$V$1001,0),MATCH(COLUMNS($AC$1006:AR1006),$AC$1006:$AS$1006,0)), HYPERLINK("#",""), HYPERLINK(CONCATENATE("#Metadata!", ADDRESS(INDEX($X$2:$X$1001,MATCH(ROWS($V$2:V566),$V$2:$V$1001,0),0), INDEX($AC$1004:$AS$1004,1,MATCH(COLUMNS($AC$1006:AR1006),$AC$1006:$AS$1006,0)))),"Fix")))</f>
        <v>0</v>
      </c>
      <c r="R566" s="5">
        <f>IF(OR(INDEX($W$2:$W$1001,MATCH(ROWS($V$2:V566),$V$2:$V$1001,0),1)&gt;=100000,INDEX($AC$1005:$AS$1005,1,MATCH(COLUMNS($AC$1006:AS1006),$AC$1006:$AS$1006,0))&gt;=100000), " ",IF(INDEX($AC$2:$AS$1001,MATCH(ROWS($V$2:V566),$V$2:$V$1001,0),MATCH(COLUMNS($AC$1006:AS1006),$AC$1006:$AS$1006,0)), HYPERLINK("#",""), HYPERLINK(CONCATENATE("#Metadata!", ADDRESS(INDEX($X$2:$X$1001,MATCH(ROWS($V$2:V566),$V$2:$V$1001,0),0), INDEX($AC$1004:$AS$1004,1,MATCH(COLUMNS($AC$1006:AS1006),$AC$1006:$AS$1006,0)))),"Fix")))</f>
        <v>0</v>
      </c>
      <c r="V566">
        <v>0</v>
      </c>
      <c r="W566">
        <v>0</v>
      </c>
      <c r="X566">
        <v>0</v>
      </c>
      <c r="Y566">
        <f>IF(Z566,TRUE,AND(AC566:AS566))</f>
        <v>0</v>
      </c>
      <c r="Z566">
        <f>COUNTBLANK(Metadata!B566:R566)=COLUMNS(Metadata!B566:R566)</f>
        <v>0</v>
      </c>
      <c r="AA566">
        <v>0</v>
      </c>
      <c r="AC566">
        <f>AND(IF(Metadata!B566="",FALSE,TRUE),COUNTIF(Metadata!B:B, Metadata!B566) = 1,NOT(ISERROR(SUMPRODUCT(SEARCH(MID(Metadata!B566,ROW(INDIRECT("1:"&amp;LEN(Metadata!B566))), 1),"0123456789abcdefghijklmnopqrstuvwxyzABCDEFGHIJKLMNOPQRSTUVWXYZ.")))))</f>
        <v>0</v>
      </c>
      <c r="AD566">
        <f>AND(IF(Metadata!C566="",FALSE,TRUE),exact(Metadata!C566,"Host-associated"))</f>
        <v>0</v>
      </c>
      <c r="AE566">
        <f>AND(IF(Metadata!D566="",FALSE,TRUE),OR(exact(Metadata!D566,"Animal"),exact(Metadata!D566,"Fungus"),exact(Metadata!D566,"Plant")))</f>
        <v>0</v>
      </c>
      <c r="AF566">
        <f>AND(IF(Metadata!E566="",FALSE,TRUE),OR(exact(Metadata!E566,"Plant secretion"),exact(Metadata!E566,"Plant rhizosphere"),exact(Metadata!E566,"Plant surface"),exact(Metadata!E566,"Plant corpus"),exact(Metadata!E566,"Fungus surface"),exact(Metadata!E566,"Fungus corpus"),exact(Metadata!E566,"Animal surface"),exact(Metadata!E566,"Animal proximal gut"),exact(Metadata!E566,"Animal corpus"),exact(Metadata!E566,"Animal distal gut"),exact(Metadata!E566,"Animal secretion")))</f>
        <v>0</v>
      </c>
      <c r="AG566">
        <f>OR(AND(IF(Metadata!F566="",FALSE,TRUE),OR(exact(Metadata!F566,"not collected"),exact(Metadata!F566,"not provided"),exact(Metadata!F566,"restricted access"))),AND(IF(Metadata!F566="",FALSE,TRUE),OR(exact(Metadata!F566,"organism-associated habitat"),exact(Metadata!F566,"plant-associated habitat"),exact(Metadata!F566,"animal-associated habitat"),exact(Metadata!F566,"insecta-associated habitat"),exact(Metadata!F566,"mammalia-associated habitat"),exact(Metadata!F566,"human-associated habitat"),exact(Metadata!F566,"livestock-associated habitat"))))</f>
        <v>0</v>
      </c>
      <c r="AH566">
        <f>AND(IF(Metadata!G566="",FALSE,TRUE),exact(Metadata!G566,"host-associated"))</f>
        <v>0</v>
      </c>
      <c r="AI566">
        <f>OR(AND(IF(Metadata!H566="",FALSE,TRUE),OR(exact(Metadata!H566,"not collected"),exact(Metadata!H566,"not provided"))),AND(IF(Metadata!H566="",FALSE,ISNUMBER(VALUE(Metadata!H566))),Metadata!H566&gt;0))</f>
        <v>0</v>
      </c>
      <c r="AJ566">
        <f>AND(IF(Metadata!I566="",FALSE,TRUE),exact(Metadata!I566,"years"))</f>
        <v>0</v>
      </c>
      <c r="AK566">
        <f>IF(Metadata!J566="",FALSE,TRUE)</f>
        <v>0</v>
      </c>
      <c r="AL566">
        <f>OR(AND(IF(Metadata!K566="",FALSE,TRUE),OR(exact(Metadata!K566,"not collected"),exact(Metadata!K566,"not provided"))),AND(IF(Metadata!K566="",FALSE,ISNUMBER(VALUE(Metadata!K566))),Metadata!K566&gt;0))</f>
        <v>0</v>
      </c>
      <c r="AM566">
        <f>AND(IF(Metadata!L566="",FALSE,TRUE),exact(Metadata!L566,"cm"))</f>
        <v>0</v>
      </c>
      <c r="AN566">
        <f>IF(Metadata!M566="",FALSE,TRUE)</f>
        <v>0</v>
      </c>
      <c r="AO566">
        <f>OR(AND(IF(Metadata!N566="",FALSE,TRUE),OR(exact(Metadata!N566,"not applicable"),exact(Metadata!N566,"not collected"),exact(Metadata!N566,"not provided"))),AND(IF(Metadata!N566="",FALSE,IF(ISERROR(INT(Metadata!N566)),FALSE,INT(Metadata!N566)=Metadata!N566)),Metadata!N566&gt;0))</f>
        <v>0</v>
      </c>
      <c r="AP566">
        <f>OR(AND(IF(Metadata!O566="",FALSE,TRUE),OR(exact(Metadata!O566,"not collected"),exact(Metadata!O566,"not provided"))),AND(IF(Metadata!O566="",FALSE,ISNUMBER(VALUE(Metadata!O566))),Metadata!O566&gt;0))</f>
        <v>0</v>
      </c>
      <c r="AQ566">
        <f>AND(IF(Metadata!P566="",FALSE,TRUE),exact(Metadata!P566,"kg"))</f>
        <v>0</v>
      </c>
      <c r="AR566">
        <f>OR(AND(IF(Metadata!Q566="",FALSE,TRUE),OR(exact(Metadata!Q566,"not applicable"),exact(Metadata!Q566,"not collected"),exact(Metadata!Q566,"not provided"),exact(Metadata!Q566,"restricted access"))),IF(Metadata!Q566="",FALSE,IF(ISERROR(INT(Metadata!Q566)),FALSE,INT(Metadata!Q566)=Metadata!Q566)))</f>
        <v>0</v>
      </c>
      <c r="AS566">
        <f>AND(IF(Metadata!R566="",FALSE,TRUE),exact(Metadata!R566,"Not applicable"))</f>
        <v>0</v>
      </c>
    </row>
    <row r="567" spans="1:45">
      <c r="A567" s="4">
        <f>IF(B567=" "," ",HYPERLINK(CONCATENATE("#metadata!",ADDRESS(INDEX($X$2:$X$1001,MATCH(ROWS($V$2:V567),$V$2:$V$1001,0),0),2)),INDEX($AA$2:$AA$1001,MATCH(ROWS($V$2:V567),$V$2:$V$1001,0),0)))</f>
        <v>0</v>
      </c>
      <c r="B567" s="5">
        <f>IF(OR(INDEX($W$2:$W$1001,MATCH(ROWS($V$2:V567),$V$2:$V$1001,0),1)&gt;=100000,INDEX($AC$1005:$AS$1005,1,MATCH(COLUMNS($AC$1006:AC1006),$AC$1006:$AS$1006,0))&gt;=100000), " ",IF(INDEX($AC$2:$AS$1001,MATCH(ROWS($V$2:V567),$V$2:$V$1001,0),MATCH(COLUMNS($AC$1006:AC1006),$AC$1006:$AS$1006,0)), HYPERLINK("#",""), HYPERLINK(CONCATENATE("#Metadata!", ADDRESS(INDEX($X$2:$X$1001,MATCH(ROWS($V$2:V567),$V$2:$V$1001,0),0), INDEX($AC$1004:$AS$1004,1,MATCH(COLUMNS($AC$1006:AC1006),$AC$1006:$AS$1006,0)))),"Fix")))</f>
        <v>0</v>
      </c>
      <c r="C567" s="5">
        <f>IF(OR(INDEX($W$2:$W$1001,MATCH(ROWS($V$2:V567),$V$2:$V$1001,0),1)&gt;=100000,INDEX($AC$1005:$AS$1005,1,MATCH(COLUMNS($AC$1006:AD1006),$AC$1006:$AS$1006,0))&gt;=100000), " ",IF(INDEX($AC$2:$AS$1001,MATCH(ROWS($V$2:V567),$V$2:$V$1001,0),MATCH(COLUMNS($AC$1006:AD1006),$AC$1006:$AS$1006,0)), HYPERLINK("#",""), HYPERLINK(CONCATENATE("#Metadata!", ADDRESS(INDEX($X$2:$X$1001,MATCH(ROWS($V$2:V567),$V$2:$V$1001,0),0), INDEX($AC$1004:$AS$1004,1,MATCH(COLUMNS($AC$1006:AD1006),$AC$1006:$AS$1006,0)))),"Fix")))</f>
        <v>0</v>
      </c>
      <c r="D567" s="5">
        <f>IF(OR(INDEX($W$2:$W$1001,MATCH(ROWS($V$2:V567),$V$2:$V$1001,0),1)&gt;=100000,INDEX($AC$1005:$AS$1005,1,MATCH(COLUMNS($AC$1006:AE1006),$AC$1006:$AS$1006,0))&gt;=100000), " ",IF(INDEX($AC$2:$AS$1001,MATCH(ROWS($V$2:V567),$V$2:$V$1001,0),MATCH(COLUMNS($AC$1006:AE1006),$AC$1006:$AS$1006,0)), HYPERLINK("#",""), HYPERLINK(CONCATENATE("#Metadata!", ADDRESS(INDEX($X$2:$X$1001,MATCH(ROWS($V$2:V567),$V$2:$V$1001,0),0), INDEX($AC$1004:$AS$1004,1,MATCH(COLUMNS($AC$1006:AE1006),$AC$1006:$AS$1006,0)))),"Fix")))</f>
        <v>0</v>
      </c>
      <c r="E567" s="5">
        <f>IF(OR(INDEX($W$2:$W$1001,MATCH(ROWS($V$2:V567),$V$2:$V$1001,0),1)&gt;=100000,INDEX($AC$1005:$AS$1005,1,MATCH(COLUMNS($AC$1006:AF1006),$AC$1006:$AS$1006,0))&gt;=100000), " ",IF(INDEX($AC$2:$AS$1001,MATCH(ROWS($V$2:V567),$V$2:$V$1001,0),MATCH(COLUMNS($AC$1006:AF1006),$AC$1006:$AS$1006,0)), HYPERLINK("#",""), HYPERLINK(CONCATENATE("#Metadata!", ADDRESS(INDEX($X$2:$X$1001,MATCH(ROWS($V$2:V567),$V$2:$V$1001,0),0), INDEX($AC$1004:$AS$1004,1,MATCH(COLUMNS($AC$1006:AF1006),$AC$1006:$AS$1006,0)))),"Fix")))</f>
        <v>0</v>
      </c>
      <c r="F567" s="5">
        <f>IF(OR(INDEX($W$2:$W$1001,MATCH(ROWS($V$2:V567),$V$2:$V$1001,0),1)&gt;=100000,INDEX($AC$1005:$AS$1005,1,MATCH(COLUMNS($AC$1006:AG1006),$AC$1006:$AS$1006,0))&gt;=100000), " ",IF(INDEX($AC$2:$AS$1001,MATCH(ROWS($V$2:V567),$V$2:$V$1001,0),MATCH(COLUMNS($AC$1006:AG1006),$AC$1006:$AS$1006,0)), HYPERLINK("#",""), HYPERLINK(CONCATENATE("#Metadata!", ADDRESS(INDEX($X$2:$X$1001,MATCH(ROWS($V$2:V567),$V$2:$V$1001,0),0), INDEX($AC$1004:$AS$1004,1,MATCH(COLUMNS($AC$1006:AG1006),$AC$1006:$AS$1006,0)))),"Fix")))</f>
        <v>0</v>
      </c>
      <c r="G567" s="5">
        <f>IF(OR(INDEX($W$2:$W$1001,MATCH(ROWS($V$2:V567),$V$2:$V$1001,0),1)&gt;=100000,INDEX($AC$1005:$AS$1005,1,MATCH(COLUMNS($AC$1006:AH1006),$AC$1006:$AS$1006,0))&gt;=100000), " ",IF(INDEX($AC$2:$AS$1001,MATCH(ROWS($V$2:V567),$V$2:$V$1001,0),MATCH(COLUMNS($AC$1006:AH1006),$AC$1006:$AS$1006,0)), HYPERLINK("#",""), HYPERLINK(CONCATENATE("#Metadata!", ADDRESS(INDEX($X$2:$X$1001,MATCH(ROWS($V$2:V567),$V$2:$V$1001,0),0), INDEX($AC$1004:$AS$1004,1,MATCH(COLUMNS($AC$1006:AH1006),$AC$1006:$AS$1006,0)))),"Fix")))</f>
        <v>0</v>
      </c>
      <c r="H567" s="5">
        <f>IF(OR(INDEX($W$2:$W$1001,MATCH(ROWS($V$2:V567),$V$2:$V$1001,0),1)&gt;=100000,INDEX($AC$1005:$AS$1005,1,MATCH(COLUMNS($AC$1006:AI1006),$AC$1006:$AS$1006,0))&gt;=100000), " ",IF(INDEX($AC$2:$AS$1001,MATCH(ROWS($V$2:V567),$V$2:$V$1001,0),MATCH(COLUMNS($AC$1006:AI1006),$AC$1006:$AS$1006,0)), HYPERLINK("#",""), HYPERLINK(CONCATENATE("#Metadata!", ADDRESS(INDEX($X$2:$X$1001,MATCH(ROWS($V$2:V567),$V$2:$V$1001,0),0), INDEX($AC$1004:$AS$1004,1,MATCH(COLUMNS($AC$1006:AI1006),$AC$1006:$AS$1006,0)))),"Fix")))</f>
        <v>0</v>
      </c>
      <c r="I567" s="5">
        <f>IF(OR(INDEX($W$2:$W$1001,MATCH(ROWS($V$2:V567),$V$2:$V$1001,0),1)&gt;=100000,INDEX($AC$1005:$AS$1005,1,MATCH(COLUMNS($AC$1006:AJ1006),$AC$1006:$AS$1006,0))&gt;=100000), " ",IF(INDEX($AC$2:$AS$1001,MATCH(ROWS($V$2:V567),$V$2:$V$1001,0),MATCH(COLUMNS($AC$1006:AJ1006),$AC$1006:$AS$1006,0)), HYPERLINK("#",""), HYPERLINK(CONCATENATE("#Metadata!", ADDRESS(INDEX($X$2:$X$1001,MATCH(ROWS($V$2:V567),$V$2:$V$1001,0),0), INDEX($AC$1004:$AS$1004,1,MATCH(COLUMNS($AC$1006:AJ1006),$AC$1006:$AS$1006,0)))),"Fix")))</f>
        <v>0</v>
      </c>
      <c r="J567" s="5">
        <f>IF(OR(INDEX($W$2:$W$1001,MATCH(ROWS($V$2:V567),$V$2:$V$1001,0),1)&gt;=100000,INDEX($AC$1005:$AS$1005,1,MATCH(COLUMNS($AC$1006:AK1006),$AC$1006:$AS$1006,0))&gt;=100000), " ",IF(INDEX($AC$2:$AS$1001,MATCH(ROWS($V$2:V567),$V$2:$V$1001,0),MATCH(COLUMNS($AC$1006:AK1006),$AC$1006:$AS$1006,0)), HYPERLINK("#",""), HYPERLINK(CONCATENATE("#Metadata!", ADDRESS(INDEX($X$2:$X$1001,MATCH(ROWS($V$2:V567),$V$2:$V$1001,0),0), INDEX($AC$1004:$AS$1004,1,MATCH(COLUMNS($AC$1006:AK1006),$AC$1006:$AS$1006,0)))),"Fix")))</f>
        <v>0</v>
      </c>
      <c r="K567" s="5">
        <f>IF(OR(INDEX($W$2:$W$1001,MATCH(ROWS($V$2:V567),$V$2:$V$1001,0),1)&gt;=100000,INDEX($AC$1005:$AS$1005,1,MATCH(COLUMNS($AC$1006:AL1006),$AC$1006:$AS$1006,0))&gt;=100000), " ",IF(INDEX($AC$2:$AS$1001,MATCH(ROWS($V$2:V567),$V$2:$V$1001,0),MATCH(COLUMNS($AC$1006:AL1006),$AC$1006:$AS$1006,0)), HYPERLINK("#",""), HYPERLINK(CONCATENATE("#Metadata!", ADDRESS(INDEX($X$2:$X$1001,MATCH(ROWS($V$2:V567),$V$2:$V$1001,0),0), INDEX($AC$1004:$AS$1004,1,MATCH(COLUMNS($AC$1006:AL1006),$AC$1006:$AS$1006,0)))),"Fix")))</f>
        <v>0</v>
      </c>
      <c r="L567" s="5">
        <f>IF(OR(INDEX($W$2:$W$1001,MATCH(ROWS($V$2:V567),$V$2:$V$1001,0),1)&gt;=100000,INDEX($AC$1005:$AS$1005,1,MATCH(COLUMNS($AC$1006:AM1006),$AC$1006:$AS$1006,0))&gt;=100000), " ",IF(INDEX($AC$2:$AS$1001,MATCH(ROWS($V$2:V567),$V$2:$V$1001,0),MATCH(COLUMNS($AC$1006:AM1006),$AC$1006:$AS$1006,0)), HYPERLINK("#",""), HYPERLINK(CONCATENATE("#Metadata!", ADDRESS(INDEX($X$2:$X$1001,MATCH(ROWS($V$2:V567),$V$2:$V$1001,0),0), INDEX($AC$1004:$AS$1004,1,MATCH(COLUMNS($AC$1006:AM1006),$AC$1006:$AS$1006,0)))),"Fix")))</f>
        <v>0</v>
      </c>
      <c r="M567" s="5">
        <f>IF(OR(INDEX($W$2:$W$1001,MATCH(ROWS($V$2:V567),$V$2:$V$1001,0),1)&gt;=100000,INDEX($AC$1005:$AS$1005,1,MATCH(COLUMNS($AC$1006:AN1006),$AC$1006:$AS$1006,0))&gt;=100000), " ",IF(INDEX($AC$2:$AS$1001,MATCH(ROWS($V$2:V567),$V$2:$V$1001,0),MATCH(COLUMNS($AC$1006:AN1006),$AC$1006:$AS$1006,0)), HYPERLINK("#",""), HYPERLINK(CONCATENATE("#Metadata!", ADDRESS(INDEX($X$2:$X$1001,MATCH(ROWS($V$2:V567),$V$2:$V$1001,0),0), INDEX($AC$1004:$AS$1004,1,MATCH(COLUMNS($AC$1006:AN1006),$AC$1006:$AS$1006,0)))),"Fix")))</f>
        <v>0</v>
      </c>
      <c r="N567" s="5">
        <f>IF(OR(INDEX($W$2:$W$1001,MATCH(ROWS($V$2:V567),$V$2:$V$1001,0),1)&gt;=100000,INDEX($AC$1005:$AS$1005,1,MATCH(COLUMNS($AC$1006:AO1006),$AC$1006:$AS$1006,0))&gt;=100000), " ",IF(INDEX($AC$2:$AS$1001,MATCH(ROWS($V$2:V567),$V$2:$V$1001,0),MATCH(COLUMNS($AC$1006:AO1006),$AC$1006:$AS$1006,0)), HYPERLINK("#",""), HYPERLINK(CONCATENATE("#Metadata!", ADDRESS(INDEX($X$2:$X$1001,MATCH(ROWS($V$2:V567),$V$2:$V$1001,0),0), INDEX($AC$1004:$AS$1004,1,MATCH(COLUMNS($AC$1006:AO1006),$AC$1006:$AS$1006,0)))),"Fix")))</f>
        <v>0</v>
      </c>
      <c r="O567" s="5">
        <f>IF(OR(INDEX($W$2:$W$1001,MATCH(ROWS($V$2:V567),$V$2:$V$1001,0),1)&gt;=100000,INDEX($AC$1005:$AS$1005,1,MATCH(COLUMNS($AC$1006:AP1006),$AC$1006:$AS$1006,0))&gt;=100000), " ",IF(INDEX($AC$2:$AS$1001,MATCH(ROWS($V$2:V567),$V$2:$V$1001,0),MATCH(COLUMNS($AC$1006:AP1006),$AC$1006:$AS$1006,0)), HYPERLINK("#",""), HYPERLINK(CONCATENATE("#Metadata!", ADDRESS(INDEX($X$2:$X$1001,MATCH(ROWS($V$2:V567),$V$2:$V$1001,0),0), INDEX($AC$1004:$AS$1004,1,MATCH(COLUMNS($AC$1006:AP1006),$AC$1006:$AS$1006,0)))),"Fix")))</f>
        <v>0</v>
      </c>
      <c r="P567" s="5">
        <f>IF(OR(INDEX($W$2:$W$1001,MATCH(ROWS($V$2:V567),$V$2:$V$1001,0),1)&gt;=100000,INDEX($AC$1005:$AS$1005,1,MATCH(COLUMNS($AC$1006:AQ1006),$AC$1006:$AS$1006,0))&gt;=100000), " ",IF(INDEX($AC$2:$AS$1001,MATCH(ROWS($V$2:V567),$V$2:$V$1001,0),MATCH(COLUMNS($AC$1006:AQ1006),$AC$1006:$AS$1006,0)), HYPERLINK("#",""), HYPERLINK(CONCATENATE("#Metadata!", ADDRESS(INDEX($X$2:$X$1001,MATCH(ROWS($V$2:V567),$V$2:$V$1001,0),0), INDEX($AC$1004:$AS$1004,1,MATCH(COLUMNS($AC$1006:AQ1006),$AC$1006:$AS$1006,0)))),"Fix")))</f>
        <v>0</v>
      </c>
      <c r="Q567" s="5">
        <f>IF(OR(INDEX($W$2:$W$1001,MATCH(ROWS($V$2:V567),$V$2:$V$1001,0),1)&gt;=100000,INDEX($AC$1005:$AS$1005,1,MATCH(COLUMNS($AC$1006:AR1006),$AC$1006:$AS$1006,0))&gt;=100000), " ",IF(INDEX($AC$2:$AS$1001,MATCH(ROWS($V$2:V567),$V$2:$V$1001,0),MATCH(COLUMNS($AC$1006:AR1006),$AC$1006:$AS$1006,0)), HYPERLINK("#",""), HYPERLINK(CONCATENATE("#Metadata!", ADDRESS(INDEX($X$2:$X$1001,MATCH(ROWS($V$2:V567),$V$2:$V$1001,0),0), INDEX($AC$1004:$AS$1004,1,MATCH(COLUMNS($AC$1006:AR1006),$AC$1006:$AS$1006,0)))),"Fix")))</f>
        <v>0</v>
      </c>
      <c r="R567" s="5">
        <f>IF(OR(INDEX($W$2:$W$1001,MATCH(ROWS($V$2:V567),$V$2:$V$1001,0),1)&gt;=100000,INDEX($AC$1005:$AS$1005,1,MATCH(COLUMNS($AC$1006:AS1006),$AC$1006:$AS$1006,0))&gt;=100000), " ",IF(INDEX($AC$2:$AS$1001,MATCH(ROWS($V$2:V567),$V$2:$V$1001,0),MATCH(COLUMNS($AC$1006:AS1006),$AC$1006:$AS$1006,0)), HYPERLINK("#",""), HYPERLINK(CONCATENATE("#Metadata!", ADDRESS(INDEX($X$2:$X$1001,MATCH(ROWS($V$2:V567),$V$2:$V$1001,0),0), INDEX($AC$1004:$AS$1004,1,MATCH(COLUMNS($AC$1006:AS1006),$AC$1006:$AS$1006,0)))),"Fix")))</f>
        <v>0</v>
      </c>
      <c r="V567">
        <v>0</v>
      </c>
      <c r="W567">
        <v>0</v>
      </c>
      <c r="X567">
        <v>0</v>
      </c>
      <c r="Y567">
        <f>IF(Z567,TRUE,AND(AC567:AS567))</f>
        <v>0</v>
      </c>
      <c r="Z567">
        <f>COUNTBLANK(Metadata!B567:R567)=COLUMNS(Metadata!B567:R567)</f>
        <v>0</v>
      </c>
      <c r="AA567">
        <v>0</v>
      </c>
      <c r="AC567">
        <f>AND(IF(Metadata!B567="",FALSE,TRUE),COUNTIF(Metadata!B:B, Metadata!B567) = 1,NOT(ISERROR(SUMPRODUCT(SEARCH(MID(Metadata!B567,ROW(INDIRECT("1:"&amp;LEN(Metadata!B567))), 1),"0123456789abcdefghijklmnopqrstuvwxyzABCDEFGHIJKLMNOPQRSTUVWXYZ.")))))</f>
        <v>0</v>
      </c>
      <c r="AD567">
        <f>AND(IF(Metadata!C567="",FALSE,TRUE),exact(Metadata!C567,"Host-associated"))</f>
        <v>0</v>
      </c>
      <c r="AE567">
        <f>AND(IF(Metadata!D567="",FALSE,TRUE),OR(exact(Metadata!D567,"Animal"),exact(Metadata!D567,"Fungus"),exact(Metadata!D567,"Plant")))</f>
        <v>0</v>
      </c>
      <c r="AF567">
        <f>AND(IF(Metadata!E567="",FALSE,TRUE),OR(exact(Metadata!E567,"Plant secretion"),exact(Metadata!E567,"Plant rhizosphere"),exact(Metadata!E567,"Plant surface"),exact(Metadata!E567,"Plant corpus"),exact(Metadata!E567,"Fungus surface"),exact(Metadata!E567,"Fungus corpus"),exact(Metadata!E567,"Animal surface"),exact(Metadata!E567,"Animal proximal gut"),exact(Metadata!E567,"Animal corpus"),exact(Metadata!E567,"Animal distal gut"),exact(Metadata!E567,"Animal secretion")))</f>
        <v>0</v>
      </c>
      <c r="AG567">
        <f>OR(AND(IF(Metadata!F567="",FALSE,TRUE),OR(exact(Metadata!F567,"not collected"),exact(Metadata!F567,"not provided"),exact(Metadata!F567,"restricted access"))),AND(IF(Metadata!F567="",FALSE,TRUE),OR(exact(Metadata!F567,"organism-associated habitat"),exact(Metadata!F567,"plant-associated habitat"),exact(Metadata!F567,"animal-associated habitat"),exact(Metadata!F567,"insecta-associated habitat"),exact(Metadata!F567,"mammalia-associated habitat"),exact(Metadata!F567,"human-associated habitat"),exact(Metadata!F567,"livestock-associated habitat"))))</f>
        <v>0</v>
      </c>
      <c r="AH567">
        <f>AND(IF(Metadata!G567="",FALSE,TRUE),exact(Metadata!G567,"host-associated"))</f>
        <v>0</v>
      </c>
      <c r="AI567">
        <f>OR(AND(IF(Metadata!H567="",FALSE,TRUE),OR(exact(Metadata!H567,"not collected"),exact(Metadata!H567,"not provided"))),AND(IF(Metadata!H567="",FALSE,ISNUMBER(VALUE(Metadata!H567))),Metadata!H567&gt;0))</f>
        <v>0</v>
      </c>
      <c r="AJ567">
        <f>AND(IF(Metadata!I567="",FALSE,TRUE),exact(Metadata!I567,"years"))</f>
        <v>0</v>
      </c>
      <c r="AK567">
        <f>IF(Metadata!J567="",FALSE,TRUE)</f>
        <v>0</v>
      </c>
      <c r="AL567">
        <f>OR(AND(IF(Metadata!K567="",FALSE,TRUE),OR(exact(Metadata!K567,"not collected"),exact(Metadata!K567,"not provided"))),AND(IF(Metadata!K567="",FALSE,ISNUMBER(VALUE(Metadata!K567))),Metadata!K567&gt;0))</f>
        <v>0</v>
      </c>
      <c r="AM567">
        <f>AND(IF(Metadata!L567="",FALSE,TRUE),exact(Metadata!L567,"cm"))</f>
        <v>0</v>
      </c>
      <c r="AN567">
        <f>IF(Metadata!M567="",FALSE,TRUE)</f>
        <v>0</v>
      </c>
      <c r="AO567">
        <f>OR(AND(IF(Metadata!N567="",FALSE,TRUE),OR(exact(Metadata!N567,"not applicable"),exact(Metadata!N567,"not collected"),exact(Metadata!N567,"not provided"))),AND(IF(Metadata!N567="",FALSE,IF(ISERROR(INT(Metadata!N567)),FALSE,INT(Metadata!N567)=Metadata!N567)),Metadata!N567&gt;0))</f>
        <v>0</v>
      </c>
      <c r="AP567">
        <f>OR(AND(IF(Metadata!O567="",FALSE,TRUE),OR(exact(Metadata!O567,"not collected"),exact(Metadata!O567,"not provided"))),AND(IF(Metadata!O567="",FALSE,ISNUMBER(VALUE(Metadata!O567))),Metadata!O567&gt;0))</f>
        <v>0</v>
      </c>
      <c r="AQ567">
        <f>AND(IF(Metadata!P567="",FALSE,TRUE),exact(Metadata!P567,"kg"))</f>
        <v>0</v>
      </c>
      <c r="AR567">
        <f>OR(AND(IF(Metadata!Q567="",FALSE,TRUE),OR(exact(Metadata!Q567,"not applicable"),exact(Metadata!Q567,"not collected"),exact(Metadata!Q567,"not provided"),exact(Metadata!Q567,"restricted access"))),IF(Metadata!Q567="",FALSE,IF(ISERROR(INT(Metadata!Q567)),FALSE,INT(Metadata!Q567)=Metadata!Q567)))</f>
        <v>0</v>
      </c>
      <c r="AS567">
        <f>AND(IF(Metadata!R567="",FALSE,TRUE),exact(Metadata!R567,"Not applicable"))</f>
        <v>0</v>
      </c>
    </row>
    <row r="568" spans="1:45">
      <c r="A568" s="4">
        <f>IF(B568=" "," ",HYPERLINK(CONCATENATE("#metadata!",ADDRESS(INDEX($X$2:$X$1001,MATCH(ROWS($V$2:V568),$V$2:$V$1001,0),0),2)),INDEX($AA$2:$AA$1001,MATCH(ROWS($V$2:V568),$V$2:$V$1001,0),0)))</f>
        <v>0</v>
      </c>
      <c r="B568" s="5">
        <f>IF(OR(INDEX($W$2:$W$1001,MATCH(ROWS($V$2:V568),$V$2:$V$1001,0),1)&gt;=100000,INDEX($AC$1005:$AS$1005,1,MATCH(COLUMNS($AC$1006:AC1006),$AC$1006:$AS$1006,0))&gt;=100000), " ",IF(INDEX($AC$2:$AS$1001,MATCH(ROWS($V$2:V568),$V$2:$V$1001,0),MATCH(COLUMNS($AC$1006:AC1006),$AC$1006:$AS$1006,0)), HYPERLINK("#",""), HYPERLINK(CONCATENATE("#Metadata!", ADDRESS(INDEX($X$2:$X$1001,MATCH(ROWS($V$2:V568),$V$2:$V$1001,0),0), INDEX($AC$1004:$AS$1004,1,MATCH(COLUMNS($AC$1006:AC1006),$AC$1006:$AS$1006,0)))),"Fix")))</f>
        <v>0</v>
      </c>
      <c r="C568" s="5">
        <f>IF(OR(INDEX($W$2:$W$1001,MATCH(ROWS($V$2:V568),$V$2:$V$1001,0),1)&gt;=100000,INDEX($AC$1005:$AS$1005,1,MATCH(COLUMNS($AC$1006:AD1006),$AC$1006:$AS$1006,0))&gt;=100000), " ",IF(INDEX($AC$2:$AS$1001,MATCH(ROWS($V$2:V568),$V$2:$V$1001,0),MATCH(COLUMNS($AC$1006:AD1006),$AC$1006:$AS$1006,0)), HYPERLINK("#",""), HYPERLINK(CONCATENATE("#Metadata!", ADDRESS(INDEX($X$2:$X$1001,MATCH(ROWS($V$2:V568),$V$2:$V$1001,0),0), INDEX($AC$1004:$AS$1004,1,MATCH(COLUMNS($AC$1006:AD1006),$AC$1006:$AS$1006,0)))),"Fix")))</f>
        <v>0</v>
      </c>
      <c r="D568" s="5">
        <f>IF(OR(INDEX($W$2:$W$1001,MATCH(ROWS($V$2:V568),$V$2:$V$1001,0),1)&gt;=100000,INDEX($AC$1005:$AS$1005,1,MATCH(COLUMNS($AC$1006:AE1006),$AC$1006:$AS$1006,0))&gt;=100000), " ",IF(INDEX($AC$2:$AS$1001,MATCH(ROWS($V$2:V568),$V$2:$V$1001,0),MATCH(COLUMNS($AC$1006:AE1006),$AC$1006:$AS$1006,0)), HYPERLINK("#",""), HYPERLINK(CONCATENATE("#Metadata!", ADDRESS(INDEX($X$2:$X$1001,MATCH(ROWS($V$2:V568),$V$2:$V$1001,0),0), INDEX($AC$1004:$AS$1004,1,MATCH(COLUMNS($AC$1006:AE1006),$AC$1006:$AS$1006,0)))),"Fix")))</f>
        <v>0</v>
      </c>
      <c r="E568" s="5">
        <f>IF(OR(INDEX($W$2:$W$1001,MATCH(ROWS($V$2:V568),$V$2:$V$1001,0),1)&gt;=100000,INDEX($AC$1005:$AS$1005,1,MATCH(COLUMNS($AC$1006:AF1006),$AC$1006:$AS$1006,0))&gt;=100000), " ",IF(INDEX($AC$2:$AS$1001,MATCH(ROWS($V$2:V568),$V$2:$V$1001,0),MATCH(COLUMNS($AC$1006:AF1006),$AC$1006:$AS$1006,0)), HYPERLINK("#",""), HYPERLINK(CONCATENATE("#Metadata!", ADDRESS(INDEX($X$2:$X$1001,MATCH(ROWS($V$2:V568),$V$2:$V$1001,0),0), INDEX($AC$1004:$AS$1004,1,MATCH(COLUMNS($AC$1006:AF1006),$AC$1006:$AS$1006,0)))),"Fix")))</f>
        <v>0</v>
      </c>
      <c r="F568" s="5">
        <f>IF(OR(INDEX($W$2:$W$1001,MATCH(ROWS($V$2:V568),$V$2:$V$1001,0),1)&gt;=100000,INDEX($AC$1005:$AS$1005,1,MATCH(COLUMNS($AC$1006:AG1006),$AC$1006:$AS$1006,0))&gt;=100000), " ",IF(INDEX($AC$2:$AS$1001,MATCH(ROWS($V$2:V568),$V$2:$V$1001,0),MATCH(COLUMNS($AC$1006:AG1006),$AC$1006:$AS$1006,0)), HYPERLINK("#",""), HYPERLINK(CONCATENATE("#Metadata!", ADDRESS(INDEX($X$2:$X$1001,MATCH(ROWS($V$2:V568),$V$2:$V$1001,0),0), INDEX($AC$1004:$AS$1004,1,MATCH(COLUMNS($AC$1006:AG1006),$AC$1006:$AS$1006,0)))),"Fix")))</f>
        <v>0</v>
      </c>
      <c r="G568" s="5">
        <f>IF(OR(INDEX($W$2:$W$1001,MATCH(ROWS($V$2:V568),$V$2:$V$1001,0),1)&gt;=100000,INDEX($AC$1005:$AS$1005,1,MATCH(COLUMNS($AC$1006:AH1006),$AC$1006:$AS$1006,0))&gt;=100000), " ",IF(INDEX($AC$2:$AS$1001,MATCH(ROWS($V$2:V568),$V$2:$V$1001,0),MATCH(COLUMNS($AC$1006:AH1006),$AC$1006:$AS$1006,0)), HYPERLINK("#",""), HYPERLINK(CONCATENATE("#Metadata!", ADDRESS(INDEX($X$2:$X$1001,MATCH(ROWS($V$2:V568),$V$2:$V$1001,0),0), INDEX($AC$1004:$AS$1004,1,MATCH(COLUMNS($AC$1006:AH1006),$AC$1006:$AS$1006,0)))),"Fix")))</f>
        <v>0</v>
      </c>
      <c r="H568" s="5">
        <f>IF(OR(INDEX($W$2:$W$1001,MATCH(ROWS($V$2:V568),$V$2:$V$1001,0),1)&gt;=100000,INDEX($AC$1005:$AS$1005,1,MATCH(COLUMNS($AC$1006:AI1006),$AC$1006:$AS$1006,0))&gt;=100000), " ",IF(INDEX($AC$2:$AS$1001,MATCH(ROWS($V$2:V568),$V$2:$V$1001,0),MATCH(COLUMNS($AC$1006:AI1006),$AC$1006:$AS$1006,0)), HYPERLINK("#",""), HYPERLINK(CONCATENATE("#Metadata!", ADDRESS(INDEX($X$2:$X$1001,MATCH(ROWS($V$2:V568),$V$2:$V$1001,0),0), INDEX($AC$1004:$AS$1004,1,MATCH(COLUMNS($AC$1006:AI1006),$AC$1006:$AS$1006,0)))),"Fix")))</f>
        <v>0</v>
      </c>
      <c r="I568" s="5">
        <f>IF(OR(INDEX($W$2:$W$1001,MATCH(ROWS($V$2:V568),$V$2:$V$1001,0),1)&gt;=100000,INDEX($AC$1005:$AS$1005,1,MATCH(COLUMNS($AC$1006:AJ1006),$AC$1006:$AS$1006,0))&gt;=100000), " ",IF(INDEX($AC$2:$AS$1001,MATCH(ROWS($V$2:V568),$V$2:$V$1001,0),MATCH(COLUMNS($AC$1006:AJ1006),$AC$1006:$AS$1006,0)), HYPERLINK("#",""), HYPERLINK(CONCATENATE("#Metadata!", ADDRESS(INDEX($X$2:$X$1001,MATCH(ROWS($V$2:V568),$V$2:$V$1001,0),0), INDEX($AC$1004:$AS$1004,1,MATCH(COLUMNS($AC$1006:AJ1006),$AC$1006:$AS$1006,0)))),"Fix")))</f>
        <v>0</v>
      </c>
      <c r="J568" s="5">
        <f>IF(OR(INDEX($W$2:$W$1001,MATCH(ROWS($V$2:V568),$V$2:$V$1001,0),1)&gt;=100000,INDEX($AC$1005:$AS$1005,1,MATCH(COLUMNS($AC$1006:AK1006),$AC$1006:$AS$1006,0))&gt;=100000), " ",IF(INDEX($AC$2:$AS$1001,MATCH(ROWS($V$2:V568),$V$2:$V$1001,0),MATCH(COLUMNS($AC$1006:AK1006),$AC$1006:$AS$1006,0)), HYPERLINK("#",""), HYPERLINK(CONCATENATE("#Metadata!", ADDRESS(INDEX($X$2:$X$1001,MATCH(ROWS($V$2:V568),$V$2:$V$1001,0),0), INDEX($AC$1004:$AS$1004,1,MATCH(COLUMNS($AC$1006:AK1006),$AC$1006:$AS$1006,0)))),"Fix")))</f>
        <v>0</v>
      </c>
      <c r="K568" s="5">
        <f>IF(OR(INDEX($W$2:$W$1001,MATCH(ROWS($V$2:V568),$V$2:$V$1001,0),1)&gt;=100000,INDEX($AC$1005:$AS$1005,1,MATCH(COLUMNS($AC$1006:AL1006),$AC$1006:$AS$1006,0))&gt;=100000), " ",IF(INDEX($AC$2:$AS$1001,MATCH(ROWS($V$2:V568),$V$2:$V$1001,0),MATCH(COLUMNS($AC$1006:AL1006),$AC$1006:$AS$1006,0)), HYPERLINK("#",""), HYPERLINK(CONCATENATE("#Metadata!", ADDRESS(INDEX($X$2:$X$1001,MATCH(ROWS($V$2:V568),$V$2:$V$1001,0),0), INDEX($AC$1004:$AS$1004,1,MATCH(COLUMNS($AC$1006:AL1006),$AC$1006:$AS$1006,0)))),"Fix")))</f>
        <v>0</v>
      </c>
      <c r="L568" s="5">
        <f>IF(OR(INDEX($W$2:$W$1001,MATCH(ROWS($V$2:V568),$V$2:$V$1001,0),1)&gt;=100000,INDEX($AC$1005:$AS$1005,1,MATCH(COLUMNS($AC$1006:AM1006),$AC$1006:$AS$1006,0))&gt;=100000), " ",IF(INDEX($AC$2:$AS$1001,MATCH(ROWS($V$2:V568),$V$2:$V$1001,0),MATCH(COLUMNS($AC$1006:AM1006),$AC$1006:$AS$1006,0)), HYPERLINK("#",""), HYPERLINK(CONCATENATE("#Metadata!", ADDRESS(INDEX($X$2:$X$1001,MATCH(ROWS($V$2:V568),$V$2:$V$1001,0),0), INDEX($AC$1004:$AS$1004,1,MATCH(COLUMNS($AC$1006:AM1006),$AC$1006:$AS$1006,0)))),"Fix")))</f>
        <v>0</v>
      </c>
      <c r="M568" s="5">
        <f>IF(OR(INDEX($W$2:$W$1001,MATCH(ROWS($V$2:V568),$V$2:$V$1001,0),1)&gt;=100000,INDEX($AC$1005:$AS$1005,1,MATCH(COLUMNS($AC$1006:AN1006),$AC$1006:$AS$1006,0))&gt;=100000), " ",IF(INDEX($AC$2:$AS$1001,MATCH(ROWS($V$2:V568),$V$2:$V$1001,0),MATCH(COLUMNS($AC$1006:AN1006),$AC$1006:$AS$1006,0)), HYPERLINK("#",""), HYPERLINK(CONCATENATE("#Metadata!", ADDRESS(INDEX($X$2:$X$1001,MATCH(ROWS($V$2:V568),$V$2:$V$1001,0),0), INDEX($AC$1004:$AS$1004,1,MATCH(COLUMNS($AC$1006:AN1006),$AC$1006:$AS$1006,0)))),"Fix")))</f>
        <v>0</v>
      </c>
      <c r="N568" s="5">
        <f>IF(OR(INDEX($W$2:$W$1001,MATCH(ROWS($V$2:V568),$V$2:$V$1001,0),1)&gt;=100000,INDEX($AC$1005:$AS$1005,1,MATCH(COLUMNS($AC$1006:AO1006),$AC$1006:$AS$1006,0))&gt;=100000), " ",IF(INDEX($AC$2:$AS$1001,MATCH(ROWS($V$2:V568),$V$2:$V$1001,0),MATCH(COLUMNS($AC$1006:AO1006),$AC$1006:$AS$1006,0)), HYPERLINK("#",""), HYPERLINK(CONCATENATE("#Metadata!", ADDRESS(INDEX($X$2:$X$1001,MATCH(ROWS($V$2:V568),$V$2:$V$1001,0),0), INDEX($AC$1004:$AS$1004,1,MATCH(COLUMNS($AC$1006:AO1006),$AC$1006:$AS$1006,0)))),"Fix")))</f>
        <v>0</v>
      </c>
      <c r="O568" s="5">
        <f>IF(OR(INDEX($W$2:$W$1001,MATCH(ROWS($V$2:V568),$V$2:$V$1001,0),1)&gt;=100000,INDEX($AC$1005:$AS$1005,1,MATCH(COLUMNS($AC$1006:AP1006),$AC$1006:$AS$1006,0))&gt;=100000), " ",IF(INDEX($AC$2:$AS$1001,MATCH(ROWS($V$2:V568),$V$2:$V$1001,0),MATCH(COLUMNS($AC$1006:AP1006),$AC$1006:$AS$1006,0)), HYPERLINK("#",""), HYPERLINK(CONCATENATE("#Metadata!", ADDRESS(INDEX($X$2:$X$1001,MATCH(ROWS($V$2:V568),$V$2:$V$1001,0),0), INDEX($AC$1004:$AS$1004,1,MATCH(COLUMNS($AC$1006:AP1006),$AC$1006:$AS$1006,0)))),"Fix")))</f>
        <v>0</v>
      </c>
      <c r="P568" s="5">
        <f>IF(OR(INDEX($W$2:$W$1001,MATCH(ROWS($V$2:V568),$V$2:$V$1001,0),1)&gt;=100000,INDEX($AC$1005:$AS$1005,1,MATCH(COLUMNS($AC$1006:AQ1006),$AC$1006:$AS$1006,0))&gt;=100000), " ",IF(INDEX($AC$2:$AS$1001,MATCH(ROWS($V$2:V568),$V$2:$V$1001,0),MATCH(COLUMNS($AC$1006:AQ1006),$AC$1006:$AS$1006,0)), HYPERLINK("#",""), HYPERLINK(CONCATENATE("#Metadata!", ADDRESS(INDEX($X$2:$X$1001,MATCH(ROWS($V$2:V568),$V$2:$V$1001,0),0), INDEX($AC$1004:$AS$1004,1,MATCH(COLUMNS($AC$1006:AQ1006),$AC$1006:$AS$1006,0)))),"Fix")))</f>
        <v>0</v>
      </c>
      <c r="Q568" s="5">
        <f>IF(OR(INDEX($W$2:$W$1001,MATCH(ROWS($V$2:V568),$V$2:$V$1001,0),1)&gt;=100000,INDEX($AC$1005:$AS$1005,1,MATCH(COLUMNS($AC$1006:AR1006),$AC$1006:$AS$1006,0))&gt;=100000), " ",IF(INDEX($AC$2:$AS$1001,MATCH(ROWS($V$2:V568),$V$2:$V$1001,0),MATCH(COLUMNS($AC$1006:AR1006),$AC$1006:$AS$1006,0)), HYPERLINK("#",""), HYPERLINK(CONCATENATE("#Metadata!", ADDRESS(INDEX($X$2:$X$1001,MATCH(ROWS($V$2:V568),$V$2:$V$1001,0),0), INDEX($AC$1004:$AS$1004,1,MATCH(COLUMNS($AC$1006:AR1006),$AC$1006:$AS$1006,0)))),"Fix")))</f>
        <v>0</v>
      </c>
      <c r="R568" s="5">
        <f>IF(OR(INDEX($W$2:$W$1001,MATCH(ROWS($V$2:V568),$V$2:$V$1001,0),1)&gt;=100000,INDEX($AC$1005:$AS$1005,1,MATCH(COLUMNS($AC$1006:AS1006),$AC$1006:$AS$1006,0))&gt;=100000), " ",IF(INDEX($AC$2:$AS$1001,MATCH(ROWS($V$2:V568),$V$2:$V$1001,0),MATCH(COLUMNS($AC$1006:AS1006),$AC$1006:$AS$1006,0)), HYPERLINK("#",""), HYPERLINK(CONCATENATE("#Metadata!", ADDRESS(INDEX($X$2:$X$1001,MATCH(ROWS($V$2:V568),$V$2:$V$1001,0),0), INDEX($AC$1004:$AS$1004,1,MATCH(COLUMNS($AC$1006:AS1006),$AC$1006:$AS$1006,0)))),"Fix")))</f>
        <v>0</v>
      </c>
      <c r="V568">
        <v>0</v>
      </c>
      <c r="W568">
        <v>0</v>
      </c>
      <c r="X568">
        <v>0</v>
      </c>
      <c r="Y568">
        <f>IF(Z568,TRUE,AND(AC568:AS568))</f>
        <v>0</v>
      </c>
      <c r="Z568">
        <f>COUNTBLANK(Metadata!B568:R568)=COLUMNS(Metadata!B568:R568)</f>
        <v>0</v>
      </c>
      <c r="AA568">
        <v>0</v>
      </c>
      <c r="AC568">
        <f>AND(IF(Metadata!B568="",FALSE,TRUE),COUNTIF(Metadata!B:B, Metadata!B568) = 1,NOT(ISERROR(SUMPRODUCT(SEARCH(MID(Metadata!B568,ROW(INDIRECT("1:"&amp;LEN(Metadata!B568))), 1),"0123456789abcdefghijklmnopqrstuvwxyzABCDEFGHIJKLMNOPQRSTUVWXYZ.")))))</f>
        <v>0</v>
      </c>
      <c r="AD568">
        <f>AND(IF(Metadata!C568="",FALSE,TRUE),exact(Metadata!C568,"Host-associated"))</f>
        <v>0</v>
      </c>
      <c r="AE568">
        <f>AND(IF(Metadata!D568="",FALSE,TRUE),OR(exact(Metadata!D568,"Animal"),exact(Metadata!D568,"Fungus"),exact(Metadata!D568,"Plant")))</f>
        <v>0</v>
      </c>
      <c r="AF568">
        <f>AND(IF(Metadata!E568="",FALSE,TRUE),OR(exact(Metadata!E568,"Plant secretion"),exact(Metadata!E568,"Plant rhizosphere"),exact(Metadata!E568,"Plant surface"),exact(Metadata!E568,"Plant corpus"),exact(Metadata!E568,"Fungus surface"),exact(Metadata!E568,"Fungus corpus"),exact(Metadata!E568,"Animal surface"),exact(Metadata!E568,"Animal proximal gut"),exact(Metadata!E568,"Animal corpus"),exact(Metadata!E568,"Animal distal gut"),exact(Metadata!E568,"Animal secretion")))</f>
        <v>0</v>
      </c>
      <c r="AG568">
        <f>OR(AND(IF(Metadata!F568="",FALSE,TRUE),OR(exact(Metadata!F568,"not collected"),exact(Metadata!F568,"not provided"),exact(Metadata!F568,"restricted access"))),AND(IF(Metadata!F568="",FALSE,TRUE),OR(exact(Metadata!F568,"organism-associated habitat"),exact(Metadata!F568,"plant-associated habitat"),exact(Metadata!F568,"animal-associated habitat"),exact(Metadata!F568,"insecta-associated habitat"),exact(Metadata!F568,"mammalia-associated habitat"),exact(Metadata!F568,"human-associated habitat"),exact(Metadata!F568,"livestock-associated habitat"))))</f>
        <v>0</v>
      </c>
      <c r="AH568">
        <f>AND(IF(Metadata!G568="",FALSE,TRUE),exact(Metadata!G568,"host-associated"))</f>
        <v>0</v>
      </c>
      <c r="AI568">
        <f>OR(AND(IF(Metadata!H568="",FALSE,TRUE),OR(exact(Metadata!H568,"not collected"),exact(Metadata!H568,"not provided"))),AND(IF(Metadata!H568="",FALSE,ISNUMBER(VALUE(Metadata!H568))),Metadata!H568&gt;0))</f>
        <v>0</v>
      </c>
      <c r="AJ568">
        <f>AND(IF(Metadata!I568="",FALSE,TRUE),exact(Metadata!I568,"years"))</f>
        <v>0</v>
      </c>
      <c r="AK568">
        <f>IF(Metadata!J568="",FALSE,TRUE)</f>
        <v>0</v>
      </c>
      <c r="AL568">
        <f>OR(AND(IF(Metadata!K568="",FALSE,TRUE),OR(exact(Metadata!K568,"not collected"),exact(Metadata!K568,"not provided"))),AND(IF(Metadata!K568="",FALSE,ISNUMBER(VALUE(Metadata!K568))),Metadata!K568&gt;0))</f>
        <v>0</v>
      </c>
      <c r="AM568">
        <f>AND(IF(Metadata!L568="",FALSE,TRUE),exact(Metadata!L568,"cm"))</f>
        <v>0</v>
      </c>
      <c r="AN568">
        <f>IF(Metadata!M568="",FALSE,TRUE)</f>
        <v>0</v>
      </c>
      <c r="AO568">
        <f>OR(AND(IF(Metadata!N568="",FALSE,TRUE),OR(exact(Metadata!N568,"not applicable"),exact(Metadata!N568,"not collected"),exact(Metadata!N568,"not provided"))),AND(IF(Metadata!N568="",FALSE,IF(ISERROR(INT(Metadata!N568)),FALSE,INT(Metadata!N568)=Metadata!N568)),Metadata!N568&gt;0))</f>
        <v>0</v>
      </c>
      <c r="AP568">
        <f>OR(AND(IF(Metadata!O568="",FALSE,TRUE),OR(exact(Metadata!O568,"not collected"),exact(Metadata!O568,"not provided"))),AND(IF(Metadata!O568="",FALSE,ISNUMBER(VALUE(Metadata!O568))),Metadata!O568&gt;0))</f>
        <v>0</v>
      </c>
      <c r="AQ568">
        <f>AND(IF(Metadata!P568="",FALSE,TRUE),exact(Metadata!P568,"kg"))</f>
        <v>0</v>
      </c>
      <c r="AR568">
        <f>OR(AND(IF(Metadata!Q568="",FALSE,TRUE),OR(exact(Metadata!Q568,"not applicable"),exact(Metadata!Q568,"not collected"),exact(Metadata!Q568,"not provided"),exact(Metadata!Q568,"restricted access"))),IF(Metadata!Q568="",FALSE,IF(ISERROR(INT(Metadata!Q568)),FALSE,INT(Metadata!Q568)=Metadata!Q568)))</f>
        <v>0</v>
      </c>
      <c r="AS568">
        <f>AND(IF(Metadata!R568="",FALSE,TRUE),exact(Metadata!R568,"Not applicable"))</f>
        <v>0</v>
      </c>
    </row>
    <row r="569" spans="1:45">
      <c r="A569" s="4">
        <f>IF(B569=" "," ",HYPERLINK(CONCATENATE("#metadata!",ADDRESS(INDEX($X$2:$X$1001,MATCH(ROWS($V$2:V569),$V$2:$V$1001,0),0),2)),INDEX($AA$2:$AA$1001,MATCH(ROWS($V$2:V569),$V$2:$V$1001,0),0)))</f>
        <v>0</v>
      </c>
      <c r="B569" s="5">
        <f>IF(OR(INDEX($W$2:$W$1001,MATCH(ROWS($V$2:V569),$V$2:$V$1001,0),1)&gt;=100000,INDEX($AC$1005:$AS$1005,1,MATCH(COLUMNS($AC$1006:AC1006),$AC$1006:$AS$1006,0))&gt;=100000), " ",IF(INDEX($AC$2:$AS$1001,MATCH(ROWS($V$2:V569),$V$2:$V$1001,0),MATCH(COLUMNS($AC$1006:AC1006),$AC$1006:$AS$1006,0)), HYPERLINK("#",""), HYPERLINK(CONCATENATE("#Metadata!", ADDRESS(INDEX($X$2:$X$1001,MATCH(ROWS($V$2:V569),$V$2:$V$1001,0),0), INDEX($AC$1004:$AS$1004,1,MATCH(COLUMNS($AC$1006:AC1006),$AC$1006:$AS$1006,0)))),"Fix")))</f>
        <v>0</v>
      </c>
      <c r="C569" s="5">
        <f>IF(OR(INDEX($W$2:$W$1001,MATCH(ROWS($V$2:V569),$V$2:$V$1001,0),1)&gt;=100000,INDEX($AC$1005:$AS$1005,1,MATCH(COLUMNS($AC$1006:AD1006),$AC$1006:$AS$1006,0))&gt;=100000), " ",IF(INDEX($AC$2:$AS$1001,MATCH(ROWS($V$2:V569),$V$2:$V$1001,0),MATCH(COLUMNS($AC$1006:AD1006),$AC$1006:$AS$1006,0)), HYPERLINK("#",""), HYPERLINK(CONCATENATE("#Metadata!", ADDRESS(INDEX($X$2:$X$1001,MATCH(ROWS($V$2:V569),$V$2:$V$1001,0),0), INDEX($AC$1004:$AS$1004,1,MATCH(COLUMNS($AC$1006:AD1006),$AC$1006:$AS$1006,0)))),"Fix")))</f>
        <v>0</v>
      </c>
      <c r="D569" s="5">
        <f>IF(OR(INDEX($W$2:$W$1001,MATCH(ROWS($V$2:V569),$V$2:$V$1001,0),1)&gt;=100000,INDEX($AC$1005:$AS$1005,1,MATCH(COLUMNS($AC$1006:AE1006),$AC$1006:$AS$1006,0))&gt;=100000), " ",IF(INDEX($AC$2:$AS$1001,MATCH(ROWS($V$2:V569),$V$2:$V$1001,0),MATCH(COLUMNS($AC$1006:AE1006),$AC$1006:$AS$1006,0)), HYPERLINK("#",""), HYPERLINK(CONCATENATE("#Metadata!", ADDRESS(INDEX($X$2:$X$1001,MATCH(ROWS($V$2:V569),$V$2:$V$1001,0),0), INDEX($AC$1004:$AS$1004,1,MATCH(COLUMNS($AC$1006:AE1006),$AC$1006:$AS$1006,0)))),"Fix")))</f>
        <v>0</v>
      </c>
      <c r="E569" s="5">
        <f>IF(OR(INDEX($W$2:$W$1001,MATCH(ROWS($V$2:V569),$V$2:$V$1001,0),1)&gt;=100000,INDEX($AC$1005:$AS$1005,1,MATCH(COLUMNS($AC$1006:AF1006),$AC$1006:$AS$1006,0))&gt;=100000), " ",IF(INDEX($AC$2:$AS$1001,MATCH(ROWS($V$2:V569),$V$2:$V$1001,0),MATCH(COLUMNS($AC$1006:AF1006),$AC$1006:$AS$1006,0)), HYPERLINK("#",""), HYPERLINK(CONCATENATE("#Metadata!", ADDRESS(INDEX($X$2:$X$1001,MATCH(ROWS($V$2:V569),$V$2:$V$1001,0),0), INDEX($AC$1004:$AS$1004,1,MATCH(COLUMNS($AC$1006:AF1006),$AC$1006:$AS$1006,0)))),"Fix")))</f>
        <v>0</v>
      </c>
      <c r="F569" s="5">
        <f>IF(OR(INDEX($W$2:$W$1001,MATCH(ROWS($V$2:V569),$V$2:$V$1001,0),1)&gt;=100000,INDEX($AC$1005:$AS$1005,1,MATCH(COLUMNS($AC$1006:AG1006),$AC$1006:$AS$1006,0))&gt;=100000), " ",IF(INDEX($AC$2:$AS$1001,MATCH(ROWS($V$2:V569),$V$2:$V$1001,0),MATCH(COLUMNS($AC$1006:AG1006),$AC$1006:$AS$1006,0)), HYPERLINK("#",""), HYPERLINK(CONCATENATE("#Metadata!", ADDRESS(INDEX($X$2:$X$1001,MATCH(ROWS($V$2:V569),$V$2:$V$1001,0),0), INDEX($AC$1004:$AS$1004,1,MATCH(COLUMNS($AC$1006:AG1006),$AC$1006:$AS$1006,0)))),"Fix")))</f>
        <v>0</v>
      </c>
      <c r="G569" s="5">
        <f>IF(OR(INDEX($W$2:$W$1001,MATCH(ROWS($V$2:V569),$V$2:$V$1001,0),1)&gt;=100000,INDEX($AC$1005:$AS$1005,1,MATCH(COLUMNS($AC$1006:AH1006),$AC$1006:$AS$1006,0))&gt;=100000), " ",IF(INDEX($AC$2:$AS$1001,MATCH(ROWS($V$2:V569),$V$2:$V$1001,0),MATCH(COLUMNS($AC$1006:AH1006),$AC$1006:$AS$1006,0)), HYPERLINK("#",""), HYPERLINK(CONCATENATE("#Metadata!", ADDRESS(INDEX($X$2:$X$1001,MATCH(ROWS($V$2:V569),$V$2:$V$1001,0),0), INDEX($AC$1004:$AS$1004,1,MATCH(COLUMNS($AC$1006:AH1006),$AC$1006:$AS$1006,0)))),"Fix")))</f>
        <v>0</v>
      </c>
      <c r="H569" s="5">
        <f>IF(OR(INDEX($W$2:$W$1001,MATCH(ROWS($V$2:V569),$V$2:$V$1001,0),1)&gt;=100000,INDEX($AC$1005:$AS$1005,1,MATCH(COLUMNS($AC$1006:AI1006),$AC$1006:$AS$1006,0))&gt;=100000), " ",IF(INDEX($AC$2:$AS$1001,MATCH(ROWS($V$2:V569),$V$2:$V$1001,0),MATCH(COLUMNS($AC$1006:AI1006),$AC$1006:$AS$1006,0)), HYPERLINK("#",""), HYPERLINK(CONCATENATE("#Metadata!", ADDRESS(INDEX($X$2:$X$1001,MATCH(ROWS($V$2:V569),$V$2:$V$1001,0),0), INDEX($AC$1004:$AS$1004,1,MATCH(COLUMNS($AC$1006:AI1006),$AC$1006:$AS$1006,0)))),"Fix")))</f>
        <v>0</v>
      </c>
      <c r="I569" s="5">
        <f>IF(OR(INDEX($W$2:$W$1001,MATCH(ROWS($V$2:V569),$V$2:$V$1001,0),1)&gt;=100000,INDEX($AC$1005:$AS$1005,1,MATCH(COLUMNS($AC$1006:AJ1006),$AC$1006:$AS$1006,0))&gt;=100000), " ",IF(INDEX($AC$2:$AS$1001,MATCH(ROWS($V$2:V569),$V$2:$V$1001,0),MATCH(COLUMNS($AC$1006:AJ1006),$AC$1006:$AS$1006,0)), HYPERLINK("#",""), HYPERLINK(CONCATENATE("#Metadata!", ADDRESS(INDEX($X$2:$X$1001,MATCH(ROWS($V$2:V569),$V$2:$V$1001,0),0), INDEX($AC$1004:$AS$1004,1,MATCH(COLUMNS($AC$1006:AJ1006),$AC$1006:$AS$1006,0)))),"Fix")))</f>
        <v>0</v>
      </c>
      <c r="J569" s="5">
        <f>IF(OR(INDEX($W$2:$W$1001,MATCH(ROWS($V$2:V569),$V$2:$V$1001,0),1)&gt;=100000,INDEX($AC$1005:$AS$1005,1,MATCH(COLUMNS($AC$1006:AK1006),$AC$1006:$AS$1006,0))&gt;=100000), " ",IF(INDEX($AC$2:$AS$1001,MATCH(ROWS($V$2:V569),$V$2:$V$1001,0),MATCH(COLUMNS($AC$1006:AK1006),$AC$1006:$AS$1006,0)), HYPERLINK("#",""), HYPERLINK(CONCATENATE("#Metadata!", ADDRESS(INDEX($X$2:$X$1001,MATCH(ROWS($V$2:V569),$V$2:$V$1001,0),0), INDEX($AC$1004:$AS$1004,1,MATCH(COLUMNS($AC$1006:AK1006),$AC$1006:$AS$1006,0)))),"Fix")))</f>
        <v>0</v>
      </c>
      <c r="K569" s="5">
        <f>IF(OR(INDEX($W$2:$W$1001,MATCH(ROWS($V$2:V569),$V$2:$V$1001,0),1)&gt;=100000,INDEX($AC$1005:$AS$1005,1,MATCH(COLUMNS($AC$1006:AL1006),$AC$1006:$AS$1006,0))&gt;=100000), " ",IF(INDEX($AC$2:$AS$1001,MATCH(ROWS($V$2:V569),$V$2:$V$1001,0),MATCH(COLUMNS($AC$1006:AL1006),$AC$1006:$AS$1006,0)), HYPERLINK("#",""), HYPERLINK(CONCATENATE("#Metadata!", ADDRESS(INDEX($X$2:$X$1001,MATCH(ROWS($V$2:V569),$V$2:$V$1001,0),0), INDEX($AC$1004:$AS$1004,1,MATCH(COLUMNS($AC$1006:AL1006),$AC$1006:$AS$1006,0)))),"Fix")))</f>
        <v>0</v>
      </c>
      <c r="L569" s="5">
        <f>IF(OR(INDEX($W$2:$W$1001,MATCH(ROWS($V$2:V569),$V$2:$V$1001,0),1)&gt;=100000,INDEX($AC$1005:$AS$1005,1,MATCH(COLUMNS($AC$1006:AM1006),$AC$1006:$AS$1006,0))&gt;=100000), " ",IF(INDEX($AC$2:$AS$1001,MATCH(ROWS($V$2:V569),$V$2:$V$1001,0),MATCH(COLUMNS($AC$1006:AM1006),$AC$1006:$AS$1006,0)), HYPERLINK("#",""), HYPERLINK(CONCATENATE("#Metadata!", ADDRESS(INDEX($X$2:$X$1001,MATCH(ROWS($V$2:V569),$V$2:$V$1001,0),0), INDEX($AC$1004:$AS$1004,1,MATCH(COLUMNS($AC$1006:AM1006),$AC$1006:$AS$1006,0)))),"Fix")))</f>
        <v>0</v>
      </c>
      <c r="M569" s="5">
        <f>IF(OR(INDEX($W$2:$W$1001,MATCH(ROWS($V$2:V569),$V$2:$V$1001,0),1)&gt;=100000,INDEX($AC$1005:$AS$1005,1,MATCH(COLUMNS($AC$1006:AN1006),$AC$1006:$AS$1006,0))&gt;=100000), " ",IF(INDEX($AC$2:$AS$1001,MATCH(ROWS($V$2:V569),$V$2:$V$1001,0),MATCH(COLUMNS($AC$1006:AN1006),$AC$1006:$AS$1006,0)), HYPERLINK("#",""), HYPERLINK(CONCATENATE("#Metadata!", ADDRESS(INDEX($X$2:$X$1001,MATCH(ROWS($V$2:V569),$V$2:$V$1001,0),0), INDEX($AC$1004:$AS$1004,1,MATCH(COLUMNS($AC$1006:AN1006),$AC$1006:$AS$1006,0)))),"Fix")))</f>
        <v>0</v>
      </c>
      <c r="N569" s="5">
        <f>IF(OR(INDEX($W$2:$W$1001,MATCH(ROWS($V$2:V569),$V$2:$V$1001,0),1)&gt;=100000,INDEX($AC$1005:$AS$1005,1,MATCH(COLUMNS($AC$1006:AO1006),$AC$1006:$AS$1006,0))&gt;=100000), " ",IF(INDEX($AC$2:$AS$1001,MATCH(ROWS($V$2:V569),$V$2:$V$1001,0),MATCH(COLUMNS($AC$1006:AO1006),$AC$1006:$AS$1006,0)), HYPERLINK("#",""), HYPERLINK(CONCATENATE("#Metadata!", ADDRESS(INDEX($X$2:$X$1001,MATCH(ROWS($V$2:V569),$V$2:$V$1001,0),0), INDEX($AC$1004:$AS$1004,1,MATCH(COLUMNS($AC$1006:AO1006),$AC$1006:$AS$1006,0)))),"Fix")))</f>
        <v>0</v>
      </c>
      <c r="O569" s="5">
        <f>IF(OR(INDEX($W$2:$W$1001,MATCH(ROWS($V$2:V569),$V$2:$V$1001,0),1)&gt;=100000,INDEX($AC$1005:$AS$1005,1,MATCH(COLUMNS($AC$1006:AP1006),$AC$1006:$AS$1006,0))&gt;=100000), " ",IF(INDEX($AC$2:$AS$1001,MATCH(ROWS($V$2:V569),$V$2:$V$1001,0),MATCH(COLUMNS($AC$1006:AP1006),$AC$1006:$AS$1006,0)), HYPERLINK("#",""), HYPERLINK(CONCATENATE("#Metadata!", ADDRESS(INDEX($X$2:$X$1001,MATCH(ROWS($V$2:V569),$V$2:$V$1001,0),0), INDEX($AC$1004:$AS$1004,1,MATCH(COLUMNS($AC$1006:AP1006),$AC$1006:$AS$1006,0)))),"Fix")))</f>
        <v>0</v>
      </c>
      <c r="P569" s="5">
        <f>IF(OR(INDEX($W$2:$W$1001,MATCH(ROWS($V$2:V569),$V$2:$V$1001,0),1)&gt;=100000,INDEX($AC$1005:$AS$1005,1,MATCH(COLUMNS($AC$1006:AQ1006),$AC$1006:$AS$1006,0))&gt;=100000), " ",IF(INDEX($AC$2:$AS$1001,MATCH(ROWS($V$2:V569),$V$2:$V$1001,0),MATCH(COLUMNS($AC$1006:AQ1006),$AC$1006:$AS$1006,0)), HYPERLINK("#",""), HYPERLINK(CONCATENATE("#Metadata!", ADDRESS(INDEX($X$2:$X$1001,MATCH(ROWS($V$2:V569),$V$2:$V$1001,0),0), INDEX($AC$1004:$AS$1004,1,MATCH(COLUMNS($AC$1006:AQ1006),$AC$1006:$AS$1006,0)))),"Fix")))</f>
        <v>0</v>
      </c>
      <c r="Q569" s="5">
        <f>IF(OR(INDEX($W$2:$W$1001,MATCH(ROWS($V$2:V569),$V$2:$V$1001,0),1)&gt;=100000,INDEX($AC$1005:$AS$1005,1,MATCH(COLUMNS($AC$1006:AR1006),$AC$1006:$AS$1006,0))&gt;=100000), " ",IF(INDEX($AC$2:$AS$1001,MATCH(ROWS($V$2:V569),$V$2:$V$1001,0),MATCH(COLUMNS($AC$1006:AR1006),$AC$1006:$AS$1006,0)), HYPERLINK("#",""), HYPERLINK(CONCATENATE("#Metadata!", ADDRESS(INDEX($X$2:$X$1001,MATCH(ROWS($V$2:V569),$V$2:$V$1001,0),0), INDEX($AC$1004:$AS$1004,1,MATCH(COLUMNS($AC$1006:AR1006),$AC$1006:$AS$1006,0)))),"Fix")))</f>
        <v>0</v>
      </c>
      <c r="R569" s="5">
        <f>IF(OR(INDEX($W$2:$W$1001,MATCH(ROWS($V$2:V569),$V$2:$V$1001,0),1)&gt;=100000,INDEX($AC$1005:$AS$1005,1,MATCH(COLUMNS($AC$1006:AS1006),$AC$1006:$AS$1006,0))&gt;=100000), " ",IF(INDEX($AC$2:$AS$1001,MATCH(ROWS($V$2:V569),$V$2:$V$1001,0),MATCH(COLUMNS($AC$1006:AS1006),$AC$1006:$AS$1006,0)), HYPERLINK("#",""), HYPERLINK(CONCATENATE("#Metadata!", ADDRESS(INDEX($X$2:$X$1001,MATCH(ROWS($V$2:V569),$V$2:$V$1001,0),0), INDEX($AC$1004:$AS$1004,1,MATCH(COLUMNS($AC$1006:AS1006),$AC$1006:$AS$1006,0)))),"Fix")))</f>
        <v>0</v>
      </c>
      <c r="V569">
        <v>0</v>
      </c>
      <c r="W569">
        <v>0</v>
      </c>
      <c r="X569">
        <v>0</v>
      </c>
      <c r="Y569">
        <f>IF(Z569,TRUE,AND(AC569:AS569))</f>
        <v>0</v>
      </c>
      <c r="Z569">
        <f>COUNTBLANK(Metadata!B569:R569)=COLUMNS(Metadata!B569:R569)</f>
        <v>0</v>
      </c>
      <c r="AA569">
        <v>0</v>
      </c>
      <c r="AC569">
        <f>AND(IF(Metadata!B569="",FALSE,TRUE),COUNTIF(Metadata!B:B, Metadata!B569) = 1,NOT(ISERROR(SUMPRODUCT(SEARCH(MID(Metadata!B569,ROW(INDIRECT("1:"&amp;LEN(Metadata!B569))), 1),"0123456789abcdefghijklmnopqrstuvwxyzABCDEFGHIJKLMNOPQRSTUVWXYZ.")))))</f>
        <v>0</v>
      </c>
      <c r="AD569">
        <f>AND(IF(Metadata!C569="",FALSE,TRUE),exact(Metadata!C569,"Host-associated"))</f>
        <v>0</v>
      </c>
      <c r="AE569">
        <f>AND(IF(Metadata!D569="",FALSE,TRUE),OR(exact(Metadata!D569,"Animal"),exact(Metadata!D569,"Fungus"),exact(Metadata!D569,"Plant")))</f>
        <v>0</v>
      </c>
      <c r="AF569">
        <f>AND(IF(Metadata!E569="",FALSE,TRUE),OR(exact(Metadata!E569,"Plant secretion"),exact(Metadata!E569,"Plant rhizosphere"),exact(Metadata!E569,"Plant surface"),exact(Metadata!E569,"Plant corpus"),exact(Metadata!E569,"Fungus surface"),exact(Metadata!E569,"Fungus corpus"),exact(Metadata!E569,"Animal surface"),exact(Metadata!E569,"Animal proximal gut"),exact(Metadata!E569,"Animal corpus"),exact(Metadata!E569,"Animal distal gut"),exact(Metadata!E569,"Animal secretion")))</f>
        <v>0</v>
      </c>
      <c r="AG569">
        <f>OR(AND(IF(Metadata!F569="",FALSE,TRUE),OR(exact(Metadata!F569,"not collected"),exact(Metadata!F569,"not provided"),exact(Metadata!F569,"restricted access"))),AND(IF(Metadata!F569="",FALSE,TRUE),OR(exact(Metadata!F569,"organism-associated habitat"),exact(Metadata!F569,"plant-associated habitat"),exact(Metadata!F569,"animal-associated habitat"),exact(Metadata!F569,"insecta-associated habitat"),exact(Metadata!F569,"mammalia-associated habitat"),exact(Metadata!F569,"human-associated habitat"),exact(Metadata!F569,"livestock-associated habitat"))))</f>
        <v>0</v>
      </c>
      <c r="AH569">
        <f>AND(IF(Metadata!G569="",FALSE,TRUE),exact(Metadata!G569,"host-associated"))</f>
        <v>0</v>
      </c>
      <c r="AI569">
        <f>OR(AND(IF(Metadata!H569="",FALSE,TRUE),OR(exact(Metadata!H569,"not collected"),exact(Metadata!H569,"not provided"))),AND(IF(Metadata!H569="",FALSE,ISNUMBER(VALUE(Metadata!H569))),Metadata!H569&gt;0))</f>
        <v>0</v>
      </c>
      <c r="AJ569">
        <f>AND(IF(Metadata!I569="",FALSE,TRUE),exact(Metadata!I569,"years"))</f>
        <v>0</v>
      </c>
      <c r="AK569">
        <f>IF(Metadata!J569="",FALSE,TRUE)</f>
        <v>0</v>
      </c>
      <c r="AL569">
        <f>OR(AND(IF(Metadata!K569="",FALSE,TRUE),OR(exact(Metadata!K569,"not collected"),exact(Metadata!K569,"not provided"))),AND(IF(Metadata!K569="",FALSE,ISNUMBER(VALUE(Metadata!K569))),Metadata!K569&gt;0))</f>
        <v>0</v>
      </c>
      <c r="AM569">
        <f>AND(IF(Metadata!L569="",FALSE,TRUE),exact(Metadata!L569,"cm"))</f>
        <v>0</v>
      </c>
      <c r="AN569">
        <f>IF(Metadata!M569="",FALSE,TRUE)</f>
        <v>0</v>
      </c>
      <c r="AO569">
        <f>OR(AND(IF(Metadata!N569="",FALSE,TRUE),OR(exact(Metadata!N569,"not applicable"),exact(Metadata!N569,"not collected"),exact(Metadata!N569,"not provided"))),AND(IF(Metadata!N569="",FALSE,IF(ISERROR(INT(Metadata!N569)),FALSE,INT(Metadata!N569)=Metadata!N569)),Metadata!N569&gt;0))</f>
        <v>0</v>
      </c>
      <c r="AP569">
        <f>OR(AND(IF(Metadata!O569="",FALSE,TRUE),OR(exact(Metadata!O569,"not collected"),exact(Metadata!O569,"not provided"))),AND(IF(Metadata!O569="",FALSE,ISNUMBER(VALUE(Metadata!O569))),Metadata!O569&gt;0))</f>
        <v>0</v>
      </c>
      <c r="AQ569">
        <f>AND(IF(Metadata!P569="",FALSE,TRUE),exact(Metadata!P569,"kg"))</f>
        <v>0</v>
      </c>
      <c r="AR569">
        <f>OR(AND(IF(Metadata!Q569="",FALSE,TRUE),OR(exact(Metadata!Q569,"not applicable"),exact(Metadata!Q569,"not collected"),exact(Metadata!Q569,"not provided"),exact(Metadata!Q569,"restricted access"))),IF(Metadata!Q569="",FALSE,IF(ISERROR(INT(Metadata!Q569)),FALSE,INT(Metadata!Q569)=Metadata!Q569)))</f>
        <v>0</v>
      </c>
      <c r="AS569">
        <f>AND(IF(Metadata!R569="",FALSE,TRUE),exact(Metadata!R569,"Not applicable"))</f>
        <v>0</v>
      </c>
    </row>
    <row r="570" spans="1:45">
      <c r="A570" s="4">
        <f>IF(B570=" "," ",HYPERLINK(CONCATENATE("#metadata!",ADDRESS(INDEX($X$2:$X$1001,MATCH(ROWS($V$2:V570),$V$2:$V$1001,0),0),2)),INDEX($AA$2:$AA$1001,MATCH(ROWS($V$2:V570),$V$2:$V$1001,0),0)))</f>
        <v>0</v>
      </c>
      <c r="B570" s="5">
        <f>IF(OR(INDEX($W$2:$W$1001,MATCH(ROWS($V$2:V570),$V$2:$V$1001,0),1)&gt;=100000,INDEX($AC$1005:$AS$1005,1,MATCH(COLUMNS($AC$1006:AC1006),$AC$1006:$AS$1006,0))&gt;=100000), " ",IF(INDEX($AC$2:$AS$1001,MATCH(ROWS($V$2:V570),$V$2:$V$1001,0),MATCH(COLUMNS($AC$1006:AC1006),$AC$1006:$AS$1006,0)), HYPERLINK("#",""), HYPERLINK(CONCATENATE("#Metadata!", ADDRESS(INDEX($X$2:$X$1001,MATCH(ROWS($V$2:V570),$V$2:$V$1001,0),0), INDEX($AC$1004:$AS$1004,1,MATCH(COLUMNS($AC$1006:AC1006),$AC$1006:$AS$1006,0)))),"Fix")))</f>
        <v>0</v>
      </c>
      <c r="C570" s="5">
        <f>IF(OR(INDEX($W$2:$W$1001,MATCH(ROWS($V$2:V570),$V$2:$V$1001,0),1)&gt;=100000,INDEX($AC$1005:$AS$1005,1,MATCH(COLUMNS($AC$1006:AD1006),$AC$1006:$AS$1006,0))&gt;=100000), " ",IF(INDEX($AC$2:$AS$1001,MATCH(ROWS($V$2:V570),$V$2:$V$1001,0),MATCH(COLUMNS($AC$1006:AD1006),$AC$1006:$AS$1006,0)), HYPERLINK("#",""), HYPERLINK(CONCATENATE("#Metadata!", ADDRESS(INDEX($X$2:$X$1001,MATCH(ROWS($V$2:V570),$V$2:$V$1001,0),0), INDEX($AC$1004:$AS$1004,1,MATCH(COLUMNS($AC$1006:AD1006),$AC$1006:$AS$1006,0)))),"Fix")))</f>
        <v>0</v>
      </c>
      <c r="D570" s="5">
        <f>IF(OR(INDEX($W$2:$W$1001,MATCH(ROWS($V$2:V570),$V$2:$V$1001,0),1)&gt;=100000,INDEX($AC$1005:$AS$1005,1,MATCH(COLUMNS($AC$1006:AE1006),$AC$1006:$AS$1006,0))&gt;=100000), " ",IF(INDEX($AC$2:$AS$1001,MATCH(ROWS($V$2:V570),$V$2:$V$1001,0),MATCH(COLUMNS($AC$1006:AE1006),$AC$1006:$AS$1006,0)), HYPERLINK("#",""), HYPERLINK(CONCATENATE("#Metadata!", ADDRESS(INDEX($X$2:$X$1001,MATCH(ROWS($V$2:V570),$V$2:$V$1001,0),0), INDEX($AC$1004:$AS$1004,1,MATCH(COLUMNS($AC$1006:AE1006),$AC$1006:$AS$1006,0)))),"Fix")))</f>
        <v>0</v>
      </c>
      <c r="E570" s="5">
        <f>IF(OR(INDEX($W$2:$W$1001,MATCH(ROWS($V$2:V570),$V$2:$V$1001,0),1)&gt;=100000,INDEX($AC$1005:$AS$1005,1,MATCH(COLUMNS($AC$1006:AF1006),$AC$1006:$AS$1006,0))&gt;=100000), " ",IF(INDEX($AC$2:$AS$1001,MATCH(ROWS($V$2:V570),$V$2:$V$1001,0),MATCH(COLUMNS($AC$1006:AF1006),$AC$1006:$AS$1006,0)), HYPERLINK("#",""), HYPERLINK(CONCATENATE("#Metadata!", ADDRESS(INDEX($X$2:$X$1001,MATCH(ROWS($V$2:V570),$V$2:$V$1001,0),0), INDEX($AC$1004:$AS$1004,1,MATCH(COLUMNS($AC$1006:AF1006),$AC$1006:$AS$1006,0)))),"Fix")))</f>
        <v>0</v>
      </c>
      <c r="F570" s="5">
        <f>IF(OR(INDEX($W$2:$W$1001,MATCH(ROWS($V$2:V570),$V$2:$V$1001,0),1)&gt;=100000,INDEX($AC$1005:$AS$1005,1,MATCH(COLUMNS($AC$1006:AG1006),$AC$1006:$AS$1006,0))&gt;=100000), " ",IF(INDEX($AC$2:$AS$1001,MATCH(ROWS($V$2:V570),$V$2:$V$1001,0),MATCH(COLUMNS($AC$1006:AG1006),$AC$1006:$AS$1006,0)), HYPERLINK("#",""), HYPERLINK(CONCATENATE("#Metadata!", ADDRESS(INDEX($X$2:$X$1001,MATCH(ROWS($V$2:V570),$V$2:$V$1001,0),0), INDEX($AC$1004:$AS$1004,1,MATCH(COLUMNS($AC$1006:AG1006),$AC$1006:$AS$1006,0)))),"Fix")))</f>
        <v>0</v>
      </c>
      <c r="G570" s="5">
        <f>IF(OR(INDEX($W$2:$W$1001,MATCH(ROWS($V$2:V570),$V$2:$V$1001,0),1)&gt;=100000,INDEX($AC$1005:$AS$1005,1,MATCH(COLUMNS($AC$1006:AH1006),$AC$1006:$AS$1006,0))&gt;=100000), " ",IF(INDEX($AC$2:$AS$1001,MATCH(ROWS($V$2:V570),$V$2:$V$1001,0),MATCH(COLUMNS($AC$1006:AH1006),$AC$1006:$AS$1006,0)), HYPERLINK("#",""), HYPERLINK(CONCATENATE("#Metadata!", ADDRESS(INDEX($X$2:$X$1001,MATCH(ROWS($V$2:V570),$V$2:$V$1001,0),0), INDEX($AC$1004:$AS$1004,1,MATCH(COLUMNS($AC$1006:AH1006),$AC$1006:$AS$1006,0)))),"Fix")))</f>
        <v>0</v>
      </c>
      <c r="H570" s="5">
        <f>IF(OR(INDEX($W$2:$W$1001,MATCH(ROWS($V$2:V570),$V$2:$V$1001,0),1)&gt;=100000,INDEX($AC$1005:$AS$1005,1,MATCH(COLUMNS($AC$1006:AI1006),$AC$1006:$AS$1006,0))&gt;=100000), " ",IF(INDEX($AC$2:$AS$1001,MATCH(ROWS($V$2:V570),$V$2:$V$1001,0),MATCH(COLUMNS($AC$1006:AI1006),$AC$1006:$AS$1006,0)), HYPERLINK("#",""), HYPERLINK(CONCATENATE("#Metadata!", ADDRESS(INDEX($X$2:$X$1001,MATCH(ROWS($V$2:V570),$V$2:$V$1001,0),0), INDEX($AC$1004:$AS$1004,1,MATCH(COLUMNS($AC$1006:AI1006),$AC$1006:$AS$1006,0)))),"Fix")))</f>
        <v>0</v>
      </c>
      <c r="I570" s="5">
        <f>IF(OR(INDEX($W$2:$W$1001,MATCH(ROWS($V$2:V570),$V$2:$V$1001,0),1)&gt;=100000,INDEX($AC$1005:$AS$1005,1,MATCH(COLUMNS($AC$1006:AJ1006),$AC$1006:$AS$1006,0))&gt;=100000), " ",IF(INDEX($AC$2:$AS$1001,MATCH(ROWS($V$2:V570),$V$2:$V$1001,0),MATCH(COLUMNS($AC$1006:AJ1006),$AC$1006:$AS$1006,0)), HYPERLINK("#",""), HYPERLINK(CONCATENATE("#Metadata!", ADDRESS(INDEX($X$2:$X$1001,MATCH(ROWS($V$2:V570),$V$2:$V$1001,0),0), INDEX($AC$1004:$AS$1004,1,MATCH(COLUMNS($AC$1006:AJ1006),$AC$1006:$AS$1006,0)))),"Fix")))</f>
        <v>0</v>
      </c>
      <c r="J570" s="5">
        <f>IF(OR(INDEX($W$2:$W$1001,MATCH(ROWS($V$2:V570),$V$2:$V$1001,0),1)&gt;=100000,INDEX($AC$1005:$AS$1005,1,MATCH(COLUMNS($AC$1006:AK1006),$AC$1006:$AS$1006,0))&gt;=100000), " ",IF(INDEX($AC$2:$AS$1001,MATCH(ROWS($V$2:V570),$V$2:$V$1001,0),MATCH(COLUMNS($AC$1006:AK1006),$AC$1006:$AS$1006,0)), HYPERLINK("#",""), HYPERLINK(CONCATENATE("#Metadata!", ADDRESS(INDEX($X$2:$X$1001,MATCH(ROWS($V$2:V570),$V$2:$V$1001,0),0), INDEX($AC$1004:$AS$1004,1,MATCH(COLUMNS($AC$1006:AK1006),$AC$1006:$AS$1006,0)))),"Fix")))</f>
        <v>0</v>
      </c>
      <c r="K570" s="5">
        <f>IF(OR(INDEX($W$2:$W$1001,MATCH(ROWS($V$2:V570),$V$2:$V$1001,0),1)&gt;=100000,INDEX($AC$1005:$AS$1005,1,MATCH(COLUMNS($AC$1006:AL1006),$AC$1006:$AS$1006,0))&gt;=100000), " ",IF(INDEX($AC$2:$AS$1001,MATCH(ROWS($V$2:V570),$V$2:$V$1001,0),MATCH(COLUMNS($AC$1006:AL1006),$AC$1006:$AS$1006,0)), HYPERLINK("#",""), HYPERLINK(CONCATENATE("#Metadata!", ADDRESS(INDEX($X$2:$X$1001,MATCH(ROWS($V$2:V570),$V$2:$V$1001,0),0), INDEX($AC$1004:$AS$1004,1,MATCH(COLUMNS($AC$1006:AL1006),$AC$1006:$AS$1006,0)))),"Fix")))</f>
        <v>0</v>
      </c>
      <c r="L570" s="5">
        <f>IF(OR(INDEX($W$2:$W$1001,MATCH(ROWS($V$2:V570),$V$2:$V$1001,0),1)&gt;=100000,INDEX($AC$1005:$AS$1005,1,MATCH(COLUMNS($AC$1006:AM1006),$AC$1006:$AS$1006,0))&gt;=100000), " ",IF(INDEX($AC$2:$AS$1001,MATCH(ROWS($V$2:V570),$V$2:$V$1001,0),MATCH(COLUMNS($AC$1006:AM1006),$AC$1006:$AS$1006,0)), HYPERLINK("#",""), HYPERLINK(CONCATENATE("#Metadata!", ADDRESS(INDEX($X$2:$X$1001,MATCH(ROWS($V$2:V570),$V$2:$V$1001,0),0), INDEX($AC$1004:$AS$1004,1,MATCH(COLUMNS($AC$1006:AM1006),$AC$1006:$AS$1006,0)))),"Fix")))</f>
        <v>0</v>
      </c>
      <c r="M570" s="5">
        <f>IF(OR(INDEX($W$2:$W$1001,MATCH(ROWS($V$2:V570),$V$2:$V$1001,0),1)&gt;=100000,INDEX($AC$1005:$AS$1005,1,MATCH(COLUMNS($AC$1006:AN1006),$AC$1006:$AS$1006,0))&gt;=100000), " ",IF(INDEX($AC$2:$AS$1001,MATCH(ROWS($V$2:V570),$V$2:$V$1001,0),MATCH(COLUMNS($AC$1006:AN1006),$AC$1006:$AS$1006,0)), HYPERLINK("#",""), HYPERLINK(CONCATENATE("#Metadata!", ADDRESS(INDEX($X$2:$X$1001,MATCH(ROWS($V$2:V570),$V$2:$V$1001,0),0), INDEX($AC$1004:$AS$1004,1,MATCH(COLUMNS($AC$1006:AN1006),$AC$1006:$AS$1006,0)))),"Fix")))</f>
        <v>0</v>
      </c>
      <c r="N570" s="5">
        <f>IF(OR(INDEX($W$2:$W$1001,MATCH(ROWS($V$2:V570),$V$2:$V$1001,0),1)&gt;=100000,INDEX($AC$1005:$AS$1005,1,MATCH(COLUMNS($AC$1006:AO1006),$AC$1006:$AS$1006,0))&gt;=100000), " ",IF(INDEX($AC$2:$AS$1001,MATCH(ROWS($V$2:V570),$V$2:$V$1001,0),MATCH(COLUMNS($AC$1006:AO1006),$AC$1006:$AS$1006,0)), HYPERLINK("#",""), HYPERLINK(CONCATENATE("#Metadata!", ADDRESS(INDEX($X$2:$X$1001,MATCH(ROWS($V$2:V570),$V$2:$V$1001,0),0), INDEX($AC$1004:$AS$1004,1,MATCH(COLUMNS($AC$1006:AO1006),$AC$1006:$AS$1006,0)))),"Fix")))</f>
        <v>0</v>
      </c>
      <c r="O570" s="5">
        <f>IF(OR(INDEX($W$2:$W$1001,MATCH(ROWS($V$2:V570),$V$2:$V$1001,0),1)&gt;=100000,INDEX($AC$1005:$AS$1005,1,MATCH(COLUMNS($AC$1006:AP1006),$AC$1006:$AS$1006,0))&gt;=100000), " ",IF(INDEX($AC$2:$AS$1001,MATCH(ROWS($V$2:V570),$V$2:$V$1001,0),MATCH(COLUMNS($AC$1006:AP1006),$AC$1006:$AS$1006,0)), HYPERLINK("#",""), HYPERLINK(CONCATENATE("#Metadata!", ADDRESS(INDEX($X$2:$X$1001,MATCH(ROWS($V$2:V570),$V$2:$V$1001,0),0), INDEX($AC$1004:$AS$1004,1,MATCH(COLUMNS($AC$1006:AP1006),$AC$1006:$AS$1006,0)))),"Fix")))</f>
        <v>0</v>
      </c>
      <c r="P570" s="5">
        <f>IF(OR(INDEX($W$2:$W$1001,MATCH(ROWS($V$2:V570),$V$2:$V$1001,0),1)&gt;=100000,INDEX($AC$1005:$AS$1005,1,MATCH(COLUMNS($AC$1006:AQ1006),$AC$1006:$AS$1006,0))&gt;=100000), " ",IF(INDEX($AC$2:$AS$1001,MATCH(ROWS($V$2:V570),$V$2:$V$1001,0),MATCH(COLUMNS($AC$1006:AQ1006),$AC$1006:$AS$1006,0)), HYPERLINK("#",""), HYPERLINK(CONCATENATE("#Metadata!", ADDRESS(INDEX($X$2:$X$1001,MATCH(ROWS($V$2:V570),$V$2:$V$1001,0),0), INDEX($AC$1004:$AS$1004,1,MATCH(COLUMNS($AC$1006:AQ1006),$AC$1006:$AS$1006,0)))),"Fix")))</f>
        <v>0</v>
      </c>
      <c r="Q570" s="5">
        <f>IF(OR(INDEX($W$2:$W$1001,MATCH(ROWS($V$2:V570),$V$2:$V$1001,0),1)&gt;=100000,INDEX($AC$1005:$AS$1005,1,MATCH(COLUMNS($AC$1006:AR1006),$AC$1006:$AS$1006,0))&gt;=100000), " ",IF(INDEX($AC$2:$AS$1001,MATCH(ROWS($V$2:V570),$V$2:$V$1001,0),MATCH(COLUMNS($AC$1006:AR1006),$AC$1006:$AS$1006,0)), HYPERLINK("#",""), HYPERLINK(CONCATENATE("#Metadata!", ADDRESS(INDEX($X$2:$X$1001,MATCH(ROWS($V$2:V570),$V$2:$V$1001,0),0), INDEX($AC$1004:$AS$1004,1,MATCH(COLUMNS($AC$1006:AR1006),$AC$1006:$AS$1006,0)))),"Fix")))</f>
        <v>0</v>
      </c>
      <c r="R570" s="5">
        <f>IF(OR(INDEX($W$2:$W$1001,MATCH(ROWS($V$2:V570),$V$2:$V$1001,0),1)&gt;=100000,INDEX($AC$1005:$AS$1005,1,MATCH(COLUMNS($AC$1006:AS1006),$AC$1006:$AS$1006,0))&gt;=100000), " ",IF(INDEX($AC$2:$AS$1001,MATCH(ROWS($V$2:V570),$V$2:$V$1001,0),MATCH(COLUMNS($AC$1006:AS1006),$AC$1006:$AS$1006,0)), HYPERLINK("#",""), HYPERLINK(CONCATENATE("#Metadata!", ADDRESS(INDEX($X$2:$X$1001,MATCH(ROWS($V$2:V570),$V$2:$V$1001,0),0), INDEX($AC$1004:$AS$1004,1,MATCH(COLUMNS($AC$1006:AS1006),$AC$1006:$AS$1006,0)))),"Fix")))</f>
        <v>0</v>
      </c>
      <c r="V570">
        <v>0</v>
      </c>
      <c r="W570">
        <v>0</v>
      </c>
      <c r="X570">
        <v>0</v>
      </c>
      <c r="Y570">
        <f>IF(Z570,TRUE,AND(AC570:AS570))</f>
        <v>0</v>
      </c>
      <c r="Z570">
        <f>COUNTBLANK(Metadata!B570:R570)=COLUMNS(Metadata!B570:R570)</f>
        <v>0</v>
      </c>
      <c r="AA570">
        <v>0</v>
      </c>
      <c r="AC570">
        <f>AND(IF(Metadata!B570="",FALSE,TRUE),COUNTIF(Metadata!B:B, Metadata!B570) = 1,NOT(ISERROR(SUMPRODUCT(SEARCH(MID(Metadata!B570,ROW(INDIRECT("1:"&amp;LEN(Metadata!B570))), 1),"0123456789abcdefghijklmnopqrstuvwxyzABCDEFGHIJKLMNOPQRSTUVWXYZ.")))))</f>
        <v>0</v>
      </c>
      <c r="AD570">
        <f>AND(IF(Metadata!C570="",FALSE,TRUE),exact(Metadata!C570,"Host-associated"))</f>
        <v>0</v>
      </c>
      <c r="AE570">
        <f>AND(IF(Metadata!D570="",FALSE,TRUE),OR(exact(Metadata!D570,"Animal"),exact(Metadata!D570,"Fungus"),exact(Metadata!D570,"Plant")))</f>
        <v>0</v>
      </c>
      <c r="AF570">
        <f>AND(IF(Metadata!E570="",FALSE,TRUE),OR(exact(Metadata!E570,"Plant secretion"),exact(Metadata!E570,"Plant rhizosphere"),exact(Metadata!E570,"Plant surface"),exact(Metadata!E570,"Plant corpus"),exact(Metadata!E570,"Fungus surface"),exact(Metadata!E570,"Fungus corpus"),exact(Metadata!E570,"Animal surface"),exact(Metadata!E570,"Animal proximal gut"),exact(Metadata!E570,"Animal corpus"),exact(Metadata!E570,"Animal distal gut"),exact(Metadata!E570,"Animal secretion")))</f>
        <v>0</v>
      </c>
      <c r="AG570">
        <f>OR(AND(IF(Metadata!F570="",FALSE,TRUE),OR(exact(Metadata!F570,"not collected"),exact(Metadata!F570,"not provided"),exact(Metadata!F570,"restricted access"))),AND(IF(Metadata!F570="",FALSE,TRUE),OR(exact(Metadata!F570,"organism-associated habitat"),exact(Metadata!F570,"plant-associated habitat"),exact(Metadata!F570,"animal-associated habitat"),exact(Metadata!F570,"insecta-associated habitat"),exact(Metadata!F570,"mammalia-associated habitat"),exact(Metadata!F570,"human-associated habitat"),exact(Metadata!F570,"livestock-associated habitat"))))</f>
        <v>0</v>
      </c>
      <c r="AH570">
        <f>AND(IF(Metadata!G570="",FALSE,TRUE),exact(Metadata!G570,"host-associated"))</f>
        <v>0</v>
      </c>
      <c r="AI570">
        <f>OR(AND(IF(Metadata!H570="",FALSE,TRUE),OR(exact(Metadata!H570,"not collected"),exact(Metadata!H570,"not provided"))),AND(IF(Metadata!H570="",FALSE,ISNUMBER(VALUE(Metadata!H570))),Metadata!H570&gt;0))</f>
        <v>0</v>
      </c>
      <c r="AJ570">
        <f>AND(IF(Metadata!I570="",FALSE,TRUE),exact(Metadata!I570,"years"))</f>
        <v>0</v>
      </c>
      <c r="AK570">
        <f>IF(Metadata!J570="",FALSE,TRUE)</f>
        <v>0</v>
      </c>
      <c r="AL570">
        <f>OR(AND(IF(Metadata!K570="",FALSE,TRUE),OR(exact(Metadata!K570,"not collected"),exact(Metadata!K570,"not provided"))),AND(IF(Metadata!K570="",FALSE,ISNUMBER(VALUE(Metadata!K570))),Metadata!K570&gt;0))</f>
        <v>0</v>
      </c>
      <c r="AM570">
        <f>AND(IF(Metadata!L570="",FALSE,TRUE),exact(Metadata!L570,"cm"))</f>
        <v>0</v>
      </c>
      <c r="AN570">
        <f>IF(Metadata!M570="",FALSE,TRUE)</f>
        <v>0</v>
      </c>
      <c r="AO570">
        <f>OR(AND(IF(Metadata!N570="",FALSE,TRUE),OR(exact(Metadata!N570,"not applicable"),exact(Metadata!N570,"not collected"),exact(Metadata!N570,"not provided"))),AND(IF(Metadata!N570="",FALSE,IF(ISERROR(INT(Metadata!N570)),FALSE,INT(Metadata!N570)=Metadata!N570)),Metadata!N570&gt;0))</f>
        <v>0</v>
      </c>
      <c r="AP570">
        <f>OR(AND(IF(Metadata!O570="",FALSE,TRUE),OR(exact(Metadata!O570,"not collected"),exact(Metadata!O570,"not provided"))),AND(IF(Metadata!O570="",FALSE,ISNUMBER(VALUE(Metadata!O570))),Metadata!O570&gt;0))</f>
        <v>0</v>
      </c>
      <c r="AQ570">
        <f>AND(IF(Metadata!P570="",FALSE,TRUE),exact(Metadata!P570,"kg"))</f>
        <v>0</v>
      </c>
      <c r="AR570">
        <f>OR(AND(IF(Metadata!Q570="",FALSE,TRUE),OR(exact(Metadata!Q570,"not applicable"),exact(Metadata!Q570,"not collected"),exact(Metadata!Q570,"not provided"),exact(Metadata!Q570,"restricted access"))),IF(Metadata!Q570="",FALSE,IF(ISERROR(INT(Metadata!Q570)),FALSE,INT(Metadata!Q570)=Metadata!Q570)))</f>
        <v>0</v>
      </c>
      <c r="AS570">
        <f>AND(IF(Metadata!R570="",FALSE,TRUE),exact(Metadata!R570,"Not applicable"))</f>
        <v>0</v>
      </c>
    </row>
    <row r="571" spans="1:45">
      <c r="A571" s="4">
        <f>IF(B571=" "," ",HYPERLINK(CONCATENATE("#metadata!",ADDRESS(INDEX($X$2:$X$1001,MATCH(ROWS($V$2:V571),$V$2:$V$1001,0),0),2)),INDEX($AA$2:$AA$1001,MATCH(ROWS($V$2:V571),$V$2:$V$1001,0),0)))</f>
        <v>0</v>
      </c>
      <c r="B571" s="5">
        <f>IF(OR(INDEX($W$2:$W$1001,MATCH(ROWS($V$2:V571),$V$2:$V$1001,0),1)&gt;=100000,INDEX($AC$1005:$AS$1005,1,MATCH(COLUMNS($AC$1006:AC1006),$AC$1006:$AS$1006,0))&gt;=100000), " ",IF(INDEX($AC$2:$AS$1001,MATCH(ROWS($V$2:V571),$V$2:$V$1001,0),MATCH(COLUMNS($AC$1006:AC1006),$AC$1006:$AS$1006,0)), HYPERLINK("#",""), HYPERLINK(CONCATENATE("#Metadata!", ADDRESS(INDEX($X$2:$X$1001,MATCH(ROWS($V$2:V571),$V$2:$V$1001,0),0), INDEX($AC$1004:$AS$1004,1,MATCH(COLUMNS($AC$1006:AC1006),$AC$1006:$AS$1006,0)))),"Fix")))</f>
        <v>0</v>
      </c>
      <c r="C571" s="5">
        <f>IF(OR(INDEX($W$2:$W$1001,MATCH(ROWS($V$2:V571),$V$2:$V$1001,0),1)&gt;=100000,INDEX($AC$1005:$AS$1005,1,MATCH(COLUMNS($AC$1006:AD1006),$AC$1006:$AS$1006,0))&gt;=100000), " ",IF(INDEX($AC$2:$AS$1001,MATCH(ROWS($V$2:V571),$V$2:$V$1001,0),MATCH(COLUMNS($AC$1006:AD1006),$AC$1006:$AS$1006,0)), HYPERLINK("#",""), HYPERLINK(CONCATENATE("#Metadata!", ADDRESS(INDEX($X$2:$X$1001,MATCH(ROWS($V$2:V571),$V$2:$V$1001,0),0), INDEX($AC$1004:$AS$1004,1,MATCH(COLUMNS($AC$1006:AD1006),$AC$1006:$AS$1006,0)))),"Fix")))</f>
        <v>0</v>
      </c>
      <c r="D571" s="5">
        <f>IF(OR(INDEX($W$2:$W$1001,MATCH(ROWS($V$2:V571),$V$2:$V$1001,0),1)&gt;=100000,INDEX($AC$1005:$AS$1005,1,MATCH(COLUMNS($AC$1006:AE1006),$AC$1006:$AS$1006,0))&gt;=100000), " ",IF(INDEX($AC$2:$AS$1001,MATCH(ROWS($V$2:V571),$V$2:$V$1001,0),MATCH(COLUMNS($AC$1006:AE1006),$AC$1006:$AS$1006,0)), HYPERLINK("#",""), HYPERLINK(CONCATENATE("#Metadata!", ADDRESS(INDEX($X$2:$X$1001,MATCH(ROWS($V$2:V571),$V$2:$V$1001,0),0), INDEX($AC$1004:$AS$1004,1,MATCH(COLUMNS($AC$1006:AE1006),$AC$1006:$AS$1006,0)))),"Fix")))</f>
        <v>0</v>
      </c>
      <c r="E571" s="5">
        <f>IF(OR(INDEX($W$2:$W$1001,MATCH(ROWS($V$2:V571),$V$2:$V$1001,0),1)&gt;=100000,INDEX($AC$1005:$AS$1005,1,MATCH(COLUMNS($AC$1006:AF1006),$AC$1006:$AS$1006,0))&gt;=100000), " ",IF(INDEX($AC$2:$AS$1001,MATCH(ROWS($V$2:V571),$V$2:$V$1001,0),MATCH(COLUMNS($AC$1006:AF1006),$AC$1006:$AS$1006,0)), HYPERLINK("#",""), HYPERLINK(CONCATENATE("#Metadata!", ADDRESS(INDEX($X$2:$X$1001,MATCH(ROWS($V$2:V571),$V$2:$V$1001,0),0), INDEX($AC$1004:$AS$1004,1,MATCH(COLUMNS($AC$1006:AF1006),$AC$1006:$AS$1006,0)))),"Fix")))</f>
        <v>0</v>
      </c>
      <c r="F571" s="5">
        <f>IF(OR(INDEX($W$2:$W$1001,MATCH(ROWS($V$2:V571),$V$2:$V$1001,0),1)&gt;=100000,INDEX($AC$1005:$AS$1005,1,MATCH(COLUMNS($AC$1006:AG1006),$AC$1006:$AS$1006,0))&gt;=100000), " ",IF(INDEX($AC$2:$AS$1001,MATCH(ROWS($V$2:V571),$V$2:$V$1001,0),MATCH(COLUMNS($AC$1006:AG1006),$AC$1006:$AS$1006,0)), HYPERLINK("#",""), HYPERLINK(CONCATENATE("#Metadata!", ADDRESS(INDEX($X$2:$X$1001,MATCH(ROWS($V$2:V571),$V$2:$V$1001,0),0), INDEX($AC$1004:$AS$1004,1,MATCH(COLUMNS($AC$1006:AG1006),$AC$1006:$AS$1006,0)))),"Fix")))</f>
        <v>0</v>
      </c>
      <c r="G571" s="5">
        <f>IF(OR(INDEX($W$2:$W$1001,MATCH(ROWS($V$2:V571),$V$2:$V$1001,0),1)&gt;=100000,INDEX($AC$1005:$AS$1005,1,MATCH(COLUMNS($AC$1006:AH1006),$AC$1006:$AS$1006,0))&gt;=100000), " ",IF(INDEX($AC$2:$AS$1001,MATCH(ROWS($V$2:V571),$V$2:$V$1001,0),MATCH(COLUMNS($AC$1006:AH1006),$AC$1006:$AS$1006,0)), HYPERLINK("#",""), HYPERLINK(CONCATENATE("#Metadata!", ADDRESS(INDEX($X$2:$X$1001,MATCH(ROWS($V$2:V571),$V$2:$V$1001,0),0), INDEX($AC$1004:$AS$1004,1,MATCH(COLUMNS($AC$1006:AH1006),$AC$1006:$AS$1006,0)))),"Fix")))</f>
        <v>0</v>
      </c>
      <c r="H571" s="5">
        <f>IF(OR(INDEX($W$2:$W$1001,MATCH(ROWS($V$2:V571),$V$2:$V$1001,0),1)&gt;=100000,INDEX($AC$1005:$AS$1005,1,MATCH(COLUMNS($AC$1006:AI1006),$AC$1006:$AS$1006,0))&gt;=100000), " ",IF(INDEX($AC$2:$AS$1001,MATCH(ROWS($V$2:V571),$V$2:$V$1001,0),MATCH(COLUMNS($AC$1006:AI1006),$AC$1006:$AS$1006,0)), HYPERLINK("#",""), HYPERLINK(CONCATENATE("#Metadata!", ADDRESS(INDEX($X$2:$X$1001,MATCH(ROWS($V$2:V571),$V$2:$V$1001,0),0), INDEX($AC$1004:$AS$1004,1,MATCH(COLUMNS($AC$1006:AI1006),$AC$1006:$AS$1006,0)))),"Fix")))</f>
        <v>0</v>
      </c>
      <c r="I571" s="5">
        <f>IF(OR(INDEX($W$2:$W$1001,MATCH(ROWS($V$2:V571),$V$2:$V$1001,0),1)&gt;=100000,INDEX($AC$1005:$AS$1005,1,MATCH(COLUMNS($AC$1006:AJ1006),$AC$1006:$AS$1006,0))&gt;=100000), " ",IF(INDEX($AC$2:$AS$1001,MATCH(ROWS($V$2:V571),$V$2:$V$1001,0),MATCH(COLUMNS($AC$1006:AJ1006),$AC$1006:$AS$1006,0)), HYPERLINK("#",""), HYPERLINK(CONCATENATE("#Metadata!", ADDRESS(INDEX($X$2:$X$1001,MATCH(ROWS($V$2:V571),$V$2:$V$1001,0),0), INDEX($AC$1004:$AS$1004,1,MATCH(COLUMNS($AC$1006:AJ1006),$AC$1006:$AS$1006,0)))),"Fix")))</f>
        <v>0</v>
      </c>
      <c r="J571" s="5">
        <f>IF(OR(INDEX($W$2:$W$1001,MATCH(ROWS($V$2:V571),$V$2:$V$1001,0),1)&gt;=100000,INDEX($AC$1005:$AS$1005,1,MATCH(COLUMNS($AC$1006:AK1006),$AC$1006:$AS$1006,0))&gt;=100000), " ",IF(INDEX($AC$2:$AS$1001,MATCH(ROWS($V$2:V571),$V$2:$V$1001,0),MATCH(COLUMNS($AC$1006:AK1006),$AC$1006:$AS$1006,0)), HYPERLINK("#",""), HYPERLINK(CONCATENATE("#Metadata!", ADDRESS(INDEX($X$2:$X$1001,MATCH(ROWS($V$2:V571),$V$2:$V$1001,0),0), INDEX($AC$1004:$AS$1004,1,MATCH(COLUMNS($AC$1006:AK1006),$AC$1006:$AS$1006,0)))),"Fix")))</f>
        <v>0</v>
      </c>
      <c r="K571" s="5">
        <f>IF(OR(INDEX($W$2:$W$1001,MATCH(ROWS($V$2:V571),$V$2:$V$1001,0),1)&gt;=100000,INDEX($AC$1005:$AS$1005,1,MATCH(COLUMNS($AC$1006:AL1006),$AC$1006:$AS$1006,0))&gt;=100000), " ",IF(INDEX($AC$2:$AS$1001,MATCH(ROWS($V$2:V571),$V$2:$V$1001,0),MATCH(COLUMNS($AC$1006:AL1006),$AC$1006:$AS$1006,0)), HYPERLINK("#",""), HYPERLINK(CONCATENATE("#Metadata!", ADDRESS(INDEX($X$2:$X$1001,MATCH(ROWS($V$2:V571),$V$2:$V$1001,0),0), INDEX($AC$1004:$AS$1004,1,MATCH(COLUMNS($AC$1006:AL1006),$AC$1006:$AS$1006,0)))),"Fix")))</f>
        <v>0</v>
      </c>
      <c r="L571" s="5">
        <f>IF(OR(INDEX($W$2:$W$1001,MATCH(ROWS($V$2:V571),$V$2:$V$1001,0),1)&gt;=100000,INDEX($AC$1005:$AS$1005,1,MATCH(COLUMNS($AC$1006:AM1006),$AC$1006:$AS$1006,0))&gt;=100000), " ",IF(INDEX($AC$2:$AS$1001,MATCH(ROWS($V$2:V571),$V$2:$V$1001,0),MATCH(COLUMNS($AC$1006:AM1006),$AC$1006:$AS$1006,0)), HYPERLINK("#",""), HYPERLINK(CONCATENATE("#Metadata!", ADDRESS(INDEX($X$2:$X$1001,MATCH(ROWS($V$2:V571),$V$2:$V$1001,0),0), INDEX($AC$1004:$AS$1004,1,MATCH(COLUMNS($AC$1006:AM1006),$AC$1006:$AS$1006,0)))),"Fix")))</f>
        <v>0</v>
      </c>
      <c r="M571" s="5">
        <f>IF(OR(INDEX($W$2:$W$1001,MATCH(ROWS($V$2:V571),$V$2:$V$1001,0),1)&gt;=100000,INDEX($AC$1005:$AS$1005,1,MATCH(COLUMNS($AC$1006:AN1006),$AC$1006:$AS$1006,0))&gt;=100000), " ",IF(INDEX($AC$2:$AS$1001,MATCH(ROWS($V$2:V571),$V$2:$V$1001,0),MATCH(COLUMNS($AC$1006:AN1006),$AC$1006:$AS$1006,0)), HYPERLINK("#",""), HYPERLINK(CONCATENATE("#Metadata!", ADDRESS(INDEX($X$2:$X$1001,MATCH(ROWS($V$2:V571),$V$2:$V$1001,0),0), INDEX($AC$1004:$AS$1004,1,MATCH(COLUMNS($AC$1006:AN1006),$AC$1006:$AS$1006,0)))),"Fix")))</f>
        <v>0</v>
      </c>
      <c r="N571" s="5">
        <f>IF(OR(INDEX($W$2:$W$1001,MATCH(ROWS($V$2:V571),$V$2:$V$1001,0),1)&gt;=100000,INDEX($AC$1005:$AS$1005,1,MATCH(COLUMNS($AC$1006:AO1006),$AC$1006:$AS$1006,0))&gt;=100000), " ",IF(INDEX($AC$2:$AS$1001,MATCH(ROWS($V$2:V571),$V$2:$V$1001,0),MATCH(COLUMNS($AC$1006:AO1006),$AC$1006:$AS$1006,0)), HYPERLINK("#",""), HYPERLINK(CONCATENATE("#Metadata!", ADDRESS(INDEX($X$2:$X$1001,MATCH(ROWS($V$2:V571),$V$2:$V$1001,0),0), INDEX($AC$1004:$AS$1004,1,MATCH(COLUMNS($AC$1006:AO1006),$AC$1006:$AS$1006,0)))),"Fix")))</f>
        <v>0</v>
      </c>
      <c r="O571" s="5">
        <f>IF(OR(INDEX($W$2:$W$1001,MATCH(ROWS($V$2:V571),$V$2:$V$1001,0),1)&gt;=100000,INDEX($AC$1005:$AS$1005,1,MATCH(COLUMNS($AC$1006:AP1006),$AC$1006:$AS$1006,0))&gt;=100000), " ",IF(INDEX($AC$2:$AS$1001,MATCH(ROWS($V$2:V571),$V$2:$V$1001,0),MATCH(COLUMNS($AC$1006:AP1006),$AC$1006:$AS$1006,0)), HYPERLINK("#",""), HYPERLINK(CONCATENATE("#Metadata!", ADDRESS(INDEX($X$2:$X$1001,MATCH(ROWS($V$2:V571),$V$2:$V$1001,0),0), INDEX($AC$1004:$AS$1004,1,MATCH(COLUMNS($AC$1006:AP1006),$AC$1006:$AS$1006,0)))),"Fix")))</f>
        <v>0</v>
      </c>
      <c r="P571" s="5">
        <f>IF(OR(INDEX($W$2:$W$1001,MATCH(ROWS($V$2:V571),$V$2:$V$1001,0),1)&gt;=100000,INDEX($AC$1005:$AS$1005,1,MATCH(COLUMNS($AC$1006:AQ1006),$AC$1006:$AS$1006,0))&gt;=100000), " ",IF(INDEX($AC$2:$AS$1001,MATCH(ROWS($V$2:V571),$V$2:$V$1001,0),MATCH(COLUMNS($AC$1006:AQ1006),$AC$1006:$AS$1006,0)), HYPERLINK("#",""), HYPERLINK(CONCATENATE("#Metadata!", ADDRESS(INDEX($X$2:$X$1001,MATCH(ROWS($V$2:V571),$V$2:$V$1001,0),0), INDEX($AC$1004:$AS$1004,1,MATCH(COLUMNS($AC$1006:AQ1006),$AC$1006:$AS$1006,0)))),"Fix")))</f>
        <v>0</v>
      </c>
      <c r="Q571" s="5">
        <f>IF(OR(INDEX($W$2:$W$1001,MATCH(ROWS($V$2:V571),$V$2:$V$1001,0),1)&gt;=100000,INDEX($AC$1005:$AS$1005,1,MATCH(COLUMNS($AC$1006:AR1006),$AC$1006:$AS$1006,0))&gt;=100000), " ",IF(INDEX($AC$2:$AS$1001,MATCH(ROWS($V$2:V571),$V$2:$V$1001,0),MATCH(COLUMNS($AC$1006:AR1006),$AC$1006:$AS$1006,0)), HYPERLINK("#",""), HYPERLINK(CONCATENATE("#Metadata!", ADDRESS(INDEX($X$2:$X$1001,MATCH(ROWS($V$2:V571),$V$2:$V$1001,0),0), INDEX($AC$1004:$AS$1004,1,MATCH(COLUMNS($AC$1006:AR1006),$AC$1006:$AS$1006,0)))),"Fix")))</f>
        <v>0</v>
      </c>
      <c r="R571" s="5">
        <f>IF(OR(INDEX($W$2:$W$1001,MATCH(ROWS($V$2:V571),$V$2:$V$1001,0),1)&gt;=100000,INDEX($AC$1005:$AS$1005,1,MATCH(COLUMNS($AC$1006:AS1006),$AC$1006:$AS$1006,0))&gt;=100000), " ",IF(INDEX($AC$2:$AS$1001,MATCH(ROWS($V$2:V571),$V$2:$V$1001,0),MATCH(COLUMNS($AC$1006:AS1006),$AC$1006:$AS$1006,0)), HYPERLINK("#",""), HYPERLINK(CONCATENATE("#Metadata!", ADDRESS(INDEX($X$2:$X$1001,MATCH(ROWS($V$2:V571),$V$2:$V$1001,0),0), INDEX($AC$1004:$AS$1004,1,MATCH(COLUMNS($AC$1006:AS1006),$AC$1006:$AS$1006,0)))),"Fix")))</f>
        <v>0</v>
      </c>
      <c r="V571">
        <v>0</v>
      </c>
      <c r="W571">
        <v>0</v>
      </c>
      <c r="X571">
        <v>0</v>
      </c>
      <c r="Y571">
        <f>IF(Z571,TRUE,AND(AC571:AS571))</f>
        <v>0</v>
      </c>
      <c r="Z571">
        <f>COUNTBLANK(Metadata!B571:R571)=COLUMNS(Metadata!B571:R571)</f>
        <v>0</v>
      </c>
      <c r="AA571">
        <v>0</v>
      </c>
      <c r="AC571">
        <f>AND(IF(Metadata!B571="",FALSE,TRUE),COUNTIF(Metadata!B:B, Metadata!B571) = 1,NOT(ISERROR(SUMPRODUCT(SEARCH(MID(Metadata!B571,ROW(INDIRECT("1:"&amp;LEN(Metadata!B571))), 1),"0123456789abcdefghijklmnopqrstuvwxyzABCDEFGHIJKLMNOPQRSTUVWXYZ.")))))</f>
        <v>0</v>
      </c>
      <c r="AD571">
        <f>AND(IF(Metadata!C571="",FALSE,TRUE),exact(Metadata!C571,"Host-associated"))</f>
        <v>0</v>
      </c>
      <c r="AE571">
        <f>AND(IF(Metadata!D571="",FALSE,TRUE),OR(exact(Metadata!D571,"Animal"),exact(Metadata!D571,"Fungus"),exact(Metadata!D571,"Plant")))</f>
        <v>0</v>
      </c>
      <c r="AF571">
        <f>AND(IF(Metadata!E571="",FALSE,TRUE),OR(exact(Metadata!E571,"Plant secretion"),exact(Metadata!E571,"Plant rhizosphere"),exact(Metadata!E571,"Plant surface"),exact(Metadata!E571,"Plant corpus"),exact(Metadata!E571,"Fungus surface"),exact(Metadata!E571,"Fungus corpus"),exact(Metadata!E571,"Animal surface"),exact(Metadata!E571,"Animal proximal gut"),exact(Metadata!E571,"Animal corpus"),exact(Metadata!E571,"Animal distal gut"),exact(Metadata!E571,"Animal secretion")))</f>
        <v>0</v>
      </c>
      <c r="AG571">
        <f>OR(AND(IF(Metadata!F571="",FALSE,TRUE),OR(exact(Metadata!F571,"not collected"),exact(Metadata!F571,"not provided"),exact(Metadata!F571,"restricted access"))),AND(IF(Metadata!F571="",FALSE,TRUE),OR(exact(Metadata!F571,"organism-associated habitat"),exact(Metadata!F571,"plant-associated habitat"),exact(Metadata!F571,"animal-associated habitat"),exact(Metadata!F571,"insecta-associated habitat"),exact(Metadata!F571,"mammalia-associated habitat"),exact(Metadata!F571,"human-associated habitat"),exact(Metadata!F571,"livestock-associated habitat"))))</f>
        <v>0</v>
      </c>
      <c r="AH571">
        <f>AND(IF(Metadata!G571="",FALSE,TRUE),exact(Metadata!G571,"host-associated"))</f>
        <v>0</v>
      </c>
      <c r="AI571">
        <f>OR(AND(IF(Metadata!H571="",FALSE,TRUE),OR(exact(Metadata!H571,"not collected"),exact(Metadata!H571,"not provided"))),AND(IF(Metadata!H571="",FALSE,ISNUMBER(VALUE(Metadata!H571))),Metadata!H571&gt;0))</f>
        <v>0</v>
      </c>
      <c r="AJ571">
        <f>AND(IF(Metadata!I571="",FALSE,TRUE),exact(Metadata!I571,"years"))</f>
        <v>0</v>
      </c>
      <c r="AK571">
        <f>IF(Metadata!J571="",FALSE,TRUE)</f>
        <v>0</v>
      </c>
      <c r="AL571">
        <f>OR(AND(IF(Metadata!K571="",FALSE,TRUE),OR(exact(Metadata!K571,"not collected"),exact(Metadata!K571,"not provided"))),AND(IF(Metadata!K571="",FALSE,ISNUMBER(VALUE(Metadata!K571))),Metadata!K571&gt;0))</f>
        <v>0</v>
      </c>
      <c r="AM571">
        <f>AND(IF(Metadata!L571="",FALSE,TRUE),exact(Metadata!L571,"cm"))</f>
        <v>0</v>
      </c>
      <c r="AN571">
        <f>IF(Metadata!M571="",FALSE,TRUE)</f>
        <v>0</v>
      </c>
      <c r="AO571">
        <f>OR(AND(IF(Metadata!N571="",FALSE,TRUE),OR(exact(Metadata!N571,"not applicable"),exact(Metadata!N571,"not collected"),exact(Metadata!N571,"not provided"))),AND(IF(Metadata!N571="",FALSE,IF(ISERROR(INT(Metadata!N571)),FALSE,INT(Metadata!N571)=Metadata!N571)),Metadata!N571&gt;0))</f>
        <v>0</v>
      </c>
      <c r="AP571">
        <f>OR(AND(IF(Metadata!O571="",FALSE,TRUE),OR(exact(Metadata!O571,"not collected"),exact(Metadata!O571,"not provided"))),AND(IF(Metadata!O571="",FALSE,ISNUMBER(VALUE(Metadata!O571))),Metadata!O571&gt;0))</f>
        <v>0</v>
      </c>
      <c r="AQ571">
        <f>AND(IF(Metadata!P571="",FALSE,TRUE),exact(Metadata!P571,"kg"))</f>
        <v>0</v>
      </c>
      <c r="AR571">
        <f>OR(AND(IF(Metadata!Q571="",FALSE,TRUE),OR(exact(Metadata!Q571,"not applicable"),exact(Metadata!Q571,"not collected"),exact(Metadata!Q571,"not provided"),exact(Metadata!Q571,"restricted access"))),IF(Metadata!Q571="",FALSE,IF(ISERROR(INT(Metadata!Q571)),FALSE,INT(Metadata!Q571)=Metadata!Q571)))</f>
        <v>0</v>
      </c>
      <c r="AS571">
        <f>AND(IF(Metadata!R571="",FALSE,TRUE),exact(Metadata!R571,"Not applicable"))</f>
        <v>0</v>
      </c>
    </row>
    <row r="572" spans="1:45">
      <c r="A572" s="4">
        <f>IF(B572=" "," ",HYPERLINK(CONCATENATE("#metadata!",ADDRESS(INDEX($X$2:$X$1001,MATCH(ROWS($V$2:V572),$V$2:$V$1001,0),0),2)),INDEX($AA$2:$AA$1001,MATCH(ROWS($V$2:V572),$V$2:$V$1001,0),0)))</f>
        <v>0</v>
      </c>
      <c r="B572" s="5">
        <f>IF(OR(INDEX($W$2:$W$1001,MATCH(ROWS($V$2:V572),$V$2:$V$1001,0),1)&gt;=100000,INDEX($AC$1005:$AS$1005,1,MATCH(COLUMNS($AC$1006:AC1006),$AC$1006:$AS$1006,0))&gt;=100000), " ",IF(INDEX($AC$2:$AS$1001,MATCH(ROWS($V$2:V572),$V$2:$V$1001,0),MATCH(COLUMNS($AC$1006:AC1006),$AC$1006:$AS$1006,0)), HYPERLINK("#",""), HYPERLINK(CONCATENATE("#Metadata!", ADDRESS(INDEX($X$2:$X$1001,MATCH(ROWS($V$2:V572),$V$2:$V$1001,0),0), INDEX($AC$1004:$AS$1004,1,MATCH(COLUMNS($AC$1006:AC1006),$AC$1006:$AS$1006,0)))),"Fix")))</f>
        <v>0</v>
      </c>
      <c r="C572" s="5">
        <f>IF(OR(INDEX($W$2:$W$1001,MATCH(ROWS($V$2:V572),$V$2:$V$1001,0),1)&gt;=100000,INDEX($AC$1005:$AS$1005,1,MATCH(COLUMNS($AC$1006:AD1006),$AC$1006:$AS$1006,0))&gt;=100000), " ",IF(INDEX($AC$2:$AS$1001,MATCH(ROWS($V$2:V572),$V$2:$V$1001,0),MATCH(COLUMNS($AC$1006:AD1006),$AC$1006:$AS$1006,0)), HYPERLINK("#",""), HYPERLINK(CONCATENATE("#Metadata!", ADDRESS(INDEX($X$2:$X$1001,MATCH(ROWS($V$2:V572),$V$2:$V$1001,0),0), INDEX($AC$1004:$AS$1004,1,MATCH(COLUMNS($AC$1006:AD1006),$AC$1006:$AS$1006,0)))),"Fix")))</f>
        <v>0</v>
      </c>
      <c r="D572" s="5">
        <f>IF(OR(INDEX($W$2:$W$1001,MATCH(ROWS($V$2:V572),$V$2:$V$1001,0),1)&gt;=100000,INDEX($AC$1005:$AS$1005,1,MATCH(COLUMNS($AC$1006:AE1006),$AC$1006:$AS$1006,0))&gt;=100000), " ",IF(INDEX($AC$2:$AS$1001,MATCH(ROWS($V$2:V572),$V$2:$V$1001,0),MATCH(COLUMNS($AC$1006:AE1006),$AC$1006:$AS$1006,0)), HYPERLINK("#",""), HYPERLINK(CONCATENATE("#Metadata!", ADDRESS(INDEX($X$2:$X$1001,MATCH(ROWS($V$2:V572),$V$2:$V$1001,0),0), INDEX($AC$1004:$AS$1004,1,MATCH(COLUMNS($AC$1006:AE1006),$AC$1006:$AS$1006,0)))),"Fix")))</f>
        <v>0</v>
      </c>
      <c r="E572" s="5">
        <f>IF(OR(INDEX($W$2:$W$1001,MATCH(ROWS($V$2:V572),$V$2:$V$1001,0),1)&gt;=100000,INDEX($AC$1005:$AS$1005,1,MATCH(COLUMNS($AC$1006:AF1006),$AC$1006:$AS$1006,0))&gt;=100000), " ",IF(INDEX($AC$2:$AS$1001,MATCH(ROWS($V$2:V572),$V$2:$V$1001,0),MATCH(COLUMNS($AC$1006:AF1006),$AC$1006:$AS$1006,0)), HYPERLINK("#",""), HYPERLINK(CONCATENATE("#Metadata!", ADDRESS(INDEX($X$2:$X$1001,MATCH(ROWS($V$2:V572),$V$2:$V$1001,0),0), INDEX($AC$1004:$AS$1004,1,MATCH(COLUMNS($AC$1006:AF1006),$AC$1006:$AS$1006,0)))),"Fix")))</f>
        <v>0</v>
      </c>
      <c r="F572" s="5">
        <f>IF(OR(INDEX($W$2:$W$1001,MATCH(ROWS($V$2:V572),$V$2:$V$1001,0),1)&gt;=100000,INDEX($AC$1005:$AS$1005,1,MATCH(COLUMNS($AC$1006:AG1006),$AC$1006:$AS$1006,0))&gt;=100000), " ",IF(INDEX($AC$2:$AS$1001,MATCH(ROWS($V$2:V572),$V$2:$V$1001,0),MATCH(COLUMNS($AC$1006:AG1006),$AC$1006:$AS$1006,0)), HYPERLINK("#",""), HYPERLINK(CONCATENATE("#Metadata!", ADDRESS(INDEX($X$2:$X$1001,MATCH(ROWS($V$2:V572),$V$2:$V$1001,0),0), INDEX($AC$1004:$AS$1004,1,MATCH(COLUMNS($AC$1006:AG1006),$AC$1006:$AS$1006,0)))),"Fix")))</f>
        <v>0</v>
      </c>
      <c r="G572" s="5">
        <f>IF(OR(INDEX($W$2:$W$1001,MATCH(ROWS($V$2:V572),$V$2:$V$1001,0),1)&gt;=100000,INDEX($AC$1005:$AS$1005,1,MATCH(COLUMNS($AC$1006:AH1006),$AC$1006:$AS$1006,0))&gt;=100000), " ",IF(INDEX($AC$2:$AS$1001,MATCH(ROWS($V$2:V572),$V$2:$V$1001,0),MATCH(COLUMNS($AC$1006:AH1006),$AC$1006:$AS$1006,0)), HYPERLINK("#",""), HYPERLINK(CONCATENATE("#Metadata!", ADDRESS(INDEX($X$2:$X$1001,MATCH(ROWS($V$2:V572),$V$2:$V$1001,0),0), INDEX($AC$1004:$AS$1004,1,MATCH(COLUMNS($AC$1006:AH1006),$AC$1006:$AS$1006,0)))),"Fix")))</f>
        <v>0</v>
      </c>
      <c r="H572" s="5">
        <f>IF(OR(INDEX($W$2:$W$1001,MATCH(ROWS($V$2:V572),$V$2:$V$1001,0),1)&gt;=100000,INDEX($AC$1005:$AS$1005,1,MATCH(COLUMNS($AC$1006:AI1006),$AC$1006:$AS$1006,0))&gt;=100000), " ",IF(INDEX($AC$2:$AS$1001,MATCH(ROWS($V$2:V572),$V$2:$V$1001,0),MATCH(COLUMNS($AC$1006:AI1006),$AC$1006:$AS$1006,0)), HYPERLINK("#",""), HYPERLINK(CONCATENATE("#Metadata!", ADDRESS(INDEX($X$2:$X$1001,MATCH(ROWS($V$2:V572),$V$2:$V$1001,0),0), INDEX($AC$1004:$AS$1004,1,MATCH(COLUMNS($AC$1006:AI1006),$AC$1006:$AS$1006,0)))),"Fix")))</f>
        <v>0</v>
      </c>
      <c r="I572" s="5">
        <f>IF(OR(INDEX($W$2:$W$1001,MATCH(ROWS($V$2:V572),$V$2:$V$1001,0),1)&gt;=100000,INDEX($AC$1005:$AS$1005,1,MATCH(COLUMNS($AC$1006:AJ1006),$AC$1006:$AS$1006,0))&gt;=100000), " ",IF(INDEX($AC$2:$AS$1001,MATCH(ROWS($V$2:V572),$V$2:$V$1001,0),MATCH(COLUMNS($AC$1006:AJ1006),$AC$1006:$AS$1006,0)), HYPERLINK("#",""), HYPERLINK(CONCATENATE("#Metadata!", ADDRESS(INDEX($X$2:$X$1001,MATCH(ROWS($V$2:V572),$V$2:$V$1001,0),0), INDEX($AC$1004:$AS$1004,1,MATCH(COLUMNS($AC$1006:AJ1006),$AC$1006:$AS$1006,0)))),"Fix")))</f>
        <v>0</v>
      </c>
      <c r="J572" s="5">
        <f>IF(OR(INDEX($W$2:$W$1001,MATCH(ROWS($V$2:V572),$V$2:$V$1001,0),1)&gt;=100000,INDEX($AC$1005:$AS$1005,1,MATCH(COLUMNS($AC$1006:AK1006),$AC$1006:$AS$1006,0))&gt;=100000), " ",IF(INDEX($AC$2:$AS$1001,MATCH(ROWS($V$2:V572),$V$2:$V$1001,0),MATCH(COLUMNS($AC$1006:AK1006),$AC$1006:$AS$1006,0)), HYPERLINK("#",""), HYPERLINK(CONCATENATE("#Metadata!", ADDRESS(INDEX($X$2:$X$1001,MATCH(ROWS($V$2:V572),$V$2:$V$1001,0),0), INDEX($AC$1004:$AS$1004,1,MATCH(COLUMNS($AC$1006:AK1006),$AC$1006:$AS$1006,0)))),"Fix")))</f>
        <v>0</v>
      </c>
      <c r="K572" s="5">
        <f>IF(OR(INDEX($W$2:$W$1001,MATCH(ROWS($V$2:V572),$V$2:$V$1001,0),1)&gt;=100000,INDEX($AC$1005:$AS$1005,1,MATCH(COLUMNS($AC$1006:AL1006),$AC$1006:$AS$1006,0))&gt;=100000), " ",IF(INDEX($AC$2:$AS$1001,MATCH(ROWS($V$2:V572),$V$2:$V$1001,0),MATCH(COLUMNS($AC$1006:AL1006),$AC$1006:$AS$1006,0)), HYPERLINK("#",""), HYPERLINK(CONCATENATE("#Metadata!", ADDRESS(INDEX($X$2:$X$1001,MATCH(ROWS($V$2:V572),$V$2:$V$1001,0),0), INDEX($AC$1004:$AS$1004,1,MATCH(COLUMNS($AC$1006:AL1006),$AC$1006:$AS$1006,0)))),"Fix")))</f>
        <v>0</v>
      </c>
      <c r="L572" s="5">
        <f>IF(OR(INDEX($W$2:$W$1001,MATCH(ROWS($V$2:V572),$V$2:$V$1001,0),1)&gt;=100000,INDEX($AC$1005:$AS$1005,1,MATCH(COLUMNS($AC$1006:AM1006),$AC$1006:$AS$1006,0))&gt;=100000), " ",IF(INDEX($AC$2:$AS$1001,MATCH(ROWS($V$2:V572),$V$2:$V$1001,0),MATCH(COLUMNS($AC$1006:AM1006),$AC$1006:$AS$1006,0)), HYPERLINK("#",""), HYPERLINK(CONCATENATE("#Metadata!", ADDRESS(INDEX($X$2:$X$1001,MATCH(ROWS($V$2:V572),$V$2:$V$1001,0),0), INDEX($AC$1004:$AS$1004,1,MATCH(COLUMNS($AC$1006:AM1006),$AC$1006:$AS$1006,0)))),"Fix")))</f>
        <v>0</v>
      </c>
      <c r="M572" s="5">
        <f>IF(OR(INDEX($W$2:$W$1001,MATCH(ROWS($V$2:V572),$V$2:$V$1001,0),1)&gt;=100000,INDEX($AC$1005:$AS$1005,1,MATCH(COLUMNS($AC$1006:AN1006),$AC$1006:$AS$1006,0))&gt;=100000), " ",IF(INDEX($AC$2:$AS$1001,MATCH(ROWS($V$2:V572),$V$2:$V$1001,0),MATCH(COLUMNS($AC$1006:AN1006),$AC$1006:$AS$1006,0)), HYPERLINK("#",""), HYPERLINK(CONCATENATE("#Metadata!", ADDRESS(INDEX($X$2:$X$1001,MATCH(ROWS($V$2:V572),$V$2:$V$1001,0),0), INDEX($AC$1004:$AS$1004,1,MATCH(COLUMNS($AC$1006:AN1006),$AC$1006:$AS$1006,0)))),"Fix")))</f>
        <v>0</v>
      </c>
      <c r="N572" s="5">
        <f>IF(OR(INDEX($W$2:$W$1001,MATCH(ROWS($V$2:V572),$V$2:$V$1001,0),1)&gt;=100000,INDEX($AC$1005:$AS$1005,1,MATCH(COLUMNS($AC$1006:AO1006),$AC$1006:$AS$1006,0))&gt;=100000), " ",IF(INDEX($AC$2:$AS$1001,MATCH(ROWS($V$2:V572),$V$2:$V$1001,0),MATCH(COLUMNS($AC$1006:AO1006),$AC$1006:$AS$1006,0)), HYPERLINK("#",""), HYPERLINK(CONCATENATE("#Metadata!", ADDRESS(INDEX($X$2:$X$1001,MATCH(ROWS($V$2:V572),$V$2:$V$1001,0),0), INDEX($AC$1004:$AS$1004,1,MATCH(COLUMNS($AC$1006:AO1006),$AC$1006:$AS$1006,0)))),"Fix")))</f>
        <v>0</v>
      </c>
      <c r="O572" s="5">
        <f>IF(OR(INDEX($W$2:$W$1001,MATCH(ROWS($V$2:V572),$V$2:$V$1001,0),1)&gt;=100000,INDEX($AC$1005:$AS$1005,1,MATCH(COLUMNS($AC$1006:AP1006),$AC$1006:$AS$1006,0))&gt;=100000), " ",IF(INDEX($AC$2:$AS$1001,MATCH(ROWS($V$2:V572),$V$2:$V$1001,0),MATCH(COLUMNS($AC$1006:AP1006),$AC$1006:$AS$1006,0)), HYPERLINK("#",""), HYPERLINK(CONCATENATE("#Metadata!", ADDRESS(INDEX($X$2:$X$1001,MATCH(ROWS($V$2:V572),$V$2:$V$1001,0),0), INDEX($AC$1004:$AS$1004,1,MATCH(COLUMNS($AC$1006:AP1006),$AC$1006:$AS$1006,0)))),"Fix")))</f>
        <v>0</v>
      </c>
      <c r="P572" s="5">
        <f>IF(OR(INDEX($W$2:$W$1001,MATCH(ROWS($V$2:V572),$V$2:$V$1001,0),1)&gt;=100000,INDEX($AC$1005:$AS$1005,1,MATCH(COLUMNS($AC$1006:AQ1006),$AC$1006:$AS$1006,0))&gt;=100000), " ",IF(INDEX($AC$2:$AS$1001,MATCH(ROWS($V$2:V572),$V$2:$V$1001,0),MATCH(COLUMNS($AC$1006:AQ1006),$AC$1006:$AS$1006,0)), HYPERLINK("#",""), HYPERLINK(CONCATENATE("#Metadata!", ADDRESS(INDEX($X$2:$X$1001,MATCH(ROWS($V$2:V572),$V$2:$V$1001,0),0), INDEX($AC$1004:$AS$1004,1,MATCH(COLUMNS($AC$1006:AQ1006),$AC$1006:$AS$1006,0)))),"Fix")))</f>
        <v>0</v>
      </c>
      <c r="Q572" s="5">
        <f>IF(OR(INDEX($W$2:$W$1001,MATCH(ROWS($V$2:V572),$V$2:$V$1001,0),1)&gt;=100000,INDEX($AC$1005:$AS$1005,1,MATCH(COLUMNS($AC$1006:AR1006),$AC$1006:$AS$1006,0))&gt;=100000), " ",IF(INDEX($AC$2:$AS$1001,MATCH(ROWS($V$2:V572),$V$2:$V$1001,0),MATCH(COLUMNS($AC$1006:AR1006),$AC$1006:$AS$1006,0)), HYPERLINK("#",""), HYPERLINK(CONCATENATE("#Metadata!", ADDRESS(INDEX($X$2:$X$1001,MATCH(ROWS($V$2:V572),$V$2:$V$1001,0),0), INDEX($AC$1004:$AS$1004,1,MATCH(COLUMNS($AC$1006:AR1006),$AC$1006:$AS$1006,0)))),"Fix")))</f>
        <v>0</v>
      </c>
      <c r="R572" s="5">
        <f>IF(OR(INDEX($W$2:$W$1001,MATCH(ROWS($V$2:V572),$V$2:$V$1001,0),1)&gt;=100000,INDEX($AC$1005:$AS$1005,1,MATCH(COLUMNS($AC$1006:AS1006),$AC$1006:$AS$1006,0))&gt;=100000), " ",IF(INDEX($AC$2:$AS$1001,MATCH(ROWS($V$2:V572),$V$2:$V$1001,0),MATCH(COLUMNS($AC$1006:AS1006),$AC$1006:$AS$1006,0)), HYPERLINK("#",""), HYPERLINK(CONCATENATE("#Metadata!", ADDRESS(INDEX($X$2:$X$1001,MATCH(ROWS($V$2:V572),$V$2:$V$1001,0),0), INDEX($AC$1004:$AS$1004,1,MATCH(COLUMNS($AC$1006:AS1006),$AC$1006:$AS$1006,0)))),"Fix")))</f>
        <v>0</v>
      </c>
      <c r="V572">
        <v>0</v>
      </c>
      <c r="W572">
        <v>0</v>
      </c>
      <c r="X572">
        <v>0</v>
      </c>
      <c r="Y572">
        <f>IF(Z572,TRUE,AND(AC572:AS572))</f>
        <v>0</v>
      </c>
      <c r="Z572">
        <f>COUNTBLANK(Metadata!B572:R572)=COLUMNS(Metadata!B572:R572)</f>
        <v>0</v>
      </c>
      <c r="AA572">
        <v>0</v>
      </c>
      <c r="AC572">
        <f>AND(IF(Metadata!B572="",FALSE,TRUE),COUNTIF(Metadata!B:B, Metadata!B572) = 1,NOT(ISERROR(SUMPRODUCT(SEARCH(MID(Metadata!B572,ROW(INDIRECT("1:"&amp;LEN(Metadata!B572))), 1),"0123456789abcdefghijklmnopqrstuvwxyzABCDEFGHIJKLMNOPQRSTUVWXYZ.")))))</f>
        <v>0</v>
      </c>
      <c r="AD572">
        <f>AND(IF(Metadata!C572="",FALSE,TRUE),exact(Metadata!C572,"Host-associated"))</f>
        <v>0</v>
      </c>
      <c r="AE572">
        <f>AND(IF(Metadata!D572="",FALSE,TRUE),OR(exact(Metadata!D572,"Animal"),exact(Metadata!D572,"Fungus"),exact(Metadata!D572,"Plant")))</f>
        <v>0</v>
      </c>
      <c r="AF572">
        <f>AND(IF(Metadata!E572="",FALSE,TRUE),OR(exact(Metadata!E572,"Plant secretion"),exact(Metadata!E572,"Plant rhizosphere"),exact(Metadata!E572,"Plant surface"),exact(Metadata!E572,"Plant corpus"),exact(Metadata!E572,"Fungus surface"),exact(Metadata!E572,"Fungus corpus"),exact(Metadata!E572,"Animal surface"),exact(Metadata!E572,"Animal proximal gut"),exact(Metadata!E572,"Animal corpus"),exact(Metadata!E572,"Animal distal gut"),exact(Metadata!E572,"Animal secretion")))</f>
        <v>0</v>
      </c>
      <c r="AG572">
        <f>OR(AND(IF(Metadata!F572="",FALSE,TRUE),OR(exact(Metadata!F572,"not collected"),exact(Metadata!F572,"not provided"),exact(Metadata!F572,"restricted access"))),AND(IF(Metadata!F572="",FALSE,TRUE),OR(exact(Metadata!F572,"organism-associated habitat"),exact(Metadata!F572,"plant-associated habitat"),exact(Metadata!F572,"animal-associated habitat"),exact(Metadata!F572,"insecta-associated habitat"),exact(Metadata!F572,"mammalia-associated habitat"),exact(Metadata!F572,"human-associated habitat"),exact(Metadata!F572,"livestock-associated habitat"))))</f>
        <v>0</v>
      </c>
      <c r="AH572">
        <f>AND(IF(Metadata!G572="",FALSE,TRUE),exact(Metadata!G572,"host-associated"))</f>
        <v>0</v>
      </c>
      <c r="AI572">
        <f>OR(AND(IF(Metadata!H572="",FALSE,TRUE),OR(exact(Metadata!H572,"not collected"),exact(Metadata!H572,"not provided"))),AND(IF(Metadata!H572="",FALSE,ISNUMBER(VALUE(Metadata!H572))),Metadata!H572&gt;0))</f>
        <v>0</v>
      </c>
      <c r="AJ572">
        <f>AND(IF(Metadata!I572="",FALSE,TRUE),exact(Metadata!I572,"years"))</f>
        <v>0</v>
      </c>
      <c r="AK572">
        <f>IF(Metadata!J572="",FALSE,TRUE)</f>
        <v>0</v>
      </c>
      <c r="AL572">
        <f>OR(AND(IF(Metadata!K572="",FALSE,TRUE),OR(exact(Metadata!K572,"not collected"),exact(Metadata!K572,"not provided"))),AND(IF(Metadata!K572="",FALSE,ISNUMBER(VALUE(Metadata!K572))),Metadata!K572&gt;0))</f>
        <v>0</v>
      </c>
      <c r="AM572">
        <f>AND(IF(Metadata!L572="",FALSE,TRUE),exact(Metadata!L572,"cm"))</f>
        <v>0</v>
      </c>
      <c r="AN572">
        <f>IF(Metadata!M572="",FALSE,TRUE)</f>
        <v>0</v>
      </c>
      <c r="AO572">
        <f>OR(AND(IF(Metadata!N572="",FALSE,TRUE),OR(exact(Metadata!N572,"not applicable"),exact(Metadata!N572,"not collected"),exact(Metadata!N572,"not provided"))),AND(IF(Metadata!N572="",FALSE,IF(ISERROR(INT(Metadata!N572)),FALSE,INT(Metadata!N572)=Metadata!N572)),Metadata!N572&gt;0))</f>
        <v>0</v>
      </c>
      <c r="AP572">
        <f>OR(AND(IF(Metadata!O572="",FALSE,TRUE),OR(exact(Metadata!O572,"not collected"),exact(Metadata!O572,"not provided"))),AND(IF(Metadata!O572="",FALSE,ISNUMBER(VALUE(Metadata!O572))),Metadata!O572&gt;0))</f>
        <v>0</v>
      </c>
      <c r="AQ572">
        <f>AND(IF(Metadata!P572="",FALSE,TRUE),exact(Metadata!P572,"kg"))</f>
        <v>0</v>
      </c>
      <c r="AR572">
        <f>OR(AND(IF(Metadata!Q572="",FALSE,TRUE),OR(exact(Metadata!Q572,"not applicable"),exact(Metadata!Q572,"not collected"),exact(Metadata!Q572,"not provided"),exact(Metadata!Q572,"restricted access"))),IF(Metadata!Q572="",FALSE,IF(ISERROR(INT(Metadata!Q572)),FALSE,INT(Metadata!Q572)=Metadata!Q572)))</f>
        <v>0</v>
      </c>
      <c r="AS572">
        <f>AND(IF(Metadata!R572="",FALSE,TRUE),exact(Metadata!R572,"Not applicable"))</f>
        <v>0</v>
      </c>
    </row>
    <row r="573" spans="1:45">
      <c r="A573" s="4">
        <f>IF(B573=" "," ",HYPERLINK(CONCATENATE("#metadata!",ADDRESS(INDEX($X$2:$X$1001,MATCH(ROWS($V$2:V573),$V$2:$V$1001,0),0),2)),INDEX($AA$2:$AA$1001,MATCH(ROWS($V$2:V573),$V$2:$V$1001,0),0)))</f>
        <v>0</v>
      </c>
      <c r="B573" s="5">
        <f>IF(OR(INDEX($W$2:$W$1001,MATCH(ROWS($V$2:V573),$V$2:$V$1001,0),1)&gt;=100000,INDEX($AC$1005:$AS$1005,1,MATCH(COLUMNS($AC$1006:AC1006),$AC$1006:$AS$1006,0))&gt;=100000), " ",IF(INDEX($AC$2:$AS$1001,MATCH(ROWS($V$2:V573),$V$2:$V$1001,0),MATCH(COLUMNS($AC$1006:AC1006),$AC$1006:$AS$1006,0)), HYPERLINK("#",""), HYPERLINK(CONCATENATE("#Metadata!", ADDRESS(INDEX($X$2:$X$1001,MATCH(ROWS($V$2:V573),$V$2:$V$1001,0),0), INDEX($AC$1004:$AS$1004,1,MATCH(COLUMNS($AC$1006:AC1006),$AC$1006:$AS$1006,0)))),"Fix")))</f>
        <v>0</v>
      </c>
      <c r="C573" s="5">
        <f>IF(OR(INDEX($W$2:$W$1001,MATCH(ROWS($V$2:V573),$V$2:$V$1001,0),1)&gt;=100000,INDEX($AC$1005:$AS$1005,1,MATCH(COLUMNS($AC$1006:AD1006),$AC$1006:$AS$1006,0))&gt;=100000), " ",IF(INDEX($AC$2:$AS$1001,MATCH(ROWS($V$2:V573),$V$2:$V$1001,0),MATCH(COLUMNS($AC$1006:AD1006),$AC$1006:$AS$1006,0)), HYPERLINK("#",""), HYPERLINK(CONCATENATE("#Metadata!", ADDRESS(INDEX($X$2:$X$1001,MATCH(ROWS($V$2:V573),$V$2:$V$1001,0),0), INDEX($AC$1004:$AS$1004,1,MATCH(COLUMNS($AC$1006:AD1006),$AC$1006:$AS$1006,0)))),"Fix")))</f>
        <v>0</v>
      </c>
      <c r="D573" s="5">
        <f>IF(OR(INDEX($W$2:$W$1001,MATCH(ROWS($V$2:V573),$V$2:$V$1001,0),1)&gt;=100000,INDEX($AC$1005:$AS$1005,1,MATCH(COLUMNS($AC$1006:AE1006),$AC$1006:$AS$1006,0))&gt;=100000), " ",IF(INDEX($AC$2:$AS$1001,MATCH(ROWS($V$2:V573),$V$2:$V$1001,0),MATCH(COLUMNS($AC$1006:AE1006),$AC$1006:$AS$1006,0)), HYPERLINK("#",""), HYPERLINK(CONCATENATE("#Metadata!", ADDRESS(INDEX($X$2:$X$1001,MATCH(ROWS($V$2:V573),$V$2:$V$1001,0),0), INDEX($AC$1004:$AS$1004,1,MATCH(COLUMNS($AC$1006:AE1006),$AC$1006:$AS$1006,0)))),"Fix")))</f>
        <v>0</v>
      </c>
      <c r="E573" s="5">
        <f>IF(OR(INDEX($W$2:$W$1001,MATCH(ROWS($V$2:V573),$V$2:$V$1001,0),1)&gt;=100000,INDEX($AC$1005:$AS$1005,1,MATCH(COLUMNS($AC$1006:AF1006),$AC$1006:$AS$1006,0))&gt;=100000), " ",IF(INDEX($AC$2:$AS$1001,MATCH(ROWS($V$2:V573),$V$2:$V$1001,0),MATCH(COLUMNS($AC$1006:AF1006),$AC$1006:$AS$1006,0)), HYPERLINK("#",""), HYPERLINK(CONCATENATE("#Metadata!", ADDRESS(INDEX($X$2:$X$1001,MATCH(ROWS($V$2:V573),$V$2:$V$1001,0),0), INDEX($AC$1004:$AS$1004,1,MATCH(COLUMNS($AC$1006:AF1006),$AC$1006:$AS$1006,0)))),"Fix")))</f>
        <v>0</v>
      </c>
      <c r="F573" s="5">
        <f>IF(OR(INDEX($W$2:$W$1001,MATCH(ROWS($V$2:V573),$V$2:$V$1001,0),1)&gt;=100000,INDEX($AC$1005:$AS$1005,1,MATCH(COLUMNS($AC$1006:AG1006),$AC$1006:$AS$1006,0))&gt;=100000), " ",IF(INDEX($AC$2:$AS$1001,MATCH(ROWS($V$2:V573),$V$2:$V$1001,0),MATCH(COLUMNS($AC$1006:AG1006),$AC$1006:$AS$1006,0)), HYPERLINK("#",""), HYPERLINK(CONCATENATE("#Metadata!", ADDRESS(INDEX($X$2:$X$1001,MATCH(ROWS($V$2:V573),$V$2:$V$1001,0),0), INDEX($AC$1004:$AS$1004,1,MATCH(COLUMNS($AC$1006:AG1006),$AC$1006:$AS$1006,0)))),"Fix")))</f>
        <v>0</v>
      </c>
      <c r="G573" s="5">
        <f>IF(OR(INDEX($W$2:$W$1001,MATCH(ROWS($V$2:V573),$V$2:$V$1001,0),1)&gt;=100000,INDEX($AC$1005:$AS$1005,1,MATCH(COLUMNS($AC$1006:AH1006),$AC$1006:$AS$1006,0))&gt;=100000), " ",IF(INDEX($AC$2:$AS$1001,MATCH(ROWS($V$2:V573),$V$2:$V$1001,0),MATCH(COLUMNS($AC$1006:AH1006),$AC$1006:$AS$1006,0)), HYPERLINK("#",""), HYPERLINK(CONCATENATE("#Metadata!", ADDRESS(INDEX($X$2:$X$1001,MATCH(ROWS($V$2:V573),$V$2:$V$1001,0),0), INDEX($AC$1004:$AS$1004,1,MATCH(COLUMNS($AC$1006:AH1006),$AC$1006:$AS$1006,0)))),"Fix")))</f>
        <v>0</v>
      </c>
      <c r="H573" s="5">
        <f>IF(OR(INDEX($W$2:$W$1001,MATCH(ROWS($V$2:V573),$V$2:$V$1001,0),1)&gt;=100000,INDEX($AC$1005:$AS$1005,1,MATCH(COLUMNS($AC$1006:AI1006),$AC$1006:$AS$1006,0))&gt;=100000), " ",IF(INDEX($AC$2:$AS$1001,MATCH(ROWS($V$2:V573),$V$2:$V$1001,0),MATCH(COLUMNS($AC$1006:AI1006),$AC$1006:$AS$1006,0)), HYPERLINK("#",""), HYPERLINK(CONCATENATE("#Metadata!", ADDRESS(INDEX($X$2:$X$1001,MATCH(ROWS($V$2:V573),$V$2:$V$1001,0),0), INDEX($AC$1004:$AS$1004,1,MATCH(COLUMNS($AC$1006:AI1006),$AC$1006:$AS$1006,0)))),"Fix")))</f>
        <v>0</v>
      </c>
      <c r="I573" s="5">
        <f>IF(OR(INDEX($W$2:$W$1001,MATCH(ROWS($V$2:V573),$V$2:$V$1001,0),1)&gt;=100000,INDEX($AC$1005:$AS$1005,1,MATCH(COLUMNS($AC$1006:AJ1006),$AC$1006:$AS$1006,0))&gt;=100000), " ",IF(INDEX($AC$2:$AS$1001,MATCH(ROWS($V$2:V573),$V$2:$V$1001,0),MATCH(COLUMNS($AC$1006:AJ1006),$AC$1006:$AS$1006,0)), HYPERLINK("#",""), HYPERLINK(CONCATENATE("#Metadata!", ADDRESS(INDEX($X$2:$X$1001,MATCH(ROWS($V$2:V573),$V$2:$V$1001,0),0), INDEX($AC$1004:$AS$1004,1,MATCH(COLUMNS($AC$1006:AJ1006),$AC$1006:$AS$1006,0)))),"Fix")))</f>
        <v>0</v>
      </c>
      <c r="J573" s="5">
        <f>IF(OR(INDEX($W$2:$W$1001,MATCH(ROWS($V$2:V573),$V$2:$V$1001,0),1)&gt;=100000,INDEX($AC$1005:$AS$1005,1,MATCH(COLUMNS($AC$1006:AK1006),$AC$1006:$AS$1006,0))&gt;=100000), " ",IF(INDEX($AC$2:$AS$1001,MATCH(ROWS($V$2:V573),$V$2:$V$1001,0),MATCH(COLUMNS($AC$1006:AK1006),$AC$1006:$AS$1006,0)), HYPERLINK("#",""), HYPERLINK(CONCATENATE("#Metadata!", ADDRESS(INDEX($X$2:$X$1001,MATCH(ROWS($V$2:V573),$V$2:$V$1001,0),0), INDEX($AC$1004:$AS$1004,1,MATCH(COLUMNS($AC$1006:AK1006),$AC$1006:$AS$1006,0)))),"Fix")))</f>
        <v>0</v>
      </c>
      <c r="K573" s="5">
        <f>IF(OR(INDEX($W$2:$W$1001,MATCH(ROWS($V$2:V573),$V$2:$V$1001,0),1)&gt;=100000,INDEX($AC$1005:$AS$1005,1,MATCH(COLUMNS($AC$1006:AL1006),$AC$1006:$AS$1006,0))&gt;=100000), " ",IF(INDEX($AC$2:$AS$1001,MATCH(ROWS($V$2:V573),$V$2:$V$1001,0),MATCH(COLUMNS($AC$1006:AL1006),$AC$1006:$AS$1006,0)), HYPERLINK("#",""), HYPERLINK(CONCATENATE("#Metadata!", ADDRESS(INDEX($X$2:$X$1001,MATCH(ROWS($V$2:V573),$V$2:$V$1001,0),0), INDEX($AC$1004:$AS$1004,1,MATCH(COLUMNS($AC$1006:AL1006),$AC$1006:$AS$1006,0)))),"Fix")))</f>
        <v>0</v>
      </c>
      <c r="L573" s="5">
        <f>IF(OR(INDEX($W$2:$W$1001,MATCH(ROWS($V$2:V573),$V$2:$V$1001,0),1)&gt;=100000,INDEX($AC$1005:$AS$1005,1,MATCH(COLUMNS($AC$1006:AM1006),$AC$1006:$AS$1006,0))&gt;=100000), " ",IF(INDEX($AC$2:$AS$1001,MATCH(ROWS($V$2:V573),$V$2:$V$1001,0),MATCH(COLUMNS($AC$1006:AM1006),$AC$1006:$AS$1006,0)), HYPERLINK("#",""), HYPERLINK(CONCATENATE("#Metadata!", ADDRESS(INDEX($X$2:$X$1001,MATCH(ROWS($V$2:V573),$V$2:$V$1001,0),0), INDEX($AC$1004:$AS$1004,1,MATCH(COLUMNS($AC$1006:AM1006),$AC$1006:$AS$1006,0)))),"Fix")))</f>
        <v>0</v>
      </c>
      <c r="M573" s="5">
        <f>IF(OR(INDEX($W$2:$W$1001,MATCH(ROWS($V$2:V573),$V$2:$V$1001,0),1)&gt;=100000,INDEX($AC$1005:$AS$1005,1,MATCH(COLUMNS($AC$1006:AN1006),$AC$1006:$AS$1006,0))&gt;=100000), " ",IF(INDEX($AC$2:$AS$1001,MATCH(ROWS($V$2:V573),$V$2:$V$1001,0),MATCH(COLUMNS($AC$1006:AN1006),$AC$1006:$AS$1006,0)), HYPERLINK("#",""), HYPERLINK(CONCATENATE("#Metadata!", ADDRESS(INDEX($X$2:$X$1001,MATCH(ROWS($V$2:V573),$V$2:$V$1001,0),0), INDEX($AC$1004:$AS$1004,1,MATCH(COLUMNS($AC$1006:AN1006),$AC$1006:$AS$1006,0)))),"Fix")))</f>
        <v>0</v>
      </c>
      <c r="N573" s="5">
        <f>IF(OR(INDEX($W$2:$W$1001,MATCH(ROWS($V$2:V573),$V$2:$V$1001,0),1)&gt;=100000,INDEX($AC$1005:$AS$1005,1,MATCH(COLUMNS($AC$1006:AO1006),$AC$1006:$AS$1006,0))&gt;=100000), " ",IF(INDEX($AC$2:$AS$1001,MATCH(ROWS($V$2:V573),$V$2:$V$1001,0),MATCH(COLUMNS($AC$1006:AO1006),$AC$1006:$AS$1006,0)), HYPERLINK("#",""), HYPERLINK(CONCATENATE("#Metadata!", ADDRESS(INDEX($X$2:$X$1001,MATCH(ROWS($V$2:V573),$V$2:$V$1001,0),0), INDEX($AC$1004:$AS$1004,1,MATCH(COLUMNS($AC$1006:AO1006),$AC$1006:$AS$1006,0)))),"Fix")))</f>
        <v>0</v>
      </c>
      <c r="O573" s="5">
        <f>IF(OR(INDEX($W$2:$W$1001,MATCH(ROWS($V$2:V573),$V$2:$V$1001,0),1)&gt;=100000,INDEX($AC$1005:$AS$1005,1,MATCH(COLUMNS($AC$1006:AP1006),$AC$1006:$AS$1006,0))&gt;=100000), " ",IF(INDEX($AC$2:$AS$1001,MATCH(ROWS($V$2:V573),$V$2:$V$1001,0),MATCH(COLUMNS($AC$1006:AP1006),$AC$1006:$AS$1006,0)), HYPERLINK("#",""), HYPERLINK(CONCATENATE("#Metadata!", ADDRESS(INDEX($X$2:$X$1001,MATCH(ROWS($V$2:V573),$V$2:$V$1001,0),0), INDEX($AC$1004:$AS$1004,1,MATCH(COLUMNS($AC$1006:AP1006),$AC$1006:$AS$1006,0)))),"Fix")))</f>
        <v>0</v>
      </c>
      <c r="P573" s="5">
        <f>IF(OR(INDEX($W$2:$W$1001,MATCH(ROWS($V$2:V573),$V$2:$V$1001,0),1)&gt;=100000,INDEX($AC$1005:$AS$1005,1,MATCH(COLUMNS($AC$1006:AQ1006),$AC$1006:$AS$1006,0))&gt;=100000), " ",IF(INDEX($AC$2:$AS$1001,MATCH(ROWS($V$2:V573),$V$2:$V$1001,0),MATCH(COLUMNS($AC$1006:AQ1006),$AC$1006:$AS$1006,0)), HYPERLINK("#",""), HYPERLINK(CONCATENATE("#Metadata!", ADDRESS(INDEX($X$2:$X$1001,MATCH(ROWS($V$2:V573),$V$2:$V$1001,0),0), INDEX($AC$1004:$AS$1004,1,MATCH(COLUMNS($AC$1006:AQ1006),$AC$1006:$AS$1006,0)))),"Fix")))</f>
        <v>0</v>
      </c>
      <c r="Q573" s="5">
        <f>IF(OR(INDEX($W$2:$W$1001,MATCH(ROWS($V$2:V573),$V$2:$V$1001,0),1)&gt;=100000,INDEX($AC$1005:$AS$1005,1,MATCH(COLUMNS($AC$1006:AR1006),$AC$1006:$AS$1006,0))&gt;=100000), " ",IF(INDEX($AC$2:$AS$1001,MATCH(ROWS($V$2:V573),$V$2:$V$1001,0),MATCH(COLUMNS($AC$1006:AR1006),$AC$1006:$AS$1006,0)), HYPERLINK("#",""), HYPERLINK(CONCATENATE("#Metadata!", ADDRESS(INDEX($X$2:$X$1001,MATCH(ROWS($V$2:V573),$V$2:$V$1001,0),0), INDEX($AC$1004:$AS$1004,1,MATCH(COLUMNS($AC$1006:AR1006),$AC$1006:$AS$1006,0)))),"Fix")))</f>
        <v>0</v>
      </c>
      <c r="R573" s="5">
        <f>IF(OR(INDEX($W$2:$W$1001,MATCH(ROWS($V$2:V573),$V$2:$V$1001,0),1)&gt;=100000,INDEX($AC$1005:$AS$1005,1,MATCH(COLUMNS($AC$1006:AS1006),$AC$1006:$AS$1006,0))&gt;=100000), " ",IF(INDEX($AC$2:$AS$1001,MATCH(ROWS($V$2:V573),$V$2:$V$1001,0),MATCH(COLUMNS($AC$1006:AS1006),$AC$1006:$AS$1006,0)), HYPERLINK("#",""), HYPERLINK(CONCATENATE("#Metadata!", ADDRESS(INDEX($X$2:$X$1001,MATCH(ROWS($V$2:V573),$V$2:$V$1001,0),0), INDEX($AC$1004:$AS$1004,1,MATCH(COLUMNS($AC$1006:AS1006),$AC$1006:$AS$1006,0)))),"Fix")))</f>
        <v>0</v>
      </c>
      <c r="V573">
        <v>0</v>
      </c>
      <c r="W573">
        <v>0</v>
      </c>
      <c r="X573">
        <v>0</v>
      </c>
      <c r="Y573">
        <f>IF(Z573,TRUE,AND(AC573:AS573))</f>
        <v>0</v>
      </c>
      <c r="Z573">
        <f>COUNTBLANK(Metadata!B573:R573)=COLUMNS(Metadata!B573:R573)</f>
        <v>0</v>
      </c>
      <c r="AA573">
        <v>0</v>
      </c>
      <c r="AC573">
        <f>AND(IF(Metadata!B573="",FALSE,TRUE),COUNTIF(Metadata!B:B, Metadata!B573) = 1,NOT(ISERROR(SUMPRODUCT(SEARCH(MID(Metadata!B573,ROW(INDIRECT("1:"&amp;LEN(Metadata!B573))), 1),"0123456789abcdefghijklmnopqrstuvwxyzABCDEFGHIJKLMNOPQRSTUVWXYZ.")))))</f>
        <v>0</v>
      </c>
      <c r="AD573">
        <f>AND(IF(Metadata!C573="",FALSE,TRUE),exact(Metadata!C573,"Host-associated"))</f>
        <v>0</v>
      </c>
      <c r="AE573">
        <f>AND(IF(Metadata!D573="",FALSE,TRUE),OR(exact(Metadata!D573,"Animal"),exact(Metadata!D573,"Fungus"),exact(Metadata!D573,"Plant")))</f>
        <v>0</v>
      </c>
      <c r="AF573">
        <f>AND(IF(Metadata!E573="",FALSE,TRUE),OR(exact(Metadata!E573,"Plant secretion"),exact(Metadata!E573,"Plant rhizosphere"),exact(Metadata!E573,"Plant surface"),exact(Metadata!E573,"Plant corpus"),exact(Metadata!E573,"Fungus surface"),exact(Metadata!E573,"Fungus corpus"),exact(Metadata!E573,"Animal surface"),exact(Metadata!E573,"Animal proximal gut"),exact(Metadata!E573,"Animal corpus"),exact(Metadata!E573,"Animal distal gut"),exact(Metadata!E573,"Animal secretion")))</f>
        <v>0</v>
      </c>
      <c r="AG573">
        <f>OR(AND(IF(Metadata!F573="",FALSE,TRUE),OR(exact(Metadata!F573,"not collected"),exact(Metadata!F573,"not provided"),exact(Metadata!F573,"restricted access"))),AND(IF(Metadata!F573="",FALSE,TRUE),OR(exact(Metadata!F573,"organism-associated habitat"),exact(Metadata!F573,"plant-associated habitat"),exact(Metadata!F573,"animal-associated habitat"),exact(Metadata!F573,"insecta-associated habitat"),exact(Metadata!F573,"mammalia-associated habitat"),exact(Metadata!F573,"human-associated habitat"),exact(Metadata!F573,"livestock-associated habitat"))))</f>
        <v>0</v>
      </c>
      <c r="AH573">
        <f>AND(IF(Metadata!G573="",FALSE,TRUE),exact(Metadata!G573,"host-associated"))</f>
        <v>0</v>
      </c>
      <c r="AI573">
        <f>OR(AND(IF(Metadata!H573="",FALSE,TRUE),OR(exact(Metadata!H573,"not collected"),exact(Metadata!H573,"not provided"))),AND(IF(Metadata!H573="",FALSE,ISNUMBER(VALUE(Metadata!H573))),Metadata!H573&gt;0))</f>
        <v>0</v>
      </c>
      <c r="AJ573">
        <f>AND(IF(Metadata!I573="",FALSE,TRUE),exact(Metadata!I573,"years"))</f>
        <v>0</v>
      </c>
      <c r="AK573">
        <f>IF(Metadata!J573="",FALSE,TRUE)</f>
        <v>0</v>
      </c>
      <c r="AL573">
        <f>OR(AND(IF(Metadata!K573="",FALSE,TRUE),OR(exact(Metadata!K573,"not collected"),exact(Metadata!K573,"not provided"))),AND(IF(Metadata!K573="",FALSE,ISNUMBER(VALUE(Metadata!K573))),Metadata!K573&gt;0))</f>
        <v>0</v>
      </c>
      <c r="AM573">
        <f>AND(IF(Metadata!L573="",FALSE,TRUE),exact(Metadata!L573,"cm"))</f>
        <v>0</v>
      </c>
      <c r="AN573">
        <f>IF(Metadata!M573="",FALSE,TRUE)</f>
        <v>0</v>
      </c>
      <c r="AO573">
        <f>OR(AND(IF(Metadata!N573="",FALSE,TRUE),OR(exact(Metadata!N573,"not applicable"),exact(Metadata!N573,"not collected"),exact(Metadata!N573,"not provided"))),AND(IF(Metadata!N573="",FALSE,IF(ISERROR(INT(Metadata!N573)),FALSE,INT(Metadata!N573)=Metadata!N573)),Metadata!N573&gt;0))</f>
        <v>0</v>
      </c>
      <c r="AP573">
        <f>OR(AND(IF(Metadata!O573="",FALSE,TRUE),OR(exact(Metadata!O573,"not collected"),exact(Metadata!O573,"not provided"))),AND(IF(Metadata!O573="",FALSE,ISNUMBER(VALUE(Metadata!O573))),Metadata!O573&gt;0))</f>
        <v>0</v>
      </c>
      <c r="AQ573">
        <f>AND(IF(Metadata!P573="",FALSE,TRUE),exact(Metadata!P573,"kg"))</f>
        <v>0</v>
      </c>
      <c r="AR573">
        <f>OR(AND(IF(Metadata!Q573="",FALSE,TRUE),OR(exact(Metadata!Q573,"not applicable"),exact(Metadata!Q573,"not collected"),exact(Metadata!Q573,"not provided"),exact(Metadata!Q573,"restricted access"))),IF(Metadata!Q573="",FALSE,IF(ISERROR(INT(Metadata!Q573)),FALSE,INT(Metadata!Q573)=Metadata!Q573)))</f>
        <v>0</v>
      </c>
      <c r="AS573">
        <f>AND(IF(Metadata!R573="",FALSE,TRUE),exact(Metadata!R573,"Not applicable"))</f>
        <v>0</v>
      </c>
    </row>
    <row r="574" spans="1:45">
      <c r="A574" s="4">
        <f>IF(B574=" "," ",HYPERLINK(CONCATENATE("#metadata!",ADDRESS(INDEX($X$2:$X$1001,MATCH(ROWS($V$2:V574),$V$2:$V$1001,0),0),2)),INDEX($AA$2:$AA$1001,MATCH(ROWS($V$2:V574),$V$2:$V$1001,0),0)))</f>
        <v>0</v>
      </c>
      <c r="B574" s="5">
        <f>IF(OR(INDEX($W$2:$W$1001,MATCH(ROWS($V$2:V574),$V$2:$V$1001,0),1)&gt;=100000,INDEX($AC$1005:$AS$1005,1,MATCH(COLUMNS($AC$1006:AC1006),$AC$1006:$AS$1006,0))&gt;=100000), " ",IF(INDEX($AC$2:$AS$1001,MATCH(ROWS($V$2:V574),$V$2:$V$1001,0),MATCH(COLUMNS($AC$1006:AC1006),$AC$1006:$AS$1006,0)), HYPERLINK("#",""), HYPERLINK(CONCATENATE("#Metadata!", ADDRESS(INDEX($X$2:$X$1001,MATCH(ROWS($V$2:V574),$V$2:$V$1001,0),0), INDEX($AC$1004:$AS$1004,1,MATCH(COLUMNS($AC$1006:AC1006),$AC$1006:$AS$1006,0)))),"Fix")))</f>
        <v>0</v>
      </c>
      <c r="C574" s="5">
        <f>IF(OR(INDEX($W$2:$W$1001,MATCH(ROWS($V$2:V574),$V$2:$V$1001,0),1)&gt;=100000,INDEX($AC$1005:$AS$1005,1,MATCH(COLUMNS($AC$1006:AD1006),$AC$1006:$AS$1006,0))&gt;=100000), " ",IF(INDEX($AC$2:$AS$1001,MATCH(ROWS($V$2:V574),$V$2:$V$1001,0),MATCH(COLUMNS($AC$1006:AD1006),$AC$1006:$AS$1006,0)), HYPERLINK("#",""), HYPERLINK(CONCATENATE("#Metadata!", ADDRESS(INDEX($X$2:$X$1001,MATCH(ROWS($V$2:V574),$V$2:$V$1001,0),0), INDEX($AC$1004:$AS$1004,1,MATCH(COLUMNS($AC$1006:AD1006),$AC$1006:$AS$1006,0)))),"Fix")))</f>
        <v>0</v>
      </c>
      <c r="D574" s="5">
        <f>IF(OR(INDEX($W$2:$W$1001,MATCH(ROWS($V$2:V574),$V$2:$V$1001,0),1)&gt;=100000,INDEX($AC$1005:$AS$1005,1,MATCH(COLUMNS($AC$1006:AE1006),$AC$1006:$AS$1006,0))&gt;=100000), " ",IF(INDEX($AC$2:$AS$1001,MATCH(ROWS($V$2:V574),$V$2:$V$1001,0),MATCH(COLUMNS($AC$1006:AE1006),$AC$1006:$AS$1006,0)), HYPERLINK("#",""), HYPERLINK(CONCATENATE("#Metadata!", ADDRESS(INDEX($X$2:$X$1001,MATCH(ROWS($V$2:V574),$V$2:$V$1001,0),0), INDEX($AC$1004:$AS$1004,1,MATCH(COLUMNS($AC$1006:AE1006),$AC$1006:$AS$1006,0)))),"Fix")))</f>
        <v>0</v>
      </c>
      <c r="E574" s="5">
        <f>IF(OR(INDEX($W$2:$W$1001,MATCH(ROWS($V$2:V574),$V$2:$V$1001,0),1)&gt;=100000,INDEX($AC$1005:$AS$1005,1,MATCH(COLUMNS($AC$1006:AF1006),$AC$1006:$AS$1006,0))&gt;=100000), " ",IF(INDEX($AC$2:$AS$1001,MATCH(ROWS($V$2:V574),$V$2:$V$1001,0),MATCH(COLUMNS($AC$1006:AF1006),$AC$1006:$AS$1006,0)), HYPERLINK("#",""), HYPERLINK(CONCATENATE("#Metadata!", ADDRESS(INDEX($X$2:$X$1001,MATCH(ROWS($V$2:V574),$V$2:$V$1001,0),0), INDEX($AC$1004:$AS$1004,1,MATCH(COLUMNS($AC$1006:AF1006),$AC$1006:$AS$1006,0)))),"Fix")))</f>
        <v>0</v>
      </c>
      <c r="F574" s="5">
        <f>IF(OR(INDEX($W$2:$W$1001,MATCH(ROWS($V$2:V574),$V$2:$V$1001,0),1)&gt;=100000,INDEX($AC$1005:$AS$1005,1,MATCH(COLUMNS($AC$1006:AG1006),$AC$1006:$AS$1006,0))&gt;=100000), " ",IF(INDEX($AC$2:$AS$1001,MATCH(ROWS($V$2:V574),$V$2:$V$1001,0),MATCH(COLUMNS($AC$1006:AG1006),$AC$1006:$AS$1006,0)), HYPERLINK("#",""), HYPERLINK(CONCATENATE("#Metadata!", ADDRESS(INDEX($X$2:$X$1001,MATCH(ROWS($V$2:V574),$V$2:$V$1001,0),0), INDEX($AC$1004:$AS$1004,1,MATCH(COLUMNS($AC$1006:AG1006),$AC$1006:$AS$1006,0)))),"Fix")))</f>
        <v>0</v>
      </c>
      <c r="G574" s="5">
        <f>IF(OR(INDEX($W$2:$W$1001,MATCH(ROWS($V$2:V574),$V$2:$V$1001,0),1)&gt;=100000,INDEX($AC$1005:$AS$1005,1,MATCH(COLUMNS($AC$1006:AH1006),$AC$1006:$AS$1006,0))&gt;=100000), " ",IF(INDEX($AC$2:$AS$1001,MATCH(ROWS($V$2:V574),$V$2:$V$1001,0),MATCH(COLUMNS($AC$1006:AH1006),$AC$1006:$AS$1006,0)), HYPERLINK("#",""), HYPERLINK(CONCATENATE("#Metadata!", ADDRESS(INDEX($X$2:$X$1001,MATCH(ROWS($V$2:V574),$V$2:$V$1001,0),0), INDEX($AC$1004:$AS$1004,1,MATCH(COLUMNS($AC$1006:AH1006),$AC$1006:$AS$1006,0)))),"Fix")))</f>
        <v>0</v>
      </c>
      <c r="H574" s="5">
        <f>IF(OR(INDEX($W$2:$W$1001,MATCH(ROWS($V$2:V574),$V$2:$V$1001,0),1)&gt;=100000,INDEX($AC$1005:$AS$1005,1,MATCH(COLUMNS($AC$1006:AI1006),$AC$1006:$AS$1006,0))&gt;=100000), " ",IF(INDEX($AC$2:$AS$1001,MATCH(ROWS($V$2:V574),$V$2:$V$1001,0),MATCH(COLUMNS($AC$1006:AI1006),$AC$1006:$AS$1006,0)), HYPERLINK("#",""), HYPERLINK(CONCATENATE("#Metadata!", ADDRESS(INDEX($X$2:$X$1001,MATCH(ROWS($V$2:V574),$V$2:$V$1001,0),0), INDEX($AC$1004:$AS$1004,1,MATCH(COLUMNS($AC$1006:AI1006),$AC$1006:$AS$1006,0)))),"Fix")))</f>
        <v>0</v>
      </c>
      <c r="I574" s="5">
        <f>IF(OR(INDEX($W$2:$W$1001,MATCH(ROWS($V$2:V574),$V$2:$V$1001,0),1)&gt;=100000,INDEX($AC$1005:$AS$1005,1,MATCH(COLUMNS($AC$1006:AJ1006),$AC$1006:$AS$1006,0))&gt;=100000), " ",IF(INDEX($AC$2:$AS$1001,MATCH(ROWS($V$2:V574),$V$2:$V$1001,0),MATCH(COLUMNS($AC$1006:AJ1006),$AC$1006:$AS$1006,0)), HYPERLINK("#",""), HYPERLINK(CONCATENATE("#Metadata!", ADDRESS(INDEX($X$2:$X$1001,MATCH(ROWS($V$2:V574),$V$2:$V$1001,0),0), INDEX($AC$1004:$AS$1004,1,MATCH(COLUMNS($AC$1006:AJ1006),$AC$1006:$AS$1006,0)))),"Fix")))</f>
        <v>0</v>
      </c>
      <c r="J574" s="5">
        <f>IF(OR(INDEX($W$2:$W$1001,MATCH(ROWS($V$2:V574),$V$2:$V$1001,0),1)&gt;=100000,INDEX($AC$1005:$AS$1005,1,MATCH(COLUMNS($AC$1006:AK1006),$AC$1006:$AS$1006,0))&gt;=100000), " ",IF(INDEX($AC$2:$AS$1001,MATCH(ROWS($V$2:V574),$V$2:$V$1001,0),MATCH(COLUMNS($AC$1006:AK1006),$AC$1006:$AS$1006,0)), HYPERLINK("#",""), HYPERLINK(CONCATENATE("#Metadata!", ADDRESS(INDEX($X$2:$X$1001,MATCH(ROWS($V$2:V574),$V$2:$V$1001,0),0), INDEX($AC$1004:$AS$1004,1,MATCH(COLUMNS($AC$1006:AK1006),$AC$1006:$AS$1006,0)))),"Fix")))</f>
        <v>0</v>
      </c>
      <c r="K574" s="5">
        <f>IF(OR(INDEX($W$2:$W$1001,MATCH(ROWS($V$2:V574),$V$2:$V$1001,0),1)&gt;=100000,INDEX($AC$1005:$AS$1005,1,MATCH(COLUMNS($AC$1006:AL1006),$AC$1006:$AS$1006,0))&gt;=100000), " ",IF(INDEX($AC$2:$AS$1001,MATCH(ROWS($V$2:V574),$V$2:$V$1001,0),MATCH(COLUMNS($AC$1006:AL1006),$AC$1006:$AS$1006,0)), HYPERLINK("#",""), HYPERLINK(CONCATENATE("#Metadata!", ADDRESS(INDEX($X$2:$X$1001,MATCH(ROWS($V$2:V574),$V$2:$V$1001,0),0), INDEX($AC$1004:$AS$1004,1,MATCH(COLUMNS($AC$1006:AL1006),$AC$1006:$AS$1006,0)))),"Fix")))</f>
        <v>0</v>
      </c>
      <c r="L574" s="5">
        <f>IF(OR(INDEX($W$2:$W$1001,MATCH(ROWS($V$2:V574),$V$2:$V$1001,0),1)&gt;=100000,INDEX($AC$1005:$AS$1005,1,MATCH(COLUMNS($AC$1006:AM1006),$AC$1006:$AS$1006,0))&gt;=100000), " ",IF(INDEX($AC$2:$AS$1001,MATCH(ROWS($V$2:V574),$V$2:$V$1001,0),MATCH(COLUMNS($AC$1006:AM1006),$AC$1006:$AS$1006,0)), HYPERLINK("#",""), HYPERLINK(CONCATENATE("#Metadata!", ADDRESS(INDEX($X$2:$X$1001,MATCH(ROWS($V$2:V574),$V$2:$V$1001,0),0), INDEX($AC$1004:$AS$1004,1,MATCH(COLUMNS($AC$1006:AM1006),$AC$1006:$AS$1006,0)))),"Fix")))</f>
        <v>0</v>
      </c>
      <c r="M574" s="5">
        <f>IF(OR(INDEX($W$2:$W$1001,MATCH(ROWS($V$2:V574),$V$2:$V$1001,0),1)&gt;=100000,INDEX($AC$1005:$AS$1005,1,MATCH(COLUMNS($AC$1006:AN1006),$AC$1006:$AS$1006,0))&gt;=100000), " ",IF(INDEX($AC$2:$AS$1001,MATCH(ROWS($V$2:V574),$V$2:$V$1001,0),MATCH(COLUMNS($AC$1006:AN1006),$AC$1006:$AS$1006,0)), HYPERLINK("#",""), HYPERLINK(CONCATENATE("#Metadata!", ADDRESS(INDEX($X$2:$X$1001,MATCH(ROWS($V$2:V574),$V$2:$V$1001,0),0), INDEX($AC$1004:$AS$1004,1,MATCH(COLUMNS($AC$1006:AN1006),$AC$1006:$AS$1006,0)))),"Fix")))</f>
        <v>0</v>
      </c>
      <c r="N574" s="5">
        <f>IF(OR(INDEX($W$2:$W$1001,MATCH(ROWS($V$2:V574),$V$2:$V$1001,0),1)&gt;=100000,INDEX($AC$1005:$AS$1005,1,MATCH(COLUMNS($AC$1006:AO1006),$AC$1006:$AS$1006,0))&gt;=100000), " ",IF(INDEX($AC$2:$AS$1001,MATCH(ROWS($V$2:V574),$V$2:$V$1001,0),MATCH(COLUMNS($AC$1006:AO1006),$AC$1006:$AS$1006,0)), HYPERLINK("#",""), HYPERLINK(CONCATENATE("#Metadata!", ADDRESS(INDEX($X$2:$X$1001,MATCH(ROWS($V$2:V574),$V$2:$V$1001,0),0), INDEX($AC$1004:$AS$1004,1,MATCH(COLUMNS($AC$1006:AO1006),$AC$1006:$AS$1006,0)))),"Fix")))</f>
        <v>0</v>
      </c>
      <c r="O574" s="5">
        <f>IF(OR(INDEX($W$2:$W$1001,MATCH(ROWS($V$2:V574),$V$2:$V$1001,0),1)&gt;=100000,INDEX($AC$1005:$AS$1005,1,MATCH(COLUMNS($AC$1006:AP1006),$AC$1006:$AS$1006,0))&gt;=100000), " ",IF(INDEX($AC$2:$AS$1001,MATCH(ROWS($V$2:V574),$V$2:$V$1001,0),MATCH(COLUMNS($AC$1006:AP1006),$AC$1006:$AS$1006,0)), HYPERLINK("#",""), HYPERLINK(CONCATENATE("#Metadata!", ADDRESS(INDEX($X$2:$X$1001,MATCH(ROWS($V$2:V574),$V$2:$V$1001,0),0), INDEX($AC$1004:$AS$1004,1,MATCH(COLUMNS($AC$1006:AP1006),$AC$1006:$AS$1006,0)))),"Fix")))</f>
        <v>0</v>
      </c>
      <c r="P574" s="5">
        <f>IF(OR(INDEX($W$2:$W$1001,MATCH(ROWS($V$2:V574),$V$2:$V$1001,0),1)&gt;=100000,INDEX($AC$1005:$AS$1005,1,MATCH(COLUMNS($AC$1006:AQ1006),$AC$1006:$AS$1006,0))&gt;=100000), " ",IF(INDEX($AC$2:$AS$1001,MATCH(ROWS($V$2:V574),$V$2:$V$1001,0),MATCH(COLUMNS($AC$1006:AQ1006),$AC$1006:$AS$1006,0)), HYPERLINK("#",""), HYPERLINK(CONCATENATE("#Metadata!", ADDRESS(INDEX($X$2:$X$1001,MATCH(ROWS($V$2:V574),$V$2:$V$1001,0),0), INDEX($AC$1004:$AS$1004,1,MATCH(COLUMNS($AC$1006:AQ1006),$AC$1006:$AS$1006,0)))),"Fix")))</f>
        <v>0</v>
      </c>
      <c r="Q574" s="5">
        <f>IF(OR(INDEX($W$2:$W$1001,MATCH(ROWS($V$2:V574),$V$2:$V$1001,0),1)&gt;=100000,INDEX($AC$1005:$AS$1005,1,MATCH(COLUMNS($AC$1006:AR1006),$AC$1006:$AS$1006,0))&gt;=100000), " ",IF(INDEX($AC$2:$AS$1001,MATCH(ROWS($V$2:V574),$V$2:$V$1001,0),MATCH(COLUMNS($AC$1006:AR1006),$AC$1006:$AS$1006,0)), HYPERLINK("#",""), HYPERLINK(CONCATENATE("#Metadata!", ADDRESS(INDEX($X$2:$X$1001,MATCH(ROWS($V$2:V574),$V$2:$V$1001,0),0), INDEX($AC$1004:$AS$1004,1,MATCH(COLUMNS($AC$1006:AR1006),$AC$1006:$AS$1006,0)))),"Fix")))</f>
        <v>0</v>
      </c>
      <c r="R574" s="5">
        <f>IF(OR(INDEX($W$2:$W$1001,MATCH(ROWS($V$2:V574),$V$2:$V$1001,0),1)&gt;=100000,INDEX($AC$1005:$AS$1005,1,MATCH(COLUMNS($AC$1006:AS1006),$AC$1006:$AS$1006,0))&gt;=100000), " ",IF(INDEX($AC$2:$AS$1001,MATCH(ROWS($V$2:V574),$V$2:$V$1001,0),MATCH(COLUMNS($AC$1006:AS1006),$AC$1006:$AS$1006,0)), HYPERLINK("#",""), HYPERLINK(CONCATENATE("#Metadata!", ADDRESS(INDEX($X$2:$X$1001,MATCH(ROWS($V$2:V574),$V$2:$V$1001,0),0), INDEX($AC$1004:$AS$1004,1,MATCH(COLUMNS($AC$1006:AS1006),$AC$1006:$AS$1006,0)))),"Fix")))</f>
        <v>0</v>
      </c>
      <c r="V574">
        <v>0</v>
      </c>
      <c r="W574">
        <v>0</v>
      </c>
      <c r="X574">
        <v>0</v>
      </c>
      <c r="Y574">
        <f>IF(Z574,TRUE,AND(AC574:AS574))</f>
        <v>0</v>
      </c>
      <c r="Z574">
        <f>COUNTBLANK(Metadata!B574:R574)=COLUMNS(Metadata!B574:R574)</f>
        <v>0</v>
      </c>
      <c r="AA574">
        <v>0</v>
      </c>
      <c r="AC574">
        <f>AND(IF(Metadata!B574="",FALSE,TRUE),COUNTIF(Metadata!B:B, Metadata!B574) = 1,NOT(ISERROR(SUMPRODUCT(SEARCH(MID(Metadata!B574,ROW(INDIRECT("1:"&amp;LEN(Metadata!B574))), 1),"0123456789abcdefghijklmnopqrstuvwxyzABCDEFGHIJKLMNOPQRSTUVWXYZ.")))))</f>
        <v>0</v>
      </c>
      <c r="AD574">
        <f>AND(IF(Metadata!C574="",FALSE,TRUE),exact(Metadata!C574,"Host-associated"))</f>
        <v>0</v>
      </c>
      <c r="AE574">
        <f>AND(IF(Metadata!D574="",FALSE,TRUE),OR(exact(Metadata!D574,"Animal"),exact(Metadata!D574,"Fungus"),exact(Metadata!D574,"Plant")))</f>
        <v>0</v>
      </c>
      <c r="AF574">
        <f>AND(IF(Metadata!E574="",FALSE,TRUE),OR(exact(Metadata!E574,"Plant secretion"),exact(Metadata!E574,"Plant rhizosphere"),exact(Metadata!E574,"Plant surface"),exact(Metadata!E574,"Plant corpus"),exact(Metadata!E574,"Fungus surface"),exact(Metadata!E574,"Fungus corpus"),exact(Metadata!E574,"Animal surface"),exact(Metadata!E574,"Animal proximal gut"),exact(Metadata!E574,"Animal corpus"),exact(Metadata!E574,"Animal distal gut"),exact(Metadata!E574,"Animal secretion")))</f>
        <v>0</v>
      </c>
      <c r="AG574">
        <f>OR(AND(IF(Metadata!F574="",FALSE,TRUE),OR(exact(Metadata!F574,"not collected"),exact(Metadata!F574,"not provided"),exact(Metadata!F574,"restricted access"))),AND(IF(Metadata!F574="",FALSE,TRUE),OR(exact(Metadata!F574,"organism-associated habitat"),exact(Metadata!F574,"plant-associated habitat"),exact(Metadata!F574,"animal-associated habitat"),exact(Metadata!F574,"insecta-associated habitat"),exact(Metadata!F574,"mammalia-associated habitat"),exact(Metadata!F574,"human-associated habitat"),exact(Metadata!F574,"livestock-associated habitat"))))</f>
        <v>0</v>
      </c>
      <c r="AH574">
        <f>AND(IF(Metadata!G574="",FALSE,TRUE),exact(Metadata!G574,"host-associated"))</f>
        <v>0</v>
      </c>
      <c r="AI574">
        <f>OR(AND(IF(Metadata!H574="",FALSE,TRUE),OR(exact(Metadata!H574,"not collected"),exact(Metadata!H574,"not provided"))),AND(IF(Metadata!H574="",FALSE,ISNUMBER(VALUE(Metadata!H574))),Metadata!H574&gt;0))</f>
        <v>0</v>
      </c>
      <c r="AJ574">
        <f>AND(IF(Metadata!I574="",FALSE,TRUE),exact(Metadata!I574,"years"))</f>
        <v>0</v>
      </c>
      <c r="AK574">
        <f>IF(Metadata!J574="",FALSE,TRUE)</f>
        <v>0</v>
      </c>
      <c r="AL574">
        <f>OR(AND(IF(Metadata!K574="",FALSE,TRUE),OR(exact(Metadata!K574,"not collected"),exact(Metadata!K574,"not provided"))),AND(IF(Metadata!K574="",FALSE,ISNUMBER(VALUE(Metadata!K574))),Metadata!K574&gt;0))</f>
        <v>0</v>
      </c>
      <c r="AM574">
        <f>AND(IF(Metadata!L574="",FALSE,TRUE),exact(Metadata!L574,"cm"))</f>
        <v>0</v>
      </c>
      <c r="AN574">
        <f>IF(Metadata!M574="",FALSE,TRUE)</f>
        <v>0</v>
      </c>
      <c r="AO574">
        <f>OR(AND(IF(Metadata!N574="",FALSE,TRUE),OR(exact(Metadata!N574,"not applicable"),exact(Metadata!N574,"not collected"),exact(Metadata!N574,"not provided"))),AND(IF(Metadata!N574="",FALSE,IF(ISERROR(INT(Metadata!N574)),FALSE,INT(Metadata!N574)=Metadata!N574)),Metadata!N574&gt;0))</f>
        <v>0</v>
      </c>
      <c r="AP574">
        <f>OR(AND(IF(Metadata!O574="",FALSE,TRUE),OR(exact(Metadata!O574,"not collected"),exact(Metadata!O574,"not provided"))),AND(IF(Metadata!O574="",FALSE,ISNUMBER(VALUE(Metadata!O574))),Metadata!O574&gt;0))</f>
        <v>0</v>
      </c>
      <c r="AQ574">
        <f>AND(IF(Metadata!P574="",FALSE,TRUE),exact(Metadata!P574,"kg"))</f>
        <v>0</v>
      </c>
      <c r="AR574">
        <f>OR(AND(IF(Metadata!Q574="",FALSE,TRUE),OR(exact(Metadata!Q574,"not applicable"),exact(Metadata!Q574,"not collected"),exact(Metadata!Q574,"not provided"),exact(Metadata!Q574,"restricted access"))),IF(Metadata!Q574="",FALSE,IF(ISERROR(INT(Metadata!Q574)),FALSE,INT(Metadata!Q574)=Metadata!Q574)))</f>
        <v>0</v>
      </c>
      <c r="AS574">
        <f>AND(IF(Metadata!R574="",FALSE,TRUE),exact(Metadata!R574,"Not applicable"))</f>
        <v>0</v>
      </c>
    </row>
    <row r="575" spans="1:45">
      <c r="A575" s="4">
        <f>IF(B575=" "," ",HYPERLINK(CONCATENATE("#metadata!",ADDRESS(INDEX($X$2:$X$1001,MATCH(ROWS($V$2:V575),$V$2:$V$1001,0),0),2)),INDEX($AA$2:$AA$1001,MATCH(ROWS($V$2:V575),$V$2:$V$1001,0),0)))</f>
        <v>0</v>
      </c>
      <c r="B575" s="5">
        <f>IF(OR(INDEX($W$2:$W$1001,MATCH(ROWS($V$2:V575),$V$2:$V$1001,0),1)&gt;=100000,INDEX($AC$1005:$AS$1005,1,MATCH(COLUMNS($AC$1006:AC1006),$AC$1006:$AS$1006,0))&gt;=100000), " ",IF(INDEX($AC$2:$AS$1001,MATCH(ROWS($V$2:V575),$V$2:$V$1001,0),MATCH(COLUMNS($AC$1006:AC1006),$AC$1006:$AS$1006,0)), HYPERLINK("#",""), HYPERLINK(CONCATENATE("#Metadata!", ADDRESS(INDEX($X$2:$X$1001,MATCH(ROWS($V$2:V575),$V$2:$V$1001,0),0), INDEX($AC$1004:$AS$1004,1,MATCH(COLUMNS($AC$1006:AC1006),$AC$1006:$AS$1006,0)))),"Fix")))</f>
        <v>0</v>
      </c>
      <c r="C575" s="5">
        <f>IF(OR(INDEX($W$2:$W$1001,MATCH(ROWS($V$2:V575),$V$2:$V$1001,0),1)&gt;=100000,INDEX($AC$1005:$AS$1005,1,MATCH(COLUMNS($AC$1006:AD1006),$AC$1006:$AS$1006,0))&gt;=100000), " ",IF(INDEX($AC$2:$AS$1001,MATCH(ROWS($V$2:V575),$V$2:$V$1001,0),MATCH(COLUMNS($AC$1006:AD1006),$AC$1006:$AS$1006,0)), HYPERLINK("#",""), HYPERLINK(CONCATENATE("#Metadata!", ADDRESS(INDEX($X$2:$X$1001,MATCH(ROWS($V$2:V575),$V$2:$V$1001,0),0), INDEX($AC$1004:$AS$1004,1,MATCH(COLUMNS($AC$1006:AD1006),$AC$1006:$AS$1006,0)))),"Fix")))</f>
        <v>0</v>
      </c>
      <c r="D575" s="5">
        <f>IF(OR(INDEX($W$2:$W$1001,MATCH(ROWS($V$2:V575),$V$2:$V$1001,0),1)&gt;=100000,INDEX($AC$1005:$AS$1005,1,MATCH(COLUMNS($AC$1006:AE1006),$AC$1006:$AS$1006,0))&gt;=100000), " ",IF(INDEX($AC$2:$AS$1001,MATCH(ROWS($V$2:V575),$V$2:$V$1001,0),MATCH(COLUMNS($AC$1006:AE1006),$AC$1006:$AS$1006,0)), HYPERLINK("#",""), HYPERLINK(CONCATENATE("#Metadata!", ADDRESS(INDEX($X$2:$X$1001,MATCH(ROWS($V$2:V575),$V$2:$V$1001,0),0), INDEX($AC$1004:$AS$1004,1,MATCH(COLUMNS($AC$1006:AE1006),$AC$1006:$AS$1006,0)))),"Fix")))</f>
        <v>0</v>
      </c>
      <c r="E575" s="5">
        <f>IF(OR(INDEX($W$2:$W$1001,MATCH(ROWS($V$2:V575),$V$2:$V$1001,0),1)&gt;=100000,INDEX($AC$1005:$AS$1005,1,MATCH(COLUMNS($AC$1006:AF1006),$AC$1006:$AS$1006,0))&gt;=100000), " ",IF(INDEX($AC$2:$AS$1001,MATCH(ROWS($V$2:V575),$V$2:$V$1001,0),MATCH(COLUMNS($AC$1006:AF1006),$AC$1006:$AS$1006,0)), HYPERLINK("#",""), HYPERLINK(CONCATENATE("#Metadata!", ADDRESS(INDEX($X$2:$X$1001,MATCH(ROWS($V$2:V575),$V$2:$V$1001,0),0), INDEX($AC$1004:$AS$1004,1,MATCH(COLUMNS($AC$1006:AF1006),$AC$1006:$AS$1006,0)))),"Fix")))</f>
        <v>0</v>
      </c>
      <c r="F575" s="5">
        <f>IF(OR(INDEX($W$2:$W$1001,MATCH(ROWS($V$2:V575),$V$2:$V$1001,0),1)&gt;=100000,INDEX($AC$1005:$AS$1005,1,MATCH(COLUMNS($AC$1006:AG1006),$AC$1006:$AS$1006,0))&gt;=100000), " ",IF(INDEX($AC$2:$AS$1001,MATCH(ROWS($V$2:V575),$V$2:$V$1001,0),MATCH(COLUMNS($AC$1006:AG1006),$AC$1006:$AS$1006,0)), HYPERLINK("#",""), HYPERLINK(CONCATENATE("#Metadata!", ADDRESS(INDEX($X$2:$X$1001,MATCH(ROWS($V$2:V575),$V$2:$V$1001,0),0), INDEX($AC$1004:$AS$1004,1,MATCH(COLUMNS($AC$1006:AG1006),$AC$1006:$AS$1006,0)))),"Fix")))</f>
        <v>0</v>
      </c>
      <c r="G575" s="5">
        <f>IF(OR(INDEX($W$2:$W$1001,MATCH(ROWS($V$2:V575),$V$2:$V$1001,0),1)&gt;=100000,INDEX($AC$1005:$AS$1005,1,MATCH(COLUMNS($AC$1006:AH1006),$AC$1006:$AS$1006,0))&gt;=100000), " ",IF(INDEX($AC$2:$AS$1001,MATCH(ROWS($V$2:V575),$V$2:$V$1001,0),MATCH(COLUMNS($AC$1006:AH1006),$AC$1006:$AS$1006,0)), HYPERLINK("#",""), HYPERLINK(CONCATENATE("#Metadata!", ADDRESS(INDEX($X$2:$X$1001,MATCH(ROWS($V$2:V575),$V$2:$V$1001,0),0), INDEX($AC$1004:$AS$1004,1,MATCH(COLUMNS($AC$1006:AH1006),$AC$1006:$AS$1006,0)))),"Fix")))</f>
        <v>0</v>
      </c>
      <c r="H575" s="5">
        <f>IF(OR(INDEX($W$2:$W$1001,MATCH(ROWS($V$2:V575),$V$2:$V$1001,0),1)&gt;=100000,INDEX($AC$1005:$AS$1005,1,MATCH(COLUMNS($AC$1006:AI1006),$AC$1006:$AS$1006,0))&gt;=100000), " ",IF(INDEX($AC$2:$AS$1001,MATCH(ROWS($V$2:V575),$V$2:$V$1001,0),MATCH(COLUMNS($AC$1006:AI1006),$AC$1006:$AS$1006,0)), HYPERLINK("#",""), HYPERLINK(CONCATENATE("#Metadata!", ADDRESS(INDEX($X$2:$X$1001,MATCH(ROWS($V$2:V575),$V$2:$V$1001,0),0), INDEX($AC$1004:$AS$1004,1,MATCH(COLUMNS($AC$1006:AI1006),$AC$1006:$AS$1006,0)))),"Fix")))</f>
        <v>0</v>
      </c>
      <c r="I575" s="5">
        <f>IF(OR(INDEX($W$2:$W$1001,MATCH(ROWS($V$2:V575),$V$2:$V$1001,0),1)&gt;=100000,INDEX($AC$1005:$AS$1005,1,MATCH(COLUMNS($AC$1006:AJ1006),$AC$1006:$AS$1006,0))&gt;=100000), " ",IF(INDEX($AC$2:$AS$1001,MATCH(ROWS($V$2:V575),$V$2:$V$1001,0),MATCH(COLUMNS($AC$1006:AJ1006),$AC$1006:$AS$1006,0)), HYPERLINK("#",""), HYPERLINK(CONCATENATE("#Metadata!", ADDRESS(INDEX($X$2:$X$1001,MATCH(ROWS($V$2:V575),$V$2:$V$1001,0),0), INDEX($AC$1004:$AS$1004,1,MATCH(COLUMNS($AC$1006:AJ1006),$AC$1006:$AS$1006,0)))),"Fix")))</f>
        <v>0</v>
      </c>
      <c r="J575" s="5">
        <f>IF(OR(INDEX($W$2:$W$1001,MATCH(ROWS($V$2:V575),$V$2:$V$1001,0),1)&gt;=100000,INDEX($AC$1005:$AS$1005,1,MATCH(COLUMNS($AC$1006:AK1006),$AC$1006:$AS$1006,0))&gt;=100000), " ",IF(INDEX($AC$2:$AS$1001,MATCH(ROWS($V$2:V575),$V$2:$V$1001,0),MATCH(COLUMNS($AC$1006:AK1006),$AC$1006:$AS$1006,0)), HYPERLINK("#",""), HYPERLINK(CONCATENATE("#Metadata!", ADDRESS(INDEX($X$2:$X$1001,MATCH(ROWS($V$2:V575),$V$2:$V$1001,0),0), INDEX($AC$1004:$AS$1004,1,MATCH(COLUMNS($AC$1006:AK1006),$AC$1006:$AS$1006,0)))),"Fix")))</f>
        <v>0</v>
      </c>
      <c r="K575" s="5">
        <f>IF(OR(INDEX($W$2:$W$1001,MATCH(ROWS($V$2:V575),$V$2:$V$1001,0),1)&gt;=100000,INDEX($AC$1005:$AS$1005,1,MATCH(COLUMNS($AC$1006:AL1006),$AC$1006:$AS$1006,0))&gt;=100000), " ",IF(INDEX($AC$2:$AS$1001,MATCH(ROWS($V$2:V575),$V$2:$V$1001,0),MATCH(COLUMNS($AC$1006:AL1006),$AC$1006:$AS$1006,0)), HYPERLINK("#",""), HYPERLINK(CONCATENATE("#Metadata!", ADDRESS(INDEX($X$2:$X$1001,MATCH(ROWS($V$2:V575),$V$2:$V$1001,0),0), INDEX($AC$1004:$AS$1004,1,MATCH(COLUMNS($AC$1006:AL1006),$AC$1006:$AS$1006,0)))),"Fix")))</f>
        <v>0</v>
      </c>
      <c r="L575" s="5">
        <f>IF(OR(INDEX($W$2:$W$1001,MATCH(ROWS($V$2:V575),$V$2:$V$1001,0),1)&gt;=100000,INDEX($AC$1005:$AS$1005,1,MATCH(COLUMNS($AC$1006:AM1006),$AC$1006:$AS$1006,0))&gt;=100000), " ",IF(INDEX($AC$2:$AS$1001,MATCH(ROWS($V$2:V575),$V$2:$V$1001,0),MATCH(COLUMNS($AC$1006:AM1006),$AC$1006:$AS$1006,0)), HYPERLINK("#",""), HYPERLINK(CONCATENATE("#Metadata!", ADDRESS(INDEX($X$2:$X$1001,MATCH(ROWS($V$2:V575),$V$2:$V$1001,0),0), INDEX($AC$1004:$AS$1004,1,MATCH(COLUMNS($AC$1006:AM1006),$AC$1006:$AS$1006,0)))),"Fix")))</f>
        <v>0</v>
      </c>
      <c r="M575" s="5">
        <f>IF(OR(INDEX($W$2:$W$1001,MATCH(ROWS($V$2:V575),$V$2:$V$1001,0),1)&gt;=100000,INDEX($AC$1005:$AS$1005,1,MATCH(COLUMNS($AC$1006:AN1006),$AC$1006:$AS$1006,0))&gt;=100000), " ",IF(INDEX($AC$2:$AS$1001,MATCH(ROWS($V$2:V575),$V$2:$V$1001,0),MATCH(COLUMNS($AC$1006:AN1006),$AC$1006:$AS$1006,0)), HYPERLINK("#",""), HYPERLINK(CONCATENATE("#Metadata!", ADDRESS(INDEX($X$2:$X$1001,MATCH(ROWS($V$2:V575),$V$2:$V$1001,0),0), INDEX($AC$1004:$AS$1004,1,MATCH(COLUMNS($AC$1006:AN1006),$AC$1006:$AS$1006,0)))),"Fix")))</f>
        <v>0</v>
      </c>
      <c r="N575" s="5">
        <f>IF(OR(INDEX($W$2:$W$1001,MATCH(ROWS($V$2:V575),$V$2:$V$1001,0),1)&gt;=100000,INDEX($AC$1005:$AS$1005,1,MATCH(COLUMNS($AC$1006:AO1006),$AC$1006:$AS$1006,0))&gt;=100000), " ",IF(INDEX($AC$2:$AS$1001,MATCH(ROWS($V$2:V575),$V$2:$V$1001,0),MATCH(COLUMNS($AC$1006:AO1006),$AC$1006:$AS$1006,0)), HYPERLINK("#",""), HYPERLINK(CONCATENATE("#Metadata!", ADDRESS(INDEX($X$2:$X$1001,MATCH(ROWS($V$2:V575),$V$2:$V$1001,0),0), INDEX($AC$1004:$AS$1004,1,MATCH(COLUMNS($AC$1006:AO1006),$AC$1006:$AS$1006,0)))),"Fix")))</f>
        <v>0</v>
      </c>
      <c r="O575" s="5">
        <f>IF(OR(INDEX($W$2:$W$1001,MATCH(ROWS($V$2:V575),$V$2:$V$1001,0),1)&gt;=100000,INDEX($AC$1005:$AS$1005,1,MATCH(COLUMNS($AC$1006:AP1006),$AC$1006:$AS$1006,0))&gt;=100000), " ",IF(INDEX($AC$2:$AS$1001,MATCH(ROWS($V$2:V575),$V$2:$V$1001,0),MATCH(COLUMNS($AC$1006:AP1006),$AC$1006:$AS$1006,0)), HYPERLINK("#",""), HYPERLINK(CONCATENATE("#Metadata!", ADDRESS(INDEX($X$2:$X$1001,MATCH(ROWS($V$2:V575),$V$2:$V$1001,0),0), INDEX($AC$1004:$AS$1004,1,MATCH(COLUMNS($AC$1006:AP1006),$AC$1006:$AS$1006,0)))),"Fix")))</f>
        <v>0</v>
      </c>
      <c r="P575" s="5">
        <f>IF(OR(INDEX($W$2:$W$1001,MATCH(ROWS($V$2:V575),$V$2:$V$1001,0),1)&gt;=100000,INDEX($AC$1005:$AS$1005,1,MATCH(COLUMNS($AC$1006:AQ1006),$AC$1006:$AS$1006,0))&gt;=100000), " ",IF(INDEX($AC$2:$AS$1001,MATCH(ROWS($V$2:V575),$V$2:$V$1001,0),MATCH(COLUMNS($AC$1006:AQ1006),$AC$1006:$AS$1006,0)), HYPERLINK("#",""), HYPERLINK(CONCATENATE("#Metadata!", ADDRESS(INDEX($X$2:$X$1001,MATCH(ROWS($V$2:V575),$V$2:$V$1001,0),0), INDEX($AC$1004:$AS$1004,1,MATCH(COLUMNS($AC$1006:AQ1006),$AC$1006:$AS$1006,0)))),"Fix")))</f>
        <v>0</v>
      </c>
      <c r="Q575" s="5">
        <f>IF(OR(INDEX($W$2:$W$1001,MATCH(ROWS($V$2:V575),$V$2:$V$1001,0),1)&gt;=100000,INDEX($AC$1005:$AS$1005,1,MATCH(COLUMNS($AC$1006:AR1006),$AC$1006:$AS$1006,0))&gt;=100000), " ",IF(INDEX($AC$2:$AS$1001,MATCH(ROWS($V$2:V575),$V$2:$V$1001,0),MATCH(COLUMNS($AC$1006:AR1006),$AC$1006:$AS$1006,0)), HYPERLINK("#",""), HYPERLINK(CONCATENATE("#Metadata!", ADDRESS(INDEX($X$2:$X$1001,MATCH(ROWS($V$2:V575),$V$2:$V$1001,0),0), INDEX($AC$1004:$AS$1004,1,MATCH(COLUMNS($AC$1006:AR1006),$AC$1006:$AS$1006,0)))),"Fix")))</f>
        <v>0</v>
      </c>
      <c r="R575" s="5">
        <f>IF(OR(INDEX($W$2:$W$1001,MATCH(ROWS($V$2:V575),$V$2:$V$1001,0),1)&gt;=100000,INDEX($AC$1005:$AS$1005,1,MATCH(COLUMNS($AC$1006:AS1006),$AC$1006:$AS$1006,0))&gt;=100000), " ",IF(INDEX($AC$2:$AS$1001,MATCH(ROWS($V$2:V575),$V$2:$V$1001,0),MATCH(COLUMNS($AC$1006:AS1006),$AC$1006:$AS$1006,0)), HYPERLINK("#",""), HYPERLINK(CONCATENATE("#Metadata!", ADDRESS(INDEX($X$2:$X$1001,MATCH(ROWS($V$2:V575),$V$2:$V$1001,0),0), INDEX($AC$1004:$AS$1004,1,MATCH(COLUMNS($AC$1006:AS1006),$AC$1006:$AS$1006,0)))),"Fix")))</f>
        <v>0</v>
      </c>
      <c r="V575">
        <v>0</v>
      </c>
      <c r="W575">
        <v>0</v>
      </c>
      <c r="X575">
        <v>0</v>
      </c>
      <c r="Y575">
        <f>IF(Z575,TRUE,AND(AC575:AS575))</f>
        <v>0</v>
      </c>
      <c r="Z575">
        <f>COUNTBLANK(Metadata!B575:R575)=COLUMNS(Metadata!B575:R575)</f>
        <v>0</v>
      </c>
      <c r="AA575">
        <v>0</v>
      </c>
      <c r="AC575">
        <f>AND(IF(Metadata!B575="",FALSE,TRUE),COUNTIF(Metadata!B:B, Metadata!B575) = 1,NOT(ISERROR(SUMPRODUCT(SEARCH(MID(Metadata!B575,ROW(INDIRECT("1:"&amp;LEN(Metadata!B575))), 1),"0123456789abcdefghijklmnopqrstuvwxyzABCDEFGHIJKLMNOPQRSTUVWXYZ.")))))</f>
        <v>0</v>
      </c>
      <c r="AD575">
        <f>AND(IF(Metadata!C575="",FALSE,TRUE),exact(Metadata!C575,"Host-associated"))</f>
        <v>0</v>
      </c>
      <c r="AE575">
        <f>AND(IF(Metadata!D575="",FALSE,TRUE),OR(exact(Metadata!D575,"Animal"),exact(Metadata!D575,"Fungus"),exact(Metadata!D575,"Plant")))</f>
        <v>0</v>
      </c>
      <c r="AF575">
        <f>AND(IF(Metadata!E575="",FALSE,TRUE),OR(exact(Metadata!E575,"Plant secretion"),exact(Metadata!E575,"Plant rhizosphere"),exact(Metadata!E575,"Plant surface"),exact(Metadata!E575,"Plant corpus"),exact(Metadata!E575,"Fungus surface"),exact(Metadata!E575,"Fungus corpus"),exact(Metadata!E575,"Animal surface"),exact(Metadata!E575,"Animal proximal gut"),exact(Metadata!E575,"Animal corpus"),exact(Metadata!E575,"Animal distal gut"),exact(Metadata!E575,"Animal secretion")))</f>
        <v>0</v>
      </c>
      <c r="AG575">
        <f>OR(AND(IF(Metadata!F575="",FALSE,TRUE),OR(exact(Metadata!F575,"not collected"),exact(Metadata!F575,"not provided"),exact(Metadata!F575,"restricted access"))),AND(IF(Metadata!F575="",FALSE,TRUE),OR(exact(Metadata!F575,"organism-associated habitat"),exact(Metadata!F575,"plant-associated habitat"),exact(Metadata!F575,"animal-associated habitat"),exact(Metadata!F575,"insecta-associated habitat"),exact(Metadata!F575,"mammalia-associated habitat"),exact(Metadata!F575,"human-associated habitat"),exact(Metadata!F575,"livestock-associated habitat"))))</f>
        <v>0</v>
      </c>
      <c r="AH575">
        <f>AND(IF(Metadata!G575="",FALSE,TRUE),exact(Metadata!G575,"host-associated"))</f>
        <v>0</v>
      </c>
      <c r="AI575">
        <f>OR(AND(IF(Metadata!H575="",FALSE,TRUE),OR(exact(Metadata!H575,"not collected"),exact(Metadata!H575,"not provided"))),AND(IF(Metadata!H575="",FALSE,ISNUMBER(VALUE(Metadata!H575))),Metadata!H575&gt;0))</f>
        <v>0</v>
      </c>
      <c r="AJ575">
        <f>AND(IF(Metadata!I575="",FALSE,TRUE),exact(Metadata!I575,"years"))</f>
        <v>0</v>
      </c>
      <c r="AK575">
        <f>IF(Metadata!J575="",FALSE,TRUE)</f>
        <v>0</v>
      </c>
      <c r="AL575">
        <f>OR(AND(IF(Metadata!K575="",FALSE,TRUE),OR(exact(Metadata!K575,"not collected"),exact(Metadata!K575,"not provided"))),AND(IF(Metadata!K575="",FALSE,ISNUMBER(VALUE(Metadata!K575))),Metadata!K575&gt;0))</f>
        <v>0</v>
      </c>
      <c r="AM575">
        <f>AND(IF(Metadata!L575="",FALSE,TRUE),exact(Metadata!L575,"cm"))</f>
        <v>0</v>
      </c>
      <c r="AN575">
        <f>IF(Metadata!M575="",FALSE,TRUE)</f>
        <v>0</v>
      </c>
      <c r="AO575">
        <f>OR(AND(IF(Metadata!N575="",FALSE,TRUE),OR(exact(Metadata!N575,"not applicable"),exact(Metadata!N575,"not collected"),exact(Metadata!N575,"not provided"))),AND(IF(Metadata!N575="",FALSE,IF(ISERROR(INT(Metadata!N575)),FALSE,INT(Metadata!N575)=Metadata!N575)),Metadata!N575&gt;0))</f>
        <v>0</v>
      </c>
      <c r="AP575">
        <f>OR(AND(IF(Metadata!O575="",FALSE,TRUE),OR(exact(Metadata!O575,"not collected"),exact(Metadata!O575,"not provided"))),AND(IF(Metadata!O575="",FALSE,ISNUMBER(VALUE(Metadata!O575))),Metadata!O575&gt;0))</f>
        <v>0</v>
      </c>
      <c r="AQ575">
        <f>AND(IF(Metadata!P575="",FALSE,TRUE),exact(Metadata!P575,"kg"))</f>
        <v>0</v>
      </c>
      <c r="AR575">
        <f>OR(AND(IF(Metadata!Q575="",FALSE,TRUE),OR(exact(Metadata!Q575,"not applicable"),exact(Metadata!Q575,"not collected"),exact(Metadata!Q575,"not provided"),exact(Metadata!Q575,"restricted access"))),IF(Metadata!Q575="",FALSE,IF(ISERROR(INT(Metadata!Q575)),FALSE,INT(Metadata!Q575)=Metadata!Q575)))</f>
        <v>0</v>
      </c>
      <c r="AS575">
        <f>AND(IF(Metadata!R575="",FALSE,TRUE),exact(Metadata!R575,"Not applicable"))</f>
        <v>0</v>
      </c>
    </row>
    <row r="576" spans="1:45">
      <c r="A576" s="4">
        <f>IF(B576=" "," ",HYPERLINK(CONCATENATE("#metadata!",ADDRESS(INDEX($X$2:$X$1001,MATCH(ROWS($V$2:V576),$V$2:$V$1001,0),0),2)),INDEX($AA$2:$AA$1001,MATCH(ROWS($V$2:V576),$V$2:$V$1001,0),0)))</f>
        <v>0</v>
      </c>
      <c r="B576" s="5">
        <f>IF(OR(INDEX($W$2:$W$1001,MATCH(ROWS($V$2:V576),$V$2:$V$1001,0),1)&gt;=100000,INDEX($AC$1005:$AS$1005,1,MATCH(COLUMNS($AC$1006:AC1006),$AC$1006:$AS$1006,0))&gt;=100000), " ",IF(INDEX($AC$2:$AS$1001,MATCH(ROWS($V$2:V576),$V$2:$V$1001,0),MATCH(COLUMNS($AC$1006:AC1006),$AC$1006:$AS$1006,0)), HYPERLINK("#",""), HYPERLINK(CONCATENATE("#Metadata!", ADDRESS(INDEX($X$2:$X$1001,MATCH(ROWS($V$2:V576),$V$2:$V$1001,0),0), INDEX($AC$1004:$AS$1004,1,MATCH(COLUMNS($AC$1006:AC1006),$AC$1006:$AS$1006,0)))),"Fix")))</f>
        <v>0</v>
      </c>
      <c r="C576" s="5">
        <f>IF(OR(INDEX($W$2:$W$1001,MATCH(ROWS($V$2:V576),$V$2:$V$1001,0),1)&gt;=100000,INDEX($AC$1005:$AS$1005,1,MATCH(COLUMNS($AC$1006:AD1006),$AC$1006:$AS$1006,0))&gt;=100000), " ",IF(INDEX($AC$2:$AS$1001,MATCH(ROWS($V$2:V576),$V$2:$V$1001,0),MATCH(COLUMNS($AC$1006:AD1006),$AC$1006:$AS$1006,0)), HYPERLINK("#",""), HYPERLINK(CONCATENATE("#Metadata!", ADDRESS(INDEX($X$2:$X$1001,MATCH(ROWS($V$2:V576),$V$2:$V$1001,0),0), INDEX($AC$1004:$AS$1004,1,MATCH(COLUMNS($AC$1006:AD1006),$AC$1006:$AS$1006,0)))),"Fix")))</f>
        <v>0</v>
      </c>
      <c r="D576" s="5">
        <f>IF(OR(INDEX($W$2:$W$1001,MATCH(ROWS($V$2:V576),$V$2:$V$1001,0),1)&gt;=100000,INDEX($AC$1005:$AS$1005,1,MATCH(COLUMNS($AC$1006:AE1006),$AC$1006:$AS$1006,0))&gt;=100000), " ",IF(INDEX($AC$2:$AS$1001,MATCH(ROWS($V$2:V576),$V$2:$V$1001,0),MATCH(COLUMNS($AC$1006:AE1006),$AC$1006:$AS$1006,0)), HYPERLINK("#",""), HYPERLINK(CONCATENATE("#Metadata!", ADDRESS(INDEX($X$2:$X$1001,MATCH(ROWS($V$2:V576),$V$2:$V$1001,0),0), INDEX($AC$1004:$AS$1004,1,MATCH(COLUMNS($AC$1006:AE1006),$AC$1006:$AS$1006,0)))),"Fix")))</f>
        <v>0</v>
      </c>
      <c r="E576" s="5">
        <f>IF(OR(INDEX($W$2:$W$1001,MATCH(ROWS($V$2:V576),$V$2:$V$1001,0),1)&gt;=100000,INDEX($AC$1005:$AS$1005,1,MATCH(COLUMNS($AC$1006:AF1006),$AC$1006:$AS$1006,0))&gt;=100000), " ",IF(INDEX($AC$2:$AS$1001,MATCH(ROWS($V$2:V576),$V$2:$V$1001,0),MATCH(COLUMNS($AC$1006:AF1006),$AC$1006:$AS$1006,0)), HYPERLINK("#",""), HYPERLINK(CONCATENATE("#Metadata!", ADDRESS(INDEX($X$2:$X$1001,MATCH(ROWS($V$2:V576),$V$2:$V$1001,0),0), INDEX($AC$1004:$AS$1004,1,MATCH(COLUMNS($AC$1006:AF1006),$AC$1006:$AS$1006,0)))),"Fix")))</f>
        <v>0</v>
      </c>
      <c r="F576" s="5">
        <f>IF(OR(INDEX($W$2:$W$1001,MATCH(ROWS($V$2:V576),$V$2:$V$1001,0),1)&gt;=100000,INDEX($AC$1005:$AS$1005,1,MATCH(COLUMNS($AC$1006:AG1006),$AC$1006:$AS$1006,0))&gt;=100000), " ",IF(INDEX($AC$2:$AS$1001,MATCH(ROWS($V$2:V576),$V$2:$V$1001,0),MATCH(COLUMNS($AC$1006:AG1006),$AC$1006:$AS$1006,0)), HYPERLINK("#",""), HYPERLINK(CONCATENATE("#Metadata!", ADDRESS(INDEX($X$2:$X$1001,MATCH(ROWS($V$2:V576),$V$2:$V$1001,0),0), INDEX($AC$1004:$AS$1004,1,MATCH(COLUMNS($AC$1006:AG1006),$AC$1006:$AS$1006,0)))),"Fix")))</f>
        <v>0</v>
      </c>
      <c r="G576" s="5">
        <f>IF(OR(INDEX($W$2:$W$1001,MATCH(ROWS($V$2:V576),$V$2:$V$1001,0),1)&gt;=100000,INDEX($AC$1005:$AS$1005,1,MATCH(COLUMNS($AC$1006:AH1006),$AC$1006:$AS$1006,0))&gt;=100000), " ",IF(INDEX($AC$2:$AS$1001,MATCH(ROWS($V$2:V576),$V$2:$V$1001,0),MATCH(COLUMNS($AC$1006:AH1006),$AC$1006:$AS$1006,0)), HYPERLINK("#",""), HYPERLINK(CONCATENATE("#Metadata!", ADDRESS(INDEX($X$2:$X$1001,MATCH(ROWS($V$2:V576),$V$2:$V$1001,0),0), INDEX($AC$1004:$AS$1004,1,MATCH(COLUMNS($AC$1006:AH1006),$AC$1006:$AS$1006,0)))),"Fix")))</f>
        <v>0</v>
      </c>
      <c r="H576" s="5">
        <f>IF(OR(INDEX($W$2:$W$1001,MATCH(ROWS($V$2:V576),$V$2:$V$1001,0),1)&gt;=100000,INDEX($AC$1005:$AS$1005,1,MATCH(COLUMNS($AC$1006:AI1006),$AC$1006:$AS$1006,0))&gt;=100000), " ",IF(INDEX($AC$2:$AS$1001,MATCH(ROWS($V$2:V576),$V$2:$V$1001,0),MATCH(COLUMNS($AC$1006:AI1006),$AC$1006:$AS$1006,0)), HYPERLINK("#",""), HYPERLINK(CONCATENATE("#Metadata!", ADDRESS(INDEX($X$2:$X$1001,MATCH(ROWS($V$2:V576),$V$2:$V$1001,0),0), INDEX($AC$1004:$AS$1004,1,MATCH(COLUMNS($AC$1006:AI1006),$AC$1006:$AS$1006,0)))),"Fix")))</f>
        <v>0</v>
      </c>
      <c r="I576" s="5">
        <f>IF(OR(INDEX($W$2:$W$1001,MATCH(ROWS($V$2:V576),$V$2:$V$1001,0),1)&gt;=100000,INDEX($AC$1005:$AS$1005,1,MATCH(COLUMNS($AC$1006:AJ1006),$AC$1006:$AS$1006,0))&gt;=100000), " ",IF(INDEX($AC$2:$AS$1001,MATCH(ROWS($V$2:V576),$V$2:$V$1001,0),MATCH(COLUMNS($AC$1006:AJ1006),$AC$1006:$AS$1006,0)), HYPERLINK("#",""), HYPERLINK(CONCATENATE("#Metadata!", ADDRESS(INDEX($X$2:$X$1001,MATCH(ROWS($V$2:V576),$V$2:$V$1001,0),0), INDEX($AC$1004:$AS$1004,1,MATCH(COLUMNS($AC$1006:AJ1006),$AC$1006:$AS$1006,0)))),"Fix")))</f>
        <v>0</v>
      </c>
      <c r="J576" s="5">
        <f>IF(OR(INDEX($W$2:$W$1001,MATCH(ROWS($V$2:V576),$V$2:$V$1001,0),1)&gt;=100000,INDEX($AC$1005:$AS$1005,1,MATCH(COLUMNS($AC$1006:AK1006),$AC$1006:$AS$1006,0))&gt;=100000), " ",IF(INDEX($AC$2:$AS$1001,MATCH(ROWS($V$2:V576),$V$2:$V$1001,0),MATCH(COLUMNS($AC$1006:AK1006),$AC$1006:$AS$1006,0)), HYPERLINK("#",""), HYPERLINK(CONCATENATE("#Metadata!", ADDRESS(INDEX($X$2:$X$1001,MATCH(ROWS($V$2:V576),$V$2:$V$1001,0),0), INDEX($AC$1004:$AS$1004,1,MATCH(COLUMNS($AC$1006:AK1006),$AC$1006:$AS$1006,0)))),"Fix")))</f>
        <v>0</v>
      </c>
      <c r="K576" s="5">
        <f>IF(OR(INDEX($W$2:$W$1001,MATCH(ROWS($V$2:V576),$V$2:$V$1001,0),1)&gt;=100000,INDEX($AC$1005:$AS$1005,1,MATCH(COLUMNS($AC$1006:AL1006),$AC$1006:$AS$1006,0))&gt;=100000), " ",IF(INDEX($AC$2:$AS$1001,MATCH(ROWS($V$2:V576),$V$2:$V$1001,0),MATCH(COLUMNS($AC$1006:AL1006),$AC$1006:$AS$1006,0)), HYPERLINK("#",""), HYPERLINK(CONCATENATE("#Metadata!", ADDRESS(INDEX($X$2:$X$1001,MATCH(ROWS($V$2:V576),$V$2:$V$1001,0),0), INDEX($AC$1004:$AS$1004,1,MATCH(COLUMNS($AC$1006:AL1006),$AC$1006:$AS$1006,0)))),"Fix")))</f>
        <v>0</v>
      </c>
      <c r="L576" s="5">
        <f>IF(OR(INDEX($W$2:$W$1001,MATCH(ROWS($V$2:V576),$V$2:$V$1001,0),1)&gt;=100000,INDEX($AC$1005:$AS$1005,1,MATCH(COLUMNS($AC$1006:AM1006),$AC$1006:$AS$1006,0))&gt;=100000), " ",IF(INDEX($AC$2:$AS$1001,MATCH(ROWS($V$2:V576),$V$2:$V$1001,0),MATCH(COLUMNS($AC$1006:AM1006),$AC$1006:$AS$1006,0)), HYPERLINK("#",""), HYPERLINK(CONCATENATE("#Metadata!", ADDRESS(INDEX($X$2:$X$1001,MATCH(ROWS($V$2:V576),$V$2:$V$1001,0),0), INDEX($AC$1004:$AS$1004,1,MATCH(COLUMNS($AC$1006:AM1006),$AC$1006:$AS$1006,0)))),"Fix")))</f>
        <v>0</v>
      </c>
      <c r="M576" s="5">
        <f>IF(OR(INDEX($W$2:$W$1001,MATCH(ROWS($V$2:V576),$V$2:$V$1001,0),1)&gt;=100000,INDEX($AC$1005:$AS$1005,1,MATCH(COLUMNS($AC$1006:AN1006),$AC$1006:$AS$1006,0))&gt;=100000), " ",IF(INDEX($AC$2:$AS$1001,MATCH(ROWS($V$2:V576),$V$2:$V$1001,0),MATCH(COLUMNS($AC$1006:AN1006),$AC$1006:$AS$1006,0)), HYPERLINK("#",""), HYPERLINK(CONCATENATE("#Metadata!", ADDRESS(INDEX($X$2:$X$1001,MATCH(ROWS($V$2:V576),$V$2:$V$1001,0),0), INDEX($AC$1004:$AS$1004,1,MATCH(COLUMNS($AC$1006:AN1006),$AC$1006:$AS$1006,0)))),"Fix")))</f>
        <v>0</v>
      </c>
      <c r="N576" s="5">
        <f>IF(OR(INDEX($W$2:$W$1001,MATCH(ROWS($V$2:V576),$V$2:$V$1001,0),1)&gt;=100000,INDEX($AC$1005:$AS$1005,1,MATCH(COLUMNS($AC$1006:AO1006),$AC$1006:$AS$1006,0))&gt;=100000), " ",IF(INDEX($AC$2:$AS$1001,MATCH(ROWS($V$2:V576),$V$2:$V$1001,0),MATCH(COLUMNS($AC$1006:AO1006),$AC$1006:$AS$1006,0)), HYPERLINK("#",""), HYPERLINK(CONCATENATE("#Metadata!", ADDRESS(INDEX($X$2:$X$1001,MATCH(ROWS($V$2:V576),$V$2:$V$1001,0),0), INDEX($AC$1004:$AS$1004,1,MATCH(COLUMNS($AC$1006:AO1006),$AC$1006:$AS$1006,0)))),"Fix")))</f>
        <v>0</v>
      </c>
      <c r="O576" s="5">
        <f>IF(OR(INDEX($W$2:$W$1001,MATCH(ROWS($V$2:V576),$V$2:$V$1001,0),1)&gt;=100000,INDEX($AC$1005:$AS$1005,1,MATCH(COLUMNS($AC$1006:AP1006),$AC$1006:$AS$1006,0))&gt;=100000), " ",IF(INDEX($AC$2:$AS$1001,MATCH(ROWS($V$2:V576),$V$2:$V$1001,0),MATCH(COLUMNS($AC$1006:AP1006),$AC$1006:$AS$1006,0)), HYPERLINK("#",""), HYPERLINK(CONCATENATE("#Metadata!", ADDRESS(INDEX($X$2:$X$1001,MATCH(ROWS($V$2:V576),$V$2:$V$1001,0),0), INDEX($AC$1004:$AS$1004,1,MATCH(COLUMNS($AC$1006:AP1006),$AC$1006:$AS$1006,0)))),"Fix")))</f>
        <v>0</v>
      </c>
      <c r="P576" s="5">
        <f>IF(OR(INDEX($W$2:$W$1001,MATCH(ROWS($V$2:V576),$V$2:$V$1001,0),1)&gt;=100000,INDEX($AC$1005:$AS$1005,1,MATCH(COLUMNS($AC$1006:AQ1006),$AC$1006:$AS$1006,0))&gt;=100000), " ",IF(INDEX($AC$2:$AS$1001,MATCH(ROWS($V$2:V576),$V$2:$V$1001,0),MATCH(COLUMNS($AC$1006:AQ1006),$AC$1006:$AS$1006,0)), HYPERLINK("#",""), HYPERLINK(CONCATENATE("#Metadata!", ADDRESS(INDEX($X$2:$X$1001,MATCH(ROWS($V$2:V576),$V$2:$V$1001,0),0), INDEX($AC$1004:$AS$1004,1,MATCH(COLUMNS($AC$1006:AQ1006),$AC$1006:$AS$1006,0)))),"Fix")))</f>
        <v>0</v>
      </c>
      <c r="Q576" s="5">
        <f>IF(OR(INDEX($W$2:$W$1001,MATCH(ROWS($V$2:V576),$V$2:$V$1001,0),1)&gt;=100000,INDEX($AC$1005:$AS$1005,1,MATCH(COLUMNS($AC$1006:AR1006),$AC$1006:$AS$1006,0))&gt;=100000), " ",IF(INDEX($AC$2:$AS$1001,MATCH(ROWS($V$2:V576),$V$2:$V$1001,0),MATCH(COLUMNS($AC$1006:AR1006),$AC$1006:$AS$1006,0)), HYPERLINK("#",""), HYPERLINK(CONCATENATE("#Metadata!", ADDRESS(INDEX($X$2:$X$1001,MATCH(ROWS($V$2:V576),$V$2:$V$1001,0),0), INDEX($AC$1004:$AS$1004,1,MATCH(COLUMNS($AC$1006:AR1006),$AC$1006:$AS$1006,0)))),"Fix")))</f>
        <v>0</v>
      </c>
      <c r="R576" s="5">
        <f>IF(OR(INDEX($W$2:$W$1001,MATCH(ROWS($V$2:V576),$V$2:$V$1001,0),1)&gt;=100000,INDEX($AC$1005:$AS$1005,1,MATCH(COLUMNS($AC$1006:AS1006),$AC$1006:$AS$1006,0))&gt;=100000), " ",IF(INDEX($AC$2:$AS$1001,MATCH(ROWS($V$2:V576),$V$2:$V$1001,0),MATCH(COLUMNS($AC$1006:AS1006),$AC$1006:$AS$1006,0)), HYPERLINK("#",""), HYPERLINK(CONCATENATE("#Metadata!", ADDRESS(INDEX($X$2:$X$1001,MATCH(ROWS($V$2:V576),$V$2:$V$1001,0),0), INDEX($AC$1004:$AS$1004,1,MATCH(COLUMNS($AC$1006:AS1006),$AC$1006:$AS$1006,0)))),"Fix")))</f>
        <v>0</v>
      </c>
      <c r="V576">
        <v>0</v>
      </c>
      <c r="W576">
        <v>0</v>
      </c>
      <c r="X576">
        <v>0</v>
      </c>
      <c r="Y576">
        <f>IF(Z576,TRUE,AND(AC576:AS576))</f>
        <v>0</v>
      </c>
      <c r="Z576">
        <f>COUNTBLANK(Metadata!B576:R576)=COLUMNS(Metadata!B576:R576)</f>
        <v>0</v>
      </c>
      <c r="AA576">
        <v>0</v>
      </c>
      <c r="AC576">
        <f>AND(IF(Metadata!B576="",FALSE,TRUE),COUNTIF(Metadata!B:B, Metadata!B576) = 1,NOT(ISERROR(SUMPRODUCT(SEARCH(MID(Metadata!B576,ROW(INDIRECT("1:"&amp;LEN(Metadata!B576))), 1),"0123456789abcdefghijklmnopqrstuvwxyzABCDEFGHIJKLMNOPQRSTUVWXYZ.")))))</f>
        <v>0</v>
      </c>
      <c r="AD576">
        <f>AND(IF(Metadata!C576="",FALSE,TRUE),exact(Metadata!C576,"Host-associated"))</f>
        <v>0</v>
      </c>
      <c r="AE576">
        <f>AND(IF(Metadata!D576="",FALSE,TRUE),OR(exact(Metadata!D576,"Animal"),exact(Metadata!D576,"Fungus"),exact(Metadata!D576,"Plant")))</f>
        <v>0</v>
      </c>
      <c r="AF576">
        <f>AND(IF(Metadata!E576="",FALSE,TRUE),OR(exact(Metadata!E576,"Plant secretion"),exact(Metadata!E576,"Plant rhizosphere"),exact(Metadata!E576,"Plant surface"),exact(Metadata!E576,"Plant corpus"),exact(Metadata!E576,"Fungus surface"),exact(Metadata!E576,"Fungus corpus"),exact(Metadata!E576,"Animal surface"),exact(Metadata!E576,"Animal proximal gut"),exact(Metadata!E576,"Animal corpus"),exact(Metadata!E576,"Animal distal gut"),exact(Metadata!E576,"Animal secretion")))</f>
        <v>0</v>
      </c>
      <c r="AG576">
        <f>OR(AND(IF(Metadata!F576="",FALSE,TRUE),OR(exact(Metadata!F576,"not collected"),exact(Metadata!F576,"not provided"),exact(Metadata!F576,"restricted access"))),AND(IF(Metadata!F576="",FALSE,TRUE),OR(exact(Metadata!F576,"organism-associated habitat"),exact(Metadata!F576,"plant-associated habitat"),exact(Metadata!F576,"animal-associated habitat"),exact(Metadata!F576,"insecta-associated habitat"),exact(Metadata!F576,"mammalia-associated habitat"),exact(Metadata!F576,"human-associated habitat"),exact(Metadata!F576,"livestock-associated habitat"))))</f>
        <v>0</v>
      </c>
      <c r="AH576">
        <f>AND(IF(Metadata!G576="",FALSE,TRUE),exact(Metadata!G576,"host-associated"))</f>
        <v>0</v>
      </c>
      <c r="AI576">
        <f>OR(AND(IF(Metadata!H576="",FALSE,TRUE),OR(exact(Metadata!H576,"not collected"),exact(Metadata!H576,"not provided"))),AND(IF(Metadata!H576="",FALSE,ISNUMBER(VALUE(Metadata!H576))),Metadata!H576&gt;0))</f>
        <v>0</v>
      </c>
      <c r="AJ576">
        <f>AND(IF(Metadata!I576="",FALSE,TRUE),exact(Metadata!I576,"years"))</f>
        <v>0</v>
      </c>
      <c r="AK576">
        <f>IF(Metadata!J576="",FALSE,TRUE)</f>
        <v>0</v>
      </c>
      <c r="AL576">
        <f>OR(AND(IF(Metadata!K576="",FALSE,TRUE),OR(exact(Metadata!K576,"not collected"),exact(Metadata!K576,"not provided"))),AND(IF(Metadata!K576="",FALSE,ISNUMBER(VALUE(Metadata!K576))),Metadata!K576&gt;0))</f>
        <v>0</v>
      </c>
      <c r="AM576">
        <f>AND(IF(Metadata!L576="",FALSE,TRUE),exact(Metadata!L576,"cm"))</f>
        <v>0</v>
      </c>
      <c r="AN576">
        <f>IF(Metadata!M576="",FALSE,TRUE)</f>
        <v>0</v>
      </c>
      <c r="AO576">
        <f>OR(AND(IF(Metadata!N576="",FALSE,TRUE),OR(exact(Metadata!N576,"not applicable"),exact(Metadata!N576,"not collected"),exact(Metadata!N576,"not provided"))),AND(IF(Metadata!N576="",FALSE,IF(ISERROR(INT(Metadata!N576)),FALSE,INT(Metadata!N576)=Metadata!N576)),Metadata!N576&gt;0))</f>
        <v>0</v>
      </c>
      <c r="AP576">
        <f>OR(AND(IF(Metadata!O576="",FALSE,TRUE),OR(exact(Metadata!O576,"not collected"),exact(Metadata!O576,"not provided"))),AND(IF(Metadata!O576="",FALSE,ISNUMBER(VALUE(Metadata!O576))),Metadata!O576&gt;0))</f>
        <v>0</v>
      </c>
      <c r="AQ576">
        <f>AND(IF(Metadata!P576="",FALSE,TRUE),exact(Metadata!P576,"kg"))</f>
        <v>0</v>
      </c>
      <c r="AR576">
        <f>OR(AND(IF(Metadata!Q576="",FALSE,TRUE),OR(exact(Metadata!Q576,"not applicable"),exact(Metadata!Q576,"not collected"),exact(Metadata!Q576,"not provided"),exact(Metadata!Q576,"restricted access"))),IF(Metadata!Q576="",FALSE,IF(ISERROR(INT(Metadata!Q576)),FALSE,INT(Metadata!Q576)=Metadata!Q576)))</f>
        <v>0</v>
      </c>
      <c r="AS576">
        <f>AND(IF(Metadata!R576="",FALSE,TRUE),exact(Metadata!R576,"Not applicable"))</f>
        <v>0</v>
      </c>
    </row>
    <row r="577" spans="1:45">
      <c r="A577" s="4">
        <f>IF(B577=" "," ",HYPERLINK(CONCATENATE("#metadata!",ADDRESS(INDEX($X$2:$X$1001,MATCH(ROWS($V$2:V577),$V$2:$V$1001,0),0),2)),INDEX($AA$2:$AA$1001,MATCH(ROWS($V$2:V577),$V$2:$V$1001,0),0)))</f>
        <v>0</v>
      </c>
      <c r="B577" s="5">
        <f>IF(OR(INDEX($W$2:$W$1001,MATCH(ROWS($V$2:V577),$V$2:$V$1001,0),1)&gt;=100000,INDEX($AC$1005:$AS$1005,1,MATCH(COLUMNS($AC$1006:AC1006),$AC$1006:$AS$1006,0))&gt;=100000), " ",IF(INDEX($AC$2:$AS$1001,MATCH(ROWS($V$2:V577),$V$2:$V$1001,0),MATCH(COLUMNS($AC$1006:AC1006),$AC$1006:$AS$1006,0)), HYPERLINK("#",""), HYPERLINK(CONCATENATE("#Metadata!", ADDRESS(INDEX($X$2:$X$1001,MATCH(ROWS($V$2:V577),$V$2:$V$1001,0),0), INDEX($AC$1004:$AS$1004,1,MATCH(COLUMNS($AC$1006:AC1006),$AC$1006:$AS$1006,0)))),"Fix")))</f>
        <v>0</v>
      </c>
      <c r="C577" s="5">
        <f>IF(OR(INDEX($W$2:$W$1001,MATCH(ROWS($V$2:V577),$V$2:$V$1001,0),1)&gt;=100000,INDEX($AC$1005:$AS$1005,1,MATCH(COLUMNS($AC$1006:AD1006),$AC$1006:$AS$1006,0))&gt;=100000), " ",IF(INDEX($AC$2:$AS$1001,MATCH(ROWS($V$2:V577),$V$2:$V$1001,0),MATCH(COLUMNS($AC$1006:AD1006),$AC$1006:$AS$1006,0)), HYPERLINK("#",""), HYPERLINK(CONCATENATE("#Metadata!", ADDRESS(INDEX($X$2:$X$1001,MATCH(ROWS($V$2:V577),$V$2:$V$1001,0),0), INDEX($AC$1004:$AS$1004,1,MATCH(COLUMNS($AC$1006:AD1006),$AC$1006:$AS$1006,0)))),"Fix")))</f>
        <v>0</v>
      </c>
      <c r="D577" s="5">
        <f>IF(OR(INDEX($W$2:$W$1001,MATCH(ROWS($V$2:V577),$V$2:$V$1001,0),1)&gt;=100000,INDEX($AC$1005:$AS$1005,1,MATCH(COLUMNS($AC$1006:AE1006),$AC$1006:$AS$1006,0))&gt;=100000), " ",IF(INDEX($AC$2:$AS$1001,MATCH(ROWS($V$2:V577),$V$2:$V$1001,0),MATCH(COLUMNS($AC$1006:AE1006),$AC$1006:$AS$1006,0)), HYPERLINK("#",""), HYPERLINK(CONCATENATE("#Metadata!", ADDRESS(INDEX($X$2:$X$1001,MATCH(ROWS($V$2:V577),$V$2:$V$1001,0),0), INDEX($AC$1004:$AS$1004,1,MATCH(COLUMNS($AC$1006:AE1006),$AC$1006:$AS$1006,0)))),"Fix")))</f>
        <v>0</v>
      </c>
      <c r="E577" s="5">
        <f>IF(OR(INDEX($W$2:$W$1001,MATCH(ROWS($V$2:V577),$V$2:$V$1001,0),1)&gt;=100000,INDEX($AC$1005:$AS$1005,1,MATCH(COLUMNS($AC$1006:AF1006),$AC$1006:$AS$1006,0))&gt;=100000), " ",IF(INDEX($AC$2:$AS$1001,MATCH(ROWS($V$2:V577),$V$2:$V$1001,0),MATCH(COLUMNS($AC$1006:AF1006),$AC$1006:$AS$1006,0)), HYPERLINK("#",""), HYPERLINK(CONCATENATE("#Metadata!", ADDRESS(INDEX($X$2:$X$1001,MATCH(ROWS($V$2:V577),$V$2:$V$1001,0),0), INDEX($AC$1004:$AS$1004,1,MATCH(COLUMNS($AC$1006:AF1006),$AC$1006:$AS$1006,0)))),"Fix")))</f>
        <v>0</v>
      </c>
      <c r="F577" s="5">
        <f>IF(OR(INDEX($W$2:$W$1001,MATCH(ROWS($V$2:V577),$V$2:$V$1001,0),1)&gt;=100000,INDEX($AC$1005:$AS$1005,1,MATCH(COLUMNS($AC$1006:AG1006),$AC$1006:$AS$1006,0))&gt;=100000), " ",IF(INDEX($AC$2:$AS$1001,MATCH(ROWS($V$2:V577),$V$2:$V$1001,0),MATCH(COLUMNS($AC$1006:AG1006),$AC$1006:$AS$1006,0)), HYPERLINK("#",""), HYPERLINK(CONCATENATE("#Metadata!", ADDRESS(INDEX($X$2:$X$1001,MATCH(ROWS($V$2:V577),$V$2:$V$1001,0),0), INDEX($AC$1004:$AS$1004,1,MATCH(COLUMNS($AC$1006:AG1006),$AC$1006:$AS$1006,0)))),"Fix")))</f>
        <v>0</v>
      </c>
      <c r="G577" s="5">
        <f>IF(OR(INDEX($W$2:$W$1001,MATCH(ROWS($V$2:V577),$V$2:$V$1001,0),1)&gt;=100000,INDEX($AC$1005:$AS$1005,1,MATCH(COLUMNS($AC$1006:AH1006),$AC$1006:$AS$1006,0))&gt;=100000), " ",IF(INDEX($AC$2:$AS$1001,MATCH(ROWS($V$2:V577),$V$2:$V$1001,0),MATCH(COLUMNS($AC$1006:AH1006),$AC$1006:$AS$1006,0)), HYPERLINK("#",""), HYPERLINK(CONCATENATE("#Metadata!", ADDRESS(INDEX($X$2:$X$1001,MATCH(ROWS($V$2:V577),$V$2:$V$1001,0),0), INDEX($AC$1004:$AS$1004,1,MATCH(COLUMNS($AC$1006:AH1006),$AC$1006:$AS$1006,0)))),"Fix")))</f>
        <v>0</v>
      </c>
      <c r="H577" s="5">
        <f>IF(OR(INDEX($W$2:$W$1001,MATCH(ROWS($V$2:V577),$V$2:$V$1001,0),1)&gt;=100000,INDEX($AC$1005:$AS$1005,1,MATCH(COLUMNS($AC$1006:AI1006),$AC$1006:$AS$1006,0))&gt;=100000), " ",IF(INDEX($AC$2:$AS$1001,MATCH(ROWS($V$2:V577),$V$2:$V$1001,0),MATCH(COLUMNS($AC$1006:AI1006),$AC$1006:$AS$1006,0)), HYPERLINK("#",""), HYPERLINK(CONCATENATE("#Metadata!", ADDRESS(INDEX($X$2:$X$1001,MATCH(ROWS($V$2:V577),$V$2:$V$1001,0),0), INDEX($AC$1004:$AS$1004,1,MATCH(COLUMNS($AC$1006:AI1006),$AC$1006:$AS$1006,0)))),"Fix")))</f>
        <v>0</v>
      </c>
      <c r="I577" s="5">
        <f>IF(OR(INDEX($W$2:$W$1001,MATCH(ROWS($V$2:V577),$V$2:$V$1001,0),1)&gt;=100000,INDEX($AC$1005:$AS$1005,1,MATCH(COLUMNS($AC$1006:AJ1006),$AC$1006:$AS$1006,0))&gt;=100000), " ",IF(INDEX($AC$2:$AS$1001,MATCH(ROWS($V$2:V577),$V$2:$V$1001,0),MATCH(COLUMNS($AC$1006:AJ1006),$AC$1006:$AS$1006,0)), HYPERLINK("#",""), HYPERLINK(CONCATENATE("#Metadata!", ADDRESS(INDEX($X$2:$X$1001,MATCH(ROWS($V$2:V577),$V$2:$V$1001,0),0), INDEX($AC$1004:$AS$1004,1,MATCH(COLUMNS($AC$1006:AJ1006),$AC$1006:$AS$1006,0)))),"Fix")))</f>
        <v>0</v>
      </c>
      <c r="J577" s="5">
        <f>IF(OR(INDEX($W$2:$W$1001,MATCH(ROWS($V$2:V577),$V$2:$V$1001,0),1)&gt;=100000,INDEX($AC$1005:$AS$1005,1,MATCH(COLUMNS($AC$1006:AK1006),$AC$1006:$AS$1006,0))&gt;=100000), " ",IF(INDEX($AC$2:$AS$1001,MATCH(ROWS($V$2:V577),$V$2:$V$1001,0),MATCH(COLUMNS($AC$1006:AK1006),$AC$1006:$AS$1006,0)), HYPERLINK("#",""), HYPERLINK(CONCATENATE("#Metadata!", ADDRESS(INDEX($X$2:$X$1001,MATCH(ROWS($V$2:V577),$V$2:$V$1001,0),0), INDEX($AC$1004:$AS$1004,1,MATCH(COLUMNS($AC$1006:AK1006),$AC$1006:$AS$1006,0)))),"Fix")))</f>
        <v>0</v>
      </c>
      <c r="K577" s="5">
        <f>IF(OR(INDEX($W$2:$W$1001,MATCH(ROWS($V$2:V577),$V$2:$V$1001,0),1)&gt;=100000,INDEX($AC$1005:$AS$1005,1,MATCH(COLUMNS($AC$1006:AL1006),$AC$1006:$AS$1006,0))&gt;=100000), " ",IF(INDEX($AC$2:$AS$1001,MATCH(ROWS($V$2:V577),$V$2:$V$1001,0),MATCH(COLUMNS($AC$1006:AL1006),$AC$1006:$AS$1006,0)), HYPERLINK("#",""), HYPERLINK(CONCATENATE("#Metadata!", ADDRESS(INDEX($X$2:$X$1001,MATCH(ROWS($V$2:V577),$V$2:$V$1001,0),0), INDEX($AC$1004:$AS$1004,1,MATCH(COLUMNS($AC$1006:AL1006),$AC$1006:$AS$1006,0)))),"Fix")))</f>
        <v>0</v>
      </c>
      <c r="L577" s="5">
        <f>IF(OR(INDEX($W$2:$W$1001,MATCH(ROWS($V$2:V577),$V$2:$V$1001,0),1)&gt;=100000,INDEX($AC$1005:$AS$1005,1,MATCH(COLUMNS($AC$1006:AM1006),$AC$1006:$AS$1006,0))&gt;=100000), " ",IF(INDEX($AC$2:$AS$1001,MATCH(ROWS($V$2:V577),$V$2:$V$1001,0),MATCH(COLUMNS($AC$1006:AM1006),$AC$1006:$AS$1006,0)), HYPERLINK("#",""), HYPERLINK(CONCATENATE("#Metadata!", ADDRESS(INDEX($X$2:$X$1001,MATCH(ROWS($V$2:V577),$V$2:$V$1001,0),0), INDEX($AC$1004:$AS$1004,1,MATCH(COLUMNS($AC$1006:AM1006),$AC$1006:$AS$1006,0)))),"Fix")))</f>
        <v>0</v>
      </c>
      <c r="M577" s="5">
        <f>IF(OR(INDEX($W$2:$W$1001,MATCH(ROWS($V$2:V577),$V$2:$V$1001,0),1)&gt;=100000,INDEX($AC$1005:$AS$1005,1,MATCH(COLUMNS($AC$1006:AN1006),$AC$1006:$AS$1006,0))&gt;=100000), " ",IF(INDEX($AC$2:$AS$1001,MATCH(ROWS($V$2:V577),$V$2:$V$1001,0),MATCH(COLUMNS($AC$1006:AN1006),$AC$1006:$AS$1006,0)), HYPERLINK("#",""), HYPERLINK(CONCATENATE("#Metadata!", ADDRESS(INDEX($X$2:$X$1001,MATCH(ROWS($V$2:V577),$V$2:$V$1001,0),0), INDEX($AC$1004:$AS$1004,1,MATCH(COLUMNS($AC$1006:AN1006),$AC$1006:$AS$1006,0)))),"Fix")))</f>
        <v>0</v>
      </c>
      <c r="N577" s="5">
        <f>IF(OR(INDEX($W$2:$W$1001,MATCH(ROWS($V$2:V577),$V$2:$V$1001,0),1)&gt;=100000,INDEX($AC$1005:$AS$1005,1,MATCH(COLUMNS($AC$1006:AO1006),$AC$1006:$AS$1006,0))&gt;=100000), " ",IF(INDEX($AC$2:$AS$1001,MATCH(ROWS($V$2:V577),$V$2:$V$1001,0),MATCH(COLUMNS($AC$1006:AO1006),$AC$1006:$AS$1006,0)), HYPERLINK("#",""), HYPERLINK(CONCATENATE("#Metadata!", ADDRESS(INDEX($X$2:$X$1001,MATCH(ROWS($V$2:V577),$V$2:$V$1001,0),0), INDEX($AC$1004:$AS$1004,1,MATCH(COLUMNS($AC$1006:AO1006),$AC$1006:$AS$1006,0)))),"Fix")))</f>
        <v>0</v>
      </c>
      <c r="O577" s="5">
        <f>IF(OR(INDEX($W$2:$W$1001,MATCH(ROWS($V$2:V577),$V$2:$V$1001,0),1)&gt;=100000,INDEX($AC$1005:$AS$1005,1,MATCH(COLUMNS($AC$1006:AP1006),$AC$1006:$AS$1006,0))&gt;=100000), " ",IF(INDEX($AC$2:$AS$1001,MATCH(ROWS($V$2:V577),$V$2:$V$1001,0),MATCH(COLUMNS($AC$1006:AP1006),$AC$1006:$AS$1006,0)), HYPERLINK("#",""), HYPERLINK(CONCATENATE("#Metadata!", ADDRESS(INDEX($X$2:$X$1001,MATCH(ROWS($V$2:V577),$V$2:$V$1001,0),0), INDEX($AC$1004:$AS$1004,1,MATCH(COLUMNS($AC$1006:AP1006),$AC$1006:$AS$1006,0)))),"Fix")))</f>
        <v>0</v>
      </c>
      <c r="P577" s="5">
        <f>IF(OR(INDEX($W$2:$W$1001,MATCH(ROWS($V$2:V577),$V$2:$V$1001,0),1)&gt;=100000,INDEX($AC$1005:$AS$1005,1,MATCH(COLUMNS($AC$1006:AQ1006),$AC$1006:$AS$1006,0))&gt;=100000), " ",IF(INDEX($AC$2:$AS$1001,MATCH(ROWS($V$2:V577),$V$2:$V$1001,0),MATCH(COLUMNS($AC$1006:AQ1006),$AC$1006:$AS$1006,0)), HYPERLINK("#",""), HYPERLINK(CONCATENATE("#Metadata!", ADDRESS(INDEX($X$2:$X$1001,MATCH(ROWS($V$2:V577),$V$2:$V$1001,0),0), INDEX($AC$1004:$AS$1004,1,MATCH(COLUMNS($AC$1006:AQ1006),$AC$1006:$AS$1006,0)))),"Fix")))</f>
        <v>0</v>
      </c>
      <c r="Q577" s="5">
        <f>IF(OR(INDEX($W$2:$W$1001,MATCH(ROWS($V$2:V577),$V$2:$V$1001,0),1)&gt;=100000,INDEX($AC$1005:$AS$1005,1,MATCH(COLUMNS($AC$1006:AR1006),$AC$1006:$AS$1006,0))&gt;=100000), " ",IF(INDEX($AC$2:$AS$1001,MATCH(ROWS($V$2:V577),$V$2:$V$1001,0),MATCH(COLUMNS($AC$1006:AR1006),$AC$1006:$AS$1006,0)), HYPERLINK("#",""), HYPERLINK(CONCATENATE("#Metadata!", ADDRESS(INDEX($X$2:$X$1001,MATCH(ROWS($V$2:V577),$V$2:$V$1001,0),0), INDEX($AC$1004:$AS$1004,1,MATCH(COLUMNS($AC$1006:AR1006),$AC$1006:$AS$1006,0)))),"Fix")))</f>
        <v>0</v>
      </c>
      <c r="R577" s="5">
        <f>IF(OR(INDEX($W$2:$W$1001,MATCH(ROWS($V$2:V577),$V$2:$V$1001,0),1)&gt;=100000,INDEX($AC$1005:$AS$1005,1,MATCH(COLUMNS($AC$1006:AS1006),$AC$1006:$AS$1006,0))&gt;=100000), " ",IF(INDEX($AC$2:$AS$1001,MATCH(ROWS($V$2:V577),$V$2:$V$1001,0),MATCH(COLUMNS($AC$1006:AS1006),$AC$1006:$AS$1006,0)), HYPERLINK("#",""), HYPERLINK(CONCATENATE("#Metadata!", ADDRESS(INDEX($X$2:$X$1001,MATCH(ROWS($V$2:V577),$V$2:$V$1001,0),0), INDEX($AC$1004:$AS$1004,1,MATCH(COLUMNS($AC$1006:AS1006),$AC$1006:$AS$1006,0)))),"Fix")))</f>
        <v>0</v>
      </c>
      <c r="V577">
        <v>0</v>
      </c>
      <c r="W577">
        <v>0</v>
      </c>
      <c r="X577">
        <v>0</v>
      </c>
      <c r="Y577">
        <f>IF(Z577,TRUE,AND(AC577:AS577))</f>
        <v>0</v>
      </c>
      <c r="Z577">
        <f>COUNTBLANK(Metadata!B577:R577)=COLUMNS(Metadata!B577:R577)</f>
        <v>0</v>
      </c>
      <c r="AA577">
        <v>0</v>
      </c>
      <c r="AC577">
        <f>AND(IF(Metadata!B577="",FALSE,TRUE),COUNTIF(Metadata!B:B, Metadata!B577) = 1,NOT(ISERROR(SUMPRODUCT(SEARCH(MID(Metadata!B577,ROW(INDIRECT("1:"&amp;LEN(Metadata!B577))), 1),"0123456789abcdefghijklmnopqrstuvwxyzABCDEFGHIJKLMNOPQRSTUVWXYZ.")))))</f>
        <v>0</v>
      </c>
      <c r="AD577">
        <f>AND(IF(Metadata!C577="",FALSE,TRUE),exact(Metadata!C577,"Host-associated"))</f>
        <v>0</v>
      </c>
      <c r="AE577">
        <f>AND(IF(Metadata!D577="",FALSE,TRUE),OR(exact(Metadata!D577,"Animal"),exact(Metadata!D577,"Fungus"),exact(Metadata!D577,"Plant")))</f>
        <v>0</v>
      </c>
      <c r="AF577">
        <f>AND(IF(Metadata!E577="",FALSE,TRUE),OR(exact(Metadata!E577,"Plant secretion"),exact(Metadata!E577,"Plant rhizosphere"),exact(Metadata!E577,"Plant surface"),exact(Metadata!E577,"Plant corpus"),exact(Metadata!E577,"Fungus surface"),exact(Metadata!E577,"Fungus corpus"),exact(Metadata!E577,"Animal surface"),exact(Metadata!E577,"Animal proximal gut"),exact(Metadata!E577,"Animal corpus"),exact(Metadata!E577,"Animal distal gut"),exact(Metadata!E577,"Animal secretion")))</f>
        <v>0</v>
      </c>
      <c r="AG577">
        <f>OR(AND(IF(Metadata!F577="",FALSE,TRUE),OR(exact(Metadata!F577,"not collected"),exact(Metadata!F577,"not provided"),exact(Metadata!F577,"restricted access"))),AND(IF(Metadata!F577="",FALSE,TRUE),OR(exact(Metadata!F577,"organism-associated habitat"),exact(Metadata!F577,"plant-associated habitat"),exact(Metadata!F577,"animal-associated habitat"),exact(Metadata!F577,"insecta-associated habitat"),exact(Metadata!F577,"mammalia-associated habitat"),exact(Metadata!F577,"human-associated habitat"),exact(Metadata!F577,"livestock-associated habitat"))))</f>
        <v>0</v>
      </c>
      <c r="AH577">
        <f>AND(IF(Metadata!G577="",FALSE,TRUE),exact(Metadata!G577,"host-associated"))</f>
        <v>0</v>
      </c>
      <c r="AI577">
        <f>OR(AND(IF(Metadata!H577="",FALSE,TRUE),OR(exact(Metadata!H577,"not collected"),exact(Metadata!H577,"not provided"))),AND(IF(Metadata!H577="",FALSE,ISNUMBER(VALUE(Metadata!H577))),Metadata!H577&gt;0))</f>
        <v>0</v>
      </c>
      <c r="AJ577">
        <f>AND(IF(Metadata!I577="",FALSE,TRUE),exact(Metadata!I577,"years"))</f>
        <v>0</v>
      </c>
      <c r="AK577">
        <f>IF(Metadata!J577="",FALSE,TRUE)</f>
        <v>0</v>
      </c>
      <c r="AL577">
        <f>OR(AND(IF(Metadata!K577="",FALSE,TRUE),OR(exact(Metadata!K577,"not collected"),exact(Metadata!K577,"not provided"))),AND(IF(Metadata!K577="",FALSE,ISNUMBER(VALUE(Metadata!K577))),Metadata!K577&gt;0))</f>
        <v>0</v>
      </c>
      <c r="AM577">
        <f>AND(IF(Metadata!L577="",FALSE,TRUE),exact(Metadata!L577,"cm"))</f>
        <v>0</v>
      </c>
      <c r="AN577">
        <f>IF(Metadata!M577="",FALSE,TRUE)</f>
        <v>0</v>
      </c>
      <c r="AO577">
        <f>OR(AND(IF(Metadata!N577="",FALSE,TRUE),OR(exact(Metadata!N577,"not applicable"),exact(Metadata!N577,"not collected"),exact(Metadata!N577,"not provided"))),AND(IF(Metadata!N577="",FALSE,IF(ISERROR(INT(Metadata!N577)),FALSE,INT(Metadata!N577)=Metadata!N577)),Metadata!N577&gt;0))</f>
        <v>0</v>
      </c>
      <c r="AP577">
        <f>OR(AND(IF(Metadata!O577="",FALSE,TRUE),OR(exact(Metadata!O577,"not collected"),exact(Metadata!O577,"not provided"))),AND(IF(Metadata!O577="",FALSE,ISNUMBER(VALUE(Metadata!O577))),Metadata!O577&gt;0))</f>
        <v>0</v>
      </c>
      <c r="AQ577">
        <f>AND(IF(Metadata!P577="",FALSE,TRUE),exact(Metadata!P577,"kg"))</f>
        <v>0</v>
      </c>
      <c r="AR577">
        <f>OR(AND(IF(Metadata!Q577="",FALSE,TRUE),OR(exact(Metadata!Q577,"not applicable"),exact(Metadata!Q577,"not collected"),exact(Metadata!Q577,"not provided"),exact(Metadata!Q577,"restricted access"))),IF(Metadata!Q577="",FALSE,IF(ISERROR(INT(Metadata!Q577)),FALSE,INT(Metadata!Q577)=Metadata!Q577)))</f>
        <v>0</v>
      </c>
      <c r="AS577">
        <f>AND(IF(Metadata!R577="",FALSE,TRUE),exact(Metadata!R577,"Not applicable"))</f>
        <v>0</v>
      </c>
    </row>
    <row r="578" spans="1:45">
      <c r="A578" s="4">
        <f>IF(B578=" "," ",HYPERLINK(CONCATENATE("#metadata!",ADDRESS(INDEX($X$2:$X$1001,MATCH(ROWS($V$2:V578),$V$2:$V$1001,0),0),2)),INDEX($AA$2:$AA$1001,MATCH(ROWS($V$2:V578),$V$2:$V$1001,0),0)))</f>
        <v>0</v>
      </c>
      <c r="B578" s="5">
        <f>IF(OR(INDEX($W$2:$W$1001,MATCH(ROWS($V$2:V578),$V$2:$V$1001,0),1)&gt;=100000,INDEX($AC$1005:$AS$1005,1,MATCH(COLUMNS($AC$1006:AC1006),$AC$1006:$AS$1006,0))&gt;=100000), " ",IF(INDEX($AC$2:$AS$1001,MATCH(ROWS($V$2:V578),$V$2:$V$1001,0),MATCH(COLUMNS($AC$1006:AC1006),$AC$1006:$AS$1006,0)), HYPERLINK("#",""), HYPERLINK(CONCATENATE("#Metadata!", ADDRESS(INDEX($X$2:$X$1001,MATCH(ROWS($V$2:V578),$V$2:$V$1001,0),0), INDEX($AC$1004:$AS$1004,1,MATCH(COLUMNS($AC$1006:AC1006),$AC$1006:$AS$1006,0)))),"Fix")))</f>
        <v>0</v>
      </c>
      <c r="C578" s="5">
        <f>IF(OR(INDEX($W$2:$W$1001,MATCH(ROWS($V$2:V578),$V$2:$V$1001,0),1)&gt;=100000,INDEX($AC$1005:$AS$1005,1,MATCH(COLUMNS($AC$1006:AD1006),$AC$1006:$AS$1006,0))&gt;=100000), " ",IF(INDEX($AC$2:$AS$1001,MATCH(ROWS($V$2:V578),$V$2:$V$1001,0),MATCH(COLUMNS($AC$1006:AD1006),$AC$1006:$AS$1006,0)), HYPERLINK("#",""), HYPERLINK(CONCATENATE("#Metadata!", ADDRESS(INDEX($X$2:$X$1001,MATCH(ROWS($V$2:V578),$V$2:$V$1001,0),0), INDEX($AC$1004:$AS$1004,1,MATCH(COLUMNS($AC$1006:AD1006),$AC$1006:$AS$1006,0)))),"Fix")))</f>
        <v>0</v>
      </c>
      <c r="D578" s="5">
        <f>IF(OR(INDEX($W$2:$W$1001,MATCH(ROWS($V$2:V578),$V$2:$V$1001,0),1)&gt;=100000,INDEX($AC$1005:$AS$1005,1,MATCH(COLUMNS($AC$1006:AE1006),$AC$1006:$AS$1006,0))&gt;=100000), " ",IF(INDEX($AC$2:$AS$1001,MATCH(ROWS($V$2:V578),$V$2:$V$1001,0),MATCH(COLUMNS($AC$1006:AE1006),$AC$1006:$AS$1006,0)), HYPERLINK("#",""), HYPERLINK(CONCATENATE("#Metadata!", ADDRESS(INDEX($X$2:$X$1001,MATCH(ROWS($V$2:V578),$V$2:$V$1001,0),0), INDEX($AC$1004:$AS$1004,1,MATCH(COLUMNS($AC$1006:AE1006),$AC$1006:$AS$1006,0)))),"Fix")))</f>
        <v>0</v>
      </c>
      <c r="E578" s="5">
        <f>IF(OR(INDEX($W$2:$W$1001,MATCH(ROWS($V$2:V578),$V$2:$V$1001,0),1)&gt;=100000,INDEX($AC$1005:$AS$1005,1,MATCH(COLUMNS($AC$1006:AF1006),$AC$1006:$AS$1006,0))&gt;=100000), " ",IF(INDEX($AC$2:$AS$1001,MATCH(ROWS($V$2:V578),$V$2:$V$1001,0),MATCH(COLUMNS($AC$1006:AF1006),$AC$1006:$AS$1006,0)), HYPERLINK("#",""), HYPERLINK(CONCATENATE("#Metadata!", ADDRESS(INDEX($X$2:$X$1001,MATCH(ROWS($V$2:V578),$V$2:$V$1001,0),0), INDEX($AC$1004:$AS$1004,1,MATCH(COLUMNS($AC$1006:AF1006),$AC$1006:$AS$1006,0)))),"Fix")))</f>
        <v>0</v>
      </c>
      <c r="F578" s="5">
        <f>IF(OR(INDEX($W$2:$W$1001,MATCH(ROWS($V$2:V578),$V$2:$V$1001,0),1)&gt;=100000,INDEX($AC$1005:$AS$1005,1,MATCH(COLUMNS($AC$1006:AG1006),$AC$1006:$AS$1006,0))&gt;=100000), " ",IF(INDEX($AC$2:$AS$1001,MATCH(ROWS($V$2:V578),$V$2:$V$1001,0),MATCH(COLUMNS($AC$1006:AG1006),$AC$1006:$AS$1006,0)), HYPERLINK("#",""), HYPERLINK(CONCATENATE("#Metadata!", ADDRESS(INDEX($X$2:$X$1001,MATCH(ROWS($V$2:V578),$V$2:$V$1001,0),0), INDEX($AC$1004:$AS$1004,1,MATCH(COLUMNS($AC$1006:AG1006),$AC$1006:$AS$1006,0)))),"Fix")))</f>
        <v>0</v>
      </c>
      <c r="G578" s="5">
        <f>IF(OR(INDEX($W$2:$W$1001,MATCH(ROWS($V$2:V578),$V$2:$V$1001,0),1)&gt;=100000,INDEX($AC$1005:$AS$1005,1,MATCH(COLUMNS($AC$1006:AH1006),$AC$1006:$AS$1006,0))&gt;=100000), " ",IF(INDEX($AC$2:$AS$1001,MATCH(ROWS($V$2:V578),$V$2:$V$1001,0),MATCH(COLUMNS($AC$1006:AH1006),$AC$1006:$AS$1006,0)), HYPERLINK("#",""), HYPERLINK(CONCATENATE("#Metadata!", ADDRESS(INDEX($X$2:$X$1001,MATCH(ROWS($V$2:V578),$V$2:$V$1001,0),0), INDEX($AC$1004:$AS$1004,1,MATCH(COLUMNS($AC$1006:AH1006),$AC$1006:$AS$1006,0)))),"Fix")))</f>
        <v>0</v>
      </c>
      <c r="H578" s="5">
        <f>IF(OR(INDEX($W$2:$W$1001,MATCH(ROWS($V$2:V578),$V$2:$V$1001,0),1)&gt;=100000,INDEX($AC$1005:$AS$1005,1,MATCH(COLUMNS($AC$1006:AI1006),$AC$1006:$AS$1006,0))&gt;=100000), " ",IF(INDEX($AC$2:$AS$1001,MATCH(ROWS($V$2:V578),$V$2:$V$1001,0),MATCH(COLUMNS($AC$1006:AI1006),$AC$1006:$AS$1006,0)), HYPERLINK("#",""), HYPERLINK(CONCATENATE("#Metadata!", ADDRESS(INDEX($X$2:$X$1001,MATCH(ROWS($V$2:V578),$V$2:$V$1001,0),0), INDEX($AC$1004:$AS$1004,1,MATCH(COLUMNS($AC$1006:AI1006),$AC$1006:$AS$1006,0)))),"Fix")))</f>
        <v>0</v>
      </c>
      <c r="I578" s="5">
        <f>IF(OR(INDEX($W$2:$W$1001,MATCH(ROWS($V$2:V578),$V$2:$V$1001,0),1)&gt;=100000,INDEX($AC$1005:$AS$1005,1,MATCH(COLUMNS($AC$1006:AJ1006),$AC$1006:$AS$1006,0))&gt;=100000), " ",IF(INDEX($AC$2:$AS$1001,MATCH(ROWS($V$2:V578),$V$2:$V$1001,0),MATCH(COLUMNS($AC$1006:AJ1006),$AC$1006:$AS$1006,0)), HYPERLINK("#",""), HYPERLINK(CONCATENATE("#Metadata!", ADDRESS(INDEX($X$2:$X$1001,MATCH(ROWS($V$2:V578),$V$2:$V$1001,0),0), INDEX($AC$1004:$AS$1004,1,MATCH(COLUMNS($AC$1006:AJ1006),$AC$1006:$AS$1006,0)))),"Fix")))</f>
        <v>0</v>
      </c>
      <c r="J578" s="5">
        <f>IF(OR(INDEX($W$2:$W$1001,MATCH(ROWS($V$2:V578),$V$2:$V$1001,0),1)&gt;=100000,INDEX($AC$1005:$AS$1005,1,MATCH(COLUMNS($AC$1006:AK1006),$AC$1006:$AS$1006,0))&gt;=100000), " ",IF(INDEX($AC$2:$AS$1001,MATCH(ROWS($V$2:V578),$V$2:$V$1001,0),MATCH(COLUMNS($AC$1006:AK1006),$AC$1006:$AS$1006,0)), HYPERLINK("#",""), HYPERLINK(CONCATENATE("#Metadata!", ADDRESS(INDEX($X$2:$X$1001,MATCH(ROWS($V$2:V578),$V$2:$V$1001,0),0), INDEX($AC$1004:$AS$1004,1,MATCH(COLUMNS($AC$1006:AK1006),$AC$1006:$AS$1006,0)))),"Fix")))</f>
        <v>0</v>
      </c>
      <c r="K578" s="5">
        <f>IF(OR(INDEX($W$2:$W$1001,MATCH(ROWS($V$2:V578),$V$2:$V$1001,0),1)&gt;=100000,INDEX($AC$1005:$AS$1005,1,MATCH(COLUMNS($AC$1006:AL1006),$AC$1006:$AS$1006,0))&gt;=100000), " ",IF(INDEX($AC$2:$AS$1001,MATCH(ROWS($V$2:V578),$V$2:$V$1001,0),MATCH(COLUMNS($AC$1006:AL1006),$AC$1006:$AS$1006,0)), HYPERLINK("#",""), HYPERLINK(CONCATENATE("#Metadata!", ADDRESS(INDEX($X$2:$X$1001,MATCH(ROWS($V$2:V578),$V$2:$V$1001,0),0), INDEX($AC$1004:$AS$1004,1,MATCH(COLUMNS($AC$1006:AL1006),$AC$1006:$AS$1006,0)))),"Fix")))</f>
        <v>0</v>
      </c>
      <c r="L578" s="5">
        <f>IF(OR(INDEX($W$2:$W$1001,MATCH(ROWS($V$2:V578),$V$2:$V$1001,0),1)&gt;=100000,INDEX($AC$1005:$AS$1005,1,MATCH(COLUMNS($AC$1006:AM1006),$AC$1006:$AS$1006,0))&gt;=100000), " ",IF(INDEX($AC$2:$AS$1001,MATCH(ROWS($V$2:V578),$V$2:$V$1001,0),MATCH(COLUMNS($AC$1006:AM1006),$AC$1006:$AS$1006,0)), HYPERLINK("#",""), HYPERLINK(CONCATENATE("#Metadata!", ADDRESS(INDEX($X$2:$X$1001,MATCH(ROWS($V$2:V578),$V$2:$V$1001,0),0), INDEX($AC$1004:$AS$1004,1,MATCH(COLUMNS($AC$1006:AM1006),$AC$1006:$AS$1006,0)))),"Fix")))</f>
        <v>0</v>
      </c>
      <c r="M578" s="5">
        <f>IF(OR(INDEX($W$2:$W$1001,MATCH(ROWS($V$2:V578),$V$2:$V$1001,0),1)&gt;=100000,INDEX($AC$1005:$AS$1005,1,MATCH(COLUMNS($AC$1006:AN1006),$AC$1006:$AS$1006,0))&gt;=100000), " ",IF(INDEX($AC$2:$AS$1001,MATCH(ROWS($V$2:V578),$V$2:$V$1001,0),MATCH(COLUMNS($AC$1006:AN1006),$AC$1006:$AS$1006,0)), HYPERLINK("#",""), HYPERLINK(CONCATENATE("#Metadata!", ADDRESS(INDEX($X$2:$X$1001,MATCH(ROWS($V$2:V578),$V$2:$V$1001,0),0), INDEX($AC$1004:$AS$1004,1,MATCH(COLUMNS($AC$1006:AN1006),$AC$1006:$AS$1006,0)))),"Fix")))</f>
        <v>0</v>
      </c>
      <c r="N578" s="5">
        <f>IF(OR(INDEX($W$2:$W$1001,MATCH(ROWS($V$2:V578),$V$2:$V$1001,0),1)&gt;=100000,INDEX($AC$1005:$AS$1005,1,MATCH(COLUMNS($AC$1006:AO1006),$AC$1006:$AS$1006,0))&gt;=100000), " ",IF(INDEX($AC$2:$AS$1001,MATCH(ROWS($V$2:V578),$V$2:$V$1001,0),MATCH(COLUMNS($AC$1006:AO1006),$AC$1006:$AS$1006,0)), HYPERLINK("#",""), HYPERLINK(CONCATENATE("#Metadata!", ADDRESS(INDEX($X$2:$X$1001,MATCH(ROWS($V$2:V578),$V$2:$V$1001,0),0), INDEX($AC$1004:$AS$1004,1,MATCH(COLUMNS($AC$1006:AO1006),$AC$1006:$AS$1006,0)))),"Fix")))</f>
        <v>0</v>
      </c>
      <c r="O578" s="5">
        <f>IF(OR(INDEX($W$2:$W$1001,MATCH(ROWS($V$2:V578),$V$2:$V$1001,0),1)&gt;=100000,INDEX($AC$1005:$AS$1005,1,MATCH(COLUMNS($AC$1006:AP1006),$AC$1006:$AS$1006,0))&gt;=100000), " ",IF(INDEX($AC$2:$AS$1001,MATCH(ROWS($V$2:V578),$V$2:$V$1001,0),MATCH(COLUMNS($AC$1006:AP1006),$AC$1006:$AS$1006,0)), HYPERLINK("#",""), HYPERLINK(CONCATENATE("#Metadata!", ADDRESS(INDEX($X$2:$X$1001,MATCH(ROWS($V$2:V578),$V$2:$V$1001,0),0), INDEX($AC$1004:$AS$1004,1,MATCH(COLUMNS($AC$1006:AP1006),$AC$1006:$AS$1006,0)))),"Fix")))</f>
        <v>0</v>
      </c>
      <c r="P578" s="5">
        <f>IF(OR(INDEX($W$2:$W$1001,MATCH(ROWS($V$2:V578),$V$2:$V$1001,0),1)&gt;=100000,INDEX($AC$1005:$AS$1005,1,MATCH(COLUMNS($AC$1006:AQ1006),$AC$1006:$AS$1006,0))&gt;=100000), " ",IF(INDEX($AC$2:$AS$1001,MATCH(ROWS($V$2:V578),$V$2:$V$1001,0),MATCH(COLUMNS($AC$1006:AQ1006),$AC$1006:$AS$1006,0)), HYPERLINK("#",""), HYPERLINK(CONCATENATE("#Metadata!", ADDRESS(INDEX($X$2:$X$1001,MATCH(ROWS($V$2:V578),$V$2:$V$1001,0),0), INDEX($AC$1004:$AS$1004,1,MATCH(COLUMNS($AC$1006:AQ1006),$AC$1006:$AS$1006,0)))),"Fix")))</f>
        <v>0</v>
      </c>
      <c r="Q578" s="5">
        <f>IF(OR(INDEX($W$2:$W$1001,MATCH(ROWS($V$2:V578),$V$2:$V$1001,0),1)&gt;=100000,INDEX($AC$1005:$AS$1005,1,MATCH(COLUMNS($AC$1006:AR1006),$AC$1006:$AS$1006,0))&gt;=100000), " ",IF(INDEX($AC$2:$AS$1001,MATCH(ROWS($V$2:V578),$V$2:$V$1001,0),MATCH(COLUMNS($AC$1006:AR1006),$AC$1006:$AS$1006,0)), HYPERLINK("#",""), HYPERLINK(CONCATENATE("#Metadata!", ADDRESS(INDEX($X$2:$X$1001,MATCH(ROWS($V$2:V578),$V$2:$V$1001,0),0), INDEX($AC$1004:$AS$1004,1,MATCH(COLUMNS($AC$1006:AR1006),$AC$1006:$AS$1006,0)))),"Fix")))</f>
        <v>0</v>
      </c>
      <c r="R578" s="5">
        <f>IF(OR(INDEX($W$2:$W$1001,MATCH(ROWS($V$2:V578),$V$2:$V$1001,0),1)&gt;=100000,INDEX($AC$1005:$AS$1005,1,MATCH(COLUMNS($AC$1006:AS1006),$AC$1006:$AS$1006,0))&gt;=100000), " ",IF(INDEX($AC$2:$AS$1001,MATCH(ROWS($V$2:V578),$V$2:$V$1001,0),MATCH(COLUMNS($AC$1006:AS1006),$AC$1006:$AS$1006,0)), HYPERLINK("#",""), HYPERLINK(CONCATENATE("#Metadata!", ADDRESS(INDEX($X$2:$X$1001,MATCH(ROWS($V$2:V578),$V$2:$V$1001,0),0), INDEX($AC$1004:$AS$1004,1,MATCH(COLUMNS($AC$1006:AS1006),$AC$1006:$AS$1006,0)))),"Fix")))</f>
        <v>0</v>
      </c>
      <c r="V578">
        <v>0</v>
      </c>
      <c r="W578">
        <v>0</v>
      </c>
      <c r="X578">
        <v>0</v>
      </c>
      <c r="Y578">
        <f>IF(Z578,TRUE,AND(AC578:AS578))</f>
        <v>0</v>
      </c>
      <c r="Z578">
        <f>COUNTBLANK(Metadata!B578:R578)=COLUMNS(Metadata!B578:R578)</f>
        <v>0</v>
      </c>
      <c r="AA578">
        <v>0</v>
      </c>
      <c r="AC578">
        <f>AND(IF(Metadata!B578="",FALSE,TRUE),COUNTIF(Metadata!B:B, Metadata!B578) = 1,NOT(ISERROR(SUMPRODUCT(SEARCH(MID(Metadata!B578,ROW(INDIRECT("1:"&amp;LEN(Metadata!B578))), 1),"0123456789abcdefghijklmnopqrstuvwxyzABCDEFGHIJKLMNOPQRSTUVWXYZ.")))))</f>
        <v>0</v>
      </c>
      <c r="AD578">
        <f>AND(IF(Metadata!C578="",FALSE,TRUE),exact(Metadata!C578,"Host-associated"))</f>
        <v>0</v>
      </c>
      <c r="AE578">
        <f>AND(IF(Metadata!D578="",FALSE,TRUE),OR(exact(Metadata!D578,"Animal"),exact(Metadata!D578,"Fungus"),exact(Metadata!D578,"Plant")))</f>
        <v>0</v>
      </c>
      <c r="AF578">
        <f>AND(IF(Metadata!E578="",FALSE,TRUE),OR(exact(Metadata!E578,"Plant secretion"),exact(Metadata!E578,"Plant rhizosphere"),exact(Metadata!E578,"Plant surface"),exact(Metadata!E578,"Plant corpus"),exact(Metadata!E578,"Fungus surface"),exact(Metadata!E578,"Fungus corpus"),exact(Metadata!E578,"Animal surface"),exact(Metadata!E578,"Animal proximal gut"),exact(Metadata!E578,"Animal corpus"),exact(Metadata!E578,"Animal distal gut"),exact(Metadata!E578,"Animal secretion")))</f>
        <v>0</v>
      </c>
      <c r="AG578">
        <f>OR(AND(IF(Metadata!F578="",FALSE,TRUE),OR(exact(Metadata!F578,"not collected"),exact(Metadata!F578,"not provided"),exact(Metadata!F578,"restricted access"))),AND(IF(Metadata!F578="",FALSE,TRUE),OR(exact(Metadata!F578,"organism-associated habitat"),exact(Metadata!F578,"plant-associated habitat"),exact(Metadata!F578,"animal-associated habitat"),exact(Metadata!F578,"insecta-associated habitat"),exact(Metadata!F578,"mammalia-associated habitat"),exact(Metadata!F578,"human-associated habitat"),exact(Metadata!F578,"livestock-associated habitat"))))</f>
        <v>0</v>
      </c>
      <c r="AH578">
        <f>AND(IF(Metadata!G578="",FALSE,TRUE),exact(Metadata!G578,"host-associated"))</f>
        <v>0</v>
      </c>
      <c r="AI578">
        <f>OR(AND(IF(Metadata!H578="",FALSE,TRUE),OR(exact(Metadata!H578,"not collected"),exact(Metadata!H578,"not provided"))),AND(IF(Metadata!H578="",FALSE,ISNUMBER(VALUE(Metadata!H578))),Metadata!H578&gt;0))</f>
        <v>0</v>
      </c>
      <c r="AJ578">
        <f>AND(IF(Metadata!I578="",FALSE,TRUE),exact(Metadata!I578,"years"))</f>
        <v>0</v>
      </c>
      <c r="AK578">
        <f>IF(Metadata!J578="",FALSE,TRUE)</f>
        <v>0</v>
      </c>
      <c r="AL578">
        <f>OR(AND(IF(Metadata!K578="",FALSE,TRUE),OR(exact(Metadata!K578,"not collected"),exact(Metadata!K578,"not provided"))),AND(IF(Metadata!K578="",FALSE,ISNUMBER(VALUE(Metadata!K578))),Metadata!K578&gt;0))</f>
        <v>0</v>
      </c>
      <c r="AM578">
        <f>AND(IF(Metadata!L578="",FALSE,TRUE),exact(Metadata!L578,"cm"))</f>
        <v>0</v>
      </c>
      <c r="AN578">
        <f>IF(Metadata!M578="",FALSE,TRUE)</f>
        <v>0</v>
      </c>
      <c r="AO578">
        <f>OR(AND(IF(Metadata!N578="",FALSE,TRUE),OR(exact(Metadata!N578,"not applicable"),exact(Metadata!N578,"not collected"),exact(Metadata!N578,"not provided"))),AND(IF(Metadata!N578="",FALSE,IF(ISERROR(INT(Metadata!N578)),FALSE,INT(Metadata!N578)=Metadata!N578)),Metadata!N578&gt;0))</f>
        <v>0</v>
      </c>
      <c r="AP578">
        <f>OR(AND(IF(Metadata!O578="",FALSE,TRUE),OR(exact(Metadata!O578,"not collected"),exact(Metadata!O578,"not provided"))),AND(IF(Metadata!O578="",FALSE,ISNUMBER(VALUE(Metadata!O578))),Metadata!O578&gt;0))</f>
        <v>0</v>
      </c>
      <c r="AQ578">
        <f>AND(IF(Metadata!P578="",FALSE,TRUE),exact(Metadata!P578,"kg"))</f>
        <v>0</v>
      </c>
      <c r="AR578">
        <f>OR(AND(IF(Metadata!Q578="",FALSE,TRUE),OR(exact(Metadata!Q578,"not applicable"),exact(Metadata!Q578,"not collected"),exact(Metadata!Q578,"not provided"),exact(Metadata!Q578,"restricted access"))),IF(Metadata!Q578="",FALSE,IF(ISERROR(INT(Metadata!Q578)),FALSE,INT(Metadata!Q578)=Metadata!Q578)))</f>
        <v>0</v>
      </c>
      <c r="AS578">
        <f>AND(IF(Metadata!R578="",FALSE,TRUE),exact(Metadata!R578,"Not applicable"))</f>
        <v>0</v>
      </c>
    </row>
    <row r="579" spans="1:45">
      <c r="A579" s="4">
        <f>IF(B579=" "," ",HYPERLINK(CONCATENATE("#metadata!",ADDRESS(INDEX($X$2:$X$1001,MATCH(ROWS($V$2:V579),$V$2:$V$1001,0),0),2)),INDEX($AA$2:$AA$1001,MATCH(ROWS($V$2:V579),$V$2:$V$1001,0),0)))</f>
        <v>0</v>
      </c>
      <c r="B579" s="5">
        <f>IF(OR(INDEX($W$2:$W$1001,MATCH(ROWS($V$2:V579),$V$2:$V$1001,0),1)&gt;=100000,INDEX($AC$1005:$AS$1005,1,MATCH(COLUMNS($AC$1006:AC1006),$AC$1006:$AS$1006,0))&gt;=100000), " ",IF(INDEX($AC$2:$AS$1001,MATCH(ROWS($V$2:V579),$V$2:$V$1001,0),MATCH(COLUMNS($AC$1006:AC1006),$AC$1006:$AS$1006,0)), HYPERLINK("#",""), HYPERLINK(CONCATENATE("#Metadata!", ADDRESS(INDEX($X$2:$X$1001,MATCH(ROWS($V$2:V579),$V$2:$V$1001,0),0), INDEX($AC$1004:$AS$1004,1,MATCH(COLUMNS($AC$1006:AC1006),$AC$1006:$AS$1006,0)))),"Fix")))</f>
        <v>0</v>
      </c>
      <c r="C579" s="5">
        <f>IF(OR(INDEX($W$2:$W$1001,MATCH(ROWS($V$2:V579),$V$2:$V$1001,0),1)&gt;=100000,INDEX($AC$1005:$AS$1005,1,MATCH(COLUMNS($AC$1006:AD1006),$AC$1006:$AS$1006,0))&gt;=100000), " ",IF(INDEX($AC$2:$AS$1001,MATCH(ROWS($V$2:V579),$V$2:$V$1001,0),MATCH(COLUMNS($AC$1006:AD1006),$AC$1006:$AS$1006,0)), HYPERLINK("#",""), HYPERLINK(CONCATENATE("#Metadata!", ADDRESS(INDEX($X$2:$X$1001,MATCH(ROWS($V$2:V579),$V$2:$V$1001,0),0), INDEX($AC$1004:$AS$1004,1,MATCH(COLUMNS($AC$1006:AD1006),$AC$1006:$AS$1006,0)))),"Fix")))</f>
        <v>0</v>
      </c>
      <c r="D579" s="5">
        <f>IF(OR(INDEX($W$2:$W$1001,MATCH(ROWS($V$2:V579),$V$2:$V$1001,0),1)&gt;=100000,INDEX($AC$1005:$AS$1005,1,MATCH(COLUMNS($AC$1006:AE1006),$AC$1006:$AS$1006,0))&gt;=100000), " ",IF(INDEX($AC$2:$AS$1001,MATCH(ROWS($V$2:V579),$V$2:$V$1001,0),MATCH(COLUMNS($AC$1006:AE1006),$AC$1006:$AS$1006,0)), HYPERLINK("#",""), HYPERLINK(CONCATENATE("#Metadata!", ADDRESS(INDEX($X$2:$X$1001,MATCH(ROWS($V$2:V579),$V$2:$V$1001,0),0), INDEX($AC$1004:$AS$1004,1,MATCH(COLUMNS($AC$1006:AE1006),$AC$1006:$AS$1006,0)))),"Fix")))</f>
        <v>0</v>
      </c>
      <c r="E579" s="5">
        <f>IF(OR(INDEX($W$2:$W$1001,MATCH(ROWS($V$2:V579),$V$2:$V$1001,0),1)&gt;=100000,INDEX($AC$1005:$AS$1005,1,MATCH(COLUMNS($AC$1006:AF1006),$AC$1006:$AS$1006,0))&gt;=100000), " ",IF(INDEX($AC$2:$AS$1001,MATCH(ROWS($V$2:V579),$V$2:$V$1001,0),MATCH(COLUMNS($AC$1006:AF1006),$AC$1006:$AS$1006,0)), HYPERLINK("#",""), HYPERLINK(CONCATENATE("#Metadata!", ADDRESS(INDEX($X$2:$X$1001,MATCH(ROWS($V$2:V579),$V$2:$V$1001,0),0), INDEX($AC$1004:$AS$1004,1,MATCH(COLUMNS($AC$1006:AF1006),$AC$1006:$AS$1006,0)))),"Fix")))</f>
        <v>0</v>
      </c>
      <c r="F579" s="5">
        <f>IF(OR(INDEX($W$2:$W$1001,MATCH(ROWS($V$2:V579),$V$2:$V$1001,0),1)&gt;=100000,INDEX($AC$1005:$AS$1005,1,MATCH(COLUMNS($AC$1006:AG1006),$AC$1006:$AS$1006,0))&gt;=100000), " ",IF(INDEX($AC$2:$AS$1001,MATCH(ROWS($V$2:V579),$V$2:$V$1001,0),MATCH(COLUMNS($AC$1006:AG1006),$AC$1006:$AS$1006,0)), HYPERLINK("#",""), HYPERLINK(CONCATENATE("#Metadata!", ADDRESS(INDEX($X$2:$X$1001,MATCH(ROWS($V$2:V579),$V$2:$V$1001,0),0), INDEX($AC$1004:$AS$1004,1,MATCH(COLUMNS($AC$1006:AG1006),$AC$1006:$AS$1006,0)))),"Fix")))</f>
        <v>0</v>
      </c>
      <c r="G579" s="5">
        <f>IF(OR(INDEX($W$2:$W$1001,MATCH(ROWS($V$2:V579),$V$2:$V$1001,0),1)&gt;=100000,INDEX($AC$1005:$AS$1005,1,MATCH(COLUMNS($AC$1006:AH1006),$AC$1006:$AS$1006,0))&gt;=100000), " ",IF(INDEX($AC$2:$AS$1001,MATCH(ROWS($V$2:V579),$V$2:$V$1001,0),MATCH(COLUMNS($AC$1006:AH1006),$AC$1006:$AS$1006,0)), HYPERLINK("#",""), HYPERLINK(CONCATENATE("#Metadata!", ADDRESS(INDEX($X$2:$X$1001,MATCH(ROWS($V$2:V579),$V$2:$V$1001,0),0), INDEX($AC$1004:$AS$1004,1,MATCH(COLUMNS($AC$1006:AH1006),$AC$1006:$AS$1006,0)))),"Fix")))</f>
        <v>0</v>
      </c>
      <c r="H579" s="5">
        <f>IF(OR(INDEX($W$2:$W$1001,MATCH(ROWS($V$2:V579),$V$2:$V$1001,0),1)&gt;=100000,INDEX($AC$1005:$AS$1005,1,MATCH(COLUMNS($AC$1006:AI1006),$AC$1006:$AS$1006,0))&gt;=100000), " ",IF(INDEX($AC$2:$AS$1001,MATCH(ROWS($V$2:V579),$V$2:$V$1001,0),MATCH(COLUMNS($AC$1006:AI1006),$AC$1006:$AS$1006,0)), HYPERLINK("#",""), HYPERLINK(CONCATENATE("#Metadata!", ADDRESS(INDEX($X$2:$X$1001,MATCH(ROWS($V$2:V579),$V$2:$V$1001,0),0), INDEX($AC$1004:$AS$1004,1,MATCH(COLUMNS($AC$1006:AI1006),$AC$1006:$AS$1006,0)))),"Fix")))</f>
        <v>0</v>
      </c>
      <c r="I579" s="5">
        <f>IF(OR(INDEX($W$2:$W$1001,MATCH(ROWS($V$2:V579),$V$2:$V$1001,0),1)&gt;=100000,INDEX($AC$1005:$AS$1005,1,MATCH(COLUMNS($AC$1006:AJ1006),$AC$1006:$AS$1006,0))&gt;=100000), " ",IF(INDEX($AC$2:$AS$1001,MATCH(ROWS($V$2:V579),$V$2:$V$1001,0),MATCH(COLUMNS($AC$1006:AJ1006),$AC$1006:$AS$1006,0)), HYPERLINK("#",""), HYPERLINK(CONCATENATE("#Metadata!", ADDRESS(INDEX($X$2:$X$1001,MATCH(ROWS($V$2:V579),$V$2:$V$1001,0),0), INDEX($AC$1004:$AS$1004,1,MATCH(COLUMNS($AC$1006:AJ1006),$AC$1006:$AS$1006,0)))),"Fix")))</f>
        <v>0</v>
      </c>
      <c r="J579" s="5">
        <f>IF(OR(INDEX($W$2:$W$1001,MATCH(ROWS($V$2:V579),$V$2:$V$1001,0),1)&gt;=100000,INDEX($AC$1005:$AS$1005,1,MATCH(COLUMNS($AC$1006:AK1006),$AC$1006:$AS$1006,0))&gt;=100000), " ",IF(INDEX($AC$2:$AS$1001,MATCH(ROWS($V$2:V579),$V$2:$V$1001,0),MATCH(COLUMNS($AC$1006:AK1006),$AC$1006:$AS$1006,0)), HYPERLINK("#",""), HYPERLINK(CONCATENATE("#Metadata!", ADDRESS(INDEX($X$2:$X$1001,MATCH(ROWS($V$2:V579),$V$2:$V$1001,0),0), INDEX($AC$1004:$AS$1004,1,MATCH(COLUMNS($AC$1006:AK1006),$AC$1006:$AS$1006,0)))),"Fix")))</f>
        <v>0</v>
      </c>
      <c r="K579" s="5">
        <f>IF(OR(INDEX($W$2:$W$1001,MATCH(ROWS($V$2:V579),$V$2:$V$1001,0),1)&gt;=100000,INDEX($AC$1005:$AS$1005,1,MATCH(COLUMNS($AC$1006:AL1006),$AC$1006:$AS$1006,0))&gt;=100000), " ",IF(INDEX($AC$2:$AS$1001,MATCH(ROWS($V$2:V579),$V$2:$V$1001,0),MATCH(COLUMNS($AC$1006:AL1006),$AC$1006:$AS$1006,0)), HYPERLINK("#",""), HYPERLINK(CONCATENATE("#Metadata!", ADDRESS(INDEX($X$2:$X$1001,MATCH(ROWS($V$2:V579),$V$2:$V$1001,0),0), INDEX($AC$1004:$AS$1004,1,MATCH(COLUMNS($AC$1006:AL1006),$AC$1006:$AS$1006,0)))),"Fix")))</f>
        <v>0</v>
      </c>
      <c r="L579" s="5">
        <f>IF(OR(INDEX($W$2:$W$1001,MATCH(ROWS($V$2:V579),$V$2:$V$1001,0),1)&gt;=100000,INDEX($AC$1005:$AS$1005,1,MATCH(COLUMNS($AC$1006:AM1006),$AC$1006:$AS$1006,0))&gt;=100000), " ",IF(INDEX($AC$2:$AS$1001,MATCH(ROWS($V$2:V579),$V$2:$V$1001,0),MATCH(COLUMNS($AC$1006:AM1006),$AC$1006:$AS$1006,0)), HYPERLINK("#",""), HYPERLINK(CONCATENATE("#Metadata!", ADDRESS(INDEX($X$2:$X$1001,MATCH(ROWS($V$2:V579),$V$2:$V$1001,0),0), INDEX($AC$1004:$AS$1004,1,MATCH(COLUMNS($AC$1006:AM1006),$AC$1006:$AS$1006,0)))),"Fix")))</f>
        <v>0</v>
      </c>
      <c r="M579" s="5">
        <f>IF(OR(INDEX($W$2:$W$1001,MATCH(ROWS($V$2:V579),$V$2:$V$1001,0),1)&gt;=100000,INDEX($AC$1005:$AS$1005,1,MATCH(COLUMNS($AC$1006:AN1006),$AC$1006:$AS$1006,0))&gt;=100000), " ",IF(INDEX($AC$2:$AS$1001,MATCH(ROWS($V$2:V579),$V$2:$V$1001,0),MATCH(COLUMNS($AC$1006:AN1006),$AC$1006:$AS$1006,0)), HYPERLINK("#",""), HYPERLINK(CONCATENATE("#Metadata!", ADDRESS(INDEX($X$2:$X$1001,MATCH(ROWS($V$2:V579),$V$2:$V$1001,0),0), INDEX($AC$1004:$AS$1004,1,MATCH(COLUMNS($AC$1006:AN1006),$AC$1006:$AS$1006,0)))),"Fix")))</f>
        <v>0</v>
      </c>
      <c r="N579" s="5">
        <f>IF(OR(INDEX($W$2:$W$1001,MATCH(ROWS($V$2:V579),$V$2:$V$1001,0),1)&gt;=100000,INDEX($AC$1005:$AS$1005,1,MATCH(COLUMNS($AC$1006:AO1006),$AC$1006:$AS$1006,0))&gt;=100000), " ",IF(INDEX($AC$2:$AS$1001,MATCH(ROWS($V$2:V579),$V$2:$V$1001,0),MATCH(COLUMNS($AC$1006:AO1006),$AC$1006:$AS$1006,0)), HYPERLINK("#",""), HYPERLINK(CONCATENATE("#Metadata!", ADDRESS(INDEX($X$2:$X$1001,MATCH(ROWS($V$2:V579),$V$2:$V$1001,0),0), INDEX($AC$1004:$AS$1004,1,MATCH(COLUMNS($AC$1006:AO1006),$AC$1006:$AS$1006,0)))),"Fix")))</f>
        <v>0</v>
      </c>
      <c r="O579" s="5">
        <f>IF(OR(INDEX($W$2:$W$1001,MATCH(ROWS($V$2:V579),$V$2:$V$1001,0),1)&gt;=100000,INDEX($AC$1005:$AS$1005,1,MATCH(COLUMNS($AC$1006:AP1006),$AC$1006:$AS$1006,0))&gt;=100000), " ",IF(INDEX($AC$2:$AS$1001,MATCH(ROWS($V$2:V579),$V$2:$V$1001,0),MATCH(COLUMNS($AC$1006:AP1006),$AC$1006:$AS$1006,0)), HYPERLINK("#",""), HYPERLINK(CONCATENATE("#Metadata!", ADDRESS(INDEX($X$2:$X$1001,MATCH(ROWS($V$2:V579),$V$2:$V$1001,0),0), INDEX($AC$1004:$AS$1004,1,MATCH(COLUMNS($AC$1006:AP1006),$AC$1006:$AS$1006,0)))),"Fix")))</f>
        <v>0</v>
      </c>
      <c r="P579" s="5">
        <f>IF(OR(INDEX($W$2:$W$1001,MATCH(ROWS($V$2:V579),$V$2:$V$1001,0),1)&gt;=100000,INDEX($AC$1005:$AS$1005,1,MATCH(COLUMNS($AC$1006:AQ1006),$AC$1006:$AS$1006,0))&gt;=100000), " ",IF(INDEX($AC$2:$AS$1001,MATCH(ROWS($V$2:V579),$V$2:$V$1001,0),MATCH(COLUMNS($AC$1006:AQ1006),$AC$1006:$AS$1006,0)), HYPERLINK("#",""), HYPERLINK(CONCATENATE("#Metadata!", ADDRESS(INDEX($X$2:$X$1001,MATCH(ROWS($V$2:V579),$V$2:$V$1001,0),0), INDEX($AC$1004:$AS$1004,1,MATCH(COLUMNS($AC$1006:AQ1006),$AC$1006:$AS$1006,0)))),"Fix")))</f>
        <v>0</v>
      </c>
      <c r="Q579" s="5">
        <f>IF(OR(INDEX($W$2:$W$1001,MATCH(ROWS($V$2:V579),$V$2:$V$1001,0),1)&gt;=100000,INDEX($AC$1005:$AS$1005,1,MATCH(COLUMNS($AC$1006:AR1006),$AC$1006:$AS$1006,0))&gt;=100000), " ",IF(INDEX($AC$2:$AS$1001,MATCH(ROWS($V$2:V579),$V$2:$V$1001,0),MATCH(COLUMNS($AC$1006:AR1006),$AC$1006:$AS$1006,0)), HYPERLINK("#",""), HYPERLINK(CONCATENATE("#Metadata!", ADDRESS(INDEX($X$2:$X$1001,MATCH(ROWS($V$2:V579),$V$2:$V$1001,0),0), INDEX($AC$1004:$AS$1004,1,MATCH(COLUMNS($AC$1006:AR1006),$AC$1006:$AS$1006,0)))),"Fix")))</f>
        <v>0</v>
      </c>
      <c r="R579" s="5">
        <f>IF(OR(INDEX($W$2:$W$1001,MATCH(ROWS($V$2:V579),$V$2:$V$1001,0),1)&gt;=100000,INDEX($AC$1005:$AS$1005,1,MATCH(COLUMNS($AC$1006:AS1006),$AC$1006:$AS$1006,0))&gt;=100000), " ",IF(INDEX($AC$2:$AS$1001,MATCH(ROWS($V$2:V579),$V$2:$V$1001,0),MATCH(COLUMNS($AC$1006:AS1006),$AC$1006:$AS$1006,0)), HYPERLINK("#",""), HYPERLINK(CONCATENATE("#Metadata!", ADDRESS(INDEX($X$2:$X$1001,MATCH(ROWS($V$2:V579),$V$2:$V$1001,0),0), INDEX($AC$1004:$AS$1004,1,MATCH(COLUMNS($AC$1006:AS1006),$AC$1006:$AS$1006,0)))),"Fix")))</f>
        <v>0</v>
      </c>
      <c r="V579">
        <v>0</v>
      </c>
      <c r="W579">
        <v>0</v>
      </c>
      <c r="X579">
        <v>0</v>
      </c>
      <c r="Y579">
        <f>IF(Z579,TRUE,AND(AC579:AS579))</f>
        <v>0</v>
      </c>
      <c r="Z579">
        <f>COUNTBLANK(Metadata!B579:R579)=COLUMNS(Metadata!B579:R579)</f>
        <v>0</v>
      </c>
      <c r="AA579">
        <v>0</v>
      </c>
      <c r="AC579">
        <f>AND(IF(Metadata!B579="",FALSE,TRUE),COUNTIF(Metadata!B:B, Metadata!B579) = 1,NOT(ISERROR(SUMPRODUCT(SEARCH(MID(Metadata!B579,ROW(INDIRECT("1:"&amp;LEN(Metadata!B579))), 1),"0123456789abcdefghijklmnopqrstuvwxyzABCDEFGHIJKLMNOPQRSTUVWXYZ.")))))</f>
        <v>0</v>
      </c>
      <c r="AD579">
        <f>AND(IF(Metadata!C579="",FALSE,TRUE),exact(Metadata!C579,"Host-associated"))</f>
        <v>0</v>
      </c>
      <c r="AE579">
        <f>AND(IF(Metadata!D579="",FALSE,TRUE),OR(exact(Metadata!D579,"Animal"),exact(Metadata!D579,"Fungus"),exact(Metadata!D579,"Plant")))</f>
        <v>0</v>
      </c>
      <c r="AF579">
        <f>AND(IF(Metadata!E579="",FALSE,TRUE),OR(exact(Metadata!E579,"Plant secretion"),exact(Metadata!E579,"Plant rhizosphere"),exact(Metadata!E579,"Plant surface"),exact(Metadata!E579,"Plant corpus"),exact(Metadata!E579,"Fungus surface"),exact(Metadata!E579,"Fungus corpus"),exact(Metadata!E579,"Animal surface"),exact(Metadata!E579,"Animal proximal gut"),exact(Metadata!E579,"Animal corpus"),exact(Metadata!E579,"Animal distal gut"),exact(Metadata!E579,"Animal secretion")))</f>
        <v>0</v>
      </c>
      <c r="AG579">
        <f>OR(AND(IF(Metadata!F579="",FALSE,TRUE),OR(exact(Metadata!F579,"not collected"),exact(Metadata!F579,"not provided"),exact(Metadata!F579,"restricted access"))),AND(IF(Metadata!F579="",FALSE,TRUE),OR(exact(Metadata!F579,"organism-associated habitat"),exact(Metadata!F579,"plant-associated habitat"),exact(Metadata!F579,"animal-associated habitat"),exact(Metadata!F579,"insecta-associated habitat"),exact(Metadata!F579,"mammalia-associated habitat"),exact(Metadata!F579,"human-associated habitat"),exact(Metadata!F579,"livestock-associated habitat"))))</f>
        <v>0</v>
      </c>
      <c r="AH579">
        <f>AND(IF(Metadata!G579="",FALSE,TRUE),exact(Metadata!G579,"host-associated"))</f>
        <v>0</v>
      </c>
      <c r="AI579">
        <f>OR(AND(IF(Metadata!H579="",FALSE,TRUE),OR(exact(Metadata!H579,"not collected"),exact(Metadata!H579,"not provided"))),AND(IF(Metadata!H579="",FALSE,ISNUMBER(VALUE(Metadata!H579))),Metadata!H579&gt;0))</f>
        <v>0</v>
      </c>
      <c r="AJ579">
        <f>AND(IF(Metadata!I579="",FALSE,TRUE),exact(Metadata!I579,"years"))</f>
        <v>0</v>
      </c>
      <c r="AK579">
        <f>IF(Metadata!J579="",FALSE,TRUE)</f>
        <v>0</v>
      </c>
      <c r="AL579">
        <f>OR(AND(IF(Metadata!K579="",FALSE,TRUE),OR(exact(Metadata!K579,"not collected"),exact(Metadata!K579,"not provided"))),AND(IF(Metadata!K579="",FALSE,ISNUMBER(VALUE(Metadata!K579))),Metadata!K579&gt;0))</f>
        <v>0</v>
      </c>
      <c r="AM579">
        <f>AND(IF(Metadata!L579="",FALSE,TRUE),exact(Metadata!L579,"cm"))</f>
        <v>0</v>
      </c>
      <c r="AN579">
        <f>IF(Metadata!M579="",FALSE,TRUE)</f>
        <v>0</v>
      </c>
      <c r="AO579">
        <f>OR(AND(IF(Metadata!N579="",FALSE,TRUE),OR(exact(Metadata!N579,"not applicable"),exact(Metadata!N579,"not collected"),exact(Metadata!N579,"not provided"))),AND(IF(Metadata!N579="",FALSE,IF(ISERROR(INT(Metadata!N579)),FALSE,INT(Metadata!N579)=Metadata!N579)),Metadata!N579&gt;0))</f>
        <v>0</v>
      </c>
      <c r="AP579">
        <f>OR(AND(IF(Metadata!O579="",FALSE,TRUE),OR(exact(Metadata!O579,"not collected"),exact(Metadata!O579,"not provided"))),AND(IF(Metadata!O579="",FALSE,ISNUMBER(VALUE(Metadata!O579))),Metadata!O579&gt;0))</f>
        <v>0</v>
      </c>
      <c r="AQ579">
        <f>AND(IF(Metadata!P579="",FALSE,TRUE),exact(Metadata!P579,"kg"))</f>
        <v>0</v>
      </c>
      <c r="AR579">
        <f>OR(AND(IF(Metadata!Q579="",FALSE,TRUE),OR(exact(Metadata!Q579,"not applicable"),exact(Metadata!Q579,"not collected"),exact(Metadata!Q579,"not provided"),exact(Metadata!Q579,"restricted access"))),IF(Metadata!Q579="",FALSE,IF(ISERROR(INT(Metadata!Q579)),FALSE,INT(Metadata!Q579)=Metadata!Q579)))</f>
        <v>0</v>
      </c>
      <c r="AS579">
        <f>AND(IF(Metadata!R579="",FALSE,TRUE),exact(Metadata!R579,"Not applicable"))</f>
        <v>0</v>
      </c>
    </row>
    <row r="580" spans="1:45">
      <c r="A580" s="4">
        <f>IF(B580=" "," ",HYPERLINK(CONCATENATE("#metadata!",ADDRESS(INDEX($X$2:$X$1001,MATCH(ROWS($V$2:V580),$V$2:$V$1001,0),0),2)),INDEX($AA$2:$AA$1001,MATCH(ROWS($V$2:V580),$V$2:$V$1001,0),0)))</f>
        <v>0</v>
      </c>
      <c r="B580" s="5">
        <f>IF(OR(INDEX($W$2:$W$1001,MATCH(ROWS($V$2:V580),$V$2:$V$1001,0),1)&gt;=100000,INDEX($AC$1005:$AS$1005,1,MATCH(COLUMNS($AC$1006:AC1006),$AC$1006:$AS$1006,0))&gt;=100000), " ",IF(INDEX($AC$2:$AS$1001,MATCH(ROWS($V$2:V580),$V$2:$V$1001,0),MATCH(COLUMNS($AC$1006:AC1006),$AC$1006:$AS$1006,0)), HYPERLINK("#",""), HYPERLINK(CONCATENATE("#Metadata!", ADDRESS(INDEX($X$2:$X$1001,MATCH(ROWS($V$2:V580),$V$2:$V$1001,0),0), INDEX($AC$1004:$AS$1004,1,MATCH(COLUMNS($AC$1006:AC1006),$AC$1006:$AS$1006,0)))),"Fix")))</f>
        <v>0</v>
      </c>
      <c r="C580" s="5">
        <f>IF(OR(INDEX($W$2:$W$1001,MATCH(ROWS($V$2:V580),$V$2:$V$1001,0),1)&gt;=100000,INDEX($AC$1005:$AS$1005,1,MATCH(COLUMNS($AC$1006:AD1006),$AC$1006:$AS$1006,0))&gt;=100000), " ",IF(INDEX($AC$2:$AS$1001,MATCH(ROWS($V$2:V580),$V$2:$V$1001,0),MATCH(COLUMNS($AC$1006:AD1006),$AC$1006:$AS$1006,0)), HYPERLINK("#",""), HYPERLINK(CONCATENATE("#Metadata!", ADDRESS(INDEX($X$2:$X$1001,MATCH(ROWS($V$2:V580),$V$2:$V$1001,0),0), INDEX($AC$1004:$AS$1004,1,MATCH(COLUMNS($AC$1006:AD1006),$AC$1006:$AS$1006,0)))),"Fix")))</f>
        <v>0</v>
      </c>
      <c r="D580" s="5">
        <f>IF(OR(INDEX($W$2:$W$1001,MATCH(ROWS($V$2:V580),$V$2:$V$1001,0),1)&gt;=100000,INDEX($AC$1005:$AS$1005,1,MATCH(COLUMNS($AC$1006:AE1006),$AC$1006:$AS$1006,0))&gt;=100000), " ",IF(INDEX($AC$2:$AS$1001,MATCH(ROWS($V$2:V580),$V$2:$V$1001,0),MATCH(COLUMNS($AC$1006:AE1006),$AC$1006:$AS$1006,0)), HYPERLINK("#",""), HYPERLINK(CONCATENATE("#Metadata!", ADDRESS(INDEX($X$2:$X$1001,MATCH(ROWS($V$2:V580),$V$2:$V$1001,0),0), INDEX($AC$1004:$AS$1004,1,MATCH(COLUMNS($AC$1006:AE1006),$AC$1006:$AS$1006,0)))),"Fix")))</f>
        <v>0</v>
      </c>
      <c r="E580" s="5">
        <f>IF(OR(INDEX($W$2:$W$1001,MATCH(ROWS($V$2:V580),$V$2:$V$1001,0),1)&gt;=100000,INDEX($AC$1005:$AS$1005,1,MATCH(COLUMNS($AC$1006:AF1006),$AC$1006:$AS$1006,0))&gt;=100000), " ",IF(INDEX($AC$2:$AS$1001,MATCH(ROWS($V$2:V580),$V$2:$V$1001,0),MATCH(COLUMNS($AC$1006:AF1006),$AC$1006:$AS$1006,0)), HYPERLINK("#",""), HYPERLINK(CONCATENATE("#Metadata!", ADDRESS(INDEX($X$2:$X$1001,MATCH(ROWS($V$2:V580),$V$2:$V$1001,0),0), INDEX($AC$1004:$AS$1004,1,MATCH(COLUMNS($AC$1006:AF1006),$AC$1006:$AS$1006,0)))),"Fix")))</f>
        <v>0</v>
      </c>
      <c r="F580" s="5">
        <f>IF(OR(INDEX($W$2:$W$1001,MATCH(ROWS($V$2:V580),$V$2:$V$1001,0),1)&gt;=100000,INDEX($AC$1005:$AS$1005,1,MATCH(COLUMNS($AC$1006:AG1006),$AC$1006:$AS$1006,0))&gt;=100000), " ",IF(INDEX($AC$2:$AS$1001,MATCH(ROWS($V$2:V580),$V$2:$V$1001,0),MATCH(COLUMNS($AC$1006:AG1006),$AC$1006:$AS$1006,0)), HYPERLINK("#",""), HYPERLINK(CONCATENATE("#Metadata!", ADDRESS(INDEX($X$2:$X$1001,MATCH(ROWS($V$2:V580),$V$2:$V$1001,0),0), INDEX($AC$1004:$AS$1004,1,MATCH(COLUMNS($AC$1006:AG1006),$AC$1006:$AS$1006,0)))),"Fix")))</f>
        <v>0</v>
      </c>
      <c r="G580" s="5">
        <f>IF(OR(INDEX($W$2:$W$1001,MATCH(ROWS($V$2:V580),$V$2:$V$1001,0),1)&gt;=100000,INDEX($AC$1005:$AS$1005,1,MATCH(COLUMNS($AC$1006:AH1006),$AC$1006:$AS$1006,0))&gt;=100000), " ",IF(INDEX($AC$2:$AS$1001,MATCH(ROWS($V$2:V580),$V$2:$V$1001,0),MATCH(COLUMNS($AC$1006:AH1006),$AC$1006:$AS$1006,0)), HYPERLINK("#",""), HYPERLINK(CONCATENATE("#Metadata!", ADDRESS(INDEX($X$2:$X$1001,MATCH(ROWS($V$2:V580),$V$2:$V$1001,0),0), INDEX($AC$1004:$AS$1004,1,MATCH(COLUMNS($AC$1006:AH1006),$AC$1006:$AS$1006,0)))),"Fix")))</f>
        <v>0</v>
      </c>
      <c r="H580" s="5">
        <f>IF(OR(INDEX($W$2:$W$1001,MATCH(ROWS($V$2:V580),$V$2:$V$1001,0),1)&gt;=100000,INDEX($AC$1005:$AS$1005,1,MATCH(COLUMNS($AC$1006:AI1006),$AC$1006:$AS$1006,0))&gt;=100000), " ",IF(INDEX($AC$2:$AS$1001,MATCH(ROWS($V$2:V580),$V$2:$V$1001,0),MATCH(COLUMNS($AC$1006:AI1006),$AC$1006:$AS$1006,0)), HYPERLINK("#",""), HYPERLINK(CONCATENATE("#Metadata!", ADDRESS(INDEX($X$2:$X$1001,MATCH(ROWS($V$2:V580),$V$2:$V$1001,0),0), INDEX($AC$1004:$AS$1004,1,MATCH(COLUMNS($AC$1006:AI1006),$AC$1006:$AS$1006,0)))),"Fix")))</f>
        <v>0</v>
      </c>
      <c r="I580" s="5">
        <f>IF(OR(INDEX($W$2:$W$1001,MATCH(ROWS($V$2:V580),$V$2:$V$1001,0),1)&gt;=100000,INDEX($AC$1005:$AS$1005,1,MATCH(COLUMNS($AC$1006:AJ1006),$AC$1006:$AS$1006,0))&gt;=100000), " ",IF(INDEX($AC$2:$AS$1001,MATCH(ROWS($V$2:V580),$V$2:$V$1001,0),MATCH(COLUMNS($AC$1006:AJ1006),$AC$1006:$AS$1006,0)), HYPERLINK("#",""), HYPERLINK(CONCATENATE("#Metadata!", ADDRESS(INDEX($X$2:$X$1001,MATCH(ROWS($V$2:V580),$V$2:$V$1001,0),0), INDEX($AC$1004:$AS$1004,1,MATCH(COLUMNS($AC$1006:AJ1006),$AC$1006:$AS$1006,0)))),"Fix")))</f>
        <v>0</v>
      </c>
      <c r="J580" s="5">
        <f>IF(OR(INDEX($W$2:$W$1001,MATCH(ROWS($V$2:V580),$V$2:$V$1001,0),1)&gt;=100000,INDEX($AC$1005:$AS$1005,1,MATCH(COLUMNS($AC$1006:AK1006),$AC$1006:$AS$1006,0))&gt;=100000), " ",IF(INDEX($AC$2:$AS$1001,MATCH(ROWS($V$2:V580),$V$2:$V$1001,0),MATCH(COLUMNS($AC$1006:AK1006),$AC$1006:$AS$1006,0)), HYPERLINK("#",""), HYPERLINK(CONCATENATE("#Metadata!", ADDRESS(INDEX($X$2:$X$1001,MATCH(ROWS($V$2:V580),$V$2:$V$1001,0),0), INDEX($AC$1004:$AS$1004,1,MATCH(COLUMNS($AC$1006:AK1006),$AC$1006:$AS$1006,0)))),"Fix")))</f>
        <v>0</v>
      </c>
      <c r="K580" s="5">
        <f>IF(OR(INDEX($W$2:$W$1001,MATCH(ROWS($V$2:V580),$V$2:$V$1001,0),1)&gt;=100000,INDEX($AC$1005:$AS$1005,1,MATCH(COLUMNS($AC$1006:AL1006),$AC$1006:$AS$1006,0))&gt;=100000), " ",IF(INDEX($AC$2:$AS$1001,MATCH(ROWS($V$2:V580),$V$2:$V$1001,0),MATCH(COLUMNS($AC$1006:AL1006),$AC$1006:$AS$1006,0)), HYPERLINK("#",""), HYPERLINK(CONCATENATE("#Metadata!", ADDRESS(INDEX($X$2:$X$1001,MATCH(ROWS($V$2:V580),$V$2:$V$1001,0),0), INDEX($AC$1004:$AS$1004,1,MATCH(COLUMNS($AC$1006:AL1006),$AC$1006:$AS$1006,0)))),"Fix")))</f>
        <v>0</v>
      </c>
      <c r="L580" s="5">
        <f>IF(OR(INDEX($W$2:$W$1001,MATCH(ROWS($V$2:V580),$V$2:$V$1001,0),1)&gt;=100000,INDEX($AC$1005:$AS$1005,1,MATCH(COLUMNS($AC$1006:AM1006),$AC$1006:$AS$1006,0))&gt;=100000), " ",IF(INDEX($AC$2:$AS$1001,MATCH(ROWS($V$2:V580),$V$2:$V$1001,0),MATCH(COLUMNS($AC$1006:AM1006),$AC$1006:$AS$1006,0)), HYPERLINK("#",""), HYPERLINK(CONCATENATE("#Metadata!", ADDRESS(INDEX($X$2:$X$1001,MATCH(ROWS($V$2:V580),$V$2:$V$1001,0),0), INDEX($AC$1004:$AS$1004,1,MATCH(COLUMNS($AC$1006:AM1006),$AC$1006:$AS$1006,0)))),"Fix")))</f>
        <v>0</v>
      </c>
      <c r="M580" s="5">
        <f>IF(OR(INDEX($W$2:$W$1001,MATCH(ROWS($V$2:V580),$V$2:$V$1001,0),1)&gt;=100000,INDEX($AC$1005:$AS$1005,1,MATCH(COLUMNS($AC$1006:AN1006),$AC$1006:$AS$1006,0))&gt;=100000), " ",IF(INDEX($AC$2:$AS$1001,MATCH(ROWS($V$2:V580),$V$2:$V$1001,0),MATCH(COLUMNS($AC$1006:AN1006),$AC$1006:$AS$1006,0)), HYPERLINK("#",""), HYPERLINK(CONCATENATE("#Metadata!", ADDRESS(INDEX($X$2:$X$1001,MATCH(ROWS($V$2:V580),$V$2:$V$1001,0),0), INDEX($AC$1004:$AS$1004,1,MATCH(COLUMNS($AC$1006:AN1006),$AC$1006:$AS$1006,0)))),"Fix")))</f>
        <v>0</v>
      </c>
      <c r="N580" s="5">
        <f>IF(OR(INDEX($W$2:$W$1001,MATCH(ROWS($V$2:V580),$V$2:$V$1001,0),1)&gt;=100000,INDEX($AC$1005:$AS$1005,1,MATCH(COLUMNS($AC$1006:AO1006),$AC$1006:$AS$1006,0))&gt;=100000), " ",IF(INDEX($AC$2:$AS$1001,MATCH(ROWS($V$2:V580),$V$2:$V$1001,0),MATCH(COLUMNS($AC$1006:AO1006),$AC$1006:$AS$1006,0)), HYPERLINK("#",""), HYPERLINK(CONCATENATE("#Metadata!", ADDRESS(INDEX($X$2:$X$1001,MATCH(ROWS($V$2:V580),$V$2:$V$1001,0),0), INDEX($AC$1004:$AS$1004,1,MATCH(COLUMNS($AC$1006:AO1006),$AC$1006:$AS$1006,0)))),"Fix")))</f>
        <v>0</v>
      </c>
      <c r="O580" s="5">
        <f>IF(OR(INDEX($W$2:$W$1001,MATCH(ROWS($V$2:V580),$V$2:$V$1001,0),1)&gt;=100000,INDEX($AC$1005:$AS$1005,1,MATCH(COLUMNS($AC$1006:AP1006),$AC$1006:$AS$1006,0))&gt;=100000), " ",IF(INDEX($AC$2:$AS$1001,MATCH(ROWS($V$2:V580),$V$2:$V$1001,0),MATCH(COLUMNS($AC$1006:AP1006),$AC$1006:$AS$1006,0)), HYPERLINK("#",""), HYPERLINK(CONCATENATE("#Metadata!", ADDRESS(INDEX($X$2:$X$1001,MATCH(ROWS($V$2:V580),$V$2:$V$1001,0),0), INDEX($AC$1004:$AS$1004,1,MATCH(COLUMNS($AC$1006:AP1006),$AC$1006:$AS$1006,0)))),"Fix")))</f>
        <v>0</v>
      </c>
      <c r="P580" s="5">
        <f>IF(OR(INDEX($W$2:$W$1001,MATCH(ROWS($V$2:V580),$V$2:$V$1001,0),1)&gt;=100000,INDEX($AC$1005:$AS$1005,1,MATCH(COLUMNS($AC$1006:AQ1006),$AC$1006:$AS$1006,0))&gt;=100000), " ",IF(INDEX($AC$2:$AS$1001,MATCH(ROWS($V$2:V580),$V$2:$V$1001,0),MATCH(COLUMNS($AC$1006:AQ1006),$AC$1006:$AS$1006,0)), HYPERLINK("#",""), HYPERLINK(CONCATENATE("#Metadata!", ADDRESS(INDEX($X$2:$X$1001,MATCH(ROWS($V$2:V580),$V$2:$V$1001,0),0), INDEX($AC$1004:$AS$1004,1,MATCH(COLUMNS($AC$1006:AQ1006),$AC$1006:$AS$1006,0)))),"Fix")))</f>
        <v>0</v>
      </c>
      <c r="Q580" s="5">
        <f>IF(OR(INDEX($W$2:$W$1001,MATCH(ROWS($V$2:V580),$V$2:$V$1001,0),1)&gt;=100000,INDEX($AC$1005:$AS$1005,1,MATCH(COLUMNS($AC$1006:AR1006),$AC$1006:$AS$1006,0))&gt;=100000), " ",IF(INDEX($AC$2:$AS$1001,MATCH(ROWS($V$2:V580),$V$2:$V$1001,0),MATCH(COLUMNS($AC$1006:AR1006),$AC$1006:$AS$1006,0)), HYPERLINK("#",""), HYPERLINK(CONCATENATE("#Metadata!", ADDRESS(INDEX($X$2:$X$1001,MATCH(ROWS($V$2:V580),$V$2:$V$1001,0),0), INDEX($AC$1004:$AS$1004,1,MATCH(COLUMNS($AC$1006:AR1006),$AC$1006:$AS$1006,0)))),"Fix")))</f>
        <v>0</v>
      </c>
      <c r="R580" s="5">
        <f>IF(OR(INDEX($W$2:$W$1001,MATCH(ROWS($V$2:V580),$V$2:$V$1001,0),1)&gt;=100000,INDEX($AC$1005:$AS$1005,1,MATCH(COLUMNS($AC$1006:AS1006),$AC$1006:$AS$1006,0))&gt;=100000), " ",IF(INDEX($AC$2:$AS$1001,MATCH(ROWS($V$2:V580),$V$2:$V$1001,0),MATCH(COLUMNS($AC$1006:AS1006),$AC$1006:$AS$1006,0)), HYPERLINK("#",""), HYPERLINK(CONCATENATE("#Metadata!", ADDRESS(INDEX($X$2:$X$1001,MATCH(ROWS($V$2:V580),$V$2:$V$1001,0),0), INDEX($AC$1004:$AS$1004,1,MATCH(COLUMNS($AC$1006:AS1006),$AC$1006:$AS$1006,0)))),"Fix")))</f>
        <v>0</v>
      </c>
      <c r="V580">
        <v>0</v>
      </c>
      <c r="W580">
        <v>0</v>
      </c>
      <c r="X580">
        <v>0</v>
      </c>
      <c r="Y580">
        <f>IF(Z580,TRUE,AND(AC580:AS580))</f>
        <v>0</v>
      </c>
      <c r="Z580">
        <f>COUNTBLANK(Metadata!B580:R580)=COLUMNS(Metadata!B580:R580)</f>
        <v>0</v>
      </c>
      <c r="AA580">
        <v>0</v>
      </c>
      <c r="AC580">
        <f>AND(IF(Metadata!B580="",FALSE,TRUE),COUNTIF(Metadata!B:B, Metadata!B580) = 1,NOT(ISERROR(SUMPRODUCT(SEARCH(MID(Metadata!B580,ROW(INDIRECT("1:"&amp;LEN(Metadata!B580))), 1),"0123456789abcdefghijklmnopqrstuvwxyzABCDEFGHIJKLMNOPQRSTUVWXYZ.")))))</f>
        <v>0</v>
      </c>
      <c r="AD580">
        <f>AND(IF(Metadata!C580="",FALSE,TRUE),exact(Metadata!C580,"Host-associated"))</f>
        <v>0</v>
      </c>
      <c r="AE580">
        <f>AND(IF(Metadata!D580="",FALSE,TRUE),OR(exact(Metadata!D580,"Animal"),exact(Metadata!D580,"Fungus"),exact(Metadata!D580,"Plant")))</f>
        <v>0</v>
      </c>
      <c r="AF580">
        <f>AND(IF(Metadata!E580="",FALSE,TRUE),OR(exact(Metadata!E580,"Plant secretion"),exact(Metadata!E580,"Plant rhizosphere"),exact(Metadata!E580,"Plant surface"),exact(Metadata!E580,"Plant corpus"),exact(Metadata!E580,"Fungus surface"),exact(Metadata!E580,"Fungus corpus"),exact(Metadata!E580,"Animal surface"),exact(Metadata!E580,"Animal proximal gut"),exact(Metadata!E580,"Animal corpus"),exact(Metadata!E580,"Animal distal gut"),exact(Metadata!E580,"Animal secretion")))</f>
        <v>0</v>
      </c>
      <c r="AG580">
        <f>OR(AND(IF(Metadata!F580="",FALSE,TRUE),OR(exact(Metadata!F580,"not collected"),exact(Metadata!F580,"not provided"),exact(Metadata!F580,"restricted access"))),AND(IF(Metadata!F580="",FALSE,TRUE),OR(exact(Metadata!F580,"organism-associated habitat"),exact(Metadata!F580,"plant-associated habitat"),exact(Metadata!F580,"animal-associated habitat"),exact(Metadata!F580,"insecta-associated habitat"),exact(Metadata!F580,"mammalia-associated habitat"),exact(Metadata!F580,"human-associated habitat"),exact(Metadata!F580,"livestock-associated habitat"))))</f>
        <v>0</v>
      </c>
      <c r="AH580">
        <f>AND(IF(Metadata!G580="",FALSE,TRUE),exact(Metadata!G580,"host-associated"))</f>
        <v>0</v>
      </c>
      <c r="AI580">
        <f>OR(AND(IF(Metadata!H580="",FALSE,TRUE),OR(exact(Metadata!H580,"not collected"),exact(Metadata!H580,"not provided"))),AND(IF(Metadata!H580="",FALSE,ISNUMBER(VALUE(Metadata!H580))),Metadata!H580&gt;0))</f>
        <v>0</v>
      </c>
      <c r="AJ580">
        <f>AND(IF(Metadata!I580="",FALSE,TRUE),exact(Metadata!I580,"years"))</f>
        <v>0</v>
      </c>
      <c r="AK580">
        <f>IF(Metadata!J580="",FALSE,TRUE)</f>
        <v>0</v>
      </c>
      <c r="AL580">
        <f>OR(AND(IF(Metadata!K580="",FALSE,TRUE),OR(exact(Metadata!K580,"not collected"),exact(Metadata!K580,"not provided"))),AND(IF(Metadata!K580="",FALSE,ISNUMBER(VALUE(Metadata!K580))),Metadata!K580&gt;0))</f>
        <v>0</v>
      </c>
      <c r="AM580">
        <f>AND(IF(Metadata!L580="",FALSE,TRUE),exact(Metadata!L580,"cm"))</f>
        <v>0</v>
      </c>
      <c r="AN580">
        <f>IF(Metadata!M580="",FALSE,TRUE)</f>
        <v>0</v>
      </c>
      <c r="AO580">
        <f>OR(AND(IF(Metadata!N580="",FALSE,TRUE),OR(exact(Metadata!N580,"not applicable"),exact(Metadata!N580,"not collected"),exact(Metadata!N580,"not provided"))),AND(IF(Metadata!N580="",FALSE,IF(ISERROR(INT(Metadata!N580)),FALSE,INT(Metadata!N580)=Metadata!N580)),Metadata!N580&gt;0))</f>
        <v>0</v>
      </c>
      <c r="AP580">
        <f>OR(AND(IF(Metadata!O580="",FALSE,TRUE),OR(exact(Metadata!O580,"not collected"),exact(Metadata!O580,"not provided"))),AND(IF(Metadata!O580="",FALSE,ISNUMBER(VALUE(Metadata!O580))),Metadata!O580&gt;0))</f>
        <v>0</v>
      </c>
      <c r="AQ580">
        <f>AND(IF(Metadata!P580="",FALSE,TRUE),exact(Metadata!P580,"kg"))</f>
        <v>0</v>
      </c>
      <c r="AR580">
        <f>OR(AND(IF(Metadata!Q580="",FALSE,TRUE),OR(exact(Metadata!Q580,"not applicable"),exact(Metadata!Q580,"not collected"),exact(Metadata!Q580,"not provided"),exact(Metadata!Q580,"restricted access"))),IF(Metadata!Q580="",FALSE,IF(ISERROR(INT(Metadata!Q580)),FALSE,INT(Metadata!Q580)=Metadata!Q580)))</f>
        <v>0</v>
      </c>
      <c r="AS580">
        <f>AND(IF(Metadata!R580="",FALSE,TRUE),exact(Metadata!R580,"Not applicable"))</f>
        <v>0</v>
      </c>
    </row>
    <row r="581" spans="1:45">
      <c r="A581" s="4">
        <f>IF(B581=" "," ",HYPERLINK(CONCATENATE("#metadata!",ADDRESS(INDEX($X$2:$X$1001,MATCH(ROWS($V$2:V581),$V$2:$V$1001,0),0),2)),INDEX($AA$2:$AA$1001,MATCH(ROWS($V$2:V581),$V$2:$V$1001,0),0)))</f>
        <v>0</v>
      </c>
      <c r="B581" s="5">
        <f>IF(OR(INDEX($W$2:$W$1001,MATCH(ROWS($V$2:V581),$V$2:$V$1001,0),1)&gt;=100000,INDEX($AC$1005:$AS$1005,1,MATCH(COLUMNS($AC$1006:AC1006),$AC$1006:$AS$1006,0))&gt;=100000), " ",IF(INDEX($AC$2:$AS$1001,MATCH(ROWS($V$2:V581),$V$2:$V$1001,0),MATCH(COLUMNS($AC$1006:AC1006),$AC$1006:$AS$1006,0)), HYPERLINK("#",""), HYPERLINK(CONCATENATE("#Metadata!", ADDRESS(INDEX($X$2:$X$1001,MATCH(ROWS($V$2:V581),$V$2:$V$1001,0),0), INDEX($AC$1004:$AS$1004,1,MATCH(COLUMNS($AC$1006:AC1006),$AC$1006:$AS$1006,0)))),"Fix")))</f>
        <v>0</v>
      </c>
      <c r="C581" s="5">
        <f>IF(OR(INDEX($W$2:$W$1001,MATCH(ROWS($V$2:V581),$V$2:$V$1001,0),1)&gt;=100000,INDEX($AC$1005:$AS$1005,1,MATCH(COLUMNS($AC$1006:AD1006),$AC$1006:$AS$1006,0))&gt;=100000), " ",IF(INDEX($AC$2:$AS$1001,MATCH(ROWS($V$2:V581),$V$2:$V$1001,0),MATCH(COLUMNS($AC$1006:AD1006),$AC$1006:$AS$1006,0)), HYPERLINK("#",""), HYPERLINK(CONCATENATE("#Metadata!", ADDRESS(INDEX($X$2:$X$1001,MATCH(ROWS($V$2:V581),$V$2:$V$1001,0),0), INDEX($AC$1004:$AS$1004,1,MATCH(COLUMNS($AC$1006:AD1006),$AC$1006:$AS$1006,0)))),"Fix")))</f>
        <v>0</v>
      </c>
      <c r="D581" s="5">
        <f>IF(OR(INDEX($W$2:$W$1001,MATCH(ROWS($V$2:V581),$V$2:$V$1001,0),1)&gt;=100000,INDEX($AC$1005:$AS$1005,1,MATCH(COLUMNS($AC$1006:AE1006),$AC$1006:$AS$1006,0))&gt;=100000), " ",IF(INDEX($AC$2:$AS$1001,MATCH(ROWS($V$2:V581),$V$2:$V$1001,0),MATCH(COLUMNS($AC$1006:AE1006),$AC$1006:$AS$1006,0)), HYPERLINK("#",""), HYPERLINK(CONCATENATE("#Metadata!", ADDRESS(INDEX($X$2:$X$1001,MATCH(ROWS($V$2:V581),$V$2:$V$1001,0),0), INDEX($AC$1004:$AS$1004,1,MATCH(COLUMNS($AC$1006:AE1006),$AC$1006:$AS$1006,0)))),"Fix")))</f>
        <v>0</v>
      </c>
      <c r="E581" s="5">
        <f>IF(OR(INDEX($W$2:$W$1001,MATCH(ROWS($V$2:V581),$V$2:$V$1001,0),1)&gt;=100000,INDEX($AC$1005:$AS$1005,1,MATCH(COLUMNS($AC$1006:AF1006),$AC$1006:$AS$1006,0))&gt;=100000), " ",IF(INDEX($AC$2:$AS$1001,MATCH(ROWS($V$2:V581),$V$2:$V$1001,0),MATCH(COLUMNS($AC$1006:AF1006),$AC$1006:$AS$1006,0)), HYPERLINK("#",""), HYPERLINK(CONCATENATE("#Metadata!", ADDRESS(INDEX($X$2:$X$1001,MATCH(ROWS($V$2:V581),$V$2:$V$1001,0),0), INDEX($AC$1004:$AS$1004,1,MATCH(COLUMNS($AC$1006:AF1006),$AC$1006:$AS$1006,0)))),"Fix")))</f>
        <v>0</v>
      </c>
      <c r="F581" s="5">
        <f>IF(OR(INDEX($W$2:$W$1001,MATCH(ROWS($V$2:V581),$V$2:$V$1001,0),1)&gt;=100000,INDEX($AC$1005:$AS$1005,1,MATCH(COLUMNS($AC$1006:AG1006),$AC$1006:$AS$1006,0))&gt;=100000), " ",IF(INDEX($AC$2:$AS$1001,MATCH(ROWS($V$2:V581),$V$2:$V$1001,0),MATCH(COLUMNS($AC$1006:AG1006),$AC$1006:$AS$1006,0)), HYPERLINK("#",""), HYPERLINK(CONCATENATE("#Metadata!", ADDRESS(INDEX($X$2:$X$1001,MATCH(ROWS($V$2:V581),$V$2:$V$1001,0),0), INDEX($AC$1004:$AS$1004,1,MATCH(COLUMNS($AC$1006:AG1006),$AC$1006:$AS$1006,0)))),"Fix")))</f>
        <v>0</v>
      </c>
      <c r="G581" s="5">
        <f>IF(OR(INDEX($W$2:$W$1001,MATCH(ROWS($V$2:V581),$V$2:$V$1001,0),1)&gt;=100000,INDEX($AC$1005:$AS$1005,1,MATCH(COLUMNS($AC$1006:AH1006),$AC$1006:$AS$1006,0))&gt;=100000), " ",IF(INDEX($AC$2:$AS$1001,MATCH(ROWS($V$2:V581),$V$2:$V$1001,0),MATCH(COLUMNS($AC$1006:AH1006),$AC$1006:$AS$1006,0)), HYPERLINK("#",""), HYPERLINK(CONCATENATE("#Metadata!", ADDRESS(INDEX($X$2:$X$1001,MATCH(ROWS($V$2:V581),$V$2:$V$1001,0),0), INDEX($AC$1004:$AS$1004,1,MATCH(COLUMNS($AC$1006:AH1006),$AC$1006:$AS$1006,0)))),"Fix")))</f>
        <v>0</v>
      </c>
      <c r="H581" s="5">
        <f>IF(OR(INDEX($W$2:$W$1001,MATCH(ROWS($V$2:V581),$V$2:$V$1001,0),1)&gt;=100000,INDEX($AC$1005:$AS$1005,1,MATCH(COLUMNS($AC$1006:AI1006),$AC$1006:$AS$1006,0))&gt;=100000), " ",IF(INDEX($AC$2:$AS$1001,MATCH(ROWS($V$2:V581),$V$2:$V$1001,0),MATCH(COLUMNS($AC$1006:AI1006),$AC$1006:$AS$1006,0)), HYPERLINK("#",""), HYPERLINK(CONCATENATE("#Metadata!", ADDRESS(INDEX($X$2:$X$1001,MATCH(ROWS($V$2:V581),$V$2:$V$1001,0),0), INDEX($AC$1004:$AS$1004,1,MATCH(COLUMNS($AC$1006:AI1006),$AC$1006:$AS$1006,0)))),"Fix")))</f>
        <v>0</v>
      </c>
      <c r="I581" s="5">
        <f>IF(OR(INDEX($W$2:$W$1001,MATCH(ROWS($V$2:V581),$V$2:$V$1001,0),1)&gt;=100000,INDEX($AC$1005:$AS$1005,1,MATCH(COLUMNS($AC$1006:AJ1006),$AC$1006:$AS$1006,0))&gt;=100000), " ",IF(INDEX($AC$2:$AS$1001,MATCH(ROWS($V$2:V581),$V$2:$V$1001,0),MATCH(COLUMNS($AC$1006:AJ1006),$AC$1006:$AS$1006,0)), HYPERLINK("#",""), HYPERLINK(CONCATENATE("#Metadata!", ADDRESS(INDEX($X$2:$X$1001,MATCH(ROWS($V$2:V581),$V$2:$V$1001,0),0), INDEX($AC$1004:$AS$1004,1,MATCH(COLUMNS($AC$1006:AJ1006),$AC$1006:$AS$1006,0)))),"Fix")))</f>
        <v>0</v>
      </c>
      <c r="J581" s="5">
        <f>IF(OR(INDEX($W$2:$W$1001,MATCH(ROWS($V$2:V581),$V$2:$V$1001,0),1)&gt;=100000,INDEX($AC$1005:$AS$1005,1,MATCH(COLUMNS($AC$1006:AK1006),$AC$1006:$AS$1006,0))&gt;=100000), " ",IF(INDEX($AC$2:$AS$1001,MATCH(ROWS($V$2:V581),$V$2:$V$1001,0),MATCH(COLUMNS($AC$1006:AK1006),$AC$1006:$AS$1006,0)), HYPERLINK("#",""), HYPERLINK(CONCATENATE("#Metadata!", ADDRESS(INDEX($X$2:$X$1001,MATCH(ROWS($V$2:V581),$V$2:$V$1001,0),0), INDEX($AC$1004:$AS$1004,1,MATCH(COLUMNS($AC$1006:AK1006),$AC$1006:$AS$1006,0)))),"Fix")))</f>
        <v>0</v>
      </c>
      <c r="K581" s="5">
        <f>IF(OR(INDEX($W$2:$W$1001,MATCH(ROWS($V$2:V581),$V$2:$V$1001,0),1)&gt;=100000,INDEX($AC$1005:$AS$1005,1,MATCH(COLUMNS($AC$1006:AL1006),$AC$1006:$AS$1006,0))&gt;=100000), " ",IF(INDEX($AC$2:$AS$1001,MATCH(ROWS($V$2:V581),$V$2:$V$1001,0),MATCH(COLUMNS($AC$1006:AL1006),$AC$1006:$AS$1006,0)), HYPERLINK("#",""), HYPERLINK(CONCATENATE("#Metadata!", ADDRESS(INDEX($X$2:$X$1001,MATCH(ROWS($V$2:V581),$V$2:$V$1001,0),0), INDEX($AC$1004:$AS$1004,1,MATCH(COLUMNS($AC$1006:AL1006),$AC$1006:$AS$1006,0)))),"Fix")))</f>
        <v>0</v>
      </c>
      <c r="L581" s="5">
        <f>IF(OR(INDEX($W$2:$W$1001,MATCH(ROWS($V$2:V581),$V$2:$V$1001,0),1)&gt;=100000,INDEX($AC$1005:$AS$1005,1,MATCH(COLUMNS($AC$1006:AM1006),$AC$1006:$AS$1006,0))&gt;=100000), " ",IF(INDEX($AC$2:$AS$1001,MATCH(ROWS($V$2:V581),$V$2:$V$1001,0),MATCH(COLUMNS($AC$1006:AM1006),$AC$1006:$AS$1006,0)), HYPERLINK("#",""), HYPERLINK(CONCATENATE("#Metadata!", ADDRESS(INDEX($X$2:$X$1001,MATCH(ROWS($V$2:V581),$V$2:$V$1001,0),0), INDEX($AC$1004:$AS$1004,1,MATCH(COLUMNS($AC$1006:AM1006),$AC$1006:$AS$1006,0)))),"Fix")))</f>
        <v>0</v>
      </c>
      <c r="M581" s="5">
        <f>IF(OR(INDEX($W$2:$W$1001,MATCH(ROWS($V$2:V581),$V$2:$V$1001,0),1)&gt;=100000,INDEX($AC$1005:$AS$1005,1,MATCH(COLUMNS($AC$1006:AN1006),$AC$1006:$AS$1006,0))&gt;=100000), " ",IF(INDEX($AC$2:$AS$1001,MATCH(ROWS($V$2:V581),$V$2:$V$1001,0),MATCH(COLUMNS($AC$1006:AN1006),$AC$1006:$AS$1006,0)), HYPERLINK("#",""), HYPERLINK(CONCATENATE("#Metadata!", ADDRESS(INDEX($X$2:$X$1001,MATCH(ROWS($V$2:V581),$V$2:$V$1001,0),0), INDEX($AC$1004:$AS$1004,1,MATCH(COLUMNS($AC$1006:AN1006),$AC$1006:$AS$1006,0)))),"Fix")))</f>
        <v>0</v>
      </c>
      <c r="N581" s="5">
        <f>IF(OR(INDEX($W$2:$W$1001,MATCH(ROWS($V$2:V581),$V$2:$V$1001,0),1)&gt;=100000,INDEX($AC$1005:$AS$1005,1,MATCH(COLUMNS($AC$1006:AO1006),$AC$1006:$AS$1006,0))&gt;=100000), " ",IF(INDEX($AC$2:$AS$1001,MATCH(ROWS($V$2:V581),$V$2:$V$1001,0),MATCH(COLUMNS($AC$1006:AO1006),$AC$1006:$AS$1006,0)), HYPERLINK("#",""), HYPERLINK(CONCATENATE("#Metadata!", ADDRESS(INDEX($X$2:$X$1001,MATCH(ROWS($V$2:V581),$V$2:$V$1001,0),0), INDEX($AC$1004:$AS$1004,1,MATCH(COLUMNS($AC$1006:AO1006),$AC$1006:$AS$1006,0)))),"Fix")))</f>
        <v>0</v>
      </c>
      <c r="O581" s="5">
        <f>IF(OR(INDEX($W$2:$W$1001,MATCH(ROWS($V$2:V581),$V$2:$V$1001,0),1)&gt;=100000,INDEX($AC$1005:$AS$1005,1,MATCH(COLUMNS($AC$1006:AP1006),$AC$1006:$AS$1006,0))&gt;=100000), " ",IF(INDEX($AC$2:$AS$1001,MATCH(ROWS($V$2:V581),$V$2:$V$1001,0),MATCH(COLUMNS($AC$1006:AP1006),$AC$1006:$AS$1006,0)), HYPERLINK("#",""), HYPERLINK(CONCATENATE("#Metadata!", ADDRESS(INDEX($X$2:$X$1001,MATCH(ROWS($V$2:V581),$V$2:$V$1001,0),0), INDEX($AC$1004:$AS$1004,1,MATCH(COLUMNS($AC$1006:AP1006),$AC$1006:$AS$1006,0)))),"Fix")))</f>
        <v>0</v>
      </c>
      <c r="P581" s="5">
        <f>IF(OR(INDEX($W$2:$W$1001,MATCH(ROWS($V$2:V581),$V$2:$V$1001,0),1)&gt;=100000,INDEX($AC$1005:$AS$1005,1,MATCH(COLUMNS($AC$1006:AQ1006),$AC$1006:$AS$1006,0))&gt;=100000), " ",IF(INDEX($AC$2:$AS$1001,MATCH(ROWS($V$2:V581),$V$2:$V$1001,0),MATCH(COLUMNS($AC$1006:AQ1006),$AC$1006:$AS$1006,0)), HYPERLINK("#",""), HYPERLINK(CONCATENATE("#Metadata!", ADDRESS(INDEX($X$2:$X$1001,MATCH(ROWS($V$2:V581),$V$2:$V$1001,0),0), INDEX($AC$1004:$AS$1004,1,MATCH(COLUMNS($AC$1006:AQ1006),$AC$1006:$AS$1006,0)))),"Fix")))</f>
        <v>0</v>
      </c>
      <c r="Q581" s="5">
        <f>IF(OR(INDEX($W$2:$W$1001,MATCH(ROWS($V$2:V581),$V$2:$V$1001,0),1)&gt;=100000,INDEX($AC$1005:$AS$1005,1,MATCH(COLUMNS($AC$1006:AR1006),$AC$1006:$AS$1006,0))&gt;=100000), " ",IF(INDEX($AC$2:$AS$1001,MATCH(ROWS($V$2:V581),$V$2:$V$1001,0),MATCH(COLUMNS($AC$1006:AR1006),$AC$1006:$AS$1006,0)), HYPERLINK("#",""), HYPERLINK(CONCATENATE("#Metadata!", ADDRESS(INDEX($X$2:$X$1001,MATCH(ROWS($V$2:V581),$V$2:$V$1001,0),0), INDEX($AC$1004:$AS$1004,1,MATCH(COLUMNS($AC$1006:AR1006),$AC$1006:$AS$1006,0)))),"Fix")))</f>
        <v>0</v>
      </c>
      <c r="R581" s="5">
        <f>IF(OR(INDEX($W$2:$W$1001,MATCH(ROWS($V$2:V581),$V$2:$V$1001,0),1)&gt;=100000,INDEX($AC$1005:$AS$1005,1,MATCH(COLUMNS($AC$1006:AS1006),$AC$1006:$AS$1006,0))&gt;=100000), " ",IF(INDEX($AC$2:$AS$1001,MATCH(ROWS($V$2:V581),$V$2:$V$1001,0),MATCH(COLUMNS($AC$1006:AS1006),$AC$1006:$AS$1006,0)), HYPERLINK("#",""), HYPERLINK(CONCATENATE("#Metadata!", ADDRESS(INDEX($X$2:$X$1001,MATCH(ROWS($V$2:V581),$V$2:$V$1001,0),0), INDEX($AC$1004:$AS$1004,1,MATCH(COLUMNS($AC$1006:AS1006),$AC$1006:$AS$1006,0)))),"Fix")))</f>
        <v>0</v>
      </c>
      <c r="V581">
        <v>0</v>
      </c>
      <c r="W581">
        <v>0</v>
      </c>
      <c r="X581">
        <v>0</v>
      </c>
      <c r="Y581">
        <f>IF(Z581,TRUE,AND(AC581:AS581))</f>
        <v>0</v>
      </c>
      <c r="Z581">
        <f>COUNTBLANK(Metadata!B581:R581)=COLUMNS(Metadata!B581:R581)</f>
        <v>0</v>
      </c>
      <c r="AA581">
        <v>0</v>
      </c>
      <c r="AC581">
        <f>AND(IF(Metadata!B581="",FALSE,TRUE),COUNTIF(Metadata!B:B, Metadata!B581) = 1,NOT(ISERROR(SUMPRODUCT(SEARCH(MID(Metadata!B581,ROW(INDIRECT("1:"&amp;LEN(Metadata!B581))), 1),"0123456789abcdefghijklmnopqrstuvwxyzABCDEFGHIJKLMNOPQRSTUVWXYZ.")))))</f>
        <v>0</v>
      </c>
      <c r="AD581">
        <f>AND(IF(Metadata!C581="",FALSE,TRUE),exact(Metadata!C581,"Host-associated"))</f>
        <v>0</v>
      </c>
      <c r="AE581">
        <f>AND(IF(Metadata!D581="",FALSE,TRUE),OR(exact(Metadata!D581,"Animal"),exact(Metadata!D581,"Fungus"),exact(Metadata!D581,"Plant")))</f>
        <v>0</v>
      </c>
      <c r="AF581">
        <f>AND(IF(Metadata!E581="",FALSE,TRUE),OR(exact(Metadata!E581,"Plant secretion"),exact(Metadata!E581,"Plant rhizosphere"),exact(Metadata!E581,"Plant surface"),exact(Metadata!E581,"Plant corpus"),exact(Metadata!E581,"Fungus surface"),exact(Metadata!E581,"Fungus corpus"),exact(Metadata!E581,"Animal surface"),exact(Metadata!E581,"Animal proximal gut"),exact(Metadata!E581,"Animal corpus"),exact(Metadata!E581,"Animal distal gut"),exact(Metadata!E581,"Animal secretion")))</f>
        <v>0</v>
      </c>
      <c r="AG581">
        <f>OR(AND(IF(Metadata!F581="",FALSE,TRUE),OR(exact(Metadata!F581,"not collected"),exact(Metadata!F581,"not provided"),exact(Metadata!F581,"restricted access"))),AND(IF(Metadata!F581="",FALSE,TRUE),OR(exact(Metadata!F581,"organism-associated habitat"),exact(Metadata!F581,"plant-associated habitat"),exact(Metadata!F581,"animal-associated habitat"),exact(Metadata!F581,"insecta-associated habitat"),exact(Metadata!F581,"mammalia-associated habitat"),exact(Metadata!F581,"human-associated habitat"),exact(Metadata!F581,"livestock-associated habitat"))))</f>
        <v>0</v>
      </c>
      <c r="AH581">
        <f>AND(IF(Metadata!G581="",FALSE,TRUE),exact(Metadata!G581,"host-associated"))</f>
        <v>0</v>
      </c>
      <c r="AI581">
        <f>OR(AND(IF(Metadata!H581="",FALSE,TRUE),OR(exact(Metadata!H581,"not collected"),exact(Metadata!H581,"not provided"))),AND(IF(Metadata!H581="",FALSE,ISNUMBER(VALUE(Metadata!H581))),Metadata!H581&gt;0))</f>
        <v>0</v>
      </c>
      <c r="AJ581">
        <f>AND(IF(Metadata!I581="",FALSE,TRUE),exact(Metadata!I581,"years"))</f>
        <v>0</v>
      </c>
      <c r="AK581">
        <f>IF(Metadata!J581="",FALSE,TRUE)</f>
        <v>0</v>
      </c>
      <c r="AL581">
        <f>OR(AND(IF(Metadata!K581="",FALSE,TRUE),OR(exact(Metadata!K581,"not collected"),exact(Metadata!K581,"not provided"))),AND(IF(Metadata!K581="",FALSE,ISNUMBER(VALUE(Metadata!K581))),Metadata!K581&gt;0))</f>
        <v>0</v>
      </c>
      <c r="AM581">
        <f>AND(IF(Metadata!L581="",FALSE,TRUE),exact(Metadata!L581,"cm"))</f>
        <v>0</v>
      </c>
      <c r="AN581">
        <f>IF(Metadata!M581="",FALSE,TRUE)</f>
        <v>0</v>
      </c>
      <c r="AO581">
        <f>OR(AND(IF(Metadata!N581="",FALSE,TRUE),OR(exact(Metadata!N581,"not applicable"),exact(Metadata!N581,"not collected"),exact(Metadata!N581,"not provided"))),AND(IF(Metadata!N581="",FALSE,IF(ISERROR(INT(Metadata!N581)),FALSE,INT(Metadata!N581)=Metadata!N581)),Metadata!N581&gt;0))</f>
        <v>0</v>
      </c>
      <c r="AP581">
        <f>OR(AND(IF(Metadata!O581="",FALSE,TRUE),OR(exact(Metadata!O581,"not collected"),exact(Metadata!O581,"not provided"))),AND(IF(Metadata!O581="",FALSE,ISNUMBER(VALUE(Metadata!O581))),Metadata!O581&gt;0))</f>
        <v>0</v>
      </c>
      <c r="AQ581">
        <f>AND(IF(Metadata!P581="",FALSE,TRUE),exact(Metadata!P581,"kg"))</f>
        <v>0</v>
      </c>
      <c r="AR581">
        <f>OR(AND(IF(Metadata!Q581="",FALSE,TRUE),OR(exact(Metadata!Q581,"not applicable"),exact(Metadata!Q581,"not collected"),exact(Metadata!Q581,"not provided"),exact(Metadata!Q581,"restricted access"))),IF(Metadata!Q581="",FALSE,IF(ISERROR(INT(Metadata!Q581)),FALSE,INT(Metadata!Q581)=Metadata!Q581)))</f>
        <v>0</v>
      </c>
      <c r="AS581">
        <f>AND(IF(Metadata!R581="",FALSE,TRUE),exact(Metadata!R581,"Not applicable"))</f>
        <v>0</v>
      </c>
    </row>
    <row r="582" spans="1:45">
      <c r="A582" s="4">
        <f>IF(B582=" "," ",HYPERLINK(CONCATENATE("#metadata!",ADDRESS(INDEX($X$2:$X$1001,MATCH(ROWS($V$2:V582),$V$2:$V$1001,0),0),2)),INDEX($AA$2:$AA$1001,MATCH(ROWS($V$2:V582),$V$2:$V$1001,0),0)))</f>
        <v>0</v>
      </c>
      <c r="B582" s="5">
        <f>IF(OR(INDEX($W$2:$W$1001,MATCH(ROWS($V$2:V582),$V$2:$V$1001,0),1)&gt;=100000,INDEX($AC$1005:$AS$1005,1,MATCH(COLUMNS($AC$1006:AC1006),$AC$1006:$AS$1006,0))&gt;=100000), " ",IF(INDEX($AC$2:$AS$1001,MATCH(ROWS($V$2:V582),$V$2:$V$1001,0),MATCH(COLUMNS($AC$1006:AC1006),$AC$1006:$AS$1006,0)), HYPERLINK("#",""), HYPERLINK(CONCATENATE("#Metadata!", ADDRESS(INDEX($X$2:$X$1001,MATCH(ROWS($V$2:V582),$V$2:$V$1001,0),0), INDEX($AC$1004:$AS$1004,1,MATCH(COLUMNS($AC$1006:AC1006),$AC$1006:$AS$1006,0)))),"Fix")))</f>
        <v>0</v>
      </c>
      <c r="C582" s="5">
        <f>IF(OR(INDEX($W$2:$W$1001,MATCH(ROWS($V$2:V582),$V$2:$V$1001,0),1)&gt;=100000,INDEX($AC$1005:$AS$1005,1,MATCH(COLUMNS($AC$1006:AD1006),$AC$1006:$AS$1006,0))&gt;=100000), " ",IF(INDEX($AC$2:$AS$1001,MATCH(ROWS($V$2:V582),$V$2:$V$1001,0),MATCH(COLUMNS($AC$1006:AD1006),$AC$1006:$AS$1006,0)), HYPERLINK("#",""), HYPERLINK(CONCATENATE("#Metadata!", ADDRESS(INDEX($X$2:$X$1001,MATCH(ROWS($V$2:V582),$V$2:$V$1001,0),0), INDEX($AC$1004:$AS$1004,1,MATCH(COLUMNS($AC$1006:AD1006),$AC$1006:$AS$1006,0)))),"Fix")))</f>
        <v>0</v>
      </c>
      <c r="D582" s="5">
        <f>IF(OR(INDEX($W$2:$W$1001,MATCH(ROWS($V$2:V582),$V$2:$V$1001,0),1)&gt;=100000,INDEX($AC$1005:$AS$1005,1,MATCH(COLUMNS($AC$1006:AE1006),$AC$1006:$AS$1006,0))&gt;=100000), " ",IF(INDEX($AC$2:$AS$1001,MATCH(ROWS($V$2:V582),$V$2:$V$1001,0),MATCH(COLUMNS($AC$1006:AE1006),$AC$1006:$AS$1006,0)), HYPERLINK("#",""), HYPERLINK(CONCATENATE("#Metadata!", ADDRESS(INDEX($X$2:$X$1001,MATCH(ROWS($V$2:V582),$V$2:$V$1001,0),0), INDEX($AC$1004:$AS$1004,1,MATCH(COLUMNS($AC$1006:AE1006),$AC$1006:$AS$1006,0)))),"Fix")))</f>
        <v>0</v>
      </c>
      <c r="E582" s="5">
        <f>IF(OR(INDEX($W$2:$W$1001,MATCH(ROWS($V$2:V582),$V$2:$V$1001,0),1)&gt;=100000,INDEX($AC$1005:$AS$1005,1,MATCH(COLUMNS($AC$1006:AF1006),$AC$1006:$AS$1006,0))&gt;=100000), " ",IF(INDEX($AC$2:$AS$1001,MATCH(ROWS($V$2:V582),$V$2:$V$1001,0),MATCH(COLUMNS($AC$1006:AF1006),$AC$1006:$AS$1006,0)), HYPERLINK("#",""), HYPERLINK(CONCATENATE("#Metadata!", ADDRESS(INDEX($X$2:$X$1001,MATCH(ROWS($V$2:V582),$V$2:$V$1001,0),0), INDEX($AC$1004:$AS$1004,1,MATCH(COLUMNS($AC$1006:AF1006),$AC$1006:$AS$1006,0)))),"Fix")))</f>
        <v>0</v>
      </c>
      <c r="F582" s="5">
        <f>IF(OR(INDEX($W$2:$W$1001,MATCH(ROWS($V$2:V582),$V$2:$V$1001,0),1)&gt;=100000,INDEX($AC$1005:$AS$1005,1,MATCH(COLUMNS($AC$1006:AG1006),$AC$1006:$AS$1006,0))&gt;=100000), " ",IF(INDEX($AC$2:$AS$1001,MATCH(ROWS($V$2:V582),$V$2:$V$1001,0),MATCH(COLUMNS($AC$1006:AG1006),$AC$1006:$AS$1006,0)), HYPERLINK("#",""), HYPERLINK(CONCATENATE("#Metadata!", ADDRESS(INDEX($X$2:$X$1001,MATCH(ROWS($V$2:V582),$V$2:$V$1001,0),0), INDEX($AC$1004:$AS$1004,1,MATCH(COLUMNS($AC$1006:AG1006),$AC$1006:$AS$1006,0)))),"Fix")))</f>
        <v>0</v>
      </c>
      <c r="G582" s="5">
        <f>IF(OR(INDEX($W$2:$W$1001,MATCH(ROWS($V$2:V582),$V$2:$V$1001,0),1)&gt;=100000,INDEX($AC$1005:$AS$1005,1,MATCH(COLUMNS($AC$1006:AH1006),$AC$1006:$AS$1006,0))&gt;=100000), " ",IF(INDEX($AC$2:$AS$1001,MATCH(ROWS($V$2:V582),$V$2:$V$1001,0),MATCH(COLUMNS($AC$1006:AH1006),$AC$1006:$AS$1006,0)), HYPERLINK("#",""), HYPERLINK(CONCATENATE("#Metadata!", ADDRESS(INDEX($X$2:$X$1001,MATCH(ROWS($V$2:V582),$V$2:$V$1001,0),0), INDEX($AC$1004:$AS$1004,1,MATCH(COLUMNS($AC$1006:AH1006),$AC$1006:$AS$1006,0)))),"Fix")))</f>
        <v>0</v>
      </c>
      <c r="H582" s="5">
        <f>IF(OR(INDEX($W$2:$W$1001,MATCH(ROWS($V$2:V582),$V$2:$V$1001,0),1)&gt;=100000,INDEX($AC$1005:$AS$1005,1,MATCH(COLUMNS($AC$1006:AI1006),$AC$1006:$AS$1006,0))&gt;=100000), " ",IF(INDEX($AC$2:$AS$1001,MATCH(ROWS($V$2:V582),$V$2:$V$1001,0),MATCH(COLUMNS($AC$1006:AI1006),$AC$1006:$AS$1006,0)), HYPERLINK("#",""), HYPERLINK(CONCATENATE("#Metadata!", ADDRESS(INDEX($X$2:$X$1001,MATCH(ROWS($V$2:V582),$V$2:$V$1001,0),0), INDEX($AC$1004:$AS$1004,1,MATCH(COLUMNS($AC$1006:AI1006),$AC$1006:$AS$1006,0)))),"Fix")))</f>
        <v>0</v>
      </c>
      <c r="I582" s="5">
        <f>IF(OR(INDEX($W$2:$W$1001,MATCH(ROWS($V$2:V582),$V$2:$V$1001,0),1)&gt;=100000,INDEX($AC$1005:$AS$1005,1,MATCH(COLUMNS($AC$1006:AJ1006),$AC$1006:$AS$1006,0))&gt;=100000), " ",IF(INDEX($AC$2:$AS$1001,MATCH(ROWS($V$2:V582),$V$2:$V$1001,0),MATCH(COLUMNS($AC$1006:AJ1006),$AC$1006:$AS$1006,0)), HYPERLINK("#",""), HYPERLINK(CONCATENATE("#Metadata!", ADDRESS(INDEX($X$2:$X$1001,MATCH(ROWS($V$2:V582),$V$2:$V$1001,0),0), INDEX($AC$1004:$AS$1004,1,MATCH(COLUMNS($AC$1006:AJ1006),$AC$1006:$AS$1006,0)))),"Fix")))</f>
        <v>0</v>
      </c>
      <c r="J582" s="5">
        <f>IF(OR(INDEX($W$2:$W$1001,MATCH(ROWS($V$2:V582),$V$2:$V$1001,0),1)&gt;=100000,INDEX($AC$1005:$AS$1005,1,MATCH(COLUMNS($AC$1006:AK1006),$AC$1006:$AS$1006,0))&gt;=100000), " ",IF(INDEX($AC$2:$AS$1001,MATCH(ROWS($V$2:V582),$V$2:$V$1001,0),MATCH(COLUMNS($AC$1006:AK1006),$AC$1006:$AS$1006,0)), HYPERLINK("#",""), HYPERLINK(CONCATENATE("#Metadata!", ADDRESS(INDEX($X$2:$X$1001,MATCH(ROWS($V$2:V582),$V$2:$V$1001,0),0), INDEX($AC$1004:$AS$1004,1,MATCH(COLUMNS($AC$1006:AK1006),$AC$1006:$AS$1006,0)))),"Fix")))</f>
        <v>0</v>
      </c>
      <c r="K582" s="5">
        <f>IF(OR(INDEX($W$2:$W$1001,MATCH(ROWS($V$2:V582),$V$2:$V$1001,0),1)&gt;=100000,INDEX($AC$1005:$AS$1005,1,MATCH(COLUMNS($AC$1006:AL1006),$AC$1006:$AS$1006,0))&gt;=100000), " ",IF(INDEX($AC$2:$AS$1001,MATCH(ROWS($V$2:V582),$V$2:$V$1001,0),MATCH(COLUMNS($AC$1006:AL1006),$AC$1006:$AS$1006,0)), HYPERLINK("#",""), HYPERLINK(CONCATENATE("#Metadata!", ADDRESS(INDEX($X$2:$X$1001,MATCH(ROWS($V$2:V582),$V$2:$V$1001,0),0), INDEX($AC$1004:$AS$1004,1,MATCH(COLUMNS($AC$1006:AL1006),$AC$1006:$AS$1006,0)))),"Fix")))</f>
        <v>0</v>
      </c>
      <c r="L582" s="5">
        <f>IF(OR(INDEX($W$2:$W$1001,MATCH(ROWS($V$2:V582),$V$2:$V$1001,0),1)&gt;=100000,INDEX($AC$1005:$AS$1005,1,MATCH(COLUMNS($AC$1006:AM1006),$AC$1006:$AS$1006,0))&gt;=100000), " ",IF(INDEX($AC$2:$AS$1001,MATCH(ROWS($V$2:V582),$V$2:$V$1001,0),MATCH(COLUMNS($AC$1006:AM1006),$AC$1006:$AS$1006,0)), HYPERLINK("#",""), HYPERLINK(CONCATENATE("#Metadata!", ADDRESS(INDEX($X$2:$X$1001,MATCH(ROWS($V$2:V582),$V$2:$V$1001,0),0), INDEX($AC$1004:$AS$1004,1,MATCH(COLUMNS($AC$1006:AM1006),$AC$1006:$AS$1006,0)))),"Fix")))</f>
        <v>0</v>
      </c>
      <c r="M582" s="5">
        <f>IF(OR(INDEX($W$2:$W$1001,MATCH(ROWS($V$2:V582),$V$2:$V$1001,0),1)&gt;=100000,INDEX($AC$1005:$AS$1005,1,MATCH(COLUMNS($AC$1006:AN1006),$AC$1006:$AS$1006,0))&gt;=100000), " ",IF(INDEX($AC$2:$AS$1001,MATCH(ROWS($V$2:V582),$V$2:$V$1001,0),MATCH(COLUMNS($AC$1006:AN1006),$AC$1006:$AS$1006,0)), HYPERLINK("#",""), HYPERLINK(CONCATENATE("#Metadata!", ADDRESS(INDEX($X$2:$X$1001,MATCH(ROWS($V$2:V582),$V$2:$V$1001,0),0), INDEX($AC$1004:$AS$1004,1,MATCH(COLUMNS($AC$1006:AN1006),$AC$1006:$AS$1006,0)))),"Fix")))</f>
        <v>0</v>
      </c>
      <c r="N582" s="5">
        <f>IF(OR(INDEX($W$2:$W$1001,MATCH(ROWS($V$2:V582),$V$2:$V$1001,0),1)&gt;=100000,INDEX($AC$1005:$AS$1005,1,MATCH(COLUMNS($AC$1006:AO1006),$AC$1006:$AS$1006,0))&gt;=100000), " ",IF(INDEX($AC$2:$AS$1001,MATCH(ROWS($V$2:V582),$V$2:$V$1001,0),MATCH(COLUMNS($AC$1006:AO1006),$AC$1006:$AS$1006,0)), HYPERLINK("#",""), HYPERLINK(CONCATENATE("#Metadata!", ADDRESS(INDEX($X$2:$X$1001,MATCH(ROWS($V$2:V582),$V$2:$V$1001,0),0), INDEX($AC$1004:$AS$1004,1,MATCH(COLUMNS($AC$1006:AO1006),$AC$1006:$AS$1006,0)))),"Fix")))</f>
        <v>0</v>
      </c>
      <c r="O582" s="5">
        <f>IF(OR(INDEX($W$2:$W$1001,MATCH(ROWS($V$2:V582),$V$2:$V$1001,0),1)&gt;=100000,INDEX($AC$1005:$AS$1005,1,MATCH(COLUMNS($AC$1006:AP1006),$AC$1006:$AS$1006,0))&gt;=100000), " ",IF(INDEX($AC$2:$AS$1001,MATCH(ROWS($V$2:V582),$V$2:$V$1001,0),MATCH(COLUMNS($AC$1006:AP1006),$AC$1006:$AS$1006,0)), HYPERLINK("#",""), HYPERLINK(CONCATENATE("#Metadata!", ADDRESS(INDEX($X$2:$X$1001,MATCH(ROWS($V$2:V582),$V$2:$V$1001,0),0), INDEX($AC$1004:$AS$1004,1,MATCH(COLUMNS($AC$1006:AP1006),$AC$1006:$AS$1006,0)))),"Fix")))</f>
        <v>0</v>
      </c>
      <c r="P582" s="5">
        <f>IF(OR(INDEX($W$2:$W$1001,MATCH(ROWS($V$2:V582),$V$2:$V$1001,0),1)&gt;=100000,INDEX($AC$1005:$AS$1005,1,MATCH(COLUMNS($AC$1006:AQ1006),$AC$1006:$AS$1006,0))&gt;=100000), " ",IF(INDEX($AC$2:$AS$1001,MATCH(ROWS($V$2:V582),$V$2:$V$1001,0),MATCH(COLUMNS($AC$1006:AQ1006),$AC$1006:$AS$1006,0)), HYPERLINK("#",""), HYPERLINK(CONCATENATE("#Metadata!", ADDRESS(INDEX($X$2:$X$1001,MATCH(ROWS($V$2:V582),$V$2:$V$1001,0),0), INDEX($AC$1004:$AS$1004,1,MATCH(COLUMNS($AC$1006:AQ1006),$AC$1006:$AS$1006,0)))),"Fix")))</f>
        <v>0</v>
      </c>
      <c r="Q582" s="5">
        <f>IF(OR(INDEX($W$2:$W$1001,MATCH(ROWS($V$2:V582),$V$2:$V$1001,0),1)&gt;=100000,INDEX($AC$1005:$AS$1005,1,MATCH(COLUMNS($AC$1006:AR1006),$AC$1006:$AS$1006,0))&gt;=100000), " ",IF(INDEX($AC$2:$AS$1001,MATCH(ROWS($V$2:V582),$V$2:$V$1001,0),MATCH(COLUMNS($AC$1006:AR1006),$AC$1006:$AS$1006,0)), HYPERLINK("#",""), HYPERLINK(CONCATENATE("#Metadata!", ADDRESS(INDEX($X$2:$X$1001,MATCH(ROWS($V$2:V582),$V$2:$V$1001,0),0), INDEX($AC$1004:$AS$1004,1,MATCH(COLUMNS($AC$1006:AR1006),$AC$1006:$AS$1006,0)))),"Fix")))</f>
        <v>0</v>
      </c>
      <c r="R582" s="5">
        <f>IF(OR(INDEX($W$2:$W$1001,MATCH(ROWS($V$2:V582),$V$2:$V$1001,0),1)&gt;=100000,INDEX($AC$1005:$AS$1005,1,MATCH(COLUMNS($AC$1006:AS1006),$AC$1006:$AS$1006,0))&gt;=100000), " ",IF(INDEX($AC$2:$AS$1001,MATCH(ROWS($V$2:V582),$V$2:$V$1001,0),MATCH(COLUMNS($AC$1006:AS1006),$AC$1006:$AS$1006,0)), HYPERLINK("#",""), HYPERLINK(CONCATENATE("#Metadata!", ADDRESS(INDEX($X$2:$X$1001,MATCH(ROWS($V$2:V582),$V$2:$V$1001,0),0), INDEX($AC$1004:$AS$1004,1,MATCH(COLUMNS($AC$1006:AS1006),$AC$1006:$AS$1006,0)))),"Fix")))</f>
        <v>0</v>
      </c>
      <c r="V582">
        <v>0</v>
      </c>
      <c r="W582">
        <v>0</v>
      </c>
      <c r="X582">
        <v>0</v>
      </c>
      <c r="Y582">
        <f>IF(Z582,TRUE,AND(AC582:AS582))</f>
        <v>0</v>
      </c>
      <c r="Z582">
        <f>COUNTBLANK(Metadata!B582:R582)=COLUMNS(Metadata!B582:R582)</f>
        <v>0</v>
      </c>
      <c r="AA582">
        <v>0</v>
      </c>
      <c r="AC582">
        <f>AND(IF(Metadata!B582="",FALSE,TRUE),COUNTIF(Metadata!B:B, Metadata!B582) = 1,NOT(ISERROR(SUMPRODUCT(SEARCH(MID(Metadata!B582,ROW(INDIRECT("1:"&amp;LEN(Metadata!B582))), 1),"0123456789abcdefghijklmnopqrstuvwxyzABCDEFGHIJKLMNOPQRSTUVWXYZ.")))))</f>
        <v>0</v>
      </c>
      <c r="AD582">
        <f>AND(IF(Metadata!C582="",FALSE,TRUE),exact(Metadata!C582,"Host-associated"))</f>
        <v>0</v>
      </c>
      <c r="AE582">
        <f>AND(IF(Metadata!D582="",FALSE,TRUE),OR(exact(Metadata!D582,"Animal"),exact(Metadata!D582,"Fungus"),exact(Metadata!D582,"Plant")))</f>
        <v>0</v>
      </c>
      <c r="AF582">
        <f>AND(IF(Metadata!E582="",FALSE,TRUE),OR(exact(Metadata!E582,"Plant secretion"),exact(Metadata!E582,"Plant rhizosphere"),exact(Metadata!E582,"Plant surface"),exact(Metadata!E582,"Plant corpus"),exact(Metadata!E582,"Fungus surface"),exact(Metadata!E582,"Fungus corpus"),exact(Metadata!E582,"Animal surface"),exact(Metadata!E582,"Animal proximal gut"),exact(Metadata!E582,"Animal corpus"),exact(Metadata!E582,"Animal distal gut"),exact(Metadata!E582,"Animal secretion")))</f>
        <v>0</v>
      </c>
      <c r="AG582">
        <f>OR(AND(IF(Metadata!F582="",FALSE,TRUE),OR(exact(Metadata!F582,"not collected"),exact(Metadata!F582,"not provided"),exact(Metadata!F582,"restricted access"))),AND(IF(Metadata!F582="",FALSE,TRUE),OR(exact(Metadata!F582,"organism-associated habitat"),exact(Metadata!F582,"plant-associated habitat"),exact(Metadata!F582,"animal-associated habitat"),exact(Metadata!F582,"insecta-associated habitat"),exact(Metadata!F582,"mammalia-associated habitat"),exact(Metadata!F582,"human-associated habitat"),exact(Metadata!F582,"livestock-associated habitat"))))</f>
        <v>0</v>
      </c>
      <c r="AH582">
        <f>AND(IF(Metadata!G582="",FALSE,TRUE),exact(Metadata!G582,"host-associated"))</f>
        <v>0</v>
      </c>
      <c r="AI582">
        <f>OR(AND(IF(Metadata!H582="",FALSE,TRUE),OR(exact(Metadata!H582,"not collected"),exact(Metadata!H582,"not provided"))),AND(IF(Metadata!H582="",FALSE,ISNUMBER(VALUE(Metadata!H582))),Metadata!H582&gt;0))</f>
        <v>0</v>
      </c>
      <c r="AJ582">
        <f>AND(IF(Metadata!I582="",FALSE,TRUE),exact(Metadata!I582,"years"))</f>
        <v>0</v>
      </c>
      <c r="AK582">
        <f>IF(Metadata!J582="",FALSE,TRUE)</f>
        <v>0</v>
      </c>
      <c r="AL582">
        <f>OR(AND(IF(Metadata!K582="",FALSE,TRUE),OR(exact(Metadata!K582,"not collected"),exact(Metadata!K582,"not provided"))),AND(IF(Metadata!K582="",FALSE,ISNUMBER(VALUE(Metadata!K582))),Metadata!K582&gt;0))</f>
        <v>0</v>
      </c>
      <c r="AM582">
        <f>AND(IF(Metadata!L582="",FALSE,TRUE),exact(Metadata!L582,"cm"))</f>
        <v>0</v>
      </c>
      <c r="AN582">
        <f>IF(Metadata!M582="",FALSE,TRUE)</f>
        <v>0</v>
      </c>
      <c r="AO582">
        <f>OR(AND(IF(Metadata!N582="",FALSE,TRUE),OR(exact(Metadata!N582,"not applicable"),exact(Metadata!N582,"not collected"),exact(Metadata!N582,"not provided"))),AND(IF(Metadata!N582="",FALSE,IF(ISERROR(INT(Metadata!N582)),FALSE,INT(Metadata!N582)=Metadata!N582)),Metadata!N582&gt;0))</f>
        <v>0</v>
      </c>
      <c r="AP582">
        <f>OR(AND(IF(Metadata!O582="",FALSE,TRUE),OR(exact(Metadata!O582,"not collected"),exact(Metadata!O582,"not provided"))),AND(IF(Metadata!O582="",FALSE,ISNUMBER(VALUE(Metadata!O582))),Metadata!O582&gt;0))</f>
        <v>0</v>
      </c>
      <c r="AQ582">
        <f>AND(IF(Metadata!P582="",FALSE,TRUE),exact(Metadata!P582,"kg"))</f>
        <v>0</v>
      </c>
      <c r="AR582">
        <f>OR(AND(IF(Metadata!Q582="",FALSE,TRUE),OR(exact(Metadata!Q582,"not applicable"),exact(Metadata!Q582,"not collected"),exact(Metadata!Q582,"not provided"),exact(Metadata!Q582,"restricted access"))),IF(Metadata!Q582="",FALSE,IF(ISERROR(INT(Metadata!Q582)),FALSE,INT(Metadata!Q582)=Metadata!Q582)))</f>
        <v>0</v>
      </c>
      <c r="AS582">
        <f>AND(IF(Metadata!R582="",FALSE,TRUE),exact(Metadata!R582,"Not applicable"))</f>
        <v>0</v>
      </c>
    </row>
    <row r="583" spans="1:45">
      <c r="A583" s="4">
        <f>IF(B583=" "," ",HYPERLINK(CONCATENATE("#metadata!",ADDRESS(INDEX($X$2:$X$1001,MATCH(ROWS($V$2:V583),$V$2:$V$1001,0),0),2)),INDEX($AA$2:$AA$1001,MATCH(ROWS($V$2:V583),$V$2:$V$1001,0),0)))</f>
        <v>0</v>
      </c>
      <c r="B583" s="5">
        <f>IF(OR(INDEX($W$2:$W$1001,MATCH(ROWS($V$2:V583),$V$2:$V$1001,0),1)&gt;=100000,INDEX($AC$1005:$AS$1005,1,MATCH(COLUMNS($AC$1006:AC1006),$AC$1006:$AS$1006,0))&gt;=100000), " ",IF(INDEX($AC$2:$AS$1001,MATCH(ROWS($V$2:V583),$V$2:$V$1001,0),MATCH(COLUMNS($AC$1006:AC1006),$AC$1006:$AS$1006,0)), HYPERLINK("#",""), HYPERLINK(CONCATENATE("#Metadata!", ADDRESS(INDEX($X$2:$X$1001,MATCH(ROWS($V$2:V583),$V$2:$V$1001,0),0), INDEX($AC$1004:$AS$1004,1,MATCH(COLUMNS($AC$1006:AC1006),$AC$1006:$AS$1006,0)))),"Fix")))</f>
        <v>0</v>
      </c>
      <c r="C583" s="5">
        <f>IF(OR(INDEX($W$2:$W$1001,MATCH(ROWS($V$2:V583),$V$2:$V$1001,0),1)&gt;=100000,INDEX($AC$1005:$AS$1005,1,MATCH(COLUMNS($AC$1006:AD1006),$AC$1006:$AS$1006,0))&gt;=100000), " ",IF(INDEX($AC$2:$AS$1001,MATCH(ROWS($V$2:V583),$V$2:$V$1001,0),MATCH(COLUMNS($AC$1006:AD1006),$AC$1006:$AS$1006,0)), HYPERLINK("#",""), HYPERLINK(CONCATENATE("#Metadata!", ADDRESS(INDEX($X$2:$X$1001,MATCH(ROWS($V$2:V583),$V$2:$V$1001,0),0), INDEX($AC$1004:$AS$1004,1,MATCH(COLUMNS($AC$1006:AD1006),$AC$1006:$AS$1006,0)))),"Fix")))</f>
        <v>0</v>
      </c>
      <c r="D583" s="5">
        <f>IF(OR(INDEX($W$2:$W$1001,MATCH(ROWS($V$2:V583),$V$2:$V$1001,0),1)&gt;=100000,INDEX($AC$1005:$AS$1005,1,MATCH(COLUMNS($AC$1006:AE1006),$AC$1006:$AS$1006,0))&gt;=100000), " ",IF(INDEX($AC$2:$AS$1001,MATCH(ROWS($V$2:V583),$V$2:$V$1001,0),MATCH(COLUMNS($AC$1006:AE1006),$AC$1006:$AS$1006,0)), HYPERLINK("#",""), HYPERLINK(CONCATENATE("#Metadata!", ADDRESS(INDEX($X$2:$X$1001,MATCH(ROWS($V$2:V583),$V$2:$V$1001,0),0), INDEX($AC$1004:$AS$1004,1,MATCH(COLUMNS($AC$1006:AE1006),$AC$1006:$AS$1006,0)))),"Fix")))</f>
        <v>0</v>
      </c>
      <c r="E583" s="5">
        <f>IF(OR(INDEX($W$2:$W$1001,MATCH(ROWS($V$2:V583),$V$2:$V$1001,0),1)&gt;=100000,INDEX($AC$1005:$AS$1005,1,MATCH(COLUMNS($AC$1006:AF1006),$AC$1006:$AS$1006,0))&gt;=100000), " ",IF(INDEX($AC$2:$AS$1001,MATCH(ROWS($V$2:V583),$V$2:$V$1001,0),MATCH(COLUMNS($AC$1006:AF1006),$AC$1006:$AS$1006,0)), HYPERLINK("#",""), HYPERLINK(CONCATENATE("#Metadata!", ADDRESS(INDEX($X$2:$X$1001,MATCH(ROWS($V$2:V583),$V$2:$V$1001,0),0), INDEX($AC$1004:$AS$1004,1,MATCH(COLUMNS($AC$1006:AF1006),$AC$1006:$AS$1006,0)))),"Fix")))</f>
        <v>0</v>
      </c>
      <c r="F583" s="5">
        <f>IF(OR(INDEX($W$2:$W$1001,MATCH(ROWS($V$2:V583),$V$2:$V$1001,0),1)&gt;=100000,INDEX($AC$1005:$AS$1005,1,MATCH(COLUMNS($AC$1006:AG1006),$AC$1006:$AS$1006,0))&gt;=100000), " ",IF(INDEX($AC$2:$AS$1001,MATCH(ROWS($V$2:V583),$V$2:$V$1001,0),MATCH(COLUMNS($AC$1006:AG1006),$AC$1006:$AS$1006,0)), HYPERLINK("#",""), HYPERLINK(CONCATENATE("#Metadata!", ADDRESS(INDEX($X$2:$X$1001,MATCH(ROWS($V$2:V583),$V$2:$V$1001,0),0), INDEX($AC$1004:$AS$1004,1,MATCH(COLUMNS($AC$1006:AG1006),$AC$1006:$AS$1006,0)))),"Fix")))</f>
        <v>0</v>
      </c>
      <c r="G583" s="5">
        <f>IF(OR(INDEX($W$2:$W$1001,MATCH(ROWS($V$2:V583),$V$2:$V$1001,0),1)&gt;=100000,INDEX($AC$1005:$AS$1005,1,MATCH(COLUMNS($AC$1006:AH1006),$AC$1006:$AS$1006,0))&gt;=100000), " ",IF(INDEX($AC$2:$AS$1001,MATCH(ROWS($V$2:V583),$V$2:$V$1001,0),MATCH(COLUMNS($AC$1006:AH1006),$AC$1006:$AS$1006,0)), HYPERLINK("#",""), HYPERLINK(CONCATENATE("#Metadata!", ADDRESS(INDEX($X$2:$X$1001,MATCH(ROWS($V$2:V583),$V$2:$V$1001,0),0), INDEX($AC$1004:$AS$1004,1,MATCH(COLUMNS($AC$1006:AH1006),$AC$1006:$AS$1006,0)))),"Fix")))</f>
        <v>0</v>
      </c>
      <c r="H583" s="5">
        <f>IF(OR(INDEX($W$2:$W$1001,MATCH(ROWS($V$2:V583),$V$2:$V$1001,0),1)&gt;=100000,INDEX($AC$1005:$AS$1005,1,MATCH(COLUMNS($AC$1006:AI1006),$AC$1006:$AS$1006,0))&gt;=100000), " ",IF(INDEX($AC$2:$AS$1001,MATCH(ROWS($V$2:V583),$V$2:$V$1001,0),MATCH(COLUMNS($AC$1006:AI1006),$AC$1006:$AS$1006,0)), HYPERLINK("#",""), HYPERLINK(CONCATENATE("#Metadata!", ADDRESS(INDEX($X$2:$X$1001,MATCH(ROWS($V$2:V583),$V$2:$V$1001,0),0), INDEX($AC$1004:$AS$1004,1,MATCH(COLUMNS($AC$1006:AI1006),$AC$1006:$AS$1006,0)))),"Fix")))</f>
        <v>0</v>
      </c>
      <c r="I583" s="5">
        <f>IF(OR(INDEX($W$2:$W$1001,MATCH(ROWS($V$2:V583),$V$2:$V$1001,0),1)&gt;=100000,INDEX($AC$1005:$AS$1005,1,MATCH(COLUMNS($AC$1006:AJ1006),$AC$1006:$AS$1006,0))&gt;=100000), " ",IF(INDEX($AC$2:$AS$1001,MATCH(ROWS($V$2:V583),$V$2:$V$1001,0),MATCH(COLUMNS($AC$1006:AJ1006),$AC$1006:$AS$1006,0)), HYPERLINK("#",""), HYPERLINK(CONCATENATE("#Metadata!", ADDRESS(INDEX($X$2:$X$1001,MATCH(ROWS($V$2:V583),$V$2:$V$1001,0),0), INDEX($AC$1004:$AS$1004,1,MATCH(COLUMNS($AC$1006:AJ1006),$AC$1006:$AS$1006,0)))),"Fix")))</f>
        <v>0</v>
      </c>
      <c r="J583" s="5">
        <f>IF(OR(INDEX($W$2:$W$1001,MATCH(ROWS($V$2:V583),$V$2:$V$1001,0),1)&gt;=100000,INDEX($AC$1005:$AS$1005,1,MATCH(COLUMNS($AC$1006:AK1006),$AC$1006:$AS$1006,0))&gt;=100000), " ",IF(INDEX($AC$2:$AS$1001,MATCH(ROWS($V$2:V583),$V$2:$V$1001,0),MATCH(COLUMNS($AC$1006:AK1006),$AC$1006:$AS$1006,0)), HYPERLINK("#",""), HYPERLINK(CONCATENATE("#Metadata!", ADDRESS(INDEX($X$2:$X$1001,MATCH(ROWS($V$2:V583),$V$2:$V$1001,0),0), INDEX($AC$1004:$AS$1004,1,MATCH(COLUMNS($AC$1006:AK1006),$AC$1006:$AS$1006,0)))),"Fix")))</f>
        <v>0</v>
      </c>
      <c r="K583" s="5">
        <f>IF(OR(INDEX($W$2:$W$1001,MATCH(ROWS($V$2:V583),$V$2:$V$1001,0),1)&gt;=100000,INDEX($AC$1005:$AS$1005,1,MATCH(COLUMNS($AC$1006:AL1006),$AC$1006:$AS$1006,0))&gt;=100000), " ",IF(INDEX($AC$2:$AS$1001,MATCH(ROWS($V$2:V583),$V$2:$V$1001,0),MATCH(COLUMNS($AC$1006:AL1006),$AC$1006:$AS$1006,0)), HYPERLINK("#",""), HYPERLINK(CONCATENATE("#Metadata!", ADDRESS(INDEX($X$2:$X$1001,MATCH(ROWS($V$2:V583),$V$2:$V$1001,0),0), INDEX($AC$1004:$AS$1004,1,MATCH(COLUMNS($AC$1006:AL1006),$AC$1006:$AS$1006,0)))),"Fix")))</f>
        <v>0</v>
      </c>
      <c r="L583" s="5">
        <f>IF(OR(INDEX($W$2:$W$1001,MATCH(ROWS($V$2:V583),$V$2:$V$1001,0),1)&gt;=100000,INDEX($AC$1005:$AS$1005,1,MATCH(COLUMNS($AC$1006:AM1006),$AC$1006:$AS$1006,0))&gt;=100000), " ",IF(INDEX($AC$2:$AS$1001,MATCH(ROWS($V$2:V583),$V$2:$V$1001,0),MATCH(COLUMNS($AC$1006:AM1006),$AC$1006:$AS$1006,0)), HYPERLINK("#",""), HYPERLINK(CONCATENATE("#Metadata!", ADDRESS(INDEX($X$2:$X$1001,MATCH(ROWS($V$2:V583),$V$2:$V$1001,0),0), INDEX($AC$1004:$AS$1004,1,MATCH(COLUMNS($AC$1006:AM1006),$AC$1006:$AS$1006,0)))),"Fix")))</f>
        <v>0</v>
      </c>
      <c r="M583" s="5">
        <f>IF(OR(INDEX($W$2:$W$1001,MATCH(ROWS($V$2:V583),$V$2:$V$1001,0),1)&gt;=100000,INDEX($AC$1005:$AS$1005,1,MATCH(COLUMNS($AC$1006:AN1006),$AC$1006:$AS$1006,0))&gt;=100000), " ",IF(INDEX($AC$2:$AS$1001,MATCH(ROWS($V$2:V583),$V$2:$V$1001,0),MATCH(COLUMNS($AC$1006:AN1006),$AC$1006:$AS$1006,0)), HYPERLINK("#",""), HYPERLINK(CONCATENATE("#Metadata!", ADDRESS(INDEX($X$2:$X$1001,MATCH(ROWS($V$2:V583),$V$2:$V$1001,0),0), INDEX($AC$1004:$AS$1004,1,MATCH(COLUMNS($AC$1006:AN1006),$AC$1006:$AS$1006,0)))),"Fix")))</f>
        <v>0</v>
      </c>
      <c r="N583" s="5">
        <f>IF(OR(INDEX($W$2:$W$1001,MATCH(ROWS($V$2:V583),$V$2:$V$1001,0),1)&gt;=100000,INDEX($AC$1005:$AS$1005,1,MATCH(COLUMNS($AC$1006:AO1006),$AC$1006:$AS$1006,0))&gt;=100000), " ",IF(INDEX($AC$2:$AS$1001,MATCH(ROWS($V$2:V583),$V$2:$V$1001,0),MATCH(COLUMNS($AC$1006:AO1006),$AC$1006:$AS$1006,0)), HYPERLINK("#",""), HYPERLINK(CONCATENATE("#Metadata!", ADDRESS(INDEX($X$2:$X$1001,MATCH(ROWS($V$2:V583),$V$2:$V$1001,0),0), INDEX($AC$1004:$AS$1004,1,MATCH(COLUMNS($AC$1006:AO1006),$AC$1006:$AS$1006,0)))),"Fix")))</f>
        <v>0</v>
      </c>
      <c r="O583" s="5">
        <f>IF(OR(INDEX($W$2:$W$1001,MATCH(ROWS($V$2:V583),$V$2:$V$1001,0),1)&gt;=100000,INDEX($AC$1005:$AS$1005,1,MATCH(COLUMNS($AC$1006:AP1006),$AC$1006:$AS$1006,0))&gt;=100000), " ",IF(INDEX($AC$2:$AS$1001,MATCH(ROWS($V$2:V583),$V$2:$V$1001,0),MATCH(COLUMNS($AC$1006:AP1006),$AC$1006:$AS$1006,0)), HYPERLINK("#",""), HYPERLINK(CONCATENATE("#Metadata!", ADDRESS(INDEX($X$2:$X$1001,MATCH(ROWS($V$2:V583),$V$2:$V$1001,0),0), INDEX($AC$1004:$AS$1004,1,MATCH(COLUMNS($AC$1006:AP1006),$AC$1006:$AS$1006,0)))),"Fix")))</f>
        <v>0</v>
      </c>
      <c r="P583" s="5">
        <f>IF(OR(INDEX($W$2:$W$1001,MATCH(ROWS($V$2:V583),$V$2:$V$1001,0),1)&gt;=100000,INDEX($AC$1005:$AS$1005,1,MATCH(COLUMNS($AC$1006:AQ1006),$AC$1006:$AS$1006,0))&gt;=100000), " ",IF(INDEX($AC$2:$AS$1001,MATCH(ROWS($V$2:V583),$V$2:$V$1001,0),MATCH(COLUMNS($AC$1006:AQ1006),$AC$1006:$AS$1006,0)), HYPERLINK("#",""), HYPERLINK(CONCATENATE("#Metadata!", ADDRESS(INDEX($X$2:$X$1001,MATCH(ROWS($V$2:V583),$V$2:$V$1001,0),0), INDEX($AC$1004:$AS$1004,1,MATCH(COLUMNS($AC$1006:AQ1006),$AC$1006:$AS$1006,0)))),"Fix")))</f>
        <v>0</v>
      </c>
      <c r="Q583" s="5">
        <f>IF(OR(INDEX($W$2:$W$1001,MATCH(ROWS($V$2:V583),$V$2:$V$1001,0),1)&gt;=100000,INDEX($AC$1005:$AS$1005,1,MATCH(COLUMNS($AC$1006:AR1006),$AC$1006:$AS$1006,0))&gt;=100000), " ",IF(INDEX($AC$2:$AS$1001,MATCH(ROWS($V$2:V583),$V$2:$V$1001,0),MATCH(COLUMNS($AC$1006:AR1006),$AC$1006:$AS$1006,0)), HYPERLINK("#",""), HYPERLINK(CONCATENATE("#Metadata!", ADDRESS(INDEX($X$2:$X$1001,MATCH(ROWS($V$2:V583),$V$2:$V$1001,0),0), INDEX($AC$1004:$AS$1004,1,MATCH(COLUMNS($AC$1006:AR1006),$AC$1006:$AS$1006,0)))),"Fix")))</f>
        <v>0</v>
      </c>
      <c r="R583" s="5">
        <f>IF(OR(INDEX($W$2:$W$1001,MATCH(ROWS($V$2:V583),$V$2:$V$1001,0),1)&gt;=100000,INDEX($AC$1005:$AS$1005,1,MATCH(COLUMNS($AC$1006:AS1006),$AC$1006:$AS$1006,0))&gt;=100000), " ",IF(INDEX($AC$2:$AS$1001,MATCH(ROWS($V$2:V583),$V$2:$V$1001,0),MATCH(COLUMNS($AC$1006:AS1006),$AC$1006:$AS$1006,0)), HYPERLINK("#",""), HYPERLINK(CONCATENATE("#Metadata!", ADDRESS(INDEX($X$2:$X$1001,MATCH(ROWS($V$2:V583),$V$2:$V$1001,0),0), INDEX($AC$1004:$AS$1004,1,MATCH(COLUMNS($AC$1006:AS1006),$AC$1006:$AS$1006,0)))),"Fix")))</f>
        <v>0</v>
      </c>
      <c r="V583">
        <v>0</v>
      </c>
      <c r="W583">
        <v>0</v>
      </c>
      <c r="X583">
        <v>0</v>
      </c>
      <c r="Y583">
        <f>IF(Z583,TRUE,AND(AC583:AS583))</f>
        <v>0</v>
      </c>
      <c r="Z583">
        <f>COUNTBLANK(Metadata!B583:R583)=COLUMNS(Metadata!B583:R583)</f>
        <v>0</v>
      </c>
      <c r="AA583">
        <v>0</v>
      </c>
      <c r="AC583">
        <f>AND(IF(Metadata!B583="",FALSE,TRUE),COUNTIF(Metadata!B:B, Metadata!B583) = 1,NOT(ISERROR(SUMPRODUCT(SEARCH(MID(Metadata!B583,ROW(INDIRECT("1:"&amp;LEN(Metadata!B583))), 1),"0123456789abcdefghijklmnopqrstuvwxyzABCDEFGHIJKLMNOPQRSTUVWXYZ.")))))</f>
        <v>0</v>
      </c>
      <c r="AD583">
        <f>AND(IF(Metadata!C583="",FALSE,TRUE),exact(Metadata!C583,"Host-associated"))</f>
        <v>0</v>
      </c>
      <c r="AE583">
        <f>AND(IF(Metadata!D583="",FALSE,TRUE),OR(exact(Metadata!D583,"Animal"),exact(Metadata!D583,"Fungus"),exact(Metadata!D583,"Plant")))</f>
        <v>0</v>
      </c>
      <c r="AF583">
        <f>AND(IF(Metadata!E583="",FALSE,TRUE),OR(exact(Metadata!E583,"Plant secretion"),exact(Metadata!E583,"Plant rhizosphere"),exact(Metadata!E583,"Plant surface"),exact(Metadata!E583,"Plant corpus"),exact(Metadata!E583,"Fungus surface"),exact(Metadata!E583,"Fungus corpus"),exact(Metadata!E583,"Animal surface"),exact(Metadata!E583,"Animal proximal gut"),exact(Metadata!E583,"Animal corpus"),exact(Metadata!E583,"Animal distal gut"),exact(Metadata!E583,"Animal secretion")))</f>
        <v>0</v>
      </c>
      <c r="AG583">
        <f>OR(AND(IF(Metadata!F583="",FALSE,TRUE),OR(exact(Metadata!F583,"not collected"),exact(Metadata!F583,"not provided"),exact(Metadata!F583,"restricted access"))),AND(IF(Metadata!F583="",FALSE,TRUE),OR(exact(Metadata!F583,"organism-associated habitat"),exact(Metadata!F583,"plant-associated habitat"),exact(Metadata!F583,"animal-associated habitat"),exact(Metadata!F583,"insecta-associated habitat"),exact(Metadata!F583,"mammalia-associated habitat"),exact(Metadata!F583,"human-associated habitat"),exact(Metadata!F583,"livestock-associated habitat"))))</f>
        <v>0</v>
      </c>
      <c r="AH583">
        <f>AND(IF(Metadata!G583="",FALSE,TRUE),exact(Metadata!G583,"host-associated"))</f>
        <v>0</v>
      </c>
      <c r="AI583">
        <f>OR(AND(IF(Metadata!H583="",FALSE,TRUE),OR(exact(Metadata!H583,"not collected"),exact(Metadata!H583,"not provided"))),AND(IF(Metadata!H583="",FALSE,ISNUMBER(VALUE(Metadata!H583))),Metadata!H583&gt;0))</f>
        <v>0</v>
      </c>
      <c r="AJ583">
        <f>AND(IF(Metadata!I583="",FALSE,TRUE),exact(Metadata!I583,"years"))</f>
        <v>0</v>
      </c>
      <c r="AK583">
        <f>IF(Metadata!J583="",FALSE,TRUE)</f>
        <v>0</v>
      </c>
      <c r="AL583">
        <f>OR(AND(IF(Metadata!K583="",FALSE,TRUE),OR(exact(Metadata!K583,"not collected"),exact(Metadata!K583,"not provided"))),AND(IF(Metadata!K583="",FALSE,ISNUMBER(VALUE(Metadata!K583))),Metadata!K583&gt;0))</f>
        <v>0</v>
      </c>
      <c r="AM583">
        <f>AND(IF(Metadata!L583="",FALSE,TRUE),exact(Metadata!L583,"cm"))</f>
        <v>0</v>
      </c>
      <c r="AN583">
        <f>IF(Metadata!M583="",FALSE,TRUE)</f>
        <v>0</v>
      </c>
      <c r="AO583">
        <f>OR(AND(IF(Metadata!N583="",FALSE,TRUE),OR(exact(Metadata!N583,"not applicable"),exact(Metadata!N583,"not collected"),exact(Metadata!N583,"not provided"))),AND(IF(Metadata!N583="",FALSE,IF(ISERROR(INT(Metadata!N583)),FALSE,INT(Metadata!N583)=Metadata!N583)),Metadata!N583&gt;0))</f>
        <v>0</v>
      </c>
      <c r="AP583">
        <f>OR(AND(IF(Metadata!O583="",FALSE,TRUE),OR(exact(Metadata!O583,"not collected"),exact(Metadata!O583,"not provided"))),AND(IF(Metadata!O583="",FALSE,ISNUMBER(VALUE(Metadata!O583))),Metadata!O583&gt;0))</f>
        <v>0</v>
      </c>
      <c r="AQ583">
        <f>AND(IF(Metadata!P583="",FALSE,TRUE),exact(Metadata!P583,"kg"))</f>
        <v>0</v>
      </c>
      <c r="AR583">
        <f>OR(AND(IF(Metadata!Q583="",FALSE,TRUE),OR(exact(Metadata!Q583,"not applicable"),exact(Metadata!Q583,"not collected"),exact(Metadata!Q583,"not provided"),exact(Metadata!Q583,"restricted access"))),IF(Metadata!Q583="",FALSE,IF(ISERROR(INT(Metadata!Q583)),FALSE,INT(Metadata!Q583)=Metadata!Q583)))</f>
        <v>0</v>
      </c>
      <c r="AS583">
        <f>AND(IF(Metadata!R583="",FALSE,TRUE),exact(Metadata!R583,"Not applicable"))</f>
        <v>0</v>
      </c>
    </row>
    <row r="584" spans="1:45">
      <c r="A584" s="4">
        <f>IF(B584=" "," ",HYPERLINK(CONCATENATE("#metadata!",ADDRESS(INDEX($X$2:$X$1001,MATCH(ROWS($V$2:V584),$V$2:$V$1001,0),0),2)),INDEX($AA$2:$AA$1001,MATCH(ROWS($V$2:V584),$V$2:$V$1001,0),0)))</f>
        <v>0</v>
      </c>
      <c r="B584" s="5">
        <f>IF(OR(INDEX($W$2:$W$1001,MATCH(ROWS($V$2:V584),$V$2:$V$1001,0),1)&gt;=100000,INDEX($AC$1005:$AS$1005,1,MATCH(COLUMNS($AC$1006:AC1006),$AC$1006:$AS$1006,0))&gt;=100000), " ",IF(INDEX($AC$2:$AS$1001,MATCH(ROWS($V$2:V584),$V$2:$V$1001,0),MATCH(COLUMNS($AC$1006:AC1006),$AC$1006:$AS$1006,0)), HYPERLINK("#",""), HYPERLINK(CONCATENATE("#Metadata!", ADDRESS(INDEX($X$2:$X$1001,MATCH(ROWS($V$2:V584),$V$2:$V$1001,0),0), INDEX($AC$1004:$AS$1004,1,MATCH(COLUMNS($AC$1006:AC1006),$AC$1006:$AS$1006,0)))),"Fix")))</f>
        <v>0</v>
      </c>
      <c r="C584" s="5">
        <f>IF(OR(INDEX($W$2:$W$1001,MATCH(ROWS($V$2:V584),$V$2:$V$1001,0),1)&gt;=100000,INDEX($AC$1005:$AS$1005,1,MATCH(COLUMNS($AC$1006:AD1006),$AC$1006:$AS$1006,0))&gt;=100000), " ",IF(INDEX($AC$2:$AS$1001,MATCH(ROWS($V$2:V584),$V$2:$V$1001,0),MATCH(COLUMNS($AC$1006:AD1006),$AC$1006:$AS$1006,0)), HYPERLINK("#",""), HYPERLINK(CONCATENATE("#Metadata!", ADDRESS(INDEX($X$2:$X$1001,MATCH(ROWS($V$2:V584),$V$2:$V$1001,0),0), INDEX($AC$1004:$AS$1004,1,MATCH(COLUMNS($AC$1006:AD1006),$AC$1006:$AS$1006,0)))),"Fix")))</f>
        <v>0</v>
      </c>
      <c r="D584" s="5">
        <f>IF(OR(INDEX($W$2:$W$1001,MATCH(ROWS($V$2:V584),$V$2:$V$1001,0),1)&gt;=100000,INDEX($AC$1005:$AS$1005,1,MATCH(COLUMNS($AC$1006:AE1006),$AC$1006:$AS$1006,0))&gt;=100000), " ",IF(INDEX($AC$2:$AS$1001,MATCH(ROWS($V$2:V584),$V$2:$V$1001,0),MATCH(COLUMNS($AC$1006:AE1006),$AC$1006:$AS$1006,0)), HYPERLINK("#",""), HYPERLINK(CONCATENATE("#Metadata!", ADDRESS(INDEX($X$2:$X$1001,MATCH(ROWS($V$2:V584),$V$2:$V$1001,0),0), INDEX($AC$1004:$AS$1004,1,MATCH(COLUMNS($AC$1006:AE1006),$AC$1006:$AS$1006,0)))),"Fix")))</f>
        <v>0</v>
      </c>
      <c r="E584" s="5">
        <f>IF(OR(INDEX($W$2:$W$1001,MATCH(ROWS($V$2:V584),$V$2:$V$1001,0),1)&gt;=100000,INDEX($AC$1005:$AS$1005,1,MATCH(COLUMNS($AC$1006:AF1006),$AC$1006:$AS$1006,0))&gt;=100000), " ",IF(INDEX($AC$2:$AS$1001,MATCH(ROWS($V$2:V584),$V$2:$V$1001,0),MATCH(COLUMNS($AC$1006:AF1006),$AC$1006:$AS$1006,0)), HYPERLINK("#",""), HYPERLINK(CONCATENATE("#Metadata!", ADDRESS(INDEX($X$2:$X$1001,MATCH(ROWS($V$2:V584),$V$2:$V$1001,0),0), INDEX($AC$1004:$AS$1004,1,MATCH(COLUMNS($AC$1006:AF1006),$AC$1006:$AS$1006,0)))),"Fix")))</f>
        <v>0</v>
      </c>
      <c r="F584" s="5">
        <f>IF(OR(INDEX($W$2:$W$1001,MATCH(ROWS($V$2:V584),$V$2:$V$1001,0),1)&gt;=100000,INDEX($AC$1005:$AS$1005,1,MATCH(COLUMNS($AC$1006:AG1006),$AC$1006:$AS$1006,0))&gt;=100000), " ",IF(INDEX($AC$2:$AS$1001,MATCH(ROWS($V$2:V584),$V$2:$V$1001,0),MATCH(COLUMNS($AC$1006:AG1006),$AC$1006:$AS$1006,0)), HYPERLINK("#",""), HYPERLINK(CONCATENATE("#Metadata!", ADDRESS(INDEX($X$2:$X$1001,MATCH(ROWS($V$2:V584),$V$2:$V$1001,0),0), INDEX($AC$1004:$AS$1004,1,MATCH(COLUMNS($AC$1006:AG1006),$AC$1006:$AS$1006,0)))),"Fix")))</f>
        <v>0</v>
      </c>
      <c r="G584" s="5">
        <f>IF(OR(INDEX($W$2:$W$1001,MATCH(ROWS($V$2:V584),$V$2:$V$1001,0),1)&gt;=100000,INDEX($AC$1005:$AS$1005,1,MATCH(COLUMNS($AC$1006:AH1006),$AC$1006:$AS$1006,0))&gt;=100000), " ",IF(INDEX($AC$2:$AS$1001,MATCH(ROWS($V$2:V584),$V$2:$V$1001,0),MATCH(COLUMNS($AC$1006:AH1006),$AC$1006:$AS$1006,0)), HYPERLINK("#",""), HYPERLINK(CONCATENATE("#Metadata!", ADDRESS(INDEX($X$2:$X$1001,MATCH(ROWS($V$2:V584),$V$2:$V$1001,0),0), INDEX($AC$1004:$AS$1004,1,MATCH(COLUMNS($AC$1006:AH1006),$AC$1006:$AS$1006,0)))),"Fix")))</f>
        <v>0</v>
      </c>
      <c r="H584" s="5">
        <f>IF(OR(INDEX($W$2:$W$1001,MATCH(ROWS($V$2:V584),$V$2:$V$1001,0),1)&gt;=100000,INDEX($AC$1005:$AS$1005,1,MATCH(COLUMNS($AC$1006:AI1006),$AC$1006:$AS$1006,0))&gt;=100000), " ",IF(INDEX($AC$2:$AS$1001,MATCH(ROWS($V$2:V584),$V$2:$V$1001,0),MATCH(COLUMNS($AC$1006:AI1006),$AC$1006:$AS$1006,0)), HYPERLINK("#",""), HYPERLINK(CONCATENATE("#Metadata!", ADDRESS(INDEX($X$2:$X$1001,MATCH(ROWS($V$2:V584),$V$2:$V$1001,0),0), INDEX($AC$1004:$AS$1004,1,MATCH(COLUMNS($AC$1006:AI1006),$AC$1006:$AS$1006,0)))),"Fix")))</f>
        <v>0</v>
      </c>
      <c r="I584" s="5">
        <f>IF(OR(INDEX($W$2:$W$1001,MATCH(ROWS($V$2:V584),$V$2:$V$1001,0),1)&gt;=100000,INDEX($AC$1005:$AS$1005,1,MATCH(COLUMNS($AC$1006:AJ1006),$AC$1006:$AS$1006,0))&gt;=100000), " ",IF(INDEX($AC$2:$AS$1001,MATCH(ROWS($V$2:V584),$V$2:$V$1001,0),MATCH(COLUMNS($AC$1006:AJ1006),$AC$1006:$AS$1006,0)), HYPERLINK("#",""), HYPERLINK(CONCATENATE("#Metadata!", ADDRESS(INDEX($X$2:$X$1001,MATCH(ROWS($V$2:V584),$V$2:$V$1001,0),0), INDEX($AC$1004:$AS$1004,1,MATCH(COLUMNS($AC$1006:AJ1006),$AC$1006:$AS$1006,0)))),"Fix")))</f>
        <v>0</v>
      </c>
      <c r="J584" s="5">
        <f>IF(OR(INDEX($W$2:$W$1001,MATCH(ROWS($V$2:V584),$V$2:$V$1001,0),1)&gt;=100000,INDEX($AC$1005:$AS$1005,1,MATCH(COLUMNS($AC$1006:AK1006),$AC$1006:$AS$1006,0))&gt;=100000), " ",IF(INDEX($AC$2:$AS$1001,MATCH(ROWS($V$2:V584),$V$2:$V$1001,0),MATCH(COLUMNS($AC$1006:AK1006),$AC$1006:$AS$1006,0)), HYPERLINK("#",""), HYPERLINK(CONCATENATE("#Metadata!", ADDRESS(INDEX($X$2:$X$1001,MATCH(ROWS($V$2:V584),$V$2:$V$1001,0),0), INDEX($AC$1004:$AS$1004,1,MATCH(COLUMNS($AC$1006:AK1006),$AC$1006:$AS$1006,0)))),"Fix")))</f>
        <v>0</v>
      </c>
      <c r="K584" s="5">
        <f>IF(OR(INDEX($W$2:$W$1001,MATCH(ROWS($V$2:V584),$V$2:$V$1001,0),1)&gt;=100000,INDEX($AC$1005:$AS$1005,1,MATCH(COLUMNS($AC$1006:AL1006),$AC$1006:$AS$1006,0))&gt;=100000), " ",IF(INDEX($AC$2:$AS$1001,MATCH(ROWS($V$2:V584),$V$2:$V$1001,0),MATCH(COLUMNS($AC$1006:AL1006),$AC$1006:$AS$1006,0)), HYPERLINK("#",""), HYPERLINK(CONCATENATE("#Metadata!", ADDRESS(INDEX($X$2:$X$1001,MATCH(ROWS($V$2:V584),$V$2:$V$1001,0),0), INDEX($AC$1004:$AS$1004,1,MATCH(COLUMNS($AC$1006:AL1006),$AC$1006:$AS$1006,0)))),"Fix")))</f>
        <v>0</v>
      </c>
      <c r="L584" s="5">
        <f>IF(OR(INDEX($W$2:$W$1001,MATCH(ROWS($V$2:V584),$V$2:$V$1001,0),1)&gt;=100000,INDEX($AC$1005:$AS$1005,1,MATCH(COLUMNS($AC$1006:AM1006),$AC$1006:$AS$1006,0))&gt;=100000), " ",IF(INDEX($AC$2:$AS$1001,MATCH(ROWS($V$2:V584),$V$2:$V$1001,0),MATCH(COLUMNS($AC$1006:AM1006),$AC$1006:$AS$1006,0)), HYPERLINK("#",""), HYPERLINK(CONCATENATE("#Metadata!", ADDRESS(INDEX($X$2:$X$1001,MATCH(ROWS($V$2:V584),$V$2:$V$1001,0),0), INDEX($AC$1004:$AS$1004,1,MATCH(COLUMNS($AC$1006:AM1006),$AC$1006:$AS$1006,0)))),"Fix")))</f>
        <v>0</v>
      </c>
      <c r="M584" s="5">
        <f>IF(OR(INDEX($W$2:$W$1001,MATCH(ROWS($V$2:V584),$V$2:$V$1001,0),1)&gt;=100000,INDEX($AC$1005:$AS$1005,1,MATCH(COLUMNS($AC$1006:AN1006),$AC$1006:$AS$1006,0))&gt;=100000), " ",IF(INDEX($AC$2:$AS$1001,MATCH(ROWS($V$2:V584),$V$2:$V$1001,0),MATCH(COLUMNS($AC$1006:AN1006),$AC$1006:$AS$1006,0)), HYPERLINK("#",""), HYPERLINK(CONCATENATE("#Metadata!", ADDRESS(INDEX($X$2:$X$1001,MATCH(ROWS($V$2:V584),$V$2:$V$1001,0),0), INDEX($AC$1004:$AS$1004,1,MATCH(COLUMNS($AC$1006:AN1006),$AC$1006:$AS$1006,0)))),"Fix")))</f>
        <v>0</v>
      </c>
      <c r="N584" s="5">
        <f>IF(OR(INDEX($W$2:$W$1001,MATCH(ROWS($V$2:V584),$V$2:$V$1001,0),1)&gt;=100000,INDEX($AC$1005:$AS$1005,1,MATCH(COLUMNS($AC$1006:AO1006),$AC$1006:$AS$1006,0))&gt;=100000), " ",IF(INDEX($AC$2:$AS$1001,MATCH(ROWS($V$2:V584),$V$2:$V$1001,0),MATCH(COLUMNS($AC$1006:AO1006),$AC$1006:$AS$1006,0)), HYPERLINK("#",""), HYPERLINK(CONCATENATE("#Metadata!", ADDRESS(INDEX($X$2:$X$1001,MATCH(ROWS($V$2:V584),$V$2:$V$1001,0),0), INDEX($AC$1004:$AS$1004,1,MATCH(COLUMNS($AC$1006:AO1006),$AC$1006:$AS$1006,0)))),"Fix")))</f>
        <v>0</v>
      </c>
      <c r="O584" s="5">
        <f>IF(OR(INDEX($W$2:$W$1001,MATCH(ROWS($V$2:V584),$V$2:$V$1001,0),1)&gt;=100000,INDEX($AC$1005:$AS$1005,1,MATCH(COLUMNS($AC$1006:AP1006),$AC$1006:$AS$1006,0))&gt;=100000), " ",IF(INDEX($AC$2:$AS$1001,MATCH(ROWS($V$2:V584),$V$2:$V$1001,0),MATCH(COLUMNS($AC$1006:AP1006),$AC$1006:$AS$1006,0)), HYPERLINK("#",""), HYPERLINK(CONCATENATE("#Metadata!", ADDRESS(INDEX($X$2:$X$1001,MATCH(ROWS($V$2:V584),$V$2:$V$1001,0),0), INDEX($AC$1004:$AS$1004,1,MATCH(COLUMNS($AC$1006:AP1006),$AC$1006:$AS$1006,0)))),"Fix")))</f>
        <v>0</v>
      </c>
      <c r="P584" s="5">
        <f>IF(OR(INDEX($W$2:$W$1001,MATCH(ROWS($V$2:V584),$V$2:$V$1001,0),1)&gt;=100000,INDEX($AC$1005:$AS$1005,1,MATCH(COLUMNS($AC$1006:AQ1006),$AC$1006:$AS$1006,0))&gt;=100000), " ",IF(INDEX($AC$2:$AS$1001,MATCH(ROWS($V$2:V584),$V$2:$V$1001,0),MATCH(COLUMNS($AC$1006:AQ1006),$AC$1006:$AS$1006,0)), HYPERLINK("#",""), HYPERLINK(CONCATENATE("#Metadata!", ADDRESS(INDEX($X$2:$X$1001,MATCH(ROWS($V$2:V584),$V$2:$V$1001,0),0), INDEX($AC$1004:$AS$1004,1,MATCH(COLUMNS($AC$1006:AQ1006),$AC$1006:$AS$1006,0)))),"Fix")))</f>
        <v>0</v>
      </c>
      <c r="Q584" s="5">
        <f>IF(OR(INDEX($W$2:$W$1001,MATCH(ROWS($V$2:V584),$V$2:$V$1001,0),1)&gt;=100000,INDEX($AC$1005:$AS$1005,1,MATCH(COLUMNS($AC$1006:AR1006),$AC$1006:$AS$1006,0))&gt;=100000), " ",IF(INDEX($AC$2:$AS$1001,MATCH(ROWS($V$2:V584),$V$2:$V$1001,0),MATCH(COLUMNS($AC$1006:AR1006),$AC$1006:$AS$1006,0)), HYPERLINK("#",""), HYPERLINK(CONCATENATE("#Metadata!", ADDRESS(INDEX($X$2:$X$1001,MATCH(ROWS($V$2:V584),$V$2:$V$1001,0),0), INDEX($AC$1004:$AS$1004,1,MATCH(COLUMNS($AC$1006:AR1006),$AC$1006:$AS$1006,0)))),"Fix")))</f>
        <v>0</v>
      </c>
      <c r="R584" s="5">
        <f>IF(OR(INDEX($W$2:$W$1001,MATCH(ROWS($V$2:V584),$V$2:$V$1001,0),1)&gt;=100000,INDEX($AC$1005:$AS$1005,1,MATCH(COLUMNS($AC$1006:AS1006),$AC$1006:$AS$1006,0))&gt;=100000), " ",IF(INDEX($AC$2:$AS$1001,MATCH(ROWS($V$2:V584),$V$2:$V$1001,0),MATCH(COLUMNS($AC$1006:AS1006),$AC$1006:$AS$1006,0)), HYPERLINK("#",""), HYPERLINK(CONCATENATE("#Metadata!", ADDRESS(INDEX($X$2:$X$1001,MATCH(ROWS($V$2:V584),$V$2:$V$1001,0),0), INDEX($AC$1004:$AS$1004,1,MATCH(COLUMNS($AC$1006:AS1006),$AC$1006:$AS$1006,0)))),"Fix")))</f>
        <v>0</v>
      </c>
      <c r="V584">
        <v>0</v>
      </c>
      <c r="W584">
        <v>0</v>
      </c>
      <c r="X584">
        <v>0</v>
      </c>
      <c r="Y584">
        <f>IF(Z584,TRUE,AND(AC584:AS584))</f>
        <v>0</v>
      </c>
      <c r="Z584">
        <f>COUNTBLANK(Metadata!B584:R584)=COLUMNS(Metadata!B584:R584)</f>
        <v>0</v>
      </c>
      <c r="AA584">
        <v>0</v>
      </c>
      <c r="AC584">
        <f>AND(IF(Metadata!B584="",FALSE,TRUE),COUNTIF(Metadata!B:B, Metadata!B584) = 1,NOT(ISERROR(SUMPRODUCT(SEARCH(MID(Metadata!B584,ROW(INDIRECT("1:"&amp;LEN(Metadata!B584))), 1),"0123456789abcdefghijklmnopqrstuvwxyzABCDEFGHIJKLMNOPQRSTUVWXYZ.")))))</f>
        <v>0</v>
      </c>
      <c r="AD584">
        <f>AND(IF(Metadata!C584="",FALSE,TRUE),exact(Metadata!C584,"Host-associated"))</f>
        <v>0</v>
      </c>
      <c r="AE584">
        <f>AND(IF(Metadata!D584="",FALSE,TRUE),OR(exact(Metadata!D584,"Animal"),exact(Metadata!D584,"Fungus"),exact(Metadata!D584,"Plant")))</f>
        <v>0</v>
      </c>
      <c r="AF584">
        <f>AND(IF(Metadata!E584="",FALSE,TRUE),OR(exact(Metadata!E584,"Plant secretion"),exact(Metadata!E584,"Plant rhizosphere"),exact(Metadata!E584,"Plant surface"),exact(Metadata!E584,"Plant corpus"),exact(Metadata!E584,"Fungus surface"),exact(Metadata!E584,"Fungus corpus"),exact(Metadata!E584,"Animal surface"),exact(Metadata!E584,"Animal proximal gut"),exact(Metadata!E584,"Animal corpus"),exact(Metadata!E584,"Animal distal gut"),exact(Metadata!E584,"Animal secretion")))</f>
        <v>0</v>
      </c>
      <c r="AG584">
        <f>OR(AND(IF(Metadata!F584="",FALSE,TRUE),OR(exact(Metadata!F584,"not collected"),exact(Metadata!F584,"not provided"),exact(Metadata!F584,"restricted access"))),AND(IF(Metadata!F584="",FALSE,TRUE),OR(exact(Metadata!F584,"organism-associated habitat"),exact(Metadata!F584,"plant-associated habitat"),exact(Metadata!F584,"animal-associated habitat"),exact(Metadata!F584,"insecta-associated habitat"),exact(Metadata!F584,"mammalia-associated habitat"),exact(Metadata!F584,"human-associated habitat"),exact(Metadata!F584,"livestock-associated habitat"))))</f>
        <v>0</v>
      </c>
      <c r="AH584">
        <f>AND(IF(Metadata!G584="",FALSE,TRUE),exact(Metadata!G584,"host-associated"))</f>
        <v>0</v>
      </c>
      <c r="AI584">
        <f>OR(AND(IF(Metadata!H584="",FALSE,TRUE),OR(exact(Metadata!H584,"not collected"),exact(Metadata!H584,"not provided"))),AND(IF(Metadata!H584="",FALSE,ISNUMBER(VALUE(Metadata!H584))),Metadata!H584&gt;0))</f>
        <v>0</v>
      </c>
      <c r="AJ584">
        <f>AND(IF(Metadata!I584="",FALSE,TRUE),exact(Metadata!I584,"years"))</f>
        <v>0</v>
      </c>
      <c r="AK584">
        <f>IF(Metadata!J584="",FALSE,TRUE)</f>
        <v>0</v>
      </c>
      <c r="AL584">
        <f>OR(AND(IF(Metadata!K584="",FALSE,TRUE),OR(exact(Metadata!K584,"not collected"),exact(Metadata!K584,"not provided"))),AND(IF(Metadata!K584="",FALSE,ISNUMBER(VALUE(Metadata!K584))),Metadata!K584&gt;0))</f>
        <v>0</v>
      </c>
      <c r="AM584">
        <f>AND(IF(Metadata!L584="",FALSE,TRUE),exact(Metadata!L584,"cm"))</f>
        <v>0</v>
      </c>
      <c r="AN584">
        <f>IF(Metadata!M584="",FALSE,TRUE)</f>
        <v>0</v>
      </c>
      <c r="AO584">
        <f>OR(AND(IF(Metadata!N584="",FALSE,TRUE),OR(exact(Metadata!N584,"not applicable"),exact(Metadata!N584,"not collected"),exact(Metadata!N584,"not provided"))),AND(IF(Metadata!N584="",FALSE,IF(ISERROR(INT(Metadata!N584)),FALSE,INT(Metadata!N584)=Metadata!N584)),Metadata!N584&gt;0))</f>
        <v>0</v>
      </c>
      <c r="AP584">
        <f>OR(AND(IF(Metadata!O584="",FALSE,TRUE),OR(exact(Metadata!O584,"not collected"),exact(Metadata!O584,"not provided"))),AND(IF(Metadata!O584="",FALSE,ISNUMBER(VALUE(Metadata!O584))),Metadata!O584&gt;0))</f>
        <v>0</v>
      </c>
      <c r="AQ584">
        <f>AND(IF(Metadata!P584="",FALSE,TRUE),exact(Metadata!P584,"kg"))</f>
        <v>0</v>
      </c>
      <c r="AR584">
        <f>OR(AND(IF(Metadata!Q584="",FALSE,TRUE),OR(exact(Metadata!Q584,"not applicable"),exact(Metadata!Q584,"not collected"),exact(Metadata!Q584,"not provided"),exact(Metadata!Q584,"restricted access"))),IF(Metadata!Q584="",FALSE,IF(ISERROR(INT(Metadata!Q584)),FALSE,INT(Metadata!Q584)=Metadata!Q584)))</f>
        <v>0</v>
      </c>
      <c r="AS584">
        <f>AND(IF(Metadata!R584="",FALSE,TRUE),exact(Metadata!R584,"Not applicable"))</f>
        <v>0</v>
      </c>
    </row>
    <row r="585" spans="1:45">
      <c r="A585" s="4">
        <f>IF(B585=" "," ",HYPERLINK(CONCATENATE("#metadata!",ADDRESS(INDEX($X$2:$X$1001,MATCH(ROWS($V$2:V585),$V$2:$V$1001,0),0),2)),INDEX($AA$2:$AA$1001,MATCH(ROWS($V$2:V585),$V$2:$V$1001,0),0)))</f>
        <v>0</v>
      </c>
      <c r="B585" s="5">
        <f>IF(OR(INDEX($W$2:$W$1001,MATCH(ROWS($V$2:V585),$V$2:$V$1001,0),1)&gt;=100000,INDEX($AC$1005:$AS$1005,1,MATCH(COLUMNS($AC$1006:AC1006),$AC$1006:$AS$1006,0))&gt;=100000), " ",IF(INDEX($AC$2:$AS$1001,MATCH(ROWS($V$2:V585),$V$2:$V$1001,0),MATCH(COLUMNS($AC$1006:AC1006),$AC$1006:$AS$1006,0)), HYPERLINK("#",""), HYPERLINK(CONCATENATE("#Metadata!", ADDRESS(INDEX($X$2:$X$1001,MATCH(ROWS($V$2:V585),$V$2:$V$1001,0),0), INDEX($AC$1004:$AS$1004,1,MATCH(COLUMNS($AC$1006:AC1006),$AC$1006:$AS$1006,0)))),"Fix")))</f>
        <v>0</v>
      </c>
      <c r="C585" s="5">
        <f>IF(OR(INDEX($W$2:$W$1001,MATCH(ROWS($V$2:V585),$V$2:$V$1001,0),1)&gt;=100000,INDEX($AC$1005:$AS$1005,1,MATCH(COLUMNS($AC$1006:AD1006),$AC$1006:$AS$1006,0))&gt;=100000), " ",IF(INDEX($AC$2:$AS$1001,MATCH(ROWS($V$2:V585),$V$2:$V$1001,0),MATCH(COLUMNS($AC$1006:AD1006),$AC$1006:$AS$1006,0)), HYPERLINK("#",""), HYPERLINK(CONCATENATE("#Metadata!", ADDRESS(INDEX($X$2:$X$1001,MATCH(ROWS($V$2:V585),$V$2:$V$1001,0),0), INDEX($AC$1004:$AS$1004,1,MATCH(COLUMNS($AC$1006:AD1006),$AC$1006:$AS$1006,0)))),"Fix")))</f>
        <v>0</v>
      </c>
      <c r="D585" s="5">
        <f>IF(OR(INDEX($W$2:$W$1001,MATCH(ROWS($V$2:V585),$V$2:$V$1001,0),1)&gt;=100000,INDEX($AC$1005:$AS$1005,1,MATCH(COLUMNS($AC$1006:AE1006),$AC$1006:$AS$1006,0))&gt;=100000), " ",IF(INDEX($AC$2:$AS$1001,MATCH(ROWS($V$2:V585),$V$2:$V$1001,0),MATCH(COLUMNS($AC$1006:AE1006),$AC$1006:$AS$1006,0)), HYPERLINK("#",""), HYPERLINK(CONCATENATE("#Metadata!", ADDRESS(INDEX($X$2:$X$1001,MATCH(ROWS($V$2:V585),$V$2:$V$1001,0),0), INDEX($AC$1004:$AS$1004,1,MATCH(COLUMNS($AC$1006:AE1006),$AC$1006:$AS$1006,0)))),"Fix")))</f>
        <v>0</v>
      </c>
      <c r="E585" s="5">
        <f>IF(OR(INDEX($W$2:$W$1001,MATCH(ROWS($V$2:V585),$V$2:$V$1001,0),1)&gt;=100000,INDEX($AC$1005:$AS$1005,1,MATCH(COLUMNS($AC$1006:AF1006),$AC$1006:$AS$1006,0))&gt;=100000), " ",IF(INDEX($AC$2:$AS$1001,MATCH(ROWS($V$2:V585),$V$2:$V$1001,0),MATCH(COLUMNS($AC$1006:AF1006),$AC$1006:$AS$1006,0)), HYPERLINK("#",""), HYPERLINK(CONCATENATE("#Metadata!", ADDRESS(INDEX($X$2:$X$1001,MATCH(ROWS($V$2:V585),$V$2:$V$1001,0),0), INDEX($AC$1004:$AS$1004,1,MATCH(COLUMNS($AC$1006:AF1006),$AC$1006:$AS$1006,0)))),"Fix")))</f>
        <v>0</v>
      </c>
      <c r="F585" s="5">
        <f>IF(OR(INDEX($W$2:$W$1001,MATCH(ROWS($V$2:V585),$V$2:$V$1001,0),1)&gt;=100000,INDEX($AC$1005:$AS$1005,1,MATCH(COLUMNS($AC$1006:AG1006),$AC$1006:$AS$1006,0))&gt;=100000), " ",IF(INDEX($AC$2:$AS$1001,MATCH(ROWS($V$2:V585),$V$2:$V$1001,0),MATCH(COLUMNS($AC$1006:AG1006),$AC$1006:$AS$1006,0)), HYPERLINK("#",""), HYPERLINK(CONCATENATE("#Metadata!", ADDRESS(INDEX($X$2:$X$1001,MATCH(ROWS($V$2:V585),$V$2:$V$1001,0),0), INDEX($AC$1004:$AS$1004,1,MATCH(COLUMNS($AC$1006:AG1006),$AC$1006:$AS$1006,0)))),"Fix")))</f>
        <v>0</v>
      </c>
      <c r="G585" s="5">
        <f>IF(OR(INDEX($W$2:$W$1001,MATCH(ROWS($V$2:V585),$V$2:$V$1001,0),1)&gt;=100000,INDEX($AC$1005:$AS$1005,1,MATCH(COLUMNS($AC$1006:AH1006),$AC$1006:$AS$1006,0))&gt;=100000), " ",IF(INDEX($AC$2:$AS$1001,MATCH(ROWS($V$2:V585),$V$2:$V$1001,0),MATCH(COLUMNS($AC$1006:AH1006),$AC$1006:$AS$1006,0)), HYPERLINK("#",""), HYPERLINK(CONCATENATE("#Metadata!", ADDRESS(INDEX($X$2:$X$1001,MATCH(ROWS($V$2:V585),$V$2:$V$1001,0),0), INDEX($AC$1004:$AS$1004,1,MATCH(COLUMNS($AC$1006:AH1006),$AC$1006:$AS$1006,0)))),"Fix")))</f>
        <v>0</v>
      </c>
      <c r="H585" s="5">
        <f>IF(OR(INDEX($W$2:$W$1001,MATCH(ROWS($V$2:V585),$V$2:$V$1001,0),1)&gt;=100000,INDEX($AC$1005:$AS$1005,1,MATCH(COLUMNS($AC$1006:AI1006),$AC$1006:$AS$1006,0))&gt;=100000), " ",IF(INDEX($AC$2:$AS$1001,MATCH(ROWS($V$2:V585),$V$2:$V$1001,0),MATCH(COLUMNS($AC$1006:AI1006),$AC$1006:$AS$1006,0)), HYPERLINK("#",""), HYPERLINK(CONCATENATE("#Metadata!", ADDRESS(INDEX($X$2:$X$1001,MATCH(ROWS($V$2:V585),$V$2:$V$1001,0),0), INDEX($AC$1004:$AS$1004,1,MATCH(COLUMNS($AC$1006:AI1006),$AC$1006:$AS$1006,0)))),"Fix")))</f>
        <v>0</v>
      </c>
      <c r="I585" s="5">
        <f>IF(OR(INDEX($W$2:$W$1001,MATCH(ROWS($V$2:V585),$V$2:$V$1001,0),1)&gt;=100000,INDEX($AC$1005:$AS$1005,1,MATCH(COLUMNS($AC$1006:AJ1006),$AC$1006:$AS$1006,0))&gt;=100000), " ",IF(INDEX($AC$2:$AS$1001,MATCH(ROWS($V$2:V585),$V$2:$V$1001,0),MATCH(COLUMNS($AC$1006:AJ1006),$AC$1006:$AS$1006,0)), HYPERLINK("#",""), HYPERLINK(CONCATENATE("#Metadata!", ADDRESS(INDEX($X$2:$X$1001,MATCH(ROWS($V$2:V585),$V$2:$V$1001,0),0), INDEX($AC$1004:$AS$1004,1,MATCH(COLUMNS($AC$1006:AJ1006),$AC$1006:$AS$1006,0)))),"Fix")))</f>
        <v>0</v>
      </c>
      <c r="J585" s="5">
        <f>IF(OR(INDEX($W$2:$W$1001,MATCH(ROWS($V$2:V585),$V$2:$V$1001,0),1)&gt;=100000,INDEX($AC$1005:$AS$1005,1,MATCH(COLUMNS($AC$1006:AK1006),$AC$1006:$AS$1006,0))&gt;=100000), " ",IF(INDEX($AC$2:$AS$1001,MATCH(ROWS($V$2:V585),$V$2:$V$1001,0),MATCH(COLUMNS($AC$1006:AK1006),$AC$1006:$AS$1006,0)), HYPERLINK("#",""), HYPERLINK(CONCATENATE("#Metadata!", ADDRESS(INDEX($X$2:$X$1001,MATCH(ROWS($V$2:V585),$V$2:$V$1001,0),0), INDEX($AC$1004:$AS$1004,1,MATCH(COLUMNS($AC$1006:AK1006),$AC$1006:$AS$1006,0)))),"Fix")))</f>
        <v>0</v>
      </c>
      <c r="K585" s="5">
        <f>IF(OR(INDEX($W$2:$W$1001,MATCH(ROWS($V$2:V585),$V$2:$V$1001,0),1)&gt;=100000,INDEX($AC$1005:$AS$1005,1,MATCH(COLUMNS($AC$1006:AL1006),$AC$1006:$AS$1006,0))&gt;=100000), " ",IF(INDEX($AC$2:$AS$1001,MATCH(ROWS($V$2:V585),$V$2:$V$1001,0),MATCH(COLUMNS($AC$1006:AL1006),$AC$1006:$AS$1006,0)), HYPERLINK("#",""), HYPERLINK(CONCATENATE("#Metadata!", ADDRESS(INDEX($X$2:$X$1001,MATCH(ROWS($V$2:V585),$V$2:$V$1001,0),0), INDEX($AC$1004:$AS$1004,1,MATCH(COLUMNS($AC$1006:AL1006),$AC$1006:$AS$1006,0)))),"Fix")))</f>
        <v>0</v>
      </c>
      <c r="L585" s="5">
        <f>IF(OR(INDEX($W$2:$W$1001,MATCH(ROWS($V$2:V585),$V$2:$V$1001,0),1)&gt;=100000,INDEX($AC$1005:$AS$1005,1,MATCH(COLUMNS($AC$1006:AM1006),$AC$1006:$AS$1006,0))&gt;=100000), " ",IF(INDEX($AC$2:$AS$1001,MATCH(ROWS($V$2:V585),$V$2:$V$1001,0),MATCH(COLUMNS($AC$1006:AM1006),$AC$1006:$AS$1006,0)), HYPERLINK("#",""), HYPERLINK(CONCATENATE("#Metadata!", ADDRESS(INDEX($X$2:$X$1001,MATCH(ROWS($V$2:V585),$V$2:$V$1001,0),0), INDEX($AC$1004:$AS$1004,1,MATCH(COLUMNS($AC$1006:AM1006),$AC$1006:$AS$1006,0)))),"Fix")))</f>
        <v>0</v>
      </c>
      <c r="M585" s="5">
        <f>IF(OR(INDEX($W$2:$W$1001,MATCH(ROWS($V$2:V585),$V$2:$V$1001,0),1)&gt;=100000,INDEX($AC$1005:$AS$1005,1,MATCH(COLUMNS($AC$1006:AN1006),$AC$1006:$AS$1006,0))&gt;=100000), " ",IF(INDEX($AC$2:$AS$1001,MATCH(ROWS($V$2:V585),$V$2:$V$1001,0),MATCH(COLUMNS($AC$1006:AN1006),$AC$1006:$AS$1006,0)), HYPERLINK("#",""), HYPERLINK(CONCATENATE("#Metadata!", ADDRESS(INDEX($X$2:$X$1001,MATCH(ROWS($V$2:V585),$V$2:$V$1001,0),0), INDEX($AC$1004:$AS$1004,1,MATCH(COLUMNS($AC$1006:AN1006),$AC$1006:$AS$1006,0)))),"Fix")))</f>
        <v>0</v>
      </c>
      <c r="N585" s="5">
        <f>IF(OR(INDEX($W$2:$W$1001,MATCH(ROWS($V$2:V585),$V$2:$V$1001,0),1)&gt;=100000,INDEX($AC$1005:$AS$1005,1,MATCH(COLUMNS($AC$1006:AO1006),$AC$1006:$AS$1006,0))&gt;=100000), " ",IF(INDEX($AC$2:$AS$1001,MATCH(ROWS($V$2:V585),$V$2:$V$1001,0),MATCH(COLUMNS($AC$1006:AO1006),$AC$1006:$AS$1006,0)), HYPERLINK("#",""), HYPERLINK(CONCATENATE("#Metadata!", ADDRESS(INDEX($X$2:$X$1001,MATCH(ROWS($V$2:V585),$V$2:$V$1001,0),0), INDEX($AC$1004:$AS$1004,1,MATCH(COLUMNS($AC$1006:AO1006),$AC$1006:$AS$1006,0)))),"Fix")))</f>
        <v>0</v>
      </c>
      <c r="O585" s="5">
        <f>IF(OR(INDEX($W$2:$W$1001,MATCH(ROWS($V$2:V585),$V$2:$V$1001,0),1)&gt;=100000,INDEX($AC$1005:$AS$1005,1,MATCH(COLUMNS($AC$1006:AP1006),$AC$1006:$AS$1006,0))&gt;=100000), " ",IF(INDEX($AC$2:$AS$1001,MATCH(ROWS($V$2:V585),$V$2:$V$1001,0),MATCH(COLUMNS($AC$1006:AP1006),$AC$1006:$AS$1006,0)), HYPERLINK("#",""), HYPERLINK(CONCATENATE("#Metadata!", ADDRESS(INDEX($X$2:$X$1001,MATCH(ROWS($V$2:V585),$V$2:$V$1001,0),0), INDEX($AC$1004:$AS$1004,1,MATCH(COLUMNS($AC$1006:AP1006),$AC$1006:$AS$1006,0)))),"Fix")))</f>
        <v>0</v>
      </c>
      <c r="P585" s="5">
        <f>IF(OR(INDEX($W$2:$W$1001,MATCH(ROWS($V$2:V585),$V$2:$V$1001,0),1)&gt;=100000,INDEX($AC$1005:$AS$1005,1,MATCH(COLUMNS($AC$1006:AQ1006),$AC$1006:$AS$1006,0))&gt;=100000), " ",IF(INDEX($AC$2:$AS$1001,MATCH(ROWS($V$2:V585),$V$2:$V$1001,0),MATCH(COLUMNS($AC$1006:AQ1006),$AC$1006:$AS$1006,0)), HYPERLINK("#",""), HYPERLINK(CONCATENATE("#Metadata!", ADDRESS(INDEX($X$2:$X$1001,MATCH(ROWS($V$2:V585),$V$2:$V$1001,0),0), INDEX($AC$1004:$AS$1004,1,MATCH(COLUMNS($AC$1006:AQ1006),$AC$1006:$AS$1006,0)))),"Fix")))</f>
        <v>0</v>
      </c>
      <c r="Q585" s="5">
        <f>IF(OR(INDEX($W$2:$W$1001,MATCH(ROWS($V$2:V585),$V$2:$V$1001,0),1)&gt;=100000,INDEX($AC$1005:$AS$1005,1,MATCH(COLUMNS($AC$1006:AR1006),$AC$1006:$AS$1006,0))&gt;=100000), " ",IF(INDEX($AC$2:$AS$1001,MATCH(ROWS($V$2:V585),$V$2:$V$1001,0),MATCH(COLUMNS($AC$1006:AR1006),$AC$1006:$AS$1006,0)), HYPERLINK("#",""), HYPERLINK(CONCATENATE("#Metadata!", ADDRESS(INDEX($X$2:$X$1001,MATCH(ROWS($V$2:V585),$V$2:$V$1001,0),0), INDEX($AC$1004:$AS$1004,1,MATCH(COLUMNS($AC$1006:AR1006),$AC$1006:$AS$1006,0)))),"Fix")))</f>
        <v>0</v>
      </c>
      <c r="R585" s="5">
        <f>IF(OR(INDEX($W$2:$W$1001,MATCH(ROWS($V$2:V585),$V$2:$V$1001,0),1)&gt;=100000,INDEX($AC$1005:$AS$1005,1,MATCH(COLUMNS($AC$1006:AS1006),$AC$1006:$AS$1006,0))&gt;=100000), " ",IF(INDEX($AC$2:$AS$1001,MATCH(ROWS($V$2:V585),$V$2:$V$1001,0),MATCH(COLUMNS($AC$1006:AS1006),$AC$1006:$AS$1006,0)), HYPERLINK("#",""), HYPERLINK(CONCATENATE("#Metadata!", ADDRESS(INDEX($X$2:$X$1001,MATCH(ROWS($V$2:V585),$V$2:$V$1001,0),0), INDEX($AC$1004:$AS$1004,1,MATCH(COLUMNS($AC$1006:AS1006),$AC$1006:$AS$1006,0)))),"Fix")))</f>
        <v>0</v>
      </c>
      <c r="V585">
        <v>0</v>
      </c>
      <c r="W585">
        <v>0</v>
      </c>
      <c r="X585">
        <v>0</v>
      </c>
      <c r="Y585">
        <f>IF(Z585,TRUE,AND(AC585:AS585))</f>
        <v>0</v>
      </c>
      <c r="Z585">
        <f>COUNTBLANK(Metadata!B585:R585)=COLUMNS(Metadata!B585:R585)</f>
        <v>0</v>
      </c>
      <c r="AA585">
        <v>0</v>
      </c>
      <c r="AC585">
        <f>AND(IF(Metadata!B585="",FALSE,TRUE),COUNTIF(Metadata!B:B, Metadata!B585) = 1,NOT(ISERROR(SUMPRODUCT(SEARCH(MID(Metadata!B585,ROW(INDIRECT("1:"&amp;LEN(Metadata!B585))), 1),"0123456789abcdefghijklmnopqrstuvwxyzABCDEFGHIJKLMNOPQRSTUVWXYZ.")))))</f>
        <v>0</v>
      </c>
      <c r="AD585">
        <f>AND(IF(Metadata!C585="",FALSE,TRUE),exact(Metadata!C585,"Host-associated"))</f>
        <v>0</v>
      </c>
      <c r="AE585">
        <f>AND(IF(Metadata!D585="",FALSE,TRUE),OR(exact(Metadata!D585,"Animal"),exact(Metadata!D585,"Fungus"),exact(Metadata!D585,"Plant")))</f>
        <v>0</v>
      </c>
      <c r="AF585">
        <f>AND(IF(Metadata!E585="",FALSE,TRUE),OR(exact(Metadata!E585,"Plant secretion"),exact(Metadata!E585,"Plant rhizosphere"),exact(Metadata!E585,"Plant surface"),exact(Metadata!E585,"Plant corpus"),exact(Metadata!E585,"Fungus surface"),exact(Metadata!E585,"Fungus corpus"),exact(Metadata!E585,"Animal surface"),exact(Metadata!E585,"Animal proximal gut"),exact(Metadata!E585,"Animal corpus"),exact(Metadata!E585,"Animal distal gut"),exact(Metadata!E585,"Animal secretion")))</f>
        <v>0</v>
      </c>
      <c r="AG585">
        <f>OR(AND(IF(Metadata!F585="",FALSE,TRUE),OR(exact(Metadata!F585,"not collected"),exact(Metadata!F585,"not provided"),exact(Metadata!F585,"restricted access"))),AND(IF(Metadata!F585="",FALSE,TRUE),OR(exact(Metadata!F585,"organism-associated habitat"),exact(Metadata!F585,"plant-associated habitat"),exact(Metadata!F585,"animal-associated habitat"),exact(Metadata!F585,"insecta-associated habitat"),exact(Metadata!F585,"mammalia-associated habitat"),exact(Metadata!F585,"human-associated habitat"),exact(Metadata!F585,"livestock-associated habitat"))))</f>
        <v>0</v>
      </c>
      <c r="AH585">
        <f>AND(IF(Metadata!G585="",FALSE,TRUE),exact(Metadata!G585,"host-associated"))</f>
        <v>0</v>
      </c>
      <c r="AI585">
        <f>OR(AND(IF(Metadata!H585="",FALSE,TRUE),OR(exact(Metadata!H585,"not collected"),exact(Metadata!H585,"not provided"))),AND(IF(Metadata!H585="",FALSE,ISNUMBER(VALUE(Metadata!H585))),Metadata!H585&gt;0))</f>
        <v>0</v>
      </c>
      <c r="AJ585">
        <f>AND(IF(Metadata!I585="",FALSE,TRUE),exact(Metadata!I585,"years"))</f>
        <v>0</v>
      </c>
      <c r="AK585">
        <f>IF(Metadata!J585="",FALSE,TRUE)</f>
        <v>0</v>
      </c>
      <c r="AL585">
        <f>OR(AND(IF(Metadata!K585="",FALSE,TRUE),OR(exact(Metadata!K585,"not collected"),exact(Metadata!K585,"not provided"))),AND(IF(Metadata!K585="",FALSE,ISNUMBER(VALUE(Metadata!K585))),Metadata!K585&gt;0))</f>
        <v>0</v>
      </c>
      <c r="AM585">
        <f>AND(IF(Metadata!L585="",FALSE,TRUE),exact(Metadata!L585,"cm"))</f>
        <v>0</v>
      </c>
      <c r="AN585">
        <f>IF(Metadata!M585="",FALSE,TRUE)</f>
        <v>0</v>
      </c>
      <c r="AO585">
        <f>OR(AND(IF(Metadata!N585="",FALSE,TRUE),OR(exact(Metadata!N585,"not applicable"),exact(Metadata!N585,"not collected"),exact(Metadata!N585,"not provided"))),AND(IF(Metadata!N585="",FALSE,IF(ISERROR(INT(Metadata!N585)),FALSE,INT(Metadata!N585)=Metadata!N585)),Metadata!N585&gt;0))</f>
        <v>0</v>
      </c>
      <c r="AP585">
        <f>OR(AND(IF(Metadata!O585="",FALSE,TRUE),OR(exact(Metadata!O585,"not collected"),exact(Metadata!O585,"not provided"))),AND(IF(Metadata!O585="",FALSE,ISNUMBER(VALUE(Metadata!O585))),Metadata!O585&gt;0))</f>
        <v>0</v>
      </c>
      <c r="AQ585">
        <f>AND(IF(Metadata!P585="",FALSE,TRUE),exact(Metadata!P585,"kg"))</f>
        <v>0</v>
      </c>
      <c r="AR585">
        <f>OR(AND(IF(Metadata!Q585="",FALSE,TRUE),OR(exact(Metadata!Q585,"not applicable"),exact(Metadata!Q585,"not collected"),exact(Metadata!Q585,"not provided"),exact(Metadata!Q585,"restricted access"))),IF(Metadata!Q585="",FALSE,IF(ISERROR(INT(Metadata!Q585)),FALSE,INT(Metadata!Q585)=Metadata!Q585)))</f>
        <v>0</v>
      </c>
      <c r="AS585">
        <f>AND(IF(Metadata!R585="",FALSE,TRUE),exact(Metadata!R585,"Not applicable"))</f>
        <v>0</v>
      </c>
    </row>
    <row r="586" spans="1:45">
      <c r="A586" s="4">
        <f>IF(B586=" "," ",HYPERLINK(CONCATENATE("#metadata!",ADDRESS(INDEX($X$2:$X$1001,MATCH(ROWS($V$2:V586),$V$2:$V$1001,0),0),2)),INDEX($AA$2:$AA$1001,MATCH(ROWS($V$2:V586),$V$2:$V$1001,0),0)))</f>
        <v>0</v>
      </c>
      <c r="B586" s="5">
        <f>IF(OR(INDEX($W$2:$W$1001,MATCH(ROWS($V$2:V586),$V$2:$V$1001,0),1)&gt;=100000,INDEX($AC$1005:$AS$1005,1,MATCH(COLUMNS($AC$1006:AC1006),$AC$1006:$AS$1006,0))&gt;=100000), " ",IF(INDEX($AC$2:$AS$1001,MATCH(ROWS($V$2:V586),$V$2:$V$1001,0),MATCH(COLUMNS($AC$1006:AC1006),$AC$1006:$AS$1006,0)), HYPERLINK("#",""), HYPERLINK(CONCATENATE("#Metadata!", ADDRESS(INDEX($X$2:$X$1001,MATCH(ROWS($V$2:V586),$V$2:$V$1001,0),0), INDEX($AC$1004:$AS$1004,1,MATCH(COLUMNS($AC$1006:AC1006),$AC$1006:$AS$1006,0)))),"Fix")))</f>
        <v>0</v>
      </c>
      <c r="C586" s="5">
        <f>IF(OR(INDEX($W$2:$W$1001,MATCH(ROWS($V$2:V586),$V$2:$V$1001,0),1)&gt;=100000,INDEX($AC$1005:$AS$1005,1,MATCH(COLUMNS($AC$1006:AD1006),$AC$1006:$AS$1006,0))&gt;=100000), " ",IF(INDEX($AC$2:$AS$1001,MATCH(ROWS($V$2:V586),$V$2:$V$1001,0),MATCH(COLUMNS($AC$1006:AD1006),$AC$1006:$AS$1006,0)), HYPERLINK("#",""), HYPERLINK(CONCATENATE("#Metadata!", ADDRESS(INDEX($X$2:$X$1001,MATCH(ROWS($V$2:V586),$V$2:$V$1001,0),0), INDEX($AC$1004:$AS$1004,1,MATCH(COLUMNS($AC$1006:AD1006),$AC$1006:$AS$1006,0)))),"Fix")))</f>
        <v>0</v>
      </c>
      <c r="D586" s="5">
        <f>IF(OR(INDEX($W$2:$W$1001,MATCH(ROWS($V$2:V586),$V$2:$V$1001,0),1)&gt;=100000,INDEX($AC$1005:$AS$1005,1,MATCH(COLUMNS($AC$1006:AE1006),$AC$1006:$AS$1006,0))&gt;=100000), " ",IF(INDEX($AC$2:$AS$1001,MATCH(ROWS($V$2:V586),$V$2:$V$1001,0),MATCH(COLUMNS($AC$1006:AE1006),$AC$1006:$AS$1006,0)), HYPERLINK("#",""), HYPERLINK(CONCATENATE("#Metadata!", ADDRESS(INDEX($X$2:$X$1001,MATCH(ROWS($V$2:V586),$V$2:$V$1001,0),0), INDEX($AC$1004:$AS$1004,1,MATCH(COLUMNS($AC$1006:AE1006),$AC$1006:$AS$1006,0)))),"Fix")))</f>
        <v>0</v>
      </c>
      <c r="E586" s="5">
        <f>IF(OR(INDEX($W$2:$W$1001,MATCH(ROWS($V$2:V586),$V$2:$V$1001,0),1)&gt;=100000,INDEX($AC$1005:$AS$1005,1,MATCH(COLUMNS($AC$1006:AF1006),$AC$1006:$AS$1006,0))&gt;=100000), " ",IF(INDEX($AC$2:$AS$1001,MATCH(ROWS($V$2:V586),$V$2:$V$1001,0),MATCH(COLUMNS($AC$1006:AF1006),$AC$1006:$AS$1006,0)), HYPERLINK("#",""), HYPERLINK(CONCATENATE("#Metadata!", ADDRESS(INDEX($X$2:$X$1001,MATCH(ROWS($V$2:V586),$V$2:$V$1001,0),0), INDEX($AC$1004:$AS$1004,1,MATCH(COLUMNS($AC$1006:AF1006),$AC$1006:$AS$1006,0)))),"Fix")))</f>
        <v>0</v>
      </c>
      <c r="F586" s="5">
        <f>IF(OR(INDEX($W$2:$W$1001,MATCH(ROWS($V$2:V586),$V$2:$V$1001,0),1)&gt;=100000,INDEX($AC$1005:$AS$1005,1,MATCH(COLUMNS($AC$1006:AG1006),$AC$1006:$AS$1006,0))&gt;=100000), " ",IF(INDEX($AC$2:$AS$1001,MATCH(ROWS($V$2:V586),$V$2:$V$1001,0),MATCH(COLUMNS($AC$1006:AG1006),$AC$1006:$AS$1006,0)), HYPERLINK("#",""), HYPERLINK(CONCATENATE("#Metadata!", ADDRESS(INDEX($X$2:$X$1001,MATCH(ROWS($V$2:V586),$V$2:$V$1001,0),0), INDEX($AC$1004:$AS$1004,1,MATCH(COLUMNS($AC$1006:AG1006),$AC$1006:$AS$1006,0)))),"Fix")))</f>
        <v>0</v>
      </c>
      <c r="G586" s="5">
        <f>IF(OR(INDEX($W$2:$W$1001,MATCH(ROWS($V$2:V586),$V$2:$V$1001,0),1)&gt;=100000,INDEX($AC$1005:$AS$1005,1,MATCH(COLUMNS($AC$1006:AH1006),$AC$1006:$AS$1006,0))&gt;=100000), " ",IF(INDEX($AC$2:$AS$1001,MATCH(ROWS($V$2:V586),$V$2:$V$1001,0),MATCH(COLUMNS($AC$1006:AH1006),$AC$1006:$AS$1006,0)), HYPERLINK("#",""), HYPERLINK(CONCATENATE("#Metadata!", ADDRESS(INDEX($X$2:$X$1001,MATCH(ROWS($V$2:V586),$V$2:$V$1001,0),0), INDEX($AC$1004:$AS$1004,1,MATCH(COLUMNS($AC$1006:AH1006),$AC$1006:$AS$1006,0)))),"Fix")))</f>
        <v>0</v>
      </c>
      <c r="H586" s="5">
        <f>IF(OR(INDEX($W$2:$W$1001,MATCH(ROWS($V$2:V586),$V$2:$V$1001,0),1)&gt;=100000,INDEX($AC$1005:$AS$1005,1,MATCH(COLUMNS($AC$1006:AI1006),$AC$1006:$AS$1006,0))&gt;=100000), " ",IF(INDEX($AC$2:$AS$1001,MATCH(ROWS($V$2:V586),$V$2:$V$1001,0),MATCH(COLUMNS($AC$1006:AI1006),$AC$1006:$AS$1006,0)), HYPERLINK("#",""), HYPERLINK(CONCATENATE("#Metadata!", ADDRESS(INDEX($X$2:$X$1001,MATCH(ROWS($V$2:V586),$V$2:$V$1001,0),0), INDEX($AC$1004:$AS$1004,1,MATCH(COLUMNS($AC$1006:AI1006),$AC$1006:$AS$1006,0)))),"Fix")))</f>
        <v>0</v>
      </c>
      <c r="I586" s="5">
        <f>IF(OR(INDEX($W$2:$W$1001,MATCH(ROWS($V$2:V586),$V$2:$V$1001,0),1)&gt;=100000,INDEX($AC$1005:$AS$1005,1,MATCH(COLUMNS($AC$1006:AJ1006),$AC$1006:$AS$1006,0))&gt;=100000), " ",IF(INDEX($AC$2:$AS$1001,MATCH(ROWS($V$2:V586),$V$2:$V$1001,0),MATCH(COLUMNS($AC$1006:AJ1006),$AC$1006:$AS$1006,0)), HYPERLINK("#",""), HYPERLINK(CONCATENATE("#Metadata!", ADDRESS(INDEX($X$2:$X$1001,MATCH(ROWS($V$2:V586),$V$2:$V$1001,0),0), INDEX($AC$1004:$AS$1004,1,MATCH(COLUMNS($AC$1006:AJ1006),$AC$1006:$AS$1006,0)))),"Fix")))</f>
        <v>0</v>
      </c>
      <c r="J586" s="5">
        <f>IF(OR(INDEX($W$2:$W$1001,MATCH(ROWS($V$2:V586),$V$2:$V$1001,0),1)&gt;=100000,INDEX($AC$1005:$AS$1005,1,MATCH(COLUMNS($AC$1006:AK1006),$AC$1006:$AS$1006,0))&gt;=100000), " ",IF(INDEX($AC$2:$AS$1001,MATCH(ROWS($V$2:V586),$V$2:$V$1001,0),MATCH(COLUMNS($AC$1006:AK1006),$AC$1006:$AS$1006,0)), HYPERLINK("#",""), HYPERLINK(CONCATENATE("#Metadata!", ADDRESS(INDEX($X$2:$X$1001,MATCH(ROWS($V$2:V586),$V$2:$V$1001,0),0), INDEX($AC$1004:$AS$1004,1,MATCH(COLUMNS($AC$1006:AK1006),$AC$1006:$AS$1006,0)))),"Fix")))</f>
        <v>0</v>
      </c>
      <c r="K586" s="5">
        <f>IF(OR(INDEX($W$2:$W$1001,MATCH(ROWS($V$2:V586),$V$2:$V$1001,0),1)&gt;=100000,INDEX($AC$1005:$AS$1005,1,MATCH(COLUMNS($AC$1006:AL1006),$AC$1006:$AS$1006,0))&gt;=100000), " ",IF(INDEX($AC$2:$AS$1001,MATCH(ROWS($V$2:V586),$V$2:$V$1001,0),MATCH(COLUMNS($AC$1006:AL1006),$AC$1006:$AS$1006,0)), HYPERLINK("#",""), HYPERLINK(CONCATENATE("#Metadata!", ADDRESS(INDEX($X$2:$X$1001,MATCH(ROWS($V$2:V586),$V$2:$V$1001,0),0), INDEX($AC$1004:$AS$1004,1,MATCH(COLUMNS($AC$1006:AL1006),$AC$1006:$AS$1006,0)))),"Fix")))</f>
        <v>0</v>
      </c>
      <c r="L586" s="5">
        <f>IF(OR(INDEX($W$2:$W$1001,MATCH(ROWS($V$2:V586),$V$2:$V$1001,0),1)&gt;=100000,INDEX($AC$1005:$AS$1005,1,MATCH(COLUMNS($AC$1006:AM1006),$AC$1006:$AS$1006,0))&gt;=100000), " ",IF(INDEX($AC$2:$AS$1001,MATCH(ROWS($V$2:V586),$V$2:$V$1001,0),MATCH(COLUMNS($AC$1006:AM1006),$AC$1006:$AS$1006,0)), HYPERLINK("#",""), HYPERLINK(CONCATENATE("#Metadata!", ADDRESS(INDEX($X$2:$X$1001,MATCH(ROWS($V$2:V586),$V$2:$V$1001,0),0), INDEX($AC$1004:$AS$1004,1,MATCH(COLUMNS($AC$1006:AM1006),$AC$1006:$AS$1006,0)))),"Fix")))</f>
        <v>0</v>
      </c>
      <c r="M586" s="5">
        <f>IF(OR(INDEX($W$2:$W$1001,MATCH(ROWS($V$2:V586),$V$2:$V$1001,0),1)&gt;=100000,INDEX($AC$1005:$AS$1005,1,MATCH(COLUMNS($AC$1006:AN1006),$AC$1006:$AS$1006,0))&gt;=100000), " ",IF(INDEX($AC$2:$AS$1001,MATCH(ROWS($V$2:V586),$V$2:$V$1001,0),MATCH(COLUMNS($AC$1006:AN1006),$AC$1006:$AS$1006,0)), HYPERLINK("#",""), HYPERLINK(CONCATENATE("#Metadata!", ADDRESS(INDEX($X$2:$X$1001,MATCH(ROWS($V$2:V586),$V$2:$V$1001,0),0), INDEX($AC$1004:$AS$1004,1,MATCH(COLUMNS($AC$1006:AN1006),$AC$1006:$AS$1006,0)))),"Fix")))</f>
        <v>0</v>
      </c>
      <c r="N586" s="5">
        <f>IF(OR(INDEX($W$2:$W$1001,MATCH(ROWS($V$2:V586),$V$2:$V$1001,0),1)&gt;=100000,INDEX($AC$1005:$AS$1005,1,MATCH(COLUMNS($AC$1006:AO1006),$AC$1006:$AS$1006,0))&gt;=100000), " ",IF(INDEX($AC$2:$AS$1001,MATCH(ROWS($V$2:V586),$V$2:$V$1001,0),MATCH(COLUMNS($AC$1006:AO1006),$AC$1006:$AS$1006,0)), HYPERLINK("#",""), HYPERLINK(CONCATENATE("#Metadata!", ADDRESS(INDEX($X$2:$X$1001,MATCH(ROWS($V$2:V586),$V$2:$V$1001,0),0), INDEX($AC$1004:$AS$1004,1,MATCH(COLUMNS($AC$1006:AO1006),$AC$1006:$AS$1006,0)))),"Fix")))</f>
        <v>0</v>
      </c>
      <c r="O586" s="5">
        <f>IF(OR(INDEX($W$2:$W$1001,MATCH(ROWS($V$2:V586),$V$2:$V$1001,0),1)&gt;=100000,INDEX($AC$1005:$AS$1005,1,MATCH(COLUMNS($AC$1006:AP1006),$AC$1006:$AS$1006,0))&gt;=100000), " ",IF(INDEX($AC$2:$AS$1001,MATCH(ROWS($V$2:V586),$V$2:$V$1001,0),MATCH(COLUMNS($AC$1006:AP1006),$AC$1006:$AS$1006,0)), HYPERLINK("#",""), HYPERLINK(CONCATENATE("#Metadata!", ADDRESS(INDEX($X$2:$X$1001,MATCH(ROWS($V$2:V586),$V$2:$V$1001,0),0), INDEX($AC$1004:$AS$1004,1,MATCH(COLUMNS($AC$1006:AP1006),$AC$1006:$AS$1006,0)))),"Fix")))</f>
        <v>0</v>
      </c>
      <c r="P586" s="5">
        <f>IF(OR(INDEX($W$2:$W$1001,MATCH(ROWS($V$2:V586),$V$2:$V$1001,0),1)&gt;=100000,INDEX($AC$1005:$AS$1005,1,MATCH(COLUMNS($AC$1006:AQ1006),$AC$1006:$AS$1006,0))&gt;=100000), " ",IF(INDEX($AC$2:$AS$1001,MATCH(ROWS($V$2:V586),$V$2:$V$1001,0),MATCH(COLUMNS($AC$1006:AQ1006),$AC$1006:$AS$1006,0)), HYPERLINK("#",""), HYPERLINK(CONCATENATE("#Metadata!", ADDRESS(INDEX($X$2:$X$1001,MATCH(ROWS($V$2:V586),$V$2:$V$1001,0),0), INDEX($AC$1004:$AS$1004,1,MATCH(COLUMNS($AC$1006:AQ1006),$AC$1006:$AS$1006,0)))),"Fix")))</f>
        <v>0</v>
      </c>
      <c r="Q586" s="5">
        <f>IF(OR(INDEX($W$2:$W$1001,MATCH(ROWS($V$2:V586),$V$2:$V$1001,0),1)&gt;=100000,INDEX($AC$1005:$AS$1005,1,MATCH(COLUMNS($AC$1006:AR1006),$AC$1006:$AS$1006,0))&gt;=100000), " ",IF(INDEX($AC$2:$AS$1001,MATCH(ROWS($V$2:V586),$V$2:$V$1001,0),MATCH(COLUMNS($AC$1006:AR1006),$AC$1006:$AS$1006,0)), HYPERLINK("#",""), HYPERLINK(CONCATENATE("#Metadata!", ADDRESS(INDEX($X$2:$X$1001,MATCH(ROWS($V$2:V586),$V$2:$V$1001,0),0), INDEX($AC$1004:$AS$1004,1,MATCH(COLUMNS($AC$1006:AR1006),$AC$1006:$AS$1006,0)))),"Fix")))</f>
        <v>0</v>
      </c>
      <c r="R586" s="5">
        <f>IF(OR(INDEX($W$2:$W$1001,MATCH(ROWS($V$2:V586),$V$2:$V$1001,0),1)&gt;=100000,INDEX($AC$1005:$AS$1005,1,MATCH(COLUMNS($AC$1006:AS1006),$AC$1006:$AS$1006,0))&gt;=100000), " ",IF(INDEX($AC$2:$AS$1001,MATCH(ROWS($V$2:V586),$V$2:$V$1001,0),MATCH(COLUMNS($AC$1006:AS1006),$AC$1006:$AS$1006,0)), HYPERLINK("#",""), HYPERLINK(CONCATENATE("#Metadata!", ADDRESS(INDEX($X$2:$X$1001,MATCH(ROWS($V$2:V586),$V$2:$V$1001,0),0), INDEX($AC$1004:$AS$1004,1,MATCH(COLUMNS($AC$1006:AS1006),$AC$1006:$AS$1006,0)))),"Fix")))</f>
        <v>0</v>
      </c>
      <c r="V586">
        <v>0</v>
      </c>
      <c r="W586">
        <v>0</v>
      </c>
      <c r="X586">
        <v>0</v>
      </c>
      <c r="Y586">
        <f>IF(Z586,TRUE,AND(AC586:AS586))</f>
        <v>0</v>
      </c>
      <c r="Z586">
        <f>COUNTBLANK(Metadata!B586:R586)=COLUMNS(Metadata!B586:R586)</f>
        <v>0</v>
      </c>
      <c r="AA586">
        <v>0</v>
      </c>
      <c r="AC586">
        <f>AND(IF(Metadata!B586="",FALSE,TRUE),COUNTIF(Metadata!B:B, Metadata!B586) = 1,NOT(ISERROR(SUMPRODUCT(SEARCH(MID(Metadata!B586,ROW(INDIRECT("1:"&amp;LEN(Metadata!B586))), 1),"0123456789abcdefghijklmnopqrstuvwxyzABCDEFGHIJKLMNOPQRSTUVWXYZ.")))))</f>
        <v>0</v>
      </c>
      <c r="AD586">
        <f>AND(IF(Metadata!C586="",FALSE,TRUE),exact(Metadata!C586,"Host-associated"))</f>
        <v>0</v>
      </c>
      <c r="AE586">
        <f>AND(IF(Metadata!D586="",FALSE,TRUE),OR(exact(Metadata!D586,"Animal"),exact(Metadata!D586,"Fungus"),exact(Metadata!D586,"Plant")))</f>
        <v>0</v>
      </c>
      <c r="AF586">
        <f>AND(IF(Metadata!E586="",FALSE,TRUE),OR(exact(Metadata!E586,"Plant secretion"),exact(Metadata!E586,"Plant rhizosphere"),exact(Metadata!E586,"Plant surface"),exact(Metadata!E586,"Plant corpus"),exact(Metadata!E586,"Fungus surface"),exact(Metadata!E586,"Fungus corpus"),exact(Metadata!E586,"Animal surface"),exact(Metadata!E586,"Animal proximal gut"),exact(Metadata!E586,"Animal corpus"),exact(Metadata!E586,"Animal distal gut"),exact(Metadata!E586,"Animal secretion")))</f>
        <v>0</v>
      </c>
      <c r="AG586">
        <f>OR(AND(IF(Metadata!F586="",FALSE,TRUE),OR(exact(Metadata!F586,"not collected"),exact(Metadata!F586,"not provided"),exact(Metadata!F586,"restricted access"))),AND(IF(Metadata!F586="",FALSE,TRUE),OR(exact(Metadata!F586,"organism-associated habitat"),exact(Metadata!F586,"plant-associated habitat"),exact(Metadata!F586,"animal-associated habitat"),exact(Metadata!F586,"insecta-associated habitat"),exact(Metadata!F586,"mammalia-associated habitat"),exact(Metadata!F586,"human-associated habitat"),exact(Metadata!F586,"livestock-associated habitat"))))</f>
        <v>0</v>
      </c>
      <c r="AH586">
        <f>AND(IF(Metadata!G586="",FALSE,TRUE),exact(Metadata!G586,"host-associated"))</f>
        <v>0</v>
      </c>
      <c r="AI586">
        <f>OR(AND(IF(Metadata!H586="",FALSE,TRUE),OR(exact(Metadata!H586,"not collected"),exact(Metadata!H586,"not provided"))),AND(IF(Metadata!H586="",FALSE,ISNUMBER(VALUE(Metadata!H586))),Metadata!H586&gt;0))</f>
        <v>0</v>
      </c>
      <c r="AJ586">
        <f>AND(IF(Metadata!I586="",FALSE,TRUE),exact(Metadata!I586,"years"))</f>
        <v>0</v>
      </c>
      <c r="AK586">
        <f>IF(Metadata!J586="",FALSE,TRUE)</f>
        <v>0</v>
      </c>
      <c r="AL586">
        <f>OR(AND(IF(Metadata!K586="",FALSE,TRUE),OR(exact(Metadata!K586,"not collected"),exact(Metadata!K586,"not provided"))),AND(IF(Metadata!K586="",FALSE,ISNUMBER(VALUE(Metadata!K586))),Metadata!K586&gt;0))</f>
        <v>0</v>
      </c>
      <c r="AM586">
        <f>AND(IF(Metadata!L586="",FALSE,TRUE),exact(Metadata!L586,"cm"))</f>
        <v>0</v>
      </c>
      <c r="AN586">
        <f>IF(Metadata!M586="",FALSE,TRUE)</f>
        <v>0</v>
      </c>
      <c r="AO586">
        <f>OR(AND(IF(Metadata!N586="",FALSE,TRUE),OR(exact(Metadata!N586,"not applicable"),exact(Metadata!N586,"not collected"),exact(Metadata!N586,"not provided"))),AND(IF(Metadata!N586="",FALSE,IF(ISERROR(INT(Metadata!N586)),FALSE,INT(Metadata!N586)=Metadata!N586)),Metadata!N586&gt;0))</f>
        <v>0</v>
      </c>
      <c r="AP586">
        <f>OR(AND(IF(Metadata!O586="",FALSE,TRUE),OR(exact(Metadata!O586,"not collected"),exact(Metadata!O586,"not provided"))),AND(IF(Metadata!O586="",FALSE,ISNUMBER(VALUE(Metadata!O586))),Metadata!O586&gt;0))</f>
        <v>0</v>
      </c>
      <c r="AQ586">
        <f>AND(IF(Metadata!P586="",FALSE,TRUE),exact(Metadata!P586,"kg"))</f>
        <v>0</v>
      </c>
      <c r="AR586">
        <f>OR(AND(IF(Metadata!Q586="",FALSE,TRUE),OR(exact(Metadata!Q586,"not applicable"),exact(Metadata!Q586,"not collected"),exact(Metadata!Q586,"not provided"),exact(Metadata!Q586,"restricted access"))),IF(Metadata!Q586="",FALSE,IF(ISERROR(INT(Metadata!Q586)),FALSE,INT(Metadata!Q586)=Metadata!Q586)))</f>
        <v>0</v>
      </c>
      <c r="AS586">
        <f>AND(IF(Metadata!R586="",FALSE,TRUE),exact(Metadata!R586,"Not applicable"))</f>
        <v>0</v>
      </c>
    </row>
    <row r="587" spans="1:45">
      <c r="A587" s="4">
        <f>IF(B587=" "," ",HYPERLINK(CONCATENATE("#metadata!",ADDRESS(INDEX($X$2:$X$1001,MATCH(ROWS($V$2:V587),$V$2:$V$1001,0),0),2)),INDEX($AA$2:$AA$1001,MATCH(ROWS($V$2:V587),$V$2:$V$1001,0),0)))</f>
        <v>0</v>
      </c>
      <c r="B587" s="5">
        <f>IF(OR(INDEX($W$2:$W$1001,MATCH(ROWS($V$2:V587),$V$2:$V$1001,0),1)&gt;=100000,INDEX($AC$1005:$AS$1005,1,MATCH(COLUMNS($AC$1006:AC1006),$AC$1006:$AS$1006,0))&gt;=100000), " ",IF(INDEX($AC$2:$AS$1001,MATCH(ROWS($V$2:V587),$V$2:$V$1001,0),MATCH(COLUMNS($AC$1006:AC1006),$AC$1006:$AS$1006,0)), HYPERLINK("#",""), HYPERLINK(CONCATENATE("#Metadata!", ADDRESS(INDEX($X$2:$X$1001,MATCH(ROWS($V$2:V587),$V$2:$V$1001,0),0), INDEX($AC$1004:$AS$1004,1,MATCH(COLUMNS($AC$1006:AC1006),$AC$1006:$AS$1006,0)))),"Fix")))</f>
        <v>0</v>
      </c>
      <c r="C587" s="5">
        <f>IF(OR(INDEX($W$2:$W$1001,MATCH(ROWS($V$2:V587),$V$2:$V$1001,0),1)&gt;=100000,INDEX($AC$1005:$AS$1005,1,MATCH(COLUMNS($AC$1006:AD1006),$AC$1006:$AS$1006,0))&gt;=100000), " ",IF(INDEX($AC$2:$AS$1001,MATCH(ROWS($V$2:V587),$V$2:$V$1001,0),MATCH(COLUMNS($AC$1006:AD1006),$AC$1006:$AS$1006,0)), HYPERLINK("#",""), HYPERLINK(CONCATENATE("#Metadata!", ADDRESS(INDEX($X$2:$X$1001,MATCH(ROWS($V$2:V587),$V$2:$V$1001,0),0), INDEX($AC$1004:$AS$1004,1,MATCH(COLUMNS($AC$1006:AD1006),$AC$1006:$AS$1006,0)))),"Fix")))</f>
        <v>0</v>
      </c>
      <c r="D587" s="5">
        <f>IF(OR(INDEX($W$2:$W$1001,MATCH(ROWS($V$2:V587),$V$2:$V$1001,0),1)&gt;=100000,INDEX($AC$1005:$AS$1005,1,MATCH(COLUMNS($AC$1006:AE1006),$AC$1006:$AS$1006,0))&gt;=100000), " ",IF(INDEX($AC$2:$AS$1001,MATCH(ROWS($V$2:V587),$V$2:$V$1001,0),MATCH(COLUMNS($AC$1006:AE1006),$AC$1006:$AS$1006,0)), HYPERLINK("#",""), HYPERLINK(CONCATENATE("#Metadata!", ADDRESS(INDEX($X$2:$X$1001,MATCH(ROWS($V$2:V587),$V$2:$V$1001,0),0), INDEX($AC$1004:$AS$1004,1,MATCH(COLUMNS($AC$1006:AE1006),$AC$1006:$AS$1006,0)))),"Fix")))</f>
        <v>0</v>
      </c>
      <c r="E587" s="5">
        <f>IF(OR(INDEX($W$2:$W$1001,MATCH(ROWS($V$2:V587),$V$2:$V$1001,0),1)&gt;=100000,INDEX($AC$1005:$AS$1005,1,MATCH(COLUMNS($AC$1006:AF1006),$AC$1006:$AS$1006,0))&gt;=100000), " ",IF(INDEX($AC$2:$AS$1001,MATCH(ROWS($V$2:V587),$V$2:$V$1001,0),MATCH(COLUMNS($AC$1006:AF1006),$AC$1006:$AS$1006,0)), HYPERLINK("#",""), HYPERLINK(CONCATENATE("#Metadata!", ADDRESS(INDEX($X$2:$X$1001,MATCH(ROWS($V$2:V587),$V$2:$V$1001,0),0), INDEX($AC$1004:$AS$1004,1,MATCH(COLUMNS($AC$1006:AF1006),$AC$1006:$AS$1006,0)))),"Fix")))</f>
        <v>0</v>
      </c>
      <c r="F587" s="5">
        <f>IF(OR(INDEX($W$2:$W$1001,MATCH(ROWS($V$2:V587),$V$2:$V$1001,0),1)&gt;=100000,INDEX($AC$1005:$AS$1005,1,MATCH(COLUMNS($AC$1006:AG1006),$AC$1006:$AS$1006,0))&gt;=100000), " ",IF(INDEX($AC$2:$AS$1001,MATCH(ROWS($V$2:V587),$V$2:$V$1001,0),MATCH(COLUMNS($AC$1006:AG1006),$AC$1006:$AS$1006,0)), HYPERLINK("#",""), HYPERLINK(CONCATENATE("#Metadata!", ADDRESS(INDEX($X$2:$X$1001,MATCH(ROWS($V$2:V587),$V$2:$V$1001,0),0), INDEX($AC$1004:$AS$1004,1,MATCH(COLUMNS($AC$1006:AG1006),$AC$1006:$AS$1006,0)))),"Fix")))</f>
        <v>0</v>
      </c>
      <c r="G587" s="5">
        <f>IF(OR(INDEX($W$2:$W$1001,MATCH(ROWS($V$2:V587),$V$2:$V$1001,0),1)&gt;=100000,INDEX($AC$1005:$AS$1005,1,MATCH(COLUMNS($AC$1006:AH1006),$AC$1006:$AS$1006,0))&gt;=100000), " ",IF(INDEX($AC$2:$AS$1001,MATCH(ROWS($V$2:V587),$V$2:$V$1001,0),MATCH(COLUMNS($AC$1006:AH1006),$AC$1006:$AS$1006,0)), HYPERLINK("#",""), HYPERLINK(CONCATENATE("#Metadata!", ADDRESS(INDEX($X$2:$X$1001,MATCH(ROWS($V$2:V587),$V$2:$V$1001,0),0), INDEX($AC$1004:$AS$1004,1,MATCH(COLUMNS($AC$1006:AH1006),$AC$1006:$AS$1006,0)))),"Fix")))</f>
        <v>0</v>
      </c>
      <c r="H587" s="5">
        <f>IF(OR(INDEX($W$2:$W$1001,MATCH(ROWS($V$2:V587),$V$2:$V$1001,0),1)&gt;=100000,INDEX($AC$1005:$AS$1005,1,MATCH(COLUMNS($AC$1006:AI1006),$AC$1006:$AS$1006,0))&gt;=100000), " ",IF(INDEX($AC$2:$AS$1001,MATCH(ROWS($V$2:V587),$V$2:$V$1001,0),MATCH(COLUMNS($AC$1006:AI1006),$AC$1006:$AS$1006,0)), HYPERLINK("#",""), HYPERLINK(CONCATENATE("#Metadata!", ADDRESS(INDEX($X$2:$X$1001,MATCH(ROWS($V$2:V587),$V$2:$V$1001,0),0), INDEX($AC$1004:$AS$1004,1,MATCH(COLUMNS($AC$1006:AI1006),$AC$1006:$AS$1006,0)))),"Fix")))</f>
        <v>0</v>
      </c>
      <c r="I587" s="5">
        <f>IF(OR(INDEX($W$2:$W$1001,MATCH(ROWS($V$2:V587),$V$2:$V$1001,0),1)&gt;=100000,INDEX($AC$1005:$AS$1005,1,MATCH(COLUMNS($AC$1006:AJ1006),$AC$1006:$AS$1006,0))&gt;=100000), " ",IF(INDEX($AC$2:$AS$1001,MATCH(ROWS($V$2:V587),$V$2:$V$1001,0),MATCH(COLUMNS($AC$1006:AJ1006),$AC$1006:$AS$1006,0)), HYPERLINK("#",""), HYPERLINK(CONCATENATE("#Metadata!", ADDRESS(INDEX($X$2:$X$1001,MATCH(ROWS($V$2:V587),$V$2:$V$1001,0),0), INDEX($AC$1004:$AS$1004,1,MATCH(COLUMNS($AC$1006:AJ1006),$AC$1006:$AS$1006,0)))),"Fix")))</f>
        <v>0</v>
      </c>
      <c r="J587" s="5">
        <f>IF(OR(INDEX($W$2:$W$1001,MATCH(ROWS($V$2:V587),$V$2:$V$1001,0),1)&gt;=100000,INDEX($AC$1005:$AS$1005,1,MATCH(COLUMNS($AC$1006:AK1006),$AC$1006:$AS$1006,0))&gt;=100000), " ",IF(INDEX($AC$2:$AS$1001,MATCH(ROWS($V$2:V587),$V$2:$V$1001,0),MATCH(COLUMNS($AC$1006:AK1006),$AC$1006:$AS$1006,0)), HYPERLINK("#",""), HYPERLINK(CONCATENATE("#Metadata!", ADDRESS(INDEX($X$2:$X$1001,MATCH(ROWS($V$2:V587),$V$2:$V$1001,0),0), INDEX($AC$1004:$AS$1004,1,MATCH(COLUMNS($AC$1006:AK1006),$AC$1006:$AS$1006,0)))),"Fix")))</f>
        <v>0</v>
      </c>
      <c r="K587" s="5">
        <f>IF(OR(INDEX($W$2:$W$1001,MATCH(ROWS($V$2:V587),$V$2:$V$1001,0),1)&gt;=100000,INDEX($AC$1005:$AS$1005,1,MATCH(COLUMNS($AC$1006:AL1006),$AC$1006:$AS$1006,0))&gt;=100000), " ",IF(INDEX($AC$2:$AS$1001,MATCH(ROWS($V$2:V587),$V$2:$V$1001,0),MATCH(COLUMNS($AC$1006:AL1006),$AC$1006:$AS$1006,0)), HYPERLINK("#",""), HYPERLINK(CONCATENATE("#Metadata!", ADDRESS(INDEX($X$2:$X$1001,MATCH(ROWS($V$2:V587),$V$2:$V$1001,0),0), INDEX($AC$1004:$AS$1004,1,MATCH(COLUMNS($AC$1006:AL1006),$AC$1006:$AS$1006,0)))),"Fix")))</f>
        <v>0</v>
      </c>
      <c r="L587" s="5">
        <f>IF(OR(INDEX($W$2:$W$1001,MATCH(ROWS($V$2:V587),$V$2:$V$1001,0),1)&gt;=100000,INDEX($AC$1005:$AS$1005,1,MATCH(COLUMNS($AC$1006:AM1006),$AC$1006:$AS$1006,0))&gt;=100000), " ",IF(INDEX($AC$2:$AS$1001,MATCH(ROWS($V$2:V587),$V$2:$V$1001,0),MATCH(COLUMNS($AC$1006:AM1006),$AC$1006:$AS$1006,0)), HYPERLINK("#",""), HYPERLINK(CONCATENATE("#Metadata!", ADDRESS(INDEX($X$2:$X$1001,MATCH(ROWS($V$2:V587),$V$2:$V$1001,0),0), INDEX($AC$1004:$AS$1004,1,MATCH(COLUMNS($AC$1006:AM1006),$AC$1006:$AS$1006,0)))),"Fix")))</f>
        <v>0</v>
      </c>
      <c r="M587" s="5">
        <f>IF(OR(INDEX($W$2:$W$1001,MATCH(ROWS($V$2:V587),$V$2:$V$1001,0),1)&gt;=100000,INDEX($AC$1005:$AS$1005,1,MATCH(COLUMNS($AC$1006:AN1006),$AC$1006:$AS$1006,0))&gt;=100000), " ",IF(INDEX($AC$2:$AS$1001,MATCH(ROWS($V$2:V587),$V$2:$V$1001,0),MATCH(COLUMNS($AC$1006:AN1006),$AC$1006:$AS$1006,0)), HYPERLINK("#",""), HYPERLINK(CONCATENATE("#Metadata!", ADDRESS(INDEX($X$2:$X$1001,MATCH(ROWS($V$2:V587),$V$2:$V$1001,0),0), INDEX($AC$1004:$AS$1004,1,MATCH(COLUMNS($AC$1006:AN1006),$AC$1006:$AS$1006,0)))),"Fix")))</f>
        <v>0</v>
      </c>
      <c r="N587" s="5">
        <f>IF(OR(INDEX($W$2:$W$1001,MATCH(ROWS($V$2:V587),$V$2:$V$1001,0),1)&gt;=100000,INDEX($AC$1005:$AS$1005,1,MATCH(COLUMNS($AC$1006:AO1006),$AC$1006:$AS$1006,0))&gt;=100000), " ",IF(INDEX($AC$2:$AS$1001,MATCH(ROWS($V$2:V587),$V$2:$V$1001,0),MATCH(COLUMNS($AC$1006:AO1006),$AC$1006:$AS$1006,0)), HYPERLINK("#",""), HYPERLINK(CONCATENATE("#Metadata!", ADDRESS(INDEX($X$2:$X$1001,MATCH(ROWS($V$2:V587),$V$2:$V$1001,0),0), INDEX($AC$1004:$AS$1004,1,MATCH(COLUMNS($AC$1006:AO1006),$AC$1006:$AS$1006,0)))),"Fix")))</f>
        <v>0</v>
      </c>
      <c r="O587" s="5">
        <f>IF(OR(INDEX($W$2:$W$1001,MATCH(ROWS($V$2:V587),$V$2:$V$1001,0),1)&gt;=100000,INDEX($AC$1005:$AS$1005,1,MATCH(COLUMNS($AC$1006:AP1006),$AC$1006:$AS$1006,0))&gt;=100000), " ",IF(INDEX($AC$2:$AS$1001,MATCH(ROWS($V$2:V587),$V$2:$V$1001,0),MATCH(COLUMNS($AC$1006:AP1006),$AC$1006:$AS$1006,0)), HYPERLINK("#",""), HYPERLINK(CONCATENATE("#Metadata!", ADDRESS(INDEX($X$2:$X$1001,MATCH(ROWS($V$2:V587),$V$2:$V$1001,0),0), INDEX($AC$1004:$AS$1004,1,MATCH(COLUMNS($AC$1006:AP1006),$AC$1006:$AS$1006,0)))),"Fix")))</f>
        <v>0</v>
      </c>
      <c r="P587" s="5">
        <f>IF(OR(INDEX($W$2:$W$1001,MATCH(ROWS($V$2:V587),$V$2:$V$1001,0),1)&gt;=100000,INDEX($AC$1005:$AS$1005,1,MATCH(COLUMNS($AC$1006:AQ1006),$AC$1006:$AS$1006,0))&gt;=100000), " ",IF(INDEX($AC$2:$AS$1001,MATCH(ROWS($V$2:V587),$V$2:$V$1001,0),MATCH(COLUMNS($AC$1006:AQ1006),$AC$1006:$AS$1006,0)), HYPERLINK("#",""), HYPERLINK(CONCATENATE("#Metadata!", ADDRESS(INDEX($X$2:$X$1001,MATCH(ROWS($V$2:V587),$V$2:$V$1001,0),0), INDEX($AC$1004:$AS$1004,1,MATCH(COLUMNS($AC$1006:AQ1006),$AC$1006:$AS$1006,0)))),"Fix")))</f>
        <v>0</v>
      </c>
      <c r="Q587" s="5">
        <f>IF(OR(INDEX($W$2:$W$1001,MATCH(ROWS($V$2:V587),$V$2:$V$1001,0),1)&gt;=100000,INDEX($AC$1005:$AS$1005,1,MATCH(COLUMNS($AC$1006:AR1006),$AC$1006:$AS$1006,0))&gt;=100000), " ",IF(INDEX($AC$2:$AS$1001,MATCH(ROWS($V$2:V587),$V$2:$V$1001,0),MATCH(COLUMNS($AC$1006:AR1006),$AC$1006:$AS$1006,0)), HYPERLINK("#",""), HYPERLINK(CONCATENATE("#Metadata!", ADDRESS(INDEX($X$2:$X$1001,MATCH(ROWS($V$2:V587),$V$2:$V$1001,0),0), INDEX($AC$1004:$AS$1004,1,MATCH(COLUMNS($AC$1006:AR1006),$AC$1006:$AS$1006,0)))),"Fix")))</f>
        <v>0</v>
      </c>
      <c r="R587" s="5">
        <f>IF(OR(INDEX($W$2:$W$1001,MATCH(ROWS($V$2:V587),$V$2:$V$1001,0),1)&gt;=100000,INDEX($AC$1005:$AS$1005,1,MATCH(COLUMNS($AC$1006:AS1006),$AC$1006:$AS$1006,0))&gt;=100000), " ",IF(INDEX($AC$2:$AS$1001,MATCH(ROWS($V$2:V587),$V$2:$V$1001,0),MATCH(COLUMNS($AC$1006:AS1006),$AC$1006:$AS$1006,0)), HYPERLINK("#",""), HYPERLINK(CONCATENATE("#Metadata!", ADDRESS(INDEX($X$2:$X$1001,MATCH(ROWS($V$2:V587),$V$2:$V$1001,0),0), INDEX($AC$1004:$AS$1004,1,MATCH(COLUMNS($AC$1006:AS1006),$AC$1006:$AS$1006,0)))),"Fix")))</f>
        <v>0</v>
      </c>
      <c r="V587">
        <v>0</v>
      </c>
      <c r="W587">
        <v>0</v>
      </c>
      <c r="X587">
        <v>0</v>
      </c>
      <c r="Y587">
        <f>IF(Z587,TRUE,AND(AC587:AS587))</f>
        <v>0</v>
      </c>
      <c r="Z587">
        <f>COUNTBLANK(Metadata!B587:R587)=COLUMNS(Metadata!B587:R587)</f>
        <v>0</v>
      </c>
      <c r="AA587">
        <v>0</v>
      </c>
      <c r="AC587">
        <f>AND(IF(Metadata!B587="",FALSE,TRUE),COUNTIF(Metadata!B:B, Metadata!B587) = 1,NOT(ISERROR(SUMPRODUCT(SEARCH(MID(Metadata!B587,ROW(INDIRECT("1:"&amp;LEN(Metadata!B587))), 1),"0123456789abcdefghijklmnopqrstuvwxyzABCDEFGHIJKLMNOPQRSTUVWXYZ.")))))</f>
        <v>0</v>
      </c>
      <c r="AD587">
        <f>AND(IF(Metadata!C587="",FALSE,TRUE),exact(Metadata!C587,"Host-associated"))</f>
        <v>0</v>
      </c>
      <c r="AE587">
        <f>AND(IF(Metadata!D587="",FALSE,TRUE),OR(exact(Metadata!D587,"Animal"),exact(Metadata!D587,"Fungus"),exact(Metadata!D587,"Plant")))</f>
        <v>0</v>
      </c>
      <c r="AF587">
        <f>AND(IF(Metadata!E587="",FALSE,TRUE),OR(exact(Metadata!E587,"Plant secretion"),exact(Metadata!E587,"Plant rhizosphere"),exact(Metadata!E587,"Plant surface"),exact(Metadata!E587,"Plant corpus"),exact(Metadata!E587,"Fungus surface"),exact(Metadata!E587,"Fungus corpus"),exact(Metadata!E587,"Animal surface"),exact(Metadata!E587,"Animal proximal gut"),exact(Metadata!E587,"Animal corpus"),exact(Metadata!E587,"Animal distal gut"),exact(Metadata!E587,"Animal secretion")))</f>
        <v>0</v>
      </c>
      <c r="AG587">
        <f>OR(AND(IF(Metadata!F587="",FALSE,TRUE),OR(exact(Metadata!F587,"not collected"),exact(Metadata!F587,"not provided"),exact(Metadata!F587,"restricted access"))),AND(IF(Metadata!F587="",FALSE,TRUE),OR(exact(Metadata!F587,"organism-associated habitat"),exact(Metadata!F587,"plant-associated habitat"),exact(Metadata!F587,"animal-associated habitat"),exact(Metadata!F587,"insecta-associated habitat"),exact(Metadata!F587,"mammalia-associated habitat"),exact(Metadata!F587,"human-associated habitat"),exact(Metadata!F587,"livestock-associated habitat"))))</f>
        <v>0</v>
      </c>
      <c r="AH587">
        <f>AND(IF(Metadata!G587="",FALSE,TRUE),exact(Metadata!G587,"host-associated"))</f>
        <v>0</v>
      </c>
      <c r="AI587">
        <f>OR(AND(IF(Metadata!H587="",FALSE,TRUE),OR(exact(Metadata!H587,"not collected"),exact(Metadata!H587,"not provided"))),AND(IF(Metadata!H587="",FALSE,ISNUMBER(VALUE(Metadata!H587))),Metadata!H587&gt;0))</f>
        <v>0</v>
      </c>
      <c r="AJ587">
        <f>AND(IF(Metadata!I587="",FALSE,TRUE),exact(Metadata!I587,"years"))</f>
        <v>0</v>
      </c>
      <c r="AK587">
        <f>IF(Metadata!J587="",FALSE,TRUE)</f>
        <v>0</v>
      </c>
      <c r="AL587">
        <f>OR(AND(IF(Metadata!K587="",FALSE,TRUE),OR(exact(Metadata!K587,"not collected"),exact(Metadata!K587,"not provided"))),AND(IF(Metadata!K587="",FALSE,ISNUMBER(VALUE(Metadata!K587))),Metadata!K587&gt;0))</f>
        <v>0</v>
      </c>
      <c r="AM587">
        <f>AND(IF(Metadata!L587="",FALSE,TRUE),exact(Metadata!L587,"cm"))</f>
        <v>0</v>
      </c>
      <c r="AN587">
        <f>IF(Metadata!M587="",FALSE,TRUE)</f>
        <v>0</v>
      </c>
      <c r="AO587">
        <f>OR(AND(IF(Metadata!N587="",FALSE,TRUE),OR(exact(Metadata!N587,"not applicable"),exact(Metadata!N587,"not collected"),exact(Metadata!N587,"not provided"))),AND(IF(Metadata!N587="",FALSE,IF(ISERROR(INT(Metadata!N587)),FALSE,INT(Metadata!N587)=Metadata!N587)),Metadata!N587&gt;0))</f>
        <v>0</v>
      </c>
      <c r="AP587">
        <f>OR(AND(IF(Metadata!O587="",FALSE,TRUE),OR(exact(Metadata!O587,"not collected"),exact(Metadata!O587,"not provided"))),AND(IF(Metadata!O587="",FALSE,ISNUMBER(VALUE(Metadata!O587))),Metadata!O587&gt;0))</f>
        <v>0</v>
      </c>
      <c r="AQ587">
        <f>AND(IF(Metadata!P587="",FALSE,TRUE),exact(Metadata!P587,"kg"))</f>
        <v>0</v>
      </c>
      <c r="AR587">
        <f>OR(AND(IF(Metadata!Q587="",FALSE,TRUE),OR(exact(Metadata!Q587,"not applicable"),exact(Metadata!Q587,"not collected"),exact(Metadata!Q587,"not provided"),exact(Metadata!Q587,"restricted access"))),IF(Metadata!Q587="",FALSE,IF(ISERROR(INT(Metadata!Q587)),FALSE,INT(Metadata!Q587)=Metadata!Q587)))</f>
        <v>0</v>
      </c>
      <c r="AS587">
        <f>AND(IF(Metadata!R587="",FALSE,TRUE),exact(Metadata!R587,"Not applicable"))</f>
        <v>0</v>
      </c>
    </row>
    <row r="588" spans="1:45">
      <c r="A588" s="4">
        <f>IF(B588=" "," ",HYPERLINK(CONCATENATE("#metadata!",ADDRESS(INDEX($X$2:$X$1001,MATCH(ROWS($V$2:V588),$V$2:$V$1001,0),0),2)),INDEX($AA$2:$AA$1001,MATCH(ROWS($V$2:V588),$V$2:$V$1001,0),0)))</f>
        <v>0</v>
      </c>
      <c r="B588" s="5">
        <f>IF(OR(INDEX($W$2:$W$1001,MATCH(ROWS($V$2:V588),$V$2:$V$1001,0),1)&gt;=100000,INDEX($AC$1005:$AS$1005,1,MATCH(COLUMNS($AC$1006:AC1006),$AC$1006:$AS$1006,0))&gt;=100000), " ",IF(INDEX($AC$2:$AS$1001,MATCH(ROWS($V$2:V588),$V$2:$V$1001,0),MATCH(COLUMNS($AC$1006:AC1006),$AC$1006:$AS$1006,0)), HYPERLINK("#",""), HYPERLINK(CONCATENATE("#Metadata!", ADDRESS(INDEX($X$2:$X$1001,MATCH(ROWS($V$2:V588),$V$2:$V$1001,0),0), INDEX($AC$1004:$AS$1004,1,MATCH(COLUMNS($AC$1006:AC1006),$AC$1006:$AS$1006,0)))),"Fix")))</f>
        <v>0</v>
      </c>
      <c r="C588" s="5">
        <f>IF(OR(INDEX($W$2:$W$1001,MATCH(ROWS($V$2:V588),$V$2:$V$1001,0),1)&gt;=100000,INDEX($AC$1005:$AS$1005,1,MATCH(COLUMNS($AC$1006:AD1006),$AC$1006:$AS$1006,0))&gt;=100000), " ",IF(INDEX($AC$2:$AS$1001,MATCH(ROWS($V$2:V588),$V$2:$V$1001,0),MATCH(COLUMNS($AC$1006:AD1006),$AC$1006:$AS$1006,0)), HYPERLINK("#",""), HYPERLINK(CONCATENATE("#Metadata!", ADDRESS(INDEX($X$2:$X$1001,MATCH(ROWS($V$2:V588),$V$2:$V$1001,0),0), INDEX($AC$1004:$AS$1004,1,MATCH(COLUMNS($AC$1006:AD1006),$AC$1006:$AS$1006,0)))),"Fix")))</f>
        <v>0</v>
      </c>
      <c r="D588" s="5">
        <f>IF(OR(INDEX($W$2:$W$1001,MATCH(ROWS($V$2:V588),$V$2:$V$1001,0),1)&gt;=100000,INDEX($AC$1005:$AS$1005,1,MATCH(COLUMNS($AC$1006:AE1006),$AC$1006:$AS$1006,0))&gt;=100000), " ",IF(INDEX($AC$2:$AS$1001,MATCH(ROWS($V$2:V588),$V$2:$V$1001,0),MATCH(COLUMNS($AC$1006:AE1006),$AC$1006:$AS$1006,0)), HYPERLINK("#",""), HYPERLINK(CONCATENATE("#Metadata!", ADDRESS(INDEX($X$2:$X$1001,MATCH(ROWS($V$2:V588),$V$2:$V$1001,0),0), INDEX($AC$1004:$AS$1004,1,MATCH(COLUMNS($AC$1006:AE1006),$AC$1006:$AS$1006,0)))),"Fix")))</f>
        <v>0</v>
      </c>
      <c r="E588" s="5">
        <f>IF(OR(INDEX($W$2:$W$1001,MATCH(ROWS($V$2:V588),$V$2:$V$1001,0),1)&gt;=100000,INDEX($AC$1005:$AS$1005,1,MATCH(COLUMNS($AC$1006:AF1006),$AC$1006:$AS$1006,0))&gt;=100000), " ",IF(INDEX($AC$2:$AS$1001,MATCH(ROWS($V$2:V588),$V$2:$V$1001,0),MATCH(COLUMNS($AC$1006:AF1006),$AC$1006:$AS$1006,0)), HYPERLINK("#",""), HYPERLINK(CONCATENATE("#Metadata!", ADDRESS(INDEX($X$2:$X$1001,MATCH(ROWS($V$2:V588),$V$2:$V$1001,0),0), INDEX($AC$1004:$AS$1004,1,MATCH(COLUMNS($AC$1006:AF1006),$AC$1006:$AS$1006,0)))),"Fix")))</f>
        <v>0</v>
      </c>
      <c r="F588" s="5">
        <f>IF(OR(INDEX($W$2:$W$1001,MATCH(ROWS($V$2:V588),$V$2:$V$1001,0),1)&gt;=100000,INDEX($AC$1005:$AS$1005,1,MATCH(COLUMNS($AC$1006:AG1006),$AC$1006:$AS$1006,0))&gt;=100000), " ",IF(INDEX($AC$2:$AS$1001,MATCH(ROWS($V$2:V588),$V$2:$V$1001,0),MATCH(COLUMNS($AC$1006:AG1006),$AC$1006:$AS$1006,0)), HYPERLINK("#",""), HYPERLINK(CONCATENATE("#Metadata!", ADDRESS(INDEX($X$2:$X$1001,MATCH(ROWS($V$2:V588),$V$2:$V$1001,0),0), INDEX($AC$1004:$AS$1004,1,MATCH(COLUMNS($AC$1006:AG1006),$AC$1006:$AS$1006,0)))),"Fix")))</f>
        <v>0</v>
      </c>
      <c r="G588" s="5">
        <f>IF(OR(INDEX($W$2:$W$1001,MATCH(ROWS($V$2:V588),$V$2:$V$1001,0),1)&gt;=100000,INDEX($AC$1005:$AS$1005,1,MATCH(COLUMNS($AC$1006:AH1006),$AC$1006:$AS$1006,0))&gt;=100000), " ",IF(INDEX($AC$2:$AS$1001,MATCH(ROWS($V$2:V588),$V$2:$V$1001,0),MATCH(COLUMNS($AC$1006:AH1006),$AC$1006:$AS$1006,0)), HYPERLINK("#",""), HYPERLINK(CONCATENATE("#Metadata!", ADDRESS(INDEX($X$2:$X$1001,MATCH(ROWS($V$2:V588),$V$2:$V$1001,0),0), INDEX($AC$1004:$AS$1004,1,MATCH(COLUMNS($AC$1006:AH1006),$AC$1006:$AS$1006,0)))),"Fix")))</f>
        <v>0</v>
      </c>
      <c r="H588" s="5">
        <f>IF(OR(INDEX($W$2:$W$1001,MATCH(ROWS($V$2:V588),$V$2:$V$1001,0),1)&gt;=100000,INDEX($AC$1005:$AS$1005,1,MATCH(COLUMNS($AC$1006:AI1006),$AC$1006:$AS$1006,0))&gt;=100000), " ",IF(INDEX($AC$2:$AS$1001,MATCH(ROWS($V$2:V588),$V$2:$V$1001,0),MATCH(COLUMNS($AC$1006:AI1006),$AC$1006:$AS$1006,0)), HYPERLINK("#",""), HYPERLINK(CONCATENATE("#Metadata!", ADDRESS(INDEX($X$2:$X$1001,MATCH(ROWS($V$2:V588),$V$2:$V$1001,0),0), INDEX($AC$1004:$AS$1004,1,MATCH(COLUMNS($AC$1006:AI1006),$AC$1006:$AS$1006,0)))),"Fix")))</f>
        <v>0</v>
      </c>
      <c r="I588" s="5">
        <f>IF(OR(INDEX($W$2:$W$1001,MATCH(ROWS($V$2:V588),$V$2:$V$1001,0),1)&gt;=100000,INDEX($AC$1005:$AS$1005,1,MATCH(COLUMNS($AC$1006:AJ1006),$AC$1006:$AS$1006,0))&gt;=100000), " ",IF(INDEX($AC$2:$AS$1001,MATCH(ROWS($V$2:V588),$V$2:$V$1001,0),MATCH(COLUMNS($AC$1006:AJ1006),$AC$1006:$AS$1006,0)), HYPERLINK("#",""), HYPERLINK(CONCATENATE("#Metadata!", ADDRESS(INDEX($X$2:$X$1001,MATCH(ROWS($V$2:V588),$V$2:$V$1001,0),0), INDEX($AC$1004:$AS$1004,1,MATCH(COLUMNS($AC$1006:AJ1006),$AC$1006:$AS$1006,0)))),"Fix")))</f>
        <v>0</v>
      </c>
      <c r="J588" s="5">
        <f>IF(OR(INDEX($W$2:$W$1001,MATCH(ROWS($V$2:V588),$V$2:$V$1001,0),1)&gt;=100000,INDEX($AC$1005:$AS$1005,1,MATCH(COLUMNS($AC$1006:AK1006),$AC$1006:$AS$1006,0))&gt;=100000), " ",IF(INDEX($AC$2:$AS$1001,MATCH(ROWS($V$2:V588),$V$2:$V$1001,0),MATCH(COLUMNS($AC$1006:AK1006),$AC$1006:$AS$1006,0)), HYPERLINK("#",""), HYPERLINK(CONCATENATE("#Metadata!", ADDRESS(INDEX($X$2:$X$1001,MATCH(ROWS($V$2:V588),$V$2:$V$1001,0),0), INDEX($AC$1004:$AS$1004,1,MATCH(COLUMNS($AC$1006:AK1006),$AC$1006:$AS$1006,0)))),"Fix")))</f>
        <v>0</v>
      </c>
      <c r="K588" s="5">
        <f>IF(OR(INDEX($W$2:$W$1001,MATCH(ROWS($V$2:V588),$V$2:$V$1001,0),1)&gt;=100000,INDEX($AC$1005:$AS$1005,1,MATCH(COLUMNS($AC$1006:AL1006),$AC$1006:$AS$1006,0))&gt;=100000), " ",IF(INDEX($AC$2:$AS$1001,MATCH(ROWS($V$2:V588),$V$2:$V$1001,0),MATCH(COLUMNS($AC$1006:AL1006),$AC$1006:$AS$1006,0)), HYPERLINK("#",""), HYPERLINK(CONCATENATE("#Metadata!", ADDRESS(INDEX($X$2:$X$1001,MATCH(ROWS($V$2:V588),$V$2:$V$1001,0),0), INDEX($AC$1004:$AS$1004,1,MATCH(COLUMNS($AC$1006:AL1006),$AC$1006:$AS$1006,0)))),"Fix")))</f>
        <v>0</v>
      </c>
      <c r="L588" s="5">
        <f>IF(OR(INDEX($W$2:$W$1001,MATCH(ROWS($V$2:V588),$V$2:$V$1001,0),1)&gt;=100000,INDEX($AC$1005:$AS$1005,1,MATCH(COLUMNS($AC$1006:AM1006),$AC$1006:$AS$1006,0))&gt;=100000), " ",IF(INDEX($AC$2:$AS$1001,MATCH(ROWS($V$2:V588),$V$2:$V$1001,0),MATCH(COLUMNS($AC$1006:AM1006),$AC$1006:$AS$1006,0)), HYPERLINK("#",""), HYPERLINK(CONCATENATE("#Metadata!", ADDRESS(INDEX($X$2:$X$1001,MATCH(ROWS($V$2:V588),$V$2:$V$1001,0),0), INDEX($AC$1004:$AS$1004,1,MATCH(COLUMNS($AC$1006:AM1006),$AC$1006:$AS$1006,0)))),"Fix")))</f>
        <v>0</v>
      </c>
      <c r="M588" s="5">
        <f>IF(OR(INDEX($W$2:$W$1001,MATCH(ROWS($V$2:V588),$V$2:$V$1001,0),1)&gt;=100000,INDEX($AC$1005:$AS$1005,1,MATCH(COLUMNS($AC$1006:AN1006),$AC$1006:$AS$1006,0))&gt;=100000), " ",IF(INDEX($AC$2:$AS$1001,MATCH(ROWS($V$2:V588),$V$2:$V$1001,0),MATCH(COLUMNS($AC$1006:AN1006),$AC$1006:$AS$1006,0)), HYPERLINK("#",""), HYPERLINK(CONCATENATE("#Metadata!", ADDRESS(INDEX($X$2:$X$1001,MATCH(ROWS($V$2:V588),$V$2:$V$1001,0),0), INDEX($AC$1004:$AS$1004,1,MATCH(COLUMNS($AC$1006:AN1006),$AC$1006:$AS$1006,0)))),"Fix")))</f>
        <v>0</v>
      </c>
      <c r="N588" s="5">
        <f>IF(OR(INDEX($W$2:$W$1001,MATCH(ROWS($V$2:V588),$V$2:$V$1001,0),1)&gt;=100000,INDEX($AC$1005:$AS$1005,1,MATCH(COLUMNS($AC$1006:AO1006),$AC$1006:$AS$1006,0))&gt;=100000), " ",IF(INDEX($AC$2:$AS$1001,MATCH(ROWS($V$2:V588),$V$2:$V$1001,0),MATCH(COLUMNS($AC$1006:AO1006),$AC$1006:$AS$1006,0)), HYPERLINK("#",""), HYPERLINK(CONCATENATE("#Metadata!", ADDRESS(INDEX($X$2:$X$1001,MATCH(ROWS($V$2:V588),$V$2:$V$1001,0),0), INDEX($AC$1004:$AS$1004,1,MATCH(COLUMNS($AC$1006:AO1006),$AC$1006:$AS$1006,0)))),"Fix")))</f>
        <v>0</v>
      </c>
      <c r="O588" s="5">
        <f>IF(OR(INDEX($W$2:$W$1001,MATCH(ROWS($V$2:V588),$V$2:$V$1001,0),1)&gt;=100000,INDEX($AC$1005:$AS$1005,1,MATCH(COLUMNS($AC$1006:AP1006),$AC$1006:$AS$1006,0))&gt;=100000), " ",IF(INDEX($AC$2:$AS$1001,MATCH(ROWS($V$2:V588),$V$2:$V$1001,0),MATCH(COLUMNS($AC$1006:AP1006),$AC$1006:$AS$1006,0)), HYPERLINK("#",""), HYPERLINK(CONCATENATE("#Metadata!", ADDRESS(INDEX($X$2:$X$1001,MATCH(ROWS($V$2:V588),$V$2:$V$1001,0),0), INDEX($AC$1004:$AS$1004,1,MATCH(COLUMNS($AC$1006:AP1006),$AC$1006:$AS$1006,0)))),"Fix")))</f>
        <v>0</v>
      </c>
      <c r="P588" s="5">
        <f>IF(OR(INDEX($W$2:$W$1001,MATCH(ROWS($V$2:V588),$V$2:$V$1001,0),1)&gt;=100000,INDEX($AC$1005:$AS$1005,1,MATCH(COLUMNS($AC$1006:AQ1006),$AC$1006:$AS$1006,0))&gt;=100000), " ",IF(INDEX($AC$2:$AS$1001,MATCH(ROWS($V$2:V588),$V$2:$V$1001,0),MATCH(COLUMNS($AC$1006:AQ1006),$AC$1006:$AS$1006,0)), HYPERLINK("#",""), HYPERLINK(CONCATENATE("#Metadata!", ADDRESS(INDEX($X$2:$X$1001,MATCH(ROWS($V$2:V588),$V$2:$V$1001,0),0), INDEX($AC$1004:$AS$1004,1,MATCH(COLUMNS($AC$1006:AQ1006),$AC$1006:$AS$1006,0)))),"Fix")))</f>
        <v>0</v>
      </c>
      <c r="Q588" s="5">
        <f>IF(OR(INDEX($W$2:$W$1001,MATCH(ROWS($V$2:V588),$V$2:$V$1001,0),1)&gt;=100000,INDEX($AC$1005:$AS$1005,1,MATCH(COLUMNS($AC$1006:AR1006),$AC$1006:$AS$1006,0))&gt;=100000), " ",IF(INDEX($AC$2:$AS$1001,MATCH(ROWS($V$2:V588),$V$2:$V$1001,0),MATCH(COLUMNS($AC$1006:AR1006),$AC$1006:$AS$1006,0)), HYPERLINK("#",""), HYPERLINK(CONCATENATE("#Metadata!", ADDRESS(INDEX($X$2:$X$1001,MATCH(ROWS($V$2:V588),$V$2:$V$1001,0),0), INDEX($AC$1004:$AS$1004,1,MATCH(COLUMNS($AC$1006:AR1006),$AC$1006:$AS$1006,0)))),"Fix")))</f>
        <v>0</v>
      </c>
      <c r="R588" s="5">
        <f>IF(OR(INDEX($W$2:$W$1001,MATCH(ROWS($V$2:V588),$V$2:$V$1001,0),1)&gt;=100000,INDEX($AC$1005:$AS$1005,1,MATCH(COLUMNS($AC$1006:AS1006),$AC$1006:$AS$1006,0))&gt;=100000), " ",IF(INDEX($AC$2:$AS$1001,MATCH(ROWS($V$2:V588),$V$2:$V$1001,0),MATCH(COLUMNS($AC$1006:AS1006),$AC$1006:$AS$1006,0)), HYPERLINK("#",""), HYPERLINK(CONCATENATE("#Metadata!", ADDRESS(INDEX($X$2:$X$1001,MATCH(ROWS($V$2:V588),$V$2:$V$1001,0),0), INDEX($AC$1004:$AS$1004,1,MATCH(COLUMNS($AC$1006:AS1006),$AC$1006:$AS$1006,0)))),"Fix")))</f>
        <v>0</v>
      </c>
      <c r="V588">
        <v>0</v>
      </c>
      <c r="W588">
        <v>0</v>
      </c>
      <c r="X588">
        <v>0</v>
      </c>
      <c r="Y588">
        <f>IF(Z588,TRUE,AND(AC588:AS588))</f>
        <v>0</v>
      </c>
      <c r="Z588">
        <f>COUNTBLANK(Metadata!B588:R588)=COLUMNS(Metadata!B588:R588)</f>
        <v>0</v>
      </c>
      <c r="AA588">
        <v>0</v>
      </c>
      <c r="AC588">
        <f>AND(IF(Metadata!B588="",FALSE,TRUE),COUNTIF(Metadata!B:B, Metadata!B588) = 1,NOT(ISERROR(SUMPRODUCT(SEARCH(MID(Metadata!B588,ROW(INDIRECT("1:"&amp;LEN(Metadata!B588))), 1),"0123456789abcdefghijklmnopqrstuvwxyzABCDEFGHIJKLMNOPQRSTUVWXYZ.")))))</f>
        <v>0</v>
      </c>
      <c r="AD588">
        <f>AND(IF(Metadata!C588="",FALSE,TRUE),exact(Metadata!C588,"Host-associated"))</f>
        <v>0</v>
      </c>
      <c r="AE588">
        <f>AND(IF(Metadata!D588="",FALSE,TRUE),OR(exact(Metadata!D588,"Animal"),exact(Metadata!D588,"Fungus"),exact(Metadata!D588,"Plant")))</f>
        <v>0</v>
      </c>
      <c r="AF588">
        <f>AND(IF(Metadata!E588="",FALSE,TRUE),OR(exact(Metadata!E588,"Plant secretion"),exact(Metadata!E588,"Plant rhizosphere"),exact(Metadata!E588,"Plant surface"),exact(Metadata!E588,"Plant corpus"),exact(Metadata!E588,"Fungus surface"),exact(Metadata!E588,"Fungus corpus"),exact(Metadata!E588,"Animal surface"),exact(Metadata!E588,"Animal proximal gut"),exact(Metadata!E588,"Animal corpus"),exact(Metadata!E588,"Animal distal gut"),exact(Metadata!E588,"Animal secretion")))</f>
        <v>0</v>
      </c>
      <c r="AG588">
        <f>OR(AND(IF(Metadata!F588="",FALSE,TRUE),OR(exact(Metadata!F588,"not collected"),exact(Metadata!F588,"not provided"),exact(Metadata!F588,"restricted access"))),AND(IF(Metadata!F588="",FALSE,TRUE),OR(exact(Metadata!F588,"organism-associated habitat"),exact(Metadata!F588,"plant-associated habitat"),exact(Metadata!F588,"animal-associated habitat"),exact(Metadata!F588,"insecta-associated habitat"),exact(Metadata!F588,"mammalia-associated habitat"),exact(Metadata!F588,"human-associated habitat"),exact(Metadata!F588,"livestock-associated habitat"))))</f>
        <v>0</v>
      </c>
      <c r="AH588">
        <f>AND(IF(Metadata!G588="",FALSE,TRUE),exact(Metadata!G588,"host-associated"))</f>
        <v>0</v>
      </c>
      <c r="AI588">
        <f>OR(AND(IF(Metadata!H588="",FALSE,TRUE),OR(exact(Metadata!H588,"not collected"),exact(Metadata!H588,"not provided"))),AND(IF(Metadata!H588="",FALSE,ISNUMBER(VALUE(Metadata!H588))),Metadata!H588&gt;0))</f>
        <v>0</v>
      </c>
      <c r="AJ588">
        <f>AND(IF(Metadata!I588="",FALSE,TRUE),exact(Metadata!I588,"years"))</f>
        <v>0</v>
      </c>
      <c r="AK588">
        <f>IF(Metadata!J588="",FALSE,TRUE)</f>
        <v>0</v>
      </c>
      <c r="AL588">
        <f>OR(AND(IF(Metadata!K588="",FALSE,TRUE),OR(exact(Metadata!K588,"not collected"),exact(Metadata!K588,"not provided"))),AND(IF(Metadata!K588="",FALSE,ISNUMBER(VALUE(Metadata!K588))),Metadata!K588&gt;0))</f>
        <v>0</v>
      </c>
      <c r="AM588">
        <f>AND(IF(Metadata!L588="",FALSE,TRUE),exact(Metadata!L588,"cm"))</f>
        <v>0</v>
      </c>
      <c r="AN588">
        <f>IF(Metadata!M588="",FALSE,TRUE)</f>
        <v>0</v>
      </c>
      <c r="AO588">
        <f>OR(AND(IF(Metadata!N588="",FALSE,TRUE),OR(exact(Metadata!N588,"not applicable"),exact(Metadata!N588,"not collected"),exact(Metadata!N588,"not provided"))),AND(IF(Metadata!N588="",FALSE,IF(ISERROR(INT(Metadata!N588)),FALSE,INT(Metadata!N588)=Metadata!N588)),Metadata!N588&gt;0))</f>
        <v>0</v>
      </c>
      <c r="AP588">
        <f>OR(AND(IF(Metadata!O588="",FALSE,TRUE),OR(exact(Metadata!O588,"not collected"),exact(Metadata!O588,"not provided"))),AND(IF(Metadata!O588="",FALSE,ISNUMBER(VALUE(Metadata!O588))),Metadata!O588&gt;0))</f>
        <v>0</v>
      </c>
      <c r="AQ588">
        <f>AND(IF(Metadata!P588="",FALSE,TRUE),exact(Metadata!P588,"kg"))</f>
        <v>0</v>
      </c>
      <c r="AR588">
        <f>OR(AND(IF(Metadata!Q588="",FALSE,TRUE),OR(exact(Metadata!Q588,"not applicable"),exact(Metadata!Q588,"not collected"),exact(Metadata!Q588,"not provided"),exact(Metadata!Q588,"restricted access"))),IF(Metadata!Q588="",FALSE,IF(ISERROR(INT(Metadata!Q588)),FALSE,INT(Metadata!Q588)=Metadata!Q588)))</f>
        <v>0</v>
      </c>
      <c r="AS588">
        <f>AND(IF(Metadata!R588="",FALSE,TRUE),exact(Metadata!R588,"Not applicable"))</f>
        <v>0</v>
      </c>
    </row>
    <row r="589" spans="1:45">
      <c r="A589" s="4">
        <f>IF(B589=" "," ",HYPERLINK(CONCATENATE("#metadata!",ADDRESS(INDEX($X$2:$X$1001,MATCH(ROWS($V$2:V589),$V$2:$V$1001,0),0),2)),INDEX($AA$2:$AA$1001,MATCH(ROWS($V$2:V589),$V$2:$V$1001,0),0)))</f>
        <v>0</v>
      </c>
      <c r="B589" s="5">
        <f>IF(OR(INDEX($W$2:$W$1001,MATCH(ROWS($V$2:V589),$V$2:$V$1001,0),1)&gt;=100000,INDEX($AC$1005:$AS$1005,1,MATCH(COLUMNS($AC$1006:AC1006),$AC$1006:$AS$1006,0))&gt;=100000), " ",IF(INDEX($AC$2:$AS$1001,MATCH(ROWS($V$2:V589),$V$2:$V$1001,0),MATCH(COLUMNS($AC$1006:AC1006),$AC$1006:$AS$1006,0)), HYPERLINK("#",""), HYPERLINK(CONCATENATE("#Metadata!", ADDRESS(INDEX($X$2:$X$1001,MATCH(ROWS($V$2:V589),$V$2:$V$1001,0),0), INDEX($AC$1004:$AS$1004,1,MATCH(COLUMNS($AC$1006:AC1006),$AC$1006:$AS$1006,0)))),"Fix")))</f>
        <v>0</v>
      </c>
      <c r="C589" s="5">
        <f>IF(OR(INDEX($W$2:$W$1001,MATCH(ROWS($V$2:V589),$V$2:$V$1001,0),1)&gt;=100000,INDEX($AC$1005:$AS$1005,1,MATCH(COLUMNS($AC$1006:AD1006),$AC$1006:$AS$1006,0))&gt;=100000), " ",IF(INDEX($AC$2:$AS$1001,MATCH(ROWS($V$2:V589),$V$2:$V$1001,0),MATCH(COLUMNS($AC$1006:AD1006),$AC$1006:$AS$1006,0)), HYPERLINK("#",""), HYPERLINK(CONCATENATE("#Metadata!", ADDRESS(INDEX($X$2:$X$1001,MATCH(ROWS($V$2:V589),$V$2:$V$1001,0),0), INDEX($AC$1004:$AS$1004,1,MATCH(COLUMNS($AC$1006:AD1006),$AC$1006:$AS$1006,0)))),"Fix")))</f>
        <v>0</v>
      </c>
      <c r="D589" s="5">
        <f>IF(OR(INDEX($W$2:$W$1001,MATCH(ROWS($V$2:V589),$V$2:$V$1001,0),1)&gt;=100000,INDEX($AC$1005:$AS$1005,1,MATCH(COLUMNS($AC$1006:AE1006),$AC$1006:$AS$1006,0))&gt;=100000), " ",IF(INDEX($AC$2:$AS$1001,MATCH(ROWS($V$2:V589),$V$2:$V$1001,0),MATCH(COLUMNS($AC$1006:AE1006),$AC$1006:$AS$1006,0)), HYPERLINK("#",""), HYPERLINK(CONCATENATE("#Metadata!", ADDRESS(INDEX($X$2:$X$1001,MATCH(ROWS($V$2:V589),$V$2:$V$1001,0),0), INDEX($AC$1004:$AS$1004,1,MATCH(COLUMNS($AC$1006:AE1006),$AC$1006:$AS$1006,0)))),"Fix")))</f>
        <v>0</v>
      </c>
      <c r="E589" s="5">
        <f>IF(OR(INDEX($W$2:$W$1001,MATCH(ROWS($V$2:V589),$V$2:$V$1001,0),1)&gt;=100000,INDEX($AC$1005:$AS$1005,1,MATCH(COLUMNS($AC$1006:AF1006),$AC$1006:$AS$1006,0))&gt;=100000), " ",IF(INDEX($AC$2:$AS$1001,MATCH(ROWS($V$2:V589),$V$2:$V$1001,0),MATCH(COLUMNS($AC$1006:AF1006),$AC$1006:$AS$1006,0)), HYPERLINK("#",""), HYPERLINK(CONCATENATE("#Metadata!", ADDRESS(INDEX($X$2:$X$1001,MATCH(ROWS($V$2:V589),$V$2:$V$1001,0),0), INDEX($AC$1004:$AS$1004,1,MATCH(COLUMNS($AC$1006:AF1006),$AC$1006:$AS$1006,0)))),"Fix")))</f>
        <v>0</v>
      </c>
      <c r="F589" s="5">
        <f>IF(OR(INDEX($W$2:$W$1001,MATCH(ROWS($V$2:V589),$V$2:$V$1001,0),1)&gt;=100000,INDEX($AC$1005:$AS$1005,1,MATCH(COLUMNS($AC$1006:AG1006),$AC$1006:$AS$1006,0))&gt;=100000), " ",IF(INDEX($AC$2:$AS$1001,MATCH(ROWS($V$2:V589),$V$2:$V$1001,0),MATCH(COLUMNS($AC$1006:AG1006),$AC$1006:$AS$1006,0)), HYPERLINK("#",""), HYPERLINK(CONCATENATE("#Metadata!", ADDRESS(INDEX($X$2:$X$1001,MATCH(ROWS($V$2:V589),$V$2:$V$1001,0),0), INDEX($AC$1004:$AS$1004,1,MATCH(COLUMNS($AC$1006:AG1006),$AC$1006:$AS$1006,0)))),"Fix")))</f>
        <v>0</v>
      </c>
      <c r="G589" s="5">
        <f>IF(OR(INDEX($W$2:$W$1001,MATCH(ROWS($V$2:V589),$V$2:$V$1001,0),1)&gt;=100000,INDEX($AC$1005:$AS$1005,1,MATCH(COLUMNS($AC$1006:AH1006),$AC$1006:$AS$1006,0))&gt;=100000), " ",IF(INDEX($AC$2:$AS$1001,MATCH(ROWS($V$2:V589),$V$2:$V$1001,0),MATCH(COLUMNS($AC$1006:AH1006),$AC$1006:$AS$1006,0)), HYPERLINK("#",""), HYPERLINK(CONCATENATE("#Metadata!", ADDRESS(INDEX($X$2:$X$1001,MATCH(ROWS($V$2:V589),$V$2:$V$1001,0),0), INDEX($AC$1004:$AS$1004,1,MATCH(COLUMNS($AC$1006:AH1006),$AC$1006:$AS$1006,0)))),"Fix")))</f>
        <v>0</v>
      </c>
      <c r="H589" s="5">
        <f>IF(OR(INDEX($W$2:$W$1001,MATCH(ROWS($V$2:V589),$V$2:$V$1001,0),1)&gt;=100000,INDEX($AC$1005:$AS$1005,1,MATCH(COLUMNS($AC$1006:AI1006),$AC$1006:$AS$1006,0))&gt;=100000), " ",IF(INDEX($AC$2:$AS$1001,MATCH(ROWS($V$2:V589),$V$2:$V$1001,0),MATCH(COLUMNS($AC$1006:AI1006),$AC$1006:$AS$1006,0)), HYPERLINK("#",""), HYPERLINK(CONCATENATE("#Metadata!", ADDRESS(INDEX($X$2:$X$1001,MATCH(ROWS($V$2:V589),$V$2:$V$1001,0),0), INDEX($AC$1004:$AS$1004,1,MATCH(COLUMNS($AC$1006:AI1006),$AC$1006:$AS$1006,0)))),"Fix")))</f>
        <v>0</v>
      </c>
      <c r="I589" s="5">
        <f>IF(OR(INDEX($W$2:$W$1001,MATCH(ROWS($V$2:V589),$V$2:$V$1001,0),1)&gt;=100000,INDEX($AC$1005:$AS$1005,1,MATCH(COLUMNS($AC$1006:AJ1006),$AC$1006:$AS$1006,0))&gt;=100000), " ",IF(INDEX($AC$2:$AS$1001,MATCH(ROWS($V$2:V589),$V$2:$V$1001,0),MATCH(COLUMNS($AC$1006:AJ1006),$AC$1006:$AS$1006,0)), HYPERLINK("#",""), HYPERLINK(CONCATENATE("#Metadata!", ADDRESS(INDEX($X$2:$X$1001,MATCH(ROWS($V$2:V589),$V$2:$V$1001,0),0), INDEX($AC$1004:$AS$1004,1,MATCH(COLUMNS($AC$1006:AJ1006),$AC$1006:$AS$1006,0)))),"Fix")))</f>
        <v>0</v>
      </c>
      <c r="J589" s="5">
        <f>IF(OR(INDEX($W$2:$W$1001,MATCH(ROWS($V$2:V589),$V$2:$V$1001,0),1)&gt;=100000,INDEX($AC$1005:$AS$1005,1,MATCH(COLUMNS($AC$1006:AK1006),$AC$1006:$AS$1006,0))&gt;=100000), " ",IF(INDEX($AC$2:$AS$1001,MATCH(ROWS($V$2:V589),$V$2:$V$1001,0),MATCH(COLUMNS($AC$1006:AK1006),$AC$1006:$AS$1006,0)), HYPERLINK("#",""), HYPERLINK(CONCATENATE("#Metadata!", ADDRESS(INDEX($X$2:$X$1001,MATCH(ROWS($V$2:V589),$V$2:$V$1001,0),0), INDEX($AC$1004:$AS$1004,1,MATCH(COLUMNS($AC$1006:AK1006),$AC$1006:$AS$1006,0)))),"Fix")))</f>
        <v>0</v>
      </c>
      <c r="K589" s="5">
        <f>IF(OR(INDEX($W$2:$W$1001,MATCH(ROWS($V$2:V589),$V$2:$V$1001,0),1)&gt;=100000,INDEX($AC$1005:$AS$1005,1,MATCH(COLUMNS($AC$1006:AL1006),$AC$1006:$AS$1006,0))&gt;=100000), " ",IF(INDEX($AC$2:$AS$1001,MATCH(ROWS($V$2:V589),$V$2:$V$1001,0),MATCH(COLUMNS($AC$1006:AL1006),$AC$1006:$AS$1006,0)), HYPERLINK("#",""), HYPERLINK(CONCATENATE("#Metadata!", ADDRESS(INDEX($X$2:$X$1001,MATCH(ROWS($V$2:V589),$V$2:$V$1001,0),0), INDEX($AC$1004:$AS$1004,1,MATCH(COLUMNS($AC$1006:AL1006),$AC$1006:$AS$1006,0)))),"Fix")))</f>
        <v>0</v>
      </c>
      <c r="L589" s="5">
        <f>IF(OR(INDEX($W$2:$W$1001,MATCH(ROWS($V$2:V589),$V$2:$V$1001,0),1)&gt;=100000,INDEX($AC$1005:$AS$1005,1,MATCH(COLUMNS($AC$1006:AM1006),$AC$1006:$AS$1006,0))&gt;=100000), " ",IF(INDEX($AC$2:$AS$1001,MATCH(ROWS($V$2:V589),$V$2:$V$1001,0),MATCH(COLUMNS($AC$1006:AM1006),$AC$1006:$AS$1006,0)), HYPERLINK("#",""), HYPERLINK(CONCATENATE("#Metadata!", ADDRESS(INDEX($X$2:$X$1001,MATCH(ROWS($V$2:V589),$V$2:$V$1001,0),0), INDEX($AC$1004:$AS$1004,1,MATCH(COLUMNS($AC$1006:AM1006),$AC$1006:$AS$1006,0)))),"Fix")))</f>
        <v>0</v>
      </c>
      <c r="M589" s="5">
        <f>IF(OR(INDEX($W$2:$W$1001,MATCH(ROWS($V$2:V589),$V$2:$V$1001,0),1)&gt;=100000,INDEX($AC$1005:$AS$1005,1,MATCH(COLUMNS($AC$1006:AN1006),$AC$1006:$AS$1006,0))&gt;=100000), " ",IF(INDEX($AC$2:$AS$1001,MATCH(ROWS($V$2:V589),$V$2:$V$1001,0),MATCH(COLUMNS($AC$1006:AN1006),$AC$1006:$AS$1006,0)), HYPERLINK("#",""), HYPERLINK(CONCATENATE("#Metadata!", ADDRESS(INDEX($X$2:$X$1001,MATCH(ROWS($V$2:V589),$V$2:$V$1001,0),0), INDEX($AC$1004:$AS$1004,1,MATCH(COLUMNS($AC$1006:AN1006),$AC$1006:$AS$1006,0)))),"Fix")))</f>
        <v>0</v>
      </c>
      <c r="N589" s="5">
        <f>IF(OR(INDEX($W$2:$W$1001,MATCH(ROWS($V$2:V589),$V$2:$V$1001,0),1)&gt;=100000,INDEX($AC$1005:$AS$1005,1,MATCH(COLUMNS($AC$1006:AO1006),$AC$1006:$AS$1006,0))&gt;=100000), " ",IF(INDEX($AC$2:$AS$1001,MATCH(ROWS($V$2:V589),$V$2:$V$1001,0),MATCH(COLUMNS($AC$1006:AO1006),$AC$1006:$AS$1006,0)), HYPERLINK("#",""), HYPERLINK(CONCATENATE("#Metadata!", ADDRESS(INDEX($X$2:$X$1001,MATCH(ROWS($V$2:V589),$V$2:$V$1001,0),0), INDEX($AC$1004:$AS$1004,1,MATCH(COLUMNS($AC$1006:AO1006),$AC$1006:$AS$1006,0)))),"Fix")))</f>
        <v>0</v>
      </c>
      <c r="O589" s="5">
        <f>IF(OR(INDEX($W$2:$W$1001,MATCH(ROWS($V$2:V589),$V$2:$V$1001,0),1)&gt;=100000,INDEX($AC$1005:$AS$1005,1,MATCH(COLUMNS($AC$1006:AP1006),$AC$1006:$AS$1006,0))&gt;=100000), " ",IF(INDEX($AC$2:$AS$1001,MATCH(ROWS($V$2:V589),$V$2:$V$1001,0),MATCH(COLUMNS($AC$1006:AP1006),$AC$1006:$AS$1006,0)), HYPERLINK("#",""), HYPERLINK(CONCATENATE("#Metadata!", ADDRESS(INDEX($X$2:$X$1001,MATCH(ROWS($V$2:V589),$V$2:$V$1001,0),0), INDEX($AC$1004:$AS$1004,1,MATCH(COLUMNS($AC$1006:AP1006),$AC$1006:$AS$1006,0)))),"Fix")))</f>
        <v>0</v>
      </c>
      <c r="P589" s="5">
        <f>IF(OR(INDEX($W$2:$W$1001,MATCH(ROWS($V$2:V589),$V$2:$V$1001,0),1)&gt;=100000,INDEX($AC$1005:$AS$1005,1,MATCH(COLUMNS($AC$1006:AQ1006),$AC$1006:$AS$1006,0))&gt;=100000), " ",IF(INDEX($AC$2:$AS$1001,MATCH(ROWS($V$2:V589),$V$2:$V$1001,0),MATCH(COLUMNS($AC$1006:AQ1006),$AC$1006:$AS$1006,0)), HYPERLINK("#",""), HYPERLINK(CONCATENATE("#Metadata!", ADDRESS(INDEX($X$2:$X$1001,MATCH(ROWS($V$2:V589),$V$2:$V$1001,0),0), INDEX($AC$1004:$AS$1004,1,MATCH(COLUMNS($AC$1006:AQ1006),$AC$1006:$AS$1006,0)))),"Fix")))</f>
        <v>0</v>
      </c>
      <c r="Q589" s="5">
        <f>IF(OR(INDEX($W$2:$W$1001,MATCH(ROWS($V$2:V589),$V$2:$V$1001,0),1)&gt;=100000,INDEX($AC$1005:$AS$1005,1,MATCH(COLUMNS($AC$1006:AR1006),$AC$1006:$AS$1006,0))&gt;=100000), " ",IF(INDEX($AC$2:$AS$1001,MATCH(ROWS($V$2:V589),$V$2:$V$1001,0),MATCH(COLUMNS($AC$1006:AR1006),$AC$1006:$AS$1006,0)), HYPERLINK("#",""), HYPERLINK(CONCATENATE("#Metadata!", ADDRESS(INDEX($X$2:$X$1001,MATCH(ROWS($V$2:V589),$V$2:$V$1001,0),0), INDEX($AC$1004:$AS$1004,1,MATCH(COLUMNS($AC$1006:AR1006),$AC$1006:$AS$1006,0)))),"Fix")))</f>
        <v>0</v>
      </c>
      <c r="R589" s="5">
        <f>IF(OR(INDEX($W$2:$W$1001,MATCH(ROWS($V$2:V589),$V$2:$V$1001,0),1)&gt;=100000,INDEX($AC$1005:$AS$1005,1,MATCH(COLUMNS($AC$1006:AS1006),$AC$1006:$AS$1006,0))&gt;=100000), " ",IF(INDEX($AC$2:$AS$1001,MATCH(ROWS($V$2:V589),$V$2:$V$1001,0),MATCH(COLUMNS($AC$1006:AS1006),$AC$1006:$AS$1006,0)), HYPERLINK("#",""), HYPERLINK(CONCATENATE("#Metadata!", ADDRESS(INDEX($X$2:$X$1001,MATCH(ROWS($V$2:V589),$V$2:$V$1001,0),0), INDEX($AC$1004:$AS$1004,1,MATCH(COLUMNS($AC$1006:AS1006),$AC$1006:$AS$1006,0)))),"Fix")))</f>
        <v>0</v>
      </c>
      <c r="V589">
        <v>0</v>
      </c>
      <c r="W589">
        <v>0</v>
      </c>
      <c r="X589">
        <v>0</v>
      </c>
      <c r="Y589">
        <f>IF(Z589,TRUE,AND(AC589:AS589))</f>
        <v>0</v>
      </c>
      <c r="Z589">
        <f>COUNTBLANK(Metadata!B589:R589)=COLUMNS(Metadata!B589:R589)</f>
        <v>0</v>
      </c>
      <c r="AA589">
        <v>0</v>
      </c>
      <c r="AC589">
        <f>AND(IF(Metadata!B589="",FALSE,TRUE),COUNTIF(Metadata!B:B, Metadata!B589) = 1,NOT(ISERROR(SUMPRODUCT(SEARCH(MID(Metadata!B589,ROW(INDIRECT("1:"&amp;LEN(Metadata!B589))), 1),"0123456789abcdefghijklmnopqrstuvwxyzABCDEFGHIJKLMNOPQRSTUVWXYZ.")))))</f>
        <v>0</v>
      </c>
      <c r="AD589">
        <f>AND(IF(Metadata!C589="",FALSE,TRUE),exact(Metadata!C589,"Host-associated"))</f>
        <v>0</v>
      </c>
      <c r="AE589">
        <f>AND(IF(Metadata!D589="",FALSE,TRUE),OR(exact(Metadata!D589,"Animal"),exact(Metadata!D589,"Fungus"),exact(Metadata!D589,"Plant")))</f>
        <v>0</v>
      </c>
      <c r="AF589">
        <f>AND(IF(Metadata!E589="",FALSE,TRUE),OR(exact(Metadata!E589,"Plant secretion"),exact(Metadata!E589,"Plant rhizosphere"),exact(Metadata!E589,"Plant surface"),exact(Metadata!E589,"Plant corpus"),exact(Metadata!E589,"Fungus surface"),exact(Metadata!E589,"Fungus corpus"),exact(Metadata!E589,"Animal surface"),exact(Metadata!E589,"Animal proximal gut"),exact(Metadata!E589,"Animal corpus"),exact(Metadata!E589,"Animal distal gut"),exact(Metadata!E589,"Animal secretion")))</f>
        <v>0</v>
      </c>
      <c r="AG589">
        <f>OR(AND(IF(Metadata!F589="",FALSE,TRUE),OR(exact(Metadata!F589,"not collected"),exact(Metadata!F589,"not provided"),exact(Metadata!F589,"restricted access"))),AND(IF(Metadata!F589="",FALSE,TRUE),OR(exact(Metadata!F589,"organism-associated habitat"),exact(Metadata!F589,"plant-associated habitat"),exact(Metadata!F589,"animal-associated habitat"),exact(Metadata!F589,"insecta-associated habitat"),exact(Metadata!F589,"mammalia-associated habitat"),exact(Metadata!F589,"human-associated habitat"),exact(Metadata!F589,"livestock-associated habitat"))))</f>
        <v>0</v>
      </c>
      <c r="AH589">
        <f>AND(IF(Metadata!G589="",FALSE,TRUE),exact(Metadata!G589,"host-associated"))</f>
        <v>0</v>
      </c>
      <c r="AI589">
        <f>OR(AND(IF(Metadata!H589="",FALSE,TRUE),OR(exact(Metadata!H589,"not collected"),exact(Metadata!H589,"not provided"))),AND(IF(Metadata!H589="",FALSE,ISNUMBER(VALUE(Metadata!H589))),Metadata!H589&gt;0))</f>
        <v>0</v>
      </c>
      <c r="AJ589">
        <f>AND(IF(Metadata!I589="",FALSE,TRUE),exact(Metadata!I589,"years"))</f>
        <v>0</v>
      </c>
      <c r="AK589">
        <f>IF(Metadata!J589="",FALSE,TRUE)</f>
        <v>0</v>
      </c>
      <c r="AL589">
        <f>OR(AND(IF(Metadata!K589="",FALSE,TRUE),OR(exact(Metadata!K589,"not collected"),exact(Metadata!K589,"not provided"))),AND(IF(Metadata!K589="",FALSE,ISNUMBER(VALUE(Metadata!K589))),Metadata!K589&gt;0))</f>
        <v>0</v>
      </c>
      <c r="AM589">
        <f>AND(IF(Metadata!L589="",FALSE,TRUE),exact(Metadata!L589,"cm"))</f>
        <v>0</v>
      </c>
      <c r="AN589">
        <f>IF(Metadata!M589="",FALSE,TRUE)</f>
        <v>0</v>
      </c>
      <c r="AO589">
        <f>OR(AND(IF(Metadata!N589="",FALSE,TRUE),OR(exact(Metadata!N589,"not applicable"),exact(Metadata!N589,"not collected"),exact(Metadata!N589,"not provided"))),AND(IF(Metadata!N589="",FALSE,IF(ISERROR(INT(Metadata!N589)),FALSE,INT(Metadata!N589)=Metadata!N589)),Metadata!N589&gt;0))</f>
        <v>0</v>
      </c>
      <c r="AP589">
        <f>OR(AND(IF(Metadata!O589="",FALSE,TRUE),OR(exact(Metadata!O589,"not collected"),exact(Metadata!O589,"not provided"))),AND(IF(Metadata!O589="",FALSE,ISNUMBER(VALUE(Metadata!O589))),Metadata!O589&gt;0))</f>
        <v>0</v>
      </c>
      <c r="AQ589">
        <f>AND(IF(Metadata!P589="",FALSE,TRUE),exact(Metadata!P589,"kg"))</f>
        <v>0</v>
      </c>
      <c r="AR589">
        <f>OR(AND(IF(Metadata!Q589="",FALSE,TRUE),OR(exact(Metadata!Q589,"not applicable"),exact(Metadata!Q589,"not collected"),exact(Metadata!Q589,"not provided"),exact(Metadata!Q589,"restricted access"))),IF(Metadata!Q589="",FALSE,IF(ISERROR(INT(Metadata!Q589)),FALSE,INT(Metadata!Q589)=Metadata!Q589)))</f>
        <v>0</v>
      </c>
      <c r="AS589">
        <f>AND(IF(Metadata!R589="",FALSE,TRUE),exact(Metadata!R589,"Not applicable"))</f>
        <v>0</v>
      </c>
    </row>
    <row r="590" spans="1:45">
      <c r="A590" s="4">
        <f>IF(B590=" "," ",HYPERLINK(CONCATENATE("#metadata!",ADDRESS(INDEX($X$2:$X$1001,MATCH(ROWS($V$2:V590),$V$2:$V$1001,0),0),2)),INDEX($AA$2:$AA$1001,MATCH(ROWS($V$2:V590),$V$2:$V$1001,0),0)))</f>
        <v>0</v>
      </c>
      <c r="B590" s="5">
        <f>IF(OR(INDEX($W$2:$W$1001,MATCH(ROWS($V$2:V590),$V$2:$V$1001,0),1)&gt;=100000,INDEX($AC$1005:$AS$1005,1,MATCH(COLUMNS($AC$1006:AC1006),$AC$1006:$AS$1006,0))&gt;=100000), " ",IF(INDEX($AC$2:$AS$1001,MATCH(ROWS($V$2:V590),$V$2:$V$1001,0),MATCH(COLUMNS($AC$1006:AC1006),$AC$1006:$AS$1006,0)), HYPERLINK("#",""), HYPERLINK(CONCATENATE("#Metadata!", ADDRESS(INDEX($X$2:$X$1001,MATCH(ROWS($V$2:V590),$V$2:$V$1001,0),0), INDEX($AC$1004:$AS$1004,1,MATCH(COLUMNS($AC$1006:AC1006),$AC$1006:$AS$1006,0)))),"Fix")))</f>
        <v>0</v>
      </c>
      <c r="C590" s="5">
        <f>IF(OR(INDEX($W$2:$W$1001,MATCH(ROWS($V$2:V590),$V$2:$V$1001,0),1)&gt;=100000,INDEX($AC$1005:$AS$1005,1,MATCH(COLUMNS($AC$1006:AD1006),$AC$1006:$AS$1006,0))&gt;=100000), " ",IF(INDEX($AC$2:$AS$1001,MATCH(ROWS($V$2:V590),$V$2:$V$1001,0),MATCH(COLUMNS($AC$1006:AD1006),$AC$1006:$AS$1006,0)), HYPERLINK("#",""), HYPERLINK(CONCATENATE("#Metadata!", ADDRESS(INDEX($X$2:$X$1001,MATCH(ROWS($V$2:V590),$V$2:$V$1001,0),0), INDEX($AC$1004:$AS$1004,1,MATCH(COLUMNS($AC$1006:AD1006),$AC$1006:$AS$1006,0)))),"Fix")))</f>
        <v>0</v>
      </c>
      <c r="D590" s="5">
        <f>IF(OR(INDEX($W$2:$W$1001,MATCH(ROWS($V$2:V590),$V$2:$V$1001,0),1)&gt;=100000,INDEX($AC$1005:$AS$1005,1,MATCH(COLUMNS($AC$1006:AE1006),$AC$1006:$AS$1006,0))&gt;=100000), " ",IF(INDEX($AC$2:$AS$1001,MATCH(ROWS($V$2:V590),$V$2:$V$1001,0),MATCH(COLUMNS($AC$1006:AE1006),$AC$1006:$AS$1006,0)), HYPERLINK("#",""), HYPERLINK(CONCATENATE("#Metadata!", ADDRESS(INDEX($X$2:$X$1001,MATCH(ROWS($V$2:V590),$V$2:$V$1001,0),0), INDEX($AC$1004:$AS$1004,1,MATCH(COLUMNS($AC$1006:AE1006),$AC$1006:$AS$1006,0)))),"Fix")))</f>
        <v>0</v>
      </c>
      <c r="E590" s="5">
        <f>IF(OR(INDEX($W$2:$W$1001,MATCH(ROWS($V$2:V590),$V$2:$V$1001,0),1)&gt;=100000,INDEX($AC$1005:$AS$1005,1,MATCH(COLUMNS($AC$1006:AF1006),$AC$1006:$AS$1006,0))&gt;=100000), " ",IF(INDEX($AC$2:$AS$1001,MATCH(ROWS($V$2:V590),$V$2:$V$1001,0),MATCH(COLUMNS($AC$1006:AF1006),$AC$1006:$AS$1006,0)), HYPERLINK("#",""), HYPERLINK(CONCATENATE("#Metadata!", ADDRESS(INDEX($X$2:$X$1001,MATCH(ROWS($V$2:V590),$V$2:$V$1001,0),0), INDEX($AC$1004:$AS$1004,1,MATCH(COLUMNS($AC$1006:AF1006),$AC$1006:$AS$1006,0)))),"Fix")))</f>
        <v>0</v>
      </c>
      <c r="F590" s="5">
        <f>IF(OR(INDEX($W$2:$W$1001,MATCH(ROWS($V$2:V590),$V$2:$V$1001,0),1)&gt;=100000,INDEX($AC$1005:$AS$1005,1,MATCH(COLUMNS($AC$1006:AG1006),$AC$1006:$AS$1006,0))&gt;=100000), " ",IF(INDEX($AC$2:$AS$1001,MATCH(ROWS($V$2:V590),$V$2:$V$1001,0),MATCH(COLUMNS($AC$1006:AG1006),$AC$1006:$AS$1006,0)), HYPERLINK("#",""), HYPERLINK(CONCATENATE("#Metadata!", ADDRESS(INDEX($X$2:$X$1001,MATCH(ROWS($V$2:V590),$V$2:$V$1001,0),0), INDEX($AC$1004:$AS$1004,1,MATCH(COLUMNS($AC$1006:AG1006),$AC$1006:$AS$1006,0)))),"Fix")))</f>
        <v>0</v>
      </c>
      <c r="G590" s="5">
        <f>IF(OR(INDEX($W$2:$W$1001,MATCH(ROWS($V$2:V590),$V$2:$V$1001,0),1)&gt;=100000,INDEX($AC$1005:$AS$1005,1,MATCH(COLUMNS($AC$1006:AH1006),$AC$1006:$AS$1006,0))&gt;=100000), " ",IF(INDEX($AC$2:$AS$1001,MATCH(ROWS($V$2:V590),$V$2:$V$1001,0),MATCH(COLUMNS($AC$1006:AH1006),$AC$1006:$AS$1006,0)), HYPERLINK("#",""), HYPERLINK(CONCATENATE("#Metadata!", ADDRESS(INDEX($X$2:$X$1001,MATCH(ROWS($V$2:V590),$V$2:$V$1001,0),0), INDEX($AC$1004:$AS$1004,1,MATCH(COLUMNS($AC$1006:AH1006),$AC$1006:$AS$1006,0)))),"Fix")))</f>
        <v>0</v>
      </c>
      <c r="H590" s="5">
        <f>IF(OR(INDEX($W$2:$W$1001,MATCH(ROWS($V$2:V590),$V$2:$V$1001,0),1)&gt;=100000,INDEX($AC$1005:$AS$1005,1,MATCH(COLUMNS($AC$1006:AI1006),$AC$1006:$AS$1006,0))&gt;=100000), " ",IF(INDEX($AC$2:$AS$1001,MATCH(ROWS($V$2:V590),$V$2:$V$1001,0),MATCH(COLUMNS($AC$1006:AI1006),$AC$1006:$AS$1006,0)), HYPERLINK("#",""), HYPERLINK(CONCATENATE("#Metadata!", ADDRESS(INDEX($X$2:$X$1001,MATCH(ROWS($V$2:V590),$V$2:$V$1001,0),0), INDEX($AC$1004:$AS$1004,1,MATCH(COLUMNS($AC$1006:AI1006),$AC$1006:$AS$1006,0)))),"Fix")))</f>
        <v>0</v>
      </c>
      <c r="I590" s="5">
        <f>IF(OR(INDEX($W$2:$W$1001,MATCH(ROWS($V$2:V590),$V$2:$V$1001,0),1)&gt;=100000,INDEX($AC$1005:$AS$1005,1,MATCH(COLUMNS($AC$1006:AJ1006),$AC$1006:$AS$1006,0))&gt;=100000), " ",IF(INDEX($AC$2:$AS$1001,MATCH(ROWS($V$2:V590),$V$2:$V$1001,0),MATCH(COLUMNS($AC$1006:AJ1006),$AC$1006:$AS$1006,0)), HYPERLINK("#",""), HYPERLINK(CONCATENATE("#Metadata!", ADDRESS(INDEX($X$2:$X$1001,MATCH(ROWS($V$2:V590),$V$2:$V$1001,0),0), INDEX($AC$1004:$AS$1004,1,MATCH(COLUMNS($AC$1006:AJ1006),$AC$1006:$AS$1006,0)))),"Fix")))</f>
        <v>0</v>
      </c>
      <c r="J590" s="5">
        <f>IF(OR(INDEX($W$2:$W$1001,MATCH(ROWS($V$2:V590),$V$2:$V$1001,0),1)&gt;=100000,INDEX($AC$1005:$AS$1005,1,MATCH(COLUMNS($AC$1006:AK1006),$AC$1006:$AS$1006,0))&gt;=100000), " ",IF(INDEX($AC$2:$AS$1001,MATCH(ROWS($V$2:V590),$V$2:$V$1001,0),MATCH(COLUMNS($AC$1006:AK1006),$AC$1006:$AS$1006,0)), HYPERLINK("#",""), HYPERLINK(CONCATENATE("#Metadata!", ADDRESS(INDEX($X$2:$X$1001,MATCH(ROWS($V$2:V590),$V$2:$V$1001,0),0), INDEX($AC$1004:$AS$1004,1,MATCH(COLUMNS($AC$1006:AK1006),$AC$1006:$AS$1006,0)))),"Fix")))</f>
        <v>0</v>
      </c>
      <c r="K590" s="5">
        <f>IF(OR(INDEX($W$2:$W$1001,MATCH(ROWS($V$2:V590),$V$2:$V$1001,0),1)&gt;=100000,INDEX($AC$1005:$AS$1005,1,MATCH(COLUMNS($AC$1006:AL1006),$AC$1006:$AS$1006,0))&gt;=100000), " ",IF(INDEX($AC$2:$AS$1001,MATCH(ROWS($V$2:V590),$V$2:$V$1001,0),MATCH(COLUMNS($AC$1006:AL1006),$AC$1006:$AS$1006,0)), HYPERLINK("#",""), HYPERLINK(CONCATENATE("#Metadata!", ADDRESS(INDEX($X$2:$X$1001,MATCH(ROWS($V$2:V590),$V$2:$V$1001,0),0), INDEX($AC$1004:$AS$1004,1,MATCH(COLUMNS($AC$1006:AL1006),$AC$1006:$AS$1006,0)))),"Fix")))</f>
        <v>0</v>
      </c>
      <c r="L590" s="5">
        <f>IF(OR(INDEX($W$2:$W$1001,MATCH(ROWS($V$2:V590),$V$2:$V$1001,0),1)&gt;=100000,INDEX($AC$1005:$AS$1005,1,MATCH(COLUMNS($AC$1006:AM1006),$AC$1006:$AS$1006,0))&gt;=100000), " ",IF(INDEX($AC$2:$AS$1001,MATCH(ROWS($V$2:V590),$V$2:$V$1001,0),MATCH(COLUMNS($AC$1006:AM1006),$AC$1006:$AS$1006,0)), HYPERLINK("#",""), HYPERLINK(CONCATENATE("#Metadata!", ADDRESS(INDEX($X$2:$X$1001,MATCH(ROWS($V$2:V590),$V$2:$V$1001,0),0), INDEX($AC$1004:$AS$1004,1,MATCH(COLUMNS($AC$1006:AM1006),$AC$1006:$AS$1006,0)))),"Fix")))</f>
        <v>0</v>
      </c>
      <c r="M590" s="5">
        <f>IF(OR(INDEX($W$2:$W$1001,MATCH(ROWS($V$2:V590),$V$2:$V$1001,0),1)&gt;=100000,INDEX($AC$1005:$AS$1005,1,MATCH(COLUMNS($AC$1006:AN1006),$AC$1006:$AS$1006,0))&gt;=100000), " ",IF(INDEX($AC$2:$AS$1001,MATCH(ROWS($V$2:V590),$V$2:$V$1001,0),MATCH(COLUMNS($AC$1006:AN1006),$AC$1006:$AS$1006,0)), HYPERLINK("#",""), HYPERLINK(CONCATENATE("#Metadata!", ADDRESS(INDEX($X$2:$X$1001,MATCH(ROWS($V$2:V590),$V$2:$V$1001,0),0), INDEX($AC$1004:$AS$1004,1,MATCH(COLUMNS($AC$1006:AN1006),$AC$1006:$AS$1006,0)))),"Fix")))</f>
        <v>0</v>
      </c>
      <c r="N590" s="5">
        <f>IF(OR(INDEX($W$2:$W$1001,MATCH(ROWS($V$2:V590),$V$2:$V$1001,0),1)&gt;=100000,INDEX($AC$1005:$AS$1005,1,MATCH(COLUMNS($AC$1006:AO1006),$AC$1006:$AS$1006,0))&gt;=100000), " ",IF(INDEX($AC$2:$AS$1001,MATCH(ROWS($V$2:V590),$V$2:$V$1001,0),MATCH(COLUMNS($AC$1006:AO1006),$AC$1006:$AS$1006,0)), HYPERLINK("#",""), HYPERLINK(CONCATENATE("#Metadata!", ADDRESS(INDEX($X$2:$X$1001,MATCH(ROWS($V$2:V590),$V$2:$V$1001,0),0), INDEX($AC$1004:$AS$1004,1,MATCH(COLUMNS($AC$1006:AO1006),$AC$1006:$AS$1006,0)))),"Fix")))</f>
        <v>0</v>
      </c>
      <c r="O590" s="5">
        <f>IF(OR(INDEX($W$2:$W$1001,MATCH(ROWS($V$2:V590),$V$2:$V$1001,0),1)&gt;=100000,INDEX($AC$1005:$AS$1005,1,MATCH(COLUMNS($AC$1006:AP1006),$AC$1006:$AS$1006,0))&gt;=100000), " ",IF(INDEX($AC$2:$AS$1001,MATCH(ROWS($V$2:V590),$V$2:$V$1001,0),MATCH(COLUMNS($AC$1006:AP1006),$AC$1006:$AS$1006,0)), HYPERLINK("#",""), HYPERLINK(CONCATENATE("#Metadata!", ADDRESS(INDEX($X$2:$X$1001,MATCH(ROWS($V$2:V590),$V$2:$V$1001,0),0), INDEX($AC$1004:$AS$1004,1,MATCH(COLUMNS($AC$1006:AP1006),$AC$1006:$AS$1006,0)))),"Fix")))</f>
        <v>0</v>
      </c>
      <c r="P590" s="5">
        <f>IF(OR(INDEX($W$2:$W$1001,MATCH(ROWS($V$2:V590),$V$2:$V$1001,0),1)&gt;=100000,INDEX($AC$1005:$AS$1005,1,MATCH(COLUMNS($AC$1006:AQ1006),$AC$1006:$AS$1006,0))&gt;=100000), " ",IF(INDEX($AC$2:$AS$1001,MATCH(ROWS($V$2:V590),$V$2:$V$1001,0),MATCH(COLUMNS($AC$1006:AQ1006),$AC$1006:$AS$1006,0)), HYPERLINK("#",""), HYPERLINK(CONCATENATE("#Metadata!", ADDRESS(INDEX($X$2:$X$1001,MATCH(ROWS($V$2:V590),$V$2:$V$1001,0),0), INDEX($AC$1004:$AS$1004,1,MATCH(COLUMNS($AC$1006:AQ1006),$AC$1006:$AS$1006,0)))),"Fix")))</f>
        <v>0</v>
      </c>
      <c r="Q590" s="5">
        <f>IF(OR(INDEX($W$2:$W$1001,MATCH(ROWS($V$2:V590),$V$2:$V$1001,0),1)&gt;=100000,INDEX($AC$1005:$AS$1005,1,MATCH(COLUMNS($AC$1006:AR1006),$AC$1006:$AS$1006,0))&gt;=100000), " ",IF(INDEX($AC$2:$AS$1001,MATCH(ROWS($V$2:V590),$V$2:$V$1001,0),MATCH(COLUMNS($AC$1006:AR1006),$AC$1006:$AS$1006,0)), HYPERLINK("#",""), HYPERLINK(CONCATENATE("#Metadata!", ADDRESS(INDEX($X$2:$X$1001,MATCH(ROWS($V$2:V590),$V$2:$V$1001,0),0), INDEX($AC$1004:$AS$1004,1,MATCH(COLUMNS($AC$1006:AR1006),$AC$1006:$AS$1006,0)))),"Fix")))</f>
        <v>0</v>
      </c>
      <c r="R590" s="5">
        <f>IF(OR(INDEX($W$2:$W$1001,MATCH(ROWS($V$2:V590),$V$2:$V$1001,0),1)&gt;=100000,INDEX($AC$1005:$AS$1005,1,MATCH(COLUMNS($AC$1006:AS1006),$AC$1006:$AS$1006,0))&gt;=100000), " ",IF(INDEX($AC$2:$AS$1001,MATCH(ROWS($V$2:V590),$V$2:$V$1001,0),MATCH(COLUMNS($AC$1006:AS1006),$AC$1006:$AS$1006,0)), HYPERLINK("#",""), HYPERLINK(CONCATENATE("#Metadata!", ADDRESS(INDEX($X$2:$X$1001,MATCH(ROWS($V$2:V590),$V$2:$V$1001,0),0), INDEX($AC$1004:$AS$1004,1,MATCH(COLUMNS($AC$1006:AS1006),$AC$1006:$AS$1006,0)))),"Fix")))</f>
        <v>0</v>
      </c>
      <c r="V590">
        <v>0</v>
      </c>
      <c r="W590">
        <v>0</v>
      </c>
      <c r="X590">
        <v>0</v>
      </c>
      <c r="Y590">
        <f>IF(Z590,TRUE,AND(AC590:AS590))</f>
        <v>0</v>
      </c>
      <c r="Z590">
        <f>COUNTBLANK(Metadata!B590:R590)=COLUMNS(Metadata!B590:R590)</f>
        <v>0</v>
      </c>
      <c r="AA590">
        <v>0</v>
      </c>
      <c r="AC590">
        <f>AND(IF(Metadata!B590="",FALSE,TRUE),COUNTIF(Metadata!B:B, Metadata!B590) = 1,NOT(ISERROR(SUMPRODUCT(SEARCH(MID(Metadata!B590,ROW(INDIRECT("1:"&amp;LEN(Metadata!B590))), 1),"0123456789abcdefghijklmnopqrstuvwxyzABCDEFGHIJKLMNOPQRSTUVWXYZ.")))))</f>
        <v>0</v>
      </c>
      <c r="AD590">
        <f>AND(IF(Metadata!C590="",FALSE,TRUE),exact(Metadata!C590,"Host-associated"))</f>
        <v>0</v>
      </c>
      <c r="AE590">
        <f>AND(IF(Metadata!D590="",FALSE,TRUE),OR(exact(Metadata!D590,"Animal"),exact(Metadata!D590,"Fungus"),exact(Metadata!D590,"Plant")))</f>
        <v>0</v>
      </c>
      <c r="AF590">
        <f>AND(IF(Metadata!E590="",FALSE,TRUE),OR(exact(Metadata!E590,"Plant secretion"),exact(Metadata!E590,"Plant rhizosphere"),exact(Metadata!E590,"Plant surface"),exact(Metadata!E590,"Plant corpus"),exact(Metadata!E590,"Fungus surface"),exact(Metadata!E590,"Fungus corpus"),exact(Metadata!E590,"Animal surface"),exact(Metadata!E590,"Animal proximal gut"),exact(Metadata!E590,"Animal corpus"),exact(Metadata!E590,"Animal distal gut"),exact(Metadata!E590,"Animal secretion")))</f>
        <v>0</v>
      </c>
      <c r="AG590">
        <f>OR(AND(IF(Metadata!F590="",FALSE,TRUE),OR(exact(Metadata!F590,"not collected"),exact(Metadata!F590,"not provided"),exact(Metadata!F590,"restricted access"))),AND(IF(Metadata!F590="",FALSE,TRUE),OR(exact(Metadata!F590,"organism-associated habitat"),exact(Metadata!F590,"plant-associated habitat"),exact(Metadata!F590,"animal-associated habitat"),exact(Metadata!F590,"insecta-associated habitat"),exact(Metadata!F590,"mammalia-associated habitat"),exact(Metadata!F590,"human-associated habitat"),exact(Metadata!F590,"livestock-associated habitat"))))</f>
        <v>0</v>
      </c>
      <c r="AH590">
        <f>AND(IF(Metadata!G590="",FALSE,TRUE),exact(Metadata!G590,"host-associated"))</f>
        <v>0</v>
      </c>
      <c r="AI590">
        <f>OR(AND(IF(Metadata!H590="",FALSE,TRUE),OR(exact(Metadata!H590,"not collected"),exact(Metadata!H590,"not provided"))),AND(IF(Metadata!H590="",FALSE,ISNUMBER(VALUE(Metadata!H590))),Metadata!H590&gt;0))</f>
        <v>0</v>
      </c>
      <c r="AJ590">
        <f>AND(IF(Metadata!I590="",FALSE,TRUE),exact(Metadata!I590,"years"))</f>
        <v>0</v>
      </c>
      <c r="AK590">
        <f>IF(Metadata!J590="",FALSE,TRUE)</f>
        <v>0</v>
      </c>
      <c r="AL590">
        <f>OR(AND(IF(Metadata!K590="",FALSE,TRUE),OR(exact(Metadata!K590,"not collected"),exact(Metadata!K590,"not provided"))),AND(IF(Metadata!K590="",FALSE,ISNUMBER(VALUE(Metadata!K590))),Metadata!K590&gt;0))</f>
        <v>0</v>
      </c>
      <c r="AM590">
        <f>AND(IF(Metadata!L590="",FALSE,TRUE),exact(Metadata!L590,"cm"))</f>
        <v>0</v>
      </c>
      <c r="AN590">
        <f>IF(Metadata!M590="",FALSE,TRUE)</f>
        <v>0</v>
      </c>
      <c r="AO590">
        <f>OR(AND(IF(Metadata!N590="",FALSE,TRUE),OR(exact(Metadata!N590,"not applicable"),exact(Metadata!N590,"not collected"),exact(Metadata!N590,"not provided"))),AND(IF(Metadata!N590="",FALSE,IF(ISERROR(INT(Metadata!N590)),FALSE,INT(Metadata!N590)=Metadata!N590)),Metadata!N590&gt;0))</f>
        <v>0</v>
      </c>
      <c r="AP590">
        <f>OR(AND(IF(Metadata!O590="",FALSE,TRUE),OR(exact(Metadata!O590,"not collected"),exact(Metadata!O590,"not provided"))),AND(IF(Metadata!O590="",FALSE,ISNUMBER(VALUE(Metadata!O590))),Metadata!O590&gt;0))</f>
        <v>0</v>
      </c>
      <c r="AQ590">
        <f>AND(IF(Metadata!P590="",FALSE,TRUE),exact(Metadata!P590,"kg"))</f>
        <v>0</v>
      </c>
      <c r="AR590">
        <f>OR(AND(IF(Metadata!Q590="",FALSE,TRUE),OR(exact(Metadata!Q590,"not applicable"),exact(Metadata!Q590,"not collected"),exact(Metadata!Q590,"not provided"),exact(Metadata!Q590,"restricted access"))),IF(Metadata!Q590="",FALSE,IF(ISERROR(INT(Metadata!Q590)),FALSE,INT(Metadata!Q590)=Metadata!Q590)))</f>
        <v>0</v>
      </c>
      <c r="AS590">
        <f>AND(IF(Metadata!R590="",FALSE,TRUE),exact(Metadata!R590,"Not applicable"))</f>
        <v>0</v>
      </c>
    </row>
    <row r="591" spans="1:45">
      <c r="A591" s="4">
        <f>IF(B591=" "," ",HYPERLINK(CONCATENATE("#metadata!",ADDRESS(INDEX($X$2:$X$1001,MATCH(ROWS($V$2:V591),$V$2:$V$1001,0),0),2)),INDEX($AA$2:$AA$1001,MATCH(ROWS($V$2:V591),$V$2:$V$1001,0),0)))</f>
        <v>0</v>
      </c>
      <c r="B591" s="5">
        <f>IF(OR(INDEX($W$2:$W$1001,MATCH(ROWS($V$2:V591),$V$2:$V$1001,0),1)&gt;=100000,INDEX($AC$1005:$AS$1005,1,MATCH(COLUMNS($AC$1006:AC1006),$AC$1006:$AS$1006,0))&gt;=100000), " ",IF(INDEX($AC$2:$AS$1001,MATCH(ROWS($V$2:V591),$V$2:$V$1001,0),MATCH(COLUMNS($AC$1006:AC1006),$AC$1006:$AS$1006,0)), HYPERLINK("#",""), HYPERLINK(CONCATENATE("#Metadata!", ADDRESS(INDEX($X$2:$X$1001,MATCH(ROWS($V$2:V591),$V$2:$V$1001,0),0), INDEX($AC$1004:$AS$1004,1,MATCH(COLUMNS($AC$1006:AC1006),$AC$1006:$AS$1006,0)))),"Fix")))</f>
        <v>0</v>
      </c>
      <c r="C591" s="5">
        <f>IF(OR(INDEX($W$2:$W$1001,MATCH(ROWS($V$2:V591),$V$2:$V$1001,0),1)&gt;=100000,INDEX($AC$1005:$AS$1005,1,MATCH(COLUMNS($AC$1006:AD1006),$AC$1006:$AS$1006,0))&gt;=100000), " ",IF(INDEX($AC$2:$AS$1001,MATCH(ROWS($V$2:V591),$V$2:$V$1001,0),MATCH(COLUMNS($AC$1006:AD1006),$AC$1006:$AS$1006,0)), HYPERLINK("#",""), HYPERLINK(CONCATENATE("#Metadata!", ADDRESS(INDEX($X$2:$X$1001,MATCH(ROWS($V$2:V591),$V$2:$V$1001,0),0), INDEX($AC$1004:$AS$1004,1,MATCH(COLUMNS($AC$1006:AD1006),$AC$1006:$AS$1006,0)))),"Fix")))</f>
        <v>0</v>
      </c>
      <c r="D591" s="5">
        <f>IF(OR(INDEX($W$2:$W$1001,MATCH(ROWS($V$2:V591),$V$2:$V$1001,0),1)&gt;=100000,INDEX($AC$1005:$AS$1005,1,MATCH(COLUMNS($AC$1006:AE1006),$AC$1006:$AS$1006,0))&gt;=100000), " ",IF(INDEX($AC$2:$AS$1001,MATCH(ROWS($V$2:V591),$V$2:$V$1001,0),MATCH(COLUMNS($AC$1006:AE1006),$AC$1006:$AS$1006,0)), HYPERLINK("#",""), HYPERLINK(CONCATENATE("#Metadata!", ADDRESS(INDEX($X$2:$X$1001,MATCH(ROWS($V$2:V591),$V$2:$V$1001,0),0), INDEX($AC$1004:$AS$1004,1,MATCH(COLUMNS($AC$1006:AE1006),$AC$1006:$AS$1006,0)))),"Fix")))</f>
        <v>0</v>
      </c>
      <c r="E591" s="5">
        <f>IF(OR(INDEX($W$2:$W$1001,MATCH(ROWS($V$2:V591),$V$2:$V$1001,0),1)&gt;=100000,INDEX($AC$1005:$AS$1005,1,MATCH(COLUMNS($AC$1006:AF1006),$AC$1006:$AS$1006,0))&gt;=100000), " ",IF(INDEX($AC$2:$AS$1001,MATCH(ROWS($V$2:V591),$V$2:$V$1001,0),MATCH(COLUMNS($AC$1006:AF1006),$AC$1006:$AS$1006,0)), HYPERLINK("#",""), HYPERLINK(CONCATENATE("#Metadata!", ADDRESS(INDEX($X$2:$X$1001,MATCH(ROWS($V$2:V591),$V$2:$V$1001,0),0), INDEX($AC$1004:$AS$1004,1,MATCH(COLUMNS($AC$1006:AF1006),$AC$1006:$AS$1006,0)))),"Fix")))</f>
        <v>0</v>
      </c>
      <c r="F591" s="5">
        <f>IF(OR(INDEX($W$2:$W$1001,MATCH(ROWS($V$2:V591),$V$2:$V$1001,0),1)&gt;=100000,INDEX($AC$1005:$AS$1005,1,MATCH(COLUMNS($AC$1006:AG1006),$AC$1006:$AS$1006,0))&gt;=100000), " ",IF(INDEX($AC$2:$AS$1001,MATCH(ROWS($V$2:V591),$V$2:$V$1001,0),MATCH(COLUMNS($AC$1006:AG1006),$AC$1006:$AS$1006,0)), HYPERLINK("#",""), HYPERLINK(CONCATENATE("#Metadata!", ADDRESS(INDEX($X$2:$X$1001,MATCH(ROWS($V$2:V591),$V$2:$V$1001,0),0), INDEX($AC$1004:$AS$1004,1,MATCH(COLUMNS($AC$1006:AG1006),$AC$1006:$AS$1006,0)))),"Fix")))</f>
        <v>0</v>
      </c>
      <c r="G591" s="5">
        <f>IF(OR(INDEX($W$2:$W$1001,MATCH(ROWS($V$2:V591),$V$2:$V$1001,0),1)&gt;=100000,INDEX($AC$1005:$AS$1005,1,MATCH(COLUMNS($AC$1006:AH1006),$AC$1006:$AS$1006,0))&gt;=100000), " ",IF(INDEX($AC$2:$AS$1001,MATCH(ROWS($V$2:V591),$V$2:$V$1001,0),MATCH(COLUMNS($AC$1006:AH1006),$AC$1006:$AS$1006,0)), HYPERLINK("#",""), HYPERLINK(CONCATENATE("#Metadata!", ADDRESS(INDEX($X$2:$X$1001,MATCH(ROWS($V$2:V591),$V$2:$V$1001,0),0), INDEX($AC$1004:$AS$1004,1,MATCH(COLUMNS($AC$1006:AH1006),$AC$1006:$AS$1006,0)))),"Fix")))</f>
        <v>0</v>
      </c>
      <c r="H591" s="5">
        <f>IF(OR(INDEX($W$2:$W$1001,MATCH(ROWS($V$2:V591),$V$2:$V$1001,0),1)&gt;=100000,INDEX($AC$1005:$AS$1005,1,MATCH(COLUMNS($AC$1006:AI1006),$AC$1006:$AS$1006,0))&gt;=100000), " ",IF(INDEX($AC$2:$AS$1001,MATCH(ROWS($V$2:V591),$V$2:$V$1001,0),MATCH(COLUMNS($AC$1006:AI1006),$AC$1006:$AS$1006,0)), HYPERLINK("#",""), HYPERLINK(CONCATENATE("#Metadata!", ADDRESS(INDEX($X$2:$X$1001,MATCH(ROWS($V$2:V591),$V$2:$V$1001,0),0), INDEX($AC$1004:$AS$1004,1,MATCH(COLUMNS($AC$1006:AI1006),$AC$1006:$AS$1006,0)))),"Fix")))</f>
        <v>0</v>
      </c>
      <c r="I591" s="5">
        <f>IF(OR(INDEX($W$2:$W$1001,MATCH(ROWS($V$2:V591),$V$2:$V$1001,0),1)&gt;=100000,INDEX($AC$1005:$AS$1005,1,MATCH(COLUMNS($AC$1006:AJ1006),$AC$1006:$AS$1006,0))&gt;=100000), " ",IF(INDEX($AC$2:$AS$1001,MATCH(ROWS($V$2:V591),$V$2:$V$1001,0),MATCH(COLUMNS($AC$1006:AJ1006),$AC$1006:$AS$1006,0)), HYPERLINK("#",""), HYPERLINK(CONCATENATE("#Metadata!", ADDRESS(INDEX($X$2:$X$1001,MATCH(ROWS($V$2:V591),$V$2:$V$1001,0),0), INDEX($AC$1004:$AS$1004,1,MATCH(COLUMNS($AC$1006:AJ1006),$AC$1006:$AS$1006,0)))),"Fix")))</f>
        <v>0</v>
      </c>
      <c r="J591" s="5">
        <f>IF(OR(INDEX($W$2:$W$1001,MATCH(ROWS($V$2:V591),$V$2:$V$1001,0),1)&gt;=100000,INDEX($AC$1005:$AS$1005,1,MATCH(COLUMNS($AC$1006:AK1006),$AC$1006:$AS$1006,0))&gt;=100000), " ",IF(INDEX($AC$2:$AS$1001,MATCH(ROWS($V$2:V591),$V$2:$V$1001,0),MATCH(COLUMNS($AC$1006:AK1006),$AC$1006:$AS$1006,0)), HYPERLINK("#",""), HYPERLINK(CONCATENATE("#Metadata!", ADDRESS(INDEX($X$2:$X$1001,MATCH(ROWS($V$2:V591),$V$2:$V$1001,0),0), INDEX($AC$1004:$AS$1004,1,MATCH(COLUMNS($AC$1006:AK1006),$AC$1006:$AS$1006,0)))),"Fix")))</f>
        <v>0</v>
      </c>
      <c r="K591" s="5">
        <f>IF(OR(INDEX($W$2:$W$1001,MATCH(ROWS($V$2:V591),$V$2:$V$1001,0),1)&gt;=100000,INDEX($AC$1005:$AS$1005,1,MATCH(COLUMNS($AC$1006:AL1006),$AC$1006:$AS$1006,0))&gt;=100000), " ",IF(INDEX($AC$2:$AS$1001,MATCH(ROWS($V$2:V591),$V$2:$V$1001,0),MATCH(COLUMNS($AC$1006:AL1006),$AC$1006:$AS$1006,0)), HYPERLINK("#",""), HYPERLINK(CONCATENATE("#Metadata!", ADDRESS(INDEX($X$2:$X$1001,MATCH(ROWS($V$2:V591),$V$2:$V$1001,0),0), INDEX($AC$1004:$AS$1004,1,MATCH(COLUMNS($AC$1006:AL1006),$AC$1006:$AS$1006,0)))),"Fix")))</f>
        <v>0</v>
      </c>
      <c r="L591" s="5">
        <f>IF(OR(INDEX($W$2:$W$1001,MATCH(ROWS($V$2:V591),$V$2:$V$1001,0),1)&gt;=100000,INDEX($AC$1005:$AS$1005,1,MATCH(COLUMNS($AC$1006:AM1006),$AC$1006:$AS$1006,0))&gt;=100000), " ",IF(INDEX($AC$2:$AS$1001,MATCH(ROWS($V$2:V591),$V$2:$V$1001,0),MATCH(COLUMNS($AC$1006:AM1006),$AC$1006:$AS$1006,0)), HYPERLINK("#",""), HYPERLINK(CONCATENATE("#Metadata!", ADDRESS(INDEX($X$2:$X$1001,MATCH(ROWS($V$2:V591),$V$2:$V$1001,0),0), INDEX($AC$1004:$AS$1004,1,MATCH(COLUMNS($AC$1006:AM1006),$AC$1006:$AS$1006,0)))),"Fix")))</f>
        <v>0</v>
      </c>
      <c r="M591" s="5">
        <f>IF(OR(INDEX($W$2:$W$1001,MATCH(ROWS($V$2:V591),$V$2:$V$1001,0),1)&gt;=100000,INDEX($AC$1005:$AS$1005,1,MATCH(COLUMNS($AC$1006:AN1006),$AC$1006:$AS$1006,0))&gt;=100000), " ",IF(INDEX($AC$2:$AS$1001,MATCH(ROWS($V$2:V591),$V$2:$V$1001,0),MATCH(COLUMNS($AC$1006:AN1006),$AC$1006:$AS$1006,0)), HYPERLINK("#",""), HYPERLINK(CONCATENATE("#Metadata!", ADDRESS(INDEX($X$2:$X$1001,MATCH(ROWS($V$2:V591),$V$2:$V$1001,0),0), INDEX($AC$1004:$AS$1004,1,MATCH(COLUMNS($AC$1006:AN1006),$AC$1006:$AS$1006,0)))),"Fix")))</f>
        <v>0</v>
      </c>
      <c r="N591" s="5">
        <f>IF(OR(INDEX($W$2:$W$1001,MATCH(ROWS($V$2:V591),$V$2:$V$1001,0),1)&gt;=100000,INDEX($AC$1005:$AS$1005,1,MATCH(COLUMNS($AC$1006:AO1006),$AC$1006:$AS$1006,0))&gt;=100000), " ",IF(INDEX($AC$2:$AS$1001,MATCH(ROWS($V$2:V591),$V$2:$V$1001,0),MATCH(COLUMNS($AC$1006:AO1006),$AC$1006:$AS$1006,0)), HYPERLINK("#",""), HYPERLINK(CONCATENATE("#Metadata!", ADDRESS(INDEX($X$2:$X$1001,MATCH(ROWS($V$2:V591),$V$2:$V$1001,0),0), INDEX($AC$1004:$AS$1004,1,MATCH(COLUMNS($AC$1006:AO1006),$AC$1006:$AS$1006,0)))),"Fix")))</f>
        <v>0</v>
      </c>
      <c r="O591" s="5">
        <f>IF(OR(INDEX($W$2:$W$1001,MATCH(ROWS($V$2:V591),$V$2:$V$1001,0),1)&gt;=100000,INDEX($AC$1005:$AS$1005,1,MATCH(COLUMNS($AC$1006:AP1006),$AC$1006:$AS$1006,0))&gt;=100000), " ",IF(INDEX($AC$2:$AS$1001,MATCH(ROWS($V$2:V591),$V$2:$V$1001,0),MATCH(COLUMNS($AC$1006:AP1006),$AC$1006:$AS$1006,0)), HYPERLINK("#",""), HYPERLINK(CONCATENATE("#Metadata!", ADDRESS(INDEX($X$2:$X$1001,MATCH(ROWS($V$2:V591),$V$2:$V$1001,0),0), INDEX($AC$1004:$AS$1004,1,MATCH(COLUMNS($AC$1006:AP1006),$AC$1006:$AS$1006,0)))),"Fix")))</f>
        <v>0</v>
      </c>
      <c r="P591" s="5">
        <f>IF(OR(INDEX($W$2:$W$1001,MATCH(ROWS($V$2:V591),$V$2:$V$1001,0),1)&gt;=100000,INDEX($AC$1005:$AS$1005,1,MATCH(COLUMNS($AC$1006:AQ1006),$AC$1006:$AS$1006,0))&gt;=100000), " ",IF(INDEX($AC$2:$AS$1001,MATCH(ROWS($V$2:V591),$V$2:$V$1001,0),MATCH(COLUMNS($AC$1006:AQ1006),$AC$1006:$AS$1006,0)), HYPERLINK("#",""), HYPERLINK(CONCATENATE("#Metadata!", ADDRESS(INDEX($X$2:$X$1001,MATCH(ROWS($V$2:V591),$V$2:$V$1001,0),0), INDEX($AC$1004:$AS$1004,1,MATCH(COLUMNS($AC$1006:AQ1006),$AC$1006:$AS$1006,0)))),"Fix")))</f>
        <v>0</v>
      </c>
      <c r="Q591" s="5">
        <f>IF(OR(INDEX($W$2:$W$1001,MATCH(ROWS($V$2:V591),$V$2:$V$1001,0),1)&gt;=100000,INDEX($AC$1005:$AS$1005,1,MATCH(COLUMNS($AC$1006:AR1006),$AC$1006:$AS$1006,0))&gt;=100000), " ",IF(INDEX($AC$2:$AS$1001,MATCH(ROWS($V$2:V591),$V$2:$V$1001,0),MATCH(COLUMNS($AC$1006:AR1006),$AC$1006:$AS$1006,0)), HYPERLINK("#",""), HYPERLINK(CONCATENATE("#Metadata!", ADDRESS(INDEX($X$2:$X$1001,MATCH(ROWS($V$2:V591),$V$2:$V$1001,0),0), INDEX($AC$1004:$AS$1004,1,MATCH(COLUMNS($AC$1006:AR1006),$AC$1006:$AS$1006,0)))),"Fix")))</f>
        <v>0</v>
      </c>
      <c r="R591" s="5">
        <f>IF(OR(INDEX($W$2:$W$1001,MATCH(ROWS($V$2:V591),$V$2:$V$1001,0),1)&gt;=100000,INDEX($AC$1005:$AS$1005,1,MATCH(COLUMNS($AC$1006:AS1006),$AC$1006:$AS$1006,0))&gt;=100000), " ",IF(INDEX($AC$2:$AS$1001,MATCH(ROWS($V$2:V591),$V$2:$V$1001,0),MATCH(COLUMNS($AC$1006:AS1006),$AC$1006:$AS$1006,0)), HYPERLINK("#",""), HYPERLINK(CONCATENATE("#Metadata!", ADDRESS(INDEX($X$2:$X$1001,MATCH(ROWS($V$2:V591),$V$2:$V$1001,0),0), INDEX($AC$1004:$AS$1004,1,MATCH(COLUMNS($AC$1006:AS1006),$AC$1006:$AS$1006,0)))),"Fix")))</f>
        <v>0</v>
      </c>
      <c r="V591">
        <v>0</v>
      </c>
      <c r="W591">
        <v>0</v>
      </c>
      <c r="X591">
        <v>0</v>
      </c>
      <c r="Y591">
        <f>IF(Z591,TRUE,AND(AC591:AS591))</f>
        <v>0</v>
      </c>
      <c r="Z591">
        <f>COUNTBLANK(Metadata!B591:R591)=COLUMNS(Metadata!B591:R591)</f>
        <v>0</v>
      </c>
      <c r="AA591">
        <v>0</v>
      </c>
      <c r="AC591">
        <f>AND(IF(Metadata!B591="",FALSE,TRUE),COUNTIF(Metadata!B:B, Metadata!B591) = 1,NOT(ISERROR(SUMPRODUCT(SEARCH(MID(Metadata!B591,ROW(INDIRECT("1:"&amp;LEN(Metadata!B591))), 1),"0123456789abcdefghijklmnopqrstuvwxyzABCDEFGHIJKLMNOPQRSTUVWXYZ.")))))</f>
        <v>0</v>
      </c>
      <c r="AD591">
        <f>AND(IF(Metadata!C591="",FALSE,TRUE),exact(Metadata!C591,"Host-associated"))</f>
        <v>0</v>
      </c>
      <c r="AE591">
        <f>AND(IF(Metadata!D591="",FALSE,TRUE),OR(exact(Metadata!D591,"Animal"),exact(Metadata!D591,"Fungus"),exact(Metadata!D591,"Plant")))</f>
        <v>0</v>
      </c>
      <c r="AF591">
        <f>AND(IF(Metadata!E591="",FALSE,TRUE),OR(exact(Metadata!E591,"Plant secretion"),exact(Metadata!E591,"Plant rhizosphere"),exact(Metadata!E591,"Plant surface"),exact(Metadata!E591,"Plant corpus"),exact(Metadata!E591,"Fungus surface"),exact(Metadata!E591,"Fungus corpus"),exact(Metadata!E591,"Animal surface"),exact(Metadata!E591,"Animal proximal gut"),exact(Metadata!E591,"Animal corpus"),exact(Metadata!E591,"Animal distal gut"),exact(Metadata!E591,"Animal secretion")))</f>
        <v>0</v>
      </c>
      <c r="AG591">
        <f>OR(AND(IF(Metadata!F591="",FALSE,TRUE),OR(exact(Metadata!F591,"not collected"),exact(Metadata!F591,"not provided"),exact(Metadata!F591,"restricted access"))),AND(IF(Metadata!F591="",FALSE,TRUE),OR(exact(Metadata!F591,"organism-associated habitat"),exact(Metadata!F591,"plant-associated habitat"),exact(Metadata!F591,"animal-associated habitat"),exact(Metadata!F591,"insecta-associated habitat"),exact(Metadata!F591,"mammalia-associated habitat"),exact(Metadata!F591,"human-associated habitat"),exact(Metadata!F591,"livestock-associated habitat"))))</f>
        <v>0</v>
      </c>
      <c r="AH591">
        <f>AND(IF(Metadata!G591="",FALSE,TRUE),exact(Metadata!G591,"host-associated"))</f>
        <v>0</v>
      </c>
      <c r="AI591">
        <f>OR(AND(IF(Metadata!H591="",FALSE,TRUE),OR(exact(Metadata!H591,"not collected"),exact(Metadata!H591,"not provided"))),AND(IF(Metadata!H591="",FALSE,ISNUMBER(VALUE(Metadata!H591))),Metadata!H591&gt;0))</f>
        <v>0</v>
      </c>
      <c r="AJ591">
        <f>AND(IF(Metadata!I591="",FALSE,TRUE),exact(Metadata!I591,"years"))</f>
        <v>0</v>
      </c>
      <c r="AK591">
        <f>IF(Metadata!J591="",FALSE,TRUE)</f>
        <v>0</v>
      </c>
      <c r="AL591">
        <f>OR(AND(IF(Metadata!K591="",FALSE,TRUE),OR(exact(Metadata!K591,"not collected"),exact(Metadata!K591,"not provided"))),AND(IF(Metadata!K591="",FALSE,ISNUMBER(VALUE(Metadata!K591))),Metadata!K591&gt;0))</f>
        <v>0</v>
      </c>
      <c r="AM591">
        <f>AND(IF(Metadata!L591="",FALSE,TRUE),exact(Metadata!L591,"cm"))</f>
        <v>0</v>
      </c>
      <c r="AN591">
        <f>IF(Metadata!M591="",FALSE,TRUE)</f>
        <v>0</v>
      </c>
      <c r="AO591">
        <f>OR(AND(IF(Metadata!N591="",FALSE,TRUE),OR(exact(Metadata!N591,"not applicable"),exact(Metadata!N591,"not collected"),exact(Metadata!N591,"not provided"))),AND(IF(Metadata!N591="",FALSE,IF(ISERROR(INT(Metadata!N591)),FALSE,INT(Metadata!N591)=Metadata!N591)),Metadata!N591&gt;0))</f>
        <v>0</v>
      </c>
      <c r="AP591">
        <f>OR(AND(IF(Metadata!O591="",FALSE,TRUE),OR(exact(Metadata!O591,"not collected"),exact(Metadata!O591,"not provided"))),AND(IF(Metadata!O591="",FALSE,ISNUMBER(VALUE(Metadata!O591))),Metadata!O591&gt;0))</f>
        <v>0</v>
      </c>
      <c r="AQ591">
        <f>AND(IF(Metadata!P591="",FALSE,TRUE),exact(Metadata!P591,"kg"))</f>
        <v>0</v>
      </c>
      <c r="AR591">
        <f>OR(AND(IF(Metadata!Q591="",FALSE,TRUE),OR(exact(Metadata!Q591,"not applicable"),exact(Metadata!Q591,"not collected"),exact(Metadata!Q591,"not provided"),exact(Metadata!Q591,"restricted access"))),IF(Metadata!Q591="",FALSE,IF(ISERROR(INT(Metadata!Q591)),FALSE,INT(Metadata!Q591)=Metadata!Q591)))</f>
        <v>0</v>
      </c>
      <c r="AS591">
        <f>AND(IF(Metadata!R591="",FALSE,TRUE),exact(Metadata!R591,"Not applicable"))</f>
        <v>0</v>
      </c>
    </row>
    <row r="592" spans="1:45">
      <c r="A592" s="4">
        <f>IF(B592=" "," ",HYPERLINK(CONCATENATE("#metadata!",ADDRESS(INDEX($X$2:$X$1001,MATCH(ROWS($V$2:V592),$V$2:$V$1001,0),0),2)),INDEX($AA$2:$AA$1001,MATCH(ROWS($V$2:V592),$V$2:$V$1001,0),0)))</f>
        <v>0</v>
      </c>
      <c r="B592" s="5">
        <f>IF(OR(INDEX($W$2:$W$1001,MATCH(ROWS($V$2:V592),$V$2:$V$1001,0),1)&gt;=100000,INDEX($AC$1005:$AS$1005,1,MATCH(COLUMNS($AC$1006:AC1006),$AC$1006:$AS$1006,0))&gt;=100000), " ",IF(INDEX($AC$2:$AS$1001,MATCH(ROWS($V$2:V592),$V$2:$V$1001,0),MATCH(COLUMNS($AC$1006:AC1006),$AC$1006:$AS$1006,0)), HYPERLINK("#",""), HYPERLINK(CONCATENATE("#Metadata!", ADDRESS(INDEX($X$2:$X$1001,MATCH(ROWS($V$2:V592),$V$2:$V$1001,0),0), INDEX($AC$1004:$AS$1004,1,MATCH(COLUMNS($AC$1006:AC1006),$AC$1006:$AS$1006,0)))),"Fix")))</f>
        <v>0</v>
      </c>
      <c r="C592" s="5">
        <f>IF(OR(INDEX($W$2:$W$1001,MATCH(ROWS($V$2:V592),$V$2:$V$1001,0),1)&gt;=100000,INDEX($AC$1005:$AS$1005,1,MATCH(COLUMNS($AC$1006:AD1006),$AC$1006:$AS$1006,0))&gt;=100000), " ",IF(INDEX($AC$2:$AS$1001,MATCH(ROWS($V$2:V592),$V$2:$V$1001,0),MATCH(COLUMNS($AC$1006:AD1006),$AC$1006:$AS$1006,0)), HYPERLINK("#",""), HYPERLINK(CONCATENATE("#Metadata!", ADDRESS(INDEX($X$2:$X$1001,MATCH(ROWS($V$2:V592),$V$2:$V$1001,0),0), INDEX($AC$1004:$AS$1004,1,MATCH(COLUMNS($AC$1006:AD1006),$AC$1006:$AS$1006,0)))),"Fix")))</f>
        <v>0</v>
      </c>
      <c r="D592" s="5">
        <f>IF(OR(INDEX($W$2:$W$1001,MATCH(ROWS($V$2:V592),$V$2:$V$1001,0),1)&gt;=100000,INDEX($AC$1005:$AS$1005,1,MATCH(COLUMNS($AC$1006:AE1006),$AC$1006:$AS$1006,0))&gt;=100000), " ",IF(INDEX($AC$2:$AS$1001,MATCH(ROWS($V$2:V592),$V$2:$V$1001,0),MATCH(COLUMNS($AC$1006:AE1006),$AC$1006:$AS$1006,0)), HYPERLINK("#",""), HYPERLINK(CONCATENATE("#Metadata!", ADDRESS(INDEX($X$2:$X$1001,MATCH(ROWS($V$2:V592),$V$2:$V$1001,0),0), INDEX($AC$1004:$AS$1004,1,MATCH(COLUMNS($AC$1006:AE1006),$AC$1006:$AS$1006,0)))),"Fix")))</f>
        <v>0</v>
      </c>
      <c r="E592" s="5">
        <f>IF(OR(INDEX($W$2:$W$1001,MATCH(ROWS($V$2:V592),$V$2:$V$1001,0),1)&gt;=100000,INDEX($AC$1005:$AS$1005,1,MATCH(COLUMNS($AC$1006:AF1006),$AC$1006:$AS$1006,0))&gt;=100000), " ",IF(INDEX($AC$2:$AS$1001,MATCH(ROWS($V$2:V592),$V$2:$V$1001,0),MATCH(COLUMNS($AC$1006:AF1006),$AC$1006:$AS$1006,0)), HYPERLINK("#",""), HYPERLINK(CONCATENATE("#Metadata!", ADDRESS(INDEX($X$2:$X$1001,MATCH(ROWS($V$2:V592),$V$2:$V$1001,0),0), INDEX($AC$1004:$AS$1004,1,MATCH(COLUMNS($AC$1006:AF1006),$AC$1006:$AS$1006,0)))),"Fix")))</f>
        <v>0</v>
      </c>
      <c r="F592" s="5">
        <f>IF(OR(INDEX($W$2:$W$1001,MATCH(ROWS($V$2:V592),$V$2:$V$1001,0),1)&gt;=100000,INDEX($AC$1005:$AS$1005,1,MATCH(COLUMNS($AC$1006:AG1006),$AC$1006:$AS$1006,0))&gt;=100000), " ",IF(INDEX($AC$2:$AS$1001,MATCH(ROWS($V$2:V592),$V$2:$V$1001,0),MATCH(COLUMNS($AC$1006:AG1006),$AC$1006:$AS$1006,0)), HYPERLINK("#",""), HYPERLINK(CONCATENATE("#Metadata!", ADDRESS(INDEX($X$2:$X$1001,MATCH(ROWS($V$2:V592),$V$2:$V$1001,0),0), INDEX($AC$1004:$AS$1004,1,MATCH(COLUMNS($AC$1006:AG1006),$AC$1006:$AS$1006,0)))),"Fix")))</f>
        <v>0</v>
      </c>
      <c r="G592" s="5">
        <f>IF(OR(INDEX($W$2:$W$1001,MATCH(ROWS($V$2:V592),$V$2:$V$1001,0),1)&gt;=100000,INDEX($AC$1005:$AS$1005,1,MATCH(COLUMNS($AC$1006:AH1006),$AC$1006:$AS$1006,0))&gt;=100000), " ",IF(INDEX($AC$2:$AS$1001,MATCH(ROWS($V$2:V592),$V$2:$V$1001,0),MATCH(COLUMNS($AC$1006:AH1006),$AC$1006:$AS$1006,0)), HYPERLINK("#",""), HYPERLINK(CONCATENATE("#Metadata!", ADDRESS(INDEX($X$2:$X$1001,MATCH(ROWS($V$2:V592),$V$2:$V$1001,0),0), INDEX($AC$1004:$AS$1004,1,MATCH(COLUMNS($AC$1006:AH1006),$AC$1006:$AS$1006,0)))),"Fix")))</f>
        <v>0</v>
      </c>
      <c r="H592" s="5">
        <f>IF(OR(INDEX($W$2:$W$1001,MATCH(ROWS($V$2:V592),$V$2:$V$1001,0),1)&gt;=100000,INDEX($AC$1005:$AS$1005,1,MATCH(COLUMNS($AC$1006:AI1006),$AC$1006:$AS$1006,0))&gt;=100000), " ",IF(INDEX($AC$2:$AS$1001,MATCH(ROWS($V$2:V592),$V$2:$V$1001,0),MATCH(COLUMNS($AC$1006:AI1006),$AC$1006:$AS$1006,0)), HYPERLINK("#",""), HYPERLINK(CONCATENATE("#Metadata!", ADDRESS(INDEX($X$2:$X$1001,MATCH(ROWS($V$2:V592),$V$2:$V$1001,0),0), INDEX($AC$1004:$AS$1004,1,MATCH(COLUMNS($AC$1006:AI1006),$AC$1006:$AS$1006,0)))),"Fix")))</f>
        <v>0</v>
      </c>
      <c r="I592" s="5">
        <f>IF(OR(INDEX($W$2:$W$1001,MATCH(ROWS($V$2:V592),$V$2:$V$1001,0),1)&gt;=100000,INDEX($AC$1005:$AS$1005,1,MATCH(COLUMNS($AC$1006:AJ1006),$AC$1006:$AS$1006,0))&gt;=100000), " ",IF(INDEX($AC$2:$AS$1001,MATCH(ROWS($V$2:V592),$V$2:$V$1001,0),MATCH(COLUMNS($AC$1006:AJ1006),$AC$1006:$AS$1006,0)), HYPERLINK("#",""), HYPERLINK(CONCATENATE("#Metadata!", ADDRESS(INDEX($X$2:$X$1001,MATCH(ROWS($V$2:V592),$V$2:$V$1001,0),0), INDEX($AC$1004:$AS$1004,1,MATCH(COLUMNS($AC$1006:AJ1006),$AC$1006:$AS$1006,0)))),"Fix")))</f>
        <v>0</v>
      </c>
      <c r="J592" s="5">
        <f>IF(OR(INDEX($W$2:$W$1001,MATCH(ROWS($V$2:V592),$V$2:$V$1001,0),1)&gt;=100000,INDEX($AC$1005:$AS$1005,1,MATCH(COLUMNS($AC$1006:AK1006),$AC$1006:$AS$1006,0))&gt;=100000), " ",IF(INDEX($AC$2:$AS$1001,MATCH(ROWS($V$2:V592),$V$2:$V$1001,0),MATCH(COLUMNS($AC$1006:AK1006),$AC$1006:$AS$1006,0)), HYPERLINK("#",""), HYPERLINK(CONCATENATE("#Metadata!", ADDRESS(INDEX($X$2:$X$1001,MATCH(ROWS($V$2:V592),$V$2:$V$1001,0),0), INDEX($AC$1004:$AS$1004,1,MATCH(COLUMNS($AC$1006:AK1006),$AC$1006:$AS$1006,0)))),"Fix")))</f>
        <v>0</v>
      </c>
      <c r="K592" s="5">
        <f>IF(OR(INDEX($W$2:$W$1001,MATCH(ROWS($V$2:V592),$V$2:$V$1001,0),1)&gt;=100000,INDEX($AC$1005:$AS$1005,1,MATCH(COLUMNS($AC$1006:AL1006),$AC$1006:$AS$1006,0))&gt;=100000), " ",IF(INDEX($AC$2:$AS$1001,MATCH(ROWS($V$2:V592),$V$2:$V$1001,0),MATCH(COLUMNS($AC$1006:AL1006),$AC$1006:$AS$1006,0)), HYPERLINK("#",""), HYPERLINK(CONCATENATE("#Metadata!", ADDRESS(INDEX($X$2:$X$1001,MATCH(ROWS($V$2:V592),$V$2:$V$1001,0),0), INDEX($AC$1004:$AS$1004,1,MATCH(COLUMNS($AC$1006:AL1006),$AC$1006:$AS$1006,0)))),"Fix")))</f>
        <v>0</v>
      </c>
      <c r="L592" s="5">
        <f>IF(OR(INDEX($W$2:$W$1001,MATCH(ROWS($V$2:V592),$V$2:$V$1001,0),1)&gt;=100000,INDEX($AC$1005:$AS$1005,1,MATCH(COLUMNS($AC$1006:AM1006),$AC$1006:$AS$1006,0))&gt;=100000), " ",IF(INDEX($AC$2:$AS$1001,MATCH(ROWS($V$2:V592),$V$2:$V$1001,0),MATCH(COLUMNS($AC$1006:AM1006),$AC$1006:$AS$1006,0)), HYPERLINK("#",""), HYPERLINK(CONCATENATE("#Metadata!", ADDRESS(INDEX($X$2:$X$1001,MATCH(ROWS($V$2:V592),$V$2:$V$1001,0),0), INDEX($AC$1004:$AS$1004,1,MATCH(COLUMNS($AC$1006:AM1006),$AC$1006:$AS$1006,0)))),"Fix")))</f>
        <v>0</v>
      </c>
      <c r="M592" s="5">
        <f>IF(OR(INDEX($W$2:$W$1001,MATCH(ROWS($V$2:V592),$V$2:$V$1001,0),1)&gt;=100000,INDEX($AC$1005:$AS$1005,1,MATCH(COLUMNS($AC$1006:AN1006),$AC$1006:$AS$1006,0))&gt;=100000), " ",IF(INDEX($AC$2:$AS$1001,MATCH(ROWS($V$2:V592),$V$2:$V$1001,0),MATCH(COLUMNS($AC$1006:AN1006),$AC$1006:$AS$1006,0)), HYPERLINK("#",""), HYPERLINK(CONCATENATE("#Metadata!", ADDRESS(INDEX($X$2:$X$1001,MATCH(ROWS($V$2:V592),$V$2:$V$1001,0),0), INDEX($AC$1004:$AS$1004,1,MATCH(COLUMNS($AC$1006:AN1006),$AC$1006:$AS$1006,0)))),"Fix")))</f>
        <v>0</v>
      </c>
      <c r="N592" s="5">
        <f>IF(OR(INDEX($W$2:$W$1001,MATCH(ROWS($V$2:V592),$V$2:$V$1001,0),1)&gt;=100000,INDEX($AC$1005:$AS$1005,1,MATCH(COLUMNS($AC$1006:AO1006),$AC$1006:$AS$1006,0))&gt;=100000), " ",IF(INDEX($AC$2:$AS$1001,MATCH(ROWS($V$2:V592),$V$2:$V$1001,0),MATCH(COLUMNS($AC$1006:AO1006),$AC$1006:$AS$1006,0)), HYPERLINK("#",""), HYPERLINK(CONCATENATE("#Metadata!", ADDRESS(INDEX($X$2:$X$1001,MATCH(ROWS($V$2:V592),$V$2:$V$1001,0),0), INDEX($AC$1004:$AS$1004,1,MATCH(COLUMNS($AC$1006:AO1006),$AC$1006:$AS$1006,0)))),"Fix")))</f>
        <v>0</v>
      </c>
      <c r="O592" s="5">
        <f>IF(OR(INDEX($W$2:$W$1001,MATCH(ROWS($V$2:V592),$V$2:$V$1001,0),1)&gt;=100000,INDEX($AC$1005:$AS$1005,1,MATCH(COLUMNS($AC$1006:AP1006),$AC$1006:$AS$1006,0))&gt;=100000), " ",IF(INDEX($AC$2:$AS$1001,MATCH(ROWS($V$2:V592),$V$2:$V$1001,0),MATCH(COLUMNS($AC$1006:AP1006),$AC$1006:$AS$1006,0)), HYPERLINK("#",""), HYPERLINK(CONCATENATE("#Metadata!", ADDRESS(INDEX($X$2:$X$1001,MATCH(ROWS($V$2:V592),$V$2:$V$1001,0),0), INDEX($AC$1004:$AS$1004,1,MATCH(COLUMNS($AC$1006:AP1006),$AC$1006:$AS$1006,0)))),"Fix")))</f>
        <v>0</v>
      </c>
      <c r="P592" s="5">
        <f>IF(OR(INDEX($W$2:$W$1001,MATCH(ROWS($V$2:V592),$V$2:$V$1001,0),1)&gt;=100000,INDEX($AC$1005:$AS$1005,1,MATCH(COLUMNS($AC$1006:AQ1006),$AC$1006:$AS$1006,0))&gt;=100000), " ",IF(INDEX($AC$2:$AS$1001,MATCH(ROWS($V$2:V592),$V$2:$V$1001,0),MATCH(COLUMNS($AC$1006:AQ1006),$AC$1006:$AS$1006,0)), HYPERLINK("#",""), HYPERLINK(CONCATENATE("#Metadata!", ADDRESS(INDEX($X$2:$X$1001,MATCH(ROWS($V$2:V592),$V$2:$V$1001,0),0), INDEX($AC$1004:$AS$1004,1,MATCH(COLUMNS($AC$1006:AQ1006),$AC$1006:$AS$1006,0)))),"Fix")))</f>
        <v>0</v>
      </c>
      <c r="Q592" s="5">
        <f>IF(OR(INDEX($W$2:$W$1001,MATCH(ROWS($V$2:V592),$V$2:$V$1001,0),1)&gt;=100000,INDEX($AC$1005:$AS$1005,1,MATCH(COLUMNS($AC$1006:AR1006),$AC$1006:$AS$1006,0))&gt;=100000), " ",IF(INDEX($AC$2:$AS$1001,MATCH(ROWS($V$2:V592),$V$2:$V$1001,0),MATCH(COLUMNS($AC$1006:AR1006),$AC$1006:$AS$1006,0)), HYPERLINK("#",""), HYPERLINK(CONCATENATE("#Metadata!", ADDRESS(INDEX($X$2:$X$1001,MATCH(ROWS($V$2:V592),$V$2:$V$1001,0),0), INDEX($AC$1004:$AS$1004,1,MATCH(COLUMNS($AC$1006:AR1006),$AC$1006:$AS$1006,0)))),"Fix")))</f>
        <v>0</v>
      </c>
      <c r="R592" s="5">
        <f>IF(OR(INDEX($W$2:$W$1001,MATCH(ROWS($V$2:V592),$V$2:$V$1001,0),1)&gt;=100000,INDEX($AC$1005:$AS$1005,1,MATCH(COLUMNS($AC$1006:AS1006),$AC$1006:$AS$1006,0))&gt;=100000), " ",IF(INDEX($AC$2:$AS$1001,MATCH(ROWS($V$2:V592),$V$2:$V$1001,0),MATCH(COLUMNS($AC$1006:AS1006),$AC$1006:$AS$1006,0)), HYPERLINK("#",""), HYPERLINK(CONCATENATE("#Metadata!", ADDRESS(INDEX($X$2:$X$1001,MATCH(ROWS($V$2:V592),$V$2:$V$1001,0),0), INDEX($AC$1004:$AS$1004,1,MATCH(COLUMNS($AC$1006:AS1006),$AC$1006:$AS$1006,0)))),"Fix")))</f>
        <v>0</v>
      </c>
      <c r="V592">
        <v>0</v>
      </c>
      <c r="W592">
        <v>0</v>
      </c>
      <c r="X592">
        <v>0</v>
      </c>
      <c r="Y592">
        <f>IF(Z592,TRUE,AND(AC592:AS592))</f>
        <v>0</v>
      </c>
      <c r="Z592">
        <f>COUNTBLANK(Metadata!B592:R592)=COLUMNS(Metadata!B592:R592)</f>
        <v>0</v>
      </c>
      <c r="AA592">
        <v>0</v>
      </c>
      <c r="AC592">
        <f>AND(IF(Metadata!B592="",FALSE,TRUE),COUNTIF(Metadata!B:B, Metadata!B592) = 1,NOT(ISERROR(SUMPRODUCT(SEARCH(MID(Metadata!B592,ROW(INDIRECT("1:"&amp;LEN(Metadata!B592))), 1),"0123456789abcdefghijklmnopqrstuvwxyzABCDEFGHIJKLMNOPQRSTUVWXYZ.")))))</f>
        <v>0</v>
      </c>
      <c r="AD592">
        <f>AND(IF(Metadata!C592="",FALSE,TRUE),exact(Metadata!C592,"Host-associated"))</f>
        <v>0</v>
      </c>
      <c r="AE592">
        <f>AND(IF(Metadata!D592="",FALSE,TRUE),OR(exact(Metadata!D592,"Animal"),exact(Metadata!D592,"Fungus"),exact(Metadata!D592,"Plant")))</f>
        <v>0</v>
      </c>
      <c r="AF592">
        <f>AND(IF(Metadata!E592="",FALSE,TRUE),OR(exact(Metadata!E592,"Plant secretion"),exact(Metadata!E592,"Plant rhizosphere"),exact(Metadata!E592,"Plant surface"),exact(Metadata!E592,"Plant corpus"),exact(Metadata!E592,"Fungus surface"),exact(Metadata!E592,"Fungus corpus"),exact(Metadata!E592,"Animal surface"),exact(Metadata!E592,"Animal proximal gut"),exact(Metadata!E592,"Animal corpus"),exact(Metadata!E592,"Animal distal gut"),exact(Metadata!E592,"Animal secretion")))</f>
        <v>0</v>
      </c>
      <c r="AG592">
        <f>OR(AND(IF(Metadata!F592="",FALSE,TRUE),OR(exact(Metadata!F592,"not collected"),exact(Metadata!F592,"not provided"),exact(Metadata!F592,"restricted access"))),AND(IF(Metadata!F592="",FALSE,TRUE),OR(exact(Metadata!F592,"organism-associated habitat"),exact(Metadata!F592,"plant-associated habitat"),exact(Metadata!F592,"animal-associated habitat"),exact(Metadata!F592,"insecta-associated habitat"),exact(Metadata!F592,"mammalia-associated habitat"),exact(Metadata!F592,"human-associated habitat"),exact(Metadata!F592,"livestock-associated habitat"))))</f>
        <v>0</v>
      </c>
      <c r="AH592">
        <f>AND(IF(Metadata!G592="",FALSE,TRUE),exact(Metadata!G592,"host-associated"))</f>
        <v>0</v>
      </c>
      <c r="AI592">
        <f>OR(AND(IF(Metadata!H592="",FALSE,TRUE),OR(exact(Metadata!H592,"not collected"),exact(Metadata!H592,"not provided"))),AND(IF(Metadata!H592="",FALSE,ISNUMBER(VALUE(Metadata!H592))),Metadata!H592&gt;0))</f>
        <v>0</v>
      </c>
      <c r="AJ592">
        <f>AND(IF(Metadata!I592="",FALSE,TRUE),exact(Metadata!I592,"years"))</f>
        <v>0</v>
      </c>
      <c r="AK592">
        <f>IF(Metadata!J592="",FALSE,TRUE)</f>
        <v>0</v>
      </c>
      <c r="AL592">
        <f>OR(AND(IF(Metadata!K592="",FALSE,TRUE),OR(exact(Metadata!K592,"not collected"),exact(Metadata!K592,"not provided"))),AND(IF(Metadata!K592="",FALSE,ISNUMBER(VALUE(Metadata!K592))),Metadata!K592&gt;0))</f>
        <v>0</v>
      </c>
      <c r="AM592">
        <f>AND(IF(Metadata!L592="",FALSE,TRUE),exact(Metadata!L592,"cm"))</f>
        <v>0</v>
      </c>
      <c r="AN592">
        <f>IF(Metadata!M592="",FALSE,TRUE)</f>
        <v>0</v>
      </c>
      <c r="AO592">
        <f>OR(AND(IF(Metadata!N592="",FALSE,TRUE),OR(exact(Metadata!N592,"not applicable"),exact(Metadata!N592,"not collected"),exact(Metadata!N592,"not provided"))),AND(IF(Metadata!N592="",FALSE,IF(ISERROR(INT(Metadata!N592)),FALSE,INT(Metadata!N592)=Metadata!N592)),Metadata!N592&gt;0))</f>
        <v>0</v>
      </c>
      <c r="AP592">
        <f>OR(AND(IF(Metadata!O592="",FALSE,TRUE),OR(exact(Metadata!O592,"not collected"),exact(Metadata!O592,"not provided"))),AND(IF(Metadata!O592="",FALSE,ISNUMBER(VALUE(Metadata!O592))),Metadata!O592&gt;0))</f>
        <v>0</v>
      </c>
      <c r="AQ592">
        <f>AND(IF(Metadata!P592="",FALSE,TRUE),exact(Metadata!P592,"kg"))</f>
        <v>0</v>
      </c>
      <c r="AR592">
        <f>OR(AND(IF(Metadata!Q592="",FALSE,TRUE),OR(exact(Metadata!Q592,"not applicable"),exact(Metadata!Q592,"not collected"),exact(Metadata!Q592,"not provided"),exact(Metadata!Q592,"restricted access"))),IF(Metadata!Q592="",FALSE,IF(ISERROR(INT(Metadata!Q592)),FALSE,INT(Metadata!Q592)=Metadata!Q592)))</f>
        <v>0</v>
      </c>
      <c r="AS592">
        <f>AND(IF(Metadata!R592="",FALSE,TRUE),exact(Metadata!R592,"Not applicable"))</f>
        <v>0</v>
      </c>
    </row>
    <row r="593" spans="1:45">
      <c r="A593" s="4">
        <f>IF(B593=" "," ",HYPERLINK(CONCATENATE("#metadata!",ADDRESS(INDEX($X$2:$X$1001,MATCH(ROWS($V$2:V593),$V$2:$V$1001,0),0),2)),INDEX($AA$2:$AA$1001,MATCH(ROWS($V$2:V593),$V$2:$V$1001,0),0)))</f>
        <v>0</v>
      </c>
      <c r="B593" s="5">
        <f>IF(OR(INDEX($W$2:$W$1001,MATCH(ROWS($V$2:V593),$V$2:$V$1001,0),1)&gt;=100000,INDEX($AC$1005:$AS$1005,1,MATCH(COLUMNS($AC$1006:AC1006),$AC$1006:$AS$1006,0))&gt;=100000), " ",IF(INDEX($AC$2:$AS$1001,MATCH(ROWS($V$2:V593),$V$2:$V$1001,0),MATCH(COLUMNS($AC$1006:AC1006),$AC$1006:$AS$1006,0)), HYPERLINK("#",""), HYPERLINK(CONCATENATE("#Metadata!", ADDRESS(INDEX($X$2:$X$1001,MATCH(ROWS($V$2:V593),$V$2:$V$1001,0),0), INDEX($AC$1004:$AS$1004,1,MATCH(COLUMNS($AC$1006:AC1006),$AC$1006:$AS$1006,0)))),"Fix")))</f>
        <v>0</v>
      </c>
      <c r="C593" s="5">
        <f>IF(OR(INDEX($W$2:$W$1001,MATCH(ROWS($V$2:V593),$V$2:$V$1001,0),1)&gt;=100000,INDEX($AC$1005:$AS$1005,1,MATCH(COLUMNS($AC$1006:AD1006),$AC$1006:$AS$1006,0))&gt;=100000), " ",IF(INDEX($AC$2:$AS$1001,MATCH(ROWS($V$2:V593),$V$2:$V$1001,0),MATCH(COLUMNS($AC$1006:AD1006),$AC$1006:$AS$1006,0)), HYPERLINK("#",""), HYPERLINK(CONCATENATE("#Metadata!", ADDRESS(INDEX($X$2:$X$1001,MATCH(ROWS($V$2:V593),$V$2:$V$1001,0),0), INDEX($AC$1004:$AS$1004,1,MATCH(COLUMNS($AC$1006:AD1006),$AC$1006:$AS$1006,0)))),"Fix")))</f>
        <v>0</v>
      </c>
      <c r="D593" s="5">
        <f>IF(OR(INDEX($W$2:$W$1001,MATCH(ROWS($V$2:V593),$V$2:$V$1001,0),1)&gt;=100000,INDEX($AC$1005:$AS$1005,1,MATCH(COLUMNS($AC$1006:AE1006),$AC$1006:$AS$1006,0))&gt;=100000), " ",IF(INDEX($AC$2:$AS$1001,MATCH(ROWS($V$2:V593),$V$2:$V$1001,0),MATCH(COLUMNS($AC$1006:AE1006),$AC$1006:$AS$1006,0)), HYPERLINK("#",""), HYPERLINK(CONCATENATE("#Metadata!", ADDRESS(INDEX($X$2:$X$1001,MATCH(ROWS($V$2:V593),$V$2:$V$1001,0),0), INDEX($AC$1004:$AS$1004,1,MATCH(COLUMNS($AC$1006:AE1006),$AC$1006:$AS$1006,0)))),"Fix")))</f>
        <v>0</v>
      </c>
      <c r="E593" s="5">
        <f>IF(OR(INDEX($W$2:$W$1001,MATCH(ROWS($V$2:V593),$V$2:$V$1001,0),1)&gt;=100000,INDEX($AC$1005:$AS$1005,1,MATCH(COLUMNS($AC$1006:AF1006),$AC$1006:$AS$1006,0))&gt;=100000), " ",IF(INDEX($AC$2:$AS$1001,MATCH(ROWS($V$2:V593),$V$2:$V$1001,0),MATCH(COLUMNS($AC$1006:AF1006),$AC$1006:$AS$1006,0)), HYPERLINK("#",""), HYPERLINK(CONCATENATE("#Metadata!", ADDRESS(INDEX($X$2:$X$1001,MATCH(ROWS($V$2:V593),$V$2:$V$1001,0),0), INDEX($AC$1004:$AS$1004,1,MATCH(COLUMNS($AC$1006:AF1006),$AC$1006:$AS$1006,0)))),"Fix")))</f>
        <v>0</v>
      </c>
      <c r="F593" s="5">
        <f>IF(OR(INDEX($W$2:$W$1001,MATCH(ROWS($V$2:V593),$V$2:$V$1001,0),1)&gt;=100000,INDEX($AC$1005:$AS$1005,1,MATCH(COLUMNS($AC$1006:AG1006),$AC$1006:$AS$1006,0))&gt;=100000), " ",IF(INDEX($AC$2:$AS$1001,MATCH(ROWS($V$2:V593),$V$2:$V$1001,0),MATCH(COLUMNS($AC$1006:AG1006),$AC$1006:$AS$1006,0)), HYPERLINK("#",""), HYPERLINK(CONCATENATE("#Metadata!", ADDRESS(INDEX($X$2:$X$1001,MATCH(ROWS($V$2:V593),$V$2:$V$1001,0),0), INDEX($AC$1004:$AS$1004,1,MATCH(COLUMNS($AC$1006:AG1006),$AC$1006:$AS$1006,0)))),"Fix")))</f>
        <v>0</v>
      </c>
      <c r="G593" s="5">
        <f>IF(OR(INDEX($W$2:$W$1001,MATCH(ROWS($V$2:V593),$V$2:$V$1001,0),1)&gt;=100000,INDEX($AC$1005:$AS$1005,1,MATCH(COLUMNS($AC$1006:AH1006),$AC$1006:$AS$1006,0))&gt;=100000), " ",IF(INDEX($AC$2:$AS$1001,MATCH(ROWS($V$2:V593),$V$2:$V$1001,0),MATCH(COLUMNS($AC$1006:AH1006),$AC$1006:$AS$1006,0)), HYPERLINK("#",""), HYPERLINK(CONCATENATE("#Metadata!", ADDRESS(INDEX($X$2:$X$1001,MATCH(ROWS($V$2:V593),$V$2:$V$1001,0),0), INDEX($AC$1004:$AS$1004,1,MATCH(COLUMNS($AC$1006:AH1006),$AC$1006:$AS$1006,0)))),"Fix")))</f>
        <v>0</v>
      </c>
      <c r="H593" s="5">
        <f>IF(OR(INDEX($W$2:$W$1001,MATCH(ROWS($V$2:V593),$V$2:$V$1001,0),1)&gt;=100000,INDEX($AC$1005:$AS$1005,1,MATCH(COLUMNS($AC$1006:AI1006),$AC$1006:$AS$1006,0))&gt;=100000), " ",IF(INDEX($AC$2:$AS$1001,MATCH(ROWS($V$2:V593),$V$2:$V$1001,0),MATCH(COLUMNS($AC$1006:AI1006),$AC$1006:$AS$1006,0)), HYPERLINK("#",""), HYPERLINK(CONCATENATE("#Metadata!", ADDRESS(INDEX($X$2:$X$1001,MATCH(ROWS($V$2:V593),$V$2:$V$1001,0),0), INDEX($AC$1004:$AS$1004,1,MATCH(COLUMNS($AC$1006:AI1006),$AC$1006:$AS$1006,0)))),"Fix")))</f>
        <v>0</v>
      </c>
      <c r="I593" s="5">
        <f>IF(OR(INDEX($W$2:$W$1001,MATCH(ROWS($V$2:V593),$V$2:$V$1001,0),1)&gt;=100000,INDEX($AC$1005:$AS$1005,1,MATCH(COLUMNS($AC$1006:AJ1006),$AC$1006:$AS$1006,0))&gt;=100000), " ",IF(INDEX($AC$2:$AS$1001,MATCH(ROWS($V$2:V593),$V$2:$V$1001,0),MATCH(COLUMNS($AC$1006:AJ1006),$AC$1006:$AS$1006,0)), HYPERLINK("#",""), HYPERLINK(CONCATENATE("#Metadata!", ADDRESS(INDEX($X$2:$X$1001,MATCH(ROWS($V$2:V593),$V$2:$V$1001,0),0), INDEX($AC$1004:$AS$1004,1,MATCH(COLUMNS($AC$1006:AJ1006),$AC$1006:$AS$1006,0)))),"Fix")))</f>
        <v>0</v>
      </c>
      <c r="J593" s="5">
        <f>IF(OR(INDEX($W$2:$W$1001,MATCH(ROWS($V$2:V593),$V$2:$V$1001,0),1)&gt;=100000,INDEX($AC$1005:$AS$1005,1,MATCH(COLUMNS($AC$1006:AK1006),$AC$1006:$AS$1006,0))&gt;=100000), " ",IF(INDEX($AC$2:$AS$1001,MATCH(ROWS($V$2:V593),$V$2:$V$1001,0),MATCH(COLUMNS($AC$1006:AK1006),$AC$1006:$AS$1006,0)), HYPERLINK("#",""), HYPERLINK(CONCATENATE("#Metadata!", ADDRESS(INDEX($X$2:$X$1001,MATCH(ROWS($V$2:V593),$V$2:$V$1001,0),0), INDEX($AC$1004:$AS$1004,1,MATCH(COLUMNS($AC$1006:AK1006),$AC$1006:$AS$1006,0)))),"Fix")))</f>
        <v>0</v>
      </c>
      <c r="K593" s="5">
        <f>IF(OR(INDEX($W$2:$W$1001,MATCH(ROWS($V$2:V593),$V$2:$V$1001,0),1)&gt;=100000,INDEX($AC$1005:$AS$1005,1,MATCH(COLUMNS($AC$1006:AL1006),$AC$1006:$AS$1006,0))&gt;=100000), " ",IF(INDEX($AC$2:$AS$1001,MATCH(ROWS($V$2:V593),$V$2:$V$1001,0),MATCH(COLUMNS($AC$1006:AL1006),$AC$1006:$AS$1006,0)), HYPERLINK("#",""), HYPERLINK(CONCATENATE("#Metadata!", ADDRESS(INDEX($X$2:$X$1001,MATCH(ROWS($V$2:V593),$V$2:$V$1001,0),0), INDEX($AC$1004:$AS$1004,1,MATCH(COLUMNS($AC$1006:AL1006),$AC$1006:$AS$1006,0)))),"Fix")))</f>
        <v>0</v>
      </c>
      <c r="L593" s="5">
        <f>IF(OR(INDEX($W$2:$W$1001,MATCH(ROWS($V$2:V593),$V$2:$V$1001,0),1)&gt;=100000,INDEX($AC$1005:$AS$1005,1,MATCH(COLUMNS($AC$1006:AM1006),$AC$1006:$AS$1006,0))&gt;=100000), " ",IF(INDEX($AC$2:$AS$1001,MATCH(ROWS($V$2:V593),$V$2:$V$1001,0),MATCH(COLUMNS($AC$1006:AM1006),$AC$1006:$AS$1006,0)), HYPERLINK("#",""), HYPERLINK(CONCATENATE("#Metadata!", ADDRESS(INDEX($X$2:$X$1001,MATCH(ROWS($V$2:V593),$V$2:$V$1001,0),0), INDEX($AC$1004:$AS$1004,1,MATCH(COLUMNS($AC$1006:AM1006),$AC$1006:$AS$1006,0)))),"Fix")))</f>
        <v>0</v>
      </c>
      <c r="M593" s="5">
        <f>IF(OR(INDEX($W$2:$W$1001,MATCH(ROWS($V$2:V593),$V$2:$V$1001,0),1)&gt;=100000,INDEX($AC$1005:$AS$1005,1,MATCH(COLUMNS($AC$1006:AN1006),$AC$1006:$AS$1006,0))&gt;=100000), " ",IF(INDEX($AC$2:$AS$1001,MATCH(ROWS($V$2:V593),$V$2:$V$1001,0),MATCH(COLUMNS($AC$1006:AN1006),$AC$1006:$AS$1006,0)), HYPERLINK("#",""), HYPERLINK(CONCATENATE("#Metadata!", ADDRESS(INDEX($X$2:$X$1001,MATCH(ROWS($V$2:V593),$V$2:$V$1001,0),0), INDEX($AC$1004:$AS$1004,1,MATCH(COLUMNS($AC$1006:AN1006),$AC$1006:$AS$1006,0)))),"Fix")))</f>
        <v>0</v>
      </c>
      <c r="N593" s="5">
        <f>IF(OR(INDEX($W$2:$W$1001,MATCH(ROWS($V$2:V593),$V$2:$V$1001,0),1)&gt;=100000,INDEX($AC$1005:$AS$1005,1,MATCH(COLUMNS($AC$1006:AO1006),$AC$1006:$AS$1006,0))&gt;=100000), " ",IF(INDEX($AC$2:$AS$1001,MATCH(ROWS($V$2:V593),$V$2:$V$1001,0),MATCH(COLUMNS($AC$1006:AO1006),$AC$1006:$AS$1006,0)), HYPERLINK("#",""), HYPERLINK(CONCATENATE("#Metadata!", ADDRESS(INDEX($X$2:$X$1001,MATCH(ROWS($V$2:V593),$V$2:$V$1001,0),0), INDEX($AC$1004:$AS$1004,1,MATCH(COLUMNS($AC$1006:AO1006),$AC$1006:$AS$1006,0)))),"Fix")))</f>
        <v>0</v>
      </c>
      <c r="O593" s="5">
        <f>IF(OR(INDEX($W$2:$W$1001,MATCH(ROWS($V$2:V593),$V$2:$V$1001,0),1)&gt;=100000,INDEX($AC$1005:$AS$1005,1,MATCH(COLUMNS($AC$1006:AP1006),$AC$1006:$AS$1006,0))&gt;=100000), " ",IF(INDEX($AC$2:$AS$1001,MATCH(ROWS($V$2:V593),$V$2:$V$1001,0),MATCH(COLUMNS($AC$1006:AP1006),$AC$1006:$AS$1006,0)), HYPERLINK("#",""), HYPERLINK(CONCATENATE("#Metadata!", ADDRESS(INDEX($X$2:$X$1001,MATCH(ROWS($V$2:V593),$V$2:$V$1001,0),0), INDEX($AC$1004:$AS$1004,1,MATCH(COLUMNS($AC$1006:AP1006),$AC$1006:$AS$1006,0)))),"Fix")))</f>
        <v>0</v>
      </c>
      <c r="P593" s="5">
        <f>IF(OR(INDEX($W$2:$W$1001,MATCH(ROWS($V$2:V593),$V$2:$V$1001,0),1)&gt;=100000,INDEX($AC$1005:$AS$1005,1,MATCH(COLUMNS($AC$1006:AQ1006),$AC$1006:$AS$1006,0))&gt;=100000), " ",IF(INDEX($AC$2:$AS$1001,MATCH(ROWS($V$2:V593),$V$2:$V$1001,0),MATCH(COLUMNS($AC$1006:AQ1006),$AC$1006:$AS$1006,0)), HYPERLINK("#",""), HYPERLINK(CONCATENATE("#Metadata!", ADDRESS(INDEX($X$2:$X$1001,MATCH(ROWS($V$2:V593),$V$2:$V$1001,0),0), INDEX($AC$1004:$AS$1004,1,MATCH(COLUMNS($AC$1006:AQ1006),$AC$1006:$AS$1006,0)))),"Fix")))</f>
        <v>0</v>
      </c>
      <c r="Q593" s="5">
        <f>IF(OR(INDEX($W$2:$W$1001,MATCH(ROWS($V$2:V593),$V$2:$V$1001,0),1)&gt;=100000,INDEX($AC$1005:$AS$1005,1,MATCH(COLUMNS($AC$1006:AR1006),$AC$1006:$AS$1006,0))&gt;=100000), " ",IF(INDEX($AC$2:$AS$1001,MATCH(ROWS($V$2:V593),$V$2:$V$1001,0),MATCH(COLUMNS($AC$1006:AR1006),$AC$1006:$AS$1006,0)), HYPERLINK("#",""), HYPERLINK(CONCATENATE("#Metadata!", ADDRESS(INDEX($X$2:$X$1001,MATCH(ROWS($V$2:V593),$V$2:$V$1001,0),0), INDEX($AC$1004:$AS$1004,1,MATCH(COLUMNS($AC$1006:AR1006),$AC$1006:$AS$1006,0)))),"Fix")))</f>
        <v>0</v>
      </c>
      <c r="R593" s="5">
        <f>IF(OR(INDEX($W$2:$W$1001,MATCH(ROWS($V$2:V593),$V$2:$V$1001,0),1)&gt;=100000,INDEX($AC$1005:$AS$1005,1,MATCH(COLUMNS($AC$1006:AS1006),$AC$1006:$AS$1006,0))&gt;=100000), " ",IF(INDEX($AC$2:$AS$1001,MATCH(ROWS($V$2:V593),$V$2:$V$1001,0),MATCH(COLUMNS($AC$1006:AS1006),$AC$1006:$AS$1006,0)), HYPERLINK("#",""), HYPERLINK(CONCATENATE("#Metadata!", ADDRESS(INDEX($X$2:$X$1001,MATCH(ROWS($V$2:V593),$V$2:$V$1001,0),0), INDEX($AC$1004:$AS$1004,1,MATCH(COLUMNS($AC$1006:AS1006),$AC$1006:$AS$1006,0)))),"Fix")))</f>
        <v>0</v>
      </c>
      <c r="V593">
        <v>0</v>
      </c>
      <c r="W593">
        <v>0</v>
      </c>
      <c r="X593">
        <v>0</v>
      </c>
      <c r="Y593">
        <f>IF(Z593,TRUE,AND(AC593:AS593))</f>
        <v>0</v>
      </c>
      <c r="Z593">
        <f>COUNTBLANK(Metadata!B593:R593)=COLUMNS(Metadata!B593:R593)</f>
        <v>0</v>
      </c>
      <c r="AA593">
        <v>0</v>
      </c>
      <c r="AC593">
        <f>AND(IF(Metadata!B593="",FALSE,TRUE),COUNTIF(Metadata!B:B, Metadata!B593) = 1,NOT(ISERROR(SUMPRODUCT(SEARCH(MID(Metadata!B593,ROW(INDIRECT("1:"&amp;LEN(Metadata!B593))), 1),"0123456789abcdefghijklmnopqrstuvwxyzABCDEFGHIJKLMNOPQRSTUVWXYZ.")))))</f>
        <v>0</v>
      </c>
      <c r="AD593">
        <f>AND(IF(Metadata!C593="",FALSE,TRUE),exact(Metadata!C593,"Host-associated"))</f>
        <v>0</v>
      </c>
      <c r="AE593">
        <f>AND(IF(Metadata!D593="",FALSE,TRUE),OR(exact(Metadata!D593,"Animal"),exact(Metadata!D593,"Fungus"),exact(Metadata!D593,"Plant")))</f>
        <v>0</v>
      </c>
      <c r="AF593">
        <f>AND(IF(Metadata!E593="",FALSE,TRUE),OR(exact(Metadata!E593,"Plant secretion"),exact(Metadata!E593,"Plant rhizosphere"),exact(Metadata!E593,"Plant surface"),exact(Metadata!E593,"Plant corpus"),exact(Metadata!E593,"Fungus surface"),exact(Metadata!E593,"Fungus corpus"),exact(Metadata!E593,"Animal surface"),exact(Metadata!E593,"Animal proximal gut"),exact(Metadata!E593,"Animal corpus"),exact(Metadata!E593,"Animal distal gut"),exact(Metadata!E593,"Animal secretion")))</f>
        <v>0</v>
      </c>
      <c r="AG593">
        <f>OR(AND(IF(Metadata!F593="",FALSE,TRUE),OR(exact(Metadata!F593,"not collected"),exact(Metadata!F593,"not provided"),exact(Metadata!F593,"restricted access"))),AND(IF(Metadata!F593="",FALSE,TRUE),OR(exact(Metadata!F593,"organism-associated habitat"),exact(Metadata!F593,"plant-associated habitat"),exact(Metadata!F593,"animal-associated habitat"),exact(Metadata!F593,"insecta-associated habitat"),exact(Metadata!F593,"mammalia-associated habitat"),exact(Metadata!F593,"human-associated habitat"),exact(Metadata!F593,"livestock-associated habitat"))))</f>
        <v>0</v>
      </c>
      <c r="AH593">
        <f>AND(IF(Metadata!G593="",FALSE,TRUE),exact(Metadata!G593,"host-associated"))</f>
        <v>0</v>
      </c>
      <c r="AI593">
        <f>OR(AND(IF(Metadata!H593="",FALSE,TRUE),OR(exact(Metadata!H593,"not collected"),exact(Metadata!H593,"not provided"))),AND(IF(Metadata!H593="",FALSE,ISNUMBER(VALUE(Metadata!H593))),Metadata!H593&gt;0))</f>
        <v>0</v>
      </c>
      <c r="AJ593">
        <f>AND(IF(Metadata!I593="",FALSE,TRUE),exact(Metadata!I593,"years"))</f>
        <v>0</v>
      </c>
      <c r="AK593">
        <f>IF(Metadata!J593="",FALSE,TRUE)</f>
        <v>0</v>
      </c>
      <c r="AL593">
        <f>OR(AND(IF(Metadata!K593="",FALSE,TRUE),OR(exact(Metadata!K593,"not collected"),exact(Metadata!K593,"not provided"))),AND(IF(Metadata!K593="",FALSE,ISNUMBER(VALUE(Metadata!K593))),Metadata!K593&gt;0))</f>
        <v>0</v>
      </c>
      <c r="AM593">
        <f>AND(IF(Metadata!L593="",FALSE,TRUE),exact(Metadata!L593,"cm"))</f>
        <v>0</v>
      </c>
      <c r="AN593">
        <f>IF(Metadata!M593="",FALSE,TRUE)</f>
        <v>0</v>
      </c>
      <c r="AO593">
        <f>OR(AND(IF(Metadata!N593="",FALSE,TRUE),OR(exact(Metadata!N593,"not applicable"),exact(Metadata!N593,"not collected"),exact(Metadata!N593,"not provided"))),AND(IF(Metadata!N593="",FALSE,IF(ISERROR(INT(Metadata!N593)),FALSE,INT(Metadata!N593)=Metadata!N593)),Metadata!N593&gt;0))</f>
        <v>0</v>
      </c>
      <c r="AP593">
        <f>OR(AND(IF(Metadata!O593="",FALSE,TRUE),OR(exact(Metadata!O593,"not collected"),exact(Metadata!O593,"not provided"))),AND(IF(Metadata!O593="",FALSE,ISNUMBER(VALUE(Metadata!O593))),Metadata!O593&gt;0))</f>
        <v>0</v>
      </c>
      <c r="AQ593">
        <f>AND(IF(Metadata!P593="",FALSE,TRUE),exact(Metadata!P593,"kg"))</f>
        <v>0</v>
      </c>
      <c r="AR593">
        <f>OR(AND(IF(Metadata!Q593="",FALSE,TRUE),OR(exact(Metadata!Q593,"not applicable"),exact(Metadata!Q593,"not collected"),exact(Metadata!Q593,"not provided"),exact(Metadata!Q593,"restricted access"))),IF(Metadata!Q593="",FALSE,IF(ISERROR(INT(Metadata!Q593)),FALSE,INT(Metadata!Q593)=Metadata!Q593)))</f>
        <v>0</v>
      </c>
      <c r="AS593">
        <f>AND(IF(Metadata!R593="",FALSE,TRUE),exact(Metadata!R593,"Not applicable"))</f>
        <v>0</v>
      </c>
    </row>
    <row r="594" spans="1:45">
      <c r="A594" s="4">
        <f>IF(B594=" "," ",HYPERLINK(CONCATENATE("#metadata!",ADDRESS(INDEX($X$2:$X$1001,MATCH(ROWS($V$2:V594),$V$2:$V$1001,0),0),2)),INDEX($AA$2:$AA$1001,MATCH(ROWS($V$2:V594),$V$2:$V$1001,0),0)))</f>
        <v>0</v>
      </c>
      <c r="B594" s="5">
        <f>IF(OR(INDEX($W$2:$W$1001,MATCH(ROWS($V$2:V594),$V$2:$V$1001,0),1)&gt;=100000,INDEX($AC$1005:$AS$1005,1,MATCH(COLUMNS($AC$1006:AC1006),$AC$1006:$AS$1006,0))&gt;=100000), " ",IF(INDEX($AC$2:$AS$1001,MATCH(ROWS($V$2:V594),$V$2:$V$1001,0),MATCH(COLUMNS($AC$1006:AC1006),$AC$1006:$AS$1006,0)), HYPERLINK("#",""), HYPERLINK(CONCATENATE("#Metadata!", ADDRESS(INDEX($X$2:$X$1001,MATCH(ROWS($V$2:V594),$V$2:$V$1001,0),0), INDEX($AC$1004:$AS$1004,1,MATCH(COLUMNS($AC$1006:AC1006),$AC$1006:$AS$1006,0)))),"Fix")))</f>
        <v>0</v>
      </c>
      <c r="C594" s="5">
        <f>IF(OR(INDEX($W$2:$W$1001,MATCH(ROWS($V$2:V594),$V$2:$V$1001,0),1)&gt;=100000,INDEX($AC$1005:$AS$1005,1,MATCH(COLUMNS($AC$1006:AD1006),$AC$1006:$AS$1006,0))&gt;=100000), " ",IF(INDEX($AC$2:$AS$1001,MATCH(ROWS($V$2:V594),$V$2:$V$1001,0),MATCH(COLUMNS($AC$1006:AD1006),$AC$1006:$AS$1006,0)), HYPERLINK("#",""), HYPERLINK(CONCATENATE("#Metadata!", ADDRESS(INDEX($X$2:$X$1001,MATCH(ROWS($V$2:V594),$V$2:$V$1001,0),0), INDEX($AC$1004:$AS$1004,1,MATCH(COLUMNS($AC$1006:AD1006),$AC$1006:$AS$1006,0)))),"Fix")))</f>
        <v>0</v>
      </c>
      <c r="D594" s="5">
        <f>IF(OR(INDEX($W$2:$W$1001,MATCH(ROWS($V$2:V594),$V$2:$V$1001,0),1)&gt;=100000,INDEX($AC$1005:$AS$1005,1,MATCH(COLUMNS($AC$1006:AE1006),$AC$1006:$AS$1006,0))&gt;=100000), " ",IF(INDEX($AC$2:$AS$1001,MATCH(ROWS($V$2:V594),$V$2:$V$1001,0),MATCH(COLUMNS($AC$1006:AE1006),$AC$1006:$AS$1006,0)), HYPERLINK("#",""), HYPERLINK(CONCATENATE("#Metadata!", ADDRESS(INDEX($X$2:$X$1001,MATCH(ROWS($V$2:V594),$V$2:$V$1001,0),0), INDEX($AC$1004:$AS$1004,1,MATCH(COLUMNS($AC$1006:AE1006),$AC$1006:$AS$1006,0)))),"Fix")))</f>
        <v>0</v>
      </c>
      <c r="E594" s="5">
        <f>IF(OR(INDEX($W$2:$W$1001,MATCH(ROWS($V$2:V594),$V$2:$V$1001,0),1)&gt;=100000,INDEX($AC$1005:$AS$1005,1,MATCH(COLUMNS($AC$1006:AF1006),$AC$1006:$AS$1006,0))&gt;=100000), " ",IF(INDEX($AC$2:$AS$1001,MATCH(ROWS($V$2:V594),$V$2:$V$1001,0),MATCH(COLUMNS($AC$1006:AF1006),$AC$1006:$AS$1006,0)), HYPERLINK("#",""), HYPERLINK(CONCATENATE("#Metadata!", ADDRESS(INDEX($X$2:$X$1001,MATCH(ROWS($V$2:V594),$V$2:$V$1001,0),0), INDEX($AC$1004:$AS$1004,1,MATCH(COLUMNS($AC$1006:AF1006),$AC$1006:$AS$1006,0)))),"Fix")))</f>
        <v>0</v>
      </c>
      <c r="F594" s="5">
        <f>IF(OR(INDEX($W$2:$W$1001,MATCH(ROWS($V$2:V594),$V$2:$V$1001,0),1)&gt;=100000,INDEX($AC$1005:$AS$1005,1,MATCH(COLUMNS($AC$1006:AG1006),$AC$1006:$AS$1006,0))&gt;=100000), " ",IF(INDEX($AC$2:$AS$1001,MATCH(ROWS($V$2:V594),$V$2:$V$1001,0),MATCH(COLUMNS($AC$1006:AG1006),$AC$1006:$AS$1006,0)), HYPERLINK("#",""), HYPERLINK(CONCATENATE("#Metadata!", ADDRESS(INDEX($X$2:$X$1001,MATCH(ROWS($V$2:V594),$V$2:$V$1001,0),0), INDEX($AC$1004:$AS$1004,1,MATCH(COLUMNS($AC$1006:AG1006),$AC$1006:$AS$1006,0)))),"Fix")))</f>
        <v>0</v>
      </c>
      <c r="G594" s="5">
        <f>IF(OR(INDEX($W$2:$W$1001,MATCH(ROWS($V$2:V594),$V$2:$V$1001,0),1)&gt;=100000,INDEX($AC$1005:$AS$1005,1,MATCH(COLUMNS($AC$1006:AH1006),$AC$1006:$AS$1006,0))&gt;=100000), " ",IF(INDEX($AC$2:$AS$1001,MATCH(ROWS($V$2:V594),$V$2:$V$1001,0),MATCH(COLUMNS($AC$1006:AH1006),$AC$1006:$AS$1006,0)), HYPERLINK("#",""), HYPERLINK(CONCATENATE("#Metadata!", ADDRESS(INDEX($X$2:$X$1001,MATCH(ROWS($V$2:V594),$V$2:$V$1001,0),0), INDEX($AC$1004:$AS$1004,1,MATCH(COLUMNS($AC$1006:AH1006),$AC$1006:$AS$1006,0)))),"Fix")))</f>
        <v>0</v>
      </c>
      <c r="H594" s="5">
        <f>IF(OR(INDEX($W$2:$W$1001,MATCH(ROWS($V$2:V594),$V$2:$V$1001,0),1)&gt;=100000,INDEX($AC$1005:$AS$1005,1,MATCH(COLUMNS($AC$1006:AI1006),$AC$1006:$AS$1006,0))&gt;=100000), " ",IF(INDEX($AC$2:$AS$1001,MATCH(ROWS($V$2:V594),$V$2:$V$1001,0),MATCH(COLUMNS($AC$1006:AI1006),$AC$1006:$AS$1006,0)), HYPERLINK("#",""), HYPERLINK(CONCATENATE("#Metadata!", ADDRESS(INDEX($X$2:$X$1001,MATCH(ROWS($V$2:V594),$V$2:$V$1001,0),0), INDEX($AC$1004:$AS$1004,1,MATCH(COLUMNS($AC$1006:AI1006),$AC$1006:$AS$1006,0)))),"Fix")))</f>
        <v>0</v>
      </c>
      <c r="I594" s="5">
        <f>IF(OR(INDEX($W$2:$W$1001,MATCH(ROWS($V$2:V594),$V$2:$V$1001,0),1)&gt;=100000,INDEX($AC$1005:$AS$1005,1,MATCH(COLUMNS($AC$1006:AJ1006),$AC$1006:$AS$1006,0))&gt;=100000), " ",IF(INDEX($AC$2:$AS$1001,MATCH(ROWS($V$2:V594),$V$2:$V$1001,0),MATCH(COLUMNS($AC$1006:AJ1006),$AC$1006:$AS$1006,0)), HYPERLINK("#",""), HYPERLINK(CONCATENATE("#Metadata!", ADDRESS(INDEX($X$2:$X$1001,MATCH(ROWS($V$2:V594),$V$2:$V$1001,0),0), INDEX($AC$1004:$AS$1004,1,MATCH(COLUMNS($AC$1006:AJ1006),$AC$1006:$AS$1006,0)))),"Fix")))</f>
        <v>0</v>
      </c>
      <c r="J594" s="5">
        <f>IF(OR(INDEX($W$2:$W$1001,MATCH(ROWS($V$2:V594),$V$2:$V$1001,0),1)&gt;=100000,INDEX($AC$1005:$AS$1005,1,MATCH(COLUMNS($AC$1006:AK1006),$AC$1006:$AS$1006,0))&gt;=100000), " ",IF(INDEX($AC$2:$AS$1001,MATCH(ROWS($V$2:V594),$V$2:$V$1001,0),MATCH(COLUMNS($AC$1006:AK1006),$AC$1006:$AS$1006,0)), HYPERLINK("#",""), HYPERLINK(CONCATENATE("#Metadata!", ADDRESS(INDEX($X$2:$X$1001,MATCH(ROWS($V$2:V594),$V$2:$V$1001,0),0), INDEX($AC$1004:$AS$1004,1,MATCH(COLUMNS($AC$1006:AK1006),$AC$1006:$AS$1006,0)))),"Fix")))</f>
        <v>0</v>
      </c>
      <c r="K594" s="5">
        <f>IF(OR(INDEX($W$2:$W$1001,MATCH(ROWS($V$2:V594),$V$2:$V$1001,0),1)&gt;=100000,INDEX($AC$1005:$AS$1005,1,MATCH(COLUMNS($AC$1006:AL1006),$AC$1006:$AS$1006,0))&gt;=100000), " ",IF(INDEX($AC$2:$AS$1001,MATCH(ROWS($V$2:V594),$V$2:$V$1001,0),MATCH(COLUMNS($AC$1006:AL1006),$AC$1006:$AS$1006,0)), HYPERLINK("#",""), HYPERLINK(CONCATENATE("#Metadata!", ADDRESS(INDEX($X$2:$X$1001,MATCH(ROWS($V$2:V594),$V$2:$V$1001,0),0), INDEX($AC$1004:$AS$1004,1,MATCH(COLUMNS($AC$1006:AL1006),$AC$1006:$AS$1006,0)))),"Fix")))</f>
        <v>0</v>
      </c>
      <c r="L594" s="5">
        <f>IF(OR(INDEX($W$2:$W$1001,MATCH(ROWS($V$2:V594),$V$2:$V$1001,0),1)&gt;=100000,INDEX($AC$1005:$AS$1005,1,MATCH(COLUMNS($AC$1006:AM1006),$AC$1006:$AS$1006,0))&gt;=100000), " ",IF(INDEX($AC$2:$AS$1001,MATCH(ROWS($V$2:V594),$V$2:$V$1001,0),MATCH(COLUMNS($AC$1006:AM1006),$AC$1006:$AS$1006,0)), HYPERLINK("#",""), HYPERLINK(CONCATENATE("#Metadata!", ADDRESS(INDEX($X$2:$X$1001,MATCH(ROWS($V$2:V594),$V$2:$V$1001,0),0), INDEX($AC$1004:$AS$1004,1,MATCH(COLUMNS($AC$1006:AM1006),$AC$1006:$AS$1006,0)))),"Fix")))</f>
        <v>0</v>
      </c>
      <c r="M594" s="5">
        <f>IF(OR(INDEX($W$2:$W$1001,MATCH(ROWS($V$2:V594),$V$2:$V$1001,0),1)&gt;=100000,INDEX($AC$1005:$AS$1005,1,MATCH(COLUMNS($AC$1006:AN1006),$AC$1006:$AS$1006,0))&gt;=100000), " ",IF(INDEX($AC$2:$AS$1001,MATCH(ROWS($V$2:V594),$V$2:$V$1001,0),MATCH(COLUMNS($AC$1006:AN1006),$AC$1006:$AS$1006,0)), HYPERLINK("#",""), HYPERLINK(CONCATENATE("#Metadata!", ADDRESS(INDEX($X$2:$X$1001,MATCH(ROWS($V$2:V594),$V$2:$V$1001,0),0), INDEX($AC$1004:$AS$1004,1,MATCH(COLUMNS($AC$1006:AN1006),$AC$1006:$AS$1006,0)))),"Fix")))</f>
        <v>0</v>
      </c>
      <c r="N594" s="5">
        <f>IF(OR(INDEX($W$2:$W$1001,MATCH(ROWS($V$2:V594),$V$2:$V$1001,0),1)&gt;=100000,INDEX($AC$1005:$AS$1005,1,MATCH(COLUMNS($AC$1006:AO1006),$AC$1006:$AS$1006,0))&gt;=100000), " ",IF(INDEX($AC$2:$AS$1001,MATCH(ROWS($V$2:V594),$V$2:$V$1001,0),MATCH(COLUMNS($AC$1006:AO1006),$AC$1006:$AS$1006,0)), HYPERLINK("#",""), HYPERLINK(CONCATENATE("#Metadata!", ADDRESS(INDEX($X$2:$X$1001,MATCH(ROWS($V$2:V594),$V$2:$V$1001,0),0), INDEX($AC$1004:$AS$1004,1,MATCH(COLUMNS($AC$1006:AO1006),$AC$1006:$AS$1006,0)))),"Fix")))</f>
        <v>0</v>
      </c>
      <c r="O594" s="5">
        <f>IF(OR(INDEX($W$2:$W$1001,MATCH(ROWS($V$2:V594),$V$2:$V$1001,0),1)&gt;=100000,INDEX($AC$1005:$AS$1005,1,MATCH(COLUMNS($AC$1006:AP1006),$AC$1006:$AS$1006,0))&gt;=100000), " ",IF(INDEX($AC$2:$AS$1001,MATCH(ROWS($V$2:V594),$V$2:$V$1001,0),MATCH(COLUMNS($AC$1006:AP1006),$AC$1006:$AS$1006,0)), HYPERLINK("#",""), HYPERLINK(CONCATENATE("#Metadata!", ADDRESS(INDEX($X$2:$X$1001,MATCH(ROWS($V$2:V594),$V$2:$V$1001,0),0), INDEX($AC$1004:$AS$1004,1,MATCH(COLUMNS($AC$1006:AP1006),$AC$1006:$AS$1006,0)))),"Fix")))</f>
        <v>0</v>
      </c>
      <c r="P594" s="5">
        <f>IF(OR(INDEX($W$2:$W$1001,MATCH(ROWS($V$2:V594),$V$2:$V$1001,0),1)&gt;=100000,INDEX($AC$1005:$AS$1005,1,MATCH(COLUMNS($AC$1006:AQ1006),$AC$1006:$AS$1006,0))&gt;=100000), " ",IF(INDEX($AC$2:$AS$1001,MATCH(ROWS($V$2:V594),$V$2:$V$1001,0),MATCH(COLUMNS($AC$1006:AQ1006),$AC$1006:$AS$1006,0)), HYPERLINK("#",""), HYPERLINK(CONCATENATE("#Metadata!", ADDRESS(INDEX($X$2:$X$1001,MATCH(ROWS($V$2:V594),$V$2:$V$1001,0),0), INDEX($AC$1004:$AS$1004,1,MATCH(COLUMNS($AC$1006:AQ1006),$AC$1006:$AS$1006,0)))),"Fix")))</f>
        <v>0</v>
      </c>
      <c r="Q594" s="5">
        <f>IF(OR(INDEX($W$2:$W$1001,MATCH(ROWS($V$2:V594),$V$2:$V$1001,0),1)&gt;=100000,INDEX($AC$1005:$AS$1005,1,MATCH(COLUMNS($AC$1006:AR1006),$AC$1006:$AS$1006,0))&gt;=100000), " ",IF(INDEX($AC$2:$AS$1001,MATCH(ROWS($V$2:V594),$V$2:$V$1001,0),MATCH(COLUMNS($AC$1006:AR1006),$AC$1006:$AS$1006,0)), HYPERLINK("#",""), HYPERLINK(CONCATENATE("#Metadata!", ADDRESS(INDEX($X$2:$X$1001,MATCH(ROWS($V$2:V594),$V$2:$V$1001,0),0), INDEX($AC$1004:$AS$1004,1,MATCH(COLUMNS($AC$1006:AR1006),$AC$1006:$AS$1006,0)))),"Fix")))</f>
        <v>0</v>
      </c>
      <c r="R594" s="5">
        <f>IF(OR(INDEX($W$2:$W$1001,MATCH(ROWS($V$2:V594),$V$2:$V$1001,0),1)&gt;=100000,INDEX($AC$1005:$AS$1005,1,MATCH(COLUMNS($AC$1006:AS1006),$AC$1006:$AS$1006,0))&gt;=100000), " ",IF(INDEX($AC$2:$AS$1001,MATCH(ROWS($V$2:V594),$V$2:$V$1001,0),MATCH(COLUMNS($AC$1006:AS1006),$AC$1006:$AS$1006,0)), HYPERLINK("#",""), HYPERLINK(CONCATENATE("#Metadata!", ADDRESS(INDEX($X$2:$X$1001,MATCH(ROWS($V$2:V594),$V$2:$V$1001,0),0), INDEX($AC$1004:$AS$1004,1,MATCH(COLUMNS($AC$1006:AS1006),$AC$1006:$AS$1006,0)))),"Fix")))</f>
        <v>0</v>
      </c>
      <c r="V594">
        <v>0</v>
      </c>
      <c r="W594">
        <v>0</v>
      </c>
      <c r="X594">
        <v>0</v>
      </c>
      <c r="Y594">
        <f>IF(Z594,TRUE,AND(AC594:AS594))</f>
        <v>0</v>
      </c>
      <c r="Z594">
        <f>COUNTBLANK(Metadata!B594:R594)=COLUMNS(Metadata!B594:R594)</f>
        <v>0</v>
      </c>
      <c r="AA594">
        <v>0</v>
      </c>
      <c r="AC594">
        <f>AND(IF(Metadata!B594="",FALSE,TRUE),COUNTIF(Metadata!B:B, Metadata!B594) = 1,NOT(ISERROR(SUMPRODUCT(SEARCH(MID(Metadata!B594,ROW(INDIRECT("1:"&amp;LEN(Metadata!B594))), 1),"0123456789abcdefghijklmnopqrstuvwxyzABCDEFGHIJKLMNOPQRSTUVWXYZ.")))))</f>
        <v>0</v>
      </c>
      <c r="AD594">
        <f>AND(IF(Metadata!C594="",FALSE,TRUE),exact(Metadata!C594,"Host-associated"))</f>
        <v>0</v>
      </c>
      <c r="AE594">
        <f>AND(IF(Metadata!D594="",FALSE,TRUE),OR(exact(Metadata!D594,"Animal"),exact(Metadata!D594,"Fungus"),exact(Metadata!D594,"Plant")))</f>
        <v>0</v>
      </c>
      <c r="AF594">
        <f>AND(IF(Metadata!E594="",FALSE,TRUE),OR(exact(Metadata!E594,"Plant secretion"),exact(Metadata!E594,"Plant rhizosphere"),exact(Metadata!E594,"Plant surface"),exact(Metadata!E594,"Plant corpus"),exact(Metadata!E594,"Fungus surface"),exact(Metadata!E594,"Fungus corpus"),exact(Metadata!E594,"Animal surface"),exact(Metadata!E594,"Animal proximal gut"),exact(Metadata!E594,"Animal corpus"),exact(Metadata!E594,"Animal distal gut"),exact(Metadata!E594,"Animal secretion")))</f>
        <v>0</v>
      </c>
      <c r="AG594">
        <f>OR(AND(IF(Metadata!F594="",FALSE,TRUE),OR(exact(Metadata!F594,"not collected"),exact(Metadata!F594,"not provided"),exact(Metadata!F594,"restricted access"))),AND(IF(Metadata!F594="",FALSE,TRUE),OR(exact(Metadata!F594,"organism-associated habitat"),exact(Metadata!F594,"plant-associated habitat"),exact(Metadata!F594,"animal-associated habitat"),exact(Metadata!F594,"insecta-associated habitat"),exact(Metadata!F594,"mammalia-associated habitat"),exact(Metadata!F594,"human-associated habitat"),exact(Metadata!F594,"livestock-associated habitat"))))</f>
        <v>0</v>
      </c>
      <c r="AH594">
        <f>AND(IF(Metadata!G594="",FALSE,TRUE),exact(Metadata!G594,"host-associated"))</f>
        <v>0</v>
      </c>
      <c r="AI594">
        <f>OR(AND(IF(Metadata!H594="",FALSE,TRUE),OR(exact(Metadata!H594,"not collected"),exact(Metadata!H594,"not provided"))),AND(IF(Metadata!H594="",FALSE,ISNUMBER(VALUE(Metadata!H594))),Metadata!H594&gt;0))</f>
        <v>0</v>
      </c>
      <c r="AJ594">
        <f>AND(IF(Metadata!I594="",FALSE,TRUE),exact(Metadata!I594,"years"))</f>
        <v>0</v>
      </c>
      <c r="AK594">
        <f>IF(Metadata!J594="",FALSE,TRUE)</f>
        <v>0</v>
      </c>
      <c r="AL594">
        <f>OR(AND(IF(Metadata!K594="",FALSE,TRUE),OR(exact(Metadata!K594,"not collected"),exact(Metadata!K594,"not provided"))),AND(IF(Metadata!K594="",FALSE,ISNUMBER(VALUE(Metadata!K594))),Metadata!K594&gt;0))</f>
        <v>0</v>
      </c>
      <c r="AM594">
        <f>AND(IF(Metadata!L594="",FALSE,TRUE),exact(Metadata!L594,"cm"))</f>
        <v>0</v>
      </c>
      <c r="AN594">
        <f>IF(Metadata!M594="",FALSE,TRUE)</f>
        <v>0</v>
      </c>
      <c r="AO594">
        <f>OR(AND(IF(Metadata!N594="",FALSE,TRUE),OR(exact(Metadata!N594,"not applicable"),exact(Metadata!N594,"not collected"),exact(Metadata!N594,"not provided"))),AND(IF(Metadata!N594="",FALSE,IF(ISERROR(INT(Metadata!N594)),FALSE,INT(Metadata!N594)=Metadata!N594)),Metadata!N594&gt;0))</f>
        <v>0</v>
      </c>
      <c r="AP594">
        <f>OR(AND(IF(Metadata!O594="",FALSE,TRUE),OR(exact(Metadata!O594,"not collected"),exact(Metadata!O594,"not provided"))),AND(IF(Metadata!O594="",FALSE,ISNUMBER(VALUE(Metadata!O594))),Metadata!O594&gt;0))</f>
        <v>0</v>
      </c>
      <c r="AQ594">
        <f>AND(IF(Metadata!P594="",FALSE,TRUE),exact(Metadata!P594,"kg"))</f>
        <v>0</v>
      </c>
      <c r="AR594">
        <f>OR(AND(IF(Metadata!Q594="",FALSE,TRUE),OR(exact(Metadata!Q594,"not applicable"),exact(Metadata!Q594,"not collected"),exact(Metadata!Q594,"not provided"),exact(Metadata!Q594,"restricted access"))),IF(Metadata!Q594="",FALSE,IF(ISERROR(INT(Metadata!Q594)),FALSE,INT(Metadata!Q594)=Metadata!Q594)))</f>
        <v>0</v>
      </c>
      <c r="AS594">
        <f>AND(IF(Metadata!R594="",FALSE,TRUE),exact(Metadata!R594,"Not applicable"))</f>
        <v>0</v>
      </c>
    </row>
    <row r="595" spans="1:45">
      <c r="A595" s="4">
        <f>IF(B595=" "," ",HYPERLINK(CONCATENATE("#metadata!",ADDRESS(INDEX($X$2:$X$1001,MATCH(ROWS($V$2:V595),$V$2:$V$1001,0),0),2)),INDEX($AA$2:$AA$1001,MATCH(ROWS($V$2:V595),$V$2:$V$1001,0),0)))</f>
        <v>0</v>
      </c>
      <c r="B595" s="5">
        <f>IF(OR(INDEX($W$2:$W$1001,MATCH(ROWS($V$2:V595),$V$2:$V$1001,0),1)&gt;=100000,INDEX($AC$1005:$AS$1005,1,MATCH(COLUMNS($AC$1006:AC1006),$AC$1006:$AS$1006,0))&gt;=100000), " ",IF(INDEX($AC$2:$AS$1001,MATCH(ROWS($V$2:V595),$V$2:$V$1001,0),MATCH(COLUMNS($AC$1006:AC1006),$AC$1006:$AS$1006,0)), HYPERLINK("#",""), HYPERLINK(CONCATENATE("#Metadata!", ADDRESS(INDEX($X$2:$X$1001,MATCH(ROWS($V$2:V595),$V$2:$V$1001,0),0), INDEX($AC$1004:$AS$1004,1,MATCH(COLUMNS($AC$1006:AC1006),$AC$1006:$AS$1006,0)))),"Fix")))</f>
        <v>0</v>
      </c>
      <c r="C595" s="5">
        <f>IF(OR(INDEX($W$2:$W$1001,MATCH(ROWS($V$2:V595),$V$2:$V$1001,0),1)&gt;=100000,INDEX($AC$1005:$AS$1005,1,MATCH(COLUMNS($AC$1006:AD1006),$AC$1006:$AS$1006,0))&gt;=100000), " ",IF(INDEX($AC$2:$AS$1001,MATCH(ROWS($V$2:V595),$V$2:$V$1001,0),MATCH(COLUMNS($AC$1006:AD1006),$AC$1006:$AS$1006,0)), HYPERLINK("#",""), HYPERLINK(CONCATENATE("#Metadata!", ADDRESS(INDEX($X$2:$X$1001,MATCH(ROWS($V$2:V595),$V$2:$V$1001,0),0), INDEX($AC$1004:$AS$1004,1,MATCH(COLUMNS($AC$1006:AD1006),$AC$1006:$AS$1006,0)))),"Fix")))</f>
        <v>0</v>
      </c>
      <c r="D595" s="5">
        <f>IF(OR(INDEX($W$2:$W$1001,MATCH(ROWS($V$2:V595),$V$2:$V$1001,0),1)&gt;=100000,INDEX($AC$1005:$AS$1005,1,MATCH(COLUMNS($AC$1006:AE1006),$AC$1006:$AS$1006,0))&gt;=100000), " ",IF(INDEX($AC$2:$AS$1001,MATCH(ROWS($V$2:V595),$V$2:$V$1001,0),MATCH(COLUMNS($AC$1006:AE1006),$AC$1006:$AS$1006,0)), HYPERLINK("#",""), HYPERLINK(CONCATENATE("#Metadata!", ADDRESS(INDEX($X$2:$X$1001,MATCH(ROWS($V$2:V595),$V$2:$V$1001,0),0), INDEX($AC$1004:$AS$1004,1,MATCH(COLUMNS($AC$1006:AE1006),$AC$1006:$AS$1006,0)))),"Fix")))</f>
        <v>0</v>
      </c>
      <c r="E595" s="5">
        <f>IF(OR(INDEX($W$2:$W$1001,MATCH(ROWS($V$2:V595),$V$2:$V$1001,0),1)&gt;=100000,INDEX($AC$1005:$AS$1005,1,MATCH(COLUMNS($AC$1006:AF1006),$AC$1006:$AS$1006,0))&gt;=100000), " ",IF(INDEX($AC$2:$AS$1001,MATCH(ROWS($V$2:V595),$V$2:$V$1001,0),MATCH(COLUMNS($AC$1006:AF1006),$AC$1006:$AS$1006,0)), HYPERLINK("#",""), HYPERLINK(CONCATENATE("#Metadata!", ADDRESS(INDEX($X$2:$X$1001,MATCH(ROWS($V$2:V595),$V$2:$V$1001,0),0), INDEX($AC$1004:$AS$1004,1,MATCH(COLUMNS($AC$1006:AF1006),$AC$1006:$AS$1006,0)))),"Fix")))</f>
        <v>0</v>
      </c>
      <c r="F595" s="5">
        <f>IF(OR(INDEX($W$2:$W$1001,MATCH(ROWS($V$2:V595),$V$2:$V$1001,0),1)&gt;=100000,INDEX($AC$1005:$AS$1005,1,MATCH(COLUMNS($AC$1006:AG1006),$AC$1006:$AS$1006,0))&gt;=100000), " ",IF(INDEX($AC$2:$AS$1001,MATCH(ROWS($V$2:V595),$V$2:$V$1001,0),MATCH(COLUMNS($AC$1006:AG1006),$AC$1006:$AS$1006,0)), HYPERLINK("#",""), HYPERLINK(CONCATENATE("#Metadata!", ADDRESS(INDEX($X$2:$X$1001,MATCH(ROWS($V$2:V595),$V$2:$V$1001,0),0), INDEX($AC$1004:$AS$1004,1,MATCH(COLUMNS($AC$1006:AG1006),$AC$1006:$AS$1006,0)))),"Fix")))</f>
        <v>0</v>
      </c>
      <c r="G595" s="5">
        <f>IF(OR(INDEX($W$2:$W$1001,MATCH(ROWS($V$2:V595),$V$2:$V$1001,0),1)&gt;=100000,INDEX($AC$1005:$AS$1005,1,MATCH(COLUMNS($AC$1006:AH1006),$AC$1006:$AS$1006,0))&gt;=100000), " ",IF(INDEX($AC$2:$AS$1001,MATCH(ROWS($V$2:V595),$V$2:$V$1001,0),MATCH(COLUMNS($AC$1006:AH1006),$AC$1006:$AS$1006,0)), HYPERLINK("#",""), HYPERLINK(CONCATENATE("#Metadata!", ADDRESS(INDEX($X$2:$X$1001,MATCH(ROWS($V$2:V595),$V$2:$V$1001,0),0), INDEX($AC$1004:$AS$1004,1,MATCH(COLUMNS($AC$1006:AH1006),$AC$1006:$AS$1006,0)))),"Fix")))</f>
        <v>0</v>
      </c>
      <c r="H595" s="5">
        <f>IF(OR(INDEX($W$2:$W$1001,MATCH(ROWS($V$2:V595),$V$2:$V$1001,0),1)&gt;=100000,INDEX($AC$1005:$AS$1005,1,MATCH(COLUMNS($AC$1006:AI1006),$AC$1006:$AS$1006,0))&gt;=100000), " ",IF(INDEX($AC$2:$AS$1001,MATCH(ROWS($V$2:V595),$V$2:$V$1001,0),MATCH(COLUMNS($AC$1006:AI1006),$AC$1006:$AS$1006,0)), HYPERLINK("#",""), HYPERLINK(CONCATENATE("#Metadata!", ADDRESS(INDEX($X$2:$X$1001,MATCH(ROWS($V$2:V595),$V$2:$V$1001,0),0), INDEX($AC$1004:$AS$1004,1,MATCH(COLUMNS($AC$1006:AI1006),$AC$1006:$AS$1006,0)))),"Fix")))</f>
        <v>0</v>
      </c>
      <c r="I595" s="5">
        <f>IF(OR(INDEX($W$2:$W$1001,MATCH(ROWS($V$2:V595),$V$2:$V$1001,0),1)&gt;=100000,INDEX($AC$1005:$AS$1005,1,MATCH(COLUMNS($AC$1006:AJ1006),$AC$1006:$AS$1006,0))&gt;=100000), " ",IF(INDEX($AC$2:$AS$1001,MATCH(ROWS($V$2:V595),$V$2:$V$1001,0),MATCH(COLUMNS($AC$1006:AJ1006),$AC$1006:$AS$1006,0)), HYPERLINK("#",""), HYPERLINK(CONCATENATE("#Metadata!", ADDRESS(INDEX($X$2:$X$1001,MATCH(ROWS($V$2:V595),$V$2:$V$1001,0),0), INDEX($AC$1004:$AS$1004,1,MATCH(COLUMNS($AC$1006:AJ1006),$AC$1006:$AS$1006,0)))),"Fix")))</f>
        <v>0</v>
      </c>
      <c r="J595" s="5">
        <f>IF(OR(INDEX($W$2:$W$1001,MATCH(ROWS($V$2:V595),$V$2:$V$1001,0),1)&gt;=100000,INDEX($AC$1005:$AS$1005,1,MATCH(COLUMNS($AC$1006:AK1006),$AC$1006:$AS$1006,0))&gt;=100000), " ",IF(INDEX($AC$2:$AS$1001,MATCH(ROWS($V$2:V595),$V$2:$V$1001,0),MATCH(COLUMNS($AC$1006:AK1006),$AC$1006:$AS$1006,0)), HYPERLINK("#",""), HYPERLINK(CONCATENATE("#Metadata!", ADDRESS(INDEX($X$2:$X$1001,MATCH(ROWS($V$2:V595),$V$2:$V$1001,0),0), INDEX($AC$1004:$AS$1004,1,MATCH(COLUMNS($AC$1006:AK1006),$AC$1006:$AS$1006,0)))),"Fix")))</f>
        <v>0</v>
      </c>
      <c r="K595" s="5">
        <f>IF(OR(INDEX($W$2:$W$1001,MATCH(ROWS($V$2:V595),$V$2:$V$1001,0),1)&gt;=100000,INDEX($AC$1005:$AS$1005,1,MATCH(COLUMNS($AC$1006:AL1006),$AC$1006:$AS$1006,0))&gt;=100000), " ",IF(INDEX($AC$2:$AS$1001,MATCH(ROWS($V$2:V595),$V$2:$V$1001,0),MATCH(COLUMNS($AC$1006:AL1006),$AC$1006:$AS$1006,0)), HYPERLINK("#",""), HYPERLINK(CONCATENATE("#Metadata!", ADDRESS(INDEX($X$2:$X$1001,MATCH(ROWS($V$2:V595),$V$2:$V$1001,0),0), INDEX($AC$1004:$AS$1004,1,MATCH(COLUMNS($AC$1006:AL1006),$AC$1006:$AS$1006,0)))),"Fix")))</f>
        <v>0</v>
      </c>
      <c r="L595" s="5">
        <f>IF(OR(INDEX($W$2:$W$1001,MATCH(ROWS($V$2:V595),$V$2:$V$1001,0),1)&gt;=100000,INDEX($AC$1005:$AS$1005,1,MATCH(COLUMNS($AC$1006:AM1006),$AC$1006:$AS$1006,0))&gt;=100000), " ",IF(INDEX($AC$2:$AS$1001,MATCH(ROWS($V$2:V595),$V$2:$V$1001,0),MATCH(COLUMNS($AC$1006:AM1006),$AC$1006:$AS$1006,0)), HYPERLINK("#",""), HYPERLINK(CONCATENATE("#Metadata!", ADDRESS(INDEX($X$2:$X$1001,MATCH(ROWS($V$2:V595),$V$2:$V$1001,0),0), INDEX($AC$1004:$AS$1004,1,MATCH(COLUMNS($AC$1006:AM1006),$AC$1006:$AS$1006,0)))),"Fix")))</f>
        <v>0</v>
      </c>
      <c r="M595" s="5">
        <f>IF(OR(INDEX($W$2:$W$1001,MATCH(ROWS($V$2:V595),$V$2:$V$1001,0),1)&gt;=100000,INDEX($AC$1005:$AS$1005,1,MATCH(COLUMNS($AC$1006:AN1006),$AC$1006:$AS$1006,0))&gt;=100000), " ",IF(INDEX($AC$2:$AS$1001,MATCH(ROWS($V$2:V595),$V$2:$V$1001,0),MATCH(COLUMNS($AC$1006:AN1006),$AC$1006:$AS$1006,0)), HYPERLINK("#",""), HYPERLINK(CONCATENATE("#Metadata!", ADDRESS(INDEX($X$2:$X$1001,MATCH(ROWS($V$2:V595),$V$2:$V$1001,0),0), INDEX($AC$1004:$AS$1004,1,MATCH(COLUMNS($AC$1006:AN1006),$AC$1006:$AS$1006,0)))),"Fix")))</f>
        <v>0</v>
      </c>
      <c r="N595" s="5">
        <f>IF(OR(INDEX($W$2:$W$1001,MATCH(ROWS($V$2:V595),$V$2:$V$1001,0),1)&gt;=100000,INDEX($AC$1005:$AS$1005,1,MATCH(COLUMNS($AC$1006:AO1006),$AC$1006:$AS$1006,0))&gt;=100000), " ",IF(INDEX($AC$2:$AS$1001,MATCH(ROWS($V$2:V595),$V$2:$V$1001,0),MATCH(COLUMNS($AC$1006:AO1006),$AC$1006:$AS$1006,0)), HYPERLINK("#",""), HYPERLINK(CONCATENATE("#Metadata!", ADDRESS(INDEX($X$2:$X$1001,MATCH(ROWS($V$2:V595),$V$2:$V$1001,0),0), INDEX($AC$1004:$AS$1004,1,MATCH(COLUMNS($AC$1006:AO1006),$AC$1006:$AS$1006,0)))),"Fix")))</f>
        <v>0</v>
      </c>
      <c r="O595" s="5">
        <f>IF(OR(INDEX($W$2:$W$1001,MATCH(ROWS($V$2:V595),$V$2:$V$1001,0),1)&gt;=100000,INDEX($AC$1005:$AS$1005,1,MATCH(COLUMNS($AC$1006:AP1006),$AC$1006:$AS$1006,0))&gt;=100000), " ",IF(INDEX($AC$2:$AS$1001,MATCH(ROWS($V$2:V595),$V$2:$V$1001,0),MATCH(COLUMNS($AC$1006:AP1006),$AC$1006:$AS$1006,0)), HYPERLINK("#",""), HYPERLINK(CONCATENATE("#Metadata!", ADDRESS(INDEX($X$2:$X$1001,MATCH(ROWS($V$2:V595),$V$2:$V$1001,0),0), INDEX($AC$1004:$AS$1004,1,MATCH(COLUMNS($AC$1006:AP1006),$AC$1006:$AS$1006,0)))),"Fix")))</f>
        <v>0</v>
      </c>
      <c r="P595" s="5">
        <f>IF(OR(INDEX($W$2:$W$1001,MATCH(ROWS($V$2:V595),$V$2:$V$1001,0),1)&gt;=100000,INDEX($AC$1005:$AS$1005,1,MATCH(COLUMNS($AC$1006:AQ1006),$AC$1006:$AS$1006,0))&gt;=100000), " ",IF(INDEX($AC$2:$AS$1001,MATCH(ROWS($V$2:V595),$V$2:$V$1001,0),MATCH(COLUMNS($AC$1006:AQ1006),$AC$1006:$AS$1006,0)), HYPERLINK("#",""), HYPERLINK(CONCATENATE("#Metadata!", ADDRESS(INDEX($X$2:$X$1001,MATCH(ROWS($V$2:V595),$V$2:$V$1001,0),0), INDEX($AC$1004:$AS$1004,1,MATCH(COLUMNS($AC$1006:AQ1006),$AC$1006:$AS$1006,0)))),"Fix")))</f>
        <v>0</v>
      </c>
      <c r="Q595" s="5">
        <f>IF(OR(INDEX($W$2:$W$1001,MATCH(ROWS($V$2:V595),$V$2:$V$1001,0),1)&gt;=100000,INDEX($AC$1005:$AS$1005,1,MATCH(COLUMNS($AC$1006:AR1006),$AC$1006:$AS$1006,0))&gt;=100000), " ",IF(INDEX($AC$2:$AS$1001,MATCH(ROWS($V$2:V595),$V$2:$V$1001,0),MATCH(COLUMNS($AC$1006:AR1006),$AC$1006:$AS$1006,0)), HYPERLINK("#",""), HYPERLINK(CONCATENATE("#Metadata!", ADDRESS(INDEX($X$2:$X$1001,MATCH(ROWS($V$2:V595),$V$2:$V$1001,0),0), INDEX($AC$1004:$AS$1004,1,MATCH(COLUMNS($AC$1006:AR1006),$AC$1006:$AS$1006,0)))),"Fix")))</f>
        <v>0</v>
      </c>
      <c r="R595" s="5">
        <f>IF(OR(INDEX($W$2:$W$1001,MATCH(ROWS($V$2:V595),$V$2:$V$1001,0),1)&gt;=100000,INDEX($AC$1005:$AS$1005,1,MATCH(COLUMNS($AC$1006:AS1006),$AC$1006:$AS$1006,0))&gt;=100000), " ",IF(INDEX($AC$2:$AS$1001,MATCH(ROWS($V$2:V595),$V$2:$V$1001,0),MATCH(COLUMNS($AC$1006:AS1006),$AC$1006:$AS$1006,0)), HYPERLINK("#",""), HYPERLINK(CONCATENATE("#Metadata!", ADDRESS(INDEX($X$2:$X$1001,MATCH(ROWS($V$2:V595),$V$2:$V$1001,0),0), INDEX($AC$1004:$AS$1004,1,MATCH(COLUMNS($AC$1006:AS1006),$AC$1006:$AS$1006,0)))),"Fix")))</f>
        <v>0</v>
      </c>
      <c r="V595">
        <v>0</v>
      </c>
      <c r="W595">
        <v>0</v>
      </c>
      <c r="X595">
        <v>0</v>
      </c>
      <c r="Y595">
        <f>IF(Z595,TRUE,AND(AC595:AS595))</f>
        <v>0</v>
      </c>
      <c r="Z595">
        <f>COUNTBLANK(Metadata!B595:R595)=COLUMNS(Metadata!B595:R595)</f>
        <v>0</v>
      </c>
      <c r="AA595">
        <v>0</v>
      </c>
      <c r="AC595">
        <f>AND(IF(Metadata!B595="",FALSE,TRUE),COUNTIF(Metadata!B:B, Metadata!B595) = 1,NOT(ISERROR(SUMPRODUCT(SEARCH(MID(Metadata!B595,ROW(INDIRECT("1:"&amp;LEN(Metadata!B595))), 1),"0123456789abcdefghijklmnopqrstuvwxyzABCDEFGHIJKLMNOPQRSTUVWXYZ.")))))</f>
        <v>0</v>
      </c>
      <c r="AD595">
        <f>AND(IF(Metadata!C595="",FALSE,TRUE),exact(Metadata!C595,"Host-associated"))</f>
        <v>0</v>
      </c>
      <c r="AE595">
        <f>AND(IF(Metadata!D595="",FALSE,TRUE),OR(exact(Metadata!D595,"Animal"),exact(Metadata!D595,"Fungus"),exact(Metadata!D595,"Plant")))</f>
        <v>0</v>
      </c>
      <c r="AF595">
        <f>AND(IF(Metadata!E595="",FALSE,TRUE),OR(exact(Metadata!E595,"Plant secretion"),exact(Metadata!E595,"Plant rhizosphere"),exact(Metadata!E595,"Plant surface"),exact(Metadata!E595,"Plant corpus"),exact(Metadata!E595,"Fungus surface"),exact(Metadata!E595,"Fungus corpus"),exact(Metadata!E595,"Animal surface"),exact(Metadata!E595,"Animal proximal gut"),exact(Metadata!E595,"Animal corpus"),exact(Metadata!E595,"Animal distal gut"),exact(Metadata!E595,"Animal secretion")))</f>
        <v>0</v>
      </c>
      <c r="AG595">
        <f>OR(AND(IF(Metadata!F595="",FALSE,TRUE),OR(exact(Metadata!F595,"not collected"),exact(Metadata!F595,"not provided"),exact(Metadata!F595,"restricted access"))),AND(IF(Metadata!F595="",FALSE,TRUE),OR(exact(Metadata!F595,"organism-associated habitat"),exact(Metadata!F595,"plant-associated habitat"),exact(Metadata!F595,"animal-associated habitat"),exact(Metadata!F595,"insecta-associated habitat"),exact(Metadata!F595,"mammalia-associated habitat"),exact(Metadata!F595,"human-associated habitat"),exact(Metadata!F595,"livestock-associated habitat"))))</f>
        <v>0</v>
      </c>
      <c r="AH595">
        <f>AND(IF(Metadata!G595="",FALSE,TRUE),exact(Metadata!G595,"host-associated"))</f>
        <v>0</v>
      </c>
      <c r="AI595">
        <f>OR(AND(IF(Metadata!H595="",FALSE,TRUE),OR(exact(Metadata!H595,"not collected"),exact(Metadata!H595,"not provided"))),AND(IF(Metadata!H595="",FALSE,ISNUMBER(VALUE(Metadata!H595))),Metadata!H595&gt;0))</f>
        <v>0</v>
      </c>
      <c r="AJ595">
        <f>AND(IF(Metadata!I595="",FALSE,TRUE),exact(Metadata!I595,"years"))</f>
        <v>0</v>
      </c>
      <c r="AK595">
        <f>IF(Metadata!J595="",FALSE,TRUE)</f>
        <v>0</v>
      </c>
      <c r="AL595">
        <f>OR(AND(IF(Metadata!K595="",FALSE,TRUE),OR(exact(Metadata!K595,"not collected"),exact(Metadata!K595,"not provided"))),AND(IF(Metadata!K595="",FALSE,ISNUMBER(VALUE(Metadata!K595))),Metadata!K595&gt;0))</f>
        <v>0</v>
      </c>
      <c r="AM595">
        <f>AND(IF(Metadata!L595="",FALSE,TRUE),exact(Metadata!L595,"cm"))</f>
        <v>0</v>
      </c>
      <c r="AN595">
        <f>IF(Metadata!M595="",FALSE,TRUE)</f>
        <v>0</v>
      </c>
      <c r="AO595">
        <f>OR(AND(IF(Metadata!N595="",FALSE,TRUE),OR(exact(Metadata!N595,"not applicable"),exact(Metadata!N595,"not collected"),exact(Metadata!N595,"not provided"))),AND(IF(Metadata!N595="",FALSE,IF(ISERROR(INT(Metadata!N595)),FALSE,INT(Metadata!N595)=Metadata!N595)),Metadata!N595&gt;0))</f>
        <v>0</v>
      </c>
      <c r="AP595">
        <f>OR(AND(IF(Metadata!O595="",FALSE,TRUE),OR(exact(Metadata!O595,"not collected"),exact(Metadata!O595,"not provided"))),AND(IF(Metadata!O595="",FALSE,ISNUMBER(VALUE(Metadata!O595))),Metadata!O595&gt;0))</f>
        <v>0</v>
      </c>
      <c r="AQ595">
        <f>AND(IF(Metadata!P595="",FALSE,TRUE),exact(Metadata!P595,"kg"))</f>
        <v>0</v>
      </c>
      <c r="AR595">
        <f>OR(AND(IF(Metadata!Q595="",FALSE,TRUE),OR(exact(Metadata!Q595,"not applicable"),exact(Metadata!Q595,"not collected"),exact(Metadata!Q595,"not provided"),exact(Metadata!Q595,"restricted access"))),IF(Metadata!Q595="",FALSE,IF(ISERROR(INT(Metadata!Q595)),FALSE,INT(Metadata!Q595)=Metadata!Q595)))</f>
        <v>0</v>
      </c>
      <c r="AS595">
        <f>AND(IF(Metadata!R595="",FALSE,TRUE),exact(Metadata!R595,"Not applicable"))</f>
        <v>0</v>
      </c>
    </row>
    <row r="596" spans="1:45">
      <c r="A596" s="4">
        <f>IF(B596=" "," ",HYPERLINK(CONCATENATE("#metadata!",ADDRESS(INDEX($X$2:$X$1001,MATCH(ROWS($V$2:V596),$V$2:$V$1001,0),0),2)),INDEX($AA$2:$AA$1001,MATCH(ROWS($V$2:V596),$V$2:$V$1001,0),0)))</f>
        <v>0</v>
      </c>
      <c r="B596" s="5">
        <f>IF(OR(INDEX($W$2:$W$1001,MATCH(ROWS($V$2:V596),$V$2:$V$1001,0),1)&gt;=100000,INDEX($AC$1005:$AS$1005,1,MATCH(COLUMNS($AC$1006:AC1006),$AC$1006:$AS$1006,0))&gt;=100000), " ",IF(INDEX($AC$2:$AS$1001,MATCH(ROWS($V$2:V596),$V$2:$V$1001,0),MATCH(COLUMNS($AC$1006:AC1006),$AC$1006:$AS$1006,0)), HYPERLINK("#",""), HYPERLINK(CONCATENATE("#Metadata!", ADDRESS(INDEX($X$2:$X$1001,MATCH(ROWS($V$2:V596),$V$2:$V$1001,0),0), INDEX($AC$1004:$AS$1004,1,MATCH(COLUMNS($AC$1006:AC1006),$AC$1006:$AS$1006,0)))),"Fix")))</f>
        <v>0</v>
      </c>
      <c r="C596" s="5">
        <f>IF(OR(INDEX($W$2:$W$1001,MATCH(ROWS($V$2:V596),$V$2:$V$1001,0),1)&gt;=100000,INDEX($AC$1005:$AS$1005,1,MATCH(COLUMNS($AC$1006:AD1006),$AC$1006:$AS$1006,0))&gt;=100000), " ",IF(INDEX($AC$2:$AS$1001,MATCH(ROWS($V$2:V596),$V$2:$V$1001,0),MATCH(COLUMNS($AC$1006:AD1006),$AC$1006:$AS$1006,0)), HYPERLINK("#",""), HYPERLINK(CONCATENATE("#Metadata!", ADDRESS(INDEX($X$2:$X$1001,MATCH(ROWS($V$2:V596),$V$2:$V$1001,0),0), INDEX($AC$1004:$AS$1004,1,MATCH(COLUMNS($AC$1006:AD1006),$AC$1006:$AS$1006,0)))),"Fix")))</f>
        <v>0</v>
      </c>
      <c r="D596" s="5">
        <f>IF(OR(INDEX($W$2:$W$1001,MATCH(ROWS($V$2:V596),$V$2:$V$1001,0),1)&gt;=100000,INDEX($AC$1005:$AS$1005,1,MATCH(COLUMNS($AC$1006:AE1006),$AC$1006:$AS$1006,0))&gt;=100000), " ",IF(INDEX($AC$2:$AS$1001,MATCH(ROWS($V$2:V596),$V$2:$V$1001,0),MATCH(COLUMNS($AC$1006:AE1006),$AC$1006:$AS$1006,0)), HYPERLINK("#",""), HYPERLINK(CONCATENATE("#Metadata!", ADDRESS(INDEX($X$2:$X$1001,MATCH(ROWS($V$2:V596),$V$2:$V$1001,0),0), INDEX($AC$1004:$AS$1004,1,MATCH(COLUMNS($AC$1006:AE1006),$AC$1006:$AS$1006,0)))),"Fix")))</f>
        <v>0</v>
      </c>
      <c r="E596" s="5">
        <f>IF(OR(INDEX($W$2:$W$1001,MATCH(ROWS($V$2:V596),$V$2:$V$1001,0),1)&gt;=100000,INDEX($AC$1005:$AS$1005,1,MATCH(COLUMNS($AC$1006:AF1006),$AC$1006:$AS$1006,0))&gt;=100000), " ",IF(INDEX($AC$2:$AS$1001,MATCH(ROWS($V$2:V596),$V$2:$V$1001,0),MATCH(COLUMNS($AC$1006:AF1006),$AC$1006:$AS$1006,0)), HYPERLINK("#",""), HYPERLINK(CONCATENATE("#Metadata!", ADDRESS(INDEX($X$2:$X$1001,MATCH(ROWS($V$2:V596),$V$2:$V$1001,0),0), INDEX($AC$1004:$AS$1004,1,MATCH(COLUMNS($AC$1006:AF1006),$AC$1006:$AS$1006,0)))),"Fix")))</f>
        <v>0</v>
      </c>
      <c r="F596" s="5">
        <f>IF(OR(INDEX($W$2:$W$1001,MATCH(ROWS($V$2:V596),$V$2:$V$1001,0),1)&gt;=100000,INDEX($AC$1005:$AS$1005,1,MATCH(COLUMNS($AC$1006:AG1006),$AC$1006:$AS$1006,0))&gt;=100000), " ",IF(INDEX($AC$2:$AS$1001,MATCH(ROWS($V$2:V596),$V$2:$V$1001,0),MATCH(COLUMNS($AC$1006:AG1006),$AC$1006:$AS$1006,0)), HYPERLINK("#",""), HYPERLINK(CONCATENATE("#Metadata!", ADDRESS(INDEX($X$2:$X$1001,MATCH(ROWS($V$2:V596),$V$2:$V$1001,0),0), INDEX($AC$1004:$AS$1004,1,MATCH(COLUMNS($AC$1006:AG1006),$AC$1006:$AS$1006,0)))),"Fix")))</f>
        <v>0</v>
      </c>
      <c r="G596" s="5">
        <f>IF(OR(INDEX($W$2:$W$1001,MATCH(ROWS($V$2:V596),$V$2:$V$1001,0),1)&gt;=100000,INDEX($AC$1005:$AS$1005,1,MATCH(COLUMNS($AC$1006:AH1006),$AC$1006:$AS$1006,0))&gt;=100000), " ",IF(INDEX($AC$2:$AS$1001,MATCH(ROWS($V$2:V596),$V$2:$V$1001,0),MATCH(COLUMNS($AC$1006:AH1006),$AC$1006:$AS$1006,0)), HYPERLINK("#",""), HYPERLINK(CONCATENATE("#Metadata!", ADDRESS(INDEX($X$2:$X$1001,MATCH(ROWS($V$2:V596),$V$2:$V$1001,0),0), INDEX($AC$1004:$AS$1004,1,MATCH(COLUMNS($AC$1006:AH1006),$AC$1006:$AS$1006,0)))),"Fix")))</f>
        <v>0</v>
      </c>
      <c r="H596" s="5">
        <f>IF(OR(INDEX($W$2:$W$1001,MATCH(ROWS($V$2:V596),$V$2:$V$1001,0),1)&gt;=100000,INDEX($AC$1005:$AS$1005,1,MATCH(COLUMNS($AC$1006:AI1006),$AC$1006:$AS$1006,0))&gt;=100000), " ",IF(INDEX($AC$2:$AS$1001,MATCH(ROWS($V$2:V596),$V$2:$V$1001,0),MATCH(COLUMNS($AC$1006:AI1006),$AC$1006:$AS$1006,0)), HYPERLINK("#",""), HYPERLINK(CONCATENATE("#Metadata!", ADDRESS(INDEX($X$2:$X$1001,MATCH(ROWS($V$2:V596),$V$2:$V$1001,0),0), INDEX($AC$1004:$AS$1004,1,MATCH(COLUMNS($AC$1006:AI1006),$AC$1006:$AS$1006,0)))),"Fix")))</f>
        <v>0</v>
      </c>
      <c r="I596" s="5">
        <f>IF(OR(INDEX($W$2:$W$1001,MATCH(ROWS($V$2:V596),$V$2:$V$1001,0),1)&gt;=100000,INDEX($AC$1005:$AS$1005,1,MATCH(COLUMNS($AC$1006:AJ1006),$AC$1006:$AS$1006,0))&gt;=100000), " ",IF(INDEX($AC$2:$AS$1001,MATCH(ROWS($V$2:V596),$V$2:$V$1001,0),MATCH(COLUMNS($AC$1006:AJ1006),$AC$1006:$AS$1006,0)), HYPERLINK("#",""), HYPERLINK(CONCATENATE("#Metadata!", ADDRESS(INDEX($X$2:$X$1001,MATCH(ROWS($V$2:V596),$V$2:$V$1001,0),0), INDEX($AC$1004:$AS$1004,1,MATCH(COLUMNS($AC$1006:AJ1006),$AC$1006:$AS$1006,0)))),"Fix")))</f>
        <v>0</v>
      </c>
      <c r="J596" s="5">
        <f>IF(OR(INDEX($W$2:$W$1001,MATCH(ROWS($V$2:V596),$V$2:$V$1001,0),1)&gt;=100000,INDEX($AC$1005:$AS$1005,1,MATCH(COLUMNS($AC$1006:AK1006),$AC$1006:$AS$1006,0))&gt;=100000), " ",IF(INDEX($AC$2:$AS$1001,MATCH(ROWS($V$2:V596),$V$2:$V$1001,0),MATCH(COLUMNS($AC$1006:AK1006),$AC$1006:$AS$1006,0)), HYPERLINK("#",""), HYPERLINK(CONCATENATE("#Metadata!", ADDRESS(INDEX($X$2:$X$1001,MATCH(ROWS($V$2:V596),$V$2:$V$1001,0),0), INDEX($AC$1004:$AS$1004,1,MATCH(COLUMNS($AC$1006:AK1006),$AC$1006:$AS$1006,0)))),"Fix")))</f>
        <v>0</v>
      </c>
      <c r="K596" s="5">
        <f>IF(OR(INDEX($W$2:$W$1001,MATCH(ROWS($V$2:V596),$V$2:$V$1001,0),1)&gt;=100000,INDEX($AC$1005:$AS$1005,1,MATCH(COLUMNS($AC$1006:AL1006),$AC$1006:$AS$1006,0))&gt;=100000), " ",IF(INDEX($AC$2:$AS$1001,MATCH(ROWS($V$2:V596),$V$2:$V$1001,0),MATCH(COLUMNS($AC$1006:AL1006),$AC$1006:$AS$1006,0)), HYPERLINK("#",""), HYPERLINK(CONCATENATE("#Metadata!", ADDRESS(INDEX($X$2:$X$1001,MATCH(ROWS($V$2:V596),$V$2:$V$1001,0),0), INDEX($AC$1004:$AS$1004,1,MATCH(COLUMNS($AC$1006:AL1006),$AC$1006:$AS$1006,0)))),"Fix")))</f>
        <v>0</v>
      </c>
      <c r="L596" s="5">
        <f>IF(OR(INDEX($W$2:$W$1001,MATCH(ROWS($V$2:V596),$V$2:$V$1001,0),1)&gt;=100000,INDEX($AC$1005:$AS$1005,1,MATCH(COLUMNS($AC$1006:AM1006),$AC$1006:$AS$1006,0))&gt;=100000), " ",IF(INDEX($AC$2:$AS$1001,MATCH(ROWS($V$2:V596),$V$2:$V$1001,0),MATCH(COLUMNS($AC$1006:AM1006),$AC$1006:$AS$1006,0)), HYPERLINK("#",""), HYPERLINK(CONCATENATE("#Metadata!", ADDRESS(INDEX($X$2:$X$1001,MATCH(ROWS($V$2:V596),$V$2:$V$1001,0),0), INDEX($AC$1004:$AS$1004,1,MATCH(COLUMNS($AC$1006:AM1006),$AC$1006:$AS$1006,0)))),"Fix")))</f>
        <v>0</v>
      </c>
      <c r="M596" s="5">
        <f>IF(OR(INDEX($W$2:$W$1001,MATCH(ROWS($V$2:V596),$V$2:$V$1001,0),1)&gt;=100000,INDEX($AC$1005:$AS$1005,1,MATCH(COLUMNS($AC$1006:AN1006),$AC$1006:$AS$1006,0))&gt;=100000), " ",IF(INDEX($AC$2:$AS$1001,MATCH(ROWS($V$2:V596),$V$2:$V$1001,0),MATCH(COLUMNS($AC$1006:AN1006),$AC$1006:$AS$1006,0)), HYPERLINK("#",""), HYPERLINK(CONCATENATE("#Metadata!", ADDRESS(INDEX($X$2:$X$1001,MATCH(ROWS($V$2:V596),$V$2:$V$1001,0),0), INDEX($AC$1004:$AS$1004,1,MATCH(COLUMNS($AC$1006:AN1006),$AC$1006:$AS$1006,0)))),"Fix")))</f>
        <v>0</v>
      </c>
      <c r="N596" s="5">
        <f>IF(OR(INDEX($W$2:$W$1001,MATCH(ROWS($V$2:V596),$V$2:$V$1001,0),1)&gt;=100000,INDEX($AC$1005:$AS$1005,1,MATCH(COLUMNS($AC$1006:AO1006),$AC$1006:$AS$1006,0))&gt;=100000), " ",IF(INDEX($AC$2:$AS$1001,MATCH(ROWS($V$2:V596),$V$2:$V$1001,0),MATCH(COLUMNS($AC$1006:AO1006),$AC$1006:$AS$1006,0)), HYPERLINK("#",""), HYPERLINK(CONCATENATE("#Metadata!", ADDRESS(INDEX($X$2:$X$1001,MATCH(ROWS($V$2:V596),$V$2:$V$1001,0),0), INDEX($AC$1004:$AS$1004,1,MATCH(COLUMNS($AC$1006:AO1006),$AC$1006:$AS$1006,0)))),"Fix")))</f>
        <v>0</v>
      </c>
      <c r="O596" s="5">
        <f>IF(OR(INDEX($W$2:$W$1001,MATCH(ROWS($V$2:V596),$V$2:$V$1001,0),1)&gt;=100000,INDEX($AC$1005:$AS$1005,1,MATCH(COLUMNS($AC$1006:AP1006),$AC$1006:$AS$1006,0))&gt;=100000), " ",IF(INDEX($AC$2:$AS$1001,MATCH(ROWS($V$2:V596),$V$2:$V$1001,0),MATCH(COLUMNS($AC$1006:AP1006),$AC$1006:$AS$1006,0)), HYPERLINK("#",""), HYPERLINK(CONCATENATE("#Metadata!", ADDRESS(INDEX($X$2:$X$1001,MATCH(ROWS($V$2:V596),$V$2:$V$1001,0),0), INDEX($AC$1004:$AS$1004,1,MATCH(COLUMNS($AC$1006:AP1006),$AC$1006:$AS$1006,0)))),"Fix")))</f>
        <v>0</v>
      </c>
      <c r="P596" s="5">
        <f>IF(OR(INDEX($W$2:$W$1001,MATCH(ROWS($V$2:V596),$V$2:$V$1001,0),1)&gt;=100000,INDEX($AC$1005:$AS$1005,1,MATCH(COLUMNS($AC$1006:AQ1006),$AC$1006:$AS$1006,0))&gt;=100000), " ",IF(INDEX($AC$2:$AS$1001,MATCH(ROWS($V$2:V596),$V$2:$V$1001,0),MATCH(COLUMNS($AC$1006:AQ1006),$AC$1006:$AS$1006,0)), HYPERLINK("#",""), HYPERLINK(CONCATENATE("#Metadata!", ADDRESS(INDEX($X$2:$X$1001,MATCH(ROWS($V$2:V596),$V$2:$V$1001,0),0), INDEX($AC$1004:$AS$1004,1,MATCH(COLUMNS($AC$1006:AQ1006),$AC$1006:$AS$1006,0)))),"Fix")))</f>
        <v>0</v>
      </c>
      <c r="Q596" s="5">
        <f>IF(OR(INDEX($W$2:$W$1001,MATCH(ROWS($V$2:V596),$V$2:$V$1001,0),1)&gt;=100000,INDEX($AC$1005:$AS$1005,1,MATCH(COLUMNS($AC$1006:AR1006),$AC$1006:$AS$1006,0))&gt;=100000), " ",IF(INDEX($AC$2:$AS$1001,MATCH(ROWS($V$2:V596),$V$2:$V$1001,0),MATCH(COLUMNS($AC$1006:AR1006),$AC$1006:$AS$1006,0)), HYPERLINK("#",""), HYPERLINK(CONCATENATE("#Metadata!", ADDRESS(INDEX($X$2:$X$1001,MATCH(ROWS($V$2:V596),$V$2:$V$1001,0),0), INDEX($AC$1004:$AS$1004,1,MATCH(COLUMNS($AC$1006:AR1006),$AC$1006:$AS$1006,0)))),"Fix")))</f>
        <v>0</v>
      </c>
      <c r="R596" s="5">
        <f>IF(OR(INDEX($W$2:$W$1001,MATCH(ROWS($V$2:V596),$V$2:$V$1001,0),1)&gt;=100000,INDEX($AC$1005:$AS$1005,1,MATCH(COLUMNS($AC$1006:AS1006),$AC$1006:$AS$1006,0))&gt;=100000), " ",IF(INDEX($AC$2:$AS$1001,MATCH(ROWS($V$2:V596),$V$2:$V$1001,0),MATCH(COLUMNS($AC$1006:AS1006),$AC$1006:$AS$1006,0)), HYPERLINK("#",""), HYPERLINK(CONCATENATE("#Metadata!", ADDRESS(INDEX($X$2:$X$1001,MATCH(ROWS($V$2:V596),$V$2:$V$1001,0),0), INDEX($AC$1004:$AS$1004,1,MATCH(COLUMNS($AC$1006:AS1006),$AC$1006:$AS$1006,0)))),"Fix")))</f>
        <v>0</v>
      </c>
      <c r="V596">
        <v>0</v>
      </c>
      <c r="W596">
        <v>0</v>
      </c>
      <c r="X596">
        <v>0</v>
      </c>
      <c r="Y596">
        <f>IF(Z596,TRUE,AND(AC596:AS596))</f>
        <v>0</v>
      </c>
      <c r="Z596">
        <f>COUNTBLANK(Metadata!B596:R596)=COLUMNS(Metadata!B596:R596)</f>
        <v>0</v>
      </c>
      <c r="AA596">
        <v>0</v>
      </c>
      <c r="AC596">
        <f>AND(IF(Metadata!B596="",FALSE,TRUE),COUNTIF(Metadata!B:B, Metadata!B596) = 1,NOT(ISERROR(SUMPRODUCT(SEARCH(MID(Metadata!B596,ROW(INDIRECT("1:"&amp;LEN(Metadata!B596))), 1),"0123456789abcdefghijklmnopqrstuvwxyzABCDEFGHIJKLMNOPQRSTUVWXYZ.")))))</f>
        <v>0</v>
      </c>
      <c r="AD596">
        <f>AND(IF(Metadata!C596="",FALSE,TRUE),exact(Metadata!C596,"Host-associated"))</f>
        <v>0</v>
      </c>
      <c r="AE596">
        <f>AND(IF(Metadata!D596="",FALSE,TRUE),OR(exact(Metadata!D596,"Animal"),exact(Metadata!D596,"Fungus"),exact(Metadata!D596,"Plant")))</f>
        <v>0</v>
      </c>
      <c r="AF596">
        <f>AND(IF(Metadata!E596="",FALSE,TRUE),OR(exact(Metadata!E596,"Plant secretion"),exact(Metadata!E596,"Plant rhizosphere"),exact(Metadata!E596,"Plant surface"),exact(Metadata!E596,"Plant corpus"),exact(Metadata!E596,"Fungus surface"),exact(Metadata!E596,"Fungus corpus"),exact(Metadata!E596,"Animal surface"),exact(Metadata!E596,"Animal proximal gut"),exact(Metadata!E596,"Animal corpus"),exact(Metadata!E596,"Animal distal gut"),exact(Metadata!E596,"Animal secretion")))</f>
        <v>0</v>
      </c>
      <c r="AG596">
        <f>OR(AND(IF(Metadata!F596="",FALSE,TRUE),OR(exact(Metadata!F596,"not collected"),exact(Metadata!F596,"not provided"),exact(Metadata!F596,"restricted access"))),AND(IF(Metadata!F596="",FALSE,TRUE),OR(exact(Metadata!F596,"organism-associated habitat"),exact(Metadata!F596,"plant-associated habitat"),exact(Metadata!F596,"animal-associated habitat"),exact(Metadata!F596,"insecta-associated habitat"),exact(Metadata!F596,"mammalia-associated habitat"),exact(Metadata!F596,"human-associated habitat"),exact(Metadata!F596,"livestock-associated habitat"))))</f>
        <v>0</v>
      </c>
      <c r="AH596">
        <f>AND(IF(Metadata!G596="",FALSE,TRUE),exact(Metadata!G596,"host-associated"))</f>
        <v>0</v>
      </c>
      <c r="AI596">
        <f>OR(AND(IF(Metadata!H596="",FALSE,TRUE),OR(exact(Metadata!H596,"not collected"),exact(Metadata!H596,"not provided"))),AND(IF(Metadata!H596="",FALSE,ISNUMBER(VALUE(Metadata!H596))),Metadata!H596&gt;0))</f>
        <v>0</v>
      </c>
      <c r="AJ596">
        <f>AND(IF(Metadata!I596="",FALSE,TRUE),exact(Metadata!I596,"years"))</f>
        <v>0</v>
      </c>
      <c r="AK596">
        <f>IF(Metadata!J596="",FALSE,TRUE)</f>
        <v>0</v>
      </c>
      <c r="AL596">
        <f>OR(AND(IF(Metadata!K596="",FALSE,TRUE),OR(exact(Metadata!K596,"not collected"),exact(Metadata!K596,"not provided"))),AND(IF(Metadata!K596="",FALSE,ISNUMBER(VALUE(Metadata!K596))),Metadata!K596&gt;0))</f>
        <v>0</v>
      </c>
      <c r="AM596">
        <f>AND(IF(Metadata!L596="",FALSE,TRUE),exact(Metadata!L596,"cm"))</f>
        <v>0</v>
      </c>
      <c r="AN596">
        <f>IF(Metadata!M596="",FALSE,TRUE)</f>
        <v>0</v>
      </c>
      <c r="AO596">
        <f>OR(AND(IF(Metadata!N596="",FALSE,TRUE),OR(exact(Metadata!N596,"not applicable"),exact(Metadata!N596,"not collected"),exact(Metadata!N596,"not provided"))),AND(IF(Metadata!N596="",FALSE,IF(ISERROR(INT(Metadata!N596)),FALSE,INT(Metadata!N596)=Metadata!N596)),Metadata!N596&gt;0))</f>
        <v>0</v>
      </c>
      <c r="AP596">
        <f>OR(AND(IF(Metadata!O596="",FALSE,TRUE),OR(exact(Metadata!O596,"not collected"),exact(Metadata!O596,"not provided"))),AND(IF(Metadata!O596="",FALSE,ISNUMBER(VALUE(Metadata!O596))),Metadata!O596&gt;0))</f>
        <v>0</v>
      </c>
      <c r="AQ596">
        <f>AND(IF(Metadata!P596="",FALSE,TRUE),exact(Metadata!P596,"kg"))</f>
        <v>0</v>
      </c>
      <c r="AR596">
        <f>OR(AND(IF(Metadata!Q596="",FALSE,TRUE),OR(exact(Metadata!Q596,"not applicable"),exact(Metadata!Q596,"not collected"),exact(Metadata!Q596,"not provided"),exact(Metadata!Q596,"restricted access"))),IF(Metadata!Q596="",FALSE,IF(ISERROR(INT(Metadata!Q596)),FALSE,INT(Metadata!Q596)=Metadata!Q596)))</f>
        <v>0</v>
      </c>
      <c r="AS596">
        <f>AND(IF(Metadata!R596="",FALSE,TRUE),exact(Metadata!R596,"Not applicable"))</f>
        <v>0</v>
      </c>
    </row>
    <row r="597" spans="1:45">
      <c r="A597" s="4">
        <f>IF(B597=" "," ",HYPERLINK(CONCATENATE("#metadata!",ADDRESS(INDEX($X$2:$X$1001,MATCH(ROWS($V$2:V597),$V$2:$V$1001,0),0),2)),INDEX($AA$2:$AA$1001,MATCH(ROWS($V$2:V597),$V$2:$V$1001,0),0)))</f>
        <v>0</v>
      </c>
      <c r="B597" s="5">
        <f>IF(OR(INDEX($W$2:$W$1001,MATCH(ROWS($V$2:V597),$V$2:$V$1001,0),1)&gt;=100000,INDEX($AC$1005:$AS$1005,1,MATCH(COLUMNS($AC$1006:AC1006),$AC$1006:$AS$1006,0))&gt;=100000), " ",IF(INDEX($AC$2:$AS$1001,MATCH(ROWS($V$2:V597),$V$2:$V$1001,0),MATCH(COLUMNS($AC$1006:AC1006),$AC$1006:$AS$1006,0)), HYPERLINK("#",""), HYPERLINK(CONCATENATE("#Metadata!", ADDRESS(INDEX($X$2:$X$1001,MATCH(ROWS($V$2:V597),$V$2:$V$1001,0),0), INDEX($AC$1004:$AS$1004,1,MATCH(COLUMNS($AC$1006:AC1006),$AC$1006:$AS$1006,0)))),"Fix")))</f>
        <v>0</v>
      </c>
      <c r="C597" s="5">
        <f>IF(OR(INDEX($W$2:$W$1001,MATCH(ROWS($V$2:V597),$V$2:$V$1001,0),1)&gt;=100000,INDEX($AC$1005:$AS$1005,1,MATCH(COLUMNS($AC$1006:AD1006),$AC$1006:$AS$1006,0))&gt;=100000), " ",IF(INDEX($AC$2:$AS$1001,MATCH(ROWS($V$2:V597),$V$2:$V$1001,0),MATCH(COLUMNS($AC$1006:AD1006),$AC$1006:$AS$1006,0)), HYPERLINK("#",""), HYPERLINK(CONCATENATE("#Metadata!", ADDRESS(INDEX($X$2:$X$1001,MATCH(ROWS($V$2:V597),$V$2:$V$1001,0),0), INDEX($AC$1004:$AS$1004,1,MATCH(COLUMNS($AC$1006:AD1006),$AC$1006:$AS$1006,0)))),"Fix")))</f>
        <v>0</v>
      </c>
      <c r="D597" s="5">
        <f>IF(OR(INDEX($W$2:$W$1001,MATCH(ROWS($V$2:V597),$V$2:$V$1001,0),1)&gt;=100000,INDEX($AC$1005:$AS$1005,1,MATCH(COLUMNS($AC$1006:AE1006),$AC$1006:$AS$1006,0))&gt;=100000), " ",IF(INDEX($AC$2:$AS$1001,MATCH(ROWS($V$2:V597),$V$2:$V$1001,0),MATCH(COLUMNS($AC$1006:AE1006),$AC$1006:$AS$1006,0)), HYPERLINK("#",""), HYPERLINK(CONCATENATE("#Metadata!", ADDRESS(INDEX($X$2:$X$1001,MATCH(ROWS($V$2:V597),$V$2:$V$1001,0),0), INDEX($AC$1004:$AS$1004,1,MATCH(COLUMNS($AC$1006:AE1006),$AC$1006:$AS$1006,0)))),"Fix")))</f>
        <v>0</v>
      </c>
      <c r="E597" s="5">
        <f>IF(OR(INDEX($W$2:$W$1001,MATCH(ROWS($V$2:V597),$V$2:$V$1001,0),1)&gt;=100000,INDEX($AC$1005:$AS$1005,1,MATCH(COLUMNS($AC$1006:AF1006),$AC$1006:$AS$1006,0))&gt;=100000), " ",IF(INDEX($AC$2:$AS$1001,MATCH(ROWS($V$2:V597),$V$2:$V$1001,0),MATCH(COLUMNS($AC$1006:AF1006),$AC$1006:$AS$1006,0)), HYPERLINK("#",""), HYPERLINK(CONCATENATE("#Metadata!", ADDRESS(INDEX($X$2:$X$1001,MATCH(ROWS($V$2:V597),$V$2:$V$1001,0),0), INDEX($AC$1004:$AS$1004,1,MATCH(COLUMNS($AC$1006:AF1006),$AC$1006:$AS$1006,0)))),"Fix")))</f>
        <v>0</v>
      </c>
      <c r="F597" s="5">
        <f>IF(OR(INDEX($W$2:$W$1001,MATCH(ROWS($V$2:V597),$V$2:$V$1001,0),1)&gt;=100000,INDEX($AC$1005:$AS$1005,1,MATCH(COLUMNS($AC$1006:AG1006),$AC$1006:$AS$1006,0))&gt;=100000), " ",IF(INDEX($AC$2:$AS$1001,MATCH(ROWS($V$2:V597),$V$2:$V$1001,0),MATCH(COLUMNS($AC$1006:AG1006),$AC$1006:$AS$1006,0)), HYPERLINK("#",""), HYPERLINK(CONCATENATE("#Metadata!", ADDRESS(INDEX($X$2:$X$1001,MATCH(ROWS($V$2:V597),$V$2:$V$1001,0),0), INDEX($AC$1004:$AS$1004,1,MATCH(COLUMNS($AC$1006:AG1006),$AC$1006:$AS$1006,0)))),"Fix")))</f>
        <v>0</v>
      </c>
      <c r="G597" s="5">
        <f>IF(OR(INDEX($W$2:$W$1001,MATCH(ROWS($V$2:V597),$V$2:$V$1001,0),1)&gt;=100000,INDEX($AC$1005:$AS$1005,1,MATCH(COLUMNS($AC$1006:AH1006),$AC$1006:$AS$1006,0))&gt;=100000), " ",IF(INDEX($AC$2:$AS$1001,MATCH(ROWS($V$2:V597),$V$2:$V$1001,0),MATCH(COLUMNS($AC$1006:AH1006),$AC$1006:$AS$1006,0)), HYPERLINK("#",""), HYPERLINK(CONCATENATE("#Metadata!", ADDRESS(INDEX($X$2:$X$1001,MATCH(ROWS($V$2:V597),$V$2:$V$1001,0),0), INDEX($AC$1004:$AS$1004,1,MATCH(COLUMNS($AC$1006:AH1006),$AC$1006:$AS$1006,0)))),"Fix")))</f>
        <v>0</v>
      </c>
      <c r="H597" s="5">
        <f>IF(OR(INDEX($W$2:$W$1001,MATCH(ROWS($V$2:V597),$V$2:$V$1001,0),1)&gt;=100000,INDEX($AC$1005:$AS$1005,1,MATCH(COLUMNS($AC$1006:AI1006),$AC$1006:$AS$1006,0))&gt;=100000), " ",IF(INDEX($AC$2:$AS$1001,MATCH(ROWS($V$2:V597),$V$2:$V$1001,0),MATCH(COLUMNS($AC$1006:AI1006),$AC$1006:$AS$1006,0)), HYPERLINK("#",""), HYPERLINK(CONCATENATE("#Metadata!", ADDRESS(INDEX($X$2:$X$1001,MATCH(ROWS($V$2:V597),$V$2:$V$1001,0),0), INDEX($AC$1004:$AS$1004,1,MATCH(COLUMNS($AC$1006:AI1006),$AC$1006:$AS$1006,0)))),"Fix")))</f>
        <v>0</v>
      </c>
      <c r="I597" s="5">
        <f>IF(OR(INDEX($W$2:$W$1001,MATCH(ROWS($V$2:V597),$V$2:$V$1001,0),1)&gt;=100000,INDEX($AC$1005:$AS$1005,1,MATCH(COLUMNS($AC$1006:AJ1006),$AC$1006:$AS$1006,0))&gt;=100000), " ",IF(INDEX($AC$2:$AS$1001,MATCH(ROWS($V$2:V597),$V$2:$V$1001,0),MATCH(COLUMNS($AC$1006:AJ1006),$AC$1006:$AS$1006,0)), HYPERLINK("#",""), HYPERLINK(CONCATENATE("#Metadata!", ADDRESS(INDEX($X$2:$X$1001,MATCH(ROWS($V$2:V597),$V$2:$V$1001,0),0), INDEX($AC$1004:$AS$1004,1,MATCH(COLUMNS($AC$1006:AJ1006),$AC$1006:$AS$1006,0)))),"Fix")))</f>
        <v>0</v>
      </c>
      <c r="J597" s="5">
        <f>IF(OR(INDEX($W$2:$W$1001,MATCH(ROWS($V$2:V597),$V$2:$V$1001,0),1)&gt;=100000,INDEX($AC$1005:$AS$1005,1,MATCH(COLUMNS($AC$1006:AK1006),$AC$1006:$AS$1006,0))&gt;=100000), " ",IF(INDEX($AC$2:$AS$1001,MATCH(ROWS($V$2:V597),$V$2:$V$1001,0),MATCH(COLUMNS($AC$1006:AK1006),$AC$1006:$AS$1006,0)), HYPERLINK("#",""), HYPERLINK(CONCATENATE("#Metadata!", ADDRESS(INDEX($X$2:$X$1001,MATCH(ROWS($V$2:V597),$V$2:$V$1001,0),0), INDEX($AC$1004:$AS$1004,1,MATCH(COLUMNS($AC$1006:AK1006),$AC$1006:$AS$1006,0)))),"Fix")))</f>
        <v>0</v>
      </c>
      <c r="K597" s="5">
        <f>IF(OR(INDEX($W$2:$W$1001,MATCH(ROWS($V$2:V597),$V$2:$V$1001,0),1)&gt;=100000,INDEX($AC$1005:$AS$1005,1,MATCH(COLUMNS($AC$1006:AL1006),$AC$1006:$AS$1006,0))&gt;=100000), " ",IF(INDEX($AC$2:$AS$1001,MATCH(ROWS($V$2:V597),$V$2:$V$1001,0),MATCH(COLUMNS($AC$1006:AL1006),$AC$1006:$AS$1006,0)), HYPERLINK("#",""), HYPERLINK(CONCATENATE("#Metadata!", ADDRESS(INDEX($X$2:$X$1001,MATCH(ROWS($V$2:V597),$V$2:$V$1001,0),0), INDEX($AC$1004:$AS$1004,1,MATCH(COLUMNS($AC$1006:AL1006),$AC$1006:$AS$1006,0)))),"Fix")))</f>
        <v>0</v>
      </c>
      <c r="L597" s="5">
        <f>IF(OR(INDEX($W$2:$W$1001,MATCH(ROWS($V$2:V597),$V$2:$V$1001,0),1)&gt;=100000,INDEX($AC$1005:$AS$1005,1,MATCH(COLUMNS($AC$1006:AM1006),$AC$1006:$AS$1006,0))&gt;=100000), " ",IF(INDEX($AC$2:$AS$1001,MATCH(ROWS($V$2:V597),$V$2:$V$1001,0),MATCH(COLUMNS($AC$1006:AM1006),$AC$1006:$AS$1006,0)), HYPERLINK("#",""), HYPERLINK(CONCATENATE("#Metadata!", ADDRESS(INDEX($X$2:$X$1001,MATCH(ROWS($V$2:V597),$V$2:$V$1001,0),0), INDEX($AC$1004:$AS$1004,1,MATCH(COLUMNS($AC$1006:AM1006),$AC$1006:$AS$1006,0)))),"Fix")))</f>
        <v>0</v>
      </c>
      <c r="M597" s="5">
        <f>IF(OR(INDEX($W$2:$W$1001,MATCH(ROWS($V$2:V597),$V$2:$V$1001,0),1)&gt;=100000,INDEX($AC$1005:$AS$1005,1,MATCH(COLUMNS($AC$1006:AN1006),$AC$1006:$AS$1006,0))&gt;=100000), " ",IF(INDEX($AC$2:$AS$1001,MATCH(ROWS($V$2:V597),$V$2:$V$1001,0),MATCH(COLUMNS($AC$1006:AN1006),$AC$1006:$AS$1006,0)), HYPERLINK("#",""), HYPERLINK(CONCATENATE("#Metadata!", ADDRESS(INDEX($X$2:$X$1001,MATCH(ROWS($V$2:V597),$V$2:$V$1001,0),0), INDEX($AC$1004:$AS$1004,1,MATCH(COLUMNS($AC$1006:AN1006),$AC$1006:$AS$1006,0)))),"Fix")))</f>
        <v>0</v>
      </c>
      <c r="N597" s="5">
        <f>IF(OR(INDEX($W$2:$W$1001,MATCH(ROWS($V$2:V597),$V$2:$V$1001,0),1)&gt;=100000,INDEX($AC$1005:$AS$1005,1,MATCH(COLUMNS($AC$1006:AO1006),$AC$1006:$AS$1006,0))&gt;=100000), " ",IF(INDEX($AC$2:$AS$1001,MATCH(ROWS($V$2:V597),$V$2:$V$1001,0),MATCH(COLUMNS($AC$1006:AO1006),$AC$1006:$AS$1006,0)), HYPERLINK("#",""), HYPERLINK(CONCATENATE("#Metadata!", ADDRESS(INDEX($X$2:$X$1001,MATCH(ROWS($V$2:V597),$V$2:$V$1001,0),0), INDEX($AC$1004:$AS$1004,1,MATCH(COLUMNS($AC$1006:AO1006),$AC$1006:$AS$1006,0)))),"Fix")))</f>
        <v>0</v>
      </c>
      <c r="O597" s="5">
        <f>IF(OR(INDEX($W$2:$W$1001,MATCH(ROWS($V$2:V597),$V$2:$V$1001,0),1)&gt;=100000,INDEX($AC$1005:$AS$1005,1,MATCH(COLUMNS($AC$1006:AP1006),$AC$1006:$AS$1006,0))&gt;=100000), " ",IF(INDEX($AC$2:$AS$1001,MATCH(ROWS($V$2:V597),$V$2:$V$1001,0),MATCH(COLUMNS($AC$1006:AP1006),$AC$1006:$AS$1006,0)), HYPERLINK("#",""), HYPERLINK(CONCATENATE("#Metadata!", ADDRESS(INDEX($X$2:$X$1001,MATCH(ROWS($V$2:V597),$V$2:$V$1001,0),0), INDEX($AC$1004:$AS$1004,1,MATCH(COLUMNS($AC$1006:AP1006),$AC$1006:$AS$1006,0)))),"Fix")))</f>
        <v>0</v>
      </c>
      <c r="P597" s="5">
        <f>IF(OR(INDEX($W$2:$W$1001,MATCH(ROWS($V$2:V597),$V$2:$V$1001,0),1)&gt;=100000,INDEX($AC$1005:$AS$1005,1,MATCH(COLUMNS($AC$1006:AQ1006),$AC$1006:$AS$1006,0))&gt;=100000), " ",IF(INDEX($AC$2:$AS$1001,MATCH(ROWS($V$2:V597),$V$2:$V$1001,0),MATCH(COLUMNS($AC$1006:AQ1006),$AC$1006:$AS$1006,0)), HYPERLINK("#",""), HYPERLINK(CONCATENATE("#Metadata!", ADDRESS(INDEX($X$2:$X$1001,MATCH(ROWS($V$2:V597),$V$2:$V$1001,0),0), INDEX($AC$1004:$AS$1004,1,MATCH(COLUMNS($AC$1006:AQ1006),$AC$1006:$AS$1006,0)))),"Fix")))</f>
        <v>0</v>
      </c>
      <c r="Q597" s="5">
        <f>IF(OR(INDEX($W$2:$W$1001,MATCH(ROWS($V$2:V597),$V$2:$V$1001,0),1)&gt;=100000,INDEX($AC$1005:$AS$1005,1,MATCH(COLUMNS($AC$1006:AR1006),$AC$1006:$AS$1006,0))&gt;=100000), " ",IF(INDEX($AC$2:$AS$1001,MATCH(ROWS($V$2:V597),$V$2:$V$1001,0),MATCH(COLUMNS($AC$1006:AR1006),$AC$1006:$AS$1006,0)), HYPERLINK("#",""), HYPERLINK(CONCATENATE("#Metadata!", ADDRESS(INDEX($X$2:$X$1001,MATCH(ROWS($V$2:V597),$V$2:$V$1001,0),0), INDEX($AC$1004:$AS$1004,1,MATCH(COLUMNS($AC$1006:AR1006),$AC$1006:$AS$1006,0)))),"Fix")))</f>
        <v>0</v>
      </c>
      <c r="R597" s="5">
        <f>IF(OR(INDEX($W$2:$W$1001,MATCH(ROWS($V$2:V597),$V$2:$V$1001,0),1)&gt;=100000,INDEX($AC$1005:$AS$1005,1,MATCH(COLUMNS($AC$1006:AS1006),$AC$1006:$AS$1006,0))&gt;=100000), " ",IF(INDEX($AC$2:$AS$1001,MATCH(ROWS($V$2:V597),$V$2:$V$1001,0),MATCH(COLUMNS($AC$1006:AS1006),$AC$1006:$AS$1006,0)), HYPERLINK("#",""), HYPERLINK(CONCATENATE("#Metadata!", ADDRESS(INDEX($X$2:$X$1001,MATCH(ROWS($V$2:V597),$V$2:$V$1001,0),0), INDEX($AC$1004:$AS$1004,1,MATCH(COLUMNS($AC$1006:AS1006),$AC$1006:$AS$1006,0)))),"Fix")))</f>
        <v>0</v>
      </c>
      <c r="V597">
        <v>0</v>
      </c>
      <c r="W597">
        <v>0</v>
      </c>
      <c r="X597">
        <v>0</v>
      </c>
      <c r="Y597">
        <f>IF(Z597,TRUE,AND(AC597:AS597))</f>
        <v>0</v>
      </c>
      <c r="Z597">
        <f>COUNTBLANK(Metadata!B597:R597)=COLUMNS(Metadata!B597:R597)</f>
        <v>0</v>
      </c>
      <c r="AA597">
        <v>0</v>
      </c>
      <c r="AC597">
        <f>AND(IF(Metadata!B597="",FALSE,TRUE),COUNTIF(Metadata!B:B, Metadata!B597) = 1,NOT(ISERROR(SUMPRODUCT(SEARCH(MID(Metadata!B597,ROW(INDIRECT("1:"&amp;LEN(Metadata!B597))), 1),"0123456789abcdefghijklmnopqrstuvwxyzABCDEFGHIJKLMNOPQRSTUVWXYZ.")))))</f>
        <v>0</v>
      </c>
      <c r="AD597">
        <f>AND(IF(Metadata!C597="",FALSE,TRUE),exact(Metadata!C597,"Host-associated"))</f>
        <v>0</v>
      </c>
      <c r="AE597">
        <f>AND(IF(Metadata!D597="",FALSE,TRUE),OR(exact(Metadata!D597,"Animal"),exact(Metadata!D597,"Fungus"),exact(Metadata!D597,"Plant")))</f>
        <v>0</v>
      </c>
      <c r="AF597">
        <f>AND(IF(Metadata!E597="",FALSE,TRUE),OR(exact(Metadata!E597,"Plant secretion"),exact(Metadata!E597,"Plant rhizosphere"),exact(Metadata!E597,"Plant surface"),exact(Metadata!E597,"Plant corpus"),exact(Metadata!E597,"Fungus surface"),exact(Metadata!E597,"Fungus corpus"),exact(Metadata!E597,"Animal surface"),exact(Metadata!E597,"Animal proximal gut"),exact(Metadata!E597,"Animal corpus"),exact(Metadata!E597,"Animal distal gut"),exact(Metadata!E597,"Animal secretion")))</f>
        <v>0</v>
      </c>
      <c r="AG597">
        <f>OR(AND(IF(Metadata!F597="",FALSE,TRUE),OR(exact(Metadata!F597,"not collected"),exact(Metadata!F597,"not provided"),exact(Metadata!F597,"restricted access"))),AND(IF(Metadata!F597="",FALSE,TRUE),OR(exact(Metadata!F597,"organism-associated habitat"),exact(Metadata!F597,"plant-associated habitat"),exact(Metadata!F597,"animal-associated habitat"),exact(Metadata!F597,"insecta-associated habitat"),exact(Metadata!F597,"mammalia-associated habitat"),exact(Metadata!F597,"human-associated habitat"),exact(Metadata!F597,"livestock-associated habitat"))))</f>
        <v>0</v>
      </c>
      <c r="AH597">
        <f>AND(IF(Metadata!G597="",FALSE,TRUE),exact(Metadata!G597,"host-associated"))</f>
        <v>0</v>
      </c>
      <c r="AI597">
        <f>OR(AND(IF(Metadata!H597="",FALSE,TRUE),OR(exact(Metadata!H597,"not collected"),exact(Metadata!H597,"not provided"))),AND(IF(Metadata!H597="",FALSE,ISNUMBER(VALUE(Metadata!H597))),Metadata!H597&gt;0))</f>
        <v>0</v>
      </c>
      <c r="AJ597">
        <f>AND(IF(Metadata!I597="",FALSE,TRUE),exact(Metadata!I597,"years"))</f>
        <v>0</v>
      </c>
      <c r="AK597">
        <f>IF(Metadata!J597="",FALSE,TRUE)</f>
        <v>0</v>
      </c>
      <c r="AL597">
        <f>OR(AND(IF(Metadata!K597="",FALSE,TRUE),OR(exact(Metadata!K597,"not collected"),exact(Metadata!K597,"not provided"))),AND(IF(Metadata!K597="",FALSE,ISNUMBER(VALUE(Metadata!K597))),Metadata!K597&gt;0))</f>
        <v>0</v>
      </c>
      <c r="AM597">
        <f>AND(IF(Metadata!L597="",FALSE,TRUE),exact(Metadata!L597,"cm"))</f>
        <v>0</v>
      </c>
      <c r="AN597">
        <f>IF(Metadata!M597="",FALSE,TRUE)</f>
        <v>0</v>
      </c>
      <c r="AO597">
        <f>OR(AND(IF(Metadata!N597="",FALSE,TRUE),OR(exact(Metadata!N597,"not applicable"),exact(Metadata!N597,"not collected"),exact(Metadata!N597,"not provided"))),AND(IF(Metadata!N597="",FALSE,IF(ISERROR(INT(Metadata!N597)),FALSE,INT(Metadata!N597)=Metadata!N597)),Metadata!N597&gt;0))</f>
        <v>0</v>
      </c>
      <c r="AP597">
        <f>OR(AND(IF(Metadata!O597="",FALSE,TRUE),OR(exact(Metadata!O597,"not collected"),exact(Metadata!O597,"not provided"))),AND(IF(Metadata!O597="",FALSE,ISNUMBER(VALUE(Metadata!O597))),Metadata!O597&gt;0))</f>
        <v>0</v>
      </c>
      <c r="AQ597">
        <f>AND(IF(Metadata!P597="",FALSE,TRUE),exact(Metadata!P597,"kg"))</f>
        <v>0</v>
      </c>
      <c r="AR597">
        <f>OR(AND(IF(Metadata!Q597="",FALSE,TRUE),OR(exact(Metadata!Q597,"not applicable"),exact(Metadata!Q597,"not collected"),exact(Metadata!Q597,"not provided"),exact(Metadata!Q597,"restricted access"))),IF(Metadata!Q597="",FALSE,IF(ISERROR(INT(Metadata!Q597)),FALSE,INT(Metadata!Q597)=Metadata!Q597)))</f>
        <v>0</v>
      </c>
      <c r="AS597">
        <f>AND(IF(Metadata!R597="",FALSE,TRUE),exact(Metadata!R597,"Not applicable"))</f>
        <v>0</v>
      </c>
    </row>
    <row r="598" spans="1:45">
      <c r="A598" s="4">
        <f>IF(B598=" "," ",HYPERLINK(CONCATENATE("#metadata!",ADDRESS(INDEX($X$2:$X$1001,MATCH(ROWS($V$2:V598),$V$2:$V$1001,0),0),2)),INDEX($AA$2:$AA$1001,MATCH(ROWS($V$2:V598),$V$2:$V$1001,0),0)))</f>
        <v>0</v>
      </c>
      <c r="B598" s="5">
        <f>IF(OR(INDEX($W$2:$W$1001,MATCH(ROWS($V$2:V598),$V$2:$V$1001,0),1)&gt;=100000,INDEX($AC$1005:$AS$1005,1,MATCH(COLUMNS($AC$1006:AC1006),$AC$1006:$AS$1006,0))&gt;=100000), " ",IF(INDEX($AC$2:$AS$1001,MATCH(ROWS($V$2:V598),$V$2:$V$1001,0),MATCH(COLUMNS($AC$1006:AC1006),$AC$1006:$AS$1006,0)), HYPERLINK("#",""), HYPERLINK(CONCATENATE("#Metadata!", ADDRESS(INDEX($X$2:$X$1001,MATCH(ROWS($V$2:V598),$V$2:$V$1001,0),0), INDEX($AC$1004:$AS$1004,1,MATCH(COLUMNS($AC$1006:AC1006),$AC$1006:$AS$1006,0)))),"Fix")))</f>
        <v>0</v>
      </c>
      <c r="C598" s="5">
        <f>IF(OR(INDEX($W$2:$W$1001,MATCH(ROWS($V$2:V598),$V$2:$V$1001,0),1)&gt;=100000,INDEX($AC$1005:$AS$1005,1,MATCH(COLUMNS($AC$1006:AD1006),$AC$1006:$AS$1006,0))&gt;=100000), " ",IF(INDEX($AC$2:$AS$1001,MATCH(ROWS($V$2:V598),$V$2:$V$1001,0),MATCH(COLUMNS($AC$1006:AD1006),$AC$1006:$AS$1006,0)), HYPERLINK("#",""), HYPERLINK(CONCATENATE("#Metadata!", ADDRESS(INDEX($X$2:$X$1001,MATCH(ROWS($V$2:V598),$V$2:$V$1001,0),0), INDEX($AC$1004:$AS$1004,1,MATCH(COLUMNS($AC$1006:AD1006),$AC$1006:$AS$1006,0)))),"Fix")))</f>
        <v>0</v>
      </c>
      <c r="D598" s="5">
        <f>IF(OR(INDEX($W$2:$W$1001,MATCH(ROWS($V$2:V598),$V$2:$V$1001,0),1)&gt;=100000,INDEX($AC$1005:$AS$1005,1,MATCH(COLUMNS($AC$1006:AE1006),$AC$1006:$AS$1006,0))&gt;=100000), " ",IF(INDEX($AC$2:$AS$1001,MATCH(ROWS($V$2:V598),$V$2:$V$1001,0),MATCH(COLUMNS($AC$1006:AE1006),$AC$1006:$AS$1006,0)), HYPERLINK("#",""), HYPERLINK(CONCATENATE("#Metadata!", ADDRESS(INDEX($X$2:$X$1001,MATCH(ROWS($V$2:V598),$V$2:$V$1001,0),0), INDEX($AC$1004:$AS$1004,1,MATCH(COLUMNS($AC$1006:AE1006),$AC$1006:$AS$1006,0)))),"Fix")))</f>
        <v>0</v>
      </c>
      <c r="E598" s="5">
        <f>IF(OR(INDEX($W$2:$W$1001,MATCH(ROWS($V$2:V598),$V$2:$V$1001,0),1)&gt;=100000,INDEX($AC$1005:$AS$1005,1,MATCH(COLUMNS($AC$1006:AF1006),$AC$1006:$AS$1006,0))&gt;=100000), " ",IF(INDEX($AC$2:$AS$1001,MATCH(ROWS($V$2:V598),$V$2:$V$1001,0),MATCH(COLUMNS($AC$1006:AF1006),$AC$1006:$AS$1006,0)), HYPERLINK("#",""), HYPERLINK(CONCATENATE("#Metadata!", ADDRESS(INDEX($X$2:$X$1001,MATCH(ROWS($V$2:V598),$V$2:$V$1001,0),0), INDEX($AC$1004:$AS$1004,1,MATCH(COLUMNS($AC$1006:AF1006),$AC$1006:$AS$1006,0)))),"Fix")))</f>
        <v>0</v>
      </c>
      <c r="F598" s="5">
        <f>IF(OR(INDEX($W$2:$W$1001,MATCH(ROWS($V$2:V598),$V$2:$V$1001,0),1)&gt;=100000,INDEX($AC$1005:$AS$1005,1,MATCH(COLUMNS($AC$1006:AG1006),$AC$1006:$AS$1006,0))&gt;=100000), " ",IF(INDEX($AC$2:$AS$1001,MATCH(ROWS($V$2:V598),$V$2:$V$1001,0),MATCH(COLUMNS($AC$1006:AG1006),$AC$1006:$AS$1006,0)), HYPERLINK("#",""), HYPERLINK(CONCATENATE("#Metadata!", ADDRESS(INDEX($X$2:$X$1001,MATCH(ROWS($V$2:V598),$V$2:$V$1001,0),0), INDEX($AC$1004:$AS$1004,1,MATCH(COLUMNS($AC$1006:AG1006),$AC$1006:$AS$1006,0)))),"Fix")))</f>
        <v>0</v>
      </c>
      <c r="G598" s="5">
        <f>IF(OR(INDEX($W$2:$W$1001,MATCH(ROWS($V$2:V598),$V$2:$V$1001,0),1)&gt;=100000,INDEX($AC$1005:$AS$1005,1,MATCH(COLUMNS($AC$1006:AH1006),$AC$1006:$AS$1006,0))&gt;=100000), " ",IF(INDEX($AC$2:$AS$1001,MATCH(ROWS($V$2:V598),$V$2:$V$1001,0),MATCH(COLUMNS($AC$1006:AH1006),$AC$1006:$AS$1006,0)), HYPERLINK("#",""), HYPERLINK(CONCATENATE("#Metadata!", ADDRESS(INDEX($X$2:$X$1001,MATCH(ROWS($V$2:V598),$V$2:$V$1001,0),0), INDEX($AC$1004:$AS$1004,1,MATCH(COLUMNS($AC$1006:AH1006),$AC$1006:$AS$1006,0)))),"Fix")))</f>
        <v>0</v>
      </c>
      <c r="H598" s="5">
        <f>IF(OR(INDEX($W$2:$W$1001,MATCH(ROWS($V$2:V598),$V$2:$V$1001,0),1)&gt;=100000,INDEX($AC$1005:$AS$1005,1,MATCH(COLUMNS($AC$1006:AI1006),$AC$1006:$AS$1006,0))&gt;=100000), " ",IF(INDEX($AC$2:$AS$1001,MATCH(ROWS($V$2:V598),$V$2:$V$1001,0),MATCH(COLUMNS($AC$1006:AI1006),$AC$1006:$AS$1006,0)), HYPERLINK("#",""), HYPERLINK(CONCATENATE("#Metadata!", ADDRESS(INDEX($X$2:$X$1001,MATCH(ROWS($V$2:V598),$V$2:$V$1001,0),0), INDEX($AC$1004:$AS$1004,1,MATCH(COLUMNS($AC$1006:AI1006),$AC$1006:$AS$1006,0)))),"Fix")))</f>
        <v>0</v>
      </c>
      <c r="I598" s="5">
        <f>IF(OR(INDEX($W$2:$W$1001,MATCH(ROWS($V$2:V598),$V$2:$V$1001,0),1)&gt;=100000,INDEX($AC$1005:$AS$1005,1,MATCH(COLUMNS($AC$1006:AJ1006),$AC$1006:$AS$1006,0))&gt;=100000), " ",IF(INDEX($AC$2:$AS$1001,MATCH(ROWS($V$2:V598),$V$2:$V$1001,0),MATCH(COLUMNS($AC$1006:AJ1006),$AC$1006:$AS$1006,0)), HYPERLINK("#",""), HYPERLINK(CONCATENATE("#Metadata!", ADDRESS(INDEX($X$2:$X$1001,MATCH(ROWS($V$2:V598),$V$2:$V$1001,0),0), INDEX($AC$1004:$AS$1004,1,MATCH(COLUMNS($AC$1006:AJ1006),$AC$1006:$AS$1006,0)))),"Fix")))</f>
        <v>0</v>
      </c>
      <c r="J598" s="5">
        <f>IF(OR(INDEX($W$2:$W$1001,MATCH(ROWS($V$2:V598),$V$2:$V$1001,0),1)&gt;=100000,INDEX($AC$1005:$AS$1005,1,MATCH(COLUMNS($AC$1006:AK1006),$AC$1006:$AS$1006,0))&gt;=100000), " ",IF(INDEX($AC$2:$AS$1001,MATCH(ROWS($V$2:V598),$V$2:$V$1001,0),MATCH(COLUMNS($AC$1006:AK1006),$AC$1006:$AS$1006,0)), HYPERLINK("#",""), HYPERLINK(CONCATENATE("#Metadata!", ADDRESS(INDEX($X$2:$X$1001,MATCH(ROWS($V$2:V598),$V$2:$V$1001,0),0), INDEX($AC$1004:$AS$1004,1,MATCH(COLUMNS($AC$1006:AK1006),$AC$1006:$AS$1006,0)))),"Fix")))</f>
        <v>0</v>
      </c>
      <c r="K598" s="5">
        <f>IF(OR(INDEX($W$2:$W$1001,MATCH(ROWS($V$2:V598),$V$2:$V$1001,0),1)&gt;=100000,INDEX($AC$1005:$AS$1005,1,MATCH(COLUMNS($AC$1006:AL1006),$AC$1006:$AS$1006,0))&gt;=100000), " ",IF(INDEX($AC$2:$AS$1001,MATCH(ROWS($V$2:V598),$V$2:$V$1001,0),MATCH(COLUMNS($AC$1006:AL1006),$AC$1006:$AS$1006,0)), HYPERLINK("#",""), HYPERLINK(CONCATENATE("#Metadata!", ADDRESS(INDEX($X$2:$X$1001,MATCH(ROWS($V$2:V598),$V$2:$V$1001,0),0), INDEX($AC$1004:$AS$1004,1,MATCH(COLUMNS($AC$1006:AL1006),$AC$1006:$AS$1006,0)))),"Fix")))</f>
        <v>0</v>
      </c>
      <c r="L598" s="5">
        <f>IF(OR(INDEX($W$2:$W$1001,MATCH(ROWS($V$2:V598),$V$2:$V$1001,0),1)&gt;=100000,INDEX($AC$1005:$AS$1005,1,MATCH(COLUMNS($AC$1006:AM1006),$AC$1006:$AS$1006,0))&gt;=100000), " ",IF(INDEX($AC$2:$AS$1001,MATCH(ROWS($V$2:V598),$V$2:$V$1001,0),MATCH(COLUMNS($AC$1006:AM1006),$AC$1006:$AS$1006,0)), HYPERLINK("#",""), HYPERLINK(CONCATENATE("#Metadata!", ADDRESS(INDEX($X$2:$X$1001,MATCH(ROWS($V$2:V598),$V$2:$V$1001,0),0), INDEX($AC$1004:$AS$1004,1,MATCH(COLUMNS($AC$1006:AM1006),$AC$1006:$AS$1006,0)))),"Fix")))</f>
        <v>0</v>
      </c>
      <c r="M598" s="5">
        <f>IF(OR(INDEX($W$2:$W$1001,MATCH(ROWS($V$2:V598),$V$2:$V$1001,0),1)&gt;=100000,INDEX($AC$1005:$AS$1005,1,MATCH(COLUMNS($AC$1006:AN1006),$AC$1006:$AS$1006,0))&gt;=100000), " ",IF(INDEX($AC$2:$AS$1001,MATCH(ROWS($V$2:V598),$V$2:$V$1001,0),MATCH(COLUMNS($AC$1006:AN1006),$AC$1006:$AS$1006,0)), HYPERLINK("#",""), HYPERLINK(CONCATENATE("#Metadata!", ADDRESS(INDEX($X$2:$X$1001,MATCH(ROWS($V$2:V598),$V$2:$V$1001,0),0), INDEX($AC$1004:$AS$1004,1,MATCH(COLUMNS($AC$1006:AN1006),$AC$1006:$AS$1006,0)))),"Fix")))</f>
        <v>0</v>
      </c>
      <c r="N598" s="5">
        <f>IF(OR(INDEX($W$2:$W$1001,MATCH(ROWS($V$2:V598),$V$2:$V$1001,0),1)&gt;=100000,INDEX($AC$1005:$AS$1005,1,MATCH(COLUMNS($AC$1006:AO1006),$AC$1006:$AS$1006,0))&gt;=100000), " ",IF(INDEX($AC$2:$AS$1001,MATCH(ROWS($V$2:V598),$V$2:$V$1001,0),MATCH(COLUMNS($AC$1006:AO1006),$AC$1006:$AS$1006,0)), HYPERLINK("#",""), HYPERLINK(CONCATENATE("#Metadata!", ADDRESS(INDEX($X$2:$X$1001,MATCH(ROWS($V$2:V598),$V$2:$V$1001,0),0), INDEX($AC$1004:$AS$1004,1,MATCH(COLUMNS($AC$1006:AO1006),$AC$1006:$AS$1006,0)))),"Fix")))</f>
        <v>0</v>
      </c>
      <c r="O598" s="5">
        <f>IF(OR(INDEX($W$2:$W$1001,MATCH(ROWS($V$2:V598),$V$2:$V$1001,0),1)&gt;=100000,INDEX($AC$1005:$AS$1005,1,MATCH(COLUMNS($AC$1006:AP1006),$AC$1006:$AS$1006,0))&gt;=100000), " ",IF(INDEX($AC$2:$AS$1001,MATCH(ROWS($V$2:V598),$V$2:$V$1001,0),MATCH(COLUMNS($AC$1006:AP1006),$AC$1006:$AS$1006,0)), HYPERLINK("#",""), HYPERLINK(CONCATENATE("#Metadata!", ADDRESS(INDEX($X$2:$X$1001,MATCH(ROWS($V$2:V598),$V$2:$V$1001,0),0), INDEX($AC$1004:$AS$1004,1,MATCH(COLUMNS($AC$1006:AP1006),$AC$1006:$AS$1006,0)))),"Fix")))</f>
        <v>0</v>
      </c>
      <c r="P598" s="5">
        <f>IF(OR(INDEX($W$2:$W$1001,MATCH(ROWS($V$2:V598),$V$2:$V$1001,0),1)&gt;=100000,INDEX($AC$1005:$AS$1005,1,MATCH(COLUMNS($AC$1006:AQ1006),$AC$1006:$AS$1006,0))&gt;=100000), " ",IF(INDEX($AC$2:$AS$1001,MATCH(ROWS($V$2:V598),$V$2:$V$1001,0),MATCH(COLUMNS($AC$1006:AQ1006),$AC$1006:$AS$1006,0)), HYPERLINK("#",""), HYPERLINK(CONCATENATE("#Metadata!", ADDRESS(INDEX($X$2:$X$1001,MATCH(ROWS($V$2:V598),$V$2:$V$1001,0),0), INDEX($AC$1004:$AS$1004,1,MATCH(COLUMNS($AC$1006:AQ1006),$AC$1006:$AS$1006,0)))),"Fix")))</f>
        <v>0</v>
      </c>
      <c r="Q598" s="5">
        <f>IF(OR(INDEX($W$2:$W$1001,MATCH(ROWS($V$2:V598),$V$2:$V$1001,0),1)&gt;=100000,INDEX($AC$1005:$AS$1005,1,MATCH(COLUMNS($AC$1006:AR1006),$AC$1006:$AS$1006,0))&gt;=100000), " ",IF(INDEX($AC$2:$AS$1001,MATCH(ROWS($V$2:V598),$V$2:$V$1001,0),MATCH(COLUMNS($AC$1006:AR1006),$AC$1006:$AS$1006,0)), HYPERLINK("#",""), HYPERLINK(CONCATENATE("#Metadata!", ADDRESS(INDEX($X$2:$X$1001,MATCH(ROWS($V$2:V598),$V$2:$V$1001,0),0), INDEX($AC$1004:$AS$1004,1,MATCH(COLUMNS($AC$1006:AR1006),$AC$1006:$AS$1006,0)))),"Fix")))</f>
        <v>0</v>
      </c>
      <c r="R598" s="5">
        <f>IF(OR(INDEX($W$2:$W$1001,MATCH(ROWS($V$2:V598),$V$2:$V$1001,0),1)&gt;=100000,INDEX($AC$1005:$AS$1005,1,MATCH(COLUMNS($AC$1006:AS1006),$AC$1006:$AS$1006,0))&gt;=100000), " ",IF(INDEX($AC$2:$AS$1001,MATCH(ROWS($V$2:V598),$V$2:$V$1001,0),MATCH(COLUMNS($AC$1006:AS1006),$AC$1006:$AS$1006,0)), HYPERLINK("#",""), HYPERLINK(CONCATENATE("#Metadata!", ADDRESS(INDEX($X$2:$X$1001,MATCH(ROWS($V$2:V598),$V$2:$V$1001,0),0), INDEX($AC$1004:$AS$1004,1,MATCH(COLUMNS($AC$1006:AS1006),$AC$1006:$AS$1006,0)))),"Fix")))</f>
        <v>0</v>
      </c>
      <c r="V598">
        <v>0</v>
      </c>
      <c r="W598">
        <v>0</v>
      </c>
      <c r="X598">
        <v>0</v>
      </c>
      <c r="Y598">
        <f>IF(Z598,TRUE,AND(AC598:AS598))</f>
        <v>0</v>
      </c>
      <c r="Z598">
        <f>COUNTBLANK(Metadata!B598:R598)=COLUMNS(Metadata!B598:R598)</f>
        <v>0</v>
      </c>
      <c r="AA598">
        <v>0</v>
      </c>
      <c r="AC598">
        <f>AND(IF(Metadata!B598="",FALSE,TRUE),COUNTIF(Metadata!B:B, Metadata!B598) = 1,NOT(ISERROR(SUMPRODUCT(SEARCH(MID(Metadata!B598,ROW(INDIRECT("1:"&amp;LEN(Metadata!B598))), 1),"0123456789abcdefghijklmnopqrstuvwxyzABCDEFGHIJKLMNOPQRSTUVWXYZ.")))))</f>
        <v>0</v>
      </c>
      <c r="AD598">
        <f>AND(IF(Metadata!C598="",FALSE,TRUE),exact(Metadata!C598,"Host-associated"))</f>
        <v>0</v>
      </c>
      <c r="AE598">
        <f>AND(IF(Metadata!D598="",FALSE,TRUE),OR(exact(Metadata!D598,"Animal"),exact(Metadata!D598,"Fungus"),exact(Metadata!D598,"Plant")))</f>
        <v>0</v>
      </c>
      <c r="AF598">
        <f>AND(IF(Metadata!E598="",FALSE,TRUE),OR(exact(Metadata!E598,"Plant secretion"),exact(Metadata!E598,"Plant rhizosphere"),exact(Metadata!E598,"Plant surface"),exact(Metadata!E598,"Plant corpus"),exact(Metadata!E598,"Fungus surface"),exact(Metadata!E598,"Fungus corpus"),exact(Metadata!E598,"Animal surface"),exact(Metadata!E598,"Animal proximal gut"),exact(Metadata!E598,"Animal corpus"),exact(Metadata!E598,"Animal distal gut"),exact(Metadata!E598,"Animal secretion")))</f>
        <v>0</v>
      </c>
      <c r="AG598">
        <f>OR(AND(IF(Metadata!F598="",FALSE,TRUE),OR(exact(Metadata!F598,"not collected"),exact(Metadata!F598,"not provided"),exact(Metadata!F598,"restricted access"))),AND(IF(Metadata!F598="",FALSE,TRUE),OR(exact(Metadata!F598,"organism-associated habitat"),exact(Metadata!F598,"plant-associated habitat"),exact(Metadata!F598,"animal-associated habitat"),exact(Metadata!F598,"insecta-associated habitat"),exact(Metadata!F598,"mammalia-associated habitat"),exact(Metadata!F598,"human-associated habitat"),exact(Metadata!F598,"livestock-associated habitat"))))</f>
        <v>0</v>
      </c>
      <c r="AH598">
        <f>AND(IF(Metadata!G598="",FALSE,TRUE),exact(Metadata!G598,"host-associated"))</f>
        <v>0</v>
      </c>
      <c r="AI598">
        <f>OR(AND(IF(Metadata!H598="",FALSE,TRUE),OR(exact(Metadata!H598,"not collected"),exact(Metadata!H598,"not provided"))),AND(IF(Metadata!H598="",FALSE,ISNUMBER(VALUE(Metadata!H598))),Metadata!H598&gt;0))</f>
        <v>0</v>
      </c>
      <c r="AJ598">
        <f>AND(IF(Metadata!I598="",FALSE,TRUE),exact(Metadata!I598,"years"))</f>
        <v>0</v>
      </c>
      <c r="AK598">
        <f>IF(Metadata!J598="",FALSE,TRUE)</f>
        <v>0</v>
      </c>
      <c r="AL598">
        <f>OR(AND(IF(Metadata!K598="",FALSE,TRUE),OR(exact(Metadata!K598,"not collected"),exact(Metadata!K598,"not provided"))),AND(IF(Metadata!K598="",FALSE,ISNUMBER(VALUE(Metadata!K598))),Metadata!K598&gt;0))</f>
        <v>0</v>
      </c>
      <c r="AM598">
        <f>AND(IF(Metadata!L598="",FALSE,TRUE),exact(Metadata!L598,"cm"))</f>
        <v>0</v>
      </c>
      <c r="AN598">
        <f>IF(Metadata!M598="",FALSE,TRUE)</f>
        <v>0</v>
      </c>
      <c r="AO598">
        <f>OR(AND(IF(Metadata!N598="",FALSE,TRUE),OR(exact(Metadata!N598,"not applicable"),exact(Metadata!N598,"not collected"),exact(Metadata!N598,"not provided"))),AND(IF(Metadata!N598="",FALSE,IF(ISERROR(INT(Metadata!N598)),FALSE,INT(Metadata!N598)=Metadata!N598)),Metadata!N598&gt;0))</f>
        <v>0</v>
      </c>
      <c r="AP598">
        <f>OR(AND(IF(Metadata!O598="",FALSE,TRUE),OR(exact(Metadata!O598,"not collected"),exact(Metadata!O598,"not provided"))),AND(IF(Metadata!O598="",FALSE,ISNUMBER(VALUE(Metadata!O598))),Metadata!O598&gt;0))</f>
        <v>0</v>
      </c>
      <c r="AQ598">
        <f>AND(IF(Metadata!P598="",FALSE,TRUE),exact(Metadata!P598,"kg"))</f>
        <v>0</v>
      </c>
      <c r="AR598">
        <f>OR(AND(IF(Metadata!Q598="",FALSE,TRUE),OR(exact(Metadata!Q598,"not applicable"),exact(Metadata!Q598,"not collected"),exact(Metadata!Q598,"not provided"),exact(Metadata!Q598,"restricted access"))),IF(Metadata!Q598="",FALSE,IF(ISERROR(INT(Metadata!Q598)),FALSE,INT(Metadata!Q598)=Metadata!Q598)))</f>
        <v>0</v>
      </c>
      <c r="AS598">
        <f>AND(IF(Metadata!R598="",FALSE,TRUE),exact(Metadata!R598,"Not applicable"))</f>
        <v>0</v>
      </c>
    </row>
    <row r="599" spans="1:45">
      <c r="A599" s="4">
        <f>IF(B599=" "," ",HYPERLINK(CONCATENATE("#metadata!",ADDRESS(INDEX($X$2:$X$1001,MATCH(ROWS($V$2:V599),$V$2:$V$1001,0),0),2)),INDEX($AA$2:$AA$1001,MATCH(ROWS($V$2:V599),$V$2:$V$1001,0),0)))</f>
        <v>0</v>
      </c>
      <c r="B599" s="5">
        <f>IF(OR(INDEX($W$2:$W$1001,MATCH(ROWS($V$2:V599),$V$2:$V$1001,0),1)&gt;=100000,INDEX($AC$1005:$AS$1005,1,MATCH(COLUMNS($AC$1006:AC1006),$AC$1006:$AS$1006,0))&gt;=100000), " ",IF(INDEX($AC$2:$AS$1001,MATCH(ROWS($V$2:V599),$V$2:$V$1001,0),MATCH(COLUMNS($AC$1006:AC1006),$AC$1006:$AS$1006,0)), HYPERLINK("#",""), HYPERLINK(CONCATENATE("#Metadata!", ADDRESS(INDEX($X$2:$X$1001,MATCH(ROWS($V$2:V599),$V$2:$V$1001,0),0), INDEX($AC$1004:$AS$1004,1,MATCH(COLUMNS($AC$1006:AC1006),$AC$1006:$AS$1006,0)))),"Fix")))</f>
        <v>0</v>
      </c>
      <c r="C599" s="5">
        <f>IF(OR(INDEX($W$2:$W$1001,MATCH(ROWS($V$2:V599),$V$2:$V$1001,0),1)&gt;=100000,INDEX($AC$1005:$AS$1005,1,MATCH(COLUMNS($AC$1006:AD1006),$AC$1006:$AS$1006,0))&gt;=100000), " ",IF(INDEX($AC$2:$AS$1001,MATCH(ROWS($V$2:V599),$V$2:$V$1001,0),MATCH(COLUMNS($AC$1006:AD1006),$AC$1006:$AS$1006,0)), HYPERLINK("#",""), HYPERLINK(CONCATENATE("#Metadata!", ADDRESS(INDEX($X$2:$X$1001,MATCH(ROWS($V$2:V599),$V$2:$V$1001,0),0), INDEX($AC$1004:$AS$1004,1,MATCH(COLUMNS($AC$1006:AD1006),$AC$1006:$AS$1006,0)))),"Fix")))</f>
        <v>0</v>
      </c>
      <c r="D599" s="5">
        <f>IF(OR(INDEX($W$2:$W$1001,MATCH(ROWS($V$2:V599),$V$2:$V$1001,0),1)&gt;=100000,INDEX($AC$1005:$AS$1005,1,MATCH(COLUMNS($AC$1006:AE1006),$AC$1006:$AS$1006,0))&gt;=100000), " ",IF(INDEX($AC$2:$AS$1001,MATCH(ROWS($V$2:V599),$V$2:$V$1001,0),MATCH(COLUMNS($AC$1006:AE1006),$AC$1006:$AS$1006,0)), HYPERLINK("#",""), HYPERLINK(CONCATENATE("#Metadata!", ADDRESS(INDEX($X$2:$X$1001,MATCH(ROWS($V$2:V599),$V$2:$V$1001,0),0), INDEX($AC$1004:$AS$1004,1,MATCH(COLUMNS($AC$1006:AE1006),$AC$1006:$AS$1006,0)))),"Fix")))</f>
        <v>0</v>
      </c>
      <c r="E599" s="5">
        <f>IF(OR(INDEX($W$2:$W$1001,MATCH(ROWS($V$2:V599),$V$2:$V$1001,0),1)&gt;=100000,INDEX($AC$1005:$AS$1005,1,MATCH(COLUMNS($AC$1006:AF1006),$AC$1006:$AS$1006,0))&gt;=100000), " ",IF(INDEX($AC$2:$AS$1001,MATCH(ROWS($V$2:V599),$V$2:$V$1001,0),MATCH(COLUMNS($AC$1006:AF1006),$AC$1006:$AS$1006,0)), HYPERLINK("#",""), HYPERLINK(CONCATENATE("#Metadata!", ADDRESS(INDEX($X$2:$X$1001,MATCH(ROWS($V$2:V599),$V$2:$V$1001,0),0), INDEX($AC$1004:$AS$1004,1,MATCH(COLUMNS($AC$1006:AF1006),$AC$1006:$AS$1006,0)))),"Fix")))</f>
        <v>0</v>
      </c>
      <c r="F599" s="5">
        <f>IF(OR(INDEX($W$2:$W$1001,MATCH(ROWS($V$2:V599),$V$2:$V$1001,0),1)&gt;=100000,INDEX($AC$1005:$AS$1005,1,MATCH(COLUMNS($AC$1006:AG1006),$AC$1006:$AS$1006,0))&gt;=100000), " ",IF(INDEX($AC$2:$AS$1001,MATCH(ROWS($V$2:V599),$V$2:$V$1001,0),MATCH(COLUMNS($AC$1006:AG1006),$AC$1006:$AS$1006,0)), HYPERLINK("#",""), HYPERLINK(CONCATENATE("#Metadata!", ADDRESS(INDEX($X$2:$X$1001,MATCH(ROWS($V$2:V599),$V$2:$V$1001,0),0), INDEX($AC$1004:$AS$1004,1,MATCH(COLUMNS($AC$1006:AG1006),$AC$1006:$AS$1006,0)))),"Fix")))</f>
        <v>0</v>
      </c>
      <c r="G599" s="5">
        <f>IF(OR(INDEX($W$2:$W$1001,MATCH(ROWS($V$2:V599),$V$2:$V$1001,0),1)&gt;=100000,INDEX($AC$1005:$AS$1005,1,MATCH(COLUMNS($AC$1006:AH1006),$AC$1006:$AS$1006,0))&gt;=100000), " ",IF(INDEX($AC$2:$AS$1001,MATCH(ROWS($V$2:V599),$V$2:$V$1001,0),MATCH(COLUMNS($AC$1006:AH1006),$AC$1006:$AS$1006,0)), HYPERLINK("#",""), HYPERLINK(CONCATENATE("#Metadata!", ADDRESS(INDEX($X$2:$X$1001,MATCH(ROWS($V$2:V599),$V$2:$V$1001,0),0), INDEX($AC$1004:$AS$1004,1,MATCH(COLUMNS($AC$1006:AH1006),$AC$1006:$AS$1006,0)))),"Fix")))</f>
        <v>0</v>
      </c>
      <c r="H599" s="5">
        <f>IF(OR(INDEX($W$2:$W$1001,MATCH(ROWS($V$2:V599),$V$2:$V$1001,0),1)&gt;=100000,INDEX($AC$1005:$AS$1005,1,MATCH(COLUMNS($AC$1006:AI1006),$AC$1006:$AS$1006,0))&gt;=100000), " ",IF(INDEX($AC$2:$AS$1001,MATCH(ROWS($V$2:V599),$V$2:$V$1001,0),MATCH(COLUMNS($AC$1006:AI1006),$AC$1006:$AS$1006,0)), HYPERLINK("#",""), HYPERLINK(CONCATENATE("#Metadata!", ADDRESS(INDEX($X$2:$X$1001,MATCH(ROWS($V$2:V599),$V$2:$V$1001,0),0), INDEX($AC$1004:$AS$1004,1,MATCH(COLUMNS($AC$1006:AI1006),$AC$1006:$AS$1006,0)))),"Fix")))</f>
        <v>0</v>
      </c>
      <c r="I599" s="5">
        <f>IF(OR(INDEX($W$2:$W$1001,MATCH(ROWS($V$2:V599),$V$2:$V$1001,0),1)&gt;=100000,INDEX($AC$1005:$AS$1005,1,MATCH(COLUMNS($AC$1006:AJ1006),$AC$1006:$AS$1006,0))&gt;=100000), " ",IF(INDEX($AC$2:$AS$1001,MATCH(ROWS($V$2:V599),$V$2:$V$1001,0),MATCH(COLUMNS($AC$1006:AJ1006),$AC$1006:$AS$1006,0)), HYPERLINK("#",""), HYPERLINK(CONCATENATE("#Metadata!", ADDRESS(INDEX($X$2:$X$1001,MATCH(ROWS($V$2:V599),$V$2:$V$1001,0),0), INDEX($AC$1004:$AS$1004,1,MATCH(COLUMNS($AC$1006:AJ1006),$AC$1006:$AS$1006,0)))),"Fix")))</f>
        <v>0</v>
      </c>
      <c r="J599" s="5">
        <f>IF(OR(INDEX($W$2:$W$1001,MATCH(ROWS($V$2:V599),$V$2:$V$1001,0),1)&gt;=100000,INDEX($AC$1005:$AS$1005,1,MATCH(COLUMNS($AC$1006:AK1006),$AC$1006:$AS$1006,0))&gt;=100000), " ",IF(INDEX($AC$2:$AS$1001,MATCH(ROWS($V$2:V599),$V$2:$V$1001,0),MATCH(COLUMNS($AC$1006:AK1006),$AC$1006:$AS$1006,0)), HYPERLINK("#",""), HYPERLINK(CONCATENATE("#Metadata!", ADDRESS(INDEX($X$2:$X$1001,MATCH(ROWS($V$2:V599),$V$2:$V$1001,0),0), INDEX($AC$1004:$AS$1004,1,MATCH(COLUMNS($AC$1006:AK1006),$AC$1006:$AS$1006,0)))),"Fix")))</f>
        <v>0</v>
      </c>
      <c r="K599" s="5">
        <f>IF(OR(INDEX($W$2:$W$1001,MATCH(ROWS($V$2:V599),$V$2:$V$1001,0),1)&gt;=100000,INDEX($AC$1005:$AS$1005,1,MATCH(COLUMNS($AC$1006:AL1006),$AC$1006:$AS$1006,0))&gt;=100000), " ",IF(INDEX($AC$2:$AS$1001,MATCH(ROWS($V$2:V599),$V$2:$V$1001,0),MATCH(COLUMNS($AC$1006:AL1006),$AC$1006:$AS$1006,0)), HYPERLINK("#",""), HYPERLINK(CONCATENATE("#Metadata!", ADDRESS(INDEX($X$2:$X$1001,MATCH(ROWS($V$2:V599),$V$2:$V$1001,0),0), INDEX($AC$1004:$AS$1004,1,MATCH(COLUMNS($AC$1006:AL1006),$AC$1006:$AS$1006,0)))),"Fix")))</f>
        <v>0</v>
      </c>
      <c r="L599" s="5">
        <f>IF(OR(INDEX($W$2:$W$1001,MATCH(ROWS($V$2:V599),$V$2:$V$1001,0),1)&gt;=100000,INDEX($AC$1005:$AS$1005,1,MATCH(COLUMNS($AC$1006:AM1006),$AC$1006:$AS$1006,0))&gt;=100000), " ",IF(INDEX($AC$2:$AS$1001,MATCH(ROWS($V$2:V599),$V$2:$V$1001,0),MATCH(COLUMNS($AC$1006:AM1006),$AC$1006:$AS$1006,0)), HYPERLINK("#",""), HYPERLINK(CONCATENATE("#Metadata!", ADDRESS(INDEX($X$2:$X$1001,MATCH(ROWS($V$2:V599),$V$2:$V$1001,0),0), INDEX($AC$1004:$AS$1004,1,MATCH(COLUMNS($AC$1006:AM1006),$AC$1006:$AS$1006,0)))),"Fix")))</f>
        <v>0</v>
      </c>
      <c r="M599" s="5">
        <f>IF(OR(INDEX($W$2:$W$1001,MATCH(ROWS($V$2:V599),$V$2:$V$1001,0),1)&gt;=100000,INDEX($AC$1005:$AS$1005,1,MATCH(COLUMNS($AC$1006:AN1006),$AC$1006:$AS$1006,0))&gt;=100000), " ",IF(INDEX($AC$2:$AS$1001,MATCH(ROWS($V$2:V599),$V$2:$V$1001,0),MATCH(COLUMNS($AC$1006:AN1006),$AC$1006:$AS$1006,0)), HYPERLINK("#",""), HYPERLINK(CONCATENATE("#Metadata!", ADDRESS(INDEX($X$2:$X$1001,MATCH(ROWS($V$2:V599),$V$2:$V$1001,0),0), INDEX($AC$1004:$AS$1004,1,MATCH(COLUMNS($AC$1006:AN1006),$AC$1006:$AS$1006,0)))),"Fix")))</f>
        <v>0</v>
      </c>
      <c r="N599" s="5">
        <f>IF(OR(INDEX($W$2:$W$1001,MATCH(ROWS($V$2:V599),$V$2:$V$1001,0),1)&gt;=100000,INDEX($AC$1005:$AS$1005,1,MATCH(COLUMNS($AC$1006:AO1006),$AC$1006:$AS$1006,0))&gt;=100000), " ",IF(INDEX($AC$2:$AS$1001,MATCH(ROWS($V$2:V599),$V$2:$V$1001,0),MATCH(COLUMNS($AC$1006:AO1006),$AC$1006:$AS$1006,0)), HYPERLINK("#",""), HYPERLINK(CONCATENATE("#Metadata!", ADDRESS(INDEX($X$2:$X$1001,MATCH(ROWS($V$2:V599),$V$2:$V$1001,0),0), INDEX($AC$1004:$AS$1004,1,MATCH(COLUMNS($AC$1006:AO1006),$AC$1006:$AS$1006,0)))),"Fix")))</f>
        <v>0</v>
      </c>
      <c r="O599" s="5">
        <f>IF(OR(INDEX($W$2:$W$1001,MATCH(ROWS($V$2:V599),$V$2:$V$1001,0),1)&gt;=100000,INDEX($AC$1005:$AS$1005,1,MATCH(COLUMNS($AC$1006:AP1006),$AC$1006:$AS$1006,0))&gt;=100000), " ",IF(INDEX($AC$2:$AS$1001,MATCH(ROWS($V$2:V599),$V$2:$V$1001,0),MATCH(COLUMNS($AC$1006:AP1006),$AC$1006:$AS$1006,0)), HYPERLINK("#",""), HYPERLINK(CONCATENATE("#Metadata!", ADDRESS(INDEX($X$2:$X$1001,MATCH(ROWS($V$2:V599),$V$2:$V$1001,0),0), INDEX($AC$1004:$AS$1004,1,MATCH(COLUMNS($AC$1006:AP1006),$AC$1006:$AS$1006,0)))),"Fix")))</f>
        <v>0</v>
      </c>
      <c r="P599" s="5">
        <f>IF(OR(INDEX($W$2:$W$1001,MATCH(ROWS($V$2:V599),$V$2:$V$1001,0),1)&gt;=100000,INDEX($AC$1005:$AS$1005,1,MATCH(COLUMNS($AC$1006:AQ1006),$AC$1006:$AS$1006,0))&gt;=100000), " ",IF(INDEX($AC$2:$AS$1001,MATCH(ROWS($V$2:V599),$V$2:$V$1001,0),MATCH(COLUMNS($AC$1006:AQ1006),$AC$1006:$AS$1006,0)), HYPERLINK("#",""), HYPERLINK(CONCATENATE("#Metadata!", ADDRESS(INDEX($X$2:$X$1001,MATCH(ROWS($V$2:V599),$V$2:$V$1001,0),0), INDEX($AC$1004:$AS$1004,1,MATCH(COLUMNS($AC$1006:AQ1006),$AC$1006:$AS$1006,0)))),"Fix")))</f>
        <v>0</v>
      </c>
      <c r="Q599" s="5">
        <f>IF(OR(INDEX($W$2:$W$1001,MATCH(ROWS($V$2:V599),$V$2:$V$1001,0),1)&gt;=100000,INDEX($AC$1005:$AS$1005,1,MATCH(COLUMNS($AC$1006:AR1006),$AC$1006:$AS$1006,0))&gt;=100000), " ",IF(INDEX($AC$2:$AS$1001,MATCH(ROWS($V$2:V599),$V$2:$V$1001,0),MATCH(COLUMNS($AC$1006:AR1006),$AC$1006:$AS$1006,0)), HYPERLINK("#",""), HYPERLINK(CONCATENATE("#Metadata!", ADDRESS(INDEX($X$2:$X$1001,MATCH(ROWS($V$2:V599),$V$2:$V$1001,0),0), INDEX($AC$1004:$AS$1004,1,MATCH(COLUMNS($AC$1006:AR1006),$AC$1006:$AS$1006,0)))),"Fix")))</f>
        <v>0</v>
      </c>
      <c r="R599" s="5">
        <f>IF(OR(INDEX($W$2:$W$1001,MATCH(ROWS($V$2:V599),$V$2:$V$1001,0),1)&gt;=100000,INDEX($AC$1005:$AS$1005,1,MATCH(COLUMNS($AC$1006:AS1006),$AC$1006:$AS$1006,0))&gt;=100000), " ",IF(INDEX($AC$2:$AS$1001,MATCH(ROWS($V$2:V599),$V$2:$V$1001,0),MATCH(COLUMNS($AC$1006:AS1006),$AC$1006:$AS$1006,0)), HYPERLINK("#",""), HYPERLINK(CONCATENATE("#Metadata!", ADDRESS(INDEX($X$2:$X$1001,MATCH(ROWS($V$2:V599),$V$2:$V$1001,0),0), INDEX($AC$1004:$AS$1004,1,MATCH(COLUMNS($AC$1006:AS1006),$AC$1006:$AS$1006,0)))),"Fix")))</f>
        <v>0</v>
      </c>
      <c r="V599">
        <v>0</v>
      </c>
      <c r="W599">
        <v>0</v>
      </c>
      <c r="X599">
        <v>0</v>
      </c>
      <c r="Y599">
        <f>IF(Z599,TRUE,AND(AC599:AS599))</f>
        <v>0</v>
      </c>
      <c r="Z599">
        <f>COUNTBLANK(Metadata!B599:R599)=COLUMNS(Metadata!B599:R599)</f>
        <v>0</v>
      </c>
      <c r="AA599">
        <v>0</v>
      </c>
      <c r="AC599">
        <f>AND(IF(Metadata!B599="",FALSE,TRUE),COUNTIF(Metadata!B:B, Metadata!B599) = 1,NOT(ISERROR(SUMPRODUCT(SEARCH(MID(Metadata!B599,ROW(INDIRECT("1:"&amp;LEN(Metadata!B599))), 1),"0123456789abcdefghijklmnopqrstuvwxyzABCDEFGHIJKLMNOPQRSTUVWXYZ.")))))</f>
        <v>0</v>
      </c>
      <c r="AD599">
        <f>AND(IF(Metadata!C599="",FALSE,TRUE),exact(Metadata!C599,"Host-associated"))</f>
        <v>0</v>
      </c>
      <c r="AE599">
        <f>AND(IF(Metadata!D599="",FALSE,TRUE),OR(exact(Metadata!D599,"Animal"),exact(Metadata!D599,"Fungus"),exact(Metadata!D599,"Plant")))</f>
        <v>0</v>
      </c>
      <c r="AF599">
        <f>AND(IF(Metadata!E599="",FALSE,TRUE),OR(exact(Metadata!E599,"Plant secretion"),exact(Metadata!E599,"Plant rhizosphere"),exact(Metadata!E599,"Plant surface"),exact(Metadata!E599,"Plant corpus"),exact(Metadata!E599,"Fungus surface"),exact(Metadata!E599,"Fungus corpus"),exact(Metadata!E599,"Animal surface"),exact(Metadata!E599,"Animal proximal gut"),exact(Metadata!E599,"Animal corpus"),exact(Metadata!E599,"Animal distal gut"),exact(Metadata!E599,"Animal secretion")))</f>
        <v>0</v>
      </c>
      <c r="AG599">
        <f>OR(AND(IF(Metadata!F599="",FALSE,TRUE),OR(exact(Metadata!F599,"not collected"),exact(Metadata!F599,"not provided"),exact(Metadata!F599,"restricted access"))),AND(IF(Metadata!F599="",FALSE,TRUE),OR(exact(Metadata!F599,"organism-associated habitat"),exact(Metadata!F599,"plant-associated habitat"),exact(Metadata!F599,"animal-associated habitat"),exact(Metadata!F599,"insecta-associated habitat"),exact(Metadata!F599,"mammalia-associated habitat"),exact(Metadata!F599,"human-associated habitat"),exact(Metadata!F599,"livestock-associated habitat"))))</f>
        <v>0</v>
      </c>
      <c r="AH599">
        <f>AND(IF(Metadata!G599="",FALSE,TRUE),exact(Metadata!G599,"host-associated"))</f>
        <v>0</v>
      </c>
      <c r="AI599">
        <f>OR(AND(IF(Metadata!H599="",FALSE,TRUE),OR(exact(Metadata!H599,"not collected"),exact(Metadata!H599,"not provided"))),AND(IF(Metadata!H599="",FALSE,ISNUMBER(VALUE(Metadata!H599))),Metadata!H599&gt;0))</f>
        <v>0</v>
      </c>
      <c r="AJ599">
        <f>AND(IF(Metadata!I599="",FALSE,TRUE),exact(Metadata!I599,"years"))</f>
        <v>0</v>
      </c>
      <c r="AK599">
        <f>IF(Metadata!J599="",FALSE,TRUE)</f>
        <v>0</v>
      </c>
      <c r="AL599">
        <f>OR(AND(IF(Metadata!K599="",FALSE,TRUE),OR(exact(Metadata!K599,"not collected"),exact(Metadata!K599,"not provided"))),AND(IF(Metadata!K599="",FALSE,ISNUMBER(VALUE(Metadata!K599))),Metadata!K599&gt;0))</f>
        <v>0</v>
      </c>
      <c r="AM599">
        <f>AND(IF(Metadata!L599="",FALSE,TRUE),exact(Metadata!L599,"cm"))</f>
        <v>0</v>
      </c>
      <c r="AN599">
        <f>IF(Metadata!M599="",FALSE,TRUE)</f>
        <v>0</v>
      </c>
      <c r="AO599">
        <f>OR(AND(IF(Metadata!N599="",FALSE,TRUE),OR(exact(Metadata!N599,"not applicable"),exact(Metadata!N599,"not collected"),exact(Metadata!N599,"not provided"))),AND(IF(Metadata!N599="",FALSE,IF(ISERROR(INT(Metadata!N599)),FALSE,INT(Metadata!N599)=Metadata!N599)),Metadata!N599&gt;0))</f>
        <v>0</v>
      </c>
      <c r="AP599">
        <f>OR(AND(IF(Metadata!O599="",FALSE,TRUE),OR(exact(Metadata!O599,"not collected"),exact(Metadata!O599,"not provided"))),AND(IF(Metadata!O599="",FALSE,ISNUMBER(VALUE(Metadata!O599))),Metadata!O599&gt;0))</f>
        <v>0</v>
      </c>
      <c r="AQ599">
        <f>AND(IF(Metadata!P599="",FALSE,TRUE),exact(Metadata!P599,"kg"))</f>
        <v>0</v>
      </c>
      <c r="AR599">
        <f>OR(AND(IF(Metadata!Q599="",FALSE,TRUE),OR(exact(Metadata!Q599,"not applicable"),exact(Metadata!Q599,"not collected"),exact(Metadata!Q599,"not provided"),exact(Metadata!Q599,"restricted access"))),IF(Metadata!Q599="",FALSE,IF(ISERROR(INT(Metadata!Q599)),FALSE,INT(Metadata!Q599)=Metadata!Q599)))</f>
        <v>0</v>
      </c>
      <c r="AS599">
        <f>AND(IF(Metadata!R599="",FALSE,TRUE),exact(Metadata!R599,"Not applicable"))</f>
        <v>0</v>
      </c>
    </row>
    <row r="600" spans="1:45">
      <c r="A600" s="4">
        <f>IF(B600=" "," ",HYPERLINK(CONCATENATE("#metadata!",ADDRESS(INDEX($X$2:$X$1001,MATCH(ROWS($V$2:V600),$V$2:$V$1001,0),0),2)),INDEX($AA$2:$AA$1001,MATCH(ROWS($V$2:V600),$V$2:$V$1001,0),0)))</f>
        <v>0</v>
      </c>
      <c r="B600" s="5">
        <f>IF(OR(INDEX($W$2:$W$1001,MATCH(ROWS($V$2:V600),$V$2:$V$1001,0),1)&gt;=100000,INDEX($AC$1005:$AS$1005,1,MATCH(COLUMNS($AC$1006:AC1006),$AC$1006:$AS$1006,0))&gt;=100000), " ",IF(INDEX($AC$2:$AS$1001,MATCH(ROWS($V$2:V600),$V$2:$V$1001,0),MATCH(COLUMNS($AC$1006:AC1006),$AC$1006:$AS$1006,0)), HYPERLINK("#",""), HYPERLINK(CONCATENATE("#Metadata!", ADDRESS(INDEX($X$2:$X$1001,MATCH(ROWS($V$2:V600),$V$2:$V$1001,0),0), INDEX($AC$1004:$AS$1004,1,MATCH(COLUMNS($AC$1006:AC1006),$AC$1006:$AS$1006,0)))),"Fix")))</f>
        <v>0</v>
      </c>
      <c r="C600" s="5">
        <f>IF(OR(INDEX($W$2:$W$1001,MATCH(ROWS($V$2:V600),$V$2:$V$1001,0),1)&gt;=100000,INDEX($AC$1005:$AS$1005,1,MATCH(COLUMNS($AC$1006:AD1006),$AC$1006:$AS$1006,0))&gt;=100000), " ",IF(INDEX($AC$2:$AS$1001,MATCH(ROWS($V$2:V600),$V$2:$V$1001,0),MATCH(COLUMNS($AC$1006:AD1006),$AC$1006:$AS$1006,0)), HYPERLINK("#",""), HYPERLINK(CONCATENATE("#Metadata!", ADDRESS(INDEX($X$2:$X$1001,MATCH(ROWS($V$2:V600),$V$2:$V$1001,0),0), INDEX($AC$1004:$AS$1004,1,MATCH(COLUMNS($AC$1006:AD1006),$AC$1006:$AS$1006,0)))),"Fix")))</f>
        <v>0</v>
      </c>
      <c r="D600" s="5">
        <f>IF(OR(INDEX($W$2:$W$1001,MATCH(ROWS($V$2:V600),$V$2:$V$1001,0),1)&gt;=100000,INDEX($AC$1005:$AS$1005,1,MATCH(COLUMNS($AC$1006:AE1006),$AC$1006:$AS$1006,0))&gt;=100000), " ",IF(INDEX($AC$2:$AS$1001,MATCH(ROWS($V$2:V600),$V$2:$V$1001,0),MATCH(COLUMNS($AC$1006:AE1006),$AC$1006:$AS$1006,0)), HYPERLINK("#",""), HYPERLINK(CONCATENATE("#Metadata!", ADDRESS(INDEX($X$2:$X$1001,MATCH(ROWS($V$2:V600),$V$2:$V$1001,0),0), INDEX($AC$1004:$AS$1004,1,MATCH(COLUMNS($AC$1006:AE1006),$AC$1006:$AS$1006,0)))),"Fix")))</f>
        <v>0</v>
      </c>
      <c r="E600" s="5">
        <f>IF(OR(INDEX($W$2:$W$1001,MATCH(ROWS($V$2:V600),$V$2:$V$1001,0),1)&gt;=100000,INDEX($AC$1005:$AS$1005,1,MATCH(COLUMNS($AC$1006:AF1006),$AC$1006:$AS$1006,0))&gt;=100000), " ",IF(INDEX($AC$2:$AS$1001,MATCH(ROWS($V$2:V600),$V$2:$V$1001,0),MATCH(COLUMNS($AC$1006:AF1006),$AC$1006:$AS$1006,0)), HYPERLINK("#",""), HYPERLINK(CONCATENATE("#Metadata!", ADDRESS(INDEX($X$2:$X$1001,MATCH(ROWS($V$2:V600),$V$2:$V$1001,0),0), INDEX($AC$1004:$AS$1004,1,MATCH(COLUMNS($AC$1006:AF1006),$AC$1006:$AS$1006,0)))),"Fix")))</f>
        <v>0</v>
      </c>
      <c r="F600" s="5">
        <f>IF(OR(INDEX($W$2:$W$1001,MATCH(ROWS($V$2:V600),$V$2:$V$1001,0),1)&gt;=100000,INDEX($AC$1005:$AS$1005,1,MATCH(COLUMNS($AC$1006:AG1006),$AC$1006:$AS$1006,0))&gt;=100000), " ",IF(INDEX($AC$2:$AS$1001,MATCH(ROWS($V$2:V600),$V$2:$V$1001,0),MATCH(COLUMNS($AC$1006:AG1006),$AC$1006:$AS$1006,0)), HYPERLINK("#",""), HYPERLINK(CONCATENATE("#Metadata!", ADDRESS(INDEX($X$2:$X$1001,MATCH(ROWS($V$2:V600),$V$2:$V$1001,0),0), INDEX($AC$1004:$AS$1004,1,MATCH(COLUMNS($AC$1006:AG1006),$AC$1006:$AS$1006,0)))),"Fix")))</f>
        <v>0</v>
      </c>
      <c r="G600" s="5">
        <f>IF(OR(INDEX($W$2:$W$1001,MATCH(ROWS($V$2:V600),$V$2:$V$1001,0),1)&gt;=100000,INDEX($AC$1005:$AS$1005,1,MATCH(COLUMNS($AC$1006:AH1006),$AC$1006:$AS$1006,0))&gt;=100000), " ",IF(INDEX($AC$2:$AS$1001,MATCH(ROWS($V$2:V600),$V$2:$V$1001,0),MATCH(COLUMNS($AC$1006:AH1006),$AC$1006:$AS$1006,0)), HYPERLINK("#",""), HYPERLINK(CONCATENATE("#Metadata!", ADDRESS(INDEX($X$2:$X$1001,MATCH(ROWS($V$2:V600),$V$2:$V$1001,0),0), INDEX($AC$1004:$AS$1004,1,MATCH(COLUMNS($AC$1006:AH1006),$AC$1006:$AS$1006,0)))),"Fix")))</f>
        <v>0</v>
      </c>
      <c r="H600" s="5">
        <f>IF(OR(INDEX($W$2:$W$1001,MATCH(ROWS($V$2:V600),$V$2:$V$1001,0),1)&gt;=100000,INDEX($AC$1005:$AS$1005,1,MATCH(COLUMNS($AC$1006:AI1006),$AC$1006:$AS$1006,0))&gt;=100000), " ",IF(INDEX($AC$2:$AS$1001,MATCH(ROWS($V$2:V600),$V$2:$V$1001,0),MATCH(COLUMNS($AC$1006:AI1006),$AC$1006:$AS$1006,0)), HYPERLINK("#",""), HYPERLINK(CONCATENATE("#Metadata!", ADDRESS(INDEX($X$2:$X$1001,MATCH(ROWS($V$2:V600),$V$2:$V$1001,0),0), INDEX($AC$1004:$AS$1004,1,MATCH(COLUMNS($AC$1006:AI1006),$AC$1006:$AS$1006,0)))),"Fix")))</f>
        <v>0</v>
      </c>
      <c r="I600" s="5">
        <f>IF(OR(INDEX($W$2:$W$1001,MATCH(ROWS($V$2:V600),$V$2:$V$1001,0),1)&gt;=100000,INDEX($AC$1005:$AS$1005,1,MATCH(COLUMNS($AC$1006:AJ1006),$AC$1006:$AS$1006,0))&gt;=100000), " ",IF(INDEX($AC$2:$AS$1001,MATCH(ROWS($V$2:V600),$V$2:$V$1001,0),MATCH(COLUMNS($AC$1006:AJ1006),$AC$1006:$AS$1006,0)), HYPERLINK("#",""), HYPERLINK(CONCATENATE("#Metadata!", ADDRESS(INDEX($X$2:$X$1001,MATCH(ROWS($V$2:V600),$V$2:$V$1001,0),0), INDEX($AC$1004:$AS$1004,1,MATCH(COLUMNS($AC$1006:AJ1006),$AC$1006:$AS$1006,0)))),"Fix")))</f>
        <v>0</v>
      </c>
      <c r="J600" s="5">
        <f>IF(OR(INDEX($W$2:$W$1001,MATCH(ROWS($V$2:V600),$V$2:$V$1001,0),1)&gt;=100000,INDEX($AC$1005:$AS$1005,1,MATCH(COLUMNS($AC$1006:AK1006),$AC$1006:$AS$1006,0))&gt;=100000), " ",IF(INDEX($AC$2:$AS$1001,MATCH(ROWS($V$2:V600),$V$2:$V$1001,0),MATCH(COLUMNS($AC$1006:AK1006),$AC$1006:$AS$1006,0)), HYPERLINK("#",""), HYPERLINK(CONCATENATE("#Metadata!", ADDRESS(INDEX($X$2:$X$1001,MATCH(ROWS($V$2:V600),$V$2:$V$1001,0),0), INDEX($AC$1004:$AS$1004,1,MATCH(COLUMNS($AC$1006:AK1006),$AC$1006:$AS$1006,0)))),"Fix")))</f>
        <v>0</v>
      </c>
      <c r="K600" s="5">
        <f>IF(OR(INDEX($W$2:$W$1001,MATCH(ROWS($V$2:V600),$V$2:$V$1001,0),1)&gt;=100000,INDEX($AC$1005:$AS$1005,1,MATCH(COLUMNS($AC$1006:AL1006),$AC$1006:$AS$1006,0))&gt;=100000), " ",IF(INDEX($AC$2:$AS$1001,MATCH(ROWS($V$2:V600),$V$2:$V$1001,0),MATCH(COLUMNS($AC$1006:AL1006),$AC$1006:$AS$1006,0)), HYPERLINK("#",""), HYPERLINK(CONCATENATE("#Metadata!", ADDRESS(INDEX($X$2:$X$1001,MATCH(ROWS($V$2:V600),$V$2:$V$1001,0),0), INDEX($AC$1004:$AS$1004,1,MATCH(COLUMNS($AC$1006:AL1006),$AC$1006:$AS$1006,0)))),"Fix")))</f>
        <v>0</v>
      </c>
      <c r="L600" s="5">
        <f>IF(OR(INDEX($W$2:$W$1001,MATCH(ROWS($V$2:V600),$V$2:$V$1001,0),1)&gt;=100000,INDEX($AC$1005:$AS$1005,1,MATCH(COLUMNS($AC$1006:AM1006),$AC$1006:$AS$1006,0))&gt;=100000), " ",IF(INDEX($AC$2:$AS$1001,MATCH(ROWS($V$2:V600),$V$2:$V$1001,0),MATCH(COLUMNS($AC$1006:AM1006),$AC$1006:$AS$1006,0)), HYPERLINK("#",""), HYPERLINK(CONCATENATE("#Metadata!", ADDRESS(INDEX($X$2:$X$1001,MATCH(ROWS($V$2:V600),$V$2:$V$1001,0),0), INDEX($AC$1004:$AS$1004,1,MATCH(COLUMNS($AC$1006:AM1006),$AC$1006:$AS$1006,0)))),"Fix")))</f>
        <v>0</v>
      </c>
      <c r="M600" s="5">
        <f>IF(OR(INDEX($W$2:$W$1001,MATCH(ROWS($V$2:V600),$V$2:$V$1001,0),1)&gt;=100000,INDEX($AC$1005:$AS$1005,1,MATCH(COLUMNS($AC$1006:AN1006),$AC$1006:$AS$1006,0))&gt;=100000), " ",IF(INDEX($AC$2:$AS$1001,MATCH(ROWS($V$2:V600),$V$2:$V$1001,0),MATCH(COLUMNS($AC$1006:AN1006),$AC$1006:$AS$1006,0)), HYPERLINK("#",""), HYPERLINK(CONCATENATE("#Metadata!", ADDRESS(INDEX($X$2:$X$1001,MATCH(ROWS($V$2:V600),$V$2:$V$1001,0),0), INDEX($AC$1004:$AS$1004,1,MATCH(COLUMNS($AC$1006:AN1006),$AC$1006:$AS$1006,0)))),"Fix")))</f>
        <v>0</v>
      </c>
      <c r="N600" s="5">
        <f>IF(OR(INDEX($W$2:$W$1001,MATCH(ROWS($V$2:V600),$V$2:$V$1001,0),1)&gt;=100000,INDEX($AC$1005:$AS$1005,1,MATCH(COLUMNS($AC$1006:AO1006),$AC$1006:$AS$1006,0))&gt;=100000), " ",IF(INDEX($AC$2:$AS$1001,MATCH(ROWS($V$2:V600),$V$2:$V$1001,0),MATCH(COLUMNS($AC$1006:AO1006),$AC$1006:$AS$1006,0)), HYPERLINK("#",""), HYPERLINK(CONCATENATE("#Metadata!", ADDRESS(INDEX($X$2:$X$1001,MATCH(ROWS($V$2:V600),$V$2:$V$1001,0),0), INDEX($AC$1004:$AS$1004,1,MATCH(COLUMNS($AC$1006:AO1006),$AC$1006:$AS$1006,0)))),"Fix")))</f>
        <v>0</v>
      </c>
      <c r="O600" s="5">
        <f>IF(OR(INDEX($W$2:$W$1001,MATCH(ROWS($V$2:V600),$V$2:$V$1001,0),1)&gt;=100000,INDEX($AC$1005:$AS$1005,1,MATCH(COLUMNS($AC$1006:AP1006),$AC$1006:$AS$1006,0))&gt;=100000), " ",IF(INDEX($AC$2:$AS$1001,MATCH(ROWS($V$2:V600),$V$2:$V$1001,0),MATCH(COLUMNS($AC$1006:AP1006),$AC$1006:$AS$1006,0)), HYPERLINK("#",""), HYPERLINK(CONCATENATE("#Metadata!", ADDRESS(INDEX($X$2:$X$1001,MATCH(ROWS($V$2:V600),$V$2:$V$1001,0),0), INDEX($AC$1004:$AS$1004,1,MATCH(COLUMNS($AC$1006:AP1006),$AC$1006:$AS$1006,0)))),"Fix")))</f>
        <v>0</v>
      </c>
      <c r="P600" s="5">
        <f>IF(OR(INDEX($W$2:$W$1001,MATCH(ROWS($V$2:V600),$V$2:$V$1001,0),1)&gt;=100000,INDEX($AC$1005:$AS$1005,1,MATCH(COLUMNS($AC$1006:AQ1006),$AC$1006:$AS$1006,0))&gt;=100000), " ",IF(INDEX($AC$2:$AS$1001,MATCH(ROWS($V$2:V600),$V$2:$V$1001,0),MATCH(COLUMNS($AC$1006:AQ1006),$AC$1006:$AS$1006,0)), HYPERLINK("#",""), HYPERLINK(CONCATENATE("#Metadata!", ADDRESS(INDEX($X$2:$X$1001,MATCH(ROWS($V$2:V600),$V$2:$V$1001,0),0), INDEX($AC$1004:$AS$1004,1,MATCH(COLUMNS($AC$1006:AQ1006),$AC$1006:$AS$1006,0)))),"Fix")))</f>
        <v>0</v>
      </c>
      <c r="Q600" s="5">
        <f>IF(OR(INDEX($W$2:$W$1001,MATCH(ROWS($V$2:V600),$V$2:$V$1001,0),1)&gt;=100000,INDEX($AC$1005:$AS$1005,1,MATCH(COLUMNS($AC$1006:AR1006),$AC$1006:$AS$1006,0))&gt;=100000), " ",IF(INDEX($AC$2:$AS$1001,MATCH(ROWS($V$2:V600),$V$2:$V$1001,0),MATCH(COLUMNS($AC$1006:AR1006),$AC$1006:$AS$1006,0)), HYPERLINK("#",""), HYPERLINK(CONCATENATE("#Metadata!", ADDRESS(INDEX($X$2:$X$1001,MATCH(ROWS($V$2:V600),$V$2:$V$1001,0),0), INDEX($AC$1004:$AS$1004,1,MATCH(COLUMNS($AC$1006:AR1006),$AC$1006:$AS$1006,0)))),"Fix")))</f>
        <v>0</v>
      </c>
      <c r="R600" s="5">
        <f>IF(OR(INDEX($W$2:$W$1001,MATCH(ROWS($V$2:V600),$V$2:$V$1001,0),1)&gt;=100000,INDEX($AC$1005:$AS$1005,1,MATCH(COLUMNS($AC$1006:AS1006),$AC$1006:$AS$1006,0))&gt;=100000), " ",IF(INDEX($AC$2:$AS$1001,MATCH(ROWS($V$2:V600),$V$2:$V$1001,0),MATCH(COLUMNS($AC$1006:AS1006),$AC$1006:$AS$1006,0)), HYPERLINK("#",""), HYPERLINK(CONCATENATE("#Metadata!", ADDRESS(INDEX($X$2:$X$1001,MATCH(ROWS($V$2:V600),$V$2:$V$1001,0),0), INDEX($AC$1004:$AS$1004,1,MATCH(COLUMNS($AC$1006:AS1006),$AC$1006:$AS$1006,0)))),"Fix")))</f>
        <v>0</v>
      </c>
      <c r="V600">
        <v>0</v>
      </c>
      <c r="W600">
        <v>0</v>
      </c>
      <c r="X600">
        <v>0</v>
      </c>
      <c r="Y600">
        <f>IF(Z600,TRUE,AND(AC600:AS600))</f>
        <v>0</v>
      </c>
      <c r="Z600">
        <f>COUNTBLANK(Metadata!B600:R600)=COLUMNS(Metadata!B600:R600)</f>
        <v>0</v>
      </c>
      <c r="AA600">
        <v>0</v>
      </c>
      <c r="AC600">
        <f>AND(IF(Metadata!B600="",FALSE,TRUE),COUNTIF(Metadata!B:B, Metadata!B600) = 1,NOT(ISERROR(SUMPRODUCT(SEARCH(MID(Metadata!B600,ROW(INDIRECT("1:"&amp;LEN(Metadata!B600))), 1),"0123456789abcdefghijklmnopqrstuvwxyzABCDEFGHIJKLMNOPQRSTUVWXYZ.")))))</f>
        <v>0</v>
      </c>
      <c r="AD600">
        <f>AND(IF(Metadata!C600="",FALSE,TRUE),exact(Metadata!C600,"Host-associated"))</f>
        <v>0</v>
      </c>
      <c r="AE600">
        <f>AND(IF(Metadata!D600="",FALSE,TRUE),OR(exact(Metadata!D600,"Animal"),exact(Metadata!D600,"Fungus"),exact(Metadata!D600,"Plant")))</f>
        <v>0</v>
      </c>
      <c r="AF600">
        <f>AND(IF(Metadata!E600="",FALSE,TRUE),OR(exact(Metadata!E600,"Plant secretion"),exact(Metadata!E600,"Plant rhizosphere"),exact(Metadata!E600,"Plant surface"),exact(Metadata!E600,"Plant corpus"),exact(Metadata!E600,"Fungus surface"),exact(Metadata!E600,"Fungus corpus"),exact(Metadata!E600,"Animal surface"),exact(Metadata!E600,"Animal proximal gut"),exact(Metadata!E600,"Animal corpus"),exact(Metadata!E600,"Animal distal gut"),exact(Metadata!E600,"Animal secretion")))</f>
        <v>0</v>
      </c>
      <c r="AG600">
        <f>OR(AND(IF(Metadata!F600="",FALSE,TRUE),OR(exact(Metadata!F600,"not collected"),exact(Metadata!F600,"not provided"),exact(Metadata!F600,"restricted access"))),AND(IF(Metadata!F600="",FALSE,TRUE),OR(exact(Metadata!F600,"organism-associated habitat"),exact(Metadata!F600,"plant-associated habitat"),exact(Metadata!F600,"animal-associated habitat"),exact(Metadata!F600,"insecta-associated habitat"),exact(Metadata!F600,"mammalia-associated habitat"),exact(Metadata!F600,"human-associated habitat"),exact(Metadata!F600,"livestock-associated habitat"))))</f>
        <v>0</v>
      </c>
      <c r="AH600">
        <f>AND(IF(Metadata!G600="",FALSE,TRUE),exact(Metadata!G600,"host-associated"))</f>
        <v>0</v>
      </c>
      <c r="AI600">
        <f>OR(AND(IF(Metadata!H600="",FALSE,TRUE),OR(exact(Metadata!H600,"not collected"),exact(Metadata!H600,"not provided"))),AND(IF(Metadata!H600="",FALSE,ISNUMBER(VALUE(Metadata!H600))),Metadata!H600&gt;0))</f>
        <v>0</v>
      </c>
      <c r="AJ600">
        <f>AND(IF(Metadata!I600="",FALSE,TRUE),exact(Metadata!I600,"years"))</f>
        <v>0</v>
      </c>
      <c r="AK600">
        <f>IF(Metadata!J600="",FALSE,TRUE)</f>
        <v>0</v>
      </c>
      <c r="AL600">
        <f>OR(AND(IF(Metadata!K600="",FALSE,TRUE),OR(exact(Metadata!K600,"not collected"),exact(Metadata!K600,"not provided"))),AND(IF(Metadata!K600="",FALSE,ISNUMBER(VALUE(Metadata!K600))),Metadata!K600&gt;0))</f>
        <v>0</v>
      </c>
      <c r="AM600">
        <f>AND(IF(Metadata!L600="",FALSE,TRUE),exact(Metadata!L600,"cm"))</f>
        <v>0</v>
      </c>
      <c r="AN600">
        <f>IF(Metadata!M600="",FALSE,TRUE)</f>
        <v>0</v>
      </c>
      <c r="AO600">
        <f>OR(AND(IF(Metadata!N600="",FALSE,TRUE),OR(exact(Metadata!N600,"not applicable"),exact(Metadata!N600,"not collected"),exact(Metadata!N600,"not provided"))),AND(IF(Metadata!N600="",FALSE,IF(ISERROR(INT(Metadata!N600)),FALSE,INT(Metadata!N600)=Metadata!N600)),Metadata!N600&gt;0))</f>
        <v>0</v>
      </c>
      <c r="AP600">
        <f>OR(AND(IF(Metadata!O600="",FALSE,TRUE),OR(exact(Metadata!O600,"not collected"),exact(Metadata!O600,"not provided"))),AND(IF(Metadata!O600="",FALSE,ISNUMBER(VALUE(Metadata!O600))),Metadata!O600&gt;0))</f>
        <v>0</v>
      </c>
      <c r="AQ600">
        <f>AND(IF(Metadata!P600="",FALSE,TRUE),exact(Metadata!P600,"kg"))</f>
        <v>0</v>
      </c>
      <c r="AR600">
        <f>OR(AND(IF(Metadata!Q600="",FALSE,TRUE),OR(exact(Metadata!Q600,"not applicable"),exact(Metadata!Q600,"not collected"),exact(Metadata!Q600,"not provided"),exact(Metadata!Q600,"restricted access"))),IF(Metadata!Q600="",FALSE,IF(ISERROR(INT(Metadata!Q600)),FALSE,INT(Metadata!Q600)=Metadata!Q600)))</f>
        <v>0</v>
      </c>
      <c r="AS600">
        <f>AND(IF(Metadata!R600="",FALSE,TRUE),exact(Metadata!R600,"Not applicable"))</f>
        <v>0</v>
      </c>
    </row>
    <row r="601" spans="1:45">
      <c r="A601" s="4">
        <f>IF(B601=" "," ",HYPERLINK(CONCATENATE("#metadata!",ADDRESS(INDEX($X$2:$X$1001,MATCH(ROWS($V$2:V601),$V$2:$V$1001,0),0),2)),INDEX($AA$2:$AA$1001,MATCH(ROWS($V$2:V601),$V$2:$V$1001,0),0)))</f>
        <v>0</v>
      </c>
      <c r="B601" s="5">
        <f>IF(OR(INDEX($W$2:$W$1001,MATCH(ROWS($V$2:V601),$V$2:$V$1001,0),1)&gt;=100000,INDEX($AC$1005:$AS$1005,1,MATCH(COLUMNS($AC$1006:AC1006),$AC$1006:$AS$1006,0))&gt;=100000), " ",IF(INDEX($AC$2:$AS$1001,MATCH(ROWS($V$2:V601),$V$2:$V$1001,0),MATCH(COLUMNS($AC$1006:AC1006),$AC$1006:$AS$1006,0)), HYPERLINK("#",""), HYPERLINK(CONCATENATE("#Metadata!", ADDRESS(INDEX($X$2:$X$1001,MATCH(ROWS($V$2:V601),$V$2:$V$1001,0),0), INDEX($AC$1004:$AS$1004,1,MATCH(COLUMNS($AC$1006:AC1006),$AC$1006:$AS$1006,0)))),"Fix")))</f>
        <v>0</v>
      </c>
      <c r="C601" s="5">
        <f>IF(OR(INDEX($W$2:$W$1001,MATCH(ROWS($V$2:V601),$V$2:$V$1001,0),1)&gt;=100000,INDEX($AC$1005:$AS$1005,1,MATCH(COLUMNS($AC$1006:AD1006),$AC$1006:$AS$1006,0))&gt;=100000), " ",IF(INDEX($AC$2:$AS$1001,MATCH(ROWS($V$2:V601),$V$2:$V$1001,0),MATCH(COLUMNS($AC$1006:AD1006),$AC$1006:$AS$1006,0)), HYPERLINK("#",""), HYPERLINK(CONCATENATE("#Metadata!", ADDRESS(INDEX($X$2:$X$1001,MATCH(ROWS($V$2:V601),$V$2:$V$1001,0),0), INDEX($AC$1004:$AS$1004,1,MATCH(COLUMNS($AC$1006:AD1006),$AC$1006:$AS$1006,0)))),"Fix")))</f>
        <v>0</v>
      </c>
      <c r="D601" s="5">
        <f>IF(OR(INDEX($W$2:$W$1001,MATCH(ROWS($V$2:V601),$V$2:$V$1001,0),1)&gt;=100000,INDEX($AC$1005:$AS$1005,1,MATCH(COLUMNS($AC$1006:AE1006),$AC$1006:$AS$1006,0))&gt;=100000), " ",IF(INDEX($AC$2:$AS$1001,MATCH(ROWS($V$2:V601),$V$2:$V$1001,0),MATCH(COLUMNS($AC$1006:AE1006),$AC$1006:$AS$1006,0)), HYPERLINK("#",""), HYPERLINK(CONCATENATE("#Metadata!", ADDRESS(INDEX($X$2:$X$1001,MATCH(ROWS($V$2:V601),$V$2:$V$1001,0),0), INDEX($AC$1004:$AS$1004,1,MATCH(COLUMNS($AC$1006:AE1006),$AC$1006:$AS$1006,0)))),"Fix")))</f>
        <v>0</v>
      </c>
      <c r="E601" s="5">
        <f>IF(OR(INDEX($W$2:$W$1001,MATCH(ROWS($V$2:V601),$V$2:$V$1001,0),1)&gt;=100000,INDEX($AC$1005:$AS$1005,1,MATCH(COLUMNS($AC$1006:AF1006),$AC$1006:$AS$1006,0))&gt;=100000), " ",IF(INDEX($AC$2:$AS$1001,MATCH(ROWS($V$2:V601),$V$2:$V$1001,0),MATCH(COLUMNS($AC$1006:AF1006),$AC$1006:$AS$1006,0)), HYPERLINK("#",""), HYPERLINK(CONCATENATE("#Metadata!", ADDRESS(INDEX($X$2:$X$1001,MATCH(ROWS($V$2:V601),$V$2:$V$1001,0),0), INDEX($AC$1004:$AS$1004,1,MATCH(COLUMNS($AC$1006:AF1006),$AC$1006:$AS$1006,0)))),"Fix")))</f>
        <v>0</v>
      </c>
      <c r="F601" s="5">
        <f>IF(OR(INDEX($W$2:$W$1001,MATCH(ROWS($V$2:V601),$V$2:$V$1001,0),1)&gt;=100000,INDEX($AC$1005:$AS$1005,1,MATCH(COLUMNS($AC$1006:AG1006),$AC$1006:$AS$1006,0))&gt;=100000), " ",IF(INDEX($AC$2:$AS$1001,MATCH(ROWS($V$2:V601),$V$2:$V$1001,0),MATCH(COLUMNS($AC$1006:AG1006),$AC$1006:$AS$1006,0)), HYPERLINK("#",""), HYPERLINK(CONCATENATE("#Metadata!", ADDRESS(INDEX($X$2:$X$1001,MATCH(ROWS($V$2:V601),$V$2:$V$1001,0),0), INDEX($AC$1004:$AS$1004,1,MATCH(COLUMNS($AC$1006:AG1006),$AC$1006:$AS$1006,0)))),"Fix")))</f>
        <v>0</v>
      </c>
      <c r="G601" s="5">
        <f>IF(OR(INDEX($W$2:$W$1001,MATCH(ROWS($V$2:V601),$V$2:$V$1001,0),1)&gt;=100000,INDEX($AC$1005:$AS$1005,1,MATCH(COLUMNS($AC$1006:AH1006),$AC$1006:$AS$1006,0))&gt;=100000), " ",IF(INDEX($AC$2:$AS$1001,MATCH(ROWS($V$2:V601),$V$2:$V$1001,0),MATCH(COLUMNS($AC$1006:AH1006),$AC$1006:$AS$1006,0)), HYPERLINK("#",""), HYPERLINK(CONCATENATE("#Metadata!", ADDRESS(INDEX($X$2:$X$1001,MATCH(ROWS($V$2:V601),$V$2:$V$1001,0),0), INDEX($AC$1004:$AS$1004,1,MATCH(COLUMNS($AC$1006:AH1006),$AC$1006:$AS$1006,0)))),"Fix")))</f>
        <v>0</v>
      </c>
      <c r="H601" s="5">
        <f>IF(OR(INDEX($W$2:$W$1001,MATCH(ROWS($V$2:V601),$V$2:$V$1001,0),1)&gt;=100000,INDEX($AC$1005:$AS$1005,1,MATCH(COLUMNS($AC$1006:AI1006),$AC$1006:$AS$1006,0))&gt;=100000), " ",IF(INDEX($AC$2:$AS$1001,MATCH(ROWS($V$2:V601),$V$2:$V$1001,0),MATCH(COLUMNS($AC$1006:AI1006),$AC$1006:$AS$1006,0)), HYPERLINK("#",""), HYPERLINK(CONCATENATE("#Metadata!", ADDRESS(INDEX($X$2:$X$1001,MATCH(ROWS($V$2:V601),$V$2:$V$1001,0),0), INDEX($AC$1004:$AS$1004,1,MATCH(COLUMNS($AC$1006:AI1006),$AC$1006:$AS$1006,0)))),"Fix")))</f>
        <v>0</v>
      </c>
      <c r="I601" s="5">
        <f>IF(OR(INDEX($W$2:$W$1001,MATCH(ROWS($V$2:V601),$V$2:$V$1001,0),1)&gt;=100000,INDEX($AC$1005:$AS$1005,1,MATCH(COLUMNS($AC$1006:AJ1006),$AC$1006:$AS$1006,0))&gt;=100000), " ",IF(INDEX($AC$2:$AS$1001,MATCH(ROWS($V$2:V601),$V$2:$V$1001,0),MATCH(COLUMNS($AC$1006:AJ1006),$AC$1006:$AS$1006,0)), HYPERLINK("#",""), HYPERLINK(CONCATENATE("#Metadata!", ADDRESS(INDEX($X$2:$X$1001,MATCH(ROWS($V$2:V601),$V$2:$V$1001,0),0), INDEX($AC$1004:$AS$1004,1,MATCH(COLUMNS($AC$1006:AJ1006),$AC$1006:$AS$1006,0)))),"Fix")))</f>
        <v>0</v>
      </c>
      <c r="J601" s="5">
        <f>IF(OR(INDEX($W$2:$W$1001,MATCH(ROWS($V$2:V601),$V$2:$V$1001,0),1)&gt;=100000,INDEX($AC$1005:$AS$1005,1,MATCH(COLUMNS($AC$1006:AK1006),$AC$1006:$AS$1006,0))&gt;=100000), " ",IF(INDEX($AC$2:$AS$1001,MATCH(ROWS($V$2:V601),$V$2:$V$1001,0),MATCH(COLUMNS($AC$1006:AK1006),$AC$1006:$AS$1006,0)), HYPERLINK("#",""), HYPERLINK(CONCATENATE("#Metadata!", ADDRESS(INDEX($X$2:$X$1001,MATCH(ROWS($V$2:V601),$V$2:$V$1001,0),0), INDEX($AC$1004:$AS$1004,1,MATCH(COLUMNS($AC$1006:AK1006),$AC$1006:$AS$1006,0)))),"Fix")))</f>
        <v>0</v>
      </c>
      <c r="K601" s="5">
        <f>IF(OR(INDEX($W$2:$W$1001,MATCH(ROWS($V$2:V601),$V$2:$V$1001,0),1)&gt;=100000,INDEX($AC$1005:$AS$1005,1,MATCH(COLUMNS($AC$1006:AL1006),$AC$1006:$AS$1006,0))&gt;=100000), " ",IF(INDEX($AC$2:$AS$1001,MATCH(ROWS($V$2:V601),$V$2:$V$1001,0),MATCH(COLUMNS($AC$1006:AL1006),$AC$1006:$AS$1006,0)), HYPERLINK("#",""), HYPERLINK(CONCATENATE("#Metadata!", ADDRESS(INDEX($X$2:$X$1001,MATCH(ROWS($V$2:V601),$V$2:$V$1001,0),0), INDEX($AC$1004:$AS$1004,1,MATCH(COLUMNS($AC$1006:AL1006),$AC$1006:$AS$1006,0)))),"Fix")))</f>
        <v>0</v>
      </c>
      <c r="L601" s="5">
        <f>IF(OR(INDEX($W$2:$W$1001,MATCH(ROWS($V$2:V601),$V$2:$V$1001,0),1)&gt;=100000,INDEX($AC$1005:$AS$1005,1,MATCH(COLUMNS($AC$1006:AM1006),$AC$1006:$AS$1006,0))&gt;=100000), " ",IF(INDEX($AC$2:$AS$1001,MATCH(ROWS($V$2:V601),$V$2:$V$1001,0),MATCH(COLUMNS($AC$1006:AM1006),$AC$1006:$AS$1006,0)), HYPERLINK("#",""), HYPERLINK(CONCATENATE("#Metadata!", ADDRESS(INDEX($X$2:$X$1001,MATCH(ROWS($V$2:V601),$V$2:$V$1001,0),0), INDEX($AC$1004:$AS$1004,1,MATCH(COLUMNS($AC$1006:AM1006),$AC$1006:$AS$1006,0)))),"Fix")))</f>
        <v>0</v>
      </c>
      <c r="M601" s="5">
        <f>IF(OR(INDEX($W$2:$W$1001,MATCH(ROWS($V$2:V601),$V$2:$V$1001,0),1)&gt;=100000,INDEX($AC$1005:$AS$1005,1,MATCH(COLUMNS($AC$1006:AN1006),$AC$1006:$AS$1006,0))&gt;=100000), " ",IF(INDEX($AC$2:$AS$1001,MATCH(ROWS($V$2:V601),$V$2:$V$1001,0),MATCH(COLUMNS($AC$1006:AN1006),$AC$1006:$AS$1006,0)), HYPERLINK("#",""), HYPERLINK(CONCATENATE("#Metadata!", ADDRESS(INDEX($X$2:$X$1001,MATCH(ROWS($V$2:V601),$V$2:$V$1001,0),0), INDEX($AC$1004:$AS$1004,1,MATCH(COLUMNS($AC$1006:AN1006),$AC$1006:$AS$1006,0)))),"Fix")))</f>
        <v>0</v>
      </c>
      <c r="N601" s="5">
        <f>IF(OR(INDEX($W$2:$W$1001,MATCH(ROWS($V$2:V601),$V$2:$V$1001,0),1)&gt;=100000,INDEX($AC$1005:$AS$1005,1,MATCH(COLUMNS($AC$1006:AO1006),$AC$1006:$AS$1006,0))&gt;=100000), " ",IF(INDEX($AC$2:$AS$1001,MATCH(ROWS($V$2:V601),$V$2:$V$1001,0),MATCH(COLUMNS($AC$1006:AO1006),$AC$1006:$AS$1006,0)), HYPERLINK("#",""), HYPERLINK(CONCATENATE("#Metadata!", ADDRESS(INDEX($X$2:$X$1001,MATCH(ROWS($V$2:V601),$V$2:$V$1001,0),0), INDEX($AC$1004:$AS$1004,1,MATCH(COLUMNS($AC$1006:AO1006),$AC$1006:$AS$1006,0)))),"Fix")))</f>
        <v>0</v>
      </c>
      <c r="O601" s="5">
        <f>IF(OR(INDEX($W$2:$W$1001,MATCH(ROWS($V$2:V601),$V$2:$V$1001,0),1)&gt;=100000,INDEX($AC$1005:$AS$1005,1,MATCH(COLUMNS($AC$1006:AP1006),$AC$1006:$AS$1006,0))&gt;=100000), " ",IF(INDEX($AC$2:$AS$1001,MATCH(ROWS($V$2:V601),$V$2:$V$1001,0),MATCH(COLUMNS($AC$1006:AP1006),$AC$1006:$AS$1006,0)), HYPERLINK("#",""), HYPERLINK(CONCATENATE("#Metadata!", ADDRESS(INDEX($X$2:$X$1001,MATCH(ROWS($V$2:V601),$V$2:$V$1001,0),0), INDEX($AC$1004:$AS$1004,1,MATCH(COLUMNS($AC$1006:AP1006),$AC$1006:$AS$1006,0)))),"Fix")))</f>
        <v>0</v>
      </c>
      <c r="P601" s="5">
        <f>IF(OR(INDEX($W$2:$W$1001,MATCH(ROWS($V$2:V601),$V$2:$V$1001,0),1)&gt;=100000,INDEX($AC$1005:$AS$1005,1,MATCH(COLUMNS($AC$1006:AQ1006),$AC$1006:$AS$1006,0))&gt;=100000), " ",IF(INDEX($AC$2:$AS$1001,MATCH(ROWS($V$2:V601),$V$2:$V$1001,0),MATCH(COLUMNS($AC$1006:AQ1006),$AC$1006:$AS$1006,0)), HYPERLINK("#",""), HYPERLINK(CONCATENATE("#Metadata!", ADDRESS(INDEX($X$2:$X$1001,MATCH(ROWS($V$2:V601),$V$2:$V$1001,0),0), INDEX($AC$1004:$AS$1004,1,MATCH(COLUMNS($AC$1006:AQ1006),$AC$1006:$AS$1006,0)))),"Fix")))</f>
        <v>0</v>
      </c>
      <c r="Q601" s="5">
        <f>IF(OR(INDEX($W$2:$W$1001,MATCH(ROWS($V$2:V601),$V$2:$V$1001,0),1)&gt;=100000,INDEX($AC$1005:$AS$1005,1,MATCH(COLUMNS($AC$1006:AR1006),$AC$1006:$AS$1006,0))&gt;=100000), " ",IF(INDEX($AC$2:$AS$1001,MATCH(ROWS($V$2:V601),$V$2:$V$1001,0),MATCH(COLUMNS($AC$1006:AR1006),$AC$1006:$AS$1006,0)), HYPERLINK("#",""), HYPERLINK(CONCATENATE("#Metadata!", ADDRESS(INDEX($X$2:$X$1001,MATCH(ROWS($V$2:V601),$V$2:$V$1001,0),0), INDEX($AC$1004:$AS$1004,1,MATCH(COLUMNS($AC$1006:AR1006),$AC$1006:$AS$1006,0)))),"Fix")))</f>
        <v>0</v>
      </c>
      <c r="R601" s="5">
        <f>IF(OR(INDEX($W$2:$W$1001,MATCH(ROWS($V$2:V601),$V$2:$V$1001,0),1)&gt;=100000,INDEX($AC$1005:$AS$1005,1,MATCH(COLUMNS($AC$1006:AS1006),$AC$1006:$AS$1006,0))&gt;=100000), " ",IF(INDEX($AC$2:$AS$1001,MATCH(ROWS($V$2:V601),$V$2:$V$1001,0),MATCH(COLUMNS($AC$1006:AS1006),$AC$1006:$AS$1006,0)), HYPERLINK("#",""), HYPERLINK(CONCATENATE("#Metadata!", ADDRESS(INDEX($X$2:$X$1001,MATCH(ROWS($V$2:V601),$V$2:$V$1001,0),0), INDEX($AC$1004:$AS$1004,1,MATCH(COLUMNS($AC$1006:AS1006),$AC$1006:$AS$1006,0)))),"Fix")))</f>
        <v>0</v>
      </c>
      <c r="V601">
        <v>0</v>
      </c>
      <c r="W601">
        <v>0</v>
      </c>
      <c r="X601">
        <v>0</v>
      </c>
      <c r="Y601">
        <f>IF(Z601,TRUE,AND(AC601:AS601))</f>
        <v>0</v>
      </c>
      <c r="Z601">
        <f>COUNTBLANK(Metadata!B601:R601)=COLUMNS(Metadata!B601:R601)</f>
        <v>0</v>
      </c>
      <c r="AA601">
        <v>0</v>
      </c>
      <c r="AC601">
        <f>AND(IF(Metadata!B601="",FALSE,TRUE),COUNTIF(Metadata!B:B, Metadata!B601) = 1,NOT(ISERROR(SUMPRODUCT(SEARCH(MID(Metadata!B601,ROW(INDIRECT("1:"&amp;LEN(Metadata!B601))), 1),"0123456789abcdefghijklmnopqrstuvwxyzABCDEFGHIJKLMNOPQRSTUVWXYZ.")))))</f>
        <v>0</v>
      </c>
      <c r="AD601">
        <f>AND(IF(Metadata!C601="",FALSE,TRUE),exact(Metadata!C601,"Host-associated"))</f>
        <v>0</v>
      </c>
      <c r="AE601">
        <f>AND(IF(Metadata!D601="",FALSE,TRUE),OR(exact(Metadata!D601,"Animal"),exact(Metadata!D601,"Fungus"),exact(Metadata!D601,"Plant")))</f>
        <v>0</v>
      </c>
      <c r="AF601">
        <f>AND(IF(Metadata!E601="",FALSE,TRUE),OR(exact(Metadata!E601,"Plant secretion"),exact(Metadata!E601,"Plant rhizosphere"),exact(Metadata!E601,"Plant surface"),exact(Metadata!E601,"Plant corpus"),exact(Metadata!E601,"Fungus surface"),exact(Metadata!E601,"Fungus corpus"),exact(Metadata!E601,"Animal surface"),exact(Metadata!E601,"Animal proximal gut"),exact(Metadata!E601,"Animal corpus"),exact(Metadata!E601,"Animal distal gut"),exact(Metadata!E601,"Animal secretion")))</f>
        <v>0</v>
      </c>
      <c r="AG601">
        <f>OR(AND(IF(Metadata!F601="",FALSE,TRUE),OR(exact(Metadata!F601,"not collected"),exact(Metadata!F601,"not provided"),exact(Metadata!F601,"restricted access"))),AND(IF(Metadata!F601="",FALSE,TRUE),OR(exact(Metadata!F601,"organism-associated habitat"),exact(Metadata!F601,"plant-associated habitat"),exact(Metadata!F601,"animal-associated habitat"),exact(Metadata!F601,"insecta-associated habitat"),exact(Metadata!F601,"mammalia-associated habitat"),exact(Metadata!F601,"human-associated habitat"),exact(Metadata!F601,"livestock-associated habitat"))))</f>
        <v>0</v>
      </c>
      <c r="AH601">
        <f>AND(IF(Metadata!G601="",FALSE,TRUE),exact(Metadata!G601,"host-associated"))</f>
        <v>0</v>
      </c>
      <c r="AI601">
        <f>OR(AND(IF(Metadata!H601="",FALSE,TRUE),OR(exact(Metadata!H601,"not collected"),exact(Metadata!H601,"not provided"))),AND(IF(Metadata!H601="",FALSE,ISNUMBER(VALUE(Metadata!H601))),Metadata!H601&gt;0))</f>
        <v>0</v>
      </c>
      <c r="AJ601">
        <f>AND(IF(Metadata!I601="",FALSE,TRUE),exact(Metadata!I601,"years"))</f>
        <v>0</v>
      </c>
      <c r="AK601">
        <f>IF(Metadata!J601="",FALSE,TRUE)</f>
        <v>0</v>
      </c>
      <c r="AL601">
        <f>OR(AND(IF(Metadata!K601="",FALSE,TRUE),OR(exact(Metadata!K601,"not collected"),exact(Metadata!K601,"not provided"))),AND(IF(Metadata!K601="",FALSE,ISNUMBER(VALUE(Metadata!K601))),Metadata!K601&gt;0))</f>
        <v>0</v>
      </c>
      <c r="AM601">
        <f>AND(IF(Metadata!L601="",FALSE,TRUE),exact(Metadata!L601,"cm"))</f>
        <v>0</v>
      </c>
      <c r="AN601">
        <f>IF(Metadata!M601="",FALSE,TRUE)</f>
        <v>0</v>
      </c>
      <c r="AO601">
        <f>OR(AND(IF(Metadata!N601="",FALSE,TRUE),OR(exact(Metadata!N601,"not applicable"),exact(Metadata!N601,"not collected"),exact(Metadata!N601,"not provided"))),AND(IF(Metadata!N601="",FALSE,IF(ISERROR(INT(Metadata!N601)),FALSE,INT(Metadata!N601)=Metadata!N601)),Metadata!N601&gt;0))</f>
        <v>0</v>
      </c>
      <c r="AP601">
        <f>OR(AND(IF(Metadata!O601="",FALSE,TRUE),OR(exact(Metadata!O601,"not collected"),exact(Metadata!O601,"not provided"))),AND(IF(Metadata!O601="",FALSE,ISNUMBER(VALUE(Metadata!O601))),Metadata!O601&gt;0))</f>
        <v>0</v>
      </c>
      <c r="AQ601">
        <f>AND(IF(Metadata!P601="",FALSE,TRUE),exact(Metadata!P601,"kg"))</f>
        <v>0</v>
      </c>
      <c r="AR601">
        <f>OR(AND(IF(Metadata!Q601="",FALSE,TRUE),OR(exact(Metadata!Q601,"not applicable"),exact(Metadata!Q601,"not collected"),exact(Metadata!Q601,"not provided"),exact(Metadata!Q601,"restricted access"))),IF(Metadata!Q601="",FALSE,IF(ISERROR(INT(Metadata!Q601)),FALSE,INT(Metadata!Q601)=Metadata!Q601)))</f>
        <v>0</v>
      </c>
      <c r="AS601">
        <f>AND(IF(Metadata!R601="",FALSE,TRUE),exact(Metadata!R601,"Not applicable"))</f>
        <v>0</v>
      </c>
    </row>
    <row r="602" spans="1:45">
      <c r="A602" s="4">
        <f>IF(B602=" "," ",HYPERLINK(CONCATENATE("#metadata!",ADDRESS(INDEX($X$2:$X$1001,MATCH(ROWS($V$2:V602),$V$2:$V$1001,0),0),2)),INDEX($AA$2:$AA$1001,MATCH(ROWS($V$2:V602),$V$2:$V$1001,0),0)))</f>
        <v>0</v>
      </c>
      <c r="B602" s="5">
        <f>IF(OR(INDEX($W$2:$W$1001,MATCH(ROWS($V$2:V602),$V$2:$V$1001,0),1)&gt;=100000,INDEX($AC$1005:$AS$1005,1,MATCH(COLUMNS($AC$1006:AC1006),$AC$1006:$AS$1006,0))&gt;=100000), " ",IF(INDEX($AC$2:$AS$1001,MATCH(ROWS($V$2:V602),$V$2:$V$1001,0),MATCH(COLUMNS($AC$1006:AC1006),$AC$1006:$AS$1006,0)), HYPERLINK("#",""), HYPERLINK(CONCATENATE("#Metadata!", ADDRESS(INDEX($X$2:$X$1001,MATCH(ROWS($V$2:V602),$V$2:$V$1001,0),0), INDEX($AC$1004:$AS$1004,1,MATCH(COLUMNS($AC$1006:AC1006),$AC$1006:$AS$1006,0)))),"Fix")))</f>
        <v>0</v>
      </c>
      <c r="C602" s="5">
        <f>IF(OR(INDEX($W$2:$W$1001,MATCH(ROWS($V$2:V602),$V$2:$V$1001,0),1)&gt;=100000,INDEX($AC$1005:$AS$1005,1,MATCH(COLUMNS($AC$1006:AD1006),$AC$1006:$AS$1006,0))&gt;=100000), " ",IF(INDEX($AC$2:$AS$1001,MATCH(ROWS($V$2:V602),$V$2:$V$1001,0),MATCH(COLUMNS($AC$1006:AD1006),$AC$1006:$AS$1006,0)), HYPERLINK("#",""), HYPERLINK(CONCATENATE("#Metadata!", ADDRESS(INDEX($X$2:$X$1001,MATCH(ROWS($V$2:V602),$V$2:$V$1001,0),0), INDEX($AC$1004:$AS$1004,1,MATCH(COLUMNS($AC$1006:AD1006),$AC$1006:$AS$1006,0)))),"Fix")))</f>
        <v>0</v>
      </c>
      <c r="D602" s="5">
        <f>IF(OR(INDEX($W$2:$W$1001,MATCH(ROWS($V$2:V602),$V$2:$V$1001,0),1)&gt;=100000,INDEX($AC$1005:$AS$1005,1,MATCH(COLUMNS($AC$1006:AE1006),$AC$1006:$AS$1006,0))&gt;=100000), " ",IF(INDEX($AC$2:$AS$1001,MATCH(ROWS($V$2:V602),$V$2:$V$1001,0),MATCH(COLUMNS($AC$1006:AE1006),$AC$1006:$AS$1006,0)), HYPERLINK("#",""), HYPERLINK(CONCATENATE("#Metadata!", ADDRESS(INDEX($X$2:$X$1001,MATCH(ROWS($V$2:V602),$V$2:$V$1001,0),0), INDEX($AC$1004:$AS$1004,1,MATCH(COLUMNS($AC$1006:AE1006),$AC$1006:$AS$1006,0)))),"Fix")))</f>
        <v>0</v>
      </c>
      <c r="E602" s="5">
        <f>IF(OR(INDEX($W$2:$W$1001,MATCH(ROWS($V$2:V602),$V$2:$V$1001,0),1)&gt;=100000,INDEX($AC$1005:$AS$1005,1,MATCH(COLUMNS($AC$1006:AF1006),$AC$1006:$AS$1006,0))&gt;=100000), " ",IF(INDEX($AC$2:$AS$1001,MATCH(ROWS($V$2:V602),$V$2:$V$1001,0),MATCH(COLUMNS($AC$1006:AF1006),$AC$1006:$AS$1006,0)), HYPERLINK("#",""), HYPERLINK(CONCATENATE("#Metadata!", ADDRESS(INDEX($X$2:$X$1001,MATCH(ROWS($V$2:V602),$V$2:$V$1001,0),0), INDEX($AC$1004:$AS$1004,1,MATCH(COLUMNS($AC$1006:AF1006),$AC$1006:$AS$1006,0)))),"Fix")))</f>
        <v>0</v>
      </c>
      <c r="F602" s="5">
        <f>IF(OR(INDEX($W$2:$W$1001,MATCH(ROWS($V$2:V602),$V$2:$V$1001,0),1)&gt;=100000,INDEX($AC$1005:$AS$1005,1,MATCH(COLUMNS($AC$1006:AG1006),$AC$1006:$AS$1006,0))&gt;=100000), " ",IF(INDEX($AC$2:$AS$1001,MATCH(ROWS($V$2:V602),$V$2:$V$1001,0),MATCH(COLUMNS($AC$1006:AG1006),$AC$1006:$AS$1006,0)), HYPERLINK("#",""), HYPERLINK(CONCATENATE("#Metadata!", ADDRESS(INDEX($X$2:$X$1001,MATCH(ROWS($V$2:V602),$V$2:$V$1001,0),0), INDEX($AC$1004:$AS$1004,1,MATCH(COLUMNS($AC$1006:AG1006),$AC$1006:$AS$1006,0)))),"Fix")))</f>
        <v>0</v>
      </c>
      <c r="G602" s="5">
        <f>IF(OR(INDEX($W$2:$W$1001,MATCH(ROWS($V$2:V602),$V$2:$V$1001,0),1)&gt;=100000,INDEX($AC$1005:$AS$1005,1,MATCH(COLUMNS($AC$1006:AH1006),$AC$1006:$AS$1006,0))&gt;=100000), " ",IF(INDEX($AC$2:$AS$1001,MATCH(ROWS($V$2:V602),$V$2:$V$1001,0),MATCH(COLUMNS($AC$1006:AH1006),$AC$1006:$AS$1006,0)), HYPERLINK("#",""), HYPERLINK(CONCATENATE("#Metadata!", ADDRESS(INDEX($X$2:$X$1001,MATCH(ROWS($V$2:V602),$V$2:$V$1001,0),0), INDEX($AC$1004:$AS$1004,1,MATCH(COLUMNS($AC$1006:AH1006),$AC$1006:$AS$1006,0)))),"Fix")))</f>
        <v>0</v>
      </c>
      <c r="H602" s="5">
        <f>IF(OR(INDEX($W$2:$W$1001,MATCH(ROWS($V$2:V602),$V$2:$V$1001,0),1)&gt;=100000,INDEX($AC$1005:$AS$1005,1,MATCH(COLUMNS($AC$1006:AI1006),$AC$1006:$AS$1006,0))&gt;=100000), " ",IF(INDEX($AC$2:$AS$1001,MATCH(ROWS($V$2:V602),$V$2:$V$1001,0),MATCH(COLUMNS($AC$1006:AI1006),$AC$1006:$AS$1006,0)), HYPERLINK("#",""), HYPERLINK(CONCATENATE("#Metadata!", ADDRESS(INDEX($X$2:$X$1001,MATCH(ROWS($V$2:V602),$V$2:$V$1001,0),0), INDEX($AC$1004:$AS$1004,1,MATCH(COLUMNS($AC$1006:AI1006),$AC$1006:$AS$1006,0)))),"Fix")))</f>
        <v>0</v>
      </c>
      <c r="I602" s="5">
        <f>IF(OR(INDEX($W$2:$W$1001,MATCH(ROWS($V$2:V602),$V$2:$V$1001,0),1)&gt;=100000,INDEX($AC$1005:$AS$1005,1,MATCH(COLUMNS($AC$1006:AJ1006),$AC$1006:$AS$1006,0))&gt;=100000), " ",IF(INDEX($AC$2:$AS$1001,MATCH(ROWS($V$2:V602),$V$2:$V$1001,0),MATCH(COLUMNS($AC$1006:AJ1006),$AC$1006:$AS$1006,0)), HYPERLINK("#",""), HYPERLINK(CONCATENATE("#Metadata!", ADDRESS(INDEX($X$2:$X$1001,MATCH(ROWS($V$2:V602),$V$2:$V$1001,0),0), INDEX($AC$1004:$AS$1004,1,MATCH(COLUMNS($AC$1006:AJ1006),$AC$1006:$AS$1006,0)))),"Fix")))</f>
        <v>0</v>
      </c>
      <c r="J602" s="5">
        <f>IF(OR(INDEX($W$2:$W$1001,MATCH(ROWS($V$2:V602),$V$2:$V$1001,0),1)&gt;=100000,INDEX($AC$1005:$AS$1005,1,MATCH(COLUMNS($AC$1006:AK1006),$AC$1006:$AS$1006,0))&gt;=100000), " ",IF(INDEX($AC$2:$AS$1001,MATCH(ROWS($V$2:V602),$V$2:$V$1001,0),MATCH(COLUMNS($AC$1006:AK1006),$AC$1006:$AS$1006,0)), HYPERLINK("#",""), HYPERLINK(CONCATENATE("#Metadata!", ADDRESS(INDEX($X$2:$X$1001,MATCH(ROWS($V$2:V602),$V$2:$V$1001,0),0), INDEX($AC$1004:$AS$1004,1,MATCH(COLUMNS($AC$1006:AK1006),$AC$1006:$AS$1006,0)))),"Fix")))</f>
        <v>0</v>
      </c>
      <c r="K602" s="5">
        <f>IF(OR(INDEX($W$2:$W$1001,MATCH(ROWS($V$2:V602),$V$2:$V$1001,0),1)&gt;=100000,INDEX($AC$1005:$AS$1005,1,MATCH(COLUMNS($AC$1006:AL1006),$AC$1006:$AS$1006,0))&gt;=100000), " ",IF(INDEX($AC$2:$AS$1001,MATCH(ROWS($V$2:V602),$V$2:$V$1001,0),MATCH(COLUMNS($AC$1006:AL1006),$AC$1006:$AS$1006,0)), HYPERLINK("#",""), HYPERLINK(CONCATENATE("#Metadata!", ADDRESS(INDEX($X$2:$X$1001,MATCH(ROWS($V$2:V602),$V$2:$V$1001,0),0), INDEX($AC$1004:$AS$1004,1,MATCH(COLUMNS($AC$1006:AL1006),$AC$1006:$AS$1006,0)))),"Fix")))</f>
        <v>0</v>
      </c>
      <c r="L602" s="5">
        <f>IF(OR(INDEX($W$2:$W$1001,MATCH(ROWS($V$2:V602),$V$2:$V$1001,0),1)&gt;=100000,INDEX($AC$1005:$AS$1005,1,MATCH(COLUMNS($AC$1006:AM1006),$AC$1006:$AS$1006,0))&gt;=100000), " ",IF(INDEX($AC$2:$AS$1001,MATCH(ROWS($V$2:V602),$V$2:$V$1001,0),MATCH(COLUMNS($AC$1006:AM1006),$AC$1006:$AS$1006,0)), HYPERLINK("#",""), HYPERLINK(CONCATENATE("#Metadata!", ADDRESS(INDEX($X$2:$X$1001,MATCH(ROWS($V$2:V602),$V$2:$V$1001,0),0), INDEX($AC$1004:$AS$1004,1,MATCH(COLUMNS($AC$1006:AM1006),$AC$1006:$AS$1006,0)))),"Fix")))</f>
        <v>0</v>
      </c>
      <c r="M602" s="5">
        <f>IF(OR(INDEX($W$2:$W$1001,MATCH(ROWS($V$2:V602),$V$2:$V$1001,0),1)&gt;=100000,INDEX($AC$1005:$AS$1005,1,MATCH(COLUMNS($AC$1006:AN1006),$AC$1006:$AS$1006,0))&gt;=100000), " ",IF(INDEX($AC$2:$AS$1001,MATCH(ROWS($V$2:V602),$V$2:$V$1001,0),MATCH(COLUMNS($AC$1006:AN1006),$AC$1006:$AS$1006,0)), HYPERLINK("#",""), HYPERLINK(CONCATENATE("#Metadata!", ADDRESS(INDEX($X$2:$X$1001,MATCH(ROWS($V$2:V602),$V$2:$V$1001,0),0), INDEX($AC$1004:$AS$1004,1,MATCH(COLUMNS($AC$1006:AN1006),$AC$1006:$AS$1006,0)))),"Fix")))</f>
        <v>0</v>
      </c>
      <c r="N602" s="5">
        <f>IF(OR(INDEX($W$2:$W$1001,MATCH(ROWS($V$2:V602),$V$2:$V$1001,0),1)&gt;=100000,INDEX($AC$1005:$AS$1005,1,MATCH(COLUMNS($AC$1006:AO1006),$AC$1006:$AS$1006,0))&gt;=100000), " ",IF(INDEX($AC$2:$AS$1001,MATCH(ROWS($V$2:V602),$V$2:$V$1001,0),MATCH(COLUMNS($AC$1006:AO1006),$AC$1006:$AS$1006,0)), HYPERLINK("#",""), HYPERLINK(CONCATENATE("#Metadata!", ADDRESS(INDEX($X$2:$X$1001,MATCH(ROWS($V$2:V602),$V$2:$V$1001,0),0), INDEX($AC$1004:$AS$1004,1,MATCH(COLUMNS($AC$1006:AO1006),$AC$1006:$AS$1006,0)))),"Fix")))</f>
        <v>0</v>
      </c>
      <c r="O602" s="5">
        <f>IF(OR(INDEX($W$2:$W$1001,MATCH(ROWS($V$2:V602),$V$2:$V$1001,0),1)&gt;=100000,INDEX($AC$1005:$AS$1005,1,MATCH(COLUMNS($AC$1006:AP1006),$AC$1006:$AS$1006,0))&gt;=100000), " ",IF(INDEX($AC$2:$AS$1001,MATCH(ROWS($V$2:V602),$V$2:$V$1001,0),MATCH(COLUMNS($AC$1006:AP1006),$AC$1006:$AS$1006,0)), HYPERLINK("#",""), HYPERLINK(CONCATENATE("#Metadata!", ADDRESS(INDEX($X$2:$X$1001,MATCH(ROWS($V$2:V602),$V$2:$V$1001,0),0), INDEX($AC$1004:$AS$1004,1,MATCH(COLUMNS($AC$1006:AP1006),$AC$1006:$AS$1006,0)))),"Fix")))</f>
        <v>0</v>
      </c>
      <c r="P602" s="5">
        <f>IF(OR(INDEX($W$2:$W$1001,MATCH(ROWS($V$2:V602),$V$2:$V$1001,0),1)&gt;=100000,INDEX($AC$1005:$AS$1005,1,MATCH(COLUMNS($AC$1006:AQ1006),$AC$1006:$AS$1006,0))&gt;=100000), " ",IF(INDEX($AC$2:$AS$1001,MATCH(ROWS($V$2:V602),$V$2:$V$1001,0),MATCH(COLUMNS($AC$1006:AQ1006),$AC$1006:$AS$1006,0)), HYPERLINK("#",""), HYPERLINK(CONCATENATE("#Metadata!", ADDRESS(INDEX($X$2:$X$1001,MATCH(ROWS($V$2:V602),$V$2:$V$1001,0),0), INDEX($AC$1004:$AS$1004,1,MATCH(COLUMNS($AC$1006:AQ1006),$AC$1006:$AS$1006,0)))),"Fix")))</f>
        <v>0</v>
      </c>
      <c r="Q602" s="5">
        <f>IF(OR(INDEX($W$2:$W$1001,MATCH(ROWS($V$2:V602),$V$2:$V$1001,0),1)&gt;=100000,INDEX($AC$1005:$AS$1005,1,MATCH(COLUMNS($AC$1006:AR1006),$AC$1006:$AS$1006,0))&gt;=100000), " ",IF(INDEX($AC$2:$AS$1001,MATCH(ROWS($V$2:V602),$V$2:$V$1001,0),MATCH(COLUMNS($AC$1006:AR1006),$AC$1006:$AS$1006,0)), HYPERLINK("#",""), HYPERLINK(CONCATENATE("#Metadata!", ADDRESS(INDEX($X$2:$X$1001,MATCH(ROWS($V$2:V602),$V$2:$V$1001,0),0), INDEX($AC$1004:$AS$1004,1,MATCH(COLUMNS($AC$1006:AR1006),$AC$1006:$AS$1006,0)))),"Fix")))</f>
        <v>0</v>
      </c>
      <c r="R602" s="5">
        <f>IF(OR(INDEX($W$2:$W$1001,MATCH(ROWS($V$2:V602),$V$2:$V$1001,0),1)&gt;=100000,INDEX($AC$1005:$AS$1005,1,MATCH(COLUMNS($AC$1006:AS1006),$AC$1006:$AS$1006,0))&gt;=100000), " ",IF(INDEX($AC$2:$AS$1001,MATCH(ROWS($V$2:V602),$V$2:$V$1001,0),MATCH(COLUMNS($AC$1006:AS1006),$AC$1006:$AS$1006,0)), HYPERLINK("#",""), HYPERLINK(CONCATENATE("#Metadata!", ADDRESS(INDEX($X$2:$X$1001,MATCH(ROWS($V$2:V602),$V$2:$V$1001,0),0), INDEX($AC$1004:$AS$1004,1,MATCH(COLUMNS($AC$1006:AS1006),$AC$1006:$AS$1006,0)))),"Fix")))</f>
        <v>0</v>
      </c>
      <c r="V602">
        <v>0</v>
      </c>
      <c r="W602">
        <v>0</v>
      </c>
      <c r="X602">
        <v>0</v>
      </c>
      <c r="Y602">
        <f>IF(Z602,TRUE,AND(AC602:AS602))</f>
        <v>0</v>
      </c>
      <c r="Z602">
        <f>COUNTBLANK(Metadata!B602:R602)=COLUMNS(Metadata!B602:R602)</f>
        <v>0</v>
      </c>
      <c r="AA602">
        <v>0</v>
      </c>
      <c r="AC602">
        <f>AND(IF(Metadata!B602="",FALSE,TRUE),COUNTIF(Metadata!B:B, Metadata!B602) = 1,NOT(ISERROR(SUMPRODUCT(SEARCH(MID(Metadata!B602,ROW(INDIRECT("1:"&amp;LEN(Metadata!B602))), 1),"0123456789abcdefghijklmnopqrstuvwxyzABCDEFGHIJKLMNOPQRSTUVWXYZ.")))))</f>
        <v>0</v>
      </c>
      <c r="AD602">
        <f>AND(IF(Metadata!C602="",FALSE,TRUE),exact(Metadata!C602,"Host-associated"))</f>
        <v>0</v>
      </c>
      <c r="AE602">
        <f>AND(IF(Metadata!D602="",FALSE,TRUE),OR(exact(Metadata!D602,"Animal"),exact(Metadata!D602,"Fungus"),exact(Metadata!D602,"Plant")))</f>
        <v>0</v>
      </c>
      <c r="AF602">
        <f>AND(IF(Metadata!E602="",FALSE,TRUE),OR(exact(Metadata!E602,"Plant secretion"),exact(Metadata!E602,"Plant rhizosphere"),exact(Metadata!E602,"Plant surface"),exact(Metadata!E602,"Plant corpus"),exact(Metadata!E602,"Fungus surface"),exact(Metadata!E602,"Fungus corpus"),exact(Metadata!E602,"Animal surface"),exact(Metadata!E602,"Animal proximal gut"),exact(Metadata!E602,"Animal corpus"),exact(Metadata!E602,"Animal distal gut"),exact(Metadata!E602,"Animal secretion")))</f>
        <v>0</v>
      </c>
      <c r="AG602">
        <f>OR(AND(IF(Metadata!F602="",FALSE,TRUE),OR(exact(Metadata!F602,"not collected"),exact(Metadata!F602,"not provided"),exact(Metadata!F602,"restricted access"))),AND(IF(Metadata!F602="",FALSE,TRUE),OR(exact(Metadata!F602,"organism-associated habitat"),exact(Metadata!F602,"plant-associated habitat"),exact(Metadata!F602,"animal-associated habitat"),exact(Metadata!F602,"insecta-associated habitat"),exact(Metadata!F602,"mammalia-associated habitat"),exact(Metadata!F602,"human-associated habitat"),exact(Metadata!F602,"livestock-associated habitat"))))</f>
        <v>0</v>
      </c>
      <c r="AH602">
        <f>AND(IF(Metadata!G602="",FALSE,TRUE),exact(Metadata!G602,"host-associated"))</f>
        <v>0</v>
      </c>
      <c r="AI602">
        <f>OR(AND(IF(Metadata!H602="",FALSE,TRUE),OR(exact(Metadata!H602,"not collected"),exact(Metadata!H602,"not provided"))),AND(IF(Metadata!H602="",FALSE,ISNUMBER(VALUE(Metadata!H602))),Metadata!H602&gt;0))</f>
        <v>0</v>
      </c>
      <c r="AJ602">
        <f>AND(IF(Metadata!I602="",FALSE,TRUE),exact(Metadata!I602,"years"))</f>
        <v>0</v>
      </c>
      <c r="AK602">
        <f>IF(Metadata!J602="",FALSE,TRUE)</f>
        <v>0</v>
      </c>
      <c r="AL602">
        <f>OR(AND(IF(Metadata!K602="",FALSE,TRUE),OR(exact(Metadata!K602,"not collected"),exact(Metadata!K602,"not provided"))),AND(IF(Metadata!K602="",FALSE,ISNUMBER(VALUE(Metadata!K602))),Metadata!K602&gt;0))</f>
        <v>0</v>
      </c>
      <c r="AM602">
        <f>AND(IF(Metadata!L602="",FALSE,TRUE),exact(Metadata!L602,"cm"))</f>
        <v>0</v>
      </c>
      <c r="AN602">
        <f>IF(Metadata!M602="",FALSE,TRUE)</f>
        <v>0</v>
      </c>
      <c r="AO602">
        <f>OR(AND(IF(Metadata!N602="",FALSE,TRUE),OR(exact(Metadata!N602,"not applicable"),exact(Metadata!N602,"not collected"),exact(Metadata!N602,"not provided"))),AND(IF(Metadata!N602="",FALSE,IF(ISERROR(INT(Metadata!N602)),FALSE,INT(Metadata!N602)=Metadata!N602)),Metadata!N602&gt;0))</f>
        <v>0</v>
      </c>
      <c r="AP602">
        <f>OR(AND(IF(Metadata!O602="",FALSE,TRUE),OR(exact(Metadata!O602,"not collected"),exact(Metadata!O602,"not provided"))),AND(IF(Metadata!O602="",FALSE,ISNUMBER(VALUE(Metadata!O602))),Metadata!O602&gt;0))</f>
        <v>0</v>
      </c>
      <c r="AQ602">
        <f>AND(IF(Metadata!P602="",FALSE,TRUE),exact(Metadata!P602,"kg"))</f>
        <v>0</v>
      </c>
      <c r="AR602">
        <f>OR(AND(IF(Metadata!Q602="",FALSE,TRUE),OR(exact(Metadata!Q602,"not applicable"),exact(Metadata!Q602,"not collected"),exact(Metadata!Q602,"not provided"),exact(Metadata!Q602,"restricted access"))),IF(Metadata!Q602="",FALSE,IF(ISERROR(INT(Metadata!Q602)),FALSE,INT(Metadata!Q602)=Metadata!Q602)))</f>
        <v>0</v>
      </c>
      <c r="AS602">
        <f>AND(IF(Metadata!R602="",FALSE,TRUE),exact(Metadata!R602,"Not applicable"))</f>
        <v>0</v>
      </c>
    </row>
    <row r="603" spans="1:45">
      <c r="A603" s="4">
        <f>IF(B603=" "," ",HYPERLINK(CONCATENATE("#metadata!",ADDRESS(INDEX($X$2:$X$1001,MATCH(ROWS($V$2:V603),$V$2:$V$1001,0),0),2)),INDEX($AA$2:$AA$1001,MATCH(ROWS($V$2:V603),$V$2:$V$1001,0),0)))</f>
        <v>0</v>
      </c>
      <c r="B603" s="5">
        <f>IF(OR(INDEX($W$2:$W$1001,MATCH(ROWS($V$2:V603),$V$2:$V$1001,0),1)&gt;=100000,INDEX($AC$1005:$AS$1005,1,MATCH(COLUMNS($AC$1006:AC1006),$AC$1006:$AS$1006,0))&gt;=100000), " ",IF(INDEX($AC$2:$AS$1001,MATCH(ROWS($V$2:V603),$V$2:$V$1001,0),MATCH(COLUMNS($AC$1006:AC1006),$AC$1006:$AS$1006,0)), HYPERLINK("#",""), HYPERLINK(CONCATENATE("#Metadata!", ADDRESS(INDEX($X$2:$X$1001,MATCH(ROWS($V$2:V603),$V$2:$V$1001,0),0), INDEX($AC$1004:$AS$1004,1,MATCH(COLUMNS($AC$1006:AC1006),$AC$1006:$AS$1006,0)))),"Fix")))</f>
        <v>0</v>
      </c>
      <c r="C603" s="5">
        <f>IF(OR(INDEX($W$2:$W$1001,MATCH(ROWS($V$2:V603),$V$2:$V$1001,0),1)&gt;=100000,INDEX($AC$1005:$AS$1005,1,MATCH(COLUMNS($AC$1006:AD1006),$AC$1006:$AS$1006,0))&gt;=100000), " ",IF(INDEX($AC$2:$AS$1001,MATCH(ROWS($V$2:V603),$V$2:$V$1001,0),MATCH(COLUMNS($AC$1006:AD1006),$AC$1006:$AS$1006,0)), HYPERLINK("#",""), HYPERLINK(CONCATENATE("#Metadata!", ADDRESS(INDEX($X$2:$X$1001,MATCH(ROWS($V$2:V603),$V$2:$V$1001,0),0), INDEX($AC$1004:$AS$1004,1,MATCH(COLUMNS($AC$1006:AD1006),$AC$1006:$AS$1006,0)))),"Fix")))</f>
        <v>0</v>
      </c>
      <c r="D603" s="5">
        <f>IF(OR(INDEX($W$2:$W$1001,MATCH(ROWS($V$2:V603),$V$2:$V$1001,0),1)&gt;=100000,INDEX($AC$1005:$AS$1005,1,MATCH(COLUMNS($AC$1006:AE1006),$AC$1006:$AS$1006,0))&gt;=100000), " ",IF(INDEX($AC$2:$AS$1001,MATCH(ROWS($V$2:V603),$V$2:$V$1001,0),MATCH(COLUMNS($AC$1006:AE1006),$AC$1006:$AS$1006,0)), HYPERLINK("#",""), HYPERLINK(CONCATENATE("#Metadata!", ADDRESS(INDEX($X$2:$X$1001,MATCH(ROWS($V$2:V603),$V$2:$V$1001,0),0), INDEX($AC$1004:$AS$1004,1,MATCH(COLUMNS($AC$1006:AE1006),$AC$1006:$AS$1006,0)))),"Fix")))</f>
        <v>0</v>
      </c>
      <c r="E603" s="5">
        <f>IF(OR(INDEX($W$2:$W$1001,MATCH(ROWS($V$2:V603),$V$2:$V$1001,0),1)&gt;=100000,INDEX($AC$1005:$AS$1005,1,MATCH(COLUMNS($AC$1006:AF1006),$AC$1006:$AS$1006,0))&gt;=100000), " ",IF(INDEX($AC$2:$AS$1001,MATCH(ROWS($V$2:V603),$V$2:$V$1001,0),MATCH(COLUMNS($AC$1006:AF1006),$AC$1006:$AS$1006,0)), HYPERLINK("#",""), HYPERLINK(CONCATENATE("#Metadata!", ADDRESS(INDEX($X$2:$X$1001,MATCH(ROWS($V$2:V603),$V$2:$V$1001,0),0), INDEX($AC$1004:$AS$1004,1,MATCH(COLUMNS($AC$1006:AF1006),$AC$1006:$AS$1006,0)))),"Fix")))</f>
        <v>0</v>
      </c>
      <c r="F603" s="5">
        <f>IF(OR(INDEX($W$2:$W$1001,MATCH(ROWS($V$2:V603),$V$2:$V$1001,0),1)&gt;=100000,INDEX($AC$1005:$AS$1005,1,MATCH(COLUMNS($AC$1006:AG1006),$AC$1006:$AS$1006,0))&gt;=100000), " ",IF(INDEX($AC$2:$AS$1001,MATCH(ROWS($V$2:V603),$V$2:$V$1001,0),MATCH(COLUMNS($AC$1006:AG1006),$AC$1006:$AS$1006,0)), HYPERLINK("#",""), HYPERLINK(CONCATENATE("#Metadata!", ADDRESS(INDEX($X$2:$X$1001,MATCH(ROWS($V$2:V603),$V$2:$V$1001,0),0), INDEX($AC$1004:$AS$1004,1,MATCH(COLUMNS($AC$1006:AG1006),$AC$1006:$AS$1006,0)))),"Fix")))</f>
        <v>0</v>
      </c>
      <c r="G603" s="5">
        <f>IF(OR(INDEX($W$2:$W$1001,MATCH(ROWS($V$2:V603),$V$2:$V$1001,0),1)&gt;=100000,INDEX($AC$1005:$AS$1005,1,MATCH(COLUMNS($AC$1006:AH1006),$AC$1006:$AS$1006,0))&gt;=100000), " ",IF(INDEX($AC$2:$AS$1001,MATCH(ROWS($V$2:V603),$V$2:$V$1001,0),MATCH(COLUMNS($AC$1006:AH1006),$AC$1006:$AS$1006,0)), HYPERLINK("#",""), HYPERLINK(CONCATENATE("#Metadata!", ADDRESS(INDEX($X$2:$X$1001,MATCH(ROWS($V$2:V603),$V$2:$V$1001,0),0), INDEX($AC$1004:$AS$1004,1,MATCH(COLUMNS($AC$1006:AH1006),$AC$1006:$AS$1006,0)))),"Fix")))</f>
        <v>0</v>
      </c>
      <c r="H603" s="5">
        <f>IF(OR(INDEX($W$2:$W$1001,MATCH(ROWS($V$2:V603),$V$2:$V$1001,0),1)&gt;=100000,INDEX($AC$1005:$AS$1005,1,MATCH(COLUMNS($AC$1006:AI1006),$AC$1006:$AS$1006,0))&gt;=100000), " ",IF(INDEX($AC$2:$AS$1001,MATCH(ROWS($V$2:V603),$V$2:$V$1001,0),MATCH(COLUMNS($AC$1006:AI1006),$AC$1006:$AS$1006,0)), HYPERLINK("#",""), HYPERLINK(CONCATENATE("#Metadata!", ADDRESS(INDEX($X$2:$X$1001,MATCH(ROWS($V$2:V603),$V$2:$V$1001,0),0), INDEX($AC$1004:$AS$1004,1,MATCH(COLUMNS($AC$1006:AI1006),$AC$1006:$AS$1006,0)))),"Fix")))</f>
        <v>0</v>
      </c>
      <c r="I603" s="5">
        <f>IF(OR(INDEX($W$2:$W$1001,MATCH(ROWS($V$2:V603),$V$2:$V$1001,0),1)&gt;=100000,INDEX($AC$1005:$AS$1005,1,MATCH(COLUMNS($AC$1006:AJ1006),$AC$1006:$AS$1006,0))&gt;=100000), " ",IF(INDEX($AC$2:$AS$1001,MATCH(ROWS($V$2:V603),$V$2:$V$1001,0),MATCH(COLUMNS($AC$1006:AJ1006),$AC$1006:$AS$1006,0)), HYPERLINK("#",""), HYPERLINK(CONCATENATE("#Metadata!", ADDRESS(INDEX($X$2:$X$1001,MATCH(ROWS($V$2:V603),$V$2:$V$1001,0),0), INDEX($AC$1004:$AS$1004,1,MATCH(COLUMNS($AC$1006:AJ1006),$AC$1006:$AS$1006,0)))),"Fix")))</f>
        <v>0</v>
      </c>
      <c r="J603" s="5">
        <f>IF(OR(INDEX($W$2:$W$1001,MATCH(ROWS($V$2:V603),$V$2:$V$1001,0),1)&gt;=100000,INDEX($AC$1005:$AS$1005,1,MATCH(COLUMNS($AC$1006:AK1006),$AC$1006:$AS$1006,0))&gt;=100000), " ",IF(INDEX($AC$2:$AS$1001,MATCH(ROWS($V$2:V603),$V$2:$V$1001,0),MATCH(COLUMNS($AC$1006:AK1006),$AC$1006:$AS$1006,0)), HYPERLINK("#",""), HYPERLINK(CONCATENATE("#Metadata!", ADDRESS(INDEX($X$2:$X$1001,MATCH(ROWS($V$2:V603),$V$2:$V$1001,0),0), INDEX($AC$1004:$AS$1004,1,MATCH(COLUMNS($AC$1006:AK1006),$AC$1006:$AS$1006,0)))),"Fix")))</f>
        <v>0</v>
      </c>
      <c r="K603" s="5">
        <f>IF(OR(INDEX($W$2:$W$1001,MATCH(ROWS($V$2:V603),$V$2:$V$1001,0),1)&gt;=100000,INDEX($AC$1005:$AS$1005,1,MATCH(COLUMNS($AC$1006:AL1006),$AC$1006:$AS$1006,0))&gt;=100000), " ",IF(INDEX($AC$2:$AS$1001,MATCH(ROWS($V$2:V603),$V$2:$V$1001,0),MATCH(COLUMNS($AC$1006:AL1006),$AC$1006:$AS$1006,0)), HYPERLINK("#",""), HYPERLINK(CONCATENATE("#Metadata!", ADDRESS(INDEX($X$2:$X$1001,MATCH(ROWS($V$2:V603),$V$2:$V$1001,0),0), INDEX($AC$1004:$AS$1004,1,MATCH(COLUMNS($AC$1006:AL1006),$AC$1006:$AS$1006,0)))),"Fix")))</f>
        <v>0</v>
      </c>
      <c r="L603" s="5">
        <f>IF(OR(INDEX($W$2:$W$1001,MATCH(ROWS($V$2:V603),$V$2:$V$1001,0),1)&gt;=100000,INDEX($AC$1005:$AS$1005,1,MATCH(COLUMNS($AC$1006:AM1006),$AC$1006:$AS$1006,0))&gt;=100000), " ",IF(INDEX($AC$2:$AS$1001,MATCH(ROWS($V$2:V603),$V$2:$V$1001,0),MATCH(COLUMNS($AC$1006:AM1006),$AC$1006:$AS$1006,0)), HYPERLINK("#",""), HYPERLINK(CONCATENATE("#Metadata!", ADDRESS(INDEX($X$2:$X$1001,MATCH(ROWS($V$2:V603),$V$2:$V$1001,0),0), INDEX($AC$1004:$AS$1004,1,MATCH(COLUMNS($AC$1006:AM1006),$AC$1006:$AS$1006,0)))),"Fix")))</f>
        <v>0</v>
      </c>
      <c r="M603" s="5">
        <f>IF(OR(INDEX($W$2:$W$1001,MATCH(ROWS($V$2:V603),$V$2:$V$1001,0),1)&gt;=100000,INDEX($AC$1005:$AS$1005,1,MATCH(COLUMNS($AC$1006:AN1006),$AC$1006:$AS$1006,0))&gt;=100000), " ",IF(INDEX($AC$2:$AS$1001,MATCH(ROWS($V$2:V603),$V$2:$V$1001,0),MATCH(COLUMNS($AC$1006:AN1006),$AC$1006:$AS$1006,0)), HYPERLINK("#",""), HYPERLINK(CONCATENATE("#Metadata!", ADDRESS(INDEX($X$2:$X$1001,MATCH(ROWS($V$2:V603),$V$2:$V$1001,0),0), INDEX($AC$1004:$AS$1004,1,MATCH(COLUMNS($AC$1006:AN1006),$AC$1006:$AS$1006,0)))),"Fix")))</f>
        <v>0</v>
      </c>
      <c r="N603" s="5">
        <f>IF(OR(INDEX($W$2:$W$1001,MATCH(ROWS($V$2:V603),$V$2:$V$1001,0),1)&gt;=100000,INDEX($AC$1005:$AS$1005,1,MATCH(COLUMNS($AC$1006:AO1006),$AC$1006:$AS$1006,0))&gt;=100000), " ",IF(INDEX($AC$2:$AS$1001,MATCH(ROWS($V$2:V603),$V$2:$V$1001,0),MATCH(COLUMNS($AC$1006:AO1006),$AC$1006:$AS$1006,0)), HYPERLINK("#",""), HYPERLINK(CONCATENATE("#Metadata!", ADDRESS(INDEX($X$2:$X$1001,MATCH(ROWS($V$2:V603),$V$2:$V$1001,0),0), INDEX($AC$1004:$AS$1004,1,MATCH(COLUMNS($AC$1006:AO1006),$AC$1006:$AS$1006,0)))),"Fix")))</f>
        <v>0</v>
      </c>
      <c r="O603" s="5">
        <f>IF(OR(INDEX($W$2:$W$1001,MATCH(ROWS($V$2:V603),$V$2:$V$1001,0),1)&gt;=100000,INDEX($AC$1005:$AS$1005,1,MATCH(COLUMNS($AC$1006:AP1006),$AC$1006:$AS$1006,0))&gt;=100000), " ",IF(INDEX($AC$2:$AS$1001,MATCH(ROWS($V$2:V603),$V$2:$V$1001,0),MATCH(COLUMNS($AC$1006:AP1006),$AC$1006:$AS$1006,0)), HYPERLINK("#",""), HYPERLINK(CONCATENATE("#Metadata!", ADDRESS(INDEX($X$2:$X$1001,MATCH(ROWS($V$2:V603),$V$2:$V$1001,0),0), INDEX($AC$1004:$AS$1004,1,MATCH(COLUMNS($AC$1006:AP1006),$AC$1006:$AS$1006,0)))),"Fix")))</f>
        <v>0</v>
      </c>
      <c r="P603" s="5">
        <f>IF(OR(INDEX($W$2:$W$1001,MATCH(ROWS($V$2:V603),$V$2:$V$1001,0),1)&gt;=100000,INDEX($AC$1005:$AS$1005,1,MATCH(COLUMNS($AC$1006:AQ1006),$AC$1006:$AS$1006,0))&gt;=100000), " ",IF(INDEX($AC$2:$AS$1001,MATCH(ROWS($V$2:V603),$V$2:$V$1001,0),MATCH(COLUMNS($AC$1006:AQ1006),$AC$1006:$AS$1006,0)), HYPERLINK("#",""), HYPERLINK(CONCATENATE("#Metadata!", ADDRESS(INDEX($X$2:$X$1001,MATCH(ROWS($V$2:V603),$V$2:$V$1001,0),0), INDEX($AC$1004:$AS$1004,1,MATCH(COLUMNS($AC$1006:AQ1006),$AC$1006:$AS$1006,0)))),"Fix")))</f>
        <v>0</v>
      </c>
      <c r="Q603" s="5">
        <f>IF(OR(INDEX($W$2:$W$1001,MATCH(ROWS($V$2:V603),$V$2:$V$1001,0),1)&gt;=100000,INDEX($AC$1005:$AS$1005,1,MATCH(COLUMNS($AC$1006:AR1006),$AC$1006:$AS$1006,0))&gt;=100000), " ",IF(INDEX($AC$2:$AS$1001,MATCH(ROWS($V$2:V603),$V$2:$V$1001,0),MATCH(COLUMNS($AC$1006:AR1006),$AC$1006:$AS$1006,0)), HYPERLINK("#",""), HYPERLINK(CONCATENATE("#Metadata!", ADDRESS(INDEX($X$2:$X$1001,MATCH(ROWS($V$2:V603),$V$2:$V$1001,0),0), INDEX($AC$1004:$AS$1004,1,MATCH(COLUMNS($AC$1006:AR1006),$AC$1006:$AS$1006,0)))),"Fix")))</f>
        <v>0</v>
      </c>
      <c r="R603" s="5">
        <f>IF(OR(INDEX($W$2:$W$1001,MATCH(ROWS($V$2:V603),$V$2:$V$1001,0),1)&gt;=100000,INDEX($AC$1005:$AS$1005,1,MATCH(COLUMNS($AC$1006:AS1006),$AC$1006:$AS$1006,0))&gt;=100000), " ",IF(INDEX($AC$2:$AS$1001,MATCH(ROWS($V$2:V603),$V$2:$V$1001,0),MATCH(COLUMNS($AC$1006:AS1006),$AC$1006:$AS$1006,0)), HYPERLINK("#",""), HYPERLINK(CONCATENATE("#Metadata!", ADDRESS(INDEX($X$2:$X$1001,MATCH(ROWS($V$2:V603),$V$2:$V$1001,0),0), INDEX($AC$1004:$AS$1004,1,MATCH(COLUMNS($AC$1006:AS1006),$AC$1006:$AS$1006,0)))),"Fix")))</f>
        <v>0</v>
      </c>
      <c r="V603">
        <v>0</v>
      </c>
      <c r="W603">
        <v>0</v>
      </c>
      <c r="X603">
        <v>0</v>
      </c>
      <c r="Y603">
        <f>IF(Z603,TRUE,AND(AC603:AS603))</f>
        <v>0</v>
      </c>
      <c r="Z603">
        <f>COUNTBLANK(Metadata!B603:R603)=COLUMNS(Metadata!B603:R603)</f>
        <v>0</v>
      </c>
      <c r="AA603">
        <v>0</v>
      </c>
      <c r="AC603">
        <f>AND(IF(Metadata!B603="",FALSE,TRUE),COUNTIF(Metadata!B:B, Metadata!B603) = 1,NOT(ISERROR(SUMPRODUCT(SEARCH(MID(Metadata!B603,ROW(INDIRECT("1:"&amp;LEN(Metadata!B603))), 1),"0123456789abcdefghijklmnopqrstuvwxyzABCDEFGHIJKLMNOPQRSTUVWXYZ.")))))</f>
        <v>0</v>
      </c>
      <c r="AD603">
        <f>AND(IF(Metadata!C603="",FALSE,TRUE),exact(Metadata!C603,"Host-associated"))</f>
        <v>0</v>
      </c>
      <c r="AE603">
        <f>AND(IF(Metadata!D603="",FALSE,TRUE),OR(exact(Metadata!D603,"Animal"),exact(Metadata!D603,"Fungus"),exact(Metadata!D603,"Plant")))</f>
        <v>0</v>
      </c>
      <c r="AF603">
        <f>AND(IF(Metadata!E603="",FALSE,TRUE),OR(exact(Metadata!E603,"Plant secretion"),exact(Metadata!E603,"Plant rhizosphere"),exact(Metadata!E603,"Plant surface"),exact(Metadata!E603,"Plant corpus"),exact(Metadata!E603,"Fungus surface"),exact(Metadata!E603,"Fungus corpus"),exact(Metadata!E603,"Animal surface"),exact(Metadata!E603,"Animal proximal gut"),exact(Metadata!E603,"Animal corpus"),exact(Metadata!E603,"Animal distal gut"),exact(Metadata!E603,"Animal secretion")))</f>
        <v>0</v>
      </c>
      <c r="AG603">
        <f>OR(AND(IF(Metadata!F603="",FALSE,TRUE),OR(exact(Metadata!F603,"not collected"),exact(Metadata!F603,"not provided"),exact(Metadata!F603,"restricted access"))),AND(IF(Metadata!F603="",FALSE,TRUE),OR(exact(Metadata!F603,"organism-associated habitat"),exact(Metadata!F603,"plant-associated habitat"),exact(Metadata!F603,"animal-associated habitat"),exact(Metadata!F603,"insecta-associated habitat"),exact(Metadata!F603,"mammalia-associated habitat"),exact(Metadata!F603,"human-associated habitat"),exact(Metadata!F603,"livestock-associated habitat"))))</f>
        <v>0</v>
      </c>
      <c r="AH603">
        <f>AND(IF(Metadata!G603="",FALSE,TRUE),exact(Metadata!G603,"host-associated"))</f>
        <v>0</v>
      </c>
      <c r="AI603">
        <f>OR(AND(IF(Metadata!H603="",FALSE,TRUE),OR(exact(Metadata!H603,"not collected"),exact(Metadata!H603,"not provided"))),AND(IF(Metadata!H603="",FALSE,ISNUMBER(VALUE(Metadata!H603))),Metadata!H603&gt;0))</f>
        <v>0</v>
      </c>
      <c r="AJ603">
        <f>AND(IF(Metadata!I603="",FALSE,TRUE),exact(Metadata!I603,"years"))</f>
        <v>0</v>
      </c>
      <c r="AK603">
        <f>IF(Metadata!J603="",FALSE,TRUE)</f>
        <v>0</v>
      </c>
      <c r="AL603">
        <f>OR(AND(IF(Metadata!K603="",FALSE,TRUE),OR(exact(Metadata!K603,"not collected"),exact(Metadata!K603,"not provided"))),AND(IF(Metadata!K603="",FALSE,ISNUMBER(VALUE(Metadata!K603))),Metadata!K603&gt;0))</f>
        <v>0</v>
      </c>
      <c r="AM603">
        <f>AND(IF(Metadata!L603="",FALSE,TRUE),exact(Metadata!L603,"cm"))</f>
        <v>0</v>
      </c>
      <c r="AN603">
        <f>IF(Metadata!M603="",FALSE,TRUE)</f>
        <v>0</v>
      </c>
      <c r="AO603">
        <f>OR(AND(IF(Metadata!N603="",FALSE,TRUE),OR(exact(Metadata!N603,"not applicable"),exact(Metadata!N603,"not collected"),exact(Metadata!N603,"not provided"))),AND(IF(Metadata!N603="",FALSE,IF(ISERROR(INT(Metadata!N603)),FALSE,INT(Metadata!N603)=Metadata!N603)),Metadata!N603&gt;0))</f>
        <v>0</v>
      </c>
      <c r="AP603">
        <f>OR(AND(IF(Metadata!O603="",FALSE,TRUE),OR(exact(Metadata!O603,"not collected"),exact(Metadata!O603,"not provided"))),AND(IF(Metadata!O603="",FALSE,ISNUMBER(VALUE(Metadata!O603))),Metadata!O603&gt;0))</f>
        <v>0</v>
      </c>
      <c r="AQ603">
        <f>AND(IF(Metadata!P603="",FALSE,TRUE),exact(Metadata!P603,"kg"))</f>
        <v>0</v>
      </c>
      <c r="AR603">
        <f>OR(AND(IF(Metadata!Q603="",FALSE,TRUE),OR(exact(Metadata!Q603,"not applicable"),exact(Metadata!Q603,"not collected"),exact(Metadata!Q603,"not provided"),exact(Metadata!Q603,"restricted access"))),IF(Metadata!Q603="",FALSE,IF(ISERROR(INT(Metadata!Q603)),FALSE,INT(Metadata!Q603)=Metadata!Q603)))</f>
        <v>0</v>
      </c>
      <c r="AS603">
        <f>AND(IF(Metadata!R603="",FALSE,TRUE),exact(Metadata!R603,"Not applicable"))</f>
        <v>0</v>
      </c>
    </row>
    <row r="604" spans="1:45">
      <c r="A604" s="4">
        <f>IF(B604=" "," ",HYPERLINK(CONCATENATE("#metadata!",ADDRESS(INDEX($X$2:$X$1001,MATCH(ROWS($V$2:V604),$V$2:$V$1001,0),0),2)),INDEX($AA$2:$AA$1001,MATCH(ROWS($V$2:V604),$V$2:$V$1001,0),0)))</f>
        <v>0</v>
      </c>
      <c r="B604" s="5">
        <f>IF(OR(INDEX($W$2:$W$1001,MATCH(ROWS($V$2:V604),$V$2:$V$1001,0),1)&gt;=100000,INDEX($AC$1005:$AS$1005,1,MATCH(COLUMNS($AC$1006:AC1006),$AC$1006:$AS$1006,0))&gt;=100000), " ",IF(INDEX($AC$2:$AS$1001,MATCH(ROWS($V$2:V604),$V$2:$V$1001,0),MATCH(COLUMNS($AC$1006:AC1006),$AC$1006:$AS$1006,0)), HYPERLINK("#",""), HYPERLINK(CONCATENATE("#Metadata!", ADDRESS(INDEX($X$2:$X$1001,MATCH(ROWS($V$2:V604),$V$2:$V$1001,0),0), INDEX($AC$1004:$AS$1004,1,MATCH(COLUMNS($AC$1006:AC1006),$AC$1006:$AS$1006,0)))),"Fix")))</f>
        <v>0</v>
      </c>
      <c r="C604" s="5">
        <f>IF(OR(INDEX($W$2:$W$1001,MATCH(ROWS($V$2:V604),$V$2:$V$1001,0),1)&gt;=100000,INDEX($AC$1005:$AS$1005,1,MATCH(COLUMNS($AC$1006:AD1006),$AC$1006:$AS$1006,0))&gt;=100000), " ",IF(INDEX($AC$2:$AS$1001,MATCH(ROWS($V$2:V604),$V$2:$V$1001,0),MATCH(COLUMNS($AC$1006:AD1006),$AC$1006:$AS$1006,0)), HYPERLINK("#",""), HYPERLINK(CONCATENATE("#Metadata!", ADDRESS(INDEX($X$2:$X$1001,MATCH(ROWS($V$2:V604),$V$2:$V$1001,0),0), INDEX($AC$1004:$AS$1004,1,MATCH(COLUMNS($AC$1006:AD1006),$AC$1006:$AS$1006,0)))),"Fix")))</f>
        <v>0</v>
      </c>
      <c r="D604" s="5">
        <f>IF(OR(INDEX($W$2:$W$1001,MATCH(ROWS($V$2:V604),$V$2:$V$1001,0),1)&gt;=100000,INDEX($AC$1005:$AS$1005,1,MATCH(COLUMNS($AC$1006:AE1006),$AC$1006:$AS$1006,0))&gt;=100000), " ",IF(INDEX($AC$2:$AS$1001,MATCH(ROWS($V$2:V604),$V$2:$V$1001,0),MATCH(COLUMNS($AC$1006:AE1006),$AC$1006:$AS$1006,0)), HYPERLINK("#",""), HYPERLINK(CONCATENATE("#Metadata!", ADDRESS(INDEX($X$2:$X$1001,MATCH(ROWS($V$2:V604),$V$2:$V$1001,0),0), INDEX($AC$1004:$AS$1004,1,MATCH(COLUMNS($AC$1006:AE1006),$AC$1006:$AS$1006,0)))),"Fix")))</f>
        <v>0</v>
      </c>
      <c r="E604" s="5">
        <f>IF(OR(INDEX($W$2:$W$1001,MATCH(ROWS($V$2:V604),$V$2:$V$1001,0),1)&gt;=100000,INDEX($AC$1005:$AS$1005,1,MATCH(COLUMNS($AC$1006:AF1006),$AC$1006:$AS$1006,0))&gt;=100000), " ",IF(INDEX($AC$2:$AS$1001,MATCH(ROWS($V$2:V604),$V$2:$V$1001,0),MATCH(COLUMNS($AC$1006:AF1006),$AC$1006:$AS$1006,0)), HYPERLINK("#",""), HYPERLINK(CONCATENATE("#Metadata!", ADDRESS(INDEX($X$2:$X$1001,MATCH(ROWS($V$2:V604),$V$2:$V$1001,0),0), INDEX($AC$1004:$AS$1004,1,MATCH(COLUMNS($AC$1006:AF1006),$AC$1006:$AS$1006,0)))),"Fix")))</f>
        <v>0</v>
      </c>
      <c r="F604" s="5">
        <f>IF(OR(INDEX($W$2:$W$1001,MATCH(ROWS($V$2:V604),$V$2:$V$1001,0),1)&gt;=100000,INDEX($AC$1005:$AS$1005,1,MATCH(COLUMNS($AC$1006:AG1006),$AC$1006:$AS$1006,0))&gt;=100000), " ",IF(INDEX($AC$2:$AS$1001,MATCH(ROWS($V$2:V604),$V$2:$V$1001,0),MATCH(COLUMNS($AC$1006:AG1006),$AC$1006:$AS$1006,0)), HYPERLINK("#",""), HYPERLINK(CONCATENATE("#Metadata!", ADDRESS(INDEX($X$2:$X$1001,MATCH(ROWS($V$2:V604),$V$2:$V$1001,0),0), INDEX($AC$1004:$AS$1004,1,MATCH(COLUMNS($AC$1006:AG1006),$AC$1006:$AS$1006,0)))),"Fix")))</f>
        <v>0</v>
      </c>
      <c r="G604" s="5">
        <f>IF(OR(INDEX($W$2:$W$1001,MATCH(ROWS($V$2:V604),$V$2:$V$1001,0),1)&gt;=100000,INDEX($AC$1005:$AS$1005,1,MATCH(COLUMNS($AC$1006:AH1006),$AC$1006:$AS$1006,0))&gt;=100000), " ",IF(INDEX($AC$2:$AS$1001,MATCH(ROWS($V$2:V604),$V$2:$V$1001,0),MATCH(COLUMNS($AC$1006:AH1006),$AC$1006:$AS$1006,0)), HYPERLINK("#",""), HYPERLINK(CONCATENATE("#Metadata!", ADDRESS(INDEX($X$2:$X$1001,MATCH(ROWS($V$2:V604),$V$2:$V$1001,0),0), INDEX($AC$1004:$AS$1004,1,MATCH(COLUMNS($AC$1006:AH1006),$AC$1006:$AS$1006,0)))),"Fix")))</f>
        <v>0</v>
      </c>
      <c r="H604" s="5">
        <f>IF(OR(INDEX($W$2:$W$1001,MATCH(ROWS($V$2:V604),$V$2:$V$1001,0),1)&gt;=100000,INDEX($AC$1005:$AS$1005,1,MATCH(COLUMNS($AC$1006:AI1006),$AC$1006:$AS$1006,0))&gt;=100000), " ",IF(INDEX($AC$2:$AS$1001,MATCH(ROWS($V$2:V604),$V$2:$V$1001,0),MATCH(COLUMNS($AC$1006:AI1006),$AC$1006:$AS$1006,0)), HYPERLINK("#",""), HYPERLINK(CONCATENATE("#Metadata!", ADDRESS(INDEX($X$2:$X$1001,MATCH(ROWS($V$2:V604),$V$2:$V$1001,0),0), INDEX($AC$1004:$AS$1004,1,MATCH(COLUMNS($AC$1006:AI1006),$AC$1006:$AS$1006,0)))),"Fix")))</f>
        <v>0</v>
      </c>
      <c r="I604" s="5">
        <f>IF(OR(INDEX($W$2:$W$1001,MATCH(ROWS($V$2:V604),$V$2:$V$1001,0),1)&gt;=100000,INDEX($AC$1005:$AS$1005,1,MATCH(COLUMNS($AC$1006:AJ1006),$AC$1006:$AS$1006,0))&gt;=100000), " ",IF(INDEX($AC$2:$AS$1001,MATCH(ROWS($V$2:V604),$V$2:$V$1001,0),MATCH(COLUMNS($AC$1006:AJ1006),$AC$1006:$AS$1006,0)), HYPERLINK("#",""), HYPERLINK(CONCATENATE("#Metadata!", ADDRESS(INDEX($X$2:$X$1001,MATCH(ROWS($V$2:V604),$V$2:$V$1001,0),0), INDEX($AC$1004:$AS$1004,1,MATCH(COLUMNS($AC$1006:AJ1006),$AC$1006:$AS$1006,0)))),"Fix")))</f>
        <v>0</v>
      </c>
      <c r="J604" s="5">
        <f>IF(OR(INDEX($W$2:$W$1001,MATCH(ROWS($V$2:V604),$V$2:$V$1001,0),1)&gt;=100000,INDEX($AC$1005:$AS$1005,1,MATCH(COLUMNS($AC$1006:AK1006),$AC$1006:$AS$1006,0))&gt;=100000), " ",IF(INDEX($AC$2:$AS$1001,MATCH(ROWS($V$2:V604),$V$2:$V$1001,0),MATCH(COLUMNS($AC$1006:AK1006),$AC$1006:$AS$1006,0)), HYPERLINK("#",""), HYPERLINK(CONCATENATE("#Metadata!", ADDRESS(INDEX($X$2:$X$1001,MATCH(ROWS($V$2:V604),$V$2:$V$1001,0),0), INDEX($AC$1004:$AS$1004,1,MATCH(COLUMNS($AC$1006:AK1006),$AC$1006:$AS$1006,0)))),"Fix")))</f>
        <v>0</v>
      </c>
      <c r="K604" s="5">
        <f>IF(OR(INDEX($W$2:$W$1001,MATCH(ROWS($V$2:V604),$V$2:$V$1001,0),1)&gt;=100000,INDEX($AC$1005:$AS$1005,1,MATCH(COLUMNS($AC$1006:AL1006),$AC$1006:$AS$1006,0))&gt;=100000), " ",IF(INDEX($AC$2:$AS$1001,MATCH(ROWS($V$2:V604),$V$2:$V$1001,0),MATCH(COLUMNS($AC$1006:AL1006),$AC$1006:$AS$1006,0)), HYPERLINK("#",""), HYPERLINK(CONCATENATE("#Metadata!", ADDRESS(INDEX($X$2:$X$1001,MATCH(ROWS($V$2:V604),$V$2:$V$1001,0),0), INDEX($AC$1004:$AS$1004,1,MATCH(COLUMNS($AC$1006:AL1006),$AC$1006:$AS$1006,0)))),"Fix")))</f>
        <v>0</v>
      </c>
      <c r="L604" s="5">
        <f>IF(OR(INDEX($W$2:$W$1001,MATCH(ROWS($V$2:V604),$V$2:$V$1001,0),1)&gt;=100000,INDEX($AC$1005:$AS$1005,1,MATCH(COLUMNS($AC$1006:AM1006),$AC$1006:$AS$1006,0))&gt;=100000), " ",IF(INDEX($AC$2:$AS$1001,MATCH(ROWS($V$2:V604),$V$2:$V$1001,0),MATCH(COLUMNS($AC$1006:AM1006),$AC$1006:$AS$1006,0)), HYPERLINK("#",""), HYPERLINK(CONCATENATE("#Metadata!", ADDRESS(INDEX($X$2:$X$1001,MATCH(ROWS($V$2:V604),$V$2:$V$1001,0),0), INDEX($AC$1004:$AS$1004,1,MATCH(COLUMNS($AC$1006:AM1006),$AC$1006:$AS$1006,0)))),"Fix")))</f>
        <v>0</v>
      </c>
      <c r="M604" s="5">
        <f>IF(OR(INDEX($W$2:$W$1001,MATCH(ROWS($V$2:V604),$V$2:$V$1001,0),1)&gt;=100000,INDEX($AC$1005:$AS$1005,1,MATCH(COLUMNS($AC$1006:AN1006),$AC$1006:$AS$1006,0))&gt;=100000), " ",IF(INDEX($AC$2:$AS$1001,MATCH(ROWS($V$2:V604),$V$2:$V$1001,0),MATCH(COLUMNS($AC$1006:AN1006),$AC$1006:$AS$1006,0)), HYPERLINK("#",""), HYPERLINK(CONCATENATE("#Metadata!", ADDRESS(INDEX($X$2:$X$1001,MATCH(ROWS($V$2:V604),$V$2:$V$1001,0),0), INDEX($AC$1004:$AS$1004,1,MATCH(COLUMNS($AC$1006:AN1006),$AC$1006:$AS$1006,0)))),"Fix")))</f>
        <v>0</v>
      </c>
      <c r="N604" s="5">
        <f>IF(OR(INDEX($W$2:$W$1001,MATCH(ROWS($V$2:V604),$V$2:$V$1001,0),1)&gt;=100000,INDEX($AC$1005:$AS$1005,1,MATCH(COLUMNS($AC$1006:AO1006),$AC$1006:$AS$1006,0))&gt;=100000), " ",IF(INDEX($AC$2:$AS$1001,MATCH(ROWS($V$2:V604),$V$2:$V$1001,0),MATCH(COLUMNS($AC$1006:AO1006),$AC$1006:$AS$1006,0)), HYPERLINK("#",""), HYPERLINK(CONCATENATE("#Metadata!", ADDRESS(INDEX($X$2:$X$1001,MATCH(ROWS($V$2:V604),$V$2:$V$1001,0),0), INDEX($AC$1004:$AS$1004,1,MATCH(COLUMNS($AC$1006:AO1006),$AC$1006:$AS$1006,0)))),"Fix")))</f>
        <v>0</v>
      </c>
      <c r="O604" s="5">
        <f>IF(OR(INDEX($W$2:$W$1001,MATCH(ROWS($V$2:V604),$V$2:$V$1001,0),1)&gt;=100000,INDEX($AC$1005:$AS$1005,1,MATCH(COLUMNS($AC$1006:AP1006),$AC$1006:$AS$1006,0))&gt;=100000), " ",IF(INDEX($AC$2:$AS$1001,MATCH(ROWS($V$2:V604),$V$2:$V$1001,0),MATCH(COLUMNS($AC$1006:AP1006),$AC$1006:$AS$1006,0)), HYPERLINK("#",""), HYPERLINK(CONCATENATE("#Metadata!", ADDRESS(INDEX($X$2:$X$1001,MATCH(ROWS($V$2:V604),$V$2:$V$1001,0),0), INDEX($AC$1004:$AS$1004,1,MATCH(COLUMNS($AC$1006:AP1006),$AC$1006:$AS$1006,0)))),"Fix")))</f>
        <v>0</v>
      </c>
      <c r="P604" s="5">
        <f>IF(OR(INDEX($W$2:$W$1001,MATCH(ROWS($V$2:V604),$V$2:$V$1001,0),1)&gt;=100000,INDEX($AC$1005:$AS$1005,1,MATCH(COLUMNS($AC$1006:AQ1006),$AC$1006:$AS$1006,0))&gt;=100000), " ",IF(INDEX($AC$2:$AS$1001,MATCH(ROWS($V$2:V604),$V$2:$V$1001,0),MATCH(COLUMNS($AC$1006:AQ1006),$AC$1006:$AS$1006,0)), HYPERLINK("#",""), HYPERLINK(CONCATENATE("#Metadata!", ADDRESS(INDEX($X$2:$X$1001,MATCH(ROWS($V$2:V604),$V$2:$V$1001,0),0), INDEX($AC$1004:$AS$1004,1,MATCH(COLUMNS($AC$1006:AQ1006),$AC$1006:$AS$1006,0)))),"Fix")))</f>
        <v>0</v>
      </c>
      <c r="Q604" s="5">
        <f>IF(OR(INDEX($W$2:$W$1001,MATCH(ROWS($V$2:V604),$V$2:$V$1001,0),1)&gt;=100000,INDEX($AC$1005:$AS$1005,1,MATCH(COLUMNS($AC$1006:AR1006),$AC$1006:$AS$1006,0))&gt;=100000), " ",IF(INDEX($AC$2:$AS$1001,MATCH(ROWS($V$2:V604),$V$2:$V$1001,0),MATCH(COLUMNS($AC$1006:AR1006),$AC$1006:$AS$1006,0)), HYPERLINK("#",""), HYPERLINK(CONCATENATE("#Metadata!", ADDRESS(INDEX($X$2:$X$1001,MATCH(ROWS($V$2:V604),$V$2:$V$1001,0),0), INDEX($AC$1004:$AS$1004,1,MATCH(COLUMNS($AC$1006:AR1006),$AC$1006:$AS$1006,0)))),"Fix")))</f>
        <v>0</v>
      </c>
      <c r="R604" s="5">
        <f>IF(OR(INDEX($W$2:$W$1001,MATCH(ROWS($V$2:V604),$V$2:$V$1001,0),1)&gt;=100000,INDEX($AC$1005:$AS$1005,1,MATCH(COLUMNS($AC$1006:AS1006),$AC$1006:$AS$1006,0))&gt;=100000), " ",IF(INDEX($AC$2:$AS$1001,MATCH(ROWS($V$2:V604),$V$2:$V$1001,0),MATCH(COLUMNS($AC$1006:AS1006),$AC$1006:$AS$1006,0)), HYPERLINK("#",""), HYPERLINK(CONCATENATE("#Metadata!", ADDRESS(INDEX($X$2:$X$1001,MATCH(ROWS($V$2:V604),$V$2:$V$1001,0),0), INDEX($AC$1004:$AS$1004,1,MATCH(COLUMNS($AC$1006:AS1006),$AC$1006:$AS$1006,0)))),"Fix")))</f>
        <v>0</v>
      </c>
      <c r="V604">
        <v>0</v>
      </c>
      <c r="W604">
        <v>0</v>
      </c>
      <c r="X604">
        <v>0</v>
      </c>
      <c r="Y604">
        <f>IF(Z604,TRUE,AND(AC604:AS604))</f>
        <v>0</v>
      </c>
      <c r="Z604">
        <f>COUNTBLANK(Metadata!B604:R604)=COLUMNS(Metadata!B604:R604)</f>
        <v>0</v>
      </c>
      <c r="AA604">
        <v>0</v>
      </c>
      <c r="AC604">
        <f>AND(IF(Metadata!B604="",FALSE,TRUE),COUNTIF(Metadata!B:B, Metadata!B604) = 1,NOT(ISERROR(SUMPRODUCT(SEARCH(MID(Metadata!B604,ROW(INDIRECT("1:"&amp;LEN(Metadata!B604))), 1),"0123456789abcdefghijklmnopqrstuvwxyzABCDEFGHIJKLMNOPQRSTUVWXYZ.")))))</f>
        <v>0</v>
      </c>
      <c r="AD604">
        <f>AND(IF(Metadata!C604="",FALSE,TRUE),exact(Metadata!C604,"Host-associated"))</f>
        <v>0</v>
      </c>
      <c r="AE604">
        <f>AND(IF(Metadata!D604="",FALSE,TRUE),OR(exact(Metadata!D604,"Animal"),exact(Metadata!D604,"Fungus"),exact(Metadata!D604,"Plant")))</f>
        <v>0</v>
      </c>
      <c r="AF604">
        <f>AND(IF(Metadata!E604="",FALSE,TRUE),OR(exact(Metadata!E604,"Plant secretion"),exact(Metadata!E604,"Plant rhizosphere"),exact(Metadata!E604,"Plant surface"),exact(Metadata!E604,"Plant corpus"),exact(Metadata!E604,"Fungus surface"),exact(Metadata!E604,"Fungus corpus"),exact(Metadata!E604,"Animal surface"),exact(Metadata!E604,"Animal proximal gut"),exact(Metadata!E604,"Animal corpus"),exact(Metadata!E604,"Animal distal gut"),exact(Metadata!E604,"Animal secretion")))</f>
        <v>0</v>
      </c>
      <c r="AG604">
        <f>OR(AND(IF(Metadata!F604="",FALSE,TRUE),OR(exact(Metadata!F604,"not collected"),exact(Metadata!F604,"not provided"),exact(Metadata!F604,"restricted access"))),AND(IF(Metadata!F604="",FALSE,TRUE),OR(exact(Metadata!F604,"organism-associated habitat"),exact(Metadata!F604,"plant-associated habitat"),exact(Metadata!F604,"animal-associated habitat"),exact(Metadata!F604,"insecta-associated habitat"),exact(Metadata!F604,"mammalia-associated habitat"),exact(Metadata!F604,"human-associated habitat"),exact(Metadata!F604,"livestock-associated habitat"))))</f>
        <v>0</v>
      </c>
      <c r="AH604">
        <f>AND(IF(Metadata!G604="",FALSE,TRUE),exact(Metadata!G604,"host-associated"))</f>
        <v>0</v>
      </c>
      <c r="AI604">
        <f>OR(AND(IF(Metadata!H604="",FALSE,TRUE),OR(exact(Metadata!H604,"not collected"),exact(Metadata!H604,"not provided"))),AND(IF(Metadata!H604="",FALSE,ISNUMBER(VALUE(Metadata!H604))),Metadata!H604&gt;0))</f>
        <v>0</v>
      </c>
      <c r="AJ604">
        <f>AND(IF(Metadata!I604="",FALSE,TRUE),exact(Metadata!I604,"years"))</f>
        <v>0</v>
      </c>
      <c r="AK604">
        <f>IF(Metadata!J604="",FALSE,TRUE)</f>
        <v>0</v>
      </c>
      <c r="AL604">
        <f>OR(AND(IF(Metadata!K604="",FALSE,TRUE),OR(exact(Metadata!K604,"not collected"),exact(Metadata!K604,"not provided"))),AND(IF(Metadata!K604="",FALSE,ISNUMBER(VALUE(Metadata!K604))),Metadata!K604&gt;0))</f>
        <v>0</v>
      </c>
      <c r="AM604">
        <f>AND(IF(Metadata!L604="",FALSE,TRUE),exact(Metadata!L604,"cm"))</f>
        <v>0</v>
      </c>
      <c r="AN604">
        <f>IF(Metadata!M604="",FALSE,TRUE)</f>
        <v>0</v>
      </c>
      <c r="AO604">
        <f>OR(AND(IF(Metadata!N604="",FALSE,TRUE),OR(exact(Metadata!N604,"not applicable"),exact(Metadata!N604,"not collected"),exact(Metadata!N604,"not provided"))),AND(IF(Metadata!N604="",FALSE,IF(ISERROR(INT(Metadata!N604)),FALSE,INT(Metadata!N604)=Metadata!N604)),Metadata!N604&gt;0))</f>
        <v>0</v>
      </c>
      <c r="AP604">
        <f>OR(AND(IF(Metadata!O604="",FALSE,TRUE),OR(exact(Metadata!O604,"not collected"),exact(Metadata!O604,"not provided"))),AND(IF(Metadata!O604="",FALSE,ISNUMBER(VALUE(Metadata!O604))),Metadata!O604&gt;0))</f>
        <v>0</v>
      </c>
      <c r="AQ604">
        <f>AND(IF(Metadata!P604="",FALSE,TRUE),exact(Metadata!P604,"kg"))</f>
        <v>0</v>
      </c>
      <c r="AR604">
        <f>OR(AND(IF(Metadata!Q604="",FALSE,TRUE),OR(exact(Metadata!Q604,"not applicable"),exact(Metadata!Q604,"not collected"),exact(Metadata!Q604,"not provided"),exact(Metadata!Q604,"restricted access"))),IF(Metadata!Q604="",FALSE,IF(ISERROR(INT(Metadata!Q604)),FALSE,INT(Metadata!Q604)=Metadata!Q604)))</f>
        <v>0</v>
      </c>
      <c r="AS604">
        <f>AND(IF(Metadata!R604="",FALSE,TRUE),exact(Metadata!R604,"Not applicable"))</f>
        <v>0</v>
      </c>
    </row>
    <row r="605" spans="1:45">
      <c r="A605" s="4">
        <f>IF(B605=" "," ",HYPERLINK(CONCATENATE("#metadata!",ADDRESS(INDEX($X$2:$X$1001,MATCH(ROWS($V$2:V605),$V$2:$V$1001,0),0),2)),INDEX($AA$2:$AA$1001,MATCH(ROWS($V$2:V605),$V$2:$V$1001,0),0)))</f>
        <v>0</v>
      </c>
      <c r="B605" s="5">
        <f>IF(OR(INDEX($W$2:$W$1001,MATCH(ROWS($V$2:V605),$V$2:$V$1001,0),1)&gt;=100000,INDEX($AC$1005:$AS$1005,1,MATCH(COLUMNS($AC$1006:AC1006),$AC$1006:$AS$1006,0))&gt;=100000), " ",IF(INDEX($AC$2:$AS$1001,MATCH(ROWS($V$2:V605),$V$2:$V$1001,0),MATCH(COLUMNS($AC$1006:AC1006),$AC$1006:$AS$1006,0)), HYPERLINK("#",""), HYPERLINK(CONCATENATE("#Metadata!", ADDRESS(INDEX($X$2:$X$1001,MATCH(ROWS($V$2:V605),$V$2:$V$1001,0),0), INDEX($AC$1004:$AS$1004,1,MATCH(COLUMNS($AC$1006:AC1006),$AC$1006:$AS$1006,0)))),"Fix")))</f>
        <v>0</v>
      </c>
      <c r="C605" s="5">
        <f>IF(OR(INDEX($W$2:$W$1001,MATCH(ROWS($V$2:V605),$V$2:$V$1001,0),1)&gt;=100000,INDEX($AC$1005:$AS$1005,1,MATCH(COLUMNS($AC$1006:AD1006),$AC$1006:$AS$1006,0))&gt;=100000), " ",IF(INDEX($AC$2:$AS$1001,MATCH(ROWS($V$2:V605),$V$2:$V$1001,0),MATCH(COLUMNS($AC$1006:AD1006),$AC$1006:$AS$1006,0)), HYPERLINK("#",""), HYPERLINK(CONCATENATE("#Metadata!", ADDRESS(INDEX($X$2:$X$1001,MATCH(ROWS($V$2:V605),$V$2:$V$1001,0),0), INDEX($AC$1004:$AS$1004,1,MATCH(COLUMNS($AC$1006:AD1006),$AC$1006:$AS$1006,0)))),"Fix")))</f>
        <v>0</v>
      </c>
      <c r="D605" s="5">
        <f>IF(OR(INDEX($W$2:$W$1001,MATCH(ROWS($V$2:V605),$V$2:$V$1001,0),1)&gt;=100000,INDEX($AC$1005:$AS$1005,1,MATCH(COLUMNS($AC$1006:AE1006),$AC$1006:$AS$1006,0))&gt;=100000), " ",IF(INDEX($AC$2:$AS$1001,MATCH(ROWS($V$2:V605),$V$2:$V$1001,0),MATCH(COLUMNS($AC$1006:AE1006),$AC$1006:$AS$1006,0)), HYPERLINK("#",""), HYPERLINK(CONCATENATE("#Metadata!", ADDRESS(INDEX($X$2:$X$1001,MATCH(ROWS($V$2:V605),$V$2:$V$1001,0),0), INDEX($AC$1004:$AS$1004,1,MATCH(COLUMNS($AC$1006:AE1006),$AC$1006:$AS$1006,0)))),"Fix")))</f>
        <v>0</v>
      </c>
      <c r="E605" s="5">
        <f>IF(OR(INDEX($W$2:$W$1001,MATCH(ROWS($V$2:V605),$V$2:$V$1001,0),1)&gt;=100000,INDEX($AC$1005:$AS$1005,1,MATCH(COLUMNS($AC$1006:AF1006),$AC$1006:$AS$1006,0))&gt;=100000), " ",IF(INDEX($AC$2:$AS$1001,MATCH(ROWS($V$2:V605),$V$2:$V$1001,0),MATCH(COLUMNS($AC$1006:AF1006),$AC$1006:$AS$1006,0)), HYPERLINK("#",""), HYPERLINK(CONCATENATE("#Metadata!", ADDRESS(INDEX($X$2:$X$1001,MATCH(ROWS($V$2:V605),$V$2:$V$1001,0),0), INDEX($AC$1004:$AS$1004,1,MATCH(COLUMNS($AC$1006:AF1006),$AC$1006:$AS$1006,0)))),"Fix")))</f>
        <v>0</v>
      </c>
      <c r="F605" s="5">
        <f>IF(OR(INDEX($W$2:$W$1001,MATCH(ROWS($V$2:V605),$V$2:$V$1001,0),1)&gt;=100000,INDEX($AC$1005:$AS$1005,1,MATCH(COLUMNS($AC$1006:AG1006),$AC$1006:$AS$1006,0))&gt;=100000), " ",IF(INDEX($AC$2:$AS$1001,MATCH(ROWS($V$2:V605),$V$2:$V$1001,0),MATCH(COLUMNS($AC$1006:AG1006),$AC$1006:$AS$1006,0)), HYPERLINK("#",""), HYPERLINK(CONCATENATE("#Metadata!", ADDRESS(INDEX($X$2:$X$1001,MATCH(ROWS($V$2:V605),$V$2:$V$1001,0),0), INDEX($AC$1004:$AS$1004,1,MATCH(COLUMNS($AC$1006:AG1006),$AC$1006:$AS$1006,0)))),"Fix")))</f>
        <v>0</v>
      </c>
      <c r="G605" s="5">
        <f>IF(OR(INDEX($W$2:$W$1001,MATCH(ROWS($V$2:V605),$V$2:$V$1001,0),1)&gt;=100000,INDEX($AC$1005:$AS$1005,1,MATCH(COLUMNS($AC$1006:AH1006),$AC$1006:$AS$1006,0))&gt;=100000), " ",IF(INDEX($AC$2:$AS$1001,MATCH(ROWS($V$2:V605),$V$2:$V$1001,0),MATCH(COLUMNS($AC$1006:AH1006),$AC$1006:$AS$1006,0)), HYPERLINK("#",""), HYPERLINK(CONCATENATE("#Metadata!", ADDRESS(INDEX($X$2:$X$1001,MATCH(ROWS($V$2:V605),$V$2:$V$1001,0),0), INDEX($AC$1004:$AS$1004,1,MATCH(COLUMNS($AC$1006:AH1006),$AC$1006:$AS$1006,0)))),"Fix")))</f>
        <v>0</v>
      </c>
      <c r="H605" s="5">
        <f>IF(OR(INDEX($W$2:$W$1001,MATCH(ROWS($V$2:V605),$V$2:$V$1001,0),1)&gt;=100000,INDEX($AC$1005:$AS$1005,1,MATCH(COLUMNS($AC$1006:AI1006),$AC$1006:$AS$1006,0))&gt;=100000), " ",IF(INDEX($AC$2:$AS$1001,MATCH(ROWS($V$2:V605),$V$2:$V$1001,0),MATCH(COLUMNS($AC$1006:AI1006),$AC$1006:$AS$1006,0)), HYPERLINK("#",""), HYPERLINK(CONCATENATE("#Metadata!", ADDRESS(INDEX($X$2:$X$1001,MATCH(ROWS($V$2:V605),$V$2:$V$1001,0),0), INDEX($AC$1004:$AS$1004,1,MATCH(COLUMNS($AC$1006:AI1006),$AC$1006:$AS$1006,0)))),"Fix")))</f>
        <v>0</v>
      </c>
      <c r="I605" s="5">
        <f>IF(OR(INDEX($W$2:$W$1001,MATCH(ROWS($V$2:V605),$V$2:$V$1001,0),1)&gt;=100000,INDEX($AC$1005:$AS$1005,1,MATCH(COLUMNS($AC$1006:AJ1006),$AC$1006:$AS$1006,0))&gt;=100000), " ",IF(INDEX($AC$2:$AS$1001,MATCH(ROWS($V$2:V605),$V$2:$V$1001,0),MATCH(COLUMNS($AC$1006:AJ1006),$AC$1006:$AS$1006,0)), HYPERLINK("#",""), HYPERLINK(CONCATENATE("#Metadata!", ADDRESS(INDEX($X$2:$X$1001,MATCH(ROWS($V$2:V605),$V$2:$V$1001,0),0), INDEX($AC$1004:$AS$1004,1,MATCH(COLUMNS($AC$1006:AJ1006),$AC$1006:$AS$1006,0)))),"Fix")))</f>
        <v>0</v>
      </c>
      <c r="J605" s="5">
        <f>IF(OR(INDEX($W$2:$W$1001,MATCH(ROWS($V$2:V605),$V$2:$V$1001,0),1)&gt;=100000,INDEX($AC$1005:$AS$1005,1,MATCH(COLUMNS($AC$1006:AK1006),$AC$1006:$AS$1006,0))&gt;=100000), " ",IF(INDEX($AC$2:$AS$1001,MATCH(ROWS($V$2:V605),$V$2:$V$1001,0),MATCH(COLUMNS($AC$1006:AK1006),$AC$1006:$AS$1006,0)), HYPERLINK("#",""), HYPERLINK(CONCATENATE("#Metadata!", ADDRESS(INDEX($X$2:$X$1001,MATCH(ROWS($V$2:V605),$V$2:$V$1001,0),0), INDEX($AC$1004:$AS$1004,1,MATCH(COLUMNS($AC$1006:AK1006),$AC$1006:$AS$1006,0)))),"Fix")))</f>
        <v>0</v>
      </c>
      <c r="K605" s="5">
        <f>IF(OR(INDEX($W$2:$W$1001,MATCH(ROWS($V$2:V605),$V$2:$V$1001,0),1)&gt;=100000,INDEX($AC$1005:$AS$1005,1,MATCH(COLUMNS($AC$1006:AL1006),$AC$1006:$AS$1006,0))&gt;=100000), " ",IF(INDEX($AC$2:$AS$1001,MATCH(ROWS($V$2:V605),$V$2:$V$1001,0),MATCH(COLUMNS($AC$1006:AL1006),$AC$1006:$AS$1006,0)), HYPERLINK("#",""), HYPERLINK(CONCATENATE("#Metadata!", ADDRESS(INDEX($X$2:$X$1001,MATCH(ROWS($V$2:V605),$V$2:$V$1001,0),0), INDEX($AC$1004:$AS$1004,1,MATCH(COLUMNS($AC$1006:AL1006),$AC$1006:$AS$1006,0)))),"Fix")))</f>
        <v>0</v>
      </c>
      <c r="L605" s="5">
        <f>IF(OR(INDEX($W$2:$W$1001,MATCH(ROWS($V$2:V605),$V$2:$V$1001,0),1)&gt;=100000,INDEX($AC$1005:$AS$1005,1,MATCH(COLUMNS($AC$1006:AM1006),$AC$1006:$AS$1006,0))&gt;=100000), " ",IF(INDEX($AC$2:$AS$1001,MATCH(ROWS($V$2:V605),$V$2:$V$1001,0),MATCH(COLUMNS($AC$1006:AM1006),$AC$1006:$AS$1006,0)), HYPERLINK("#",""), HYPERLINK(CONCATENATE("#Metadata!", ADDRESS(INDEX($X$2:$X$1001,MATCH(ROWS($V$2:V605),$V$2:$V$1001,0),0), INDEX($AC$1004:$AS$1004,1,MATCH(COLUMNS($AC$1006:AM1006),$AC$1006:$AS$1006,0)))),"Fix")))</f>
        <v>0</v>
      </c>
      <c r="M605" s="5">
        <f>IF(OR(INDEX($W$2:$W$1001,MATCH(ROWS($V$2:V605),$V$2:$V$1001,0),1)&gt;=100000,INDEX($AC$1005:$AS$1005,1,MATCH(COLUMNS($AC$1006:AN1006),$AC$1006:$AS$1006,0))&gt;=100000), " ",IF(INDEX($AC$2:$AS$1001,MATCH(ROWS($V$2:V605),$V$2:$V$1001,0),MATCH(COLUMNS($AC$1006:AN1006),$AC$1006:$AS$1006,0)), HYPERLINK("#",""), HYPERLINK(CONCATENATE("#Metadata!", ADDRESS(INDEX($X$2:$X$1001,MATCH(ROWS($V$2:V605),$V$2:$V$1001,0),0), INDEX($AC$1004:$AS$1004,1,MATCH(COLUMNS($AC$1006:AN1006),$AC$1006:$AS$1006,0)))),"Fix")))</f>
        <v>0</v>
      </c>
      <c r="N605" s="5">
        <f>IF(OR(INDEX($W$2:$W$1001,MATCH(ROWS($V$2:V605),$V$2:$V$1001,0),1)&gt;=100000,INDEX($AC$1005:$AS$1005,1,MATCH(COLUMNS($AC$1006:AO1006),$AC$1006:$AS$1006,0))&gt;=100000), " ",IF(INDEX($AC$2:$AS$1001,MATCH(ROWS($V$2:V605),$V$2:$V$1001,0),MATCH(COLUMNS($AC$1006:AO1006),$AC$1006:$AS$1006,0)), HYPERLINK("#",""), HYPERLINK(CONCATENATE("#Metadata!", ADDRESS(INDEX($X$2:$X$1001,MATCH(ROWS($V$2:V605),$V$2:$V$1001,0),0), INDEX($AC$1004:$AS$1004,1,MATCH(COLUMNS($AC$1006:AO1006),$AC$1006:$AS$1006,0)))),"Fix")))</f>
        <v>0</v>
      </c>
      <c r="O605" s="5">
        <f>IF(OR(INDEX($W$2:$W$1001,MATCH(ROWS($V$2:V605),$V$2:$V$1001,0),1)&gt;=100000,INDEX($AC$1005:$AS$1005,1,MATCH(COLUMNS($AC$1006:AP1006),$AC$1006:$AS$1006,0))&gt;=100000), " ",IF(INDEX($AC$2:$AS$1001,MATCH(ROWS($V$2:V605),$V$2:$V$1001,0),MATCH(COLUMNS($AC$1006:AP1006),$AC$1006:$AS$1006,0)), HYPERLINK("#",""), HYPERLINK(CONCATENATE("#Metadata!", ADDRESS(INDEX($X$2:$X$1001,MATCH(ROWS($V$2:V605),$V$2:$V$1001,0),0), INDEX($AC$1004:$AS$1004,1,MATCH(COLUMNS($AC$1006:AP1006),$AC$1006:$AS$1006,0)))),"Fix")))</f>
        <v>0</v>
      </c>
      <c r="P605" s="5">
        <f>IF(OR(INDEX($W$2:$W$1001,MATCH(ROWS($V$2:V605),$V$2:$V$1001,0),1)&gt;=100000,INDEX($AC$1005:$AS$1005,1,MATCH(COLUMNS($AC$1006:AQ1006),$AC$1006:$AS$1006,0))&gt;=100000), " ",IF(INDEX($AC$2:$AS$1001,MATCH(ROWS($V$2:V605),$V$2:$V$1001,0),MATCH(COLUMNS($AC$1006:AQ1006),$AC$1006:$AS$1006,0)), HYPERLINK("#",""), HYPERLINK(CONCATENATE("#Metadata!", ADDRESS(INDEX($X$2:$X$1001,MATCH(ROWS($V$2:V605),$V$2:$V$1001,0),0), INDEX($AC$1004:$AS$1004,1,MATCH(COLUMNS($AC$1006:AQ1006),$AC$1006:$AS$1006,0)))),"Fix")))</f>
        <v>0</v>
      </c>
      <c r="Q605" s="5">
        <f>IF(OR(INDEX($W$2:$W$1001,MATCH(ROWS($V$2:V605),$V$2:$V$1001,0),1)&gt;=100000,INDEX($AC$1005:$AS$1005,1,MATCH(COLUMNS($AC$1006:AR1006),$AC$1006:$AS$1006,0))&gt;=100000), " ",IF(INDEX($AC$2:$AS$1001,MATCH(ROWS($V$2:V605),$V$2:$V$1001,0),MATCH(COLUMNS($AC$1006:AR1006),$AC$1006:$AS$1006,0)), HYPERLINK("#",""), HYPERLINK(CONCATENATE("#Metadata!", ADDRESS(INDEX($X$2:$X$1001,MATCH(ROWS($V$2:V605),$V$2:$V$1001,0),0), INDEX($AC$1004:$AS$1004,1,MATCH(COLUMNS($AC$1006:AR1006),$AC$1006:$AS$1006,0)))),"Fix")))</f>
        <v>0</v>
      </c>
      <c r="R605" s="5">
        <f>IF(OR(INDEX($W$2:$W$1001,MATCH(ROWS($V$2:V605),$V$2:$V$1001,0),1)&gt;=100000,INDEX($AC$1005:$AS$1005,1,MATCH(COLUMNS($AC$1006:AS1006),$AC$1006:$AS$1006,0))&gt;=100000), " ",IF(INDEX($AC$2:$AS$1001,MATCH(ROWS($V$2:V605),$V$2:$V$1001,0),MATCH(COLUMNS($AC$1006:AS1006),$AC$1006:$AS$1006,0)), HYPERLINK("#",""), HYPERLINK(CONCATENATE("#Metadata!", ADDRESS(INDEX($X$2:$X$1001,MATCH(ROWS($V$2:V605),$V$2:$V$1001,0),0), INDEX($AC$1004:$AS$1004,1,MATCH(COLUMNS($AC$1006:AS1006),$AC$1006:$AS$1006,0)))),"Fix")))</f>
        <v>0</v>
      </c>
      <c r="V605">
        <v>0</v>
      </c>
      <c r="W605">
        <v>0</v>
      </c>
      <c r="X605">
        <v>0</v>
      </c>
      <c r="Y605">
        <f>IF(Z605,TRUE,AND(AC605:AS605))</f>
        <v>0</v>
      </c>
      <c r="Z605">
        <f>COUNTBLANK(Metadata!B605:R605)=COLUMNS(Metadata!B605:R605)</f>
        <v>0</v>
      </c>
      <c r="AA605">
        <v>0</v>
      </c>
      <c r="AC605">
        <f>AND(IF(Metadata!B605="",FALSE,TRUE),COUNTIF(Metadata!B:B, Metadata!B605) = 1,NOT(ISERROR(SUMPRODUCT(SEARCH(MID(Metadata!B605,ROW(INDIRECT("1:"&amp;LEN(Metadata!B605))), 1),"0123456789abcdefghijklmnopqrstuvwxyzABCDEFGHIJKLMNOPQRSTUVWXYZ.")))))</f>
        <v>0</v>
      </c>
      <c r="AD605">
        <f>AND(IF(Metadata!C605="",FALSE,TRUE),exact(Metadata!C605,"Host-associated"))</f>
        <v>0</v>
      </c>
      <c r="AE605">
        <f>AND(IF(Metadata!D605="",FALSE,TRUE),OR(exact(Metadata!D605,"Animal"),exact(Metadata!D605,"Fungus"),exact(Metadata!D605,"Plant")))</f>
        <v>0</v>
      </c>
      <c r="AF605">
        <f>AND(IF(Metadata!E605="",FALSE,TRUE),OR(exact(Metadata!E605,"Plant secretion"),exact(Metadata!E605,"Plant rhizosphere"),exact(Metadata!E605,"Plant surface"),exact(Metadata!E605,"Plant corpus"),exact(Metadata!E605,"Fungus surface"),exact(Metadata!E605,"Fungus corpus"),exact(Metadata!E605,"Animal surface"),exact(Metadata!E605,"Animal proximal gut"),exact(Metadata!E605,"Animal corpus"),exact(Metadata!E605,"Animal distal gut"),exact(Metadata!E605,"Animal secretion")))</f>
        <v>0</v>
      </c>
      <c r="AG605">
        <f>OR(AND(IF(Metadata!F605="",FALSE,TRUE),OR(exact(Metadata!F605,"not collected"),exact(Metadata!F605,"not provided"),exact(Metadata!F605,"restricted access"))),AND(IF(Metadata!F605="",FALSE,TRUE),OR(exact(Metadata!F605,"organism-associated habitat"),exact(Metadata!F605,"plant-associated habitat"),exact(Metadata!F605,"animal-associated habitat"),exact(Metadata!F605,"insecta-associated habitat"),exact(Metadata!F605,"mammalia-associated habitat"),exact(Metadata!F605,"human-associated habitat"),exact(Metadata!F605,"livestock-associated habitat"))))</f>
        <v>0</v>
      </c>
      <c r="AH605">
        <f>AND(IF(Metadata!G605="",FALSE,TRUE),exact(Metadata!G605,"host-associated"))</f>
        <v>0</v>
      </c>
      <c r="AI605">
        <f>OR(AND(IF(Metadata!H605="",FALSE,TRUE),OR(exact(Metadata!H605,"not collected"),exact(Metadata!H605,"not provided"))),AND(IF(Metadata!H605="",FALSE,ISNUMBER(VALUE(Metadata!H605))),Metadata!H605&gt;0))</f>
        <v>0</v>
      </c>
      <c r="AJ605">
        <f>AND(IF(Metadata!I605="",FALSE,TRUE),exact(Metadata!I605,"years"))</f>
        <v>0</v>
      </c>
      <c r="AK605">
        <f>IF(Metadata!J605="",FALSE,TRUE)</f>
        <v>0</v>
      </c>
      <c r="AL605">
        <f>OR(AND(IF(Metadata!K605="",FALSE,TRUE),OR(exact(Metadata!K605,"not collected"),exact(Metadata!K605,"not provided"))),AND(IF(Metadata!K605="",FALSE,ISNUMBER(VALUE(Metadata!K605))),Metadata!K605&gt;0))</f>
        <v>0</v>
      </c>
      <c r="AM605">
        <f>AND(IF(Metadata!L605="",FALSE,TRUE),exact(Metadata!L605,"cm"))</f>
        <v>0</v>
      </c>
      <c r="AN605">
        <f>IF(Metadata!M605="",FALSE,TRUE)</f>
        <v>0</v>
      </c>
      <c r="AO605">
        <f>OR(AND(IF(Metadata!N605="",FALSE,TRUE),OR(exact(Metadata!N605,"not applicable"),exact(Metadata!N605,"not collected"),exact(Metadata!N605,"not provided"))),AND(IF(Metadata!N605="",FALSE,IF(ISERROR(INT(Metadata!N605)),FALSE,INT(Metadata!N605)=Metadata!N605)),Metadata!N605&gt;0))</f>
        <v>0</v>
      </c>
      <c r="AP605">
        <f>OR(AND(IF(Metadata!O605="",FALSE,TRUE),OR(exact(Metadata!O605,"not collected"),exact(Metadata!O605,"not provided"))),AND(IF(Metadata!O605="",FALSE,ISNUMBER(VALUE(Metadata!O605))),Metadata!O605&gt;0))</f>
        <v>0</v>
      </c>
      <c r="AQ605">
        <f>AND(IF(Metadata!P605="",FALSE,TRUE),exact(Metadata!P605,"kg"))</f>
        <v>0</v>
      </c>
      <c r="AR605">
        <f>OR(AND(IF(Metadata!Q605="",FALSE,TRUE),OR(exact(Metadata!Q605,"not applicable"),exact(Metadata!Q605,"not collected"),exact(Metadata!Q605,"not provided"),exact(Metadata!Q605,"restricted access"))),IF(Metadata!Q605="",FALSE,IF(ISERROR(INT(Metadata!Q605)),FALSE,INT(Metadata!Q605)=Metadata!Q605)))</f>
        <v>0</v>
      </c>
      <c r="AS605">
        <f>AND(IF(Metadata!R605="",FALSE,TRUE),exact(Metadata!R605,"Not applicable"))</f>
        <v>0</v>
      </c>
    </row>
    <row r="606" spans="1:45">
      <c r="A606" s="4">
        <f>IF(B606=" "," ",HYPERLINK(CONCATENATE("#metadata!",ADDRESS(INDEX($X$2:$X$1001,MATCH(ROWS($V$2:V606),$V$2:$V$1001,0),0),2)),INDEX($AA$2:$AA$1001,MATCH(ROWS($V$2:V606),$V$2:$V$1001,0),0)))</f>
        <v>0</v>
      </c>
      <c r="B606" s="5">
        <f>IF(OR(INDEX($W$2:$W$1001,MATCH(ROWS($V$2:V606),$V$2:$V$1001,0),1)&gt;=100000,INDEX($AC$1005:$AS$1005,1,MATCH(COLUMNS($AC$1006:AC1006),$AC$1006:$AS$1006,0))&gt;=100000), " ",IF(INDEX($AC$2:$AS$1001,MATCH(ROWS($V$2:V606),$V$2:$V$1001,0),MATCH(COLUMNS($AC$1006:AC1006),$AC$1006:$AS$1006,0)), HYPERLINK("#",""), HYPERLINK(CONCATENATE("#Metadata!", ADDRESS(INDEX($X$2:$X$1001,MATCH(ROWS($V$2:V606),$V$2:$V$1001,0),0), INDEX($AC$1004:$AS$1004,1,MATCH(COLUMNS($AC$1006:AC1006),$AC$1006:$AS$1006,0)))),"Fix")))</f>
        <v>0</v>
      </c>
      <c r="C606" s="5">
        <f>IF(OR(INDEX($W$2:$W$1001,MATCH(ROWS($V$2:V606),$V$2:$V$1001,0),1)&gt;=100000,INDEX($AC$1005:$AS$1005,1,MATCH(COLUMNS($AC$1006:AD1006),$AC$1006:$AS$1006,0))&gt;=100000), " ",IF(INDEX($AC$2:$AS$1001,MATCH(ROWS($V$2:V606),$V$2:$V$1001,0),MATCH(COLUMNS($AC$1006:AD1006),$AC$1006:$AS$1006,0)), HYPERLINK("#",""), HYPERLINK(CONCATENATE("#Metadata!", ADDRESS(INDEX($X$2:$X$1001,MATCH(ROWS($V$2:V606),$V$2:$V$1001,0),0), INDEX($AC$1004:$AS$1004,1,MATCH(COLUMNS($AC$1006:AD1006),$AC$1006:$AS$1006,0)))),"Fix")))</f>
        <v>0</v>
      </c>
      <c r="D606" s="5">
        <f>IF(OR(INDEX($W$2:$W$1001,MATCH(ROWS($V$2:V606),$V$2:$V$1001,0),1)&gt;=100000,INDEX($AC$1005:$AS$1005,1,MATCH(COLUMNS($AC$1006:AE1006),$AC$1006:$AS$1006,0))&gt;=100000), " ",IF(INDEX($AC$2:$AS$1001,MATCH(ROWS($V$2:V606),$V$2:$V$1001,0),MATCH(COLUMNS($AC$1006:AE1006),$AC$1006:$AS$1006,0)), HYPERLINK("#",""), HYPERLINK(CONCATENATE("#Metadata!", ADDRESS(INDEX($X$2:$X$1001,MATCH(ROWS($V$2:V606),$V$2:$V$1001,0),0), INDEX($AC$1004:$AS$1004,1,MATCH(COLUMNS($AC$1006:AE1006),$AC$1006:$AS$1006,0)))),"Fix")))</f>
        <v>0</v>
      </c>
      <c r="E606" s="5">
        <f>IF(OR(INDEX($W$2:$W$1001,MATCH(ROWS($V$2:V606),$V$2:$V$1001,0),1)&gt;=100000,INDEX($AC$1005:$AS$1005,1,MATCH(COLUMNS($AC$1006:AF1006),$AC$1006:$AS$1006,0))&gt;=100000), " ",IF(INDEX($AC$2:$AS$1001,MATCH(ROWS($V$2:V606),$V$2:$V$1001,0),MATCH(COLUMNS($AC$1006:AF1006),$AC$1006:$AS$1006,0)), HYPERLINK("#",""), HYPERLINK(CONCATENATE("#Metadata!", ADDRESS(INDEX($X$2:$X$1001,MATCH(ROWS($V$2:V606),$V$2:$V$1001,0),0), INDEX($AC$1004:$AS$1004,1,MATCH(COLUMNS($AC$1006:AF1006),$AC$1006:$AS$1006,0)))),"Fix")))</f>
        <v>0</v>
      </c>
      <c r="F606" s="5">
        <f>IF(OR(INDEX($W$2:$W$1001,MATCH(ROWS($V$2:V606),$V$2:$V$1001,0),1)&gt;=100000,INDEX($AC$1005:$AS$1005,1,MATCH(COLUMNS($AC$1006:AG1006),$AC$1006:$AS$1006,0))&gt;=100000), " ",IF(INDEX($AC$2:$AS$1001,MATCH(ROWS($V$2:V606),$V$2:$V$1001,0),MATCH(COLUMNS($AC$1006:AG1006),$AC$1006:$AS$1006,0)), HYPERLINK("#",""), HYPERLINK(CONCATENATE("#Metadata!", ADDRESS(INDEX($X$2:$X$1001,MATCH(ROWS($V$2:V606),$V$2:$V$1001,0),0), INDEX($AC$1004:$AS$1004,1,MATCH(COLUMNS($AC$1006:AG1006),$AC$1006:$AS$1006,0)))),"Fix")))</f>
        <v>0</v>
      </c>
      <c r="G606" s="5">
        <f>IF(OR(INDEX($W$2:$W$1001,MATCH(ROWS($V$2:V606),$V$2:$V$1001,0),1)&gt;=100000,INDEX($AC$1005:$AS$1005,1,MATCH(COLUMNS($AC$1006:AH1006),$AC$1006:$AS$1006,0))&gt;=100000), " ",IF(INDEX($AC$2:$AS$1001,MATCH(ROWS($V$2:V606),$V$2:$V$1001,0),MATCH(COLUMNS($AC$1006:AH1006),$AC$1006:$AS$1006,0)), HYPERLINK("#",""), HYPERLINK(CONCATENATE("#Metadata!", ADDRESS(INDEX($X$2:$X$1001,MATCH(ROWS($V$2:V606),$V$2:$V$1001,0),0), INDEX($AC$1004:$AS$1004,1,MATCH(COLUMNS($AC$1006:AH1006),$AC$1006:$AS$1006,0)))),"Fix")))</f>
        <v>0</v>
      </c>
      <c r="H606" s="5">
        <f>IF(OR(INDEX($W$2:$W$1001,MATCH(ROWS($V$2:V606),$V$2:$V$1001,0),1)&gt;=100000,INDEX($AC$1005:$AS$1005,1,MATCH(COLUMNS($AC$1006:AI1006),$AC$1006:$AS$1006,0))&gt;=100000), " ",IF(INDEX($AC$2:$AS$1001,MATCH(ROWS($V$2:V606),$V$2:$V$1001,0),MATCH(COLUMNS($AC$1006:AI1006),$AC$1006:$AS$1006,0)), HYPERLINK("#",""), HYPERLINK(CONCATENATE("#Metadata!", ADDRESS(INDEX($X$2:$X$1001,MATCH(ROWS($V$2:V606),$V$2:$V$1001,0),0), INDEX($AC$1004:$AS$1004,1,MATCH(COLUMNS($AC$1006:AI1006),$AC$1006:$AS$1006,0)))),"Fix")))</f>
        <v>0</v>
      </c>
      <c r="I606" s="5">
        <f>IF(OR(INDEX($W$2:$W$1001,MATCH(ROWS($V$2:V606),$V$2:$V$1001,0),1)&gt;=100000,INDEX($AC$1005:$AS$1005,1,MATCH(COLUMNS($AC$1006:AJ1006),$AC$1006:$AS$1006,0))&gt;=100000), " ",IF(INDEX($AC$2:$AS$1001,MATCH(ROWS($V$2:V606),$V$2:$V$1001,0),MATCH(COLUMNS($AC$1006:AJ1006),$AC$1006:$AS$1006,0)), HYPERLINK("#",""), HYPERLINK(CONCATENATE("#Metadata!", ADDRESS(INDEX($X$2:$X$1001,MATCH(ROWS($V$2:V606),$V$2:$V$1001,0),0), INDEX($AC$1004:$AS$1004,1,MATCH(COLUMNS($AC$1006:AJ1006),$AC$1006:$AS$1006,0)))),"Fix")))</f>
        <v>0</v>
      </c>
      <c r="J606" s="5">
        <f>IF(OR(INDEX($W$2:$W$1001,MATCH(ROWS($V$2:V606),$V$2:$V$1001,0),1)&gt;=100000,INDEX($AC$1005:$AS$1005,1,MATCH(COLUMNS($AC$1006:AK1006),$AC$1006:$AS$1006,0))&gt;=100000), " ",IF(INDEX($AC$2:$AS$1001,MATCH(ROWS($V$2:V606),$V$2:$V$1001,0),MATCH(COLUMNS($AC$1006:AK1006),$AC$1006:$AS$1006,0)), HYPERLINK("#",""), HYPERLINK(CONCATENATE("#Metadata!", ADDRESS(INDEX($X$2:$X$1001,MATCH(ROWS($V$2:V606),$V$2:$V$1001,0),0), INDEX($AC$1004:$AS$1004,1,MATCH(COLUMNS($AC$1006:AK1006),$AC$1006:$AS$1006,0)))),"Fix")))</f>
        <v>0</v>
      </c>
      <c r="K606" s="5">
        <f>IF(OR(INDEX($W$2:$W$1001,MATCH(ROWS($V$2:V606),$V$2:$V$1001,0),1)&gt;=100000,INDEX($AC$1005:$AS$1005,1,MATCH(COLUMNS($AC$1006:AL1006),$AC$1006:$AS$1006,0))&gt;=100000), " ",IF(INDEX($AC$2:$AS$1001,MATCH(ROWS($V$2:V606),$V$2:$V$1001,0),MATCH(COLUMNS($AC$1006:AL1006),$AC$1006:$AS$1006,0)), HYPERLINK("#",""), HYPERLINK(CONCATENATE("#Metadata!", ADDRESS(INDEX($X$2:$X$1001,MATCH(ROWS($V$2:V606),$V$2:$V$1001,0),0), INDEX($AC$1004:$AS$1004,1,MATCH(COLUMNS($AC$1006:AL1006),$AC$1006:$AS$1006,0)))),"Fix")))</f>
        <v>0</v>
      </c>
      <c r="L606" s="5">
        <f>IF(OR(INDEX($W$2:$W$1001,MATCH(ROWS($V$2:V606),$V$2:$V$1001,0),1)&gt;=100000,INDEX($AC$1005:$AS$1005,1,MATCH(COLUMNS($AC$1006:AM1006),$AC$1006:$AS$1006,0))&gt;=100000), " ",IF(INDEX($AC$2:$AS$1001,MATCH(ROWS($V$2:V606),$V$2:$V$1001,0),MATCH(COLUMNS($AC$1006:AM1006),$AC$1006:$AS$1006,0)), HYPERLINK("#",""), HYPERLINK(CONCATENATE("#Metadata!", ADDRESS(INDEX($X$2:$X$1001,MATCH(ROWS($V$2:V606),$V$2:$V$1001,0),0), INDEX($AC$1004:$AS$1004,1,MATCH(COLUMNS($AC$1006:AM1006),$AC$1006:$AS$1006,0)))),"Fix")))</f>
        <v>0</v>
      </c>
      <c r="M606" s="5">
        <f>IF(OR(INDEX($W$2:$W$1001,MATCH(ROWS($V$2:V606),$V$2:$V$1001,0),1)&gt;=100000,INDEX($AC$1005:$AS$1005,1,MATCH(COLUMNS($AC$1006:AN1006),$AC$1006:$AS$1006,0))&gt;=100000), " ",IF(INDEX($AC$2:$AS$1001,MATCH(ROWS($V$2:V606),$V$2:$V$1001,0),MATCH(COLUMNS($AC$1006:AN1006),$AC$1006:$AS$1006,0)), HYPERLINK("#",""), HYPERLINK(CONCATENATE("#Metadata!", ADDRESS(INDEX($X$2:$X$1001,MATCH(ROWS($V$2:V606),$V$2:$V$1001,0),0), INDEX($AC$1004:$AS$1004,1,MATCH(COLUMNS($AC$1006:AN1006),$AC$1006:$AS$1006,0)))),"Fix")))</f>
        <v>0</v>
      </c>
      <c r="N606" s="5">
        <f>IF(OR(INDEX($W$2:$W$1001,MATCH(ROWS($V$2:V606),$V$2:$V$1001,0),1)&gt;=100000,INDEX($AC$1005:$AS$1005,1,MATCH(COLUMNS($AC$1006:AO1006),$AC$1006:$AS$1006,0))&gt;=100000), " ",IF(INDEX($AC$2:$AS$1001,MATCH(ROWS($V$2:V606),$V$2:$V$1001,0),MATCH(COLUMNS($AC$1006:AO1006),$AC$1006:$AS$1006,0)), HYPERLINK("#",""), HYPERLINK(CONCATENATE("#Metadata!", ADDRESS(INDEX($X$2:$X$1001,MATCH(ROWS($V$2:V606),$V$2:$V$1001,0),0), INDEX($AC$1004:$AS$1004,1,MATCH(COLUMNS($AC$1006:AO1006),$AC$1006:$AS$1006,0)))),"Fix")))</f>
        <v>0</v>
      </c>
      <c r="O606" s="5">
        <f>IF(OR(INDEX($W$2:$W$1001,MATCH(ROWS($V$2:V606),$V$2:$V$1001,0),1)&gt;=100000,INDEX($AC$1005:$AS$1005,1,MATCH(COLUMNS($AC$1006:AP1006),$AC$1006:$AS$1006,0))&gt;=100000), " ",IF(INDEX($AC$2:$AS$1001,MATCH(ROWS($V$2:V606),$V$2:$V$1001,0),MATCH(COLUMNS($AC$1006:AP1006),$AC$1006:$AS$1006,0)), HYPERLINK("#",""), HYPERLINK(CONCATENATE("#Metadata!", ADDRESS(INDEX($X$2:$X$1001,MATCH(ROWS($V$2:V606),$V$2:$V$1001,0),0), INDEX($AC$1004:$AS$1004,1,MATCH(COLUMNS($AC$1006:AP1006),$AC$1006:$AS$1006,0)))),"Fix")))</f>
        <v>0</v>
      </c>
      <c r="P606" s="5">
        <f>IF(OR(INDEX($W$2:$W$1001,MATCH(ROWS($V$2:V606),$V$2:$V$1001,0),1)&gt;=100000,INDEX($AC$1005:$AS$1005,1,MATCH(COLUMNS($AC$1006:AQ1006),$AC$1006:$AS$1006,0))&gt;=100000), " ",IF(INDEX($AC$2:$AS$1001,MATCH(ROWS($V$2:V606),$V$2:$V$1001,0),MATCH(COLUMNS($AC$1006:AQ1006),$AC$1006:$AS$1006,0)), HYPERLINK("#",""), HYPERLINK(CONCATENATE("#Metadata!", ADDRESS(INDEX($X$2:$X$1001,MATCH(ROWS($V$2:V606),$V$2:$V$1001,0),0), INDEX($AC$1004:$AS$1004,1,MATCH(COLUMNS($AC$1006:AQ1006),$AC$1006:$AS$1006,0)))),"Fix")))</f>
        <v>0</v>
      </c>
      <c r="Q606" s="5">
        <f>IF(OR(INDEX($W$2:$W$1001,MATCH(ROWS($V$2:V606),$V$2:$V$1001,0),1)&gt;=100000,INDEX($AC$1005:$AS$1005,1,MATCH(COLUMNS($AC$1006:AR1006),$AC$1006:$AS$1006,0))&gt;=100000), " ",IF(INDEX($AC$2:$AS$1001,MATCH(ROWS($V$2:V606),$V$2:$V$1001,0),MATCH(COLUMNS($AC$1006:AR1006),$AC$1006:$AS$1006,0)), HYPERLINK("#",""), HYPERLINK(CONCATENATE("#Metadata!", ADDRESS(INDEX($X$2:$X$1001,MATCH(ROWS($V$2:V606),$V$2:$V$1001,0),0), INDEX($AC$1004:$AS$1004,1,MATCH(COLUMNS($AC$1006:AR1006),$AC$1006:$AS$1006,0)))),"Fix")))</f>
        <v>0</v>
      </c>
      <c r="R606" s="5">
        <f>IF(OR(INDEX($W$2:$W$1001,MATCH(ROWS($V$2:V606),$V$2:$V$1001,0),1)&gt;=100000,INDEX($AC$1005:$AS$1005,1,MATCH(COLUMNS($AC$1006:AS1006),$AC$1006:$AS$1006,0))&gt;=100000), " ",IF(INDEX($AC$2:$AS$1001,MATCH(ROWS($V$2:V606),$V$2:$V$1001,0),MATCH(COLUMNS($AC$1006:AS1006),$AC$1006:$AS$1006,0)), HYPERLINK("#",""), HYPERLINK(CONCATENATE("#Metadata!", ADDRESS(INDEX($X$2:$X$1001,MATCH(ROWS($V$2:V606),$V$2:$V$1001,0),0), INDEX($AC$1004:$AS$1004,1,MATCH(COLUMNS($AC$1006:AS1006),$AC$1006:$AS$1006,0)))),"Fix")))</f>
        <v>0</v>
      </c>
      <c r="V606">
        <v>0</v>
      </c>
      <c r="W606">
        <v>0</v>
      </c>
      <c r="X606">
        <v>0</v>
      </c>
      <c r="Y606">
        <f>IF(Z606,TRUE,AND(AC606:AS606))</f>
        <v>0</v>
      </c>
      <c r="Z606">
        <f>COUNTBLANK(Metadata!B606:R606)=COLUMNS(Metadata!B606:R606)</f>
        <v>0</v>
      </c>
      <c r="AA606">
        <v>0</v>
      </c>
      <c r="AC606">
        <f>AND(IF(Metadata!B606="",FALSE,TRUE),COUNTIF(Metadata!B:B, Metadata!B606) = 1,NOT(ISERROR(SUMPRODUCT(SEARCH(MID(Metadata!B606,ROW(INDIRECT("1:"&amp;LEN(Metadata!B606))), 1),"0123456789abcdefghijklmnopqrstuvwxyzABCDEFGHIJKLMNOPQRSTUVWXYZ.")))))</f>
        <v>0</v>
      </c>
      <c r="AD606">
        <f>AND(IF(Metadata!C606="",FALSE,TRUE),exact(Metadata!C606,"Host-associated"))</f>
        <v>0</v>
      </c>
      <c r="AE606">
        <f>AND(IF(Metadata!D606="",FALSE,TRUE),OR(exact(Metadata!D606,"Animal"),exact(Metadata!D606,"Fungus"),exact(Metadata!D606,"Plant")))</f>
        <v>0</v>
      </c>
      <c r="AF606">
        <f>AND(IF(Metadata!E606="",FALSE,TRUE),OR(exact(Metadata!E606,"Plant secretion"),exact(Metadata!E606,"Plant rhizosphere"),exact(Metadata!E606,"Plant surface"),exact(Metadata!E606,"Plant corpus"),exact(Metadata!E606,"Fungus surface"),exact(Metadata!E606,"Fungus corpus"),exact(Metadata!E606,"Animal surface"),exact(Metadata!E606,"Animal proximal gut"),exact(Metadata!E606,"Animal corpus"),exact(Metadata!E606,"Animal distal gut"),exact(Metadata!E606,"Animal secretion")))</f>
        <v>0</v>
      </c>
      <c r="AG606">
        <f>OR(AND(IF(Metadata!F606="",FALSE,TRUE),OR(exact(Metadata!F606,"not collected"),exact(Metadata!F606,"not provided"),exact(Metadata!F606,"restricted access"))),AND(IF(Metadata!F606="",FALSE,TRUE),OR(exact(Metadata!F606,"organism-associated habitat"),exact(Metadata!F606,"plant-associated habitat"),exact(Metadata!F606,"animal-associated habitat"),exact(Metadata!F606,"insecta-associated habitat"),exact(Metadata!F606,"mammalia-associated habitat"),exact(Metadata!F606,"human-associated habitat"),exact(Metadata!F606,"livestock-associated habitat"))))</f>
        <v>0</v>
      </c>
      <c r="AH606">
        <f>AND(IF(Metadata!G606="",FALSE,TRUE),exact(Metadata!G606,"host-associated"))</f>
        <v>0</v>
      </c>
      <c r="AI606">
        <f>OR(AND(IF(Metadata!H606="",FALSE,TRUE),OR(exact(Metadata!H606,"not collected"),exact(Metadata!H606,"not provided"))),AND(IF(Metadata!H606="",FALSE,ISNUMBER(VALUE(Metadata!H606))),Metadata!H606&gt;0))</f>
        <v>0</v>
      </c>
      <c r="AJ606">
        <f>AND(IF(Metadata!I606="",FALSE,TRUE),exact(Metadata!I606,"years"))</f>
        <v>0</v>
      </c>
      <c r="AK606">
        <f>IF(Metadata!J606="",FALSE,TRUE)</f>
        <v>0</v>
      </c>
      <c r="AL606">
        <f>OR(AND(IF(Metadata!K606="",FALSE,TRUE),OR(exact(Metadata!K606,"not collected"),exact(Metadata!K606,"not provided"))),AND(IF(Metadata!K606="",FALSE,ISNUMBER(VALUE(Metadata!K606))),Metadata!K606&gt;0))</f>
        <v>0</v>
      </c>
      <c r="AM606">
        <f>AND(IF(Metadata!L606="",FALSE,TRUE),exact(Metadata!L606,"cm"))</f>
        <v>0</v>
      </c>
      <c r="AN606">
        <f>IF(Metadata!M606="",FALSE,TRUE)</f>
        <v>0</v>
      </c>
      <c r="AO606">
        <f>OR(AND(IF(Metadata!N606="",FALSE,TRUE),OR(exact(Metadata!N606,"not applicable"),exact(Metadata!N606,"not collected"),exact(Metadata!N606,"not provided"))),AND(IF(Metadata!N606="",FALSE,IF(ISERROR(INT(Metadata!N606)),FALSE,INT(Metadata!N606)=Metadata!N606)),Metadata!N606&gt;0))</f>
        <v>0</v>
      </c>
      <c r="AP606">
        <f>OR(AND(IF(Metadata!O606="",FALSE,TRUE),OR(exact(Metadata!O606,"not collected"),exact(Metadata!O606,"not provided"))),AND(IF(Metadata!O606="",FALSE,ISNUMBER(VALUE(Metadata!O606))),Metadata!O606&gt;0))</f>
        <v>0</v>
      </c>
      <c r="AQ606">
        <f>AND(IF(Metadata!P606="",FALSE,TRUE),exact(Metadata!P606,"kg"))</f>
        <v>0</v>
      </c>
      <c r="AR606">
        <f>OR(AND(IF(Metadata!Q606="",FALSE,TRUE),OR(exact(Metadata!Q606,"not applicable"),exact(Metadata!Q606,"not collected"),exact(Metadata!Q606,"not provided"),exact(Metadata!Q606,"restricted access"))),IF(Metadata!Q606="",FALSE,IF(ISERROR(INT(Metadata!Q606)),FALSE,INT(Metadata!Q606)=Metadata!Q606)))</f>
        <v>0</v>
      </c>
      <c r="AS606">
        <f>AND(IF(Metadata!R606="",FALSE,TRUE),exact(Metadata!R606,"Not applicable"))</f>
        <v>0</v>
      </c>
    </row>
    <row r="607" spans="1:45">
      <c r="A607" s="4">
        <f>IF(B607=" "," ",HYPERLINK(CONCATENATE("#metadata!",ADDRESS(INDEX($X$2:$X$1001,MATCH(ROWS($V$2:V607),$V$2:$V$1001,0),0),2)),INDEX($AA$2:$AA$1001,MATCH(ROWS($V$2:V607),$V$2:$V$1001,0),0)))</f>
        <v>0</v>
      </c>
      <c r="B607" s="5">
        <f>IF(OR(INDEX($W$2:$W$1001,MATCH(ROWS($V$2:V607),$V$2:$V$1001,0),1)&gt;=100000,INDEX($AC$1005:$AS$1005,1,MATCH(COLUMNS($AC$1006:AC1006),$AC$1006:$AS$1006,0))&gt;=100000), " ",IF(INDEX($AC$2:$AS$1001,MATCH(ROWS($V$2:V607),$V$2:$V$1001,0),MATCH(COLUMNS($AC$1006:AC1006),$AC$1006:$AS$1006,0)), HYPERLINK("#",""), HYPERLINK(CONCATENATE("#Metadata!", ADDRESS(INDEX($X$2:$X$1001,MATCH(ROWS($V$2:V607),$V$2:$V$1001,0),0), INDEX($AC$1004:$AS$1004,1,MATCH(COLUMNS($AC$1006:AC1006),$AC$1006:$AS$1006,0)))),"Fix")))</f>
        <v>0</v>
      </c>
      <c r="C607" s="5">
        <f>IF(OR(INDEX($W$2:$W$1001,MATCH(ROWS($V$2:V607),$V$2:$V$1001,0),1)&gt;=100000,INDEX($AC$1005:$AS$1005,1,MATCH(COLUMNS($AC$1006:AD1006),$AC$1006:$AS$1006,0))&gt;=100000), " ",IF(INDEX($AC$2:$AS$1001,MATCH(ROWS($V$2:V607),$V$2:$V$1001,0),MATCH(COLUMNS($AC$1006:AD1006),$AC$1006:$AS$1006,0)), HYPERLINK("#",""), HYPERLINK(CONCATENATE("#Metadata!", ADDRESS(INDEX($X$2:$X$1001,MATCH(ROWS($V$2:V607),$V$2:$V$1001,0),0), INDEX($AC$1004:$AS$1004,1,MATCH(COLUMNS($AC$1006:AD1006),$AC$1006:$AS$1006,0)))),"Fix")))</f>
        <v>0</v>
      </c>
      <c r="D607" s="5">
        <f>IF(OR(INDEX($W$2:$W$1001,MATCH(ROWS($V$2:V607),$V$2:$V$1001,0),1)&gt;=100000,INDEX($AC$1005:$AS$1005,1,MATCH(COLUMNS($AC$1006:AE1006),$AC$1006:$AS$1006,0))&gt;=100000), " ",IF(INDEX($AC$2:$AS$1001,MATCH(ROWS($V$2:V607),$V$2:$V$1001,0),MATCH(COLUMNS($AC$1006:AE1006),$AC$1006:$AS$1006,0)), HYPERLINK("#",""), HYPERLINK(CONCATENATE("#Metadata!", ADDRESS(INDEX($X$2:$X$1001,MATCH(ROWS($V$2:V607),$V$2:$V$1001,0),0), INDEX($AC$1004:$AS$1004,1,MATCH(COLUMNS($AC$1006:AE1006),$AC$1006:$AS$1006,0)))),"Fix")))</f>
        <v>0</v>
      </c>
      <c r="E607" s="5">
        <f>IF(OR(INDEX($W$2:$W$1001,MATCH(ROWS($V$2:V607),$V$2:$V$1001,0),1)&gt;=100000,INDEX($AC$1005:$AS$1005,1,MATCH(COLUMNS($AC$1006:AF1006),$AC$1006:$AS$1006,0))&gt;=100000), " ",IF(INDEX($AC$2:$AS$1001,MATCH(ROWS($V$2:V607),$V$2:$V$1001,0),MATCH(COLUMNS($AC$1006:AF1006),$AC$1006:$AS$1006,0)), HYPERLINK("#",""), HYPERLINK(CONCATENATE("#Metadata!", ADDRESS(INDEX($X$2:$X$1001,MATCH(ROWS($V$2:V607),$V$2:$V$1001,0),0), INDEX($AC$1004:$AS$1004,1,MATCH(COLUMNS($AC$1006:AF1006),$AC$1006:$AS$1006,0)))),"Fix")))</f>
        <v>0</v>
      </c>
      <c r="F607" s="5">
        <f>IF(OR(INDEX($W$2:$W$1001,MATCH(ROWS($V$2:V607),$V$2:$V$1001,0),1)&gt;=100000,INDEX($AC$1005:$AS$1005,1,MATCH(COLUMNS($AC$1006:AG1006),$AC$1006:$AS$1006,0))&gt;=100000), " ",IF(INDEX($AC$2:$AS$1001,MATCH(ROWS($V$2:V607),$V$2:$V$1001,0),MATCH(COLUMNS($AC$1006:AG1006),$AC$1006:$AS$1006,0)), HYPERLINK("#",""), HYPERLINK(CONCATENATE("#Metadata!", ADDRESS(INDEX($X$2:$X$1001,MATCH(ROWS($V$2:V607),$V$2:$V$1001,0),0), INDEX($AC$1004:$AS$1004,1,MATCH(COLUMNS($AC$1006:AG1006),$AC$1006:$AS$1006,0)))),"Fix")))</f>
        <v>0</v>
      </c>
      <c r="G607" s="5">
        <f>IF(OR(INDEX($W$2:$W$1001,MATCH(ROWS($V$2:V607),$V$2:$V$1001,0),1)&gt;=100000,INDEX($AC$1005:$AS$1005,1,MATCH(COLUMNS($AC$1006:AH1006),$AC$1006:$AS$1006,0))&gt;=100000), " ",IF(INDEX($AC$2:$AS$1001,MATCH(ROWS($V$2:V607),$V$2:$V$1001,0),MATCH(COLUMNS($AC$1006:AH1006),$AC$1006:$AS$1006,0)), HYPERLINK("#",""), HYPERLINK(CONCATENATE("#Metadata!", ADDRESS(INDEX($X$2:$X$1001,MATCH(ROWS($V$2:V607),$V$2:$V$1001,0),0), INDEX($AC$1004:$AS$1004,1,MATCH(COLUMNS($AC$1006:AH1006),$AC$1006:$AS$1006,0)))),"Fix")))</f>
        <v>0</v>
      </c>
      <c r="H607" s="5">
        <f>IF(OR(INDEX($W$2:$W$1001,MATCH(ROWS($V$2:V607),$V$2:$V$1001,0),1)&gt;=100000,INDEX($AC$1005:$AS$1005,1,MATCH(COLUMNS($AC$1006:AI1006),$AC$1006:$AS$1006,0))&gt;=100000), " ",IF(INDEX($AC$2:$AS$1001,MATCH(ROWS($V$2:V607),$V$2:$V$1001,0),MATCH(COLUMNS($AC$1006:AI1006),$AC$1006:$AS$1006,0)), HYPERLINK("#",""), HYPERLINK(CONCATENATE("#Metadata!", ADDRESS(INDEX($X$2:$X$1001,MATCH(ROWS($V$2:V607),$V$2:$V$1001,0),0), INDEX($AC$1004:$AS$1004,1,MATCH(COLUMNS($AC$1006:AI1006),$AC$1006:$AS$1006,0)))),"Fix")))</f>
        <v>0</v>
      </c>
      <c r="I607" s="5">
        <f>IF(OR(INDEX($W$2:$W$1001,MATCH(ROWS($V$2:V607),$V$2:$V$1001,0),1)&gt;=100000,INDEX($AC$1005:$AS$1005,1,MATCH(COLUMNS($AC$1006:AJ1006),$AC$1006:$AS$1006,0))&gt;=100000), " ",IF(INDEX($AC$2:$AS$1001,MATCH(ROWS($V$2:V607),$V$2:$V$1001,0),MATCH(COLUMNS($AC$1006:AJ1006),$AC$1006:$AS$1006,0)), HYPERLINK("#",""), HYPERLINK(CONCATENATE("#Metadata!", ADDRESS(INDEX($X$2:$X$1001,MATCH(ROWS($V$2:V607),$V$2:$V$1001,0),0), INDEX($AC$1004:$AS$1004,1,MATCH(COLUMNS($AC$1006:AJ1006),$AC$1006:$AS$1006,0)))),"Fix")))</f>
        <v>0</v>
      </c>
      <c r="J607" s="5">
        <f>IF(OR(INDEX($W$2:$W$1001,MATCH(ROWS($V$2:V607),$V$2:$V$1001,0),1)&gt;=100000,INDEX($AC$1005:$AS$1005,1,MATCH(COLUMNS($AC$1006:AK1006),$AC$1006:$AS$1006,0))&gt;=100000), " ",IF(INDEX($AC$2:$AS$1001,MATCH(ROWS($V$2:V607),$V$2:$V$1001,0),MATCH(COLUMNS($AC$1006:AK1006),$AC$1006:$AS$1006,0)), HYPERLINK("#",""), HYPERLINK(CONCATENATE("#Metadata!", ADDRESS(INDEX($X$2:$X$1001,MATCH(ROWS($V$2:V607),$V$2:$V$1001,0),0), INDEX($AC$1004:$AS$1004,1,MATCH(COLUMNS($AC$1006:AK1006),$AC$1006:$AS$1006,0)))),"Fix")))</f>
        <v>0</v>
      </c>
      <c r="K607" s="5">
        <f>IF(OR(INDEX($W$2:$W$1001,MATCH(ROWS($V$2:V607),$V$2:$V$1001,0),1)&gt;=100000,INDEX($AC$1005:$AS$1005,1,MATCH(COLUMNS($AC$1006:AL1006),$AC$1006:$AS$1006,0))&gt;=100000), " ",IF(INDEX($AC$2:$AS$1001,MATCH(ROWS($V$2:V607),$V$2:$V$1001,0),MATCH(COLUMNS($AC$1006:AL1006),$AC$1006:$AS$1006,0)), HYPERLINK("#",""), HYPERLINK(CONCATENATE("#Metadata!", ADDRESS(INDEX($X$2:$X$1001,MATCH(ROWS($V$2:V607),$V$2:$V$1001,0),0), INDEX($AC$1004:$AS$1004,1,MATCH(COLUMNS($AC$1006:AL1006),$AC$1006:$AS$1006,0)))),"Fix")))</f>
        <v>0</v>
      </c>
      <c r="L607" s="5">
        <f>IF(OR(INDEX($W$2:$W$1001,MATCH(ROWS($V$2:V607),$V$2:$V$1001,0),1)&gt;=100000,INDEX($AC$1005:$AS$1005,1,MATCH(COLUMNS($AC$1006:AM1006),$AC$1006:$AS$1006,0))&gt;=100000), " ",IF(INDEX($AC$2:$AS$1001,MATCH(ROWS($V$2:V607),$V$2:$V$1001,0),MATCH(COLUMNS($AC$1006:AM1006),$AC$1006:$AS$1006,0)), HYPERLINK("#",""), HYPERLINK(CONCATENATE("#Metadata!", ADDRESS(INDEX($X$2:$X$1001,MATCH(ROWS($V$2:V607),$V$2:$V$1001,0),0), INDEX($AC$1004:$AS$1004,1,MATCH(COLUMNS($AC$1006:AM1006),$AC$1006:$AS$1006,0)))),"Fix")))</f>
        <v>0</v>
      </c>
      <c r="M607" s="5">
        <f>IF(OR(INDEX($W$2:$W$1001,MATCH(ROWS($V$2:V607),$V$2:$V$1001,0),1)&gt;=100000,INDEX($AC$1005:$AS$1005,1,MATCH(COLUMNS($AC$1006:AN1006),$AC$1006:$AS$1006,0))&gt;=100000), " ",IF(INDEX($AC$2:$AS$1001,MATCH(ROWS($V$2:V607),$V$2:$V$1001,0),MATCH(COLUMNS($AC$1006:AN1006),$AC$1006:$AS$1006,0)), HYPERLINK("#",""), HYPERLINK(CONCATENATE("#Metadata!", ADDRESS(INDEX($X$2:$X$1001,MATCH(ROWS($V$2:V607),$V$2:$V$1001,0),0), INDEX($AC$1004:$AS$1004,1,MATCH(COLUMNS($AC$1006:AN1006),$AC$1006:$AS$1006,0)))),"Fix")))</f>
        <v>0</v>
      </c>
      <c r="N607" s="5">
        <f>IF(OR(INDEX($W$2:$W$1001,MATCH(ROWS($V$2:V607),$V$2:$V$1001,0),1)&gt;=100000,INDEX($AC$1005:$AS$1005,1,MATCH(COLUMNS($AC$1006:AO1006),$AC$1006:$AS$1006,0))&gt;=100000), " ",IF(INDEX($AC$2:$AS$1001,MATCH(ROWS($V$2:V607),$V$2:$V$1001,0),MATCH(COLUMNS($AC$1006:AO1006),$AC$1006:$AS$1006,0)), HYPERLINK("#",""), HYPERLINK(CONCATENATE("#Metadata!", ADDRESS(INDEX($X$2:$X$1001,MATCH(ROWS($V$2:V607),$V$2:$V$1001,0),0), INDEX($AC$1004:$AS$1004,1,MATCH(COLUMNS($AC$1006:AO1006),$AC$1006:$AS$1006,0)))),"Fix")))</f>
        <v>0</v>
      </c>
      <c r="O607" s="5">
        <f>IF(OR(INDEX($W$2:$W$1001,MATCH(ROWS($V$2:V607),$V$2:$V$1001,0),1)&gt;=100000,INDEX($AC$1005:$AS$1005,1,MATCH(COLUMNS($AC$1006:AP1006),$AC$1006:$AS$1006,0))&gt;=100000), " ",IF(INDEX($AC$2:$AS$1001,MATCH(ROWS($V$2:V607),$V$2:$V$1001,0),MATCH(COLUMNS($AC$1006:AP1006),$AC$1006:$AS$1006,0)), HYPERLINK("#",""), HYPERLINK(CONCATENATE("#Metadata!", ADDRESS(INDEX($X$2:$X$1001,MATCH(ROWS($V$2:V607),$V$2:$V$1001,0),0), INDEX($AC$1004:$AS$1004,1,MATCH(COLUMNS($AC$1006:AP1006),$AC$1006:$AS$1006,0)))),"Fix")))</f>
        <v>0</v>
      </c>
      <c r="P607" s="5">
        <f>IF(OR(INDEX($W$2:$W$1001,MATCH(ROWS($V$2:V607),$V$2:$V$1001,0),1)&gt;=100000,INDEX($AC$1005:$AS$1005,1,MATCH(COLUMNS($AC$1006:AQ1006),$AC$1006:$AS$1006,0))&gt;=100000), " ",IF(INDEX($AC$2:$AS$1001,MATCH(ROWS($V$2:V607),$V$2:$V$1001,0),MATCH(COLUMNS($AC$1006:AQ1006),$AC$1006:$AS$1006,0)), HYPERLINK("#",""), HYPERLINK(CONCATENATE("#Metadata!", ADDRESS(INDEX($X$2:$X$1001,MATCH(ROWS($V$2:V607),$V$2:$V$1001,0),0), INDEX($AC$1004:$AS$1004,1,MATCH(COLUMNS($AC$1006:AQ1006),$AC$1006:$AS$1006,0)))),"Fix")))</f>
        <v>0</v>
      </c>
      <c r="Q607" s="5">
        <f>IF(OR(INDEX($W$2:$W$1001,MATCH(ROWS($V$2:V607),$V$2:$V$1001,0),1)&gt;=100000,INDEX($AC$1005:$AS$1005,1,MATCH(COLUMNS($AC$1006:AR1006),$AC$1006:$AS$1006,0))&gt;=100000), " ",IF(INDEX($AC$2:$AS$1001,MATCH(ROWS($V$2:V607),$V$2:$V$1001,0),MATCH(COLUMNS($AC$1006:AR1006),$AC$1006:$AS$1006,0)), HYPERLINK("#",""), HYPERLINK(CONCATENATE("#Metadata!", ADDRESS(INDEX($X$2:$X$1001,MATCH(ROWS($V$2:V607),$V$2:$V$1001,0),0), INDEX($AC$1004:$AS$1004,1,MATCH(COLUMNS($AC$1006:AR1006),$AC$1006:$AS$1006,0)))),"Fix")))</f>
        <v>0</v>
      </c>
      <c r="R607" s="5">
        <f>IF(OR(INDEX($W$2:$W$1001,MATCH(ROWS($V$2:V607),$V$2:$V$1001,0),1)&gt;=100000,INDEX($AC$1005:$AS$1005,1,MATCH(COLUMNS($AC$1006:AS1006),$AC$1006:$AS$1006,0))&gt;=100000), " ",IF(INDEX($AC$2:$AS$1001,MATCH(ROWS($V$2:V607),$V$2:$V$1001,0),MATCH(COLUMNS($AC$1006:AS1006),$AC$1006:$AS$1006,0)), HYPERLINK("#",""), HYPERLINK(CONCATENATE("#Metadata!", ADDRESS(INDEX($X$2:$X$1001,MATCH(ROWS($V$2:V607),$V$2:$V$1001,0),0), INDEX($AC$1004:$AS$1004,1,MATCH(COLUMNS($AC$1006:AS1006),$AC$1006:$AS$1006,0)))),"Fix")))</f>
        <v>0</v>
      </c>
      <c r="V607">
        <v>0</v>
      </c>
      <c r="W607">
        <v>0</v>
      </c>
      <c r="X607">
        <v>0</v>
      </c>
      <c r="Y607">
        <f>IF(Z607,TRUE,AND(AC607:AS607))</f>
        <v>0</v>
      </c>
      <c r="Z607">
        <f>COUNTBLANK(Metadata!B607:R607)=COLUMNS(Metadata!B607:R607)</f>
        <v>0</v>
      </c>
      <c r="AA607">
        <v>0</v>
      </c>
      <c r="AC607">
        <f>AND(IF(Metadata!B607="",FALSE,TRUE),COUNTIF(Metadata!B:B, Metadata!B607) = 1,NOT(ISERROR(SUMPRODUCT(SEARCH(MID(Metadata!B607,ROW(INDIRECT("1:"&amp;LEN(Metadata!B607))), 1),"0123456789abcdefghijklmnopqrstuvwxyzABCDEFGHIJKLMNOPQRSTUVWXYZ.")))))</f>
        <v>0</v>
      </c>
      <c r="AD607">
        <f>AND(IF(Metadata!C607="",FALSE,TRUE),exact(Metadata!C607,"Host-associated"))</f>
        <v>0</v>
      </c>
      <c r="AE607">
        <f>AND(IF(Metadata!D607="",FALSE,TRUE),OR(exact(Metadata!D607,"Animal"),exact(Metadata!D607,"Fungus"),exact(Metadata!D607,"Plant")))</f>
        <v>0</v>
      </c>
      <c r="AF607">
        <f>AND(IF(Metadata!E607="",FALSE,TRUE),OR(exact(Metadata!E607,"Plant secretion"),exact(Metadata!E607,"Plant rhizosphere"),exact(Metadata!E607,"Plant surface"),exact(Metadata!E607,"Plant corpus"),exact(Metadata!E607,"Fungus surface"),exact(Metadata!E607,"Fungus corpus"),exact(Metadata!E607,"Animal surface"),exact(Metadata!E607,"Animal proximal gut"),exact(Metadata!E607,"Animal corpus"),exact(Metadata!E607,"Animal distal gut"),exact(Metadata!E607,"Animal secretion")))</f>
        <v>0</v>
      </c>
      <c r="AG607">
        <f>OR(AND(IF(Metadata!F607="",FALSE,TRUE),OR(exact(Metadata!F607,"not collected"),exact(Metadata!F607,"not provided"),exact(Metadata!F607,"restricted access"))),AND(IF(Metadata!F607="",FALSE,TRUE),OR(exact(Metadata!F607,"organism-associated habitat"),exact(Metadata!F607,"plant-associated habitat"),exact(Metadata!F607,"animal-associated habitat"),exact(Metadata!F607,"insecta-associated habitat"),exact(Metadata!F607,"mammalia-associated habitat"),exact(Metadata!F607,"human-associated habitat"),exact(Metadata!F607,"livestock-associated habitat"))))</f>
        <v>0</v>
      </c>
      <c r="AH607">
        <f>AND(IF(Metadata!G607="",FALSE,TRUE),exact(Metadata!G607,"host-associated"))</f>
        <v>0</v>
      </c>
      <c r="AI607">
        <f>OR(AND(IF(Metadata!H607="",FALSE,TRUE),OR(exact(Metadata!H607,"not collected"),exact(Metadata!H607,"not provided"))),AND(IF(Metadata!H607="",FALSE,ISNUMBER(VALUE(Metadata!H607))),Metadata!H607&gt;0))</f>
        <v>0</v>
      </c>
      <c r="AJ607">
        <f>AND(IF(Metadata!I607="",FALSE,TRUE),exact(Metadata!I607,"years"))</f>
        <v>0</v>
      </c>
      <c r="AK607">
        <f>IF(Metadata!J607="",FALSE,TRUE)</f>
        <v>0</v>
      </c>
      <c r="AL607">
        <f>OR(AND(IF(Metadata!K607="",FALSE,TRUE),OR(exact(Metadata!K607,"not collected"),exact(Metadata!K607,"not provided"))),AND(IF(Metadata!K607="",FALSE,ISNUMBER(VALUE(Metadata!K607))),Metadata!K607&gt;0))</f>
        <v>0</v>
      </c>
      <c r="AM607">
        <f>AND(IF(Metadata!L607="",FALSE,TRUE),exact(Metadata!L607,"cm"))</f>
        <v>0</v>
      </c>
      <c r="AN607">
        <f>IF(Metadata!M607="",FALSE,TRUE)</f>
        <v>0</v>
      </c>
      <c r="AO607">
        <f>OR(AND(IF(Metadata!N607="",FALSE,TRUE),OR(exact(Metadata!N607,"not applicable"),exact(Metadata!N607,"not collected"),exact(Metadata!N607,"not provided"))),AND(IF(Metadata!N607="",FALSE,IF(ISERROR(INT(Metadata!N607)),FALSE,INT(Metadata!N607)=Metadata!N607)),Metadata!N607&gt;0))</f>
        <v>0</v>
      </c>
      <c r="AP607">
        <f>OR(AND(IF(Metadata!O607="",FALSE,TRUE),OR(exact(Metadata!O607,"not collected"),exact(Metadata!O607,"not provided"))),AND(IF(Metadata!O607="",FALSE,ISNUMBER(VALUE(Metadata!O607))),Metadata!O607&gt;0))</f>
        <v>0</v>
      </c>
      <c r="AQ607">
        <f>AND(IF(Metadata!P607="",FALSE,TRUE),exact(Metadata!P607,"kg"))</f>
        <v>0</v>
      </c>
      <c r="AR607">
        <f>OR(AND(IF(Metadata!Q607="",FALSE,TRUE),OR(exact(Metadata!Q607,"not applicable"),exact(Metadata!Q607,"not collected"),exact(Metadata!Q607,"not provided"),exact(Metadata!Q607,"restricted access"))),IF(Metadata!Q607="",FALSE,IF(ISERROR(INT(Metadata!Q607)),FALSE,INT(Metadata!Q607)=Metadata!Q607)))</f>
        <v>0</v>
      </c>
      <c r="AS607">
        <f>AND(IF(Metadata!R607="",FALSE,TRUE),exact(Metadata!R607,"Not applicable"))</f>
        <v>0</v>
      </c>
    </row>
    <row r="608" spans="1:45">
      <c r="A608" s="4">
        <f>IF(B608=" "," ",HYPERLINK(CONCATENATE("#metadata!",ADDRESS(INDEX($X$2:$X$1001,MATCH(ROWS($V$2:V608),$V$2:$V$1001,0),0),2)),INDEX($AA$2:$AA$1001,MATCH(ROWS($V$2:V608),$V$2:$V$1001,0),0)))</f>
        <v>0</v>
      </c>
      <c r="B608" s="5">
        <f>IF(OR(INDEX($W$2:$W$1001,MATCH(ROWS($V$2:V608),$V$2:$V$1001,0),1)&gt;=100000,INDEX($AC$1005:$AS$1005,1,MATCH(COLUMNS($AC$1006:AC1006),$AC$1006:$AS$1006,0))&gt;=100000), " ",IF(INDEX($AC$2:$AS$1001,MATCH(ROWS($V$2:V608),$V$2:$V$1001,0),MATCH(COLUMNS($AC$1006:AC1006),$AC$1006:$AS$1006,0)), HYPERLINK("#",""), HYPERLINK(CONCATENATE("#Metadata!", ADDRESS(INDEX($X$2:$X$1001,MATCH(ROWS($V$2:V608),$V$2:$V$1001,0),0), INDEX($AC$1004:$AS$1004,1,MATCH(COLUMNS($AC$1006:AC1006),$AC$1006:$AS$1006,0)))),"Fix")))</f>
        <v>0</v>
      </c>
      <c r="C608" s="5">
        <f>IF(OR(INDEX($W$2:$W$1001,MATCH(ROWS($V$2:V608),$V$2:$V$1001,0),1)&gt;=100000,INDEX($AC$1005:$AS$1005,1,MATCH(COLUMNS($AC$1006:AD1006),$AC$1006:$AS$1006,0))&gt;=100000), " ",IF(INDEX($AC$2:$AS$1001,MATCH(ROWS($V$2:V608),$V$2:$V$1001,0),MATCH(COLUMNS($AC$1006:AD1006),$AC$1006:$AS$1006,0)), HYPERLINK("#",""), HYPERLINK(CONCATENATE("#Metadata!", ADDRESS(INDEX($X$2:$X$1001,MATCH(ROWS($V$2:V608),$V$2:$V$1001,0),0), INDEX($AC$1004:$AS$1004,1,MATCH(COLUMNS($AC$1006:AD1006),$AC$1006:$AS$1006,0)))),"Fix")))</f>
        <v>0</v>
      </c>
      <c r="D608" s="5">
        <f>IF(OR(INDEX($W$2:$W$1001,MATCH(ROWS($V$2:V608),$V$2:$V$1001,0),1)&gt;=100000,INDEX($AC$1005:$AS$1005,1,MATCH(COLUMNS($AC$1006:AE1006),$AC$1006:$AS$1006,0))&gt;=100000), " ",IF(INDEX($AC$2:$AS$1001,MATCH(ROWS($V$2:V608),$V$2:$V$1001,0),MATCH(COLUMNS($AC$1006:AE1006),$AC$1006:$AS$1006,0)), HYPERLINK("#",""), HYPERLINK(CONCATENATE("#Metadata!", ADDRESS(INDEX($X$2:$X$1001,MATCH(ROWS($V$2:V608),$V$2:$V$1001,0),0), INDEX($AC$1004:$AS$1004,1,MATCH(COLUMNS($AC$1006:AE1006),$AC$1006:$AS$1006,0)))),"Fix")))</f>
        <v>0</v>
      </c>
      <c r="E608" s="5">
        <f>IF(OR(INDEX($W$2:$W$1001,MATCH(ROWS($V$2:V608),$V$2:$V$1001,0),1)&gt;=100000,INDEX($AC$1005:$AS$1005,1,MATCH(COLUMNS($AC$1006:AF1006),$AC$1006:$AS$1006,0))&gt;=100000), " ",IF(INDEX($AC$2:$AS$1001,MATCH(ROWS($V$2:V608),$V$2:$V$1001,0),MATCH(COLUMNS($AC$1006:AF1006),$AC$1006:$AS$1006,0)), HYPERLINK("#",""), HYPERLINK(CONCATENATE("#Metadata!", ADDRESS(INDEX($X$2:$X$1001,MATCH(ROWS($V$2:V608),$V$2:$V$1001,0),0), INDEX($AC$1004:$AS$1004,1,MATCH(COLUMNS($AC$1006:AF1006),$AC$1006:$AS$1006,0)))),"Fix")))</f>
        <v>0</v>
      </c>
      <c r="F608" s="5">
        <f>IF(OR(INDEX($W$2:$W$1001,MATCH(ROWS($V$2:V608),$V$2:$V$1001,0),1)&gt;=100000,INDEX($AC$1005:$AS$1005,1,MATCH(COLUMNS($AC$1006:AG1006),$AC$1006:$AS$1006,0))&gt;=100000), " ",IF(INDEX($AC$2:$AS$1001,MATCH(ROWS($V$2:V608),$V$2:$V$1001,0),MATCH(COLUMNS($AC$1006:AG1006),$AC$1006:$AS$1006,0)), HYPERLINK("#",""), HYPERLINK(CONCATENATE("#Metadata!", ADDRESS(INDEX($X$2:$X$1001,MATCH(ROWS($V$2:V608),$V$2:$V$1001,0),0), INDEX($AC$1004:$AS$1004,1,MATCH(COLUMNS($AC$1006:AG1006),$AC$1006:$AS$1006,0)))),"Fix")))</f>
        <v>0</v>
      </c>
      <c r="G608" s="5">
        <f>IF(OR(INDEX($W$2:$W$1001,MATCH(ROWS($V$2:V608),$V$2:$V$1001,0),1)&gt;=100000,INDEX($AC$1005:$AS$1005,1,MATCH(COLUMNS($AC$1006:AH1006),$AC$1006:$AS$1006,0))&gt;=100000), " ",IF(INDEX($AC$2:$AS$1001,MATCH(ROWS($V$2:V608),$V$2:$V$1001,0),MATCH(COLUMNS($AC$1006:AH1006),$AC$1006:$AS$1006,0)), HYPERLINK("#",""), HYPERLINK(CONCATENATE("#Metadata!", ADDRESS(INDEX($X$2:$X$1001,MATCH(ROWS($V$2:V608),$V$2:$V$1001,0),0), INDEX($AC$1004:$AS$1004,1,MATCH(COLUMNS($AC$1006:AH1006),$AC$1006:$AS$1006,0)))),"Fix")))</f>
        <v>0</v>
      </c>
      <c r="H608" s="5">
        <f>IF(OR(INDEX($W$2:$W$1001,MATCH(ROWS($V$2:V608),$V$2:$V$1001,0),1)&gt;=100000,INDEX($AC$1005:$AS$1005,1,MATCH(COLUMNS($AC$1006:AI1006),$AC$1006:$AS$1006,0))&gt;=100000), " ",IF(INDEX($AC$2:$AS$1001,MATCH(ROWS($V$2:V608),$V$2:$V$1001,0),MATCH(COLUMNS($AC$1006:AI1006),$AC$1006:$AS$1006,0)), HYPERLINK("#",""), HYPERLINK(CONCATENATE("#Metadata!", ADDRESS(INDEX($X$2:$X$1001,MATCH(ROWS($V$2:V608),$V$2:$V$1001,0),0), INDEX($AC$1004:$AS$1004,1,MATCH(COLUMNS($AC$1006:AI1006),$AC$1006:$AS$1006,0)))),"Fix")))</f>
        <v>0</v>
      </c>
      <c r="I608" s="5">
        <f>IF(OR(INDEX($W$2:$W$1001,MATCH(ROWS($V$2:V608),$V$2:$V$1001,0),1)&gt;=100000,INDEX($AC$1005:$AS$1005,1,MATCH(COLUMNS($AC$1006:AJ1006),$AC$1006:$AS$1006,0))&gt;=100000), " ",IF(INDEX($AC$2:$AS$1001,MATCH(ROWS($V$2:V608),$V$2:$V$1001,0),MATCH(COLUMNS($AC$1006:AJ1006),$AC$1006:$AS$1006,0)), HYPERLINK("#",""), HYPERLINK(CONCATENATE("#Metadata!", ADDRESS(INDEX($X$2:$X$1001,MATCH(ROWS($V$2:V608),$V$2:$V$1001,0),0), INDEX($AC$1004:$AS$1004,1,MATCH(COLUMNS($AC$1006:AJ1006),$AC$1006:$AS$1006,0)))),"Fix")))</f>
        <v>0</v>
      </c>
      <c r="J608" s="5">
        <f>IF(OR(INDEX($W$2:$W$1001,MATCH(ROWS($V$2:V608),$V$2:$V$1001,0),1)&gt;=100000,INDEX($AC$1005:$AS$1005,1,MATCH(COLUMNS($AC$1006:AK1006),$AC$1006:$AS$1006,0))&gt;=100000), " ",IF(INDEX($AC$2:$AS$1001,MATCH(ROWS($V$2:V608),$V$2:$V$1001,0),MATCH(COLUMNS($AC$1006:AK1006),$AC$1006:$AS$1006,0)), HYPERLINK("#",""), HYPERLINK(CONCATENATE("#Metadata!", ADDRESS(INDEX($X$2:$X$1001,MATCH(ROWS($V$2:V608),$V$2:$V$1001,0),0), INDEX($AC$1004:$AS$1004,1,MATCH(COLUMNS($AC$1006:AK1006),$AC$1006:$AS$1006,0)))),"Fix")))</f>
        <v>0</v>
      </c>
      <c r="K608" s="5">
        <f>IF(OR(INDEX($W$2:$W$1001,MATCH(ROWS($V$2:V608),$V$2:$V$1001,0),1)&gt;=100000,INDEX($AC$1005:$AS$1005,1,MATCH(COLUMNS($AC$1006:AL1006),$AC$1006:$AS$1006,0))&gt;=100000), " ",IF(INDEX($AC$2:$AS$1001,MATCH(ROWS($V$2:V608),$V$2:$V$1001,0),MATCH(COLUMNS($AC$1006:AL1006),$AC$1006:$AS$1006,0)), HYPERLINK("#",""), HYPERLINK(CONCATENATE("#Metadata!", ADDRESS(INDEX($X$2:$X$1001,MATCH(ROWS($V$2:V608),$V$2:$V$1001,0),0), INDEX($AC$1004:$AS$1004,1,MATCH(COLUMNS($AC$1006:AL1006),$AC$1006:$AS$1006,0)))),"Fix")))</f>
        <v>0</v>
      </c>
      <c r="L608" s="5">
        <f>IF(OR(INDEX($W$2:$W$1001,MATCH(ROWS($V$2:V608),$V$2:$V$1001,0),1)&gt;=100000,INDEX($AC$1005:$AS$1005,1,MATCH(COLUMNS($AC$1006:AM1006),$AC$1006:$AS$1006,0))&gt;=100000), " ",IF(INDEX($AC$2:$AS$1001,MATCH(ROWS($V$2:V608),$V$2:$V$1001,0),MATCH(COLUMNS($AC$1006:AM1006),$AC$1006:$AS$1006,0)), HYPERLINK("#",""), HYPERLINK(CONCATENATE("#Metadata!", ADDRESS(INDEX($X$2:$X$1001,MATCH(ROWS($V$2:V608),$V$2:$V$1001,0),0), INDEX($AC$1004:$AS$1004,1,MATCH(COLUMNS($AC$1006:AM1006),$AC$1006:$AS$1006,0)))),"Fix")))</f>
        <v>0</v>
      </c>
      <c r="M608" s="5">
        <f>IF(OR(INDEX($W$2:$W$1001,MATCH(ROWS($V$2:V608),$V$2:$V$1001,0),1)&gt;=100000,INDEX($AC$1005:$AS$1005,1,MATCH(COLUMNS($AC$1006:AN1006),$AC$1006:$AS$1006,0))&gt;=100000), " ",IF(INDEX($AC$2:$AS$1001,MATCH(ROWS($V$2:V608),$V$2:$V$1001,0),MATCH(COLUMNS($AC$1006:AN1006),$AC$1006:$AS$1006,0)), HYPERLINK("#",""), HYPERLINK(CONCATENATE("#Metadata!", ADDRESS(INDEX($X$2:$X$1001,MATCH(ROWS($V$2:V608),$V$2:$V$1001,0),0), INDEX($AC$1004:$AS$1004,1,MATCH(COLUMNS($AC$1006:AN1006),$AC$1006:$AS$1006,0)))),"Fix")))</f>
        <v>0</v>
      </c>
      <c r="N608" s="5">
        <f>IF(OR(INDEX($W$2:$W$1001,MATCH(ROWS($V$2:V608),$V$2:$V$1001,0),1)&gt;=100000,INDEX($AC$1005:$AS$1005,1,MATCH(COLUMNS($AC$1006:AO1006),$AC$1006:$AS$1006,0))&gt;=100000), " ",IF(INDEX($AC$2:$AS$1001,MATCH(ROWS($V$2:V608),$V$2:$V$1001,0),MATCH(COLUMNS($AC$1006:AO1006),$AC$1006:$AS$1006,0)), HYPERLINK("#",""), HYPERLINK(CONCATENATE("#Metadata!", ADDRESS(INDEX($X$2:$X$1001,MATCH(ROWS($V$2:V608),$V$2:$V$1001,0),0), INDEX($AC$1004:$AS$1004,1,MATCH(COLUMNS($AC$1006:AO1006),$AC$1006:$AS$1006,0)))),"Fix")))</f>
        <v>0</v>
      </c>
      <c r="O608" s="5">
        <f>IF(OR(INDEX($W$2:$W$1001,MATCH(ROWS($V$2:V608),$V$2:$V$1001,0),1)&gt;=100000,INDEX($AC$1005:$AS$1005,1,MATCH(COLUMNS($AC$1006:AP1006),$AC$1006:$AS$1006,0))&gt;=100000), " ",IF(INDEX($AC$2:$AS$1001,MATCH(ROWS($V$2:V608),$V$2:$V$1001,0),MATCH(COLUMNS($AC$1006:AP1006),$AC$1006:$AS$1006,0)), HYPERLINK("#",""), HYPERLINK(CONCATENATE("#Metadata!", ADDRESS(INDEX($X$2:$X$1001,MATCH(ROWS($V$2:V608),$V$2:$V$1001,0),0), INDEX($AC$1004:$AS$1004,1,MATCH(COLUMNS($AC$1006:AP1006),$AC$1006:$AS$1006,0)))),"Fix")))</f>
        <v>0</v>
      </c>
      <c r="P608" s="5">
        <f>IF(OR(INDEX($W$2:$W$1001,MATCH(ROWS($V$2:V608),$V$2:$V$1001,0),1)&gt;=100000,INDEX($AC$1005:$AS$1005,1,MATCH(COLUMNS($AC$1006:AQ1006),$AC$1006:$AS$1006,0))&gt;=100000), " ",IF(INDEX($AC$2:$AS$1001,MATCH(ROWS($V$2:V608),$V$2:$V$1001,0),MATCH(COLUMNS($AC$1006:AQ1006),$AC$1006:$AS$1006,0)), HYPERLINK("#",""), HYPERLINK(CONCATENATE("#Metadata!", ADDRESS(INDEX($X$2:$X$1001,MATCH(ROWS($V$2:V608),$V$2:$V$1001,0),0), INDEX($AC$1004:$AS$1004,1,MATCH(COLUMNS($AC$1006:AQ1006),$AC$1006:$AS$1006,0)))),"Fix")))</f>
        <v>0</v>
      </c>
      <c r="Q608" s="5">
        <f>IF(OR(INDEX($W$2:$W$1001,MATCH(ROWS($V$2:V608),$V$2:$V$1001,0),1)&gt;=100000,INDEX($AC$1005:$AS$1005,1,MATCH(COLUMNS($AC$1006:AR1006),$AC$1006:$AS$1006,0))&gt;=100000), " ",IF(INDEX($AC$2:$AS$1001,MATCH(ROWS($V$2:V608),$V$2:$V$1001,0),MATCH(COLUMNS($AC$1006:AR1006),$AC$1006:$AS$1006,0)), HYPERLINK("#",""), HYPERLINK(CONCATENATE("#Metadata!", ADDRESS(INDEX($X$2:$X$1001,MATCH(ROWS($V$2:V608),$V$2:$V$1001,0),0), INDEX($AC$1004:$AS$1004,1,MATCH(COLUMNS($AC$1006:AR1006),$AC$1006:$AS$1006,0)))),"Fix")))</f>
        <v>0</v>
      </c>
      <c r="R608" s="5">
        <f>IF(OR(INDEX($W$2:$W$1001,MATCH(ROWS($V$2:V608),$V$2:$V$1001,0),1)&gt;=100000,INDEX($AC$1005:$AS$1005,1,MATCH(COLUMNS($AC$1006:AS1006),$AC$1006:$AS$1006,0))&gt;=100000), " ",IF(INDEX($AC$2:$AS$1001,MATCH(ROWS($V$2:V608),$V$2:$V$1001,0),MATCH(COLUMNS($AC$1006:AS1006),$AC$1006:$AS$1006,0)), HYPERLINK("#",""), HYPERLINK(CONCATENATE("#Metadata!", ADDRESS(INDEX($X$2:$X$1001,MATCH(ROWS($V$2:V608),$V$2:$V$1001,0),0), INDEX($AC$1004:$AS$1004,1,MATCH(COLUMNS($AC$1006:AS1006),$AC$1006:$AS$1006,0)))),"Fix")))</f>
        <v>0</v>
      </c>
      <c r="V608">
        <v>0</v>
      </c>
      <c r="W608">
        <v>0</v>
      </c>
      <c r="X608">
        <v>0</v>
      </c>
      <c r="Y608">
        <f>IF(Z608,TRUE,AND(AC608:AS608))</f>
        <v>0</v>
      </c>
      <c r="Z608">
        <f>COUNTBLANK(Metadata!B608:R608)=COLUMNS(Metadata!B608:R608)</f>
        <v>0</v>
      </c>
      <c r="AA608">
        <v>0</v>
      </c>
      <c r="AC608">
        <f>AND(IF(Metadata!B608="",FALSE,TRUE),COUNTIF(Metadata!B:B, Metadata!B608) = 1,NOT(ISERROR(SUMPRODUCT(SEARCH(MID(Metadata!B608,ROW(INDIRECT("1:"&amp;LEN(Metadata!B608))), 1),"0123456789abcdefghijklmnopqrstuvwxyzABCDEFGHIJKLMNOPQRSTUVWXYZ.")))))</f>
        <v>0</v>
      </c>
      <c r="AD608">
        <f>AND(IF(Metadata!C608="",FALSE,TRUE),exact(Metadata!C608,"Host-associated"))</f>
        <v>0</v>
      </c>
      <c r="AE608">
        <f>AND(IF(Metadata!D608="",FALSE,TRUE),OR(exact(Metadata!D608,"Animal"),exact(Metadata!D608,"Fungus"),exact(Metadata!D608,"Plant")))</f>
        <v>0</v>
      </c>
      <c r="AF608">
        <f>AND(IF(Metadata!E608="",FALSE,TRUE),OR(exact(Metadata!E608,"Plant secretion"),exact(Metadata!E608,"Plant rhizosphere"),exact(Metadata!E608,"Plant surface"),exact(Metadata!E608,"Plant corpus"),exact(Metadata!E608,"Fungus surface"),exact(Metadata!E608,"Fungus corpus"),exact(Metadata!E608,"Animal surface"),exact(Metadata!E608,"Animal proximal gut"),exact(Metadata!E608,"Animal corpus"),exact(Metadata!E608,"Animal distal gut"),exact(Metadata!E608,"Animal secretion")))</f>
        <v>0</v>
      </c>
      <c r="AG608">
        <f>OR(AND(IF(Metadata!F608="",FALSE,TRUE),OR(exact(Metadata!F608,"not collected"),exact(Metadata!F608,"not provided"),exact(Metadata!F608,"restricted access"))),AND(IF(Metadata!F608="",FALSE,TRUE),OR(exact(Metadata!F608,"organism-associated habitat"),exact(Metadata!F608,"plant-associated habitat"),exact(Metadata!F608,"animal-associated habitat"),exact(Metadata!F608,"insecta-associated habitat"),exact(Metadata!F608,"mammalia-associated habitat"),exact(Metadata!F608,"human-associated habitat"),exact(Metadata!F608,"livestock-associated habitat"))))</f>
        <v>0</v>
      </c>
      <c r="AH608">
        <f>AND(IF(Metadata!G608="",FALSE,TRUE),exact(Metadata!G608,"host-associated"))</f>
        <v>0</v>
      </c>
      <c r="AI608">
        <f>OR(AND(IF(Metadata!H608="",FALSE,TRUE),OR(exact(Metadata!H608,"not collected"),exact(Metadata!H608,"not provided"))),AND(IF(Metadata!H608="",FALSE,ISNUMBER(VALUE(Metadata!H608))),Metadata!H608&gt;0))</f>
        <v>0</v>
      </c>
      <c r="AJ608">
        <f>AND(IF(Metadata!I608="",FALSE,TRUE),exact(Metadata!I608,"years"))</f>
        <v>0</v>
      </c>
      <c r="AK608">
        <f>IF(Metadata!J608="",FALSE,TRUE)</f>
        <v>0</v>
      </c>
      <c r="AL608">
        <f>OR(AND(IF(Metadata!K608="",FALSE,TRUE),OR(exact(Metadata!K608,"not collected"),exact(Metadata!K608,"not provided"))),AND(IF(Metadata!K608="",FALSE,ISNUMBER(VALUE(Metadata!K608))),Metadata!K608&gt;0))</f>
        <v>0</v>
      </c>
      <c r="AM608">
        <f>AND(IF(Metadata!L608="",FALSE,TRUE),exact(Metadata!L608,"cm"))</f>
        <v>0</v>
      </c>
      <c r="AN608">
        <f>IF(Metadata!M608="",FALSE,TRUE)</f>
        <v>0</v>
      </c>
      <c r="AO608">
        <f>OR(AND(IF(Metadata!N608="",FALSE,TRUE),OR(exact(Metadata!N608,"not applicable"),exact(Metadata!N608,"not collected"),exact(Metadata!N608,"not provided"))),AND(IF(Metadata!N608="",FALSE,IF(ISERROR(INT(Metadata!N608)),FALSE,INT(Metadata!N608)=Metadata!N608)),Metadata!N608&gt;0))</f>
        <v>0</v>
      </c>
      <c r="AP608">
        <f>OR(AND(IF(Metadata!O608="",FALSE,TRUE),OR(exact(Metadata!O608,"not collected"),exact(Metadata!O608,"not provided"))),AND(IF(Metadata!O608="",FALSE,ISNUMBER(VALUE(Metadata!O608))),Metadata!O608&gt;0))</f>
        <v>0</v>
      </c>
      <c r="AQ608">
        <f>AND(IF(Metadata!P608="",FALSE,TRUE),exact(Metadata!P608,"kg"))</f>
        <v>0</v>
      </c>
      <c r="AR608">
        <f>OR(AND(IF(Metadata!Q608="",FALSE,TRUE),OR(exact(Metadata!Q608,"not applicable"),exact(Metadata!Q608,"not collected"),exact(Metadata!Q608,"not provided"),exact(Metadata!Q608,"restricted access"))),IF(Metadata!Q608="",FALSE,IF(ISERROR(INT(Metadata!Q608)),FALSE,INT(Metadata!Q608)=Metadata!Q608)))</f>
        <v>0</v>
      </c>
      <c r="AS608">
        <f>AND(IF(Metadata!R608="",FALSE,TRUE),exact(Metadata!R608,"Not applicable"))</f>
        <v>0</v>
      </c>
    </row>
    <row r="609" spans="1:45">
      <c r="A609" s="4">
        <f>IF(B609=" "," ",HYPERLINK(CONCATENATE("#metadata!",ADDRESS(INDEX($X$2:$X$1001,MATCH(ROWS($V$2:V609),$V$2:$V$1001,0),0),2)),INDEX($AA$2:$AA$1001,MATCH(ROWS($V$2:V609),$V$2:$V$1001,0),0)))</f>
        <v>0</v>
      </c>
      <c r="B609" s="5">
        <f>IF(OR(INDEX($W$2:$W$1001,MATCH(ROWS($V$2:V609),$V$2:$V$1001,0),1)&gt;=100000,INDEX($AC$1005:$AS$1005,1,MATCH(COLUMNS($AC$1006:AC1006),$AC$1006:$AS$1006,0))&gt;=100000), " ",IF(INDEX($AC$2:$AS$1001,MATCH(ROWS($V$2:V609),$V$2:$V$1001,0),MATCH(COLUMNS($AC$1006:AC1006),$AC$1006:$AS$1006,0)), HYPERLINK("#",""), HYPERLINK(CONCATENATE("#Metadata!", ADDRESS(INDEX($X$2:$X$1001,MATCH(ROWS($V$2:V609),$V$2:$V$1001,0),0), INDEX($AC$1004:$AS$1004,1,MATCH(COLUMNS($AC$1006:AC1006),$AC$1006:$AS$1006,0)))),"Fix")))</f>
        <v>0</v>
      </c>
      <c r="C609" s="5">
        <f>IF(OR(INDEX($W$2:$W$1001,MATCH(ROWS($V$2:V609),$V$2:$V$1001,0),1)&gt;=100000,INDEX($AC$1005:$AS$1005,1,MATCH(COLUMNS($AC$1006:AD1006),$AC$1006:$AS$1006,0))&gt;=100000), " ",IF(INDEX($AC$2:$AS$1001,MATCH(ROWS($V$2:V609),$V$2:$V$1001,0),MATCH(COLUMNS($AC$1006:AD1006),$AC$1006:$AS$1006,0)), HYPERLINK("#",""), HYPERLINK(CONCATENATE("#Metadata!", ADDRESS(INDEX($X$2:$X$1001,MATCH(ROWS($V$2:V609),$V$2:$V$1001,0),0), INDEX($AC$1004:$AS$1004,1,MATCH(COLUMNS($AC$1006:AD1006),$AC$1006:$AS$1006,0)))),"Fix")))</f>
        <v>0</v>
      </c>
      <c r="D609" s="5">
        <f>IF(OR(INDEX($W$2:$W$1001,MATCH(ROWS($V$2:V609),$V$2:$V$1001,0),1)&gt;=100000,INDEX($AC$1005:$AS$1005,1,MATCH(COLUMNS($AC$1006:AE1006),$AC$1006:$AS$1006,0))&gt;=100000), " ",IF(INDEX($AC$2:$AS$1001,MATCH(ROWS($V$2:V609),$V$2:$V$1001,0),MATCH(COLUMNS($AC$1006:AE1006),$AC$1006:$AS$1006,0)), HYPERLINK("#",""), HYPERLINK(CONCATENATE("#Metadata!", ADDRESS(INDEX($X$2:$X$1001,MATCH(ROWS($V$2:V609),$V$2:$V$1001,0),0), INDEX($AC$1004:$AS$1004,1,MATCH(COLUMNS($AC$1006:AE1006),$AC$1006:$AS$1006,0)))),"Fix")))</f>
        <v>0</v>
      </c>
      <c r="E609" s="5">
        <f>IF(OR(INDEX($W$2:$W$1001,MATCH(ROWS($V$2:V609),$V$2:$V$1001,0),1)&gt;=100000,INDEX($AC$1005:$AS$1005,1,MATCH(COLUMNS($AC$1006:AF1006),$AC$1006:$AS$1006,0))&gt;=100000), " ",IF(INDEX($AC$2:$AS$1001,MATCH(ROWS($V$2:V609),$V$2:$V$1001,0),MATCH(COLUMNS($AC$1006:AF1006),$AC$1006:$AS$1006,0)), HYPERLINK("#",""), HYPERLINK(CONCATENATE("#Metadata!", ADDRESS(INDEX($X$2:$X$1001,MATCH(ROWS($V$2:V609),$V$2:$V$1001,0),0), INDEX($AC$1004:$AS$1004,1,MATCH(COLUMNS($AC$1006:AF1006),$AC$1006:$AS$1006,0)))),"Fix")))</f>
        <v>0</v>
      </c>
      <c r="F609" s="5">
        <f>IF(OR(INDEX($W$2:$W$1001,MATCH(ROWS($V$2:V609),$V$2:$V$1001,0),1)&gt;=100000,INDEX($AC$1005:$AS$1005,1,MATCH(COLUMNS($AC$1006:AG1006),$AC$1006:$AS$1006,0))&gt;=100000), " ",IF(INDEX($AC$2:$AS$1001,MATCH(ROWS($V$2:V609),$V$2:$V$1001,0),MATCH(COLUMNS($AC$1006:AG1006),$AC$1006:$AS$1006,0)), HYPERLINK("#",""), HYPERLINK(CONCATENATE("#Metadata!", ADDRESS(INDEX($X$2:$X$1001,MATCH(ROWS($V$2:V609),$V$2:$V$1001,0),0), INDEX($AC$1004:$AS$1004,1,MATCH(COLUMNS($AC$1006:AG1006),$AC$1006:$AS$1006,0)))),"Fix")))</f>
        <v>0</v>
      </c>
      <c r="G609" s="5">
        <f>IF(OR(INDEX($W$2:$W$1001,MATCH(ROWS($V$2:V609),$V$2:$V$1001,0),1)&gt;=100000,INDEX($AC$1005:$AS$1005,1,MATCH(COLUMNS($AC$1006:AH1006),$AC$1006:$AS$1006,0))&gt;=100000), " ",IF(INDEX($AC$2:$AS$1001,MATCH(ROWS($V$2:V609),$V$2:$V$1001,0),MATCH(COLUMNS($AC$1006:AH1006),$AC$1006:$AS$1006,0)), HYPERLINK("#",""), HYPERLINK(CONCATENATE("#Metadata!", ADDRESS(INDEX($X$2:$X$1001,MATCH(ROWS($V$2:V609),$V$2:$V$1001,0),0), INDEX($AC$1004:$AS$1004,1,MATCH(COLUMNS($AC$1006:AH1006),$AC$1006:$AS$1006,0)))),"Fix")))</f>
        <v>0</v>
      </c>
      <c r="H609" s="5">
        <f>IF(OR(INDEX($W$2:$W$1001,MATCH(ROWS($V$2:V609),$V$2:$V$1001,0),1)&gt;=100000,INDEX($AC$1005:$AS$1005,1,MATCH(COLUMNS($AC$1006:AI1006),$AC$1006:$AS$1006,0))&gt;=100000), " ",IF(INDEX($AC$2:$AS$1001,MATCH(ROWS($V$2:V609),$V$2:$V$1001,0),MATCH(COLUMNS($AC$1006:AI1006),$AC$1006:$AS$1006,0)), HYPERLINK("#",""), HYPERLINK(CONCATENATE("#Metadata!", ADDRESS(INDEX($X$2:$X$1001,MATCH(ROWS($V$2:V609),$V$2:$V$1001,0),0), INDEX($AC$1004:$AS$1004,1,MATCH(COLUMNS($AC$1006:AI1006),$AC$1006:$AS$1006,0)))),"Fix")))</f>
        <v>0</v>
      </c>
      <c r="I609" s="5">
        <f>IF(OR(INDEX($W$2:$W$1001,MATCH(ROWS($V$2:V609),$V$2:$V$1001,0),1)&gt;=100000,INDEX($AC$1005:$AS$1005,1,MATCH(COLUMNS($AC$1006:AJ1006),$AC$1006:$AS$1006,0))&gt;=100000), " ",IF(INDEX($AC$2:$AS$1001,MATCH(ROWS($V$2:V609),$V$2:$V$1001,0),MATCH(COLUMNS($AC$1006:AJ1006),$AC$1006:$AS$1006,0)), HYPERLINK("#",""), HYPERLINK(CONCATENATE("#Metadata!", ADDRESS(INDEX($X$2:$X$1001,MATCH(ROWS($V$2:V609),$V$2:$V$1001,0),0), INDEX($AC$1004:$AS$1004,1,MATCH(COLUMNS($AC$1006:AJ1006),$AC$1006:$AS$1006,0)))),"Fix")))</f>
        <v>0</v>
      </c>
      <c r="J609" s="5">
        <f>IF(OR(INDEX($W$2:$W$1001,MATCH(ROWS($V$2:V609),$V$2:$V$1001,0),1)&gt;=100000,INDEX($AC$1005:$AS$1005,1,MATCH(COLUMNS($AC$1006:AK1006),$AC$1006:$AS$1006,0))&gt;=100000), " ",IF(INDEX($AC$2:$AS$1001,MATCH(ROWS($V$2:V609),$V$2:$V$1001,0),MATCH(COLUMNS($AC$1006:AK1006),$AC$1006:$AS$1006,0)), HYPERLINK("#",""), HYPERLINK(CONCATENATE("#Metadata!", ADDRESS(INDEX($X$2:$X$1001,MATCH(ROWS($V$2:V609),$V$2:$V$1001,0),0), INDEX($AC$1004:$AS$1004,1,MATCH(COLUMNS($AC$1006:AK1006),$AC$1006:$AS$1006,0)))),"Fix")))</f>
        <v>0</v>
      </c>
      <c r="K609" s="5">
        <f>IF(OR(INDEX($W$2:$W$1001,MATCH(ROWS($V$2:V609),$V$2:$V$1001,0),1)&gt;=100000,INDEX($AC$1005:$AS$1005,1,MATCH(COLUMNS($AC$1006:AL1006),$AC$1006:$AS$1006,0))&gt;=100000), " ",IF(INDEX($AC$2:$AS$1001,MATCH(ROWS($V$2:V609),$V$2:$V$1001,0),MATCH(COLUMNS($AC$1006:AL1006),$AC$1006:$AS$1006,0)), HYPERLINK("#",""), HYPERLINK(CONCATENATE("#Metadata!", ADDRESS(INDEX($X$2:$X$1001,MATCH(ROWS($V$2:V609),$V$2:$V$1001,0),0), INDEX($AC$1004:$AS$1004,1,MATCH(COLUMNS($AC$1006:AL1006),$AC$1006:$AS$1006,0)))),"Fix")))</f>
        <v>0</v>
      </c>
      <c r="L609" s="5">
        <f>IF(OR(INDEX($W$2:$W$1001,MATCH(ROWS($V$2:V609),$V$2:$V$1001,0),1)&gt;=100000,INDEX($AC$1005:$AS$1005,1,MATCH(COLUMNS($AC$1006:AM1006),$AC$1006:$AS$1006,0))&gt;=100000), " ",IF(INDEX($AC$2:$AS$1001,MATCH(ROWS($V$2:V609),$V$2:$V$1001,0),MATCH(COLUMNS($AC$1006:AM1006),$AC$1006:$AS$1006,0)), HYPERLINK("#",""), HYPERLINK(CONCATENATE("#Metadata!", ADDRESS(INDEX($X$2:$X$1001,MATCH(ROWS($V$2:V609),$V$2:$V$1001,0),0), INDEX($AC$1004:$AS$1004,1,MATCH(COLUMNS($AC$1006:AM1006),$AC$1006:$AS$1006,0)))),"Fix")))</f>
        <v>0</v>
      </c>
      <c r="M609" s="5">
        <f>IF(OR(INDEX($W$2:$W$1001,MATCH(ROWS($V$2:V609),$V$2:$V$1001,0),1)&gt;=100000,INDEX($AC$1005:$AS$1005,1,MATCH(COLUMNS($AC$1006:AN1006),$AC$1006:$AS$1006,0))&gt;=100000), " ",IF(INDEX($AC$2:$AS$1001,MATCH(ROWS($V$2:V609),$V$2:$V$1001,0),MATCH(COLUMNS($AC$1006:AN1006),$AC$1006:$AS$1006,0)), HYPERLINK("#",""), HYPERLINK(CONCATENATE("#Metadata!", ADDRESS(INDEX($X$2:$X$1001,MATCH(ROWS($V$2:V609),$V$2:$V$1001,0),0), INDEX($AC$1004:$AS$1004,1,MATCH(COLUMNS($AC$1006:AN1006),$AC$1006:$AS$1006,0)))),"Fix")))</f>
        <v>0</v>
      </c>
      <c r="N609" s="5">
        <f>IF(OR(INDEX($W$2:$W$1001,MATCH(ROWS($V$2:V609),$V$2:$V$1001,0),1)&gt;=100000,INDEX($AC$1005:$AS$1005,1,MATCH(COLUMNS($AC$1006:AO1006),$AC$1006:$AS$1006,0))&gt;=100000), " ",IF(INDEX($AC$2:$AS$1001,MATCH(ROWS($V$2:V609),$V$2:$V$1001,0),MATCH(COLUMNS($AC$1006:AO1006),$AC$1006:$AS$1006,0)), HYPERLINK("#",""), HYPERLINK(CONCATENATE("#Metadata!", ADDRESS(INDEX($X$2:$X$1001,MATCH(ROWS($V$2:V609),$V$2:$V$1001,0),0), INDEX($AC$1004:$AS$1004,1,MATCH(COLUMNS($AC$1006:AO1006),$AC$1006:$AS$1006,0)))),"Fix")))</f>
        <v>0</v>
      </c>
      <c r="O609" s="5">
        <f>IF(OR(INDEX($W$2:$W$1001,MATCH(ROWS($V$2:V609),$V$2:$V$1001,0),1)&gt;=100000,INDEX($AC$1005:$AS$1005,1,MATCH(COLUMNS($AC$1006:AP1006),$AC$1006:$AS$1006,0))&gt;=100000), " ",IF(INDEX($AC$2:$AS$1001,MATCH(ROWS($V$2:V609),$V$2:$V$1001,0),MATCH(COLUMNS($AC$1006:AP1006),$AC$1006:$AS$1006,0)), HYPERLINK("#",""), HYPERLINK(CONCATENATE("#Metadata!", ADDRESS(INDEX($X$2:$X$1001,MATCH(ROWS($V$2:V609),$V$2:$V$1001,0),0), INDEX($AC$1004:$AS$1004,1,MATCH(COLUMNS($AC$1006:AP1006),$AC$1006:$AS$1006,0)))),"Fix")))</f>
        <v>0</v>
      </c>
      <c r="P609" s="5">
        <f>IF(OR(INDEX($W$2:$W$1001,MATCH(ROWS($V$2:V609),$V$2:$V$1001,0),1)&gt;=100000,INDEX($AC$1005:$AS$1005,1,MATCH(COLUMNS($AC$1006:AQ1006),$AC$1006:$AS$1006,0))&gt;=100000), " ",IF(INDEX($AC$2:$AS$1001,MATCH(ROWS($V$2:V609),$V$2:$V$1001,0),MATCH(COLUMNS($AC$1006:AQ1006),$AC$1006:$AS$1006,0)), HYPERLINK("#",""), HYPERLINK(CONCATENATE("#Metadata!", ADDRESS(INDEX($X$2:$X$1001,MATCH(ROWS($V$2:V609),$V$2:$V$1001,0),0), INDEX($AC$1004:$AS$1004,1,MATCH(COLUMNS($AC$1006:AQ1006),$AC$1006:$AS$1006,0)))),"Fix")))</f>
        <v>0</v>
      </c>
      <c r="Q609" s="5">
        <f>IF(OR(INDEX($W$2:$W$1001,MATCH(ROWS($V$2:V609),$V$2:$V$1001,0),1)&gt;=100000,INDEX($AC$1005:$AS$1005,1,MATCH(COLUMNS($AC$1006:AR1006),$AC$1006:$AS$1006,0))&gt;=100000), " ",IF(INDEX($AC$2:$AS$1001,MATCH(ROWS($V$2:V609),$V$2:$V$1001,0),MATCH(COLUMNS($AC$1006:AR1006),$AC$1006:$AS$1006,0)), HYPERLINK("#",""), HYPERLINK(CONCATENATE("#Metadata!", ADDRESS(INDEX($X$2:$X$1001,MATCH(ROWS($V$2:V609),$V$2:$V$1001,0),0), INDEX($AC$1004:$AS$1004,1,MATCH(COLUMNS($AC$1006:AR1006),$AC$1006:$AS$1006,0)))),"Fix")))</f>
        <v>0</v>
      </c>
      <c r="R609" s="5">
        <f>IF(OR(INDEX($W$2:$W$1001,MATCH(ROWS($V$2:V609),$V$2:$V$1001,0),1)&gt;=100000,INDEX($AC$1005:$AS$1005,1,MATCH(COLUMNS($AC$1006:AS1006),$AC$1006:$AS$1006,0))&gt;=100000), " ",IF(INDEX($AC$2:$AS$1001,MATCH(ROWS($V$2:V609),$V$2:$V$1001,0),MATCH(COLUMNS($AC$1006:AS1006),$AC$1006:$AS$1006,0)), HYPERLINK("#",""), HYPERLINK(CONCATENATE("#Metadata!", ADDRESS(INDEX($X$2:$X$1001,MATCH(ROWS($V$2:V609),$V$2:$V$1001,0),0), INDEX($AC$1004:$AS$1004,1,MATCH(COLUMNS($AC$1006:AS1006),$AC$1006:$AS$1006,0)))),"Fix")))</f>
        <v>0</v>
      </c>
      <c r="V609">
        <v>0</v>
      </c>
      <c r="W609">
        <v>0</v>
      </c>
      <c r="X609">
        <v>0</v>
      </c>
      <c r="Y609">
        <f>IF(Z609,TRUE,AND(AC609:AS609))</f>
        <v>0</v>
      </c>
      <c r="Z609">
        <f>COUNTBLANK(Metadata!B609:R609)=COLUMNS(Metadata!B609:R609)</f>
        <v>0</v>
      </c>
      <c r="AA609">
        <v>0</v>
      </c>
      <c r="AC609">
        <f>AND(IF(Metadata!B609="",FALSE,TRUE),COUNTIF(Metadata!B:B, Metadata!B609) = 1,NOT(ISERROR(SUMPRODUCT(SEARCH(MID(Metadata!B609,ROW(INDIRECT("1:"&amp;LEN(Metadata!B609))), 1),"0123456789abcdefghijklmnopqrstuvwxyzABCDEFGHIJKLMNOPQRSTUVWXYZ.")))))</f>
        <v>0</v>
      </c>
      <c r="AD609">
        <f>AND(IF(Metadata!C609="",FALSE,TRUE),exact(Metadata!C609,"Host-associated"))</f>
        <v>0</v>
      </c>
      <c r="AE609">
        <f>AND(IF(Metadata!D609="",FALSE,TRUE),OR(exact(Metadata!D609,"Animal"),exact(Metadata!D609,"Fungus"),exact(Metadata!D609,"Plant")))</f>
        <v>0</v>
      </c>
      <c r="AF609">
        <f>AND(IF(Metadata!E609="",FALSE,TRUE),OR(exact(Metadata!E609,"Plant secretion"),exact(Metadata!E609,"Plant rhizosphere"),exact(Metadata!E609,"Plant surface"),exact(Metadata!E609,"Plant corpus"),exact(Metadata!E609,"Fungus surface"),exact(Metadata!E609,"Fungus corpus"),exact(Metadata!E609,"Animal surface"),exact(Metadata!E609,"Animal proximal gut"),exact(Metadata!E609,"Animal corpus"),exact(Metadata!E609,"Animal distal gut"),exact(Metadata!E609,"Animal secretion")))</f>
        <v>0</v>
      </c>
      <c r="AG609">
        <f>OR(AND(IF(Metadata!F609="",FALSE,TRUE),OR(exact(Metadata!F609,"not collected"),exact(Metadata!F609,"not provided"),exact(Metadata!F609,"restricted access"))),AND(IF(Metadata!F609="",FALSE,TRUE),OR(exact(Metadata!F609,"organism-associated habitat"),exact(Metadata!F609,"plant-associated habitat"),exact(Metadata!F609,"animal-associated habitat"),exact(Metadata!F609,"insecta-associated habitat"),exact(Metadata!F609,"mammalia-associated habitat"),exact(Metadata!F609,"human-associated habitat"),exact(Metadata!F609,"livestock-associated habitat"))))</f>
        <v>0</v>
      </c>
      <c r="AH609">
        <f>AND(IF(Metadata!G609="",FALSE,TRUE),exact(Metadata!G609,"host-associated"))</f>
        <v>0</v>
      </c>
      <c r="AI609">
        <f>OR(AND(IF(Metadata!H609="",FALSE,TRUE),OR(exact(Metadata!H609,"not collected"),exact(Metadata!H609,"not provided"))),AND(IF(Metadata!H609="",FALSE,ISNUMBER(VALUE(Metadata!H609))),Metadata!H609&gt;0))</f>
        <v>0</v>
      </c>
      <c r="AJ609">
        <f>AND(IF(Metadata!I609="",FALSE,TRUE),exact(Metadata!I609,"years"))</f>
        <v>0</v>
      </c>
      <c r="AK609">
        <f>IF(Metadata!J609="",FALSE,TRUE)</f>
        <v>0</v>
      </c>
      <c r="AL609">
        <f>OR(AND(IF(Metadata!K609="",FALSE,TRUE),OR(exact(Metadata!K609,"not collected"),exact(Metadata!K609,"not provided"))),AND(IF(Metadata!K609="",FALSE,ISNUMBER(VALUE(Metadata!K609))),Metadata!K609&gt;0))</f>
        <v>0</v>
      </c>
      <c r="AM609">
        <f>AND(IF(Metadata!L609="",FALSE,TRUE),exact(Metadata!L609,"cm"))</f>
        <v>0</v>
      </c>
      <c r="AN609">
        <f>IF(Metadata!M609="",FALSE,TRUE)</f>
        <v>0</v>
      </c>
      <c r="AO609">
        <f>OR(AND(IF(Metadata!N609="",FALSE,TRUE),OR(exact(Metadata!N609,"not applicable"),exact(Metadata!N609,"not collected"),exact(Metadata!N609,"not provided"))),AND(IF(Metadata!N609="",FALSE,IF(ISERROR(INT(Metadata!N609)),FALSE,INT(Metadata!N609)=Metadata!N609)),Metadata!N609&gt;0))</f>
        <v>0</v>
      </c>
      <c r="AP609">
        <f>OR(AND(IF(Metadata!O609="",FALSE,TRUE),OR(exact(Metadata!O609,"not collected"),exact(Metadata!O609,"not provided"))),AND(IF(Metadata!O609="",FALSE,ISNUMBER(VALUE(Metadata!O609))),Metadata!O609&gt;0))</f>
        <v>0</v>
      </c>
      <c r="AQ609">
        <f>AND(IF(Metadata!P609="",FALSE,TRUE),exact(Metadata!P609,"kg"))</f>
        <v>0</v>
      </c>
      <c r="AR609">
        <f>OR(AND(IF(Metadata!Q609="",FALSE,TRUE),OR(exact(Metadata!Q609,"not applicable"),exact(Metadata!Q609,"not collected"),exact(Metadata!Q609,"not provided"),exact(Metadata!Q609,"restricted access"))),IF(Metadata!Q609="",FALSE,IF(ISERROR(INT(Metadata!Q609)),FALSE,INT(Metadata!Q609)=Metadata!Q609)))</f>
        <v>0</v>
      </c>
      <c r="AS609">
        <f>AND(IF(Metadata!R609="",FALSE,TRUE),exact(Metadata!R609,"Not applicable"))</f>
        <v>0</v>
      </c>
    </row>
    <row r="610" spans="1:45">
      <c r="A610" s="4">
        <f>IF(B610=" "," ",HYPERLINK(CONCATENATE("#metadata!",ADDRESS(INDEX($X$2:$X$1001,MATCH(ROWS($V$2:V610),$V$2:$V$1001,0),0),2)),INDEX($AA$2:$AA$1001,MATCH(ROWS($V$2:V610),$V$2:$V$1001,0),0)))</f>
        <v>0</v>
      </c>
      <c r="B610" s="5">
        <f>IF(OR(INDEX($W$2:$W$1001,MATCH(ROWS($V$2:V610),$V$2:$V$1001,0),1)&gt;=100000,INDEX($AC$1005:$AS$1005,1,MATCH(COLUMNS($AC$1006:AC1006),$AC$1006:$AS$1006,0))&gt;=100000), " ",IF(INDEX($AC$2:$AS$1001,MATCH(ROWS($V$2:V610),$V$2:$V$1001,0),MATCH(COLUMNS($AC$1006:AC1006),$AC$1006:$AS$1006,0)), HYPERLINK("#",""), HYPERLINK(CONCATENATE("#Metadata!", ADDRESS(INDEX($X$2:$X$1001,MATCH(ROWS($V$2:V610),$V$2:$V$1001,0),0), INDEX($AC$1004:$AS$1004,1,MATCH(COLUMNS($AC$1006:AC1006),$AC$1006:$AS$1006,0)))),"Fix")))</f>
        <v>0</v>
      </c>
      <c r="C610" s="5">
        <f>IF(OR(INDEX($W$2:$W$1001,MATCH(ROWS($V$2:V610),$V$2:$V$1001,0),1)&gt;=100000,INDEX($AC$1005:$AS$1005,1,MATCH(COLUMNS($AC$1006:AD1006),$AC$1006:$AS$1006,0))&gt;=100000), " ",IF(INDEX($AC$2:$AS$1001,MATCH(ROWS($V$2:V610),$V$2:$V$1001,0),MATCH(COLUMNS($AC$1006:AD1006),$AC$1006:$AS$1006,0)), HYPERLINK("#",""), HYPERLINK(CONCATENATE("#Metadata!", ADDRESS(INDEX($X$2:$X$1001,MATCH(ROWS($V$2:V610),$V$2:$V$1001,0),0), INDEX($AC$1004:$AS$1004,1,MATCH(COLUMNS($AC$1006:AD1006),$AC$1006:$AS$1006,0)))),"Fix")))</f>
        <v>0</v>
      </c>
      <c r="D610" s="5">
        <f>IF(OR(INDEX($W$2:$W$1001,MATCH(ROWS($V$2:V610),$V$2:$V$1001,0),1)&gt;=100000,INDEX($AC$1005:$AS$1005,1,MATCH(COLUMNS($AC$1006:AE1006),$AC$1006:$AS$1006,0))&gt;=100000), " ",IF(INDEX($AC$2:$AS$1001,MATCH(ROWS($V$2:V610),$V$2:$V$1001,0),MATCH(COLUMNS($AC$1006:AE1006),$AC$1006:$AS$1006,0)), HYPERLINK("#",""), HYPERLINK(CONCATENATE("#Metadata!", ADDRESS(INDEX($X$2:$X$1001,MATCH(ROWS($V$2:V610),$V$2:$V$1001,0),0), INDEX($AC$1004:$AS$1004,1,MATCH(COLUMNS($AC$1006:AE1006),$AC$1006:$AS$1006,0)))),"Fix")))</f>
        <v>0</v>
      </c>
      <c r="E610" s="5">
        <f>IF(OR(INDEX($W$2:$W$1001,MATCH(ROWS($V$2:V610),$V$2:$V$1001,0),1)&gt;=100000,INDEX($AC$1005:$AS$1005,1,MATCH(COLUMNS($AC$1006:AF1006),$AC$1006:$AS$1006,0))&gt;=100000), " ",IF(INDEX($AC$2:$AS$1001,MATCH(ROWS($V$2:V610),$V$2:$V$1001,0),MATCH(COLUMNS($AC$1006:AF1006),$AC$1006:$AS$1006,0)), HYPERLINK("#",""), HYPERLINK(CONCATENATE("#Metadata!", ADDRESS(INDEX($X$2:$X$1001,MATCH(ROWS($V$2:V610),$V$2:$V$1001,0),0), INDEX($AC$1004:$AS$1004,1,MATCH(COLUMNS($AC$1006:AF1006),$AC$1006:$AS$1006,0)))),"Fix")))</f>
        <v>0</v>
      </c>
      <c r="F610" s="5">
        <f>IF(OR(INDEX($W$2:$W$1001,MATCH(ROWS($V$2:V610),$V$2:$V$1001,0),1)&gt;=100000,INDEX($AC$1005:$AS$1005,1,MATCH(COLUMNS($AC$1006:AG1006),$AC$1006:$AS$1006,0))&gt;=100000), " ",IF(INDEX($AC$2:$AS$1001,MATCH(ROWS($V$2:V610),$V$2:$V$1001,0),MATCH(COLUMNS($AC$1006:AG1006),$AC$1006:$AS$1006,0)), HYPERLINK("#",""), HYPERLINK(CONCATENATE("#Metadata!", ADDRESS(INDEX($X$2:$X$1001,MATCH(ROWS($V$2:V610),$V$2:$V$1001,0),0), INDEX($AC$1004:$AS$1004,1,MATCH(COLUMNS($AC$1006:AG1006),$AC$1006:$AS$1006,0)))),"Fix")))</f>
        <v>0</v>
      </c>
      <c r="G610" s="5">
        <f>IF(OR(INDEX($W$2:$W$1001,MATCH(ROWS($V$2:V610),$V$2:$V$1001,0),1)&gt;=100000,INDEX($AC$1005:$AS$1005,1,MATCH(COLUMNS($AC$1006:AH1006),$AC$1006:$AS$1006,0))&gt;=100000), " ",IF(INDEX($AC$2:$AS$1001,MATCH(ROWS($V$2:V610),$V$2:$V$1001,0),MATCH(COLUMNS($AC$1006:AH1006),$AC$1006:$AS$1006,0)), HYPERLINK("#",""), HYPERLINK(CONCATENATE("#Metadata!", ADDRESS(INDEX($X$2:$X$1001,MATCH(ROWS($V$2:V610),$V$2:$V$1001,0),0), INDEX($AC$1004:$AS$1004,1,MATCH(COLUMNS($AC$1006:AH1006),$AC$1006:$AS$1006,0)))),"Fix")))</f>
        <v>0</v>
      </c>
      <c r="H610" s="5">
        <f>IF(OR(INDEX($W$2:$W$1001,MATCH(ROWS($V$2:V610),$V$2:$V$1001,0),1)&gt;=100000,INDEX($AC$1005:$AS$1005,1,MATCH(COLUMNS($AC$1006:AI1006),$AC$1006:$AS$1006,0))&gt;=100000), " ",IF(INDEX($AC$2:$AS$1001,MATCH(ROWS($V$2:V610),$V$2:$V$1001,0),MATCH(COLUMNS($AC$1006:AI1006),$AC$1006:$AS$1006,0)), HYPERLINK("#",""), HYPERLINK(CONCATENATE("#Metadata!", ADDRESS(INDEX($X$2:$X$1001,MATCH(ROWS($V$2:V610),$V$2:$V$1001,0),0), INDEX($AC$1004:$AS$1004,1,MATCH(COLUMNS($AC$1006:AI1006),$AC$1006:$AS$1006,0)))),"Fix")))</f>
        <v>0</v>
      </c>
      <c r="I610" s="5">
        <f>IF(OR(INDEX($W$2:$W$1001,MATCH(ROWS($V$2:V610),$V$2:$V$1001,0),1)&gt;=100000,INDEX($AC$1005:$AS$1005,1,MATCH(COLUMNS($AC$1006:AJ1006),$AC$1006:$AS$1006,0))&gt;=100000), " ",IF(INDEX($AC$2:$AS$1001,MATCH(ROWS($V$2:V610),$V$2:$V$1001,0),MATCH(COLUMNS($AC$1006:AJ1006),$AC$1006:$AS$1006,0)), HYPERLINK("#",""), HYPERLINK(CONCATENATE("#Metadata!", ADDRESS(INDEX($X$2:$X$1001,MATCH(ROWS($V$2:V610),$V$2:$V$1001,0),0), INDEX($AC$1004:$AS$1004,1,MATCH(COLUMNS($AC$1006:AJ1006),$AC$1006:$AS$1006,0)))),"Fix")))</f>
        <v>0</v>
      </c>
      <c r="J610" s="5">
        <f>IF(OR(INDEX($W$2:$W$1001,MATCH(ROWS($V$2:V610),$V$2:$V$1001,0),1)&gt;=100000,INDEX($AC$1005:$AS$1005,1,MATCH(COLUMNS($AC$1006:AK1006),$AC$1006:$AS$1006,0))&gt;=100000), " ",IF(INDEX($AC$2:$AS$1001,MATCH(ROWS($V$2:V610),$V$2:$V$1001,0),MATCH(COLUMNS($AC$1006:AK1006),$AC$1006:$AS$1006,0)), HYPERLINK("#",""), HYPERLINK(CONCATENATE("#Metadata!", ADDRESS(INDEX($X$2:$X$1001,MATCH(ROWS($V$2:V610),$V$2:$V$1001,0),0), INDEX($AC$1004:$AS$1004,1,MATCH(COLUMNS($AC$1006:AK1006),$AC$1006:$AS$1006,0)))),"Fix")))</f>
        <v>0</v>
      </c>
      <c r="K610" s="5">
        <f>IF(OR(INDEX($W$2:$W$1001,MATCH(ROWS($V$2:V610),$V$2:$V$1001,0),1)&gt;=100000,INDEX($AC$1005:$AS$1005,1,MATCH(COLUMNS($AC$1006:AL1006),$AC$1006:$AS$1006,0))&gt;=100000), " ",IF(INDEX($AC$2:$AS$1001,MATCH(ROWS($V$2:V610),$V$2:$V$1001,0),MATCH(COLUMNS($AC$1006:AL1006),$AC$1006:$AS$1006,0)), HYPERLINK("#",""), HYPERLINK(CONCATENATE("#Metadata!", ADDRESS(INDEX($X$2:$X$1001,MATCH(ROWS($V$2:V610),$V$2:$V$1001,0),0), INDEX($AC$1004:$AS$1004,1,MATCH(COLUMNS($AC$1006:AL1006),$AC$1006:$AS$1006,0)))),"Fix")))</f>
        <v>0</v>
      </c>
      <c r="L610" s="5">
        <f>IF(OR(INDEX($W$2:$W$1001,MATCH(ROWS($V$2:V610),$V$2:$V$1001,0),1)&gt;=100000,INDEX($AC$1005:$AS$1005,1,MATCH(COLUMNS($AC$1006:AM1006),$AC$1006:$AS$1006,0))&gt;=100000), " ",IF(INDEX($AC$2:$AS$1001,MATCH(ROWS($V$2:V610),$V$2:$V$1001,0),MATCH(COLUMNS($AC$1006:AM1006),$AC$1006:$AS$1006,0)), HYPERLINK("#",""), HYPERLINK(CONCATENATE("#Metadata!", ADDRESS(INDEX($X$2:$X$1001,MATCH(ROWS($V$2:V610),$V$2:$V$1001,0),0), INDEX($AC$1004:$AS$1004,1,MATCH(COLUMNS($AC$1006:AM1006),$AC$1006:$AS$1006,0)))),"Fix")))</f>
        <v>0</v>
      </c>
      <c r="M610" s="5">
        <f>IF(OR(INDEX($W$2:$W$1001,MATCH(ROWS($V$2:V610),$V$2:$V$1001,0),1)&gt;=100000,INDEX($AC$1005:$AS$1005,1,MATCH(COLUMNS($AC$1006:AN1006),$AC$1006:$AS$1006,0))&gt;=100000), " ",IF(INDEX($AC$2:$AS$1001,MATCH(ROWS($V$2:V610),$V$2:$V$1001,0),MATCH(COLUMNS($AC$1006:AN1006),$AC$1006:$AS$1006,0)), HYPERLINK("#",""), HYPERLINK(CONCATENATE("#Metadata!", ADDRESS(INDEX($X$2:$X$1001,MATCH(ROWS($V$2:V610),$V$2:$V$1001,0),0), INDEX($AC$1004:$AS$1004,1,MATCH(COLUMNS($AC$1006:AN1006),$AC$1006:$AS$1006,0)))),"Fix")))</f>
        <v>0</v>
      </c>
      <c r="N610" s="5">
        <f>IF(OR(INDEX($W$2:$W$1001,MATCH(ROWS($V$2:V610),$V$2:$V$1001,0),1)&gt;=100000,INDEX($AC$1005:$AS$1005,1,MATCH(COLUMNS($AC$1006:AO1006),$AC$1006:$AS$1006,0))&gt;=100000), " ",IF(INDEX($AC$2:$AS$1001,MATCH(ROWS($V$2:V610),$V$2:$V$1001,0),MATCH(COLUMNS($AC$1006:AO1006),$AC$1006:$AS$1006,0)), HYPERLINK("#",""), HYPERLINK(CONCATENATE("#Metadata!", ADDRESS(INDEX($X$2:$X$1001,MATCH(ROWS($V$2:V610),$V$2:$V$1001,0),0), INDEX($AC$1004:$AS$1004,1,MATCH(COLUMNS($AC$1006:AO1006),$AC$1006:$AS$1006,0)))),"Fix")))</f>
        <v>0</v>
      </c>
      <c r="O610" s="5">
        <f>IF(OR(INDEX($W$2:$W$1001,MATCH(ROWS($V$2:V610),$V$2:$V$1001,0),1)&gt;=100000,INDEX($AC$1005:$AS$1005,1,MATCH(COLUMNS($AC$1006:AP1006),$AC$1006:$AS$1006,0))&gt;=100000), " ",IF(INDEX($AC$2:$AS$1001,MATCH(ROWS($V$2:V610),$V$2:$V$1001,0),MATCH(COLUMNS($AC$1006:AP1006),$AC$1006:$AS$1006,0)), HYPERLINK("#",""), HYPERLINK(CONCATENATE("#Metadata!", ADDRESS(INDEX($X$2:$X$1001,MATCH(ROWS($V$2:V610),$V$2:$V$1001,0),0), INDEX($AC$1004:$AS$1004,1,MATCH(COLUMNS($AC$1006:AP1006),$AC$1006:$AS$1006,0)))),"Fix")))</f>
        <v>0</v>
      </c>
      <c r="P610" s="5">
        <f>IF(OR(INDEX($W$2:$W$1001,MATCH(ROWS($V$2:V610),$V$2:$V$1001,0),1)&gt;=100000,INDEX($AC$1005:$AS$1005,1,MATCH(COLUMNS($AC$1006:AQ1006),$AC$1006:$AS$1006,0))&gt;=100000), " ",IF(INDEX($AC$2:$AS$1001,MATCH(ROWS($V$2:V610),$V$2:$V$1001,0),MATCH(COLUMNS($AC$1006:AQ1006),$AC$1006:$AS$1006,0)), HYPERLINK("#",""), HYPERLINK(CONCATENATE("#Metadata!", ADDRESS(INDEX($X$2:$X$1001,MATCH(ROWS($V$2:V610),$V$2:$V$1001,0),0), INDEX($AC$1004:$AS$1004,1,MATCH(COLUMNS($AC$1006:AQ1006),$AC$1006:$AS$1006,0)))),"Fix")))</f>
        <v>0</v>
      </c>
      <c r="Q610" s="5">
        <f>IF(OR(INDEX($W$2:$W$1001,MATCH(ROWS($V$2:V610),$V$2:$V$1001,0),1)&gt;=100000,INDEX($AC$1005:$AS$1005,1,MATCH(COLUMNS($AC$1006:AR1006),$AC$1006:$AS$1006,0))&gt;=100000), " ",IF(INDEX($AC$2:$AS$1001,MATCH(ROWS($V$2:V610),$V$2:$V$1001,0),MATCH(COLUMNS($AC$1006:AR1006),$AC$1006:$AS$1006,0)), HYPERLINK("#",""), HYPERLINK(CONCATENATE("#Metadata!", ADDRESS(INDEX($X$2:$X$1001,MATCH(ROWS($V$2:V610),$V$2:$V$1001,0),0), INDEX($AC$1004:$AS$1004,1,MATCH(COLUMNS($AC$1006:AR1006),$AC$1006:$AS$1006,0)))),"Fix")))</f>
        <v>0</v>
      </c>
      <c r="R610" s="5">
        <f>IF(OR(INDEX($W$2:$W$1001,MATCH(ROWS($V$2:V610),$V$2:$V$1001,0),1)&gt;=100000,INDEX($AC$1005:$AS$1005,1,MATCH(COLUMNS($AC$1006:AS1006),$AC$1006:$AS$1006,0))&gt;=100000), " ",IF(INDEX($AC$2:$AS$1001,MATCH(ROWS($V$2:V610),$V$2:$V$1001,0),MATCH(COLUMNS($AC$1006:AS1006),$AC$1006:$AS$1006,0)), HYPERLINK("#",""), HYPERLINK(CONCATENATE("#Metadata!", ADDRESS(INDEX($X$2:$X$1001,MATCH(ROWS($V$2:V610),$V$2:$V$1001,0),0), INDEX($AC$1004:$AS$1004,1,MATCH(COLUMNS($AC$1006:AS1006),$AC$1006:$AS$1006,0)))),"Fix")))</f>
        <v>0</v>
      </c>
      <c r="V610">
        <v>0</v>
      </c>
      <c r="W610">
        <v>0</v>
      </c>
      <c r="X610">
        <v>0</v>
      </c>
      <c r="Y610">
        <f>IF(Z610,TRUE,AND(AC610:AS610))</f>
        <v>0</v>
      </c>
      <c r="Z610">
        <f>COUNTBLANK(Metadata!B610:R610)=COLUMNS(Metadata!B610:R610)</f>
        <v>0</v>
      </c>
      <c r="AA610">
        <v>0</v>
      </c>
      <c r="AC610">
        <f>AND(IF(Metadata!B610="",FALSE,TRUE),COUNTIF(Metadata!B:B, Metadata!B610) = 1,NOT(ISERROR(SUMPRODUCT(SEARCH(MID(Metadata!B610,ROW(INDIRECT("1:"&amp;LEN(Metadata!B610))), 1),"0123456789abcdefghijklmnopqrstuvwxyzABCDEFGHIJKLMNOPQRSTUVWXYZ.")))))</f>
        <v>0</v>
      </c>
      <c r="AD610">
        <f>AND(IF(Metadata!C610="",FALSE,TRUE),exact(Metadata!C610,"Host-associated"))</f>
        <v>0</v>
      </c>
      <c r="AE610">
        <f>AND(IF(Metadata!D610="",FALSE,TRUE),OR(exact(Metadata!D610,"Animal"),exact(Metadata!D610,"Fungus"),exact(Metadata!D610,"Plant")))</f>
        <v>0</v>
      </c>
      <c r="AF610">
        <f>AND(IF(Metadata!E610="",FALSE,TRUE),OR(exact(Metadata!E610,"Plant secretion"),exact(Metadata!E610,"Plant rhizosphere"),exact(Metadata!E610,"Plant surface"),exact(Metadata!E610,"Plant corpus"),exact(Metadata!E610,"Fungus surface"),exact(Metadata!E610,"Fungus corpus"),exact(Metadata!E610,"Animal surface"),exact(Metadata!E610,"Animal proximal gut"),exact(Metadata!E610,"Animal corpus"),exact(Metadata!E610,"Animal distal gut"),exact(Metadata!E610,"Animal secretion")))</f>
        <v>0</v>
      </c>
      <c r="AG610">
        <f>OR(AND(IF(Metadata!F610="",FALSE,TRUE),OR(exact(Metadata!F610,"not collected"),exact(Metadata!F610,"not provided"),exact(Metadata!F610,"restricted access"))),AND(IF(Metadata!F610="",FALSE,TRUE),OR(exact(Metadata!F610,"organism-associated habitat"),exact(Metadata!F610,"plant-associated habitat"),exact(Metadata!F610,"animal-associated habitat"),exact(Metadata!F610,"insecta-associated habitat"),exact(Metadata!F610,"mammalia-associated habitat"),exact(Metadata!F610,"human-associated habitat"),exact(Metadata!F610,"livestock-associated habitat"))))</f>
        <v>0</v>
      </c>
      <c r="AH610">
        <f>AND(IF(Metadata!G610="",FALSE,TRUE),exact(Metadata!G610,"host-associated"))</f>
        <v>0</v>
      </c>
      <c r="AI610">
        <f>OR(AND(IF(Metadata!H610="",FALSE,TRUE),OR(exact(Metadata!H610,"not collected"),exact(Metadata!H610,"not provided"))),AND(IF(Metadata!H610="",FALSE,ISNUMBER(VALUE(Metadata!H610))),Metadata!H610&gt;0))</f>
        <v>0</v>
      </c>
      <c r="AJ610">
        <f>AND(IF(Metadata!I610="",FALSE,TRUE),exact(Metadata!I610,"years"))</f>
        <v>0</v>
      </c>
      <c r="AK610">
        <f>IF(Metadata!J610="",FALSE,TRUE)</f>
        <v>0</v>
      </c>
      <c r="AL610">
        <f>OR(AND(IF(Metadata!K610="",FALSE,TRUE),OR(exact(Metadata!K610,"not collected"),exact(Metadata!K610,"not provided"))),AND(IF(Metadata!K610="",FALSE,ISNUMBER(VALUE(Metadata!K610))),Metadata!K610&gt;0))</f>
        <v>0</v>
      </c>
      <c r="AM610">
        <f>AND(IF(Metadata!L610="",FALSE,TRUE),exact(Metadata!L610,"cm"))</f>
        <v>0</v>
      </c>
      <c r="AN610">
        <f>IF(Metadata!M610="",FALSE,TRUE)</f>
        <v>0</v>
      </c>
      <c r="AO610">
        <f>OR(AND(IF(Metadata!N610="",FALSE,TRUE),OR(exact(Metadata!N610,"not applicable"),exact(Metadata!N610,"not collected"),exact(Metadata!N610,"not provided"))),AND(IF(Metadata!N610="",FALSE,IF(ISERROR(INT(Metadata!N610)),FALSE,INT(Metadata!N610)=Metadata!N610)),Metadata!N610&gt;0))</f>
        <v>0</v>
      </c>
      <c r="AP610">
        <f>OR(AND(IF(Metadata!O610="",FALSE,TRUE),OR(exact(Metadata!O610,"not collected"),exact(Metadata!O610,"not provided"))),AND(IF(Metadata!O610="",FALSE,ISNUMBER(VALUE(Metadata!O610))),Metadata!O610&gt;0))</f>
        <v>0</v>
      </c>
      <c r="AQ610">
        <f>AND(IF(Metadata!P610="",FALSE,TRUE),exact(Metadata!P610,"kg"))</f>
        <v>0</v>
      </c>
      <c r="AR610">
        <f>OR(AND(IF(Metadata!Q610="",FALSE,TRUE),OR(exact(Metadata!Q610,"not applicable"),exact(Metadata!Q610,"not collected"),exact(Metadata!Q610,"not provided"),exact(Metadata!Q610,"restricted access"))),IF(Metadata!Q610="",FALSE,IF(ISERROR(INT(Metadata!Q610)),FALSE,INT(Metadata!Q610)=Metadata!Q610)))</f>
        <v>0</v>
      </c>
      <c r="AS610">
        <f>AND(IF(Metadata!R610="",FALSE,TRUE),exact(Metadata!R610,"Not applicable"))</f>
        <v>0</v>
      </c>
    </row>
    <row r="611" spans="1:45">
      <c r="A611" s="4">
        <f>IF(B611=" "," ",HYPERLINK(CONCATENATE("#metadata!",ADDRESS(INDEX($X$2:$X$1001,MATCH(ROWS($V$2:V611),$V$2:$V$1001,0),0),2)),INDEX($AA$2:$AA$1001,MATCH(ROWS($V$2:V611),$V$2:$V$1001,0),0)))</f>
        <v>0</v>
      </c>
      <c r="B611" s="5">
        <f>IF(OR(INDEX($W$2:$W$1001,MATCH(ROWS($V$2:V611),$V$2:$V$1001,0),1)&gt;=100000,INDEX($AC$1005:$AS$1005,1,MATCH(COLUMNS($AC$1006:AC1006),$AC$1006:$AS$1006,0))&gt;=100000), " ",IF(INDEX($AC$2:$AS$1001,MATCH(ROWS($V$2:V611),$V$2:$V$1001,0),MATCH(COLUMNS($AC$1006:AC1006),$AC$1006:$AS$1006,0)), HYPERLINK("#",""), HYPERLINK(CONCATENATE("#Metadata!", ADDRESS(INDEX($X$2:$X$1001,MATCH(ROWS($V$2:V611),$V$2:$V$1001,0),0), INDEX($AC$1004:$AS$1004,1,MATCH(COLUMNS($AC$1006:AC1006),$AC$1006:$AS$1006,0)))),"Fix")))</f>
        <v>0</v>
      </c>
      <c r="C611" s="5">
        <f>IF(OR(INDEX($W$2:$W$1001,MATCH(ROWS($V$2:V611),$V$2:$V$1001,0),1)&gt;=100000,INDEX($AC$1005:$AS$1005,1,MATCH(COLUMNS($AC$1006:AD1006),$AC$1006:$AS$1006,0))&gt;=100000), " ",IF(INDEX($AC$2:$AS$1001,MATCH(ROWS($V$2:V611),$V$2:$V$1001,0),MATCH(COLUMNS($AC$1006:AD1006),$AC$1006:$AS$1006,0)), HYPERLINK("#",""), HYPERLINK(CONCATENATE("#Metadata!", ADDRESS(INDEX($X$2:$X$1001,MATCH(ROWS($V$2:V611),$V$2:$V$1001,0),0), INDEX($AC$1004:$AS$1004,1,MATCH(COLUMNS($AC$1006:AD1006),$AC$1006:$AS$1006,0)))),"Fix")))</f>
        <v>0</v>
      </c>
      <c r="D611" s="5">
        <f>IF(OR(INDEX($W$2:$W$1001,MATCH(ROWS($V$2:V611),$V$2:$V$1001,0),1)&gt;=100000,INDEX($AC$1005:$AS$1005,1,MATCH(COLUMNS($AC$1006:AE1006),$AC$1006:$AS$1006,0))&gt;=100000), " ",IF(INDEX($AC$2:$AS$1001,MATCH(ROWS($V$2:V611),$V$2:$V$1001,0),MATCH(COLUMNS($AC$1006:AE1006),$AC$1006:$AS$1006,0)), HYPERLINK("#",""), HYPERLINK(CONCATENATE("#Metadata!", ADDRESS(INDEX($X$2:$X$1001,MATCH(ROWS($V$2:V611),$V$2:$V$1001,0),0), INDEX($AC$1004:$AS$1004,1,MATCH(COLUMNS($AC$1006:AE1006),$AC$1006:$AS$1006,0)))),"Fix")))</f>
        <v>0</v>
      </c>
      <c r="E611" s="5">
        <f>IF(OR(INDEX($W$2:$W$1001,MATCH(ROWS($V$2:V611),$V$2:$V$1001,0),1)&gt;=100000,INDEX($AC$1005:$AS$1005,1,MATCH(COLUMNS($AC$1006:AF1006),$AC$1006:$AS$1006,0))&gt;=100000), " ",IF(INDEX($AC$2:$AS$1001,MATCH(ROWS($V$2:V611),$V$2:$V$1001,0),MATCH(COLUMNS($AC$1006:AF1006),$AC$1006:$AS$1006,0)), HYPERLINK("#",""), HYPERLINK(CONCATENATE("#Metadata!", ADDRESS(INDEX($X$2:$X$1001,MATCH(ROWS($V$2:V611),$V$2:$V$1001,0),0), INDEX($AC$1004:$AS$1004,1,MATCH(COLUMNS($AC$1006:AF1006),$AC$1006:$AS$1006,0)))),"Fix")))</f>
        <v>0</v>
      </c>
      <c r="F611" s="5">
        <f>IF(OR(INDEX($W$2:$W$1001,MATCH(ROWS($V$2:V611),$V$2:$V$1001,0),1)&gt;=100000,INDEX($AC$1005:$AS$1005,1,MATCH(COLUMNS($AC$1006:AG1006),$AC$1006:$AS$1006,0))&gt;=100000), " ",IF(INDEX($AC$2:$AS$1001,MATCH(ROWS($V$2:V611),$V$2:$V$1001,0),MATCH(COLUMNS($AC$1006:AG1006),$AC$1006:$AS$1006,0)), HYPERLINK("#",""), HYPERLINK(CONCATENATE("#Metadata!", ADDRESS(INDEX($X$2:$X$1001,MATCH(ROWS($V$2:V611),$V$2:$V$1001,0),0), INDEX($AC$1004:$AS$1004,1,MATCH(COLUMNS($AC$1006:AG1006),$AC$1006:$AS$1006,0)))),"Fix")))</f>
        <v>0</v>
      </c>
      <c r="G611" s="5">
        <f>IF(OR(INDEX($W$2:$W$1001,MATCH(ROWS($V$2:V611),$V$2:$V$1001,0),1)&gt;=100000,INDEX($AC$1005:$AS$1005,1,MATCH(COLUMNS($AC$1006:AH1006),$AC$1006:$AS$1006,0))&gt;=100000), " ",IF(INDEX($AC$2:$AS$1001,MATCH(ROWS($V$2:V611),$V$2:$V$1001,0),MATCH(COLUMNS($AC$1006:AH1006),$AC$1006:$AS$1006,0)), HYPERLINK("#",""), HYPERLINK(CONCATENATE("#Metadata!", ADDRESS(INDEX($X$2:$X$1001,MATCH(ROWS($V$2:V611),$V$2:$V$1001,0),0), INDEX($AC$1004:$AS$1004,1,MATCH(COLUMNS($AC$1006:AH1006),$AC$1006:$AS$1006,0)))),"Fix")))</f>
        <v>0</v>
      </c>
      <c r="H611" s="5">
        <f>IF(OR(INDEX($W$2:$W$1001,MATCH(ROWS($V$2:V611),$V$2:$V$1001,0),1)&gt;=100000,INDEX($AC$1005:$AS$1005,1,MATCH(COLUMNS($AC$1006:AI1006),$AC$1006:$AS$1006,0))&gt;=100000), " ",IF(INDEX($AC$2:$AS$1001,MATCH(ROWS($V$2:V611),$V$2:$V$1001,0),MATCH(COLUMNS($AC$1006:AI1006),$AC$1006:$AS$1006,0)), HYPERLINK("#",""), HYPERLINK(CONCATENATE("#Metadata!", ADDRESS(INDEX($X$2:$X$1001,MATCH(ROWS($V$2:V611),$V$2:$V$1001,0),0), INDEX($AC$1004:$AS$1004,1,MATCH(COLUMNS($AC$1006:AI1006),$AC$1006:$AS$1006,0)))),"Fix")))</f>
        <v>0</v>
      </c>
      <c r="I611" s="5">
        <f>IF(OR(INDEX($W$2:$W$1001,MATCH(ROWS($V$2:V611),$V$2:$V$1001,0),1)&gt;=100000,INDEX($AC$1005:$AS$1005,1,MATCH(COLUMNS($AC$1006:AJ1006),$AC$1006:$AS$1006,0))&gt;=100000), " ",IF(INDEX($AC$2:$AS$1001,MATCH(ROWS($V$2:V611),$V$2:$V$1001,0),MATCH(COLUMNS($AC$1006:AJ1006),$AC$1006:$AS$1006,0)), HYPERLINK("#",""), HYPERLINK(CONCATENATE("#Metadata!", ADDRESS(INDEX($X$2:$X$1001,MATCH(ROWS($V$2:V611),$V$2:$V$1001,0),0), INDEX($AC$1004:$AS$1004,1,MATCH(COLUMNS($AC$1006:AJ1006),$AC$1006:$AS$1006,0)))),"Fix")))</f>
        <v>0</v>
      </c>
      <c r="J611" s="5">
        <f>IF(OR(INDEX($W$2:$W$1001,MATCH(ROWS($V$2:V611),$V$2:$V$1001,0),1)&gt;=100000,INDEX($AC$1005:$AS$1005,1,MATCH(COLUMNS($AC$1006:AK1006),$AC$1006:$AS$1006,0))&gt;=100000), " ",IF(INDEX($AC$2:$AS$1001,MATCH(ROWS($V$2:V611),$V$2:$V$1001,0),MATCH(COLUMNS($AC$1006:AK1006),$AC$1006:$AS$1006,0)), HYPERLINK("#",""), HYPERLINK(CONCATENATE("#Metadata!", ADDRESS(INDEX($X$2:$X$1001,MATCH(ROWS($V$2:V611),$V$2:$V$1001,0),0), INDEX($AC$1004:$AS$1004,1,MATCH(COLUMNS($AC$1006:AK1006),$AC$1006:$AS$1006,0)))),"Fix")))</f>
        <v>0</v>
      </c>
      <c r="K611" s="5">
        <f>IF(OR(INDEX($W$2:$W$1001,MATCH(ROWS($V$2:V611),$V$2:$V$1001,0),1)&gt;=100000,INDEX($AC$1005:$AS$1005,1,MATCH(COLUMNS($AC$1006:AL1006),$AC$1006:$AS$1006,0))&gt;=100000), " ",IF(INDEX($AC$2:$AS$1001,MATCH(ROWS($V$2:V611),$V$2:$V$1001,0),MATCH(COLUMNS($AC$1006:AL1006),$AC$1006:$AS$1006,0)), HYPERLINK("#",""), HYPERLINK(CONCATENATE("#Metadata!", ADDRESS(INDEX($X$2:$X$1001,MATCH(ROWS($V$2:V611),$V$2:$V$1001,0),0), INDEX($AC$1004:$AS$1004,1,MATCH(COLUMNS($AC$1006:AL1006),$AC$1006:$AS$1006,0)))),"Fix")))</f>
        <v>0</v>
      </c>
      <c r="L611" s="5">
        <f>IF(OR(INDEX($W$2:$W$1001,MATCH(ROWS($V$2:V611),$V$2:$V$1001,0),1)&gt;=100000,INDEX($AC$1005:$AS$1005,1,MATCH(COLUMNS($AC$1006:AM1006),$AC$1006:$AS$1006,0))&gt;=100000), " ",IF(INDEX($AC$2:$AS$1001,MATCH(ROWS($V$2:V611),$V$2:$V$1001,0),MATCH(COLUMNS($AC$1006:AM1006),$AC$1006:$AS$1006,0)), HYPERLINK("#",""), HYPERLINK(CONCATENATE("#Metadata!", ADDRESS(INDEX($X$2:$X$1001,MATCH(ROWS($V$2:V611),$V$2:$V$1001,0),0), INDEX($AC$1004:$AS$1004,1,MATCH(COLUMNS($AC$1006:AM1006),$AC$1006:$AS$1006,0)))),"Fix")))</f>
        <v>0</v>
      </c>
      <c r="M611" s="5">
        <f>IF(OR(INDEX($W$2:$W$1001,MATCH(ROWS($V$2:V611),$V$2:$V$1001,0),1)&gt;=100000,INDEX($AC$1005:$AS$1005,1,MATCH(COLUMNS($AC$1006:AN1006),$AC$1006:$AS$1006,0))&gt;=100000), " ",IF(INDEX($AC$2:$AS$1001,MATCH(ROWS($V$2:V611),$V$2:$V$1001,0),MATCH(COLUMNS($AC$1006:AN1006),$AC$1006:$AS$1006,0)), HYPERLINK("#",""), HYPERLINK(CONCATENATE("#Metadata!", ADDRESS(INDEX($X$2:$X$1001,MATCH(ROWS($V$2:V611),$V$2:$V$1001,0),0), INDEX($AC$1004:$AS$1004,1,MATCH(COLUMNS($AC$1006:AN1006),$AC$1006:$AS$1006,0)))),"Fix")))</f>
        <v>0</v>
      </c>
      <c r="N611" s="5">
        <f>IF(OR(INDEX($W$2:$W$1001,MATCH(ROWS($V$2:V611),$V$2:$V$1001,0),1)&gt;=100000,INDEX($AC$1005:$AS$1005,1,MATCH(COLUMNS($AC$1006:AO1006),$AC$1006:$AS$1006,0))&gt;=100000), " ",IF(INDEX($AC$2:$AS$1001,MATCH(ROWS($V$2:V611),$V$2:$V$1001,0),MATCH(COLUMNS($AC$1006:AO1006),$AC$1006:$AS$1006,0)), HYPERLINK("#",""), HYPERLINK(CONCATENATE("#Metadata!", ADDRESS(INDEX($X$2:$X$1001,MATCH(ROWS($V$2:V611),$V$2:$V$1001,0),0), INDEX($AC$1004:$AS$1004,1,MATCH(COLUMNS($AC$1006:AO1006),$AC$1006:$AS$1006,0)))),"Fix")))</f>
        <v>0</v>
      </c>
      <c r="O611" s="5">
        <f>IF(OR(INDEX($W$2:$W$1001,MATCH(ROWS($V$2:V611),$V$2:$V$1001,0),1)&gt;=100000,INDEX($AC$1005:$AS$1005,1,MATCH(COLUMNS($AC$1006:AP1006),$AC$1006:$AS$1006,0))&gt;=100000), " ",IF(INDEX($AC$2:$AS$1001,MATCH(ROWS($V$2:V611),$V$2:$V$1001,0),MATCH(COLUMNS($AC$1006:AP1006),$AC$1006:$AS$1006,0)), HYPERLINK("#",""), HYPERLINK(CONCATENATE("#Metadata!", ADDRESS(INDEX($X$2:$X$1001,MATCH(ROWS($V$2:V611),$V$2:$V$1001,0),0), INDEX($AC$1004:$AS$1004,1,MATCH(COLUMNS($AC$1006:AP1006),$AC$1006:$AS$1006,0)))),"Fix")))</f>
        <v>0</v>
      </c>
      <c r="P611" s="5">
        <f>IF(OR(INDEX($W$2:$W$1001,MATCH(ROWS($V$2:V611),$V$2:$V$1001,0),1)&gt;=100000,INDEX($AC$1005:$AS$1005,1,MATCH(COLUMNS($AC$1006:AQ1006),$AC$1006:$AS$1006,0))&gt;=100000), " ",IF(INDEX($AC$2:$AS$1001,MATCH(ROWS($V$2:V611),$V$2:$V$1001,0),MATCH(COLUMNS($AC$1006:AQ1006),$AC$1006:$AS$1006,0)), HYPERLINK("#",""), HYPERLINK(CONCATENATE("#Metadata!", ADDRESS(INDEX($X$2:$X$1001,MATCH(ROWS($V$2:V611),$V$2:$V$1001,0),0), INDEX($AC$1004:$AS$1004,1,MATCH(COLUMNS($AC$1006:AQ1006),$AC$1006:$AS$1006,0)))),"Fix")))</f>
        <v>0</v>
      </c>
      <c r="Q611" s="5">
        <f>IF(OR(INDEX($W$2:$W$1001,MATCH(ROWS($V$2:V611),$V$2:$V$1001,0),1)&gt;=100000,INDEX($AC$1005:$AS$1005,1,MATCH(COLUMNS($AC$1006:AR1006),$AC$1006:$AS$1006,0))&gt;=100000), " ",IF(INDEX($AC$2:$AS$1001,MATCH(ROWS($V$2:V611),$V$2:$V$1001,0),MATCH(COLUMNS($AC$1006:AR1006),$AC$1006:$AS$1006,0)), HYPERLINK("#",""), HYPERLINK(CONCATENATE("#Metadata!", ADDRESS(INDEX($X$2:$X$1001,MATCH(ROWS($V$2:V611),$V$2:$V$1001,0),0), INDEX($AC$1004:$AS$1004,1,MATCH(COLUMNS($AC$1006:AR1006),$AC$1006:$AS$1006,0)))),"Fix")))</f>
        <v>0</v>
      </c>
      <c r="R611" s="5">
        <f>IF(OR(INDEX($W$2:$W$1001,MATCH(ROWS($V$2:V611),$V$2:$V$1001,0),1)&gt;=100000,INDEX($AC$1005:$AS$1005,1,MATCH(COLUMNS($AC$1006:AS1006),$AC$1006:$AS$1006,0))&gt;=100000), " ",IF(INDEX($AC$2:$AS$1001,MATCH(ROWS($V$2:V611),$V$2:$V$1001,0),MATCH(COLUMNS($AC$1006:AS1006),$AC$1006:$AS$1006,0)), HYPERLINK("#",""), HYPERLINK(CONCATENATE("#Metadata!", ADDRESS(INDEX($X$2:$X$1001,MATCH(ROWS($V$2:V611),$V$2:$V$1001,0),0), INDEX($AC$1004:$AS$1004,1,MATCH(COLUMNS($AC$1006:AS1006),$AC$1006:$AS$1006,0)))),"Fix")))</f>
        <v>0</v>
      </c>
      <c r="V611">
        <v>0</v>
      </c>
      <c r="W611">
        <v>0</v>
      </c>
      <c r="X611">
        <v>0</v>
      </c>
      <c r="Y611">
        <f>IF(Z611,TRUE,AND(AC611:AS611))</f>
        <v>0</v>
      </c>
      <c r="Z611">
        <f>COUNTBLANK(Metadata!B611:R611)=COLUMNS(Metadata!B611:R611)</f>
        <v>0</v>
      </c>
      <c r="AA611">
        <v>0</v>
      </c>
      <c r="AC611">
        <f>AND(IF(Metadata!B611="",FALSE,TRUE),COUNTIF(Metadata!B:B, Metadata!B611) = 1,NOT(ISERROR(SUMPRODUCT(SEARCH(MID(Metadata!B611,ROW(INDIRECT("1:"&amp;LEN(Metadata!B611))), 1),"0123456789abcdefghijklmnopqrstuvwxyzABCDEFGHIJKLMNOPQRSTUVWXYZ.")))))</f>
        <v>0</v>
      </c>
      <c r="AD611">
        <f>AND(IF(Metadata!C611="",FALSE,TRUE),exact(Metadata!C611,"Host-associated"))</f>
        <v>0</v>
      </c>
      <c r="AE611">
        <f>AND(IF(Metadata!D611="",FALSE,TRUE),OR(exact(Metadata!D611,"Animal"),exact(Metadata!D611,"Fungus"),exact(Metadata!D611,"Plant")))</f>
        <v>0</v>
      </c>
      <c r="AF611">
        <f>AND(IF(Metadata!E611="",FALSE,TRUE),OR(exact(Metadata!E611,"Plant secretion"),exact(Metadata!E611,"Plant rhizosphere"),exact(Metadata!E611,"Plant surface"),exact(Metadata!E611,"Plant corpus"),exact(Metadata!E611,"Fungus surface"),exact(Metadata!E611,"Fungus corpus"),exact(Metadata!E611,"Animal surface"),exact(Metadata!E611,"Animal proximal gut"),exact(Metadata!E611,"Animal corpus"),exact(Metadata!E611,"Animal distal gut"),exact(Metadata!E611,"Animal secretion")))</f>
        <v>0</v>
      </c>
      <c r="AG611">
        <f>OR(AND(IF(Metadata!F611="",FALSE,TRUE),OR(exact(Metadata!F611,"not collected"),exact(Metadata!F611,"not provided"),exact(Metadata!F611,"restricted access"))),AND(IF(Metadata!F611="",FALSE,TRUE),OR(exact(Metadata!F611,"organism-associated habitat"),exact(Metadata!F611,"plant-associated habitat"),exact(Metadata!F611,"animal-associated habitat"),exact(Metadata!F611,"insecta-associated habitat"),exact(Metadata!F611,"mammalia-associated habitat"),exact(Metadata!F611,"human-associated habitat"),exact(Metadata!F611,"livestock-associated habitat"))))</f>
        <v>0</v>
      </c>
      <c r="AH611">
        <f>AND(IF(Metadata!G611="",FALSE,TRUE),exact(Metadata!G611,"host-associated"))</f>
        <v>0</v>
      </c>
      <c r="AI611">
        <f>OR(AND(IF(Metadata!H611="",FALSE,TRUE),OR(exact(Metadata!H611,"not collected"),exact(Metadata!H611,"not provided"))),AND(IF(Metadata!H611="",FALSE,ISNUMBER(VALUE(Metadata!H611))),Metadata!H611&gt;0))</f>
        <v>0</v>
      </c>
      <c r="AJ611">
        <f>AND(IF(Metadata!I611="",FALSE,TRUE),exact(Metadata!I611,"years"))</f>
        <v>0</v>
      </c>
      <c r="AK611">
        <f>IF(Metadata!J611="",FALSE,TRUE)</f>
        <v>0</v>
      </c>
      <c r="AL611">
        <f>OR(AND(IF(Metadata!K611="",FALSE,TRUE),OR(exact(Metadata!K611,"not collected"),exact(Metadata!K611,"not provided"))),AND(IF(Metadata!K611="",FALSE,ISNUMBER(VALUE(Metadata!K611))),Metadata!K611&gt;0))</f>
        <v>0</v>
      </c>
      <c r="AM611">
        <f>AND(IF(Metadata!L611="",FALSE,TRUE),exact(Metadata!L611,"cm"))</f>
        <v>0</v>
      </c>
      <c r="AN611">
        <f>IF(Metadata!M611="",FALSE,TRUE)</f>
        <v>0</v>
      </c>
      <c r="AO611">
        <f>OR(AND(IF(Metadata!N611="",FALSE,TRUE),OR(exact(Metadata!N611,"not applicable"),exact(Metadata!N611,"not collected"),exact(Metadata!N611,"not provided"))),AND(IF(Metadata!N611="",FALSE,IF(ISERROR(INT(Metadata!N611)),FALSE,INT(Metadata!N611)=Metadata!N611)),Metadata!N611&gt;0))</f>
        <v>0</v>
      </c>
      <c r="AP611">
        <f>OR(AND(IF(Metadata!O611="",FALSE,TRUE),OR(exact(Metadata!O611,"not collected"),exact(Metadata!O611,"not provided"))),AND(IF(Metadata!O611="",FALSE,ISNUMBER(VALUE(Metadata!O611))),Metadata!O611&gt;0))</f>
        <v>0</v>
      </c>
      <c r="AQ611">
        <f>AND(IF(Metadata!P611="",FALSE,TRUE),exact(Metadata!P611,"kg"))</f>
        <v>0</v>
      </c>
      <c r="AR611">
        <f>OR(AND(IF(Metadata!Q611="",FALSE,TRUE),OR(exact(Metadata!Q611,"not applicable"),exact(Metadata!Q611,"not collected"),exact(Metadata!Q611,"not provided"),exact(Metadata!Q611,"restricted access"))),IF(Metadata!Q611="",FALSE,IF(ISERROR(INT(Metadata!Q611)),FALSE,INT(Metadata!Q611)=Metadata!Q611)))</f>
        <v>0</v>
      </c>
      <c r="AS611">
        <f>AND(IF(Metadata!R611="",FALSE,TRUE),exact(Metadata!R611,"Not applicable"))</f>
        <v>0</v>
      </c>
    </row>
    <row r="612" spans="1:45">
      <c r="A612" s="4">
        <f>IF(B612=" "," ",HYPERLINK(CONCATENATE("#metadata!",ADDRESS(INDEX($X$2:$X$1001,MATCH(ROWS($V$2:V612),$V$2:$V$1001,0),0),2)),INDEX($AA$2:$AA$1001,MATCH(ROWS($V$2:V612),$V$2:$V$1001,0),0)))</f>
        <v>0</v>
      </c>
      <c r="B612" s="5">
        <f>IF(OR(INDEX($W$2:$W$1001,MATCH(ROWS($V$2:V612),$V$2:$V$1001,0),1)&gt;=100000,INDEX($AC$1005:$AS$1005,1,MATCH(COLUMNS($AC$1006:AC1006),$AC$1006:$AS$1006,0))&gt;=100000), " ",IF(INDEX($AC$2:$AS$1001,MATCH(ROWS($V$2:V612),$V$2:$V$1001,0),MATCH(COLUMNS($AC$1006:AC1006),$AC$1006:$AS$1006,0)), HYPERLINK("#",""), HYPERLINK(CONCATENATE("#Metadata!", ADDRESS(INDEX($X$2:$X$1001,MATCH(ROWS($V$2:V612),$V$2:$V$1001,0),0), INDEX($AC$1004:$AS$1004,1,MATCH(COLUMNS($AC$1006:AC1006),$AC$1006:$AS$1006,0)))),"Fix")))</f>
        <v>0</v>
      </c>
      <c r="C612" s="5">
        <f>IF(OR(INDEX($W$2:$W$1001,MATCH(ROWS($V$2:V612),$V$2:$V$1001,0),1)&gt;=100000,INDEX($AC$1005:$AS$1005,1,MATCH(COLUMNS($AC$1006:AD1006),$AC$1006:$AS$1006,0))&gt;=100000), " ",IF(INDEX($AC$2:$AS$1001,MATCH(ROWS($V$2:V612),$V$2:$V$1001,0),MATCH(COLUMNS($AC$1006:AD1006),$AC$1006:$AS$1006,0)), HYPERLINK("#",""), HYPERLINK(CONCATENATE("#Metadata!", ADDRESS(INDEX($X$2:$X$1001,MATCH(ROWS($V$2:V612),$V$2:$V$1001,0),0), INDEX($AC$1004:$AS$1004,1,MATCH(COLUMNS($AC$1006:AD1006),$AC$1006:$AS$1006,0)))),"Fix")))</f>
        <v>0</v>
      </c>
      <c r="D612" s="5">
        <f>IF(OR(INDEX($W$2:$W$1001,MATCH(ROWS($V$2:V612),$V$2:$V$1001,0),1)&gt;=100000,INDEX($AC$1005:$AS$1005,1,MATCH(COLUMNS($AC$1006:AE1006),$AC$1006:$AS$1006,0))&gt;=100000), " ",IF(INDEX($AC$2:$AS$1001,MATCH(ROWS($V$2:V612),$V$2:$V$1001,0),MATCH(COLUMNS($AC$1006:AE1006),$AC$1006:$AS$1006,0)), HYPERLINK("#",""), HYPERLINK(CONCATENATE("#Metadata!", ADDRESS(INDEX($X$2:$X$1001,MATCH(ROWS($V$2:V612),$V$2:$V$1001,0),0), INDEX($AC$1004:$AS$1004,1,MATCH(COLUMNS($AC$1006:AE1006),$AC$1006:$AS$1006,0)))),"Fix")))</f>
        <v>0</v>
      </c>
      <c r="E612" s="5">
        <f>IF(OR(INDEX($W$2:$W$1001,MATCH(ROWS($V$2:V612),$V$2:$V$1001,0),1)&gt;=100000,INDEX($AC$1005:$AS$1005,1,MATCH(COLUMNS($AC$1006:AF1006),$AC$1006:$AS$1006,0))&gt;=100000), " ",IF(INDEX($AC$2:$AS$1001,MATCH(ROWS($V$2:V612),$V$2:$V$1001,0),MATCH(COLUMNS($AC$1006:AF1006),$AC$1006:$AS$1006,0)), HYPERLINK("#",""), HYPERLINK(CONCATENATE("#Metadata!", ADDRESS(INDEX($X$2:$X$1001,MATCH(ROWS($V$2:V612),$V$2:$V$1001,0),0), INDEX($AC$1004:$AS$1004,1,MATCH(COLUMNS($AC$1006:AF1006),$AC$1006:$AS$1006,0)))),"Fix")))</f>
        <v>0</v>
      </c>
      <c r="F612" s="5">
        <f>IF(OR(INDEX($W$2:$W$1001,MATCH(ROWS($V$2:V612),$V$2:$V$1001,0),1)&gt;=100000,INDEX($AC$1005:$AS$1005,1,MATCH(COLUMNS($AC$1006:AG1006),$AC$1006:$AS$1006,0))&gt;=100000), " ",IF(INDEX($AC$2:$AS$1001,MATCH(ROWS($V$2:V612),$V$2:$V$1001,0),MATCH(COLUMNS($AC$1006:AG1006),$AC$1006:$AS$1006,0)), HYPERLINK("#",""), HYPERLINK(CONCATENATE("#Metadata!", ADDRESS(INDEX($X$2:$X$1001,MATCH(ROWS($V$2:V612),$V$2:$V$1001,0),0), INDEX($AC$1004:$AS$1004,1,MATCH(COLUMNS($AC$1006:AG1006),$AC$1006:$AS$1006,0)))),"Fix")))</f>
        <v>0</v>
      </c>
      <c r="G612" s="5">
        <f>IF(OR(INDEX($W$2:$W$1001,MATCH(ROWS($V$2:V612),$V$2:$V$1001,0),1)&gt;=100000,INDEX($AC$1005:$AS$1005,1,MATCH(COLUMNS($AC$1006:AH1006),$AC$1006:$AS$1006,0))&gt;=100000), " ",IF(INDEX($AC$2:$AS$1001,MATCH(ROWS($V$2:V612),$V$2:$V$1001,0),MATCH(COLUMNS($AC$1006:AH1006),$AC$1006:$AS$1006,0)), HYPERLINK("#",""), HYPERLINK(CONCATENATE("#Metadata!", ADDRESS(INDEX($X$2:$X$1001,MATCH(ROWS($V$2:V612),$V$2:$V$1001,0),0), INDEX($AC$1004:$AS$1004,1,MATCH(COLUMNS($AC$1006:AH1006),$AC$1006:$AS$1006,0)))),"Fix")))</f>
        <v>0</v>
      </c>
      <c r="H612" s="5">
        <f>IF(OR(INDEX($W$2:$W$1001,MATCH(ROWS($V$2:V612),$V$2:$V$1001,0),1)&gt;=100000,INDEX($AC$1005:$AS$1005,1,MATCH(COLUMNS($AC$1006:AI1006),$AC$1006:$AS$1006,0))&gt;=100000), " ",IF(INDEX($AC$2:$AS$1001,MATCH(ROWS($V$2:V612),$V$2:$V$1001,0),MATCH(COLUMNS($AC$1006:AI1006),$AC$1006:$AS$1006,0)), HYPERLINK("#",""), HYPERLINK(CONCATENATE("#Metadata!", ADDRESS(INDEX($X$2:$X$1001,MATCH(ROWS($V$2:V612),$V$2:$V$1001,0),0), INDEX($AC$1004:$AS$1004,1,MATCH(COLUMNS($AC$1006:AI1006),$AC$1006:$AS$1006,0)))),"Fix")))</f>
        <v>0</v>
      </c>
      <c r="I612" s="5">
        <f>IF(OR(INDEX($W$2:$W$1001,MATCH(ROWS($V$2:V612),$V$2:$V$1001,0),1)&gt;=100000,INDEX($AC$1005:$AS$1005,1,MATCH(COLUMNS($AC$1006:AJ1006),$AC$1006:$AS$1006,0))&gt;=100000), " ",IF(INDEX($AC$2:$AS$1001,MATCH(ROWS($V$2:V612),$V$2:$V$1001,0),MATCH(COLUMNS($AC$1006:AJ1006),$AC$1006:$AS$1006,0)), HYPERLINK("#",""), HYPERLINK(CONCATENATE("#Metadata!", ADDRESS(INDEX($X$2:$X$1001,MATCH(ROWS($V$2:V612),$V$2:$V$1001,0),0), INDEX($AC$1004:$AS$1004,1,MATCH(COLUMNS($AC$1006:AJ1006),$AC$1006:$AS$1006,0)))),"Fix")))</f>
        <v>0</v>
      </c>
      <c r="J612" s="5">
        <f>IF(OR(INDEX($W$2:$W$1001,MATCH(ROWS($V$2:V612),$V$2:$V$1001,0),1)&gt;=100000,INDEX($AC$1005:$AS$1005,1,MATCH(COLUMNS($AC$1006:AK1006),$AC$1006:$AS$1006,0))&gt;=100000), " ",IF(INDEX($AC$2:$AS$1001,MATCH(ROWS($V$2:V612),$V$2:$V$1001,0),MATCH(COLUMNS($AC$1006:AK1006),$AC$1006:$AS$1006,0)), HYPERLINK("#",""), HYPERLINK(CONCATENATE("#Metadata!", ADDRESS(INDEX($X$2:$X$1001,MATCH(ROWS($V$2:V612),$V$2:$V$1001,0),0), INDEX($AC$1004:$AS$1004,1,MATCH(COLUMNS($AC$1006:AK1006),$AC$1006:$AS$1006,0)))),"Fix")))</f>
        <v>0</v>
      </c>
      <c r="K612" s="5">
        <f>IF(OR(INDEX($W$2:$W$1001,MATCH(ROWS($V$2:V612),$V$2:$V$1001,0),1)&gt;=100000,INDEX($AC$1005:$AS$1005,1,MATCH(COLUMNS($AC$1006:AL1006),$AC$1006:$AS$1006,0))&gt;=100000), " ",IF(INDEX($AC$2:$AS$1001,MATCH(ROWS($V$2:V612),$V$2:$V$1001,0),MATCH(COLUMNS($AC$1006:AL1006),$AC$1006:$AS$1006,0)), HYPERLINK("#",""), HYPERLINK(CONCATENATE("#Metadata!", ADDRESS(INDEX($X$2:$X$1001,MATCH(ROWS($V$2:V612),$V$2:$V$1001,0),0), INDEX($AC$1004:$AS$1004,1,MATCH(COLUMNS($AC$1006:AL1006),$AC$1006:$AS$1006,0)))),"Fix")))</f>
        <v>0</v>
      </c>
      <c r="L612" s="5">
        <f>IF(OR(INDEX($W$2:$W$1001,MATCH(ROWS($V$2:V612),$V$2:$V$1001,0),1)&gt;=100000,INDEX($AC$1005:$AS$1005,1,MATCH(COLUMNS($AC$1006:AM1006),$AC$1006:$AS$1006,0))&gt;=100000), " ",IF(INDEX($AC$2:$AS$1001,MATCH(ROWS($V$2:V612),$V$2:$V$1001,0),MATCH(COLUMNS($AC$1006:AM1006),$AC$1006:$AS$1006,0)), HYPERLINK("#",""), HYPERLINK(CONCATENATE("#Metadata!", ADDRESS(INDEX($X$2:$X$1001,MATCH(ROWS($V$2:V612),$V$2:$V$1001,0),0), INDEX($AC$1004:$AS$1004,1,MATCH(COLUMNS($AC$1006:AM1006),$AC$1006:$AS$1006,0)))),"Fix")))</f>
        <v>0</v>
      </c>
      <c r="M612" s="5">
        <f>IF(OR(INDEX($W$2:$W$1001,MATCH(ROWS($V$2:V612),$V$2:$V$1001,0),1)&gt;=100000,INDEX($AC$1005:$AS$1005,1,MATCH(COLUMNS($AC$1006:AN1006),$AC$1006:$AS$1006,0))&gt;=100000), " ",IF(INDEX($AC$2:$AS$1001,MATCH(ROWS($V$2:V612),$V$2:$V$1001,0),MATCH(COLUMNS($AC$1006:AN1006),$AC$1006:$AS$1006,0)), HYPERLINK("#",""), HYPERLINK(CONCATENATE("#Metadata!", ADDRESS(INDEX($X$2:$X$1001,MATCH(ROWS($V$2:V612),$V$2:$V$1001,0),0), INDEX($AC$1004:$AS$1004,1,MATCH(COLUMNS($AC$1006:AN1006),$AC$1006:$AS$1006,0)))),"Fix")))</f>
        <v>0</v>
      </c>
      <c r="N612" s="5">
        <f>IF(OR(INDEX($W$2:$W$1001,MATCH(ROWS($V$2:V612),$V$2:$V$1001,0),1)&gt;=100000,INDEX($AC$1005:$AS$1005,1,MATCH(COLUMNS($AC$1006:AO1006),$AC$1006:$AS$1006,0))&gt;=100000), " ",IF(INDEX($AC$2:$AS$1001,MATCH(ROWS($V$2:V612),$V$2:$V$1001,0),MATCH(COLUMNS($AC$1006:AO1006),$AC$1006:$AS$1006,0)), HYPERLINK("#",""), HYPERLINK(CONCATENATE("#Metadata!", ADDRESS(INDEX($X$2:$X$1001,MATCH(ROWS($V$2:V612),$V$2:$V$1001,0),0), INDEX($AC$1004:$AS$1004,1,MATCH(COLUMNS($AC$1006:AO1006),$AC$1006:$AS$1006,0)))),"Fix")))</f>
        <v>0</v>
      </c>
      <c r="O612" s="5">
        <f>IF(OR(INDEX($W$2:$W$1001,MATCH(ROWS($V$2:V612),$V$2:$V$1001,0),1)&gt;=100000,INDEX($AC$1005:$AS$1005,1,MATCH(COLUMNS($AC$1006:AP1006),$AC$1006:$AS$1006,0))&gt;=100000), " ",IF(INDEX($AC$2:$AS$1001,MATCH(ROWS($V$2:V612),$V$2:$V$1001,0),MATCH(COLUMNS($AC$1006:AP1006),$AC$1006:$AS$1006,0)), HYPERLINK("#",""), HYPERLINK(CONCATENATE("#Metadata!", ADDRESS(INDEX($X$2:$X$1001,MATCH(ROWS($V$2:V612),$V$2:$V$1001,0),0), INDEX($AC$1004:$AS$1004,1,MATCH(COLUMNS($AC$1006:AP1006),$AC$1006:$AS$1006,0)))),"Fix")))</f>
        <v>0</v>
      </c>
      <c r="P612" s="5">
        <f>IF(OR(INDEX($W$2:$W$1001,MATCH(ROWS($V$2:V612),$V$2:$V$1001,0),1)&gt;=100000,INDEX($AC$1005:$AS$1005,1,MATCH(COLUMNS($AC$1006:AQ1006),$AC$1006:$AS$1006,0))&gt;=100000), " ",IF(INDEX($AC$2:$AS$1001,MATCH(ROWS($V$2:V612),$V$2:$V$1001,0),MATCH(COLUMNS($AC$1006:AQ1006),$AC$1006:$AS$1006,0)), HYPERLINK("#",""), HYPERLINK(CONCATENATE("#Metadata!", ADDRESS(INDEX($X$2:$X$1001,MATCH(ROWS($V$2:V612),$V$2:$V$1001,0),0), INDEX($AC$1004:$AS$1004,1,MATCH(COLUMNS($AC$1006:AQ1006),$AC$1006:$AS$1006,0)))),"Fix")))</f>
        <v>0</v>
      </c>
      <c r="Q612" s="5">
        <f>IF(OR(INDEX($W$2:$W$1001,MATCH(ROWS($V$2:V612),$V$2:$V$1001,0),1)&gt;=100000,INDEX($AC$1005:$AS$1005,1,MATCH(COLUMNS($AC$1006:AR1006),$AC$1006:$AS$1006,0))&gt;=100000), " ",IF(INDEX($AC$2:$AS$1001,MATCH(ROWS($V$2:V612),$V$2:$V$1001,0),MATCH(COLUMNS($AC$1006:AR1006),$AC$1006:$AS$1006,0)), HYPERLINK("#",""), HYPERLINK(CONCATENATE("#Metadata!", ADDRESS(INDEX($X$2:$X$1001,MATCH(ROWS($V$2:V612),$V$2:$V$1001,0),0), INDEX($AC$1004:$AS$1004,1,MATCH(COLUMNS($AC$1006:AR1006),$AC$1006:$AS$1006,0)))),"Fix")))</f>
        <v>0</v>
      </c>
      <c r="R612" s="5">
        <f>IF(OR(INDEX($W$2:$W$1001,MATCH(ROWS($V$2:V612),$V$2:$V$1001,0),1)&gt;=100000,INDEX($AC$1005:$AS$1005,1,MATCH(COLUMNS($AC$1006:AS1006),$AC$1006:$AS$1006,0))&gt;=100000), " ",IF(INDEX($AC$2:$AS$1001,MATCH(ROWS($V$2:V612),$V$2:$V$1001,0),MATCH(COLUMNS($AC$1006:AS1006),$AC$1006:$AS$1006,0)), HYPERLINK("#",""), HYPERLINK(CONCATENATE("#Metadata!", ADDRESS(INDEX($X$2:$X$1001,MATCH(ROWS($V$2:V612),$V$2:$V$1001,0),0), INDEX($AC$1004:$AS$1004,1,MATCH(COLUMNS($AC$1006:AS1006),$AC$1006:$AS$1006,0)))),"Fix")))</f>
        <v>0</v>
      </c>
      <c r="V612">
        <v>0</v>
      </c>
      <c r="W612">
        <v>0</v>
      </c>
      <c r="X612">
        <v>0</v>
      </c>
      <c r="Y612">
        <f>IF(Z612,TRUE,AND(AC612:AS612))</f>
        <v>0</v>
      </c>
      <c r="Z612">
        <f>COUNTBLANK(Metadata!B612:R612)=COLUMNS(Metadata!B612:R612)</f>
        <v>0</v>
      </c>
      <c r="AA612">
        <v>0</v>
      </c>
      <c r="AC612">
        <f>AND(IF(Metadata!B612="",FALSE,TRUE),COUNTIF(Metadata!B:B, Metadata!B612) = 1,NOT(ISERROR(SUMPRODUCT(SEARCH(MID(Metadata!B612,ROW(INDIRECT("1:"&amp;LEN(Metadata!B612))), 1),"0123456789abcdefghijklmnopqrstuvwxyzABCDEFGHIJKLMNOPQRSTUVWXYZ.")))))</f>
        <v>0</v>
      </c>
      <c r="AD612">
        <f>AND(IF(Metadata!C612="",FALSE,TRUE),exact(Metadata!C612,"Host-associated"))</f>
        <v>0</v>
      </c>
      <c r="AE612">
        <f>AND(IF(Metadata!D612="",FALSE,TRUE),OR(exact(Metadata!D612,"Animal"),exact(Metadata!D612,"Fungus"),exact(Metadata!D612,"Plant")))</f>
        <v>0</v>
      </c>
      <c r="AF612">
        <f>AND(IF(Metadata!E612="",FALSE,TRUE),OR(exact(Metadata!E612,"Plant secretion"),exact(Metadata!E612,"Plant rhizosphere"),exact(Metadata!E612,"Plant surface"),exact(Metadata!E612,"Plant corpus"),exact(Metadata!E612,"Fungus surface"),exact(Metadata!E612,"Fungus corpus"),exact(Metadata!E612,"Animal surface"),exact(Metadata!E612,"Animal proximal gut"),exact(Metadata!E612,"Animal corpus"),exact(Metadata!E612,"Animal distal gut"),exact(Metadata!E612,"Animal secretion")))</f>
        <v>0</v>
      </c>
      <c r="AG612">
        <f>OR(AND(IF(Metadata!F612="",FALSE,TRUE),OR(exact(Metadata!F612,"not collected"),exact(Metadata!F612,"not provided"),exact(Metadata!F612,"restricted access"))),AND(IF(Metadata!F612="",FALSE,TRUE),OR(exact(Metadata!F612,"organism-associated habitat"),exact(Metadata!F612,"plant-associated habitat"),exact(Metadata!F612,"animal-associated habitat"),exact(Metadata!F612,"insecta-associated habitat"),exact(Metadata!F612,"mammalia-associated habitat"),exact(Metadata!F612,"human-associated habitat"),exact(Metadata!F612,"livestock-associated habitat"))))</f>
        <v>0</v>
      </c>
      <c r="AH612">
        <f>AND(IF(Metadata!G612="",FALSE,TRUE),exact(Metadata!G612,"host-associated"))</f>
        <v>0</v>
      </c>
      <c r="AI612">
        <f>OR(AND(IF(Metadata!H612="",FALSE,TRUE),OR(exact(Metadata!H612,"not collected"),exact(Metadata!H612,"not provided"))),AND(IF(Metadata!H612="",FALSE,ISNUMBER(VALUE(Metadata!H612))),Metadata!H612&gt;0))</f>
        <v>0</v>
      </c>
      <c r="AJ612">
        <f>AND(IF(Metadata!I612="",FALSE,TRUE),exact(Metadata!I612,"years"))</f>
        <v>0</v>
      </c>
      <c r="AK612">
        <f>IF(Metadata!J612="",FALSE,TRUE)</f>
        <v>0</v>
      </c>
      <c r="AL612">
        <f>OR(AND(IF(Metadata!K612="",FALSE,TRUE),OR(exact(Metadata!K612,"not collected"),exact(Metadata!K612,"not provided"))),AND(IF(Metadata!K612="",FALSE,ISNUMBER(VALUE(Metadata!K612))),Metadata!K612&gt;0))</f>
        <v>0</v>
      </c>
      <c r="AM612">
        <f>AND(IF(Metadata!L612="",FALSE,TRUE),exact(Metadata!L612,"cm"))</f>
        <v>0</v>
      </c>
      <c r="AN612">
        <f>IF(Metadata!M612="",FALSE,TRUE)</f>
        <v>0</v>
      </c>
      <c r="AO612">
        <f>OR(AND(IF(Metadata!N612="",FALSE,TRUE),OR(exact(Metadata!N612,"not applicable"),exact(Metadata!N612,"not collected"),exact(Metadata!N612,"not provided"))),AND(IF(Metadata!N612="",FALSE,IF(ISERROR(INT(Metadata!N612)),FALSE,INT(Metadata!N612)=Metadata!N612)),Metadata!N612&gt;0))</f>
        <v>0</v>
      </c>
      <c r="AP612">
        <f>OR(AND(IF(Metadata!O612="",FALSE,TRUE),OR(exact(Metadata!O612,"not collected"),exact(Metadata!O612,"not provided"))),AND(IF(Metadata!O612="",FALSE,ISNUMBER(VALUE(Metadata!O612))),Metadata!O612&gt;0))</f>
        <v>0</v>
      </c>
      <c r="AQ612">
        <f>AND(IF(Metadata!P612="",FALSE,TRUE),exact(Metadata!P612,"kg"))</f>
        <v>0</v>
      </c>
      <c r="AR612">
        <f>OR(AND(IF(Metadata!Q612="",FALSE,TRUE),OR(exact(Metadata!Q612,"not applicable"),exact(Metadata!Q612,"not collected"),exact(Metadata!Q612,"not provided"),exact(Metadata!Q612,"restricted access"))),IF(Metadata!Q612="",FALSE,IF(ISERROR(INT(Metadata!Q612)),FALSE,INT(Metadata!Q612)=Metadata!Q612)))</f>
        <v>0</v>
      </c>
      <c r="AS612">
        <f>AND(IF(Metadata!R612="",FALSE,TRUE),exact(Metadata!R612,"Not applicable"))</f>
        <v>0</v>
      </c>
    </row>
    <row r="613" spans="1:45">
      <c r="A613" s="4">
        <f>IF(B613=" "," ",HYPERLINK(CONCATENATE("#metadata!",ADDRESS(INDEX($X$2:$X$1001,MATCH(ROWS($V$2:V613),$V$2:$V$1001,0),0),2)),INDEX($AA$2:$AA$1001,MATCH(ROWS($V$2:V613),$V$2:$V$1001,0),0)))</f>
        <v>0</v>
      </c>
      <c r="B613" s="5">
        <f>IF(OR(INDEX($W$2:$W$1001,MATCH(ROWS($V$2:V613),$V$2:$V$1001,0),1)&gt;=100000,INDEX($AC$1005:$AS$1005,1,MATCH(COLUMNS($AC$1006:AC1006),$AC$1006:$AS$1006,0))&gt;=100000), " ",IF(INDEX($AC$2:$AS$1001,MATCH(ROWS($V$2:V613),$V$2:$V$1001,0),MATCH(COLUMNS($AC$1006:AC1006),$AC$1006:$AS$1006,0)), HYPERLINK("#",""), HYPERLINK(CONCATENATE("#Metadata!", ADDRESS(INDEX($X$2:$X$1001,MATCH(ROWS($V$2:V613),$V$2:$V$1001,0),0), INDEX($AC$1004:$AS$1004,1,MATCH(COLUMNS($AC$1006:AC1006),$AC$1006:$AS$1006,0)))),"Fix")))</f>
        <v>0</v>
      </c>
      <c r="C613" s="5">
        <f>IF(OR(INDEX($W$2:$W$1001,MATCH(ROWS($V$2:V613),$V$2:$V$1001,0),1)&gt;=100000,INDEX($AC$1005:$AS$1005,1,MATCH(COLUMNS($AC$1006:AD1006),$AC$1006:$AS$1006,0))&gt;=100000), " ",IF(INDEX($AC$2:$AS$1001,MATCH(ROWS($V$2:V613),$V$2:$V$1001,0),MATCH(COLUMNS($AC$1006:AD1006),$AC$1006:$AS$1006,0)), HYPERLINK("#",""), HYPERLINK(CONCATENATE("#Metadata!", ADDRESS(INDEX($X$2:$X$1001,MATCH(ROWS($V$2:V613),$V$2:$V$1001,0),0), INDEX($AC$1004:$AS$1004,1,MATCH(COLUMNS($AC$1006:AD1006),$AC$1006:$AS$1006,0)))),"Fix")))</f>
        <v>0</v>
      </c>
      <c r="D613" s="5">
        <f>IF(OR(INDEX($W$2:$W$1001,MATCH(ROWS($V$2:V613),$V$2:$V$1001,0),1)&gt;=100000,INDEX($AC$1005:$AS$1005,1,MATCH(COLUMNS($AC$1006:AE1006),$AC$1006:$AS$1006,0))&gt;=100000), " ",IF(INDEX($AC$2:$AS$1001,MATCH(ROWS($V$2:V613),$V$2:$V$1001,0),MATCH(COLUMNS($AC$1006:AE1006),$AC$1006:$AS$1006,0)), HYPERLINK("#",""), HYPERLINK(CONCATENATE("#Metadata!", ADDRESS(INDEX($X$2:$X$1001,MATCH(ROWS($V$2:V613),$V$2:$V$1001,0),0), INDEX($AC$1004:$AS$1004,1,MATCH(COLUMNS($AC$1006:AE1006),$AC$1006:$AS$1006,0)))),"Fix")))</f>
        <v>0</v>
      </c>
      <c r="E613" s="5">
        <f>IF(OR(INDEX($W$2:$W$1001,MATCH(ROWS($V$2:V613),$V$2:$V$1001,0),1)&gt;=100000,INDEX($AC$1005:$AS$1005,1,MATCH(COLUMNS($AC$1006:AF1006),$AC$1006:$AS$1006,0))&gt;=100000), " ",IF(INDEX($AC$2:$AS$1001,MATCH(ROWS($V$2:V613),$V$2:$V$1001,0),MATCH(COLUMNS($AC$1006:AF1006),$AC$1006:$AS$1006,0)), HYPERLINK("#",""), HYPERLINK(CONCATENATE("#Metadata!", ADDRESS(INDEX($X$2:$X$1001,MATCH(ROWS($V$2:V613),$V$2:$V$1001,0),0), INDEX($AC$1004:$AS$1004,1,MATCH(COLUMNS($AC$1006:AF1006),$AC$1006:$AS$1006,0)))),"Fix")))</f>
        <v>0</v>
      </c>
      <c r="F613" s="5">
        <f>IF(OR(INDEX($W$2:$W$1001,MATCH(ROWS($V$2:V613),$V$2:$V$1001,0),1)&gt;=100000,INDEX($AC$1005:$AS$1005,1,MATCH(COLUMNS($AC$1006:AG1006),$AC$1006:$AS$1006,0))&gt;=100000), " ",IF(INDEX($AC$2:$AS$1001,MATCH(ROWS($V$2:V613),$V$2:$V$1001,0),MATCH(COLUMNS($AC$1006:AG1006),$AC$1006:$AS$1006,0)), HYPERLINK("#",""), HYPERLINK(CONCATENATE("#Metadata!", ADDRESS(INDEX($X$2:$X$1001,MATCH(ROWS($V$2:V613),$V$2:$V$1001,0),0), INDEX($AC$1004:$AS$1004,1,MATCH(COLUMNS($AC$1006:AG1006),$AC$1006:$AS$1006,0)))),"Fix")))</f>
        <v>0</v>
      </c>
      <c r="G613" s="5">
        <f>IF(OR(INDEX($W$2:$W$1001,MATCH(ROWS($V$2:V613),$V$2:$V$1001,0),1)&gt;=100000,INDEX($AC$1005:$AS$1005,1,MATCH(COLUMNS($AC$1006:AH1006),$AC$1006:$AS$1006,0))&gt;=100000), " ",IF(INDEX($AC$2:$AS$1001,MATCH(ROWS($V$2:V613),$V$2:$V$1001,0),MATCH(COLUMNS($AC$1006:AH1006),$AC$1006:$AS$1006,0)), HYPERLINK("#",""), HYPERLINK(CONCATENATE("#Metadata!", ADDRESS(INDEX($X$2:$X$1001,MATCH(ROWS($V$2:V613),$V$2:$V$1001,0),0), INDEX($AC$1004:$AS$1004,1,MATCH(COLUMNS($AC$1006:AH1006),$AC$1006:$AS$1006,0)))),"Fix")))</f>
        <v>0</v>
      </c>
      <c r="H613" s="5">
        <f>IF(OR(INDEX($W$2:$W$1001,MATCH(ROWS($V$2:V613),$V$2:$V$1001,0),1)&gt;=100000,INDEX($AC$1005:$AS$1005,1,MATCH(COLUMNS($AC$1006:AI1006),$AC$1006:$AS$1006,0))&gt;=100000), " ",IF(INDEX($AC$2:$AS$1001,MATCH(ROWS($V$2:V613),$V$2:$V$1001,0),MATCH(COLUMNS($AC$1006:AI1006),$AC$1006:$AS$1006,0)), HYPERLINK("#",""), HYPERLINK(CONCATENATE("#Metadata!", ADDRESS(INDEX($X$2:$X$1001,MATCH(ROWS($V$2:V613),$V$2:$V$1001,0),0), INDEX($AC$1004:$AS$1004,1,MATCH(COLUMNS($AC$1006:AI1006),$AC$1006:$AS$1006,0)))),"Fix")))</f>
        <v>0</v>
      </c>
      <c r="I613" s="5">
        <f>IF(OR(INDEX($W$2:$W$1001,MATCH(ROWS($V$2:V613),$V$2:$V$1001,0),1)&gt;=100000,INDEX($AC$1005:$AS$1005,1,MATCH(COLUMNS($AC$1006:AJ1006),$AC$1006:$AS$1006,0))&gt;=100000), " ",IF(INDEX($AC$2:$AS$1001,MATCH(ROWS($V$2:V613),$V$2:$V$1001,0),MATCH(COLUMNS($AC$1006:AJ1006),$AC$1006:$AS$1006,0)), HYPERLINK("#",""), HYPERLINK(CONCATENATE("#Metadata!", ADDRESS(INDEX($X$2:$X$1001,MATCH(ROWS($V$2:V613),$V$2:$V$1001,0),0), INDEX($AC$1004:$AS$1004,1,MATCH(COLUMNS($AC$1006:AJ1006),$AC$1006:$AS$1006,0)))),"Fix")))</f>
        <v>0</v>
      </c>
      <c r="J613" s="5">
        <f>IF(OR(INDEX($W$2:$W$1001,MATCH(ROWS($V$2:V613),$V$2:$V$1001,0),1)&gt;=100000,INDEX($AC$1005:$AS$1005,1,MATCH(COLUMNS($AC$1006:AK1006),$AC$1006:$AS$1006,0))&gt;=100000), " ",IF(INDEX($AC$2:$AS$1001,MATCH(ROWS($V$2:V613),$V$2:$V$1001,0),MATCH(COLUMNS($AC$1006:AK1006),$AC$1006:$AS$1006,0)), HYPERLINK("#",""), HYPERLINK(CONCATENATE("#Metadata!", ADDRESS(INDEX($X$2:$X$1001,MATCH(ROWS($V$2:V613),$V$2:$V$1001,0),0), INDEX($AC$1004:$AS$1004,1,MATCH(COLUMNS($AC$1006:AK1006),$AC$1006:$AS$1006,0)))),"Fix")))</f>
        <v>0</v>
      </c>
      <c r="K613" s="5">
        <f>IF(OR(INDEX($W$2:$W$1001,MATCH(ROWS($V$2:V613),$V$2:$V$1001,0),1)&gt;=100000,INDEX($AC$1005:$AS$1005,1,MATCH(COLUMNS($AC$1006:AL1006),$AC$1006:$AS$1006,0))&gt;=100000), " ",IF(INDEX($AC$2:$AS$1001,MATCH(ROWS($V$2:V613),$V$2:$V$1001,0),MATCH(COLUMNS($AC$1006:AL1006),$AC$1006:$AS$1006,0)), HYPERLINK("#",""), HYPERLINK(CONCATENATE("#Metadata!", ADDRESS(INDEX($X$2:$X$1001,MATCH(ROWS($V$2:V613),$V$2:$V$1001,0),0), INDEX($AC$1004:$AS$1004,1,MATCH(COLUMNS($AC$1006:AL1006),$AC$1006:$AS$1006,0)))),"Fix")))</f>
        <v>0</v>
      </c>
      <c r="L613" s="5">
        <f>IF(OR(INDEX($W$2:$W$1001,MATCH(ROWS($V$2:V613),$V$2:$V$1001,0),1)&gt;=100000,INDEX($AC$1005:$AS$1005,1,MATCH(COLUMNS($AC$1006:AM1006),$AC$1006:$AS$1006,0))&gt;=100000), " ",IF(INDEX($AC$2:$AS$1001,MATCH(ROWS($V$2:V613),$V$2:$V$1001,0),MATCH(COLUMNS($AC$1006:AM1006),$AC$1006:$AS$1006,0)), HYPERLINK("#",""), HYPERLINK(CONCATENATE("#Metadata!", ADDRESS(INDEX($X$2:$X$1001,MATCH(ROWS($V$2:V613),$V$2:$V$1001,0),0), INDEX($AC$1004:$AS$1004,1,MATCH(COLUMNS($AC$1006:AM1006),$AC$1006:$AS$1006,0)))),"Fix")))</f>
        <v>0</v>
      </c>
      <c r="M613" s="5">
        <f>IF(OR(INDEX($W$2:$W$1001,MATCH(ROWS($V$2:V613),$V$2:$V$1001,0),1)&gt;=100000,INDEX($AC$1005:$AS$1005,1,MATCH(COLUMNS($AC$1006:AN1006),$AC$1006:$AS$1006,0))&gt;=100000), " ",IF(INDEX($AC$2:$AS$1001,MATCH(ROWS($V$2:V613),$V$2:$V$1001,0),MATCH(COLUMNS($AC$1006:AN1006),$AC$1006:$AS$1006,0)), HYPERLINK("#",""), HYPERLINK(CONCATENATE("#Metadata!", ADDRESS(INDEX($X$2:$X$1001,MATCH(ROWS($V$2:V613),$V$2:$V$1001,0),0), INDEX($AC$1004:$AS$1004,1,MATCH(COLUMNS($AC$1006:AN1006),$AC$1006:$AS$1006,0)))),"Fix")))</f>
        <v>0</v>
      </c>
      <c r="N613" s="5">
        <f>IF(OR(INDEX($W$2:$W$1001,MATCH(ROWS($V$2:V613),$V$2:$V$1001,0),1)&gt;=100000,INDEX($AC$1005:$AS$1005,1,MATCH(COLUMNS($AC$1006:AO1006),$AC$1006:$AS$1006,0))&gt;=100000), " ",IF(INDEX($AC$2:$AS$1001,MATCH(ROWS($V$2:V613),$V$2:$V$1001,0),MATCH(COLUMNS($AC$1006:AO1006),$AC$1006:$AS$1006,0)), HYPERLINK("#",""), HYPERLINK(CONCATENATE("#Metadata!", ADDRESS(INDEX($X$2:$X$1001,MATCH(ROWS($V$2:V613),$V$2:$V$1001,0),0), INDEX($AC$1004:$AS$1004,1,MATCH(COLUMNS($AC$1006:AO1006),$AC$1006:$AS$1006,0)))),"Fix")))</f>
        <v>0</v>
      </c>
      <c r="O613" s="5">
        <f>IF(OR(INDEX($W$2:$W$1001,MATCH(ROWS($V$2:V613),$V$2:$V$1001,0),1)&gt;=100000,INDEX($AC$1005:$AS$1005,1,MATCH(COLUMNS($AC$1006:AP1006),$AC$1006:$AS$1006,0))&gt;=100000), " ",IF(INDEX($AC$2:$AS$1001,MATCH(ROWS($V$2:V613),$V$2:$V$1001,0),MATCH(COLUMNS($AC$1006:AP1006),$AC$1006:$AS$1006,0)), HYPERLINK("#",""), HYPERLINK(CONCATENATE("#Metadata!", ADDRESS(INDEX($X$2:$X$1001,MATCH(ROWS($V$2:V613),$V$2:$V$1001,0),0), INDEX($AC$1004:$AS$1004,1,MATCH(COLUMNS($AC$1006:AP1006),$AC$1006:$AS$1006,0)))),"Fix")))</f>
        <v>0</v>
      </c>
      <c r="P613" s="5">
        <f>IF(OR(INDEX($W$2:$W$1001,MATCH(ROWS($V$2:V613),$V$2:$V$1001,0),1)&gt;=100000,INDEX($AC$1005:$AS$1005,1,MATCH(COLUMNS($AC$1006:AQ1006),$AC$1006:$AS$1006,0))&gt;=100000), " ",IF(INDEX($AC$2:$AS$1001,MATCH(ROWS($V$2:V613),$V$2:$V$1001,0),MATCH(COLUMNS($AC$1006:AQ1006),$AC$1006:$AS$1006,0)), HYPERLINK("#",""), HYPERLINK(CONCATENATE("#Metadata!", ADDRESS(INDEX($X$2:$X$1001,MATCH(ROWS($V$2:V613),$V$2:$V$1001,0),0), INDEX($AC$1004:$AS$1004,1,MATCH(COLUMNS($AC$1006:AQ1006),$AC$1006:$AS$1006,0)))),"Fix")))</f>
        <v>0</v>
      </c>
      <c r="Q613" s="5">
        <f>IF(OR(INDEX($W$2:$W$1001,MATCH(ROWS($V$2:V613),$V$2:$V$1001,0),1)&gt;=100000,INDEX($AC$1005:$AS$1005,1,MATCH(COLUMNS($AC$1006:AR1006),$AC$1006:$AS$1006,0))&gt;=100000), " ",IF(INDEX($AC$2:$AS$1001,MATCH(ROWS($V$2:V613),$V$2:$V$1001,0),MATCH(COLUMNS($AC$1006:AR1006),$AC$1006:$AS$1006,0)), HYPERLINK("#",""), HYPERLINK(CONCATENATE("#Metadata!", ADDRESS(INDEX($X$2:$X$1001,MATCH(ROWS($V$2:V613),$V$2:$V$1001,0),0), INDEX($AC$1004:$AS$1004,1,MATCH(COLUMNS($AC$1006:AR1006),$AC$1006:$AS$1006,0)))),"Fix")))</f>
        <v>0</v>
      </c>
      <c r="R613" s="5">
        <f>IF(OR(INDEX($W$2:$W$1001,MATCH(ROWS($V$2:V613),$V$2:$V$1001,0),1)&gt;=100000,INDEX($AC$1005:$AS$1005,1,MATCH(COLUMNS($AC$1006:AS1006),$AC$1006:$AS$1006,0))&gt;=100000), " ",IF(INDEX($AC$2:$AS$1001,MATCH(ROWS($V$2:V613),$V$2:$V$1001,0),MATCH(COLUMNS($AC$1006:AS1006),$AC$1006:$AS$1006,0)), HYPERLINK("#",""), HYPERLINK(CONCATENATE("#Metadata!", ADDRESS(INDEX($X$2:$X$1001,MATCH(ROWS($V$2:V613),$V$2:$V$1001,0),0), INDEX($AC$1004:$AS$1004,1,MATCH(COLUMNS($AC$1006:AS1006),$AC$1006:$AS$1006,0)))),"Fix")))</f>
        <v>0</v>
      </c>
      <c r="V613">
        <v>0</v>
      </c>
      <c r="W613">
        <v>0</v>
      </c>
      <c r="X613">
        <v>0</v>
      </c>
      <c r="Y613">
        <f>IF(Z613,TRUE,AND(AC613:AS613))</f>
        <v>0</v>
      </c>
      <c r="Z613">
        <f>COUNTBLANK(Metadata!B613:R613)=COLUMNS(Metadata!B613:R613)</f>
        <v>0</v>
      </c>
      <c r="AA613">
        <v>0</v>
      </c>
      <c r="AC613">
        <f>AND(IF(Metadata!B613="",FALSE,TRUE),COUNTIF(Metadata!B:B, Metadata!B613) = 1,NOT(ISERROR(SUMPRODUCT(SEARCH(MID(Metadata!B613,ROW(INDIRECT("1:"&amp;LEN(Metadata!B613))), 1),"0123456789abcdefghijklmnopqrstuvwxyzABCDEFGHIJKLMNOPQRSTUVWXYZ.")))))</f>
        <v>0</v>
      </c>
      <c r="AD613">
        <f>AND(IF(Metadata!C613="",FALSE,TRUE),exact(Metadata!C613,"Host-associated"))</f>
        <v>0</v>
      </c>
      <c r="AE613">
        <f>AND(IF(Metadata!D613="",FALSE,TRUE),OR(exact(Metadata!D613,"Animal"),exact(Metadata!D613,"Fungus"),exact(Metadata!D613,"Plant")))</f>
        <v>0</v>
      </c>
      <c r="AF613">
        <f>AND(IF(Metadata!E613="",FALSE,TRUE),OR(exact(Metadata!E613,"Plant secretion"),exact(Metadata!E613,"Plant rhizosphere"),exact(Metadata!E613,"Plant surface"),exact(Metadata!E613,"Plant corpus"),exact(Metadata!E613,"Fungus surface"),exact(Metadata!E613,"Fungus corpus"),exact(Metadata!E613,"Animal surface"),exact(Metadata!E613,"Animal proximal gut"),exact(Metadata!E613,"Animal corpus"),exact(Metadata!E613,"Animal distal gut"),exact(Metadata!E613,"Animal secretion")))</f>
        <v>0</v>
      </c>
      <c r="AG613">
        <f>OR(AND(IF(Metadata!F613="",FALSE,TRUE),OR(exact(Metadata!F613,"not collected"),exact(Metadata!F613,"not provided"),exact(Metadata!F613,"restricted access"))),AND(IF(Metadata!F613="",FALSE,TRUE),OR(exact(Metadata!F613,"organism-associated habitat"),exact(Metadata!F613,"plant-associated habitat"),exact(Metadata!F613,"animal-associated habitat"),exact(Metadata!F613,"insecta-associated habitat"),exact(Metadata!F613,"mammalia-associated habitat"),exact(Metadata!F613,"human-associated habitat"),exact(Metadata!F613,"livestock-associated habitat"))))</f>
        <v>0</v>
      </c>
      <c r="AH613">
        <f>AND(IF(Metadata!G613="",FALSE,TRUE),exact(Metadata!G613,"host-associated"))</f>
        <v>0</v>
      </c>
      <c r="AI613">
        <f>OR(AND(IF(Metadata!H613="",FALSE,TRUE),OR(exact(Metadata!H613,"not collected"),exact(Metadata!H613,"not provided"))),AND(IF(Metadata!H613="",FALSE,ISNUMBER(VALUE(Metadata!H613))),Metadata!H613&gt;0))</f>
        <v>0</v>
      </c>
      <c r="AJ613">
        <f>AND(IF(Metadata!I613="",FALSE,TRUE),exact(Metadata!I613,"years"))</f>
        <v>0</v>
      </c>
      <c r="AK613">
        <f>IF(Metadata!J613="",FALSE,TRUE)</f>
        <v>0</v>
      </c>
      <c r="AL613">
        <f>OR(AND(IF(Metadata!K613="",FALSE,TRUE),OR(exact(Metadata!K613,"not collected"),exact(Metadata!K613,"not provided"))),AND(IF(Metadata!K613="",FALSE,ISNUMBER(VALUE(Metadata!K613))),Metadata!K613&gt;0))</f>
        <v>0</v>
      </c>
      <c r="AM613">
        <f>AND(IF(Metadata!L613="",FALSE,TRUE),exact(Metadata!L613,"cm"))</f>
        <v>0</v>
      </c>
      <c r="AN613">
        <f>IF(Metadata!M613="",FALSE,TRUE)</f>
        <v>0</v>
      </c>
      <c r="AO613">
        <f>OR(AND(IF(Metadata!N613="",FALSE,TRUE),OR(exact(Metadata!N613,"not applicable"),exact(Metadata!N613,"not collected"),exact(Metadata!N613,"not provided"))),AND(IF(Metadata!N613="",FALSE,IF(ISERROR(INT(Metadata!N613)),FALSE,INT(Metadata!N613)=Metadata!N613)),Metadata!N613&gt;0))</f>
        <v>0</v>
      </c>
      <c r="AP613">
        <f>OR(AND(IF(Metadata!O613="",FALSE,TRUE),OR(exact(Metadata!O613,"not collected"),exact(Metadata!O613,"not provided"))),AND(IF(Metadata!O613="",FALSE,ISNUMBER(VALUE(Metadata!O613))),Metadata!O613&gt;0))</f>
        <v>0</v>
      </c>
      <c r="AQ613">
        <f>AND(IF(Metadata!P613="",FALSE,TRUE),exact(Metadata!P613,"kg"))</f>
        <v>0</v>
      </c>
      <c r="AR613">
        <f>OR(AND(IF(Metadata!Q613="",FALSE,TRUE),OR(exact(Metadata!Q613,"not applicable"),exact(Metadata!Q613,"not collected"),exact(Metadata!Q613,"not provided"),exact(Metadata!Q613,"restricted access"))),IF(Metadata!Q613="",FALSE,IF(ISERROR(INT(Metadata!Q613)),FALSE,INT(Metadata!Q613)=Metadata!Q613)))</f>
        <v>0</v>
      </c>
      <c r="AS613">
        <f>AND(IF(Metadata!R613="",FALSE,TRUE),exact(Metadata!R613,"Not applicable"))</f>
        <v>0</v>
      </c>
    </row>
    <row r="614" spans="1:45">
      <c r="A614" s="4">
        <f>IF(B614=" "," ",HYPERLINK(CONCATENATE("#metadata!",ADDRESS(INDEX($X$2:$X$1001,MATCH(ROWS($V$2:V614),$V$2:$V$1001,0),0),2)),INDEX($AA$2:$AA$1001,MATCH(ROWS($V$2:V614),$V$2:$V$1001,0),0)))</f>
        <v>0</v>
      </c>
      <c r="B614" s="5">
        <f>IF(OR(INDEX($W$2:$W$1001,MATCH(ROWS($V$2:V614),$V$2:$V$1001,0),1)&gt;=100000,INDEX($AC$1005:$AS$1005,1,MATCH(COLUMNS($AC$1006:AC1006),$AC$1006:$AS$1006,0))&gt;=100000), " ",IF(INDEX($AC$2:$AS$1001,MATCH(ROWS($V$2:V614),$V$2:$V$1001,0),MATCH(COLUMNS($AC$1006:AC1006),$AC$1006:$AS$1006,0)), HYPERLINK("#",""), HYPERLINK(CONCATENATE("#Metadata!", ADDRESS(INDEX($X$2:$X$1001,MATCH(ROWS($V$2:V614),$V$2:$V$1001,0),0), INDEX($AC$1004:$AS$1004,1,MATCH(COLUMNS($AC$1006:AC1006),$AC$1006:$AS$1006,0)))),"Fix")))</f>
        <v>0</v>
      </c>
      <c r="C614" s="5">
        <f>IF(OR(INDEX($W$2:$W$1001,MATCH(ROWS($V$2:V614),$V$2:$V$1001,0),1)&gt;=100000,INDEX($AC$1005:$AS$1005,1,MATCH(COLUMNS($AC$1006:AD1006),$AC$1006:$AS$1006,0))&gt;=100000), " ",IF(INDEX($AC$2:$AS$1001,MATCH(ROWS($V$2:V614),$V$2:$V$1001,0),MATCH(COLUMNS($AC$1006:AD1006),$AC$1006:$AS$1006,0)), HYPERLINK("#",""), HYPERLINK(CONCATENATE("#Metadata!", ADDRESS(INDEX($X$2:$X$1001,MATCH(ROWS($V$2:V614),$V$2:$V$1001,0),0), INDEX($AC$1004:$AS$1004,1,MATCH(COLUMNS($AC$1006:AD1006),$AC$1006:$AS$1006,0)))),"Fix")))</f>
        <v>0</v>
      </c>
      <c r="D614" s="5">
        <f>IF(OR(INDEX($W$2:$W$1001,MATCH(ROWS($V$2:V614),$V$2:$V$1001,0),1)&gt;=100000,INDEX($AC$1005:$AS$1005,1,MATCH(COLUMNS($AC$1006:AE1006),$AC$1006:$AS$1006,0))&gt;=100000), " ",IF(INDEX($AC$2:$AS$1001,MATCH(ROWS($V$2:V614),$V$2:$V$1001,0),MATCH(COLUMNS($AC$1006:AE1006),$AC$1006:$AS$1006,0)), HYPERLINK("#",""), HYPERLINK(CONCATENATE("#Metadata!", ADDRESS(INDEX($X$2:$X$1001,MATCH(ROWS($V$2:V614),$V$2:$V$1001,0),0), INDEX($AC$1004:$AS$1004,1,MATCH(COLUMNS($AC$1006:AE1006),$AC$1006:$AS$1006,0)))),"Fix")))</f>
        <v>0</v>
      </c>
      <c r="E614" s="5">
        <f>IF(OR(INDEX($W$2:$W$1001,MATCH(ROWS($V$2:V614),$V$2:$V$1001,0),1)&gt;=100000,INDEX($AC$1005:$AS$1005,1,MATCH(COLUMNS($AC$1006:AF1006),$AC$1006:$AS$1006,0))&gt;=100000), " ",IF(INDEX($AC$2:$AS$1001,MATCH(ROWS($V$2:V614),$V$2:$V$1001,0),MATCH(COLUMNS($AC$1006:AF1006),$AC$1006:$AS$1006,0)), HYPERLINK("#",""), HYPERLINK(CONCATENATE("#Metadata!", ADDRESS(INDEX($X$2:$X$1001,MATCH(ROWS($V$2:V614),$V$2:$V$1001,0),0), INDEX($AC$1004:$AS$1004,1,MATCH(COLUMNS($AC$1006:AF1006),$AC$1006:$AS$1006,0)))),"Fix")))</f>
        <v>0</v>
      </c>
      <c r="F614" s="5">
        <f>IF(OR(INDEX($W$2:$W$1001,MATCH(ROWS($V$2:V614),$V$2:$V$1001,0),1)&gt;=100000,INDEX($AC$1005:$AS$1005,1,MATCH(COLUMNS($AC$1006:AG1006),$AC$1006:$AS$1006,0))&gt;=100000), " ",IF(INDEX($AC$2:$AS$1001,MATCH(ROWS($V$2:V614),$V$2:$V$1001,0),MATCH(COLUMNS($AC$1006:AG1006),$AC$1006:$AS$1006,0)), HYPERLINK("#",""), HYPERLINK(CONCATENATE("#Metadata!", ADDRESS(INDEX($X$2:$X$1001,MATCH(ROWS($V$2:V614),$V$2:$V$1001,0),0), INDEX($AC$1004:$AS$1004,1,MATCH(COLUMNS($AC$1006:AG1006),$AC$1006:$AS$1006,0)))),"Fix")))</f>
        <v>0</v>
      </c>
      <c r="G614" s="5">
        <f>IF(OR(INDEX($W$2:$W$1001,MATCH(ROWS($V$2:V614),$V$2:$V$1001,0),1)&gt;=100000,INDEX($AC$1005:$AS$1005,1,MATCH(COLUMNS($AC$1006:AH1006),$AC$1006:$AS$1006,0))&gt;=100000), " ",IF(INDEX($AC$2:$AS$1001,MATCH(ROWS($V$2:V614),$V$2:$V$1001,0),MATCH(COLUMNS($AC$1006:AH1006),$AC$1006:$AS$1006,0)), HYPERLINK("#",""), HYPERLINK(CONCATENATE("#Metadata!", ADDRESS(INDEX($X$2:$X$1001,MATCH(ROWS($V$2:V614),$V$2:$V$1001,0),0), INDEX($AC$1004:$AS$1004,1,MATCH(COLUMNS($AC$1006:AH1006),$AC$1006:$AS$1006,0)))),"Fix")))</f>
        <v>0</v>
      </c>
      <c r="H614" s="5">
        <f>IF(OR(INDEX($W$2:$W$1001,MATCH(ROWS($V$2:V614),$V$2:$V$1001,0),1)&gt;=100000,INDEX($AC$1005:$AS$1005,1,MATCH(COLUMNS($AC$1006:AI1006),$AC$1006:$AS$1006,0))&gt;=100000), " ",IF(INDEX($AC$2:$AS$1001,MATCH(ROWS($V$2:V614),$V$2:$V$1001,0),MATCH(COLUMNS($AC$1006:AI1006),$AC$1006:$AS$1006,0)), HYPERLINK("#",""), HYPERLINK(CONCATENATE("#Metadata!", ADDRESS(INDEX($X$2:$X$1001,MATCH(ROWS($V$2:V614),$V$2:$V$1001,0),0), INDEX($AC$1004:$AS$1004,1,MATCH(COLUMNS($AC$1006:AI1006),$AC$1006:$AS$1006,0)))),"Fix")))</f>
        <v>0</v>
      </c>
      <c r="I614" s="5">
        <f>IF(OR(INDEX($W$2:$W$1001,MATCH(ROWS($V$2:V614),$V$2:$V$1001,0),1)&gt;=100000,INDEX($AC$1005:$AS$1005,1,MATCH(COLUMNS($AC$1006:AJ1006),$AC$1006:$AS$1006,0))&gt;=100000), " ",IF(INDEX($AC$2:$AS$1001,MATCH(ROWS($V$2:V614),$V$2:$V$1001,0),MATCH(COLUMNS($AC$1006:AJ1006),$AC$1006:$AS$1006,0)), HYPERLINK("#",""), HYPERLINK(CONCATENATE("#Metadata!", ADDRESS(INDEX($X$2:$X$1001,MATCH(ROWS($V$2:V614),$V$2:$V$1001,0),0), INDEX($AC$1004:$AS$1004,1,MATCH(COLUMNS($AC$1006:AJ1006),$AC$1006:$AS$1006,0)))),"Fix")))</f>
        <v>0</v>
      </c>
      <c r="J614" s="5">
        <f>IF(OR(INDEX($W$2:$W$1001,MATCH(ROWS($V$2:V614),$V$2:$V$1001,0),1)&gt;=100000,INDEX($AC$1005:$AS$1005,1,MATCH(COLUMNS($AC$1006:AK1006),$AC$1006:$AS$1006,0))&gt;=100000), " ",IF(INDEX($AC$2:$AS$1001,MATCH(ROWS($V$2:V614),$V$2:$V$1001,0),MATCH(COLUMNS($AC$1006:AK1006),$AC$1006:$AS$1006,0)), HYPERLINK("#",""), HYPERLINK(CONCATENATE("#Metadata!", ADDRESS(INDEX($X$2:$X$1001,MATCH(ROWS($V$2:V614),$V$2:$V$1001,0),0), INDEX($AC$1004:$AS$1004,1,MATCH(COLUMNS($AC$1006:AK1006),$AC$1006:$AS$1006,0)))),"Fix")))</f>
        <v>0</v>
      </c>
      <c r="K614" s="5">
        <f>IF(OR(INDEX($W$2:$W$1001,MATCH(ROWS($V$2:V614),$V$2:$V$1001,0),1)&gt;=100000,INDEX($AC$1005:$AS$1005,1,MATCH(COLUMNS($AC$1006:AL1006),$AC$1006:$AS$1006,0))&gt;=100000), " ",IF(INDEX($AC$2:$AS$1001,MATCH(ROWS($V$2:V614),$V$2:$V$1001,0),MATCH(COLUMNS($AC$1006:AL1006),$AC$1006:$AS$1006,0)), HYPERLINK("#",""), HYPERLINK(CONCATENATE("#Metadata!", ADDRESS(INDEX($X$2:$X$1001,MATCH(ROWS($V$2:V614),$V$2:$V$1001,0),0), INDEX($AC$1004:$AS$1004,1,MATCH(COLUMNS($AC$1006:AL1006),$AC$1006:$AS$1006,0)))),"Fix")))</f>
        <v>0</v>
      </c>
      <c r="L614" s="5">
        <f>IF(OR(INDEX($W$2:$W$1001,MATCH(ROWS($V$2:V614),$V$2:$V$1001,0),1)&gt;=100000,INDEX($AC$1005:$AS$1005,1,MATCH(COLUMNS($AC$1006:AM1006),$AC$1006:$AS$1006,0))&gt;=100000), " ",IF(INDEX($AC$2:$AS$1001,MATCH(ROWS($V$2:V614),$V$2:$V$1001,0),MATCH(COLUMNS($AC$1006:AM1006),$AC$1006:$AS$1006,0)), HYPERLINK("#",""), HYPERLINK(CONCATENATE("#Metadata!", ADDRESS(INDEX($X$2:$X$1001,MATCH(ROWS($V$2:V614),$V$2:$V$1001,0),0), INDEX($AC$1004:$AS$1004,1,MATCH(COLUMNS($AC$1006:AM1006),$AC$1006:$AS$1006,0)))),"Fix")))</f>
        <v>0</v>
      </c>
      <c r="M614" s="5">
        <f>IF(OR(INDEX($W$2:$W$1001,MATCH(ROWS($V$2:V614),$V$2:$V$1001,0),1)&gt;=100000,INDEX($AC$1005:$AS$1005,1,MATCH(COLUMNS($AC$1006:AN1006),$AC$1006:$AS$1006,0))&gt;=100000), " ",IF(INDEX($AC$2:$AS$1001,MATCH(ROWS($V$2:V614),$V$2:$V$1001,0),MATCH(COLUMNS($AC$1006:AN1006),$AC$1006:$AS$1006,0)), HYPERLINK("#",""), HYPERLINK(CONCATENATE("#Metadata!", ADDRESS(INDEX($X$2:$X$1001,MATCH(ROWS($V$2:V614),$V$2:$V$1001,0),0), INDEX($AC$1004:$AS$1004,1,MATCH(COLUMNS($AC$1006:AN1006),$AC$1006:$AS$1006,0)))),"Fix")))</f>
        <v>0</v>
      </c>
      <c r="N614" s="5">
        <f>IF(OR(INDEX($W$2:$W$1001,MATCH(ROWS($V$2:V614),$V$2:$V$1001,0),1)&gt;=100000,INDEX($AC$1005:$AS$1005,1,MATCH(COLUMNS($AC$1006:AO1006),$AC$1006:$AS$1006,0))&gt;=100000), " ",IF(INDEX($AC$2:$AS$1001,MATCH(ROWS($V$2:V614),$V$2:$V$1001,0),MATCH(COLUMNS($AC$1006:AO1006),$AC$1006:$AS$1006,0)), HYPERLINK("#",""), HYPERLINK(CONCATENATE("#Metadata!", ADDRESS(INDEX($X$2:$X$1001,MATCH(ROWS($V$2:V614),$V$2:$V$1001,0),0), INDEX($AC$1004:$AS$1004,1,MATCH(COLUMNS($AC$1006:AO1006),$AC$1006:$AS$1006,0)))),"Fix")))</f>
        <v>0</v>
      </c>
      <c r="O614" s="5">
        <f>IF(OR(INDEX($W$2:$W$1001,MATCH(ROWS($V$2:V614),$V$2:$V$1001,0),1)&gt;=100000,INDEX($AC$1005:$AS$1005,1,MATCH(COLUMNS($AC$1006:AP1006),$AC$1006:$AS$1006,0))&gt;=100000), " ",IF(INDEX($AC$2:$AS$1001,MATCH(ROWS($V$2:V614),$V$2:$V$1001,0),MATCH(COLUMNS($AC$1006:AP1006),$AC$1006:$AS$1006,0)), HYPERLINK("#",""), HYPERLINK(CONCATENATE("#Metadata!", ADDRESS(INDEX($X$2:$X$1001,MATCH(ROWS($V$2:V614),$V$2:$V$1001,0),0), INDEX($AC$1004:$AS$1004,1,MATCH(COLUMNS($AC$1006:AP1006),$AC$1006:$AS$1006,0)))),"Fix")))</f>
        <v>0</v>
      </c>
      <c r="P614" s="5">
        <f>IF(OR(INDEX($W$2:$W$1001,MATCH(ROWS($V$2:V614),$V$2:$V$1001,0),1)&gt;=100000,INDEX($AC$1005:$AS$1005,1,MATCH(COLUMNS($AC$1006:AQ1006),$AC$1006:$AS$1006,0))&gt;=100000), " ",IF(INDEX($AC$2:$AS$1001,MATCH(ROWS($V$2:V614),$V$2:$V$1001,0),MATCH(COLUMNS($AC$1006:AQ1006),$AC$1006:$AS$1006,0)), HYPERLINK("#",""), HYPERLINK(CONCATENATE("#Metadata!", ADDRESS(INDEX($X$2:$X$1001,MATCH(ROWS($V$2:V614),$V$2:$V$1001,0),0), INDEX($AC$1004:$AS$1004,1,MATCH(COLUMNS($AC$1006:AQ1006),$AC$1006:$AS$1006,0)))),"Fix")))</f>
        <v>0</v>
      </c>
      <c r="Q614" s="5">
        <f>IF(OR(INDEX($W$2:$W$1001,MATCH(ROWS($V$2:V614),$V$2:$V$1001,0),1)&gt;=100000,INDEX($AC$1005:$AS$1005,1,MATCH(COLUMNS($AC$1006:AR1006),$AC$1006:$AS$1006,0))&gt;=100000), " ",IF(INDEX($AC$2:$AS$1001,MATCH(ROWS($V$2:V614),$V$2:$V$1001,0),MATCH(COLUMNS($AC$1006:AR1006),$AC$1006:$AS$1006,0)), HYPERLINK("#",""), HYPERLINK(CONCATENATE("#Metadata!", ADDRESS(INDEX($X$2:$X$1001,MATCH(ROWS($V$2:V614),$V$2:$V$1001,0),0), INDEX($AC$1004:$AS$1004,1,MATCH(COLUMNS($AC$1006:AR1006),$AC$1006:$AS$1006,0)))),"Fix")))</f>
        <v>0</v>
      </c>
      <c r="R614" s="5">
        <f>IF(OR(INDEX($W$2:$W$1001,MATCH(ROWS($V$2:V614),$V$2:$V$1001,0),1)&gt;=100000,INDEX($AC$1005:$AS$1005,1,MATCH(COLUMNS($AC$1006:AS1006),$AC$1006:$AS$1006,0))&gt;=100000), " ",IF(INDEX($AC$2:$AS$1001,MATCH(ROWS($V$2:V614),$V$2:$V$1001,0),MATCH(COLUMNS($AC$1006:AS1006),$AC$1006:$AS$1006,0)), HYPERLINK("#",""), HYPERLINK(CONCATENATE("#Metadata!", ADDRESS(INDEX($X$2:$X$1001,MATCH(ROWS($V$2:V614),$V$2:$V$1001,0),0), INDEX($AC$1004:$AS$1004,1,MATCH(COLUMNS($AC$1006:AS1006),$AC$1006:$AS$1006,0)))),"Fix")))</f>
        <v>0</v>
      </c>
      <c r="V614">
        <v>0</v>
      </c>
      <c r="W614">
        <v>0</v>
      </c>
      <c r="X614">
        <v>0</v>
      </c>
      <c r="Y614">
        <f>IF(Z614,TRUE,AND(AC614:AS614))</f>
        <v>0</v>
      </c>
      <c r="Z614">
        <f>COUNTBLANK(Metadata!B614:R614)=COLUMNS(Metadata!B614:R614)</f>
        <v>0</v>
      </c>
      <c r="AA614">
        <v>0</v>
      </c>
      <c r="AC614">
        <f>AND(IF(Metadata!B614="",FALSE,TRUE),COUNTIF(Metadata!B:B, Metadata!B614) = 1,NOT(ISERROR(SUMPRODUCT(SEARCH(MID(Metadata!B614,ROW(INDIRECT("1:"&amp;LEN(Metadata!B614))), 1),"0123456789abcdefghijklmnopqrstuvwxyzABCDEFGHIJKLMNOPQRSTUVWXYZ.")))))</f>
        <v>0</v>
      </c>
      <c r="AD614">
        <f>AND(IF(Metadata!C614="",FALSE,TRUE),exact(Metadata!C614,"Host-associated"))</f>
        <v>0</v>
      </c>
      <c r="AE614">
        <f>AND(IF(Metadata!D614="",FALSE,TRUE),OR(exact(Metadata!D614,"Animal"),exact(Metadata!D614,"Fungus"),exact(Metadata!D614,"Plant")))</f>
        <v>0</v>
      </c>
      <c r="AF614">
        <f>AND(IF(Metadata!E614="",FALSE,TRUE),OR(exact(Metadata!E614,"Plant secretion"),exact(Metadata!E614,"Plant rhizosphere"),exact(Metadata!E614,"Plant surface"),exact(Metadata!E614,"Plant corpus"),exact(Metadata!E614,"Fungus surface"),exact(Metadata!E614,"Fungus corpus"),exact(Metadata!E614,"Animal surface"),exact(Metadata!E614,"Animal proximal gut"),exact(Metadata!E614,"Animal corpus"),exact(Metadata!E614,"Animal distal gut"),exact(Metadata!E614,"Animal secretion")))</f>
        <v>0</v>
      </c>
      <c r="AG614">
        <f>OR(AND(IF(Metadata!F614="",FALSE,TRUE),OR(exact(Metadata!F614,"not collected"),exact(Metadata!F614,"not provided"),exact(Metadata!F614,"restricted access"))),AND(IF(Metadata!F614="",FALSE,TRUE),OR(exact(Metadata!F614,"organism-associated habitat"),exact(Metadata!F614,"plant-associated habitat"),exact(Metadata!F614,"animal-associated habitat"),exact(Metadata!F614,"insecta-associated habitat"),exact(Metadata!F614,"mammalia-associated habitat"),exact(Metadata!F614,"human-associated habitat"),exact(Metadata!F614,"livestock-associated habitat"))))</f>
        <v>0</v>
      </c>
      <c r="AH614">
        <f>AND(IF(Metadata!G614="",FALSE,TRUE),exact(Metadata!G614,"host-associated"))</f>
        <v>0</v>
      </c>
      <c r="AI614">
        <f>OR(AND(IF(Metadata!H614="",FALSE,TRUE),OR(exact(Metadata!H614,"not collected"),exact(Metadata!H614,"not provided"))),AND(IF(Metadata!H614="",FALSE,ISNUMBER(VALUE(Metadata!H614))),Metadata!H614&gt;0))</f>
        <v>0</v>
      </c>
      <c r="AJ614">
        <f>AND(IF(Metadata!I614="",FALSE,TRUE),exact(Metadata!I614,"years"))</f>
        <v>0</v>
      </c>
      <c r="AK614">
        <f>IF(Metadata!J614="",FALSE,TRUE)</f>
        <v>0</v>
      </c>
      <c r="AL614">
        <f>OR(AND(IF(Metadata!K614="",FALSE,TRUE),OR(exact(Metadata!K614,"not collected"),exact(Metadata!K614,"not provided"))),AND(IF(Metadata!K614="",FALSE,ISNUMBER(VALUE(Metadata!K614))),Metadata!K614&gt;0))</f>
        <v>0</v>
      </c>
      <c r="AM614">
        <f>AND(IF(Metadata!L614="",FALSE,TRUE),exact(Metadata!L614,"cm"))</f>
        <v>0</v>
      </c>
      <c r="AN614">
        <f>IF(Metadata!M614="",FALSE,TRUE)</f>
        <v>0</v>
      </c>
      <c r="AO614">
        <f>OR(AND(IF(Metadata!N614="",FALSE,TRUE),OR(exact(Metadata!N614,"not applicable"),exact(Metadata!N614,"not collected"),exact(Metadata!N614,"not provided"))),AND(IF(Metadata!N614="",FALSE,IF(ISERROR(INT(Metadata!N614)),FALSE,INT(Metadata!N614)=Metadata!N614)),Metadata!N614&gt;0))</f>
        <v>0</v>
      </c>
      <c r="AP614">
        <f>OR(AND(IF(Metadata!O614="",FALSE,TRUE),OR(exact(Metadata!O614,"not collected"),exact(Metadata!O614,"not provided"))),AND(IF(Metadata!O614="",FALSE,ISNUMBER(VALUE(Metadata!O614))),Metadata!O614&gt;0))</f>
        <v>0</v>
      </c>
      <c r="AQ614">
        <f>AND(IF(Metadata!P614="",FALSE,TRUE),exact(Metadata!P614,"kg"))</f>
        <v>0</v>
      </c>
      <c r="AR614">
        <f>OR(AND(IF(Metadata!Q614="",FALSE,TRUE),OR(exact(Metadata!Q614,"not applicable"),exact(Metadata!Q614,"not collected"),exact(Metadata!Q614,"not provided"),exact(Metadata!Q614,"restricted access"))),IF(Metadata!Q614="",FALSE,IF(ISERROR(INT(Metadata!Q614)),FALSE,INT(Metadata!Q614)=Metadata!Q614)))</f>
        <v>0</v>
      </c>
      <c r="AS614">
        <f>AND(IF(Metadata!R614="",FALSE,TRUE),exact(Metadata!R614,"Not applicable"))</f>
        <v>0</v>
      </c>
    </row>
    <row r="615" spans="1:45">
      <c r="A615" s="4">
        <f>IF(B615=" "," ",HYPERLINK(CONCATENATE("#metadata!",ADDRESS(INDEX($X$2:$X$1001,MATCH(ROWS($V$2:V615),$V$2:$V$1001,0),0),2)),INDEX($AA$2:$AA$1001,MATCH(ROWS($V$2:V615),$V$2:$V$1001,0),0)))</f>
        <v>0</v>
      </c>
      <c r="B615" s="5">
        <f>IF(OR(INDEX($W$2:$W$1001,MATCH(ROWS($V$2:V615),$V$2:$V$1001,0),1)&gt;=100000,INDEX($AC$1005:$AS$1005,1,MATCH(COLUMNS($AC$1006:AC1006),$AC$1006:$AS$1006,0))&gt;=100000), " ",IF(INDEX($AC$2:$AS$1001,MATCH(ROWS($V$2:V615),$V$2:$V$1001,0),MATCH(COLUMNS($AC$1006:AC1006),$AC$1006:$AS$1006,0)), HYPERLINK("#",""), HYPERLINK(CONCATENATE("#Metadata!", ADDRESS(INDEX($X$2:$X$1001,MATCH(ROWS($V$2:V615),$V$2:$V$1001,0),0), INDEX($AC$1004:$AS$1004,1,MATCH(COLUMNS($AC$1006:AC1006),$AC$1006:$AS$1006,0)))),"Fix")))</f>
        <v>0</v>
      </c>
      <c r="C615" s="5">
        <f>IF(OR(INDEX($W$2:$W$1001,MATCH(ROWS($V$2:V615),$V$2:$V$1001,0),1)&gt;=100000,INDEX($AC$1005:$AS$1005,1,MATCH(COLUMNS($AC$1006:AD1006),$AC$1006:$AS$1006,0))&gt;=100000), " ",IF(INDEX($AC$2:$AS$1001,MATCH(ROWS($V$2:V615),$V$2:$V$1001,0),MATCH(COLUMNS($AC$1006:AD1006),$AC$1006:$AS$1006,0)), HYPERLINK("#",""), HYPERLINK(CONCATENATE("#Metadata!", ADDRESS(INDEX($X$2:$X$1001,MATCH(ROWS($V$2:V615),$V$2:$V$1001,0),0), INDEX($AC$1004:$AS$1004,1,MATCH(COLUMNS($AC$1006:AD1006),$AC$1006:$AS$1006,0)))),"Fix")))</f>
        <v>0</v>
      </c>
      <c r="D615" s="5">
        <f>IF(OR(INDEX($W$2:$W$1001,MATCH(ROWS($V$2:V615),$V$2:$V$1001,0),1)&gt;=100000,INDEX($AC$1005:$AS$1005,1,MATCH(COLUMNS($AC$1006:AE1006),$AC$1006:$AS$1006,0))&gt;=100000), " ",IF(INDEX($AC$2:$AS$1001,MATCH(ROWS($V$2:V615),$V$2:$V$1001,0),MATCH(COLUMNS($AC$1006:AE1006),$AC$1006:$AS$1006,0)), HYPERLINK("#",""), HYPERLINK(CONCATENATE("#Metadata!", ADDRESS(INDEX($X$2:$X$1001,MATCH(ROWS($V$2:V615),$V$2:$V$1001,0),0), INDEX($AC$1004:$AS$1004,1,MATCH(COLUMNS($AC$1006:AE1006),$AC$1006:$AS$1006,0)))),"Fix")))</f>
        <v>0</v>
      </c>
      <c r="E615" s="5">
        <f>IF(OR(INDEX($W$2:$W$1001,MATCH(ROWS($V$2:V615),$V$2:$V$1001,0),1)&gt;=100000,INDEX($AC$1005:$AS$1005,1,MATCH(COLUMNS($AC$1006:AF1006),$AC$1006:$AS$1006,0))&gt;=100000), " ",IF(INDEX($AC$2:$AS$1001,MATCH(ROWS($V$2:V615),$V$2:$V$1001,0),MATCH(COLUMNS($AC$1006:AF1006),$AC$1006:$AS$1006,0)), HYPERLINK("#",""), HYPERLINK(CONCATENATE("#Metadata!", ADDRESS(INDEX($X$2:$X$1001,MATCH(ROWS($V$2:V615),$V$2:$V$1001,0),0), INDEX($AC$1004:$AS$1004,1,MATCH(COLUMNS($AC$1006:AF1006),$AC$1006:$AS$1006,0)))),"Fix")))</f>
        <v>0</v>
      </c>
      <c r="F615" s="5">
        <f>IF(OR(INDEX($W$2:$W$1001,MATCH(ROWS($V$2:V615),$V$2:$V$1001,0),1)&gt;=100000,INDEX($AC$1005:$AS$1005,1,MATCH(COLUMNS($AC$1006:AG1006),$AC$1006:$AS$1006,0))&gt;=100000), " ",IF(INDEX($AC$2:$AS$1001,MATCH(ROWS($V$2:V615),$V$2:$V$1001,0),MATCH(COLUMNS($AC$1006:AG1006),$AC$1006:$AS$1006,0)), HYPERLINK("#",""), HYPERLINK(CONCATENATE("#Metadata!", ADDRESS(INDEX($X$2:$X$1001,MATCH(ROWS($V$2:V615),$V$2:$V$1001,0),0), INDEX($AC$1004:$AS$1004,1,MATCH(COLUMNS($AC$1006:AG1006),$AC$1006:$AS$1006,0)))),"Fix")))</f>
        <v>0</v>
      </c>
      <c r="G615" s="5">
        <f>IF(OR(INDEX($W$2:$W$1001,MATCH(ROWS($V$2:V615),$V$2:$V$1001,0),1)&gt;=100000,INDEX($AC$1005:$AS$1005,1,MATCH(COLUMNS($AC$1006:AH1006),$AC$1006:$AS$1006,0))&gt;=100000), " ",IF(INDEX($AC$2:$AS$1001,MATCH(ROWS($V$2:V615),$V$2:$V$1001,0),MATCH(COLUMNS($AC$1006:AH1006),$AC$1006:$AS$1006,0)), HYPERLINK("#",""), HYPERLINK(CONCATENATE("#Metadata!", ADDRESS(INDEX($X$2:$X$1001,MATCH(ROWS($V$2:V615),$V$2:$V$1001,0),0), INDEX($AC$1004:$AS$1004,1,MATCH(COLUMNS($AC$1006:AH1006),$AC$1006:$AS$1006,0)))),"Fix")))</f>
        <v>0</v>
      </c>
      <c r="H615" s="5">
        <f>IF(OR(INDEX($W$2:$W$1001,MATCH(ROWS($V$2:V615),$V$2:$V$1001,0),1)&gt;=100000,INDEX($AC$1005:$AS$1005,1,MATCH(COLUMNS($AC$1006:AI1006),$AC$1006:$AS$1006,0))&gt;=100000), " ",IF(INDEX($AC$2:$AS$1001,MATCH(ROWS($V$2:V615),$V$2:$V$1001,0),MATCH(COLUMNS($AC$1006:AI1006),$AC$1006:$AS$1006,0)), HYPERLINK("#",""), HYPERLINK(CONCATENATE("#Metadata!", ADDRESS(INDEX($X$2:$X$1001,MATCH(ROWS($V$2:V615),$V$2:$V$1001,0),0), INDEX($AC$1004:$AS$1004,1,MATCH(COLUMNS($AC$1006:AI1006),$AC$1006:$AS$1006,0)))),"Fix")))</f>
        <v>0</v>
      </c>
      <c r="I615" s="5">
        <f>IF(OR(INDEX($W$2:$W$1001,MATCH(ROWS($V$2:V615),$V$2:$V$1001,0),1)&gt;=100000,INDEX($AC$1005:$AS$1005,1,MATCH(COLUMNS($AC$1006:AJ1006),$AC$1006:$AS$1006,0))&gt;=100000), " ",IF(INDEX($AC$2:$AS$1001,MATCH(ROWS($V$2:V615),$V$2:$V$1001,0),MATCH(COLUMNS($AC$1006:AJ1006),$AC$1006:$AS$1006,0)), HYPERLINK("#",""), HYPERLINK(CONCATENATE("#Metadata!", ADDRESS(INDEX($X$2:$X$1001,MATCH(ROWS($V$2:V615),$V$2:$V$1001,0),0), INDEX($AC$1004:$AS$1004,1,MATCH(COLUMNS($AC$1006:AJ1006),$AC$1006:$AS$1006,0)))),"Fix")))</f>
        <v>0</v>
      </c>
      <c r="J615" s="5">
        <f>IF(OR(INDEX($W$2:$W$1001,MATCH(ROWS($V$2:V615),$V$2:$V$1001,0),1)&gt;=100000,INDEX($AC$1005:$AS$1005,1,MATCH(COLUMNS($AC$1006:AK1006),$AC$1006:$AS$1006,0))&gt;=100000), " ",IF(INDEX($AC$2:$AS$1001,MATCH(ROWS($V$2:V615),$V$2:$V$1001,0),MATCH(COLUMNS($AC$1006:AK1006),$AC$1006:$AS$1006,0)), HYPERLINK("#",""), HYPERLINK(CONCATENATE("#Metadata!", ADDRESS(INDEX($X$2:$X$1001,MATCH(ROWS($V$2:V615),$V$2:$V$1001,0),0), INDEX($AC$1004:$AS$1004,1,MATCH(COLUMNS($AC$1006:AK1006),$AC$1006:$AS$1006,0)))),"Fix")))</f>
        <v>0</v>
      </c>
      <c r="K615" s="5">
        <f>IF(OR(INDEX($W$2:$W$1001,MATCH(ROWS($V$2:V615),$V$2:$V$1001,0),1)&gt;=100000,INDEX($AC$1005:$AS$1005,1,MATCH(COLUMNS($AC$1006:AL1006),$AC$1006:$AS$1006,0))&gt;=100000), " ",IF(INDEX($AC$2:$AS$1001,MATCH(ROWS($V$2:V615),$V$2:$V$1001,0),MATCH(COLUMNS($AC$1006:AL1006),$AC$1006:$AS$1006,0)), HYPERLINK("#",""), HYPERLINK(CONCATENATE("#Metadata!", ADDRESS(INDEX($X$2:$X$1001,MATCH(ROWS($V$2:V615),$V$2:$V$1001,0),0), INDEX($AC$1004:$AS$1004,1,MATCH(COLUMNS($AC$1006:AL1006),$AC$1006:$AS$1006,0)))),"Fix")))</f>
        <v>0</v>
      </c>
      <c r="L615" s="5">
        <f>IF(OR(INDEX($W$2:$W$1001,MATCH(ROWS($V$2:V615),$V$2:$V$1001,0),1)&gt;=100000,INDEX($AC$1005:$AS$1005,1,MATCH(COLUMNS($AC$1006:AM1006),$AC$1006:$AS$1006,0))&gt;=100000), " ",IF(INDEX($AC$2:$AS$1001,MATCH(ROWS($V$2:V615),$V$2:$V$1001,0),MATCH(COLUMNS($AC$1006:AM1006),$AC$1006:$AS$1006,0)), HYPERLINK("#",""), HYPERLINK(CONCATENATE("#Metadata!", ADDRESS(INDEX($X$2:$X$1001,MATCH(ROWS($V$2:V615),$V$2:$V$1001,0),0), INDEX($AC$1004:$AS$1004,1,MATCH(COLUMNS($AC$1006:AM1006),$AC$1006:$AS$1006,0)))),"Fix")))</f>
        <v>0</v>
      </c>
      <c r="M615" s="5">
        <f>IF(OR(INDEX($W$2:$W$1001,MATCH(ROWS($V$2:V615),$V$2:$V$1001,0),1)&gt;=100000,INDEX($AC$1005:$AS$1005,1,MATCH(COLUMNS($AC$1006:AN1006),$AC$1006:$AS$1006,0))&gt;=100000), " ",IF(INDEX($AC$2:$AS$1001,MATCH(ROWS($V$2:V615),$V$2:$V$1001,0),MATCH(COLUMNS($AC$1006:AN1006),$AC$1006:$AS$1006,0)), HYPERLINK("#",""), HYPERLINK(CONCATENATE("#Metadata!", ADDRESS(INDEX($X$2:$X$1001,MATCH(ROWS($V$2:V615),$V$2:$V$1001,0),0), INDEX($AC$1004:$AS$1004,1,MATCH(COLUMNS($AC$1006:AN1006),$AC$1006:$AS$1006,0)))),"Fix")))</f>
        <v>0</v>
      </c>
      <c r="N615" s="5">
        <f>IF(OR(INDEX($W$2:$W$1001,MATCH(ROWS($V$2:V615),$V$2:$V$1001,0),1)&gt;=100000,INDEX($AC$1005:$AS$1005,1,MATCH(COLUMNS($AC$1006:AO1006),$AC$1006:$AS$1006,0))&gt;=100000), " ",IF(INDEX($AC$2:$AS$1001,MATCH(ROWS($V$2:V615),$V$2:$V$1001,0),MATCH(COLUMNS($AC$1006:AO1006),$AC$1006:$AS$1006,0)), HYPERLINK("#",""), HYPERLINK(CONCATENATE("#Metadata!", ADDRESS(INDEX($X$2:$X$1001,MATCH(ROWS($V$2:V615),$V$2:$V$1001,0),0), INDEX($AC$1004:$AS$1004,1,MATCH(COLUMNS($AC$1006:AO1006),$AC$1006:$AS$1006,0)))),"Fix")))</f>
        <v>0</v>
      </c>
      <c r="O615" s="5">
        <f>IF(OR(INDEX($W$2:$W$1001,MATCH(ROWS($V$2:V615),$V$2:$V$1001,0),1)&gt;=100000,INDEX($AC$1005:$AS$1005,1,MATCH(COLUMNS($AC$1006:AP1006),$AC$1006:$AS$1006,0))&gt;=100000), " ",IF(INDEX($AC$2:$AS$1001,MATCH(ROWS($V$2:V615),$V$2:$V$1001,0),MATCH(COLUMNS($AC$1006:AP1006),$AC$1006:$AS$1006,0)), HYPERLINK("#",""), HYPERLINK(CONCATENATE("#Metadata!", ADDRESS(INDEX($X$2:$X$1001,MATCH(ROWS($V$2:V615),$V$2:$V$1001,0),0), INDEX($AC$1004:$AS$1004,1,MATCH(COLUMNS($AC$1006:AP1006),$AC$1006:$AS$1006,0)))),"Fix")))</f>
        <v>0</v>
      </c>
      <c r="P615" s="5">
        <f>IF(OR(INDEX($W$2:$W$1001,MATCH(ROWS($V$2:V615),$V$2:$V$1001,0),1)&gt;=100000,INDEX($AC$1005:$AS$1005,1,MATCH(COLUMNS($AC$1006:AQ1006),$AC$1006:$AS$1006,0))&gt;=100000), " ",IF(INDEX($AC$2:$AS$1001,MATCH(ROWS($V$2:V615),$V$2:$V$1001,0),MATCH(COLUMNS($AC$1006:AQ1006),$AC$1006:$AS$1006,0)), HYPERLINK("#",""), HYPERLINK(CONCATENATE("#Metadata!", ADDRESS(INDEX($X$2:$X$1001,MATCH(ROWS($V$2:V615),$V$2:$V$1001,0),0), INDEX($AC$1004:$AS$1004,1,MATCH(COLUMNS($AC$1006:AQ1006),$AC$1006:$AS$1006,0)))),"Fix")))</f>
        <v>0</v>
      </c>
      <c r="Q615" s="5">
        <f>IF(OR(INDEX($W$2:$W$1001,MATCH(ROWS($V$2:V615),$V$2:$V$1001,0),1)&gt;=100000,INDEX($AC$1005:$AS$1005,1,MATCH(COLUMNS($AC$1006:AR1006),$AC$1006:$AS$1006,0))&gt;=100000), " ",IF(INDEX($AC$2:$AS$1001,MATCH(ROWS($V$2:V615),$V$2:$V$1001,0),MATCH(COLUMNS($AC$1006:AR1006),$AC$1006:$AS$1006,0)), HYPERLINK("#",""), HYPERLINK(CONCATENATE("#Metadata!", ADDRESS(INDEX($X$2:$X$1001,MATCH(ROWS($V$2:V615),$V$2:$V$1001,0),0), INDEX($AC$1004:$AS$1004,1,MATCH(COLUMNS($AC$1006:AR1006),$AC$1006:$AS$1006,0)))),"Fix")))</f>
        <v>0</v>
      </c>
      <c r="R615" s="5">
        <f>IF(OR(INDEX($W$2:$W$1001,MATCH(ROWS($V$2:V615),$V$2:$V$1001,0),1)&gt;=100000,INDEX($AC$1005:$AS$1005,1,MATCH(COLUMNS($AC$1006:AS1006),$AC$1006:$AS$1006,0))&gt;=100000), " ",IF(INDEX($AC$2:$AS$1001,MATCH(ROWS($V$2:V615),$V$2:$V$1001,0),MATCH(COLUMNS($AC$1006:AS1006),$AC$1006:$AS$1006,0)), HYPERLINK("#",""), HYPERLINK(CONCATENATE("#Metadata!", ADDRESS(INDEX($X$2:$X$1001,MATCH(ROWS($V$2:V615),$V$2:$V$1001,0),0), INDEX($AC$1004:$AS$1004,1,MATCH(COLUMNS($AC$1006:AS1006),$AC$1006:$AS$1006,0)))),"Fix")))</f>
        <v>0</v>
      </c>
      <c r="V615">
        <v>0</v>
      </c>
      <c r="W615">
        <v>0</v>
      </c>
      <c r="X615">
        <v>0</v>
      </c>
      <c r="Y615">
        <f>IF(Z615,TRUE,AND(AC615:AS615))</f>
        <v>0</v>
      </c>
      <c r="Z615">
        <f>COUNTBLANK(Metadata!B615:R615)=COLUMNS(Metadata!B615:R615)</f>
        <v>0</v>
      </c>
      <c r="AA615">
        <v>0</v>
      </c>
      <c r="AC615">
        <f>AND(IF(Metadata!B615="",FALSE,TRUE),COUNTIF(Metadata!B:B, Metadata!B615) = 1,NOT(ISERROR(SUMPRODUCT(SEARCH(MID(Metadata!B615,ROW(INDIRECT("1:"&amp;LEN(Metadata!B615))), 1),"0123456789abcdefghijklmnopqrstuvwxyzABCDEFGHIJKLMNOPQRSTUVWXYZ.")))))</f>
        <v>0</v>
      </c>
      <c r="AD615">
        <f>AND(IF(Metadata!C615="",FALSE,TRUE),exact(Metadata!C615,"Host-associated"))</f>
        <v>0</v>
      </c>
      <c r="AE615">
        <f>AND(IF(Metadata!D615="",FALSE,TRUE),OR(exact(Metadata!D615,"Animal"),exact(Metadata!D615,"Fungus"),exact(Metadata!D615,"Plant")))</f>
        <v>0</v>
      </c>
      <c r="AF615">
        <f>AND(IF(Metadata!E615="",FALSE,TRUE),OR(exact(Metadata!E615,"Plant secretion"),exact(Metadata!E615,"Plant rhizosphere"),exact(Metadata!E615,"Plant surface"),exact(Metadata!E615,"Plant corpus"),exact(Metadata!E615,"Fungus surface"),exact(Metadata!E615,"Fungus corpus"),exact(Metadata!E615,"Animal surface"),exact(Metadata!E615,"Animal proximal gut"),exact(Metadata!E615,"Animal corpus"),exact(Metadata!E615,"Animal distal gut"),exact(Metadata!E615,"Animal secretion")))</f>
        <v>0</v>
      </c>
      <c r="AG615">
        <f>OR(AND(IF(Metadata!F615="",FALSE,TRUE),OR(exact(Metadata!F615,"not collected"),exact(Metadata!F615,"not provided"),exact(Metadata!F615,"restricted access"))),AND(IF(Metadata!F615="",FALSE,TRUE),OR(exact(Metadata!F615,"organism-associated habitat"),exact(Metadata!F615,"plant-associated habitat"),exact(Metadata!F615,"animal-associated habitat"),exact(Metadata!F615,"insecta-associated habitat"),exact(Metadata!F615,"mammalia-associated habitat"),exact(Metadata!F615,"human-associated habitat"),exact(Metadata!F615,"livestock-associated habitat"))))</f>
        <v>0</v>
      </c>
      <c r="AH615">
        <f>AND(IF(Metadata!G615="",FALSE,TRUE),exact(Metadata!G615,"host-associated"))</f>
        <v>0</v>
      </c>
      <c r="AI615">
        <f>OR(AND(IF(Metadata!H615="",FALSE,TRUE),OR(exact(Metadata!H615,"not collected"),exact(Metadata!H615,"not provided"))),AND(IF(Metadata!H615="",FALSE,ISNUMBER(VALUE(Metadata!H615))),Metadata!H615&gt;0))</f>
        <v>0</v>
      </c>
      <c r="AJ615">
        <f>AND(IF(Metadata!I615="",FALSE,TRUE),exact(Metadata!I615,"years"))</f>
        <v>0</v>
      </c>
      <c r="AK615">
        <f>IF(Metadata!J615="",FALSE,TRUE)</f>
        <v>0</v>
      </c>
      <c r="AL615">
        <f>OR(AND(IF(Metadata!K615="",FALSE,TRUE),OR(exact(Metadata!K615,"not collected"),exact(Metadata!K615,"not provided"))),AND(IF(Metadata!K615="",FALSE,ISNUMBER(VALUE(Metadata!K615))),Metadata!K615&gt;0))</f>
        <v>0</v>
      </c>
      <c r="AM615">
        <f>AND(IF(Metadata!L615="",FALSE,TRUE),exact(Metadata!L615,"cm"))</f>
        <v>0</v>
      </c>
      <c r="AN615">
        <f>IF(Metadata!M615="",FALSE,TRUE)</f>
        <v>0</v>
      </c>
      <c r="AO615">
        <f>OR(AND(IF(Metadata!N615="",FALSE,TRUE),OR(exact(Metadata!N615,"not applicable"),exact(Metadata!N615,"not collected"),exact(Metadata!N615,"not provided"))),AND(IF(Metadata!N615="",FALSE,IF(ISERROR(INT(Metadata!N615)),FALSE,INT(Metadata!N615)=Metadata!N615)),Metadata!N615&gt;0))</f>
        <v>0</v>
      </c>
      <c r="AP615">
        <f>OR(AND(IF(Metadata!O615="",FALSE,TRUE),OR(exact(Metadata!O615,"not collected"),exact(Metadata!O615,"not provided"))),AND(IF(Metadata!O615="",FALSE,ISNUMBER(VALUE(Metadata!O615))),Metadata!O615&gt;0))</f>
        <v>0</v>
      </c>
      <c r="AQ615">
        <f>AND(IF(Metadata!P615="",FALSE,TRUE),exact(Metadata!P615,"kg"))</f>
        <v>0</v>
      </c>
      <c r="AR615">
        <f>OR(AND(IF(Metadata!Q615="",FALSE,TRUE),OR(exact(Metadata!Q615,"not applicable"),exact(Metadata!Q615,"not collected"),exact(Metadata!Q615,"not provided"),exact(Metadata!Q615,"restricted access"))),IF(Metadata!Q615="",FALSE,IF(ISERROR(INT(Metadata!Q615)),FALSE,INT(Metadata!Q615)=Metadata!Q615)))</f>
        <v>0</v>
      </c>
      <c r="AS615">
        <f>AND(IF(Metadata!R615="",FALSE,TRUE),exact(Metadata!R615,"Not applicable"))</f>
        <v>0</v>
      </c>
    </row>
    <row r="616" spans="1:45">
      <c r="A616" s="4">
        <f>IF(B616=" "," ",HYPERLINK(CONCATENATE("#metadata!",ADDRESS(INDEX($X$2:$X$1001,MATCH(ROWS($V$2:V616),$V$2:$V$1001,0),0),2)),INDEX($AA$2:$AA$1001,MATCH(ROWS($V$2:V616),$V$2:$V$1001,0),0)))</f>
        <v>0</v>
      </c>
      <c r="B616" s="5">
        <f>IF(OR(INDEX($W$2:$W$1001,MATCH(ROWS($V$2:V616),$V$2:$V$1001,0),1)&gt;=100000,INDEX($AC$1005:$AS$1005,1,MATCH(COLUMNS($AC$1006:AC1006),$AC$1006:$AS$1006,0))&gt;=100000), " ",IF(INDEX($AC$2:$AS$1001,MATCH(ROWS($V$2:V616),$V$2:$V$1001,0),MATCH(COLUMNS($AC$1006:AC1006),$AC$1006:$AS$1006,0)), HYPERLINK("#",""), HYPERLINK(CONCATENATE("#Metadata!", ADDRESS(INDEX($X$2:$X$1001,MATCH(ROWS($V$2:V616),$V$2:$V$1001,0),0), INDEX($AC$1004:$AS$1004,1,MATCH(COLUMNS($AC$1006:AC1006),$AC$1006:$AS$1006,0)))),"Fix")))</f>
        <v>0</v>
      </c>
      <c r="C616" s="5">
        <f>IF(OR(INDEX($W$2:$W$1001,MATCH(ROWS($V$2:V616),$V$2:$V$1001,0),1)&gt;=100000,INDEX($AC$1005:$AS$1005,1,MATCH(COLUMNS($AC$1006:AD1006),$AC$1006:$AS$1006,0))&gt;=100000), " ",IF(INDEX($AC$2:$AS$1001,MATCH(ROWS($V$2:V616),$V$2:$V$1001,0),MATCH(COLUMNS($AC$1006:AD1006),$AC$1006:$AS$1006,0)), HYPERLINK("#",""), HYPERLINK(CONCATENATE("#Metadata!", ADDRESS(INDEX($X$2:$X$1001,MATCH(ROWS($V$2:V616),$V$2:$V$1001,0),0), INDEX($AC$1004:$AS$1004,1,MATCH(COLUMNS($AC$1006:AD1006),$AC$1006:$AS$1006,0)))),"Fix")))</f>
        <v>0</v>
      </c>
      <c r="D616" s="5">
        <f>IF(OR(INDEX($W$2:$W$1001,MATCH(ROWS($V$2:V616),$V$2:$V$1001,0),1)&gt;=100000,INDEX($AC$1005:$AS$1005,1,MATCH(COLUMNS($AC$1006:AE1006),$AC$1006:$AS$1006,0))&gt;=100000), " ",IF(INDEX($AC$2:$AS$1001,MATCH(ROWS($V$2:V616),$V$2:$V$1001,0),MATCH(COLUMNS($AC$1006:AE1006),$AC$1006:$AS$1006,0)), HYPERLINK("#",""), HYPERLINK(CONCATENATE("#Metadata!", ADDRESS(INDEX($X$2:$X$1001,MATCH(ROWS($V$2:V616),$V$2:$V$1001,0),0), INDEX($AC$1004:$AS$1004,1,MATCH(COLUMNS($AC$1006:AE1006),$AC$1006:$AS$1006,0)))),"Fix")))</f>
        <v>0</v>
      </c>
      <c r="E616" s="5">
        <f>IF(OR(INDEX($W$2:$W$1001,MATCH(ROWS($V$2:V616),$V$2:$V$1001,0),1)&gt;=100000,INDEX($AC$1005:$AS$1005,1,MATCH(COLUMNS($AC$1006:AF1006),$AC$1006:$AS$1006,0))&gt;=100000), " ",IF(INDEX($AC$2:$AS$1001,MATCH(ROWS($V$2:V616),$V$2:$V$1001,0),MATCH(COLUMNS($AC$1006:AF1006),$AC$1006:$AS$1006,0)), HYPERLINK("#",""), HYPERLINK(CONCATENATE("#Metadata!", ADDRESS(INDEX($X$2:$X$1001,MATCH(ROWS($V$2:V616),$V$2:$V$1001,0),0), INDEX($AC$1004:$AS$1004,1,MATCH(COLUMNS($AC$1006:AF1006),$AC$1006:$AS$1006,0)))),"Fix")))</f>
        <v>0</v>
      </c>
      <c r="F616" s="5">
        <f>IF(OR(INDEX($W$2:$W$1001,MATCH(ROWS($V$2:V616),$V$2:$V$1001,0),1)&gt;=100000,INDEX($AC$1005:$AS$1005,1,MATCH(COLUMNS($AC$1006:AG1006),$AC$1006:$AS$1006,0))&gt;=100000), " ",IF(INDEX($AC$2:$AS$1001,MATCH(ROWS($V$2:V616),$V$2:$V$1001,0),MATCH(COLUMNS($AC$1006:AG1006),$AC$1006:$AS$1006,0)), HYPERLINK("#",""), HYPERLINK(CONCATENATE("#Metadata!", ADDRESS(INDEX($X$2:$X$1001,MATCH(ROWS($V$2:V616),$V$2:$V$1001,0),0), INDEX($AC$1004:$AS$1004,1,MATCH(COLUMNS($AC$1006:AG1006),$AC$1006:$AS$1006,0)))),"Fix")))</f>
        <v>0</v>
      </c>
      <c r="G616" s="5">
        <f>IF(OR(INDEX($W$2:$W$1001,MATCH(ROWS($V$2:V616),$V$2:$V$1001,0),1)&gt;=100000,INDEX($AC$1005:$AS$1005,1,MATCH(COLUMNS($AC$1006:AH1006),$AC$1006:$AS$1006,0))&gt;=100000), " ",IF(INDEX($AC$2:$AS$1001,MATCH(ROWS($V$2:V616),$V$2:$V$1001,0),MATCH(COLUMNS($AC$1006:AH1006),$AC$1006:$AS$1006,0)), HYPERLINK("#",""), HYPERLINK(CONCATENATE("#Metadata!", ADDRESS(INDEX($X$2:$X$1001,MATCH(ROWS($V$2:V616),$V$2:$V$1001,0),0), INDEX($AC$1004:$AS$1004,1,MATCH(COLUMNS($AC$1006:AH1006),$AC$1006:$AS$1006,0)))),"Fix")))</f>
        <v>0</v>
      </c>
      <c r="H616" s="5">
        <f>IF(OR(INDEX($W$2:$W$1001,MATCH(ROWS($V$2:V616),$V$2:$V$1001,0),1)&gt;=100000,INDEX($AC$1005:$AS$1005,1,MATCH(COLUMNS($AC$1006:AI1006),$AC$1006:$AS$1006,0))&gt;=100000), " ",IF(INDEX($AC$2:$AS$1001,MATCH(ROWS($V$2:V616),$V$2:$V$1001,0),MATCH(COLUMNS($AC$1006:AI1006),$AC$1006:$AS$1006,0)), HYPERLINK("#",""), HYPERLINK(CONCATENATE("#Metadata!", ADDRESS(INDEX($X$2:$X$1001,MATCH(ROWS($V$2:V616),$V$2:$V$1001,0),0), INDEX($AC$1004:$AS$1004,1,MATCH(COLUMNS($AC$1006:AI1006),$AC$1006:$AS$1006,0)))),"Fix")))</f>
        <v>0</v>
      </c>
      <c r="I616" s="5">
        <f>IF(OR(INDEX($W$2:$W$1001,MATCH(ROWS($V$2:V616),$V$2:$V$1001,0),1)&gt;=100000,INDEX($AC$1005:$AS$1005,1,MATCH(COLUMNS($AC$1006:AJ1006),$AC$1006:$AS$1006,0))&gt;=100000), " ",IF(INDEX($AC$2:$AS$1001,MATCH(ROWS($V$2:V616),$V$2:$V$1001,0),MATCH(COLUMNS($AC$1006:AJ1006),$AC$1006:$AS$1006,0)), HYPERLINK("#",""), HYPERLINK(CONCATENATE("#Metadata!", ADDRESS(INDEX($X$2:$X$1001,MATCH(ROWS($V$2:V616),$V$2:$V$1001,0),0), INDEX($AC$1004:$AS$1004,1,MATCH(COLUMNS($AC$1006:AJ1006),$AC$1006:$AS$1006,0)))),"Fix")))</f>
        <v>0</v>
      </c>
      <c r="J616" s="5">
        <f>IF(OR(INDEX($W$2:$W$1001,MATCH(ROWS($V$2:V616),$V$2:$V$1001,0),1)&gt;=100000,INDEX($AC$1005:$AS$1005,1,MATCH(COLUMNS($AC$1006:AK1006),$AC$1006:$AS$1006,0))&gt;=100000), " ",IF(INDEX($AC$2:$AS$1001,MATCH(ROWS($V$2:V616),$V$2:$V$1001,0),MATCH(COLUMNS($AC$1006:AK1006),$AC$1006:$AS$1006,0)), HYPERLINK("#",""), HYPERLINK(CONCATENATE("#Metadata!", ADDRESS(INDEX($X$2:$X$1001,MATCH(ROWS($V$2:V616),$V$2:$V$1001,0),0), INDEX($AC$1004:$AS$1004,1,MATCH(COLUMNS($AC$1006:AK1006),$AC$1006:$AS$1006,0)))),"Fix")))</f>
        <v>0</v>
      </c>
      <c r="K616" s="5">
        <f>IF(OR(INDEX($W$2:$W$1001,MATCH(ROWS($V$2:V616),$V$2:$V$1001,0),1)&gt;=100000,INDEX($AC$1005:$AS$1005,1,MATCH(COLUMNS($AC$1006:AL1006),$AC$1006:$AS$1006,0))&gt;=100000), " ",IF(INDEX($AC$2:$AS$1001,MATCH(ROWS($V$2:V616),$V$2:$V$1001,0),MATCH(COLUMNS($AC$1006:AL1006),$AC$1006:$AS$1006,0)), HYPERLINK("#",""), HYPERLINK(CONCATENATE("#Metadata!", ADDRESS(INDEX($X$2:$X$1001,MATCH(ROWS($V$2:V616),$V$2:$V$1001,0),0), INDEX($AC$1004:$AS$1004,1,MATCH(COLUMNS($AC$1006:AL1006),$AC$1006:$AS$1006,0)))),"Fix")))</f>
        <v>0</v>
      </c>
      <c r="L616" s="5">
        <f>IF(OR(INDEX($W$2:$W$1001,MATCH(ROWS($V$2:V616),$V$2:$V$1001,0),1)&gt;=100000,INDEX($AC$1005:$AS$1005,1,MATCH(COLUMNS($AC$1006:AM1006),$AC$1006:$AS$1006,0))&gt;=100000), " ",IF(INDEX($AC$2:$AS$1001,MATCH(ROWS($V$2:V616),$V$2:$V$1001,0),MATCH(COLUMNS($AC$1006:AM1006),$AC$1006:$AS$1006,0)), HYPERLINK("#",""), HYPERLINK(CONCATENATE("#Metadata!", ADDRESS(INDEX($X$2:$X$1001,MATCH(ROWS($V$2:V616),$V$2:$V$1001,0),0), INDEX($AC$1004:$AS$1004,1,MATCH(COLUMNS($AC$1006:AM1006),$AC$1006:$AS$1006,0)))),"Fix")))</f>
        <v>0</v>
      </c>
      <c r="M616" s="5">
        <f>IF(OR(INDEX($W$2:$W$1001,MATCH(ROWS($V$2:V616),$V$2:$V$1001,0),1)&gt;=100000,INDEX($AC$1005:$AS$1005,1,MATCH(COLUMNS($AC$1006:AN1006),$AC$1006:$AS$1006,0))&gt;=100000), " ",IF(INDEX($AC$2:$AS$1001,MATCH(ROWS($V$2:V616),$V$2:$V$1001,0),MATCH(COLUMNS($AC$1006:AN1006),$AC$1006:$AS$1006,0)), HYPERLINK("#",""), HYPERLINK(CONCATENATE("#Metadata!", ADDRESS(INDEX($X$2:$X$1001,MATCH(ROWS($V$2:V616),$V$2:$V$1001,0),0), INDEX($AC$1004:$AS$1004,1,MATCH(COLUMNS($AC$1006:AN1006),$AC$1006:$AS$1006,0)))),"Fix")))</f>
        <v>0</v>
      </c>
      <c r="N616" s="5">
        <f>IF(OR(INDEX($W$2:$W$1001,MATCH(ROWS($V$2:V616),$V$2:$V$1001,0),1)&gt;=100000,INDEX($AC$1005:$AS$1005,1,MATCH(COLUMNS($AC$1006:AO1006),$AC$1006:$AS$1006,0))&gt;=100000), " ",IF(INDEX($AC$2:$AS$1001,MATCH(ROWS($V$2:V616),$V$2:$V$1001,0),MATCH(COLUMNS($AC$1006:AO1006),$AC$1006:$AS$1006,0)), HYPERLINK("#",""), HYPERLINK(CONCATENATE("#Metadata!", ADDRESS(INDEX($X$2:$X$1001,MATCH(ROWS($V$2:V616),$V$2:$V$1001,0),0), INDEX($AC$1004:$AS$1004,1,MATCH(COLUMNS($AC$1006:AO1006),$AC$1006:$AS$1006,0)))),"Fix")))</f>
        <v>0</v>
      </c>
      <c r="O616" s="5">
        <f>IF(OR(INDEX($W$2:$W$1001,MATCH(ROWS($V$2:V616),$V$2:$V$1001,0),1)&gt;=100000,INDEX($AC$1005:$AS$1005,1,MATCH(COLUMNS($AC$1006:AP1006),$AC$1006:$AS$1006,0))&gt;=100000), " ",IF(INDEX($AC$2:$AS$1001,MATCH(ROWS($V$2:V616),$V$2:$V$1001,0),MATCH(COLUMNS($AC$1006:AP1006),$AC$1006:$AS$1006,0)), HYPERLINK("#",""), HYPERLINK(CONCATENATE("#Metadata!", ADDRESS(INDEX($X$2:$X$1001,MATCH(ROWS($V$2:V616),$V$2:$V$1001,0),0), INDEX($AC$1004:$AS$1004,1,MATCH(COLUMNS($AC$1006:AP1006),$AC$1006:$AS$1006,0)))),"Fix")))</f>
        <v>0</v>
      </c>
      <c r="P616" s="5">
        <f>IF(OR(INDEX($W$2:$W$1001,MATCH(ROWS($V$2:V616),$V$2:$V$1001,0),1)&gt;=100000,INDEX($AC$1005:$AS$1005,1,MATCH(COLUMNS($AC$1006:AQ1006),$AC$1006:$AS$1006,0))&gt;=100000), " ",IF(INDEX($AC$2:$AS$1001,MATCH(ROWS($V$2:V616),$V$2:$V$1001,0),MATCH(COLUMNS($AC$1006:AQ1006),$AC$1006:$AS$1006,0)), HYPERLINK("#",""), HYPERLINK(CONCATENATE("#Metadata!", ADDRESS(INDEX($X$2:$X$1001,MATCH(ROWS($V$2:V616),$V$2:$V$1001,0),0), INDEX($AC$1004:$AS$1004,1,MATCH(COLUMNS($AC$1006:AQ1006),$AC$1006:$AS$1006,0)))),"Fix")))</f>
        <v>0</v>
      </c>
      <c r="Q616" s="5">
        <f>IF(OR(INDEX($W$2:$W$1001,MATCH(ROWS($V$2:V616),$V$2:$V$1001,0),1)&gt;=100000,INDEX($AC$1005:$AS$1005,1,MATCH(COLUMNS($AC$1006:AR1006),$AC$1006:$AS$1006,0))&gt;=100000), " ",IF(INDEX($AC$2:$AS$1001,MATCH(ROWS($V$2:V616),$V$2:$V$1001,0),MATCH(COLUMNS($AC$1006:AR1006),$AC$1006:$AS$1006,0)), HYPERLINK("#",""), HYPERLINK(CONCATENATE("#Metadata!", ADDRESS(INDEX($X$2:$X$1001,MATCH(ROWS($V$2:V616),$V$2:$V$1001,0),0), INDEX($AC$1004:$AS$1004,1,MATCH(COLUMNS($AC$1006:AR1006),$AC$1006:$AS$1006,0)))),"Fix")))</f>
        <v>0</v>
      </c>
      <c r="R616" s="5">
        <f>IF(OR(INDEX($W$2:$W$1001,MATCH(ROWS($V$2:V616),$V$2:$V$1001,0),1)&gt;=100000,INDEX($AC$1005:$AS$1005,1,MATCH(COLUMNS($AC$1006:AS1006),$AC$1006:$AS$1006,0))&gt;=100000), " ",IF(INDEX($AC$2:$AS$1001,MATCH(ROWS($V$2:V616),$V$2:$V$1001,0),MATCH(COLUMNS($AC$1006:AS1006),$AC$1006:$AS$1006,0)), HYPERLINK("#",""), HYPERLINK(CONCATENATE("#Metadata!", ADDRESS(INDEX($X$2:$X$1001,MATCH(ROWS($V$2:V616),$V$2:$V$1001,0),0), INDEX($AC$1004:$AS$1004,1,MATCH(COLUMNS($AC$1006:AS1006),$AC$1006:$AS$1006,0)))),"Fix")))</f>
        <v>0</v>
      </c>
      <c r="V616">
        <v>0</v>
      </c>
      <c r="W616">
        <v>0</v>
      </c>
      <c r="X616">
        <v>0</v>
      </c>
      <c r="Y616">
        <f>IF(Z616,TRUE,AND(AC616:AS616))</f>
        <v>0</v>
      </c>
      <c r="Z616">
        <f>COUNTBLANK(Metadata!B616:R616)=COLUMNS(Metadata!B616:R616)</f>
        <v>0</v>
      </c>
      <c r="AA616">
        <v>0</v>
      </c>
      <c r="AC616">
        <f>AND(IF(Metadata!B616="",FALSE,TRUE),COUNTIF(Metadata!B:B, Metadata!B616) = 1,NOT(ISERROR(SUMPRODUCT(SEARCH(MID(Metadata!B616,ROW(INDIRECT("1:"&amp;LEN(Metadata!B616))), 1),"0123456789abcdefghijklmnopqrstuvwxyzABCDEFGHIJKLMNOPQRSTUVWXYZ.")))))</f>
        <v>0</v>
      </c>
      <c r="AD616">
        <f>AND(IF(Metadata!C616="",FALSE,TRUE),exact(Metadata!C616,"Host-associated"))</f>
        <v>0</v>
      </c>
      <c r="AE616">
        <f>AND(IF(Metadata!D616="",FALSE,TRUE),OR(exact(Metadata!D616,"Animal"),exact(Metadata!D616,"Fungus"),exact(Metadata!D616,"Plant")))</f>
        <v>0</v>
      </c>
      <c r="AF616">
        <f>AND(IF(Metadata!E616="",FALSE,TRUE),OR(exact(Metadata!E616,"Plant secretion"),exact(Metadata!E616,"Plant rhizosphere"),exact(Metadata!E616,"Plant surface"),exact(Metadata!E616,"Plant corpus"),exact(Metadata!E616,"Fungus surface"),exact(Metadata!E616,"Fungus corpus"),exact(Metadata!E616,"Animal surface"),exact(Metadata!E616,"Animal proximal gut"),exact(Metadata!E616,"Animal corpus"),exact(Metadata!E616,"Animal distal gut"),exact(Metadata!E616,"Animal secretion")))</f>
        <v>0</v>
      </c>
      <c r="AG616">
        <f>OR(AND(IF(Metadata!F616="",FALSE,TRUE),OR(exact(Metadata!F616,"not collected"),exact(Metadata!F616,"not provided"),exact(Metadata!F616,"restricted access"))),AND(IF(Metadata!F616="",FALSE,TRUE),OR(exact(Metadata!F616,"organism-associated habitat"),exact(Metadata!F616,"plant-associated habitat"),exact(Metadata!F616,"animal-associated habitat"),exact(Metadata!F616,"insecta-associated habitat"),exact(Metadata!F616,"mammalia-associated habitat"),exact(Metadata!F616,"human-associated habitat"),exact(Metadata!F616,"livestock-associated habitat"))))</f>
        <v>0</v>
      </c>
      <c r="AH616">
        <f>AND(IF(Metadata!G616="",FALSE,TRUE),exact(Metadata!G616,"host-associated"))</f>
        <v>0</v>
      </c>
      <c r="AI616">
        <f>OR(AND(IF(Metadata!H616="",FALSE,TRUE),OR(exact(Metadata!H616,"not collected"),exact(Metadata!H616,"not provided"))),AND(IF(Metadata!H616="",FALSE,ISNUMBER(VALUE(Metadata!H616))),Metadata!H616&gt;0))</f>
        <v>0</v>
      </c>
      <c r="AJ616">
        <f>AND(IF(Metadata!I616="",FALSE,TRUE),exact(Metadata!I616,"years"))</f>
        <v>0</v>
      </c>
      <c r="AK616">
        <f>IF(Metadata!J616="",FALSE,TRUE)</f>
        <v>0</v>
      </c>
      <c r="AL616">
        <f>OR(AND(IF(Metadata!K616="",FALSE,TRUE),OR(exact(Metadata!K616,"not collected"),exact(Metadata!K616,"not provided"))),AND(IF(Metadata!K616="",FALSE,ISNUMBER(VALUE(Metadata!K616))),Metadata!K616&gt;0))</f>
        <v>0</v>
      </c>
      <c r="AM616">
        <f>AND(IF(Metadata!L616="",FALSE,TRUE),exact(Metadata!L616,"cm"))</f>
        <v>0</v>
      </c>
      <c r="AN616">
        <f>IF(Metadata!M616="",FALSE,TRUE)</f>
        <v>0</v>
      </c>
      <c r="AO616">
        <f>OR(AND(IF(Metadata!N616="",FALSE,TRUE),OR(exact(Metadata!N616,"not applicable"),exact(Metadata!N616,"not collected"),exact(Metadata!N616,"not provided"))),AND(IF(Metadata!N616="",FALSE,IF(ISERROR(INT(Metadata!N616)),FALSE,INT(Metadata!N616)=Metadata!N616)),Metadata!N616&gt;0))</f>
        <v>0</v>
      </c>
      <c r="AP616">
        <f>OR(AND(IF(Metadata!O616="",FALSE,TRUE),OR(exact(Metadata!O616,"not collected"),exact(Metadata!O616,"not provided"))),AND(IF(Metadata!O616="",FALSE,ISNUMBER(VALUE(Metadata!O616))),Metadata!O616&gt;0))</f>
        <v>0</v>
      </c>
      <c r="AQ616">
        <f>AND(IF(Metadata!P616="",FALSE,TRUE),exact(Metadata!P616,"kg"))</f>
        <v>0</v>
      </c>
      <c r="AR616">
        <f>OR(AND(IF(Metadata!Q616="",FALSE,TRUE),OR(exact(Metadata!Q616,"not applicable"),exact(Metadata!Q616,"not collected"),exact(Metadata!Q616,"not provided"),exact(Metadata!Q616,"restricted access"))),IF(Metadata!Q616="",FALSE,IF(ISERROR(INT(Metadata!Q616)),FALSE,INT(Metadata!Q616)=Metadata!Q616)))</f>
        <v>0</v>
      </c>
      <c r="AS616">
        <f>AND(IF(Metadata!R616="",FALSE,TRUE),exact(Metadata!R616,"Not applicable"))</f>
        <v>0</v>
      </c>
    </row>
    <row r="617" spans="1:45">
      <c r="A617" s="4">
        <f>IF(B617=" "," ",HYPERLINK(CONCATENATE("#metadata!",ADDRESS(INDEX($X$2:$X$1001,MATCH(ROWS($V$2:V617),$V$2:$V$1001,0),0),2)),INDEX($AA$2:$AA$1001,MATCH(ROWS($V$2:V617),$V$2:$V$1001,0),0)))</f>
        <v>0</v>
      </c>
      <c r="B617" s="5">
        <f>IF(OR(INDEX($W$2:$W$1001,MATCH(ROWS($V$2:V617),$V$2:$V$1001,0),1)&gt;=100000,INDEX($AC$1005:$AS$1005,1,MATCH(COLUMNS($AC$1006:AC1006),$AC$1006:$AS$1006,0))&gt;=100000), " ",IF(INDEX($AC$2:$AS$1001,MATCH(ROWS($V$2:V617),$V$2:$V$1001,0),MATCH(COLUMNS($AC$1006:AC1006),$AC$1006:$AS$1006,0)), HYPERLINK("#",""), HYPERLINK(CONCATENATE("#Metadata!", ADDRESS(INDEX($X$2:$X$1001,MATCH(ROWS($V$2:V617),$V$2:$V$1001,0),0), INDEX($AC$1004:$AS$1004,1,MATCH(COLUMNS($AC$1006:AC1006),$AC$1006:$AS$1006,0)))),"Fix")))</f>
        <v>0</v>
      </c>
      <c r="C617" s="5">
        <f>IF(OR(INDEX($W$2:$W$1001,MATCH(ROWS($V$2:V617),$V$2:$V$1001,0),1)&gt;=100000,INDEX($AC$1005:$AS$1005,1,MATCH(COLUMNS($AC$1006:AD1006),$AC$1006:$AS$1006,0))&gt;=100000), " ",IF(INDEX($AC$2:$AS$1001,MATCH(ROWS($V$2:V617),$V$2:$V$1001,0),MATCH(COLUMNS($AC$1006:AD1006),$AC$1006:$AS$1006,0)), HYPERLINK("#",""), HYPERLINK(CONCATENATE("#Metadata!", ADDRESS(INDEX($X$2:$X$1001,MATCH(ROWS($V$2:V617),$V$2:$V$1001,0),0), INDEX($AC$1004:$AS$1004,1,MATCH(COLUMNS($AC$1006:AD1006),$AC$1006:$AS$1006,0)))),"Fix")))</f>
        <v>0</v>
      </c>
      <c r="D617" s="5">
        <f>IF(OR(INDEX($W$2:$W$1001,MATCH(ROWS($V$2:V617),$V$2:$V$1001,0),1)&gt;=100000,INDEX($AC$1005:$AS$1005,1,MATCH(COLUMNS($AC$1006:AE1006),$AC$1006:$AS$1006,0))&gt;=100000), " ",IF(INDEX($AC$2:$AS$1001,MATCH(ROWS($V$2:V617),$V$2:$V$1001,0),MATCH(COLUMNS($AC$1006:AE1006),$AC$1006:$AS$1006,0)), HYPERLINK("#",""), HYPERLINK(CONCATENATE("#Metadata!", ADDRESS(INDEX($X$2:$X$1001,MATCH(ROWS($V$2:V617),$V$2:$V$1001,0),0), INDEX($AC$1004:$AS$1004,1,MATCH(COLUMNS($AC$1006:AE1006),$AC$1006:$AS$1006,0)))),"Fix")))</f>
        <v>0</v>
      </c>
      <c r="E617" s="5">
        <f>IF(OR(INDEX($W$2:$W$1001,MATCH(ROWS($V$2:V617),$V$2:$V$1001,0),1)&gt;=100000,INDEX($AC$1005:$AS$1005,1,MATCH(COLUMNS($AC$1006:AF1006),$AC$1006:$AS$1006,0))&gt;=100000), " ",IF(INDEX($AC$2:$AS$1001,MATCH(ROWS($V$2:V617),$V$2:$V$1001,0),MATCH(COLUMNS($AC$1006:AF1006),$AC$1006:$AS$1006,0)), HYPERLINK("#",""), HYPERLINK(CONCATENATE("#Metadata!", ADDRESS(INDEX($X$2:$X$1001,MATCH(ROWS($V$2:V617),$V$2:$V$1001,0),0), INDEX($AC$1004:$AS$1004,1,MATCH(COLUMNS($AC$1006:AF1006),$AC$1006:$AS$1006,0)))),"Fix")))</f>
        <v>0</v>
      </c>
      <c r="F617" s="5">
        <f>IF(OR(INDEX($W$2:$W$1001,MATCH(ROWS($V$2:V617),$V$2:$V$1001,0),1)&gt;=100000,INDEX($AC$1005:$AS$1005,1,MATCH(COLUMNS($AC$1006:AG1006),$AC$1006:$AS$1006,0))&gt;=100000), " ",IF(INDEX($AC$2:$AS$1001,MATCH(ROWS($V$2:V617),$V$2:$V$1001,0),MATCH(COLUMNS($AC$1006:AG1006),$AC$1006:$AS$1006,0)), HYPERLINK("#",""), HYPERLINK(CONCATENATE("#Metadata!", ADDRESS(INDEX($X$2:$X$1001,MATCH(ROWS($V$2:V617),$V$2:$V$1001,0),0), INDEX($AC$1004:$AS$1004,1,MATCH(COLUMNS($AC$1006:AG1006),$AC$1006:$AS$1006,0)))),"Fix")))</f>
        <v>0</v>
      </c>
      <c r="G617" s="5">
        <f>IF(OR(INDEX($W$2:$W$1001,MATCH(ROWS($V$2:V617),$V$2:$V$1001,0),1)&gt;=100000,INDEX($AC$1005:$AS$1005,1,MATCH(COLUMNS($AC$1006:AH1006),$AC$1006:$AS$1006,0))&gt;=100000), " ",IF(INDEX($AC$2:$AS$1001,MATCH(ROWS($V$2:V617),$V$2:$V$1001,0),MATCH(COLUMNS($AC$1006:AH1006),$AC$1006:$AS$1006,0)), HYPERLINK("#",""), HYPERLINK(CONCATENATE("#Metadata!", ADDRESS(INDEX($X$2:$X$1001,MATCH(ROWS($V$2:V617),$V$2:$V$1001,0),0), INDEX($AC$1004:$AS$1004,1,MATCH(COLUMNS($AC$1006:AH1006),$AC$1006:$AS$1006,0)))),"Fix")))</f>
        <v>0</v>
      </c>
      <c r="H617" s="5">
        <f>IF(OR(INDEX($W$2:$W$1001,MATCH(ROWS($V$2:V617),$V$2:$V$1001,0),1)&gt;=100000,INDEX($AC$1005:$AS$1005,1,MATCH(COLUMNS($AC$1006:AI1006),$AC$1006:$AS$1006,0))&gt;=100000), " ",IF(INDEX($AC$2:$AS$1001,MATCH(ROWS($V$2:V617),$V$2:$V$1001,0),MATCH(COLUMNS($AC$1006:AI1006),$AC$1006:$AS$1006,0)), HYPERLINK("#",""), HYPERLINK(CONCATENATE("#Metadata!", ADDRESS(INDEX($X$2:$X$1001,MATCH(ROWS($V$2:V617),$V$2:$V$1001,0),0), INDEX($AC$1004:$AS$1004,1,MATCH(COLUMNS($AC$1006:AI1006),$AC$1006:$AS$1006,0)))),"Fix")))</f>
        <v>0</v>
      </c>
      <c r="I617" s="5">
        <f>IF(OR(INDEX($W$2:$W$1001,MATCH(ROWS($V$2:V617),$V$2:$V$1001,0),1)&gt;=100000,INDEX($AC$1005:$AS$1005,1,MATCH(COLUMNS($AC$1006:AJ1006),$AC$1006:$AS$1006,0))&gt;=100000), " ",IF(INDEX($AC$2:$AS$1001,MATCH(ROWS($V$2:V617),$V$2:$V$1001,0),MATCH(COLUMNS($AC$1006:AJ1006),$AC$1006:$AS$1006,0)), HYPERLINK("#",""), HYPERLINK(CONCATENATE("#Metadata!", ADDRESS(INDEX($X$2:$X$1001,MATCH(ROWS($V$2:V617),$V$2:$V$1001,0),0), INDEX($AC$1004:$AS$1004,1,MATCH(COLUMNS($AC$1006:AJ1006),$AC$1006:$AS$1006,0)))),"Fix")))</f>
        <v>0</v>
      </c>
      <c r="J617" s="5">
        <f>IF(OR(INDEX($W$2:$W$1001,MATCH(ROWS($V$2:V617),$V$2:$V$1001,0),1)&gt;=100000,INDEX($AC$1005:$AS$1005,1,MATCH(COLUMNS($AC$1006:AK1006),$AC$1006:$AS$1006,0))&gt;=100000), " ",IF(INDEX($AC$2:$AS$1001,MATCH(ROWS($V$2:V617),$V$2:$V$1001,0),MATCH(COLUMNS($AC$1006:AK1006),$AC$1006:$AS$1006,0)), HYPERLINK("#",""), HYPERLINK(CONCATENATE("#Metadata!", ADDRESS(INDEX($X$2:$X$1001,MATCH(ROWS($V$2:V617),$V$2:$V$1001,0),0), INDEX($AC$1004:$AS$1004,1,MATCH(COLUMNS($AC$1006:AK1006),$AC$1006:$AS$1006,0)))),"Fix")))</f>
        <v>0</v>
      </c>
      <c r="K617" s="5">
        <f>IF(OR(INDEX($W$2:$W$1001,MATCH(ROWS($V$2:V617),$V$2:$V$1001,0),1)&gt;=100000,INDEX($AC$1005:$AS$1005,1,MATCH(COLUMNS($AC$1006:AL1006),$AC$1006:$AS$1006,0))&gt;=100000), " ",IF(INDEX($AC$2:$AS$1001,MATCH(ROWS($V$2:V617),$V$2:$V$1001,0),MATCH(COLUMNS($AC$1006:AL1006),$AC$1006:$AS$1006,0)), HYPERLINK("#",""), HYPERLINK(CONCATENATE("#Metadata!", ADDRESS(INDEX($X$2:$X$1001,MATCH(ROWS($V$2:V617),$V$2:$V$1001,0),0), INDEX($AC$1004:$AS$1004,1,MATCH(COLUMNS($AC$1006:AL1006),$AC$1006:$AS$1006,0)))),"Fix")))</f>
        <v>0</v>
      </c>
      <c r="L617" s="5">
        <f>IF(OR(INDEX($W$2:$W$1001,MATCH(ROWS($V$2:V617),$V$2:$V$1001,0),1)&gt;=100000,INDEX($AC$1005:$AS$1005,1,MATCH(COLUMNS($AC$1006:AM1006),$AC$1006:$AS$1006,0))&gt;=100000), " ",IF(INDEX($AC$2:$AS$1001,MATCH(ROWS($V$2:V617),$V$2:$V$1001,0),MATCH(COLUMNS($AC$1006:AM1006),$AC$1006:$AS$1006,0)), HYPERLINK("#",""), HYPERLINK(CONCATENATE("#Metadata!", ADDRESS(INDEX($X$2:$X$1001,MATCH(ROWS($V$2:V617),$V$2:$V$1001,0),0), INDEX($AC$1004:$AS$1004,1,MATCH(COLUMNS($AC$1006:AM1006),$AC$1006:$AS$1006,0)))),"Fix")))</f>
        <v>0</v>
      </c>
      <c r="M617" s="5">
        <f>IF(OR(INDEX($W$2:$W$1001,MATCH(ROWS($V$2:V617),$V$2:$V$1001,0),1)&gt;=100000,INDEX($AC$1005:$AS$1005,1,MATCH(COLUMNS($AC$1006:AN1006),$AC$1006:$AS$1006,0))&gt;=100000), " ",IF(INDEX($AC$2:$AS$1001,MATCH(ROWS($V$2:V617),$V$2:$V$1001,0),MATCH(COLUMNS($AC$1006:AN1006),$AC$1006:$AS$1006,0)), HYPERLINK("#",""), HYPERLINK(CONCATENATE("#Metadata!", ADDRESS(INDEX($X$2:$X$1001,MATCH(ROWS($V$2:V617),$V$2:$V$1001,0),0), INDEX($AC$1004:$AS$1004,1,MATCH(COLUMNS($AC$1006:AN1006),$AC$1006:$AS$1006,0)))),"Fix")))</f>
        <v>0</v>
      </c>
      <c r="N617" s="5">
        <f>IF(OR(INDEX($W$2:$W$1001,MATCH(ROWS($V$2:V617),$V$2:$V$1001,0),1)&gt;=100000,INDEX($AC$1005:$AS$1005,1,MATCH(COLUMNS($AC$1006:AO1006),$AC$1006:$AS$1006,0))&gt;=100000), " ",IF(INDEX($AC$2:$AS$1001,MATCH(ROWS($V$2:V617),$V$2:$V$1001,0),MATCH(COLUMNS($AC$1006:AO1006),$AC$1006:$AS$1006,0)), HYPERLINK("#",""), HYPERLINK(CONCATENATE("#Metadata!", ADDRESS(INDEX($X$2:$X$1001,MATCH(ROWS($V$2:V617),$V$2:$V$1001,0),0), INDEX($AC$1004:$AS$1004,1,MATCH(COLUMNS($AC$1006:AO1006),$AC$1006:$AS$1006,0)))),"Fix")))</f>
        <v>0</v>
      </c>
      <c r="O617" s="5">
        <f>IF(OR(INDEX($W$2:$W$1001,MATCH(ROWS($V$2:V617),$V$2:$V$1001,0),1)&gt;=100000,INDEX($AC$1005:$AS$1005,1,MATCH(COLUMNS($AC$1006:AP1006),$AC$1006:$AS$1006,0))&gt;=100000), " ",IF(INDEX($AC$2:$AS$1001,MATCH(ROWS($V$2:V617),$V$2:$V$1001,0),MATCH(COLUMNS($AC$1006:AP1006),$AC$1006:$AS$1006,0)), HYPERLINK("#",""), HYPERLINK(CONCATENATE("#Metadata!", ADDRESS(INDEX($X$2:$X$1001,MATCH(ROWS($V$2:V617),$V$2:$V$1001,0),0), INDEX($AC$1004:$AS$1004,1,MATCH(COLUMNS($AC$1006:AP1006),$AC$1006:$AS$1006,0)))),"Fix")))</f>
        <v>0</v>
      </c>
      <c r="P617" s="5">
        <f>IF(OR(INDEX($W$2:$W$1001,MATCH(ROWS($V$2:V617),$V$2:$V$1001,0),1)&gt;=100000,INDEX($AC$1005:$AS$1005,1,MATCH(COLUMNS($AC$1006:AQ1006),$AC$1006:$AS$1006,0))&gt;=100000), " ",IF(INDEX($AC$2:$AS$1001,MATCH(ROWS($V$2:V617),$V$2:$V$1001,0),MATCH(COLUMNS($AC$1006:AQ1006),$AC$1006:$AS$1006,0)), HYPERLINK("#",""), HYPERLINK(CONCATENATE("#Metadata!", ADDRESS(INDEX($X$2:$X$1001,MATCH(ROWS($V$2:V617),$V$2:$V$1001,0),0), INDEX($AC$1004:$AS$1004,1,MATCH(COLUMNS($AC$1006:AQ1006),$AC$1006:$AS$1006,0)))),"Fix")))</f>
        <v>0</v>
      </c>
      <c r="Q617" s="5">
        <f>IF(OR(INDEX($W$2:$W$1001,MATCH(ROWS($V$2:V617),$V$2:$V$1001,0),1)&gt;=100000,INDEX($AC$1005:$AS$1005,1,MATCH(COLUMNS($AC$1006:AR1006),$AC$1006:$AS$1006,0))&gt;=100000), " ",IF(INDEX($AC$2:$AS$1001,MATCH(ROWS($V$2:V617),$V$2:$V$1001,0),MATCH(COLUMNS($AC$1006:AR1006),$AC$1006:$AS$1006,0)), HYPERLINK("#",""), HYPERLINK(CONCATENATE("#Metadata!", ADDRESS(INDEX($X$2:$X$1001,MATCH(ROWS($V$2:V617),$V$2:$V$1001,0),0), INDEX($AC$1004:$AS$1004,1,MATCH(COLUMNS($AC$1006:AR1006),$AC$1006:$AS$1006,0)))),"Fix")))</f>
        <v>0</v>
      </c>
      <c r="R617" s="5">
        <f>IF(OR(INDEX($W$2:$W$1001,MATCH(ROWS($V$2:V617),$V$2:$V$1001,0),1)&gt;=100000,INDEX($AC$1005:$AS$1005,1,MATCH(COLUMNS($AC$1006:AS1006),$AC$1006:$AS$1006,0))&gt;=100000), " ",IF(INDEX($AC$2:$AS$1001,MATCH(ROWS($V$2:V617),$V$2:$V$1001,0),MATCH(COLUMNS($AC$1006:AS1006),$AC$1006:$AS$1006,0)), HYPERLINK("#",""), HYPERLINK(CONCATENATE("#Metadata!", ADDRESS(INDEX($X$2:$X$1001,MATCH(ROWS($V$2:V617),$V$2:$V$1001,0),0), INDEX($AC$1004:$AS$1004,1,MATCH(COLUMNS($AC$1006:AS1006),$AC$1006:$AS$1006,0)))),"Fix")))</f>
        <v>0</v>
      </c>
      <c r="V617">
        <v>0</v>
      </c>
      <c r="W617">
        <v>0</v>
      </c>
      <c r="X617">
        <v>0</v>
      </c>
      <c r="Y617">
        <f>IF(Z617,TRUE,AND(AC617:AS617))</f>
        <v>0</v>
      </c>
      <c r="Z617">
        <f>COUNTBLANK(Metadata!B617:R617)=COLUMNS(Metadata!B617:R617)</f>
        <v>0</v>
      </c>
      <c r="AA617">
        <v>0</v>
      </c>
      <c r="AC617">
        <f>AND(IF(Metadata!B617="",FALSE,TRUE),COUNTIF(Metadata!B:B, Metadata!B617) = 1,NOT(ISERROR(SUMPRODUCT(SEARCH(MID(Metadata!B617,ROW(INDIRECT("1:"&amp;LEN(Metadata!B617))), 1),"0123456789abcdefghijklmnopqrstuvwxyzABCDEFGHIJKLMNOPQRSTUVWXYZ.")))))</f>
        <v>0</v>
      </c>
      <c r="AD617">
        <f>AND(IF(Metadata!C617="",FALSE,TRUE),exact(Metadata!C617,"Host-associated"))</f>
        <v>0</v>
      </c>
      <c r="AE617">
        <f>AND(IF(Metadata!D617="",FALSE,TRUE),OR(exact(Metadata!D617,"Animal"),exact(Metadata!D617,"Fungus"),exact(Metadata!D617,"Plant")))</f>
        <v>0</v>
      </c>
      <c r="AF617">
        <f>AND(IF(Metadata!E617="",FALSE,TRUE),OR(exact(Metadata!E617,"Plant secretion"),exact(Metadata!E617,"Plant rhizosphere"),exact(Metadata!E617,"Plant surface"),exact(Metadata!E617,"Plant corpus"),exact(Metadata!E617,"Fungus surface"),exact(Metadata!E617,"Fungus corpus"),exact(Metadata!E617,"Animal surface"),exact(Metadata!E617,"Animal proximal gut"),exact(Metadata!E617,"Animal corpus"),exact(Metadata!E617,"Animal distal gut"),exact(Metadata!E617,"Animal secretion")))</f>
        <v>0</v>
      </c>
      <c r="AG617">
        <f>OR(AND(IF(Metadata!F617="",FALSE,TRUE),OR(exact(Metadata!F617,"not collected"),exact(Metadata!F617,"not provided"),exact(Metadata!F617,"restricted access"))),AND(IF(Metadata!F617="",FALSE,TRUE),OR(exact(Metadata!F617,"organism-associated habitat"),exact(Metadata!F617,"plant-associated habitat"),exact(Metadata!F617,"animal-associated habitat"),exact(Metadata!F617,"insecta-associated habitat"),exact(Metadata!F617,"mammalia-associated habitat"),exact(Metadata!F617,"human-associated habitat"),exact(Metadata!F617,"livestock-associated habitat"))))</f>
        <v>0</v>
      </c>
      <c r="AH617">
        <f>AND(IF(Metadata!G617="",FALSE,TRUE),exact(Metadata!G617,"host-associated"))</f>
        <v>0</v>
      </c>
      <c r="AI617">
        <f>OR(AND(IF(Metadata!H617="",FALSE,TRUE),OR(exact(Metadata!H617,"not collected"),exact(Metadata!H617,"not provided"))),AND(IF(Metadata!H617="",FALSE,ISNUMBER(VALUE(Metadata!H617))),Metadata!H617&gt;0))</f>
        <v>0</v>
      </c>
      <c r="AJ617">
        <f>AND(IF(Metadata!I617="",FALSE,TRUE),exact(Metadata!I617,"years"))</f>
        <v>0</v>
      </c>
      <c r="AK617">
        <f>IF(Metadata!J617="",FALSE,TRUE)</f>
        <v>0</v>
      </c>
      <c r="AL617">
        <f>OR(AND(IF(Metadata!K617="",FALSE,TRUE),OR(exact(Metadata!K617,"not collected"),exact(Metadata!K617,"not provided"))),AND(IF(Metadata!K617="",FALSE,ISNUMBER(VALUE(Metadata!K617))),Metadata!K617&gt;0))</f>
        <v>0</v>
      </c>
      <c r="AM617">
        <f>AND(IF(Metadata!L617="",FALSE,TRUE),exact(Metadata!L617,"cm"))</f>
        <v>0</v>
      </c>
      <c r="AN617">
        <f>IF(Metadata!M617="",FALSE,TRUE)</f>
        <v>0</v>
      </c>
      <c r="AO617">
        <f>OR(AND(IF(Metadata!N617="",FALSE,TRUE),OR(exact(Metadata!N617,"not applicable"),exact(Metadata!N617,"not collected"),exact(Metadata!N617,"not provided"))),AND(IF(Metadata!N617="",FALSE,IF(ISERROR(INT(Metadata!N617)),FALSE,INT(Metadata!N617)=Metadata!N617)),Metadata!N617&gt;0))</f>
        <v>0</v>
      </c>
      <c r="AP617">
        <f>OR(AND(IF(Metadata!O617="",FALSE,TRUE),OR(exact(Metadata!O617,"not collected"),exact(Metadata!O617,"not provided"))),AND(IF(Metadata!O617="",FALSE,ISNUMBER(VALUE(Metadata!O617))),Metadata!O617&gt;0))</f>
        <v>0</v>
      </c>
      <c r="AQ617">
        <f>AND(IF(Metadata!P617="",FALSE,TRUE),exact(Metadata!P617,"kg"))</f>
        <v>0</v>
      </c>
      <c r="AR617">
        <f>OR(AND(IF(Metadata!Q617="",FALSE,TRUE),OR(exact(Metadata!Q617,"not applicable"),exact(Metadata!Q617,"not collected"),exact(Metadata!Q617,"not provided"),exact(Metadata!Q617,"restricted access"))),IF(Metadata!Q617="",FALSE,IF(ISERROR(INT(Metadata!Q617)),FALSE,INT(Metadata!Q617)=Metadata!Q617)))</f>
        <v>0</v>
      </c>
      <c r="AS617">
        <f>AND(IF(Metadata!R617="",FALSE,TRUE),exact(Metadata!R617,"Not applicable"))</f>
        <v>0</v>
      </c>
    </row>
    <row r="618" spans="1:45">
      <c r="A618" s="4">
        <f>IF(B618=" "," ",HYPERLINK(CONCATENATE("#metadata!",ADDRESS(INDEX($X$2:$X$1001,MATCH(ROWS($V$2:V618),$V$2:$V$1001,0),0),2)),INDEX($AA$2:$AA$1001,MATCH(ROWS($V$2:V618),$V$2:$V$1001,0),0)))</f>
        <v>0</v>
      </c>
      <c r="B618" s="5">
        <f>IF(OR(INDEX($W$2:$W$1001,MATCH(ROWS($V$2:V618),$V$2:$V$1001,0),1)&gt;=100000,INDEX($AC$1005:$AS$1005,1,MATCH(COLUMNS($AC$1006:AC1006),$AC$1006:$AS$1006,0))&gt;=100000), " ",IF(INDEX($AC$2:$AS$1001,MATCH(ROWS($V$2:V618),$V$2:$V$1001,0),MATCH(COLUMNS($AC$1006:AC1006),$AC$1006:$AS$1006,0)), HYPERLINK("#",""), HYPERLINK(CONCATENATE("#Metadata!", ADDRESS(INDEX($X$2:$X$1001,MATCH(ROWS($V$2:V618),$V$2:$V$1001,0),0), INDEX($AC$1004:$AS$1004,1,MATCH(COLUMNS($AC$1006:AC1006),$AC$1006:$AS$1006,0)))),"Fix")))</f>
        <v>0</v>
      </c>
      <c r="C618" s="5">
        <f>IF(OR(INDEX($W$2:$W$1001,MATCH(ROWS($V$2:V618),$V$2:$V$1001,0),1)&gt;=100000,INDEX($AC$1005:$AS$1005,1,MATCH(COLUMNS($AC$1006:AD1006),$AC$1006:$AS$1006,0))&gt;=100000), " ",IF(INDEX($AC$2:$AS$1001,MATCH(ROWS($V$2:V618),$V$2:$V$1001,0),MATCH(COLUMNS($AC$1006:AD1006),$AC$1006:$AS$1006,0)), HYPERLINK("#",""), HYPERLINK(CONCATENATE("#Metadata!", ADDRESS(INDEX($X$2:$X$1001,MATCH(ROWS($V$2:V618),$V$2:$V$1001,0),0), INDEX($AC$1004:$AS$1004,1,MATCH(COLUMNS($AC$1006:AD1006),$AC$1006:$AS$1006,0)))),"Fix")))</f>
        <v>0</v>
      </c>
      <c r="D618" s="5">
        <f>IF(OR(INDEX($W$2:$W$1001,MATCH(ROWS($V$2:V618),$V$2:$V$1001,0),1)&gt;=100000,INDEX($AC$1005:$AS$1005,1,MATCH(COLUMNS($AC$1006:AE1006),$AC$1006:$AS$1006,0))&gt;=100000), " ",IF(INDEX($AC$2:$AS$1001,MATCH(ROWS($V$2:V618),$V$2:$V$1001,0),MATCH(COLUMNS($AC$1006:AE1006),$AC$1006:$AS$1006,0)), HYPERLINK("#",""), HYPERLINK(CONCATENATE("#Metadata!", ADDRESS(INDEX($X$2:$X$1001,MATCH(ROWS($V$2:V618),$V$2:$V$1001,0),0), INDEX($AC$1004:$AS$1004,1,MATCH(COLUMNS($AC$1006:AE1006),$AC$1006:$AS$1006,0)))),"Fix")))</f>
        <v>0</v>
      </c>
      <c r="E618" s="5">
        <f>IF(OR(INDEX($W$2:$W$1001,MATCH(ROWS($V$2:V618),$V$2:$V$1001,0),1)&gt;=100000,INDEX($AC$1005:$AS$1005,1,MATCH(COLUMNS($AC$1006:AF1006),$AC$1006:$AS$1006,0))&gt;=100000), " ",IF(INDEX($AC$2:$AS$1001,MATCH(ROWS($V$2:V618),$V$2:$V$1001,0),MATCH(COLUMNS($AC$1006:AF1006),$AC$1006:$AS$1006,0)), HYPERLINK("#",""), HYPERLINK(CONCATENATE("#Metadata!", ADDRESS(INDEX($X$2:$X$1001,MATCH(ROWS($V$2:V618),$V$2:$V$1001,0),0), INDEX($AC$1004:$AS$1004,1,MATCH(COLUMNS($AC$1006:AF1006),$AC$1006:$AS$1006,0)))),"Fix")))</f>
        <v>0</v>
      </c>
      <c r="F618" s="5">
        <f>IF(OR(INDEX($W$2:$W$1001,MATCH(ROWS($V$2:V618),$V$2:$V$1001,0),1)&gt;=100000,INDEX($AC$1005:$AS$1005,1,MATCH(COLUMNS($AC$1006:AG1006),$AC$1006:$AS$1006,0))&gt;=100000), " ",IF(INDEX($AC$2:$AS$1001,MATCH(ROWS($V$2:V618),$V$2:$V$1001,0),MATCH(COLUMNS($AC$1006:AG1006),$AC$1006:$AS$1006,0)), HYPERLINK("#",""), HYPERLINK(CONCATENATE("#Metadata!", ADDRESS(INDEX($X$2:$X$1001,MATCH(ROWS($V$2:V618),$V$2:$V$1001,0),0), INDEX($AC$1004:$AS$1004,1,MATCH(COLUMNS($AC$1006:AG1006),$AC$1006:$AS$1006,0)))),"Fix")))</f>
        <v>0</v>
      </c>
      <c r="G618" s="5">
        <f>IF(OR(INDEX($W$2:$W$1001,MATCH(ROWS($V$2:V618),$V$2:$V$1001,0),1)&gt;=100000,INDEX($AC$1005:$AS$1005,1,MATCH(COLUMNS($AC$1006:AH1006),$AC$1006:$AS$1006,0))&gt;=100000), " ",IF(INDEX($AC$2:$AS$1001,MATCH(ROWS($V$2:V618),$V$2:$V$1001,0),MATCH(COLUMNS($AC$1006:AH1006),$AC$1006:$AS$1006,0)), HYPERLINK("#",""), HYPERLINK(CONCATENATE("#Metadata!", ADDRESS(INDEX($X$2:$X$1001,MATCH(ROWS($V$2:V618),$V$2:$V$1001,0),0), INDEX($AC$1004:$AS$1004,1,MATCH(COLUMNS($AC$1006:AH1006),$AC$1006:$AS$1006,0)))),"Fix")))</f>
        <v>0</v>
      </c>
      <c r="H618" s="5">
        <f>IF(OR(INDEX($W$2:$W$1001,MATCH(ROWS($V$2:V618),$V$2:$V$1001,0),1)&gt;=100000,INDEX($AC$1005:$AS$1005,1,MATCH(COLUMNS($AC$1006:AI1006),$AC$1006:$AS$1006,0))&gt;=100000), " ",IF(INDEX($AC$2:$AS$1001,MATCH(ROWS($V$2:V618),$V$2:$V$1001,0),MATCH(COLUMNS($AC$1006:AI1006),$AC$1006:$AS$1006,0)), HYPERLINK("#",""), HYPERLINK(CONCATENATE("#Metadata!", ADDRESS(INDEX($X$2:$X$1001,MATCH(ROWS($V$2:V618),$V$2:$V$1001,0),0), INDEX($AC$1004:$AS$1004,1,MATCH(COLUMNS($AC$1006:AI1006),$AC$1006:$AS$1006,0)))),"Fix")))</f>
        <v>0</v>
      </c>
      <c r="I618" s="5">
        <f>IF(OR(INDEX($W$2:$W$1001,MATCH(ROWS($V$2:V618),$V$2:$V$1001,0),1)&gt;=100000,INDEX($AC$1005:$AS$1005,1,MATCH(COLUMNS($AC$1006:AJ1006),$AC$1006:$AS$1006,0))&gt;=100000), " ",IF(INDEX($AC$2:$AS$1001,MATCH(ROWS($V$2:V618),$V$2:$V$1001,0),MATCH(COLUMNS($AC$1006:AJ1006),$AC$1006:$AS$1006,0)), HYPERLINK("#",""), HYPERLINK(CONCATENATE("#Metadata!", ADDRESS(INDEX($X$2:$X$1001,MATCH(ROWS($V$2:V618),$V$2:$V$1001,0),0), INDEX($AC$1004:$AS$1004,1,MATCH(COLUMNS($AC$1006:AJ1006),$AC$1006:$AS$1006,0)))),"Fix")))</f>
        <v>0</v>
      </c>
      <c r="J618" s="5">
        <f>IF(OR(INDEX($W$2:$W$1001,MATCH(ROWS($V$2:V618),$V$2:$V$1001,0),1)&gt;=100000,INDEX($AC$1005:$AS$1005,1,MATCH(COLUMNS($AC$1006:AK1006),$AC$1006:$AS$1006,0))&gt;=100000), " ",IF(INDEX($AC$2:$AS$1001,MATCH(ROWS($V$2:V618),$V$2:$V$1001,0),MATCH(COLUMNS($AC$1006:AK1006),$AC$1006:$AS$1006,0)), HYPERLINK("#",""), HYPERLINK(CONCATENATE("#Metadata!", ADDRESS(INDEX($X$2:$X$1001,MATCH(ROWS($V$2:V618),$V$2:$V$1001,0),0), INDEX($AC$1004:$AS$1004,1,MATCH(COLUMNS($AC$1006:AK1006),$AC$1006:$AS$1006,0)))),"Fix")))</f>
        <v>0</v>
      </c>
      <c r="K618" s="5">
        <f>IF(OR(INDEX($W$2:$W$1001,MATCH(ROWS($V$2:V618),$V$2:$V$1001,0),1)&gt;=100000,INDEX($AC$1005:$AS$1005,1,MATCH(COLUMNS($AC$1006:AL1006),$AC$1006:$AS$1006,0))&gt;=100000), " ",IF(INDEX($AC$2:$AS$1001,MATCH(ROWS($V$2:V618),$V$2:$V$1001,0),MATCH(COLUMNS($AC$1006:AL1006),$AC$1006:$AS$1006,0)), HYPERLINK("#",""), HYPERLINK(CONCATENATE("#Metadata!", ADDRESS(INDEX($X$2:$X$1001,MATCH(ROWS($V$2:V618),$V$2:$V$1001,0),0), INDEX($AC$1004:$AS$1004,1,MATCH(COLUMNS($AC$1006:AL1006),$AC$1006:$AS$1006,0)))),"Fix")))</f>
        <v>0</v>
      </c>
      <c r="L618" s="5">
        <f>IF(OR(INDEX($W$2:$W$1001,MATCH(ROWS($V$2:V618),$V$2:$V$1001,0),1)&gt;=100000,INDEX($AC$1005:$AS$1005,1,MATCH(COLUMNS($AC$1006:AM1006),$AC$1006:$AS$1006,0))&gt;=100000), " ",IF(INDEX($AC$2:$AS$1001,MATCH(ROWS($V$2:V618),$V$2:$V$1001,0),MATCH(COLUMNS($AC$1006:AM1006),$AC$1006:$AS$1006,0)), HYPERLINK("#",""), HYPERLINK(CONCATENATE("#Metadata!", ADDRESS(INDEX($X$2:$X$1001,MATCH(ROWS($V$2:V618),$V$2:$V$1001,0),0), INDEX($AC$1004:$AS$1004,1,MATCH(COLUMNS($AC$1006:AM1006),$AC$1006:$AS$1006,0)))),"Fix")))</f>
        <v>0</v>
      </c>
      <c r="M618" s="5">
        <f>IF(OR(INDEX($W$2:$W$1001,MATCH(ROWS($V$2:V618),$V$2:$V$1001,0),1)&gt;=100000,INDEX($AC$1005:$AS$1005,1,MATCH(COLUMNS($AC$1006:AN1006),$AC$1006:$AS$1006,0))&gt;=100000), " ",IF(INDEX($AC$2:$AS$1001,MATCH(ROWS($V$2:V618),$V$2:$V$1001,0),MATCH(COLUMNS($AC$1006:AN1006),$AC$1006:$AS$1006,0)), HYPERLINK("#",""), HYPERLINK(CONCATENATE("#Metadata!", ADDRESS(INDEX($X$2:$X$1001,MATCH(ROWS($V$2:V618),$V$2:$V$1001,0),0), INDEX($AC$1004:$AS$1004,1,MATCH(COLUMNS($AC$1006:AN1006),$AC$1006:$AS$1006,0)))),"Fix")))</f>
        <v>0</v>
      </c>
      <c r="N618" s="5">
        <f>IF(OR(INDEX($W$2:$W$1001,MATCH(ROWS($V$2:V618),$V$2:$V$1001,0),1)&gt;=100000,INDEX($AC$1005:$AS$1005,1,MATCH(COLUMNS($AC$1006:AO1006),$AC$1006:$AS$1006,0))&gt;=100000), " ",IF(INDEX($AC$2:$AS$1001,MATCH(ROWS($V$2:V618),$V$2:$V$1001,0),MATCH(COLUMNS($AC$1006:AO1006),$AC$1006:$AS$1006,0)), HYPERLINK("#",""), HYPERLINK(CONCATENATE("#Metadata!", ADDRESS(INDEX($X$2:$X$1001,MATCH(ROWS($V$2:V618),$V$2:$V$1001,0),0), INDEX($AC$1004:$AS$1004,1,MATCH(COLUMNS($AC$1006:AO1006),$AC$1006:$AS$1006,0)))),"Fix")))</f>
        <v>0</v>
      </c>
      <c r="O618" s="5">
        <f>IF(OR(INDEX($W$2:$W$1001,MATCH(ROWS($V$2:V618),$V$2:$V$1001,0),1)&gt;=100000,INDEX($AC$1005:$AS$1005,1,MATCH(COLUMNS($AC$1006:AP1006),$AC$1006:$AS$1006,0))&gt;=100000), " ",IF(INDEX($AC$2:$AS$1001,MATCH(ROWS($V$2:V618),$V$2:$V$1001,0),MATCH(COLUMNS($AC$1006:AP1006),$AC$1006:$AS$1006,0)), HYPERLINK("#",""), HYPERLINK(CONCATENATE("#Metadata!", ADDRESS(INDEX($X$2:$X$1001,MATCH(ROWS($V$2:V618),$V$2:$V$1001,0),0), INDEX($AC$1004:$AS$1004,1,MATCH(COLUMNS($AC$1006:AP1006),$AC$1006:$AS$1006,0)))),"Fix")))</f>
        <v>0</v>
      </c>
      <c r="P618" s="5">
        <f>IF(OR(INDEX($W$2:$W$1001,MATCH(ROWS($V$2:V618),$V$2:$V$1001,0),1)&gt;=100000,INDEX($AC$1005:$AS$1005,1,MATCH(COLUMNS($AC$1006:AQ1006),$AC$1006:$AS$1006,0))&gt;=100000), " ",IF(INDEX($AC$2:$AS$1001,MATCH(ROWS($V$2:V618),$V$2:$V$1001,0),MATCH(COLUMNS($AC$1006:AQ1006),$AC$1006:$AS$1006,0)), HYPERLINK("#",""), HYPERLINK(CONCATENATE("#Metadata!", ADDRESS(INDEX($X$2:$X$1001,MATCH(ROWS($V$2:V618),$V$2:$V$1001,0),0), INDEX($AC$1004:$AS$1004,1,MATCH(COLUMNS($AC$1006:AQ1006),$AC$1006:$AS$1006,0)))),"Fix")))</f>
        <v>0</v>
      </c>
      <c r="Q618" s="5">
        <f>IF(OR(INDEX($W$2:$W$1001,MATCH(ROWS($V$2:V618),$V$2:$V$1001,0),1)&gt;=100000,INDEX($AC$1005:$AS$1005,1,MATCH(COLUMNS($AC$1006:AR1006),$AC$1006:$AS$1006,0))&gt;=100000), " ",IF(INDEX($AC$2:$AS$1001,MATCH(ROWS($V$2:V618),$V$2:$V$1001,0),MATCH(COLUMNS($AC$1006:AR1006),$AC$1006:$AS$1006,0)), HYPERLINK("#",""), HYPERLINK(CONCATENATE("#Metadata!", ADDRESS(INDEX($X$2:$X$1001,MATCH(ROWS($V$2:V618),$V$2:$V$1001,0),0), INDEX($AC$1004:$AS$1004,1,MATCH(COLUMNS($AC$1006:AR1006),$AC$1006:$AS$1006,0)))),"Fix")))</f>
        <v>0</v>
      </c>
      <c r="R618" s="5">
        <f>IF(OR(INDEX($W$2:$W$1001,MATCH(ROWS($V$2:V618),$V$2:$V$1001,0),1)&gt;=100000,INDEX($AC$1005:$AS$1005,1,MATCH(COLUMNS($AC$1006:AS1006),$AC$1006:$AS$1006,0))&gt;=100000), " ",IF(INDEX($AC$2:$AS$1001,MATCH(ROWS($V$2:V618),$V$2:$V$1001,0),MATCH(COLUMNS($AC$1006:AS1006),$AC$1006:$AS$1006,0)), HYPERLINK("#",""), HYPERLINK(CONCATENATE("#Metadata!", ADDRESS(INDEX($X$2:$X$1001,MATCH(ROWS($V$2:V618),$V$2:$V$1001,0),0), INDEX($AC$1004:$AS$1004,1,MATCH(COLUMNS($AC$1006:AS1006),$AC$1006:$AS$1006,0)))),"Fix")))</f>
        <v>0</v>
      </c>
      <c r="V618">
        <v>0</v>
      </c>
      <c r="W618">
        <v>0</v>
      </c>
      <c r="X618">
        <v>0</v>
      </c>
      <c r="Y618">
        <f>IF(Z618,TRUE,AND(AC618:AS618))</f>
        <v>0</v>
      </c>
      <c r="Z618">
        <f>COUNTBLANK(Metadata!B618:R618)=COLUMNS(Metadata!B618:R618)</f>
        <v>0</v>
      </c>
      <c r="AA618">
        <v>0</v>
      </c>
      <c r="AC618">
        <f>AND(IF(Metadata!B618="",FALSE,TRUE),COUNTIF(Metadata!B:B, Metadata!B618) = 1,NOT(ISERROR(SUMPRODUCT(SEARCH(MID(Metadata!B618,ROW(INDIRECT("1:"&amp;LEN(Metadata!B618))), 1),"0123456789abcdefghijklmnopqrstuvwxyzABCDEFGHIJKLMNOPQRSTUVWXYZ.")))))</f>
        <v>0</v>
      </c>
      <c r="AD618">
        <f>AND(IF(Metadata!C618="",FALSE,TRUE),exact(Metadata!C618,"Host-associated"))</f>
        <v>0</v>
      </c>
      <c r="AE618">
        <f>AND(IF(Metadata!D618="",FALSE,TRUE),OR(exact(Metadata!D618,"Animal"),exact(Metadata!D618,"Fungus"),exact(Metadata!D618,"Plant")))</f>
        <v>0</v>
      </c>
      <c r="AF618">
        <f>AND(IF(Metadata!E618="",FALSE,TRUE),OR(exact(Metadata!E618,"Plant secretion"),exact(Metadata!E618,"Plant rhizosphere"),exact(Metadata!E618,"Plant surface"),exact(Metadata!E618,"Plant corpus"),exact(Metadata!E618,"Fungus surface"),exact(Metadata!E618,"Fungus corpus"),exact(Metadata!E618,"Animal surface"),exact(Metadata!E618,"Animal proximal gut"),exact(Metadata!E618,"Animal corpus"),exact(Metadata!E618,"Animal distal gut"),exact(Metadata!E618,"Animal secretion")))</f>
        <v>0</v>
      </c>
      <c r="AG618">
        <f>OR(AND(IF(Metadata!F618="",FALSE,TRUE),OR(exact(Metadata!F618,"not collected"),exact(Metadata!F618,"not provided"),exact(Metadata!F618,"restricted access"))),AND(IF(Metadata!F618="",FALSE,TRUE),OR(exact(Metadata!F618,"organism-associated habitat"),exact(Metadata!F618,"plant-associated habitat"),exact(Metadata!F618,"animal-associated habitat"),exact(Metadata!F618,"insecta-associated habitat"),exact(Metadata!F618,"mammalia-associated habitat"),exact(Metadata!F618,"human-associated habitat"),exact(Metadata!F618,"livestock-associated habitat"))))</f>
        <v>0</v>
      </c>
      <c r="AH618">
        <f>AND(IF(Metadata!G618="",FALSE,TRUE),exact(Metadata!G618,"host-associated"))</f>
        <v>0</v>
      </c>
      <c r="AI618">
        <f>OR(AND(IF(Metadata!H618="",FALSE,TRUE),OR(exact(Metadata!H618,"not collected"),exact(Metadata!H618,"not provided"))),AND(IF(Metadata!H618="",FALSE,ISNUMBER(VALUE(Metadata!H618))),Metadata!H618&gt;0))</f>
        <v>0</v>
      </c>
      <c r="AJ618">
        <f>AND(IF(Metadata!I618="",FALSE,TRUE),exact(Metadata!I618,"years"))</f>
        <v>0</v>
      </c>
      <c r="AK618">
        <f>IF(Metadata!J618="",FALSE,TRUE)</f>
        <v>0</v>
      </c>
      <c r="AL618">
        <f>OR(AND(IF(Metadata!K618="",FALSE,TRUE),OR(exact(Metadata!K618,"not collected"),exact(Metadata!K618,"not provided"))),AND(IF(Metadata!K618="",FALSE,ISNUMBER(VALUE(Metadata!K618))),Metadata!K618&gt;0))</f>
        <v>0</v>
      </c>
      <c r="AM618">
        <f>AND(IF(Metadata!L618="",FALSE,TRUE),exact(Metadata!L618,"cm"))</f>
        <v>0</v>
      </c>
      <c r="AN618">
        <f>IF(Metadata!M618="",FALSE,TRUE)</f>
        <v>0</v>
      </c>
      <c r="AO618">
        <f>OR(AND(IF(Metadata!N618="",FALSE,TRUE),OR(exact(Metadata!N618,"not applicable"),exact(Metadata!N618,"not collected"),exact(Metadata!N618,"not provided"))),AND(IF(Metadata!N618="",FALSE,IF(ISERROR(INT(Metadata!N618)),FALSE,INT(Metadata!N618)=Metadata!N618)),Metadata!N618&gt;0))</f>
        <v>0</v>
      </c>
      <c r="AP618">
        <f>OR(AND(IF(Metadata!O618="",FALSE,TRUE),OR(exact(Metadata!O618,"not collected"),exact(Metadata!O618,"not provided"))),AND(IF(Metadata!O618="",FALSE,ISNUMBER(VALUE(Metadata!O618))),Metadata!O618&gt;0))</f>
        <v>0</v>
      </c>
      <c r="AQ618">
        <f>AND(IF(Metadata!P618="",FALSE,TRUE),exact(Metadata!P618,"kg"))</f>
        <v>0</v>
      </c>
      <c r="AR618">
        <f>OR(AND(IF(Metadata!Q618="",FALSE,TRUE),OR(exact(Metadata!Q618,"not applicable"),exact(Metadata!Q618,"not collected"),exact(Metadata!Q618,"not provided"),exact(Metadata!Q618,"restricted access"))),IF(Metadata!Q618="",FALSE,IF(ISERROR(INT(Metadata!Q618)),FALSE,INT(Metadata!Q618)=Metadata!Q618)))</f>
        <v>0</v>
      </c>
      <c r="AS618">
        <f>AND(IF(Metadata!R618="",FALSE,TRUE),exact(Metadata!R618,"Not applicable"))</f>
        <v>0</v>
      </c>
    </row>
    <row r="619" spans="1:45">
      <c r="A619" s="4">
        <f>IF(B619=" "," ",HYPERLINK(CONCATENATE("#metadata!",ADDRESS(INDEX($X$2:$X$1001,MATCH(ROWS($V$2:V619),$V$2:$V$1001,0),0),2)),INDEX($AA$2:$AA$1001,MATCH(ROWS($V$2:V619),$V$2:$V$1001,0),0)))</f>
        <v>0</v>
      </c>
      <c r="B619" s="5">
        <f>IF(OR(INDEX($W$2:$W$1001,MATCH(ROWS($V$2:V619),$V$2:$V$1001,0),1)&gt;=100000,INDEX($AC$1005:$AS$1005,1,MATCH(COLUMNS($AC$1006:AC1006),$AC$1006:$AS$1006,0))&gt;=100000), " ",IF(INDEX($AC$2:$AS$1001,MATCH(ROWS($V$2:V619),$V$2:$V$1001,0),MATCH(COLUMNS($AC$1006:AC1006),$AC$1006:$AS$1006,0)), HYPERLINK("#",""), HYPERLINK(CONCATENATE("#Metadata!", ADDRESS(INDEX($X$2:$X$1001,MATCH(ROWS($V$2:V619),$V$2:$V$1001,0),0), INDEX($AC$1004:$AS$1004,1,MATCH(COLUMNS($AC$1006:AC1006),$AC$1006:$AS$1006,0)))),"Fix")))</f>
        <v>0</v>
      </c>
      <c r="C619" s="5">
        <f>IF(OR(INDEX($W$2:$W$1001,MATCH(ROWS($V$2:V619),$V$2:$V$1001,0),1)&gt;=100000,INDEX($AC$1005:$AS$1005,1,MATCH(COLUMNS($AC$1006:AD1006),$AC$1006:$AS$1006,0))&gt;=100000), " ",IF(INDEX($AC$2:$AS$1001,MATCH(ROWS($V$2:V619),$V$2:$V$1001,0),MATCH(COLUMNS($AC$1006:AD1006),$AC$1006:$AS$1006,0)), HYPERLINK("#",""), HYPERLINK(CONCATENATE("#Metadata!", ADDRESS(INDEX($X$2:$X$1001,MATCH(ROWS($V$2:V619),$V$2:$V$1001,0),0), INDEX($AC$1004:$AS$1004,1,MATCH(COLUMNS($AC$1006:AD1006),$AC$1006:$AS$1006,0)))),"Fix")))</f>
        <v>0</v>
      </c>
      <c r="D619" s="5">
        <f>IF(OR(INDEX($W$2:$W$1001,MATCH(ROWS($V$2:V619),$V$2:$V$1001,0),1)&gt;=100000,INDEX($AC$1005:$AS$1005,1,MATCH(COLUMNS($AC$1006:AE1006),$AC$1006:$AS$1006,0))&gt;=100000), " ",IF(INDEX($AC$2:$AS$1001,MATCH(ROWS($V$2:V619),$V$2:$V$1001,0),MATCH(COLUMNS($AC$1006:AE1006),$AC$1006:$AS$1006,0)), HYPERLINK("#",""), HYPERLINK(CONCATENATE("#Metadata!", ADDRESS(INDEX($X$2:$X$1001,MATCH(ROWS($V$2:V619),$V$2:$V$1001,0),0), INDEX($AC$1004:$AS$1004,1,MATCH(COLUMNS($AC$1006:AE1006),$AC$1006:$AS$1006,0)))),"Fix")))</f>
        <v>0</v>
      </c>
      <c r="E619" s="5">
        <f>IF(OR(INDEX($W$2:$W$1001,MATCH(ROWS($V$2:V619),$V$2:$V$1001,0),1)&gt;=100000,INDEX($AC$1005:$AS$1005,1,MATCH(COLUMNS($AC$1006:AF1006),$AC$1006:$AS$1006,0))&gt;=100000), " ",IF(INDEX($AC$2:$AS$1001,MATCH(ROWS($V$2:V619),$V$2:$V$1001,0),MATCH(COLUMNS($AC$1006:AF1006),$AC$1006:$AS$1006,0)), HYPERLINK("#",""), HYPERLINK(CONCATENATE("#Metadata!", ADDRESS(INDEX($X$2:$X$1001,MATCH(ROWS($V$2:V619),$V$2:$V$1001,0),0), INDEX($AC$1004:$AS$1004,1,MATCH(COLUMNS($AC$1006:AF1006),$AC$1006:$AS$1006,0)))),"Fix")))</f>
        <v>0</v>
      </c>
      <c r="F619" s="5">
        <f>IF(OR(INDEX($W$2:$W$1001,MATCH(ROWS($V$2:V619),$V$2:$V$1001,0),1)&gt;=100000,INDEX($AC$1005:$AS$1005,1,MATCH(COLUMNS($AC$1006:AG1006),$AC$1006:$AS$1006,0))&gt;=100000), " ",IF(INDEX($AC$2:$AS$1001,MATCH(ROWS($V$2:V619),$V$2:$V$1001,0),MATCH(COLUMNS($AC$1006:AG1006),$AC$1006:$AS$1006,0)), HYPERLINK("#",""), HYPERLINK(CONCATENATE("#Metadata!", ADDRESS(INDEX($X$2:$X$1001,MATCH(ROWS($V$2:V619),$V$2:$V$1001,0),0), INDEX($AC$1004:$AS$1004,1,MATCH(COLUMNS($AC$1006:AG1006),$AC$1006:$AS$1006,0)))),"Fix")))</f>
        <v>0</v>
      </c>
      <c r="G619" s="5">
        <f>IF(OR(INDEX($W$2:$W$1001,MATCH(ROWS($V$2:V619),$V$2:$V$1001,0),1)&gt;=100000,INDEX($AC$1005:$AS$1005,1,MATCH(COLUMNS($AC$1006:AH1006),$AC$1006:$AS$1006,0))&gt;=100000), " ",IF(INDEX($AC$2:$AS$1001,MATCH(ROWS($V$2:V619),$V$2:$V$1001,0),MATCH(COLUMNS($AC$1006:AH1006),$AC$1006:$AS$1006,0)), HYPERLINK("#",""), HYPERLINK(CONCATENATE("#Metadata!", ADDRESS(INDEX($X$2:$X$1001,MATCH(ROWS($V$2:V619),$V$2:$V$1001,0),0), INDEX($AC$1004:$AS$1004,1,MATCH(COLUMNS($AC$1006:AH1006),$AC$1006:$AS$1006,0)))),"Fix")))</f>
        <v>0</v>
      </c>
      <c r="H619" s="5">
        <f>IF(OR(INDEX($W$2:$W$1001,MATCH(ROWS($V$2:V619),$V$2:$V$1001,0),1)&gt;=100000,INDEX($AC$1005:$AS$1005,1,MATCH(COLUMNS($AC$1006:AI1006),$AC$1006:$AS$1006,0))&gt;=100000), " ",IF(INDEX($AC$2:$AS$1001,MATCH(ROWS($V$2:V619),$V$2:$V$1001,0),MATCH(COLUMNS($AC$1006:AI1006),$AC$1006:$AS$1006,0)), HYPERLINK("#",""), HYPERLINK(CONCATENATE("#Metadata!", ADDRESS(INDEX($X$2:$X$1001,MATCH(ROWS($V$2:V619),$V$2:$V$1001,0),0), INDEX($AC$1004:$AS$1004,1,MATCH(COLUMNS($AC$1006:AI1006),$AC$1006:$AS$1006,0)))),"Fix")))</f>
        <v>0</v>
      </c>
      <c r="I619" s="5">
        <f>IF(OR(INDEX($W$2:$W$1001,MATCH(ROWS($V$2:V619),$V$2:$V$1001,0),1)&gt;=100000,INDEX($AC$1005:$AS$1005,1,MATCH(COLUMNS($AC$1006:AJ1006),$AC$1006:$AS$1006,0))&gt;=100000), " ",IF(INDEX($AC$2:$AS$1001,MATCH(ROWS($V$2:V619),$V$2:$V$1001,0),MATCH(COLUMNS($AC$1006:AJ1006),$AC$1006:$AS$1006,0)), HYPERLINK("#",""), HYPERLINK(CONCATENATE("#Metadata!", ADDRESS(INDEX($X$2:$X$1001,MATCH(ROWS($V$2:V619),$V$2:$V$1001,0),0), INDEX($AC$1004:$AS$1004,1,MATCH(COLUMNS($AC$1006:AJ1006),$AC$1006:$AS$1006,0)))),"Fix")))</f>
        <v>0</v>
      </c>
      <c r="J619" s="5">
        <f>IF(OR(INDEX($W$2:$W$1001,MATCH(ROWS($V$2:V619),$V$2:$V$1001,0),1)&gt;=100000,INDEX($AC$1005:$AS$1005,1,MATCH(COLUMNS($AC$1006:AK1006),$AC$1006:$AS$1006,0))&gt;=100000), " ",IF(INDEX($AC$2:$AS$1001,MATCH(ROWS($V$2:V619),$V$2:$V$1001,0),MATCH(COLUMNS($AC$1006:AK1006),$AC$1006:$AS$1006,0)), HYPERLINK("#",""), HYPERLINK(CONCATENATE("#Metadata!", ADDRESS(INDEX($X$2:$X$1001,MATCH(ROWS($V$2:V619),$V$2:$V$1001,0),0), INDEX($AC$1004:$AS$1004,1,MATCH(COLUMNS($AC$1006:AK1006),$AC$1006:$AS$1006,0)))),"Fix")))</f>
        <v>0</v>
      </c>
      <c r="K619" s="5">
        <f>IF(OR(INDEX($W$2:$W$1001,MATCH(ROWS($V$2:V619),$V$2:$V$1001,0),1)&gt;=100000,INDEX($AC$1005:$AS$1005,1,MATCH(COLUMNS($AC$1006:AL1006),$AC$1006:$AS$1006,0))&gt;=100000), " ",IF(INDEX($AC$2:$AS$1001,MATCH(ROWS($V$2:V619),$V$2:$V$1001,0),MATCH(COLUMNS($AC$1006:AL1006),$AC$1006:$AS$1006,0)), HYPERLINK("#",""), HYPERLINK(CONCATENATE("#Metadata!", ADDRESS(INDEX($X$2:$X$1001,MATCH(ROWS($V$2:V619),$V$2:$V$1001,0),0), INDEX($AC$1004:$AS$1004,1,MATCH(COLUMNS($AC$1006:AL1006),$AC$1006:$AS$1006,0)))),"Fix")))</f>
        <v>0</v>
      </c>
      <c r="L619" s="5">
        <f>IF(OR(INDEX($W$2:$W$1001,MATCH(ROWS($V$2:V619),$V$2:$V$1001,0),1)&gt;=100000,INDEX($AC$1005:$AS$1005,1,MATCH(COLUMNS($AC$1006:AM1006),$AC$1006:$AS$1006,0))&gt;=100000), " ",IF(INDEX($AC$2:$AS$1001,MATCH(ROWS($V$2:V619),$V$2:$V$1001,0),MATCH(COLUMNS($AC$1006:AM1006),$AC$1006:$AS$1006,0)), HYPERLINK("#",""), HYPERLINK(CONCATENATE("#Metadata!", ADDRESS(INDEX($X$2:$X$1001,MATCH(ROWS($V$2:V619),$V$2:$V$1001,0),0), INDEX($AC$1004:$AS$1004,1,MATCH(COLUMNS($AC$1006:AM1006),$AC$1006:$AS$1006,0)))),"Fix")))</f>
        <v>0</v>
      </c>
      <c r="M619" s="5">
        <f>IF(OR(INDEX($W$2:$W$1001,MATCH(ROWS($V$2:V619),$V$2:$V$1001,0),1)&gt;=100000,INDEX($AC$1005:$AS$1005,1,MATCH(COLUMNS($AC$1006:AN1006),$AC$1006:$AS$1006,0))&gt;=100000), " ",IF(INDEX($AC$2:$AS$1001,MATCH(ROWS($V$2:V619),$V$2:$V$1001,0),MATCH(COLUMNS($AC$1006:AN1006),$AC$1006:$AS$1006,0)), HYPERLINK("#",""), HYPERLINK(CONCATENATE("#Metadata!", ADDRESS(INDEX($X$2:$X$1001,MATCH(ROWS($V$2:V619),$V$2:$V$1001,0),0), INDEX($AC$1004:$AS$1004,1,MATCH(COLUMNS($AC$1006:AN1006),$AC$1006:$AS$1006,0)))),"Fix")))</f>
        <v>0</v>
      </c>
      <c r="N619" s="5">
        <f>IF(OR(INDEX($W$2:$W$1001,MATCH(ROWS($V$2:V619),$V$2:$V$1001,0),1)&gt;=100000,INDEX($AC$1005:$AS$1005,1,MATCH(COLUMNS($AC$1006:AO1006),$AC$1006:$AS$1006,0))&gt;=100000), " ",IF(INDEX($AC$2:$AS$1001,MATCH(ROWS($V$2:V619),$V$2:$V$1001,0),MATCH(COLUMNS($AC$1006:AO1006),$AC$1006:$AS$1006,0)), HYPERLINK("#",""), HYPERLINK(CONCATENATE("#Metadata!", ADDRESS(INDEX($X$2:$X$1001,MATCH(ROWS($V$2:V619),$V$2:$V$1001,0),0), INDEX($AC$1004:$AS$1004,1,MATCH(COLUMNS($AC$1006:AO1006),$AC$1006:$AS$1006,0)))),"Fix")))</f>
        <v>0</v>
      </c>
      <c r="O619" s="5">
        <f>IF(OR(INDEX($W$2:$W$1001,MATCH(ROWS($V$2:V619),$V$2:$V$1001,0),1)&gt;=100000,INDEX($AC$1005:$AS$1005,1,MATCH(COLUMNS($AC$1006:AP1006),$AC$1006:$AS$1006,0))&gt;=100000), " ",IF(INDEX($AC$2:$AS$1001,MATCH(ROWS($V$2:V619),$V$2:$V$1001,0),MATCH(COLUMNS($AC$1006:AP1006),$AC$1006:$AS$1006,0)), HYPERLINK("#",""), HYPERLINK(CONCATENATE("#Metadata!", ADDRESS(INDEX($X$2:$X$1001,MATCH(ROWS($V$2:V619),$V$2:$V$1001,0),0), INDEX($AC$1004:$AS$1004,1,MATCH(COLUMNS($AC$1006:AP1006),$AC$1006:$AS$1006,0)))),"Fix")))</f>
        <v>0</v>
      </c>
      <c r="P619" s="5">
        <f>IF(OR(INDEX($W$2:$W$1001,MATCH(ROWS($V$2:V619),$V$2:$V$1001,0),1)&gt;=100000,INDEX($AC$1005:$AS$1005,1,MATCH(COLUMNS($AC$1006:AQ1006),$AC$1006:$AS$1006,0))&gt;=100000), " ",IF(INDEX($AC$2:$AS$1001,MATCH(ROWS($V$2:V619),$V$2:$V$1001,0),MATCH(COLUMNS($AC$1006:AQ1006),$AC$1006:$AS$1006,0)), HYPERLINK("#",""), HYPERLINK(CONCATENATE("#Metadata!", ADDRESS(INDEX($X$2:$X$1001,MATCH(ROWS($V$2:V619),$V$2:$V$1001,0),0), INDEX($AC$1004:$AS$1004,1,MATCH(COLUMNS($AC$1006:AQ1006),$AC$1006:$AS$1006,0)))),"Fix")))</f>
        <v>0</v>
      </c>
      <c r="Q619" s="5">
        <f>IF(OR(INDEX($W$2:$W$1001,MATCH(ROWS($V$2:V619),$V$2:$V$1001,0),1)&gt;=100000,INDEX($AC$1005:$AS$1005,1,MATCH(COLUMNS($AC$1006:AR1006),$AC$1006:$AS$1006,0))&gt;=100000), " ",IF(INDEX($AC$2:$AS$1001,MATCH(ROWS($V$2:V619),$V$2:$V$1001,0),MATCH(COLUMNS($AC$1006:AR1006),$AC$1006:$AS$1006,0)), HYPERLINK("#",""), HYPERLINK(CONCATENATE("#Metadata!", ADDRESS(INDEX($X$2:$X$1001,MATCH(ROWS($V$2:V619),$V$2:$V$1001,0),0), INDEX($AC$1004:$AS$1004,1,MATCH(COLUMNS($AC$1006:AR1006),$AC$1006:$AS$1006,0)))),"Fix")))</f>
        <v>0</v>
      </c>
      <c r="R619" s="5">
        <f>IF(OR(INDEX($W$2:$W$1001,MATCH(ROWS($V$2:V619),$V$2:$V$1001,0),1)&gt;=100000,INDEX($AC$1005:$AS$1005,1,MATCH(COLUMNS($AC$1006:AS1006),$AC$1006:$AS$1006,0))&gt;=100000), " ",IF(INDEX($AC$2:$AS$1001,MATCH(ROWS($V$2:V619),$V$2:$V$1001,0),MATCH(COLUMNS($AC$1006:AS1006),$AC$1006:$AS$1006,0)), HYPERLINK("#",""), HYPERLINK(CONCATENATE("#Metadata!", ADDRESS(INDEX($X$2:$X$1001,MATCH(ROWS($V$2:V619),$V$2:$V$1001,0),0), INDEX($AC$1004:$AS$1004,1,MATCH(COLUMNS($AC$1006:AS1006),$AC$1006:$AS$1006,0)))),"Fix")))</f>
        <v>0</v>
      </c>
      <c r="V619">
        <v>0</v>
      </c>
      <c r="W619">
        <v>0</v>
      </c>
      <c r="X619">
        <v>0</v>
      </c>
      <c r="Y619">
        <f>IF(Z619,TRUE,AND(AC619:AS619))</f>
        <v>0</v>
      </c>
      <c r="Z619">
        <f>COUNTBLANK(Metadata!B619:R619)=COLUMNS(Metadata!B619:R619)</f>
        <v>0</v>
      </c>
      <c r="AA619">
        <v>0</v>
      </c>
      <c r="AC619">
        <f>AND(IF(Metadata!B619="",FALSE,TRUE),COUNTIF(Metadata!B:B, Metadata!B619) = 1,NOT(ISERROR(SUMPRODUCT(SEARCH(MID(Metadata!B619,ROW(INDIRECT("1:"&amp;LEN(Metadata!B619))), 1),"0123456789abcdefghijklmnopqrstuvwxyzABCDEFGHIJKLMNOPQRSTUVWXYZ.")))))</f>
        <v>0</v>
      </c>
      <c r="AD619">
        <f>AND(IF(Metadata!C619="",FALSE,TRUE),exact(Metadata!C619,"Host-associated"))</f>
        <v>0</v>
      </c>
      <c r="AE619">
        <f>AND(IF(Metadata!D619="",FALSE,TRUE),OR(exact(Metadata!D619,"Animal"),exact(Metadata!D619,"Fungus"),exact(Metadata!D619,"Plant")))</f>
        <v>0</v>
      </c>
      <c r="AF619">
        <f>AND(IF(Metadata!E619="",FALSE,TRUE),OR(exact(Metadata!E619,"Plant secretion"),exact(Metadata!E619,"Plant rhizosphere"),exact(Metadata!E619,"Plant surface"),exact(Metadata!E619,"Plant corpus"),exact(Metadata!E619,"Fungus surface"),exact(Metadata!E619,"Fungus corpus"),exact(Metadata!E619,"Animal surface"),exact(Metadata!E619,"Animal proximal gut"),exact(Metadata!E619,"Animal corpus"),exact(Metadata!E619,"Animal distal gut"),exact(Metadata!E619,"Animal secretion")))</f>
        <v>0</v>
      </c>
      <c r="AG619">
        <f>OR(AND(IF(Metadata!F619="",FALSE,TRUE),OR(exact(Metadata!F619,"not collected"),exact(Metadata!F619,"not provided"),exact(Metadata!F619,"restricted access"))),AND(IF(Metadata!F619="",FALSE,TRUE),OR(exact(Metadata!F619,"organism-associated habitat"),exact(Metadata!F619,"plant-associated habitat"),exact(Metadata!F619,"animal-associated habitat"),exact(Metadata!F619,"insecta-associated habitat"),exact(Metadata!F619,"mammalia-associated habitat"),exact(Metadata!F619,"human-associated habitat"),exact(Metadata!F619,"livestock-associated habitat"))))</f>
        <v>0</v>
      </c>
      <c r="AH619">
        <f>AND(IF(Metadata!G619="",FALSE,TRUE),exact(Metadata!G619,"host-associated"))</f>
        <v>0</v>
      </c>
      <c r="AI619">
        <f>OR(AND(IF(Metadata!H619="",FALSE,TRUE),OR(exact(Metadata!H619,"not collected"),exact(Metadata!H619,"not provided"))),AND(IF(Metadata!H619="",FALSE,ISNUMBER(VALUE(Metadata!H619))),Metadata!H619&gt;0))</f>
        <v>0</v>
      </c>
      <c r="AJ619">
        <f>AND(IF(Metadata!I619="",FALSE,TRUE),exact(Metadata!I619,"years"))</f>
        <v>0</v>
      </c>
      <c r="AK619">
        <f>IF(Metadata!J619="",FALSE,TRUE)</f>
        <v>0</v>
      </c>
      <c r="AL619">
        <f>OR(AND(IF(Metadata!K619="",FALSE,TRUE),OR(exact(Metadata!K619,"not collected"),exact(Metadata!K619,"not provided"))),AND(IF(Metadata!K619="",FALSE,ISNUMBER(VALUE(Metadata!K619))),Metadata!K619&gt;0))</f>
        <v>0</v>
      </c>
      <c r="AM619">
        <f>AND(IF(Metadata!L619="",FALSE,TRUE),exact(Metadata!L619,"cm"))</f>
        <v>0</v>
      </c>
      <c r="AN619">
        <f>IF(Metadata!M619="",FALSE,TRUE)</f>
        <v>0</v>
      </c>
      <c r="AO619">
        <f>OR(AND(IF(Metadata!N619="",FALSE,TRUE),OR(exact(Metadata!N619,"not applicable"),exact(Metadata!N619,"not collected"),exact(Metadata!N619,"not provided"))),AND(IF(Metadata!N619="",FALSE,IF(ISERROR(INT(Metadata!N619)),FALSE,INT(Metadata!N619)=Metadata!N619)),Metadata!N619&gt;0))</f>
        <v>0</v>
      </c>
      <c r="AP619">
        <f>OR(AND(IF(Metadata!O619="",FALSE,TRUE),OR(exact(Metadata!O619,"not collected"),exact(Metadata!O619,"not provided"))),AND(IF(Metadata!O619="",FALSE,ISNUMBER(VALUE(Metadata!O619))),Metadata!O619&gt;0))</f>
        <v>0</v>
      </c>
      <c r="AQ619">
        <f>AND(IF(Metadata!P619="",FALSE,TRUE),exact(Metadata!P619,"kg"))</f>
        <v>0</v>
      </c>
      <c r="AR619">
        <f>OR(AND(IF(Metadata!Q619="",FALSE,TRUE),OR(exact(Metadata!Q619,"not applicable"),exact(Metadata!Q619,"not collected"),exact(Metadata!Q619,"not provided"),exact(Metadata!Q619,"restricted access"))),IF(Metadata!Q619="",FALSE,IF(ISERROR(INT(Metadata!Q619)),FALSE,INT(Metadata!Q619)=Metadata!Q619)))</f>
        <v>0</v>
      </c>
      <c r="AS619">
        <f>AND(IF(Metadata!R619="",FALSE,TRUE),exact(Metadata!R619,"Not applicable"))</f>
        <v>0</v>
      </c>
    </row>
    <row r="620" spans="1:45">
      <c r="A620" s="4">
        <f>IF(B620=" "," ",HYPERLINK(CONCATENATE("#metadata!",ADDRESS(INDEX($X$2:$X$1001,MATCH(ROWS($V$2:V620),$V$2:$V$1001,0),0),2)),INDEX($AA$2:$AA$1001,MATCH(ROWS($V$2:V620),$V$2:$V$1001,0),0)))</f>
        <v>0</v>
      </c>
      <c r="B620" s="5">
        <f>IF(OR(INDEX($W$2:$W$1001,MATCH(ROWS($V$2:V620),$V$2:$V$1001,0),1)&gt;=100000,INDEX($AC$1005:$AS$1005,1,MATCH(COLUMNS($AC$1006:AC1006),$AC$1006:$AS$1006,0))&gt;=100000), " ",IF(INDEX($AC$2:$AS$1001,MATCH(ROWS($V$2:V620),$V$2:$V$1001,0),MATCH(COLUMNS($AC$1006:AC1006),$AC$1006:$AS$1006,0)), HYPERLINK("#",""), HYPERLINK(CONCATENATE("#Metadata!", ADDRESS(INDEX($X$2:$X$1001,MATCH(ROWS($V$2:V620),$V$2:$V$1001,0),0), INDEX($AC$1004:$AS$1004,1,MATCH(COLUMNS($AC$1006:AC1006),$AC$1006:$AS$1006,0)))),"Fix")))</f>
        <v>0</v>
      </c>
      <c r="C620" s="5">
        <f>IF(OR(INDEX($W$2:$W$1001,MATCH(ROWS($V$2:V620),$V$2:$V$1001,0),1)&gt;=100000,INDEX($AC$1005:$AS$1005,1,MATCH(COLUMNS($AC$1006:AD1006),$AC$1006:$AS$1006,0))&gt;=100000), " ",IF(INDEX($AC$2:$AS$1001,MATCH(ROWS($V$2:V620),$V$2:$V$1001,0),MATCH(COLUMNS($AC$1006:AD1006),$AC$1006:$AS$1006,0)), HYPERLINK("#",""), HYPERLINK(CONCATENATE("#Metadata!", ADDRESS(INDEX($X$2:$X$1001,MATCH(ROWS($V$2:V620),$V$2:$V$1001,0),0), INDEX($AC$1004:$AS$1004,1,MATCH(COLUMNS($AC$1006:AD1006),$AC$1006:$AS$1006,0)))),"Fix")))</f>
        <v>0</v>
      </c>
      <c r="D620" s="5">
        <f>IF(OR(INDEX($W$2:$W$1001,MATCH(ROWS($V$2:V620),$V$2:$V$1001,0),1)&gt;=100000,INDEX($AC$1005:$AS$1005,1,MATCH(COLUMNS($AC$1006:AE1006),$AC$1006:$AS$1006,0))&gt;=100000), " ",IF(INDEX($AC$2:$AS$1001,MATCH(ROWS($V$2:V620),$V$2:$V$1001,0),MATCH(COLUMNS($AC$1006:AE1006),$AC$1006:$AS$1006,0)), HYPERLINK("#",""), HYPERLINK(CONCATENATE("#Metadata!", ADDRESS(INDEX($X$2:$X$1001,MATCH(ROWS($V$2:V620),$V$2:$V$1001,0),0), INDEX($AC$1004:$AS$1004,1,MATCH(COLUMNS($AC$1006:AE1006),$AC$1006:$AS$1006,0)))),"Fix")))</f>
        <v>0</v>
      </c>
      <c r="E620" s="5">
        <f>IF(OR(INDEX($W$2:$W$1001,MATCH(ROWS($V$2:V620),$V$2:$V$1001,0),1)&gt;=100000,INDEX($AC$1005:$AS$1005,1,MATCH(COLUMNS($AC$1006:AF1006),$AC$1006:$AS$1006,0))&gt;=100000), " ",IF(INDEX($AC$2:$AS$1001,MATCH(ROWS($V$2:V620),$V$2:$V$1001,0),MATCH(COLUMNS($AC$1006:AF1006),$AC$1006:$AS$1006,0)), HYPERLINK("#",""), HYPERLINK(CONCATENATE("#Metadata!", ADDRESS(INDEX($X$2:$X$1001,MATCH(ROWS($V$2:V620),$V$2:$V$1001,0),0), INDEX($AC$1004:$AS$1004,1,MATCH(COLUMNS($AC$1006:AF1006),$AC$1006:$AS$1006,0)))),"Fix")))</f>
        <v>0</v>
      </c>
      <c r="F620" s="5">
        <f>IF(OR(INDEX($W$2:$W$1001,MATCH(ROWS($V$2:V620),$V$2:$V$1001,0),1)&gt;=100000,INDEX($AC$1005:$AS$1005,1,MATCH(COLUMNS($AC$1006:AG1006),$AC$1006:$AS$1006,0))&gt;=100000), " ",IF(INDEX($AC$2:$AS$1001,MATCH(ROWS($V$2:V620),$V$2:$V$1001,0),MATCH(COLUMNS($AC$1006:AG1006),$AC$1006:$AS$1006,0)), HYPERLINK("#",""), HYPERLINK(CONCATENATE("#Metadata!", ADDRESS(INDEX($X$2:$X$1001,MATCH(ROWS($V$2:V620),$V$2:$V$1001,0),0), INDEX($AC$1004:$AS$1004,1,MATCH(COLUMNS($AC$1006:AG1006),$AC$1006:$AS$1006,0)))),"Fix")))</f>
        <v>0</v>
      </c>
      <c r="G620" s="5">
        <f>IF(OR(INDEX($W$2:$W$1001,MATCH(ROWS($V$2:V620),$V$2:$V$1001,0),1)&gt;=100000,INDEX($AC$1005:$AS$1005,1,MATCH(COLUMNS($AC$1006:AH1006),$AC$1006:$AS$1006,0))&gt;=100000), " ",IF(INDEX($AC$2:$AS$1001,MATCH(ROWS($V$2:V620),$V$2:$V$1001,0),MATCH(COLUMNS($AC$1006:AH1006),$AC$1006:$AS$1006,0)), HYPERLINK("#",""), HYPERLINK(CONCATENATE("#Metadata!", ADDRESS(INDEX($X$2:$X$1001,MATCH(ROWS($V$2:V620),$V$2:$V$1001,0),0), INDEX($AC$1004:$AS$1004,1,MATCH(COLUMNS($AC$1006:AH1006),$AC$1006:$AS$1006,0)))),"Fix")))</f>
        <v>0</v>
      </c>
      <c r="H620" s="5">
        <f>IF(OR(INDEX($W$2:$W$1001,MATCH(ROWS($V$2:V620),$V$2:$V$1001,0),1)&gt;=100000,INDEX($AC$1005:$AS$1005,1,MATCH(COLUMNS($AC$1006:AI1006),$AC$1006:$AS$1006,0))&gt;=100000), " ",IF(INDEX($AC$2:$AS$1001,MATCH(ROWS($V$2:V620),$V$2:$V$1001,0),MATCH(COLUMNS($AC$1006:AI1006),$AC$1006:$AS$1006,0)), HYPERLINK("#",""), HYPERLINK(CONCATENATE("#Metadata!", ADDRESS(INDEX($X$2:$X$1001,MATCH(ROWS($V$2:V620),$V$2:$V$1001,0),0), INDEX($AC$1004:$AS$1004,1,MATCH(COLUMNS($AC$1006:AI1006),$AC$1006:$AS$1006,0)))),"Fix")))</f>
        <v>0</v>
      </c>
      <c r="I620" s="5">
        <f>IF(OR(INDEX($W$2:$W$1001,MATCH(ROWS($V$2:V620),$V$2:$V$1001,0),1)&gt;=100000,INDEX($AC$1005:$AS$1005,1,MATCH(COLUMNS($AC$1006:AJ1006),$AC$1006:$AS$1006,0))&gt;=100000), " ",IF(INDEX($AC$2:$AS$1001,MATCH(ROWS($V$2:V620),$V$2:$V$1001,0),MATCH(COLUMNS($AC$1006:AJ1006),$AC$1006:$AS$1006,0)), HYPERLINK("#",""), HYPERLINK(CONCATENATE("#Metadata!", ADDRESS(INDEX($X$2:$X$1001,MATCH(ROWS($V$2:V620),$V$2:$V$1001,0),0), INDEX($AC$1004:$AS$1004,1,MATCH(COLUMNS($AC$1006:AJ1006),$AC$1006:$AS$1006,0)))),"Fix")))</f>
        <v>0</v>
      </c>
      <c r="J620" s="5">
        <f>IF(OR(INDEX($W$2:$W$1001,MATCH(ROWS($V$2:V620),$V$2:$V$1001,0),1)&gt;=100000,INDEX($AC$1005:$AS$1005,1,MATCH(COLUMNS($AC$1006:AK1006),$AC$1006:$AS$1006,0))&gt;=100000), " ",IF(INDEX($AC$2:$AS$1001,MATCH(ROWS($V$2:V620),$V$2:$V$1001,0),MATCH(COLUMNS($AC$1006:AK1006),$AC$1006:$AS$1006,0)), HYPERLINK("#",""), HYPERLINK(CONCATENATE("#Metadata!", ADDRESS(INDEX($X$2:$X$1001,MATCH(ROWS($V$2:V620),$V$2:$V$1001,0),0), INDEX($AC$1004:$AS$1004,1,MATCH(COLUMNS($AC$1006:AK1006),$AC$1006:$AS$1006,0)))),"Fix")))</f>
        <v>0</v>
      </c>
      <c r="K620" s="5">
        <f>IF(OR(INDEX($W$2:$W$1001,MATCH(ROWS($V$2:V620),$V$2:$V$1001,0),1)&gt;=100000,INDEX($AC$1005:$AS$1005,1,MATCH(COLUMNS($AC$1006:AL1006),$AC$1006:$AS$1006,0))&gt;=100000), " ",IF(INDEX($AC$2:$AS$1001,MATCH(ROWS($V$2:V620),$V$2:$V$1001,0),MATCH(COLUMNS($AC$1006:AL1006),$AC$1006:$AS$1006,0)), HYPERLINK("#",""), HYPERLINK(CONCATENATE("#Metadata!", ADDRESS(INDEX($X$2:$X$1001,MATCH(ROWS($V$2:V620),$V$2:$V$1001,0),0), INDEX($AC$1004:$AS$1004,1,MATCH(COLUMNS($AC$1006:AL1006),$AC$1006:$AS$1006,0)))),"Fix")))</f>
        <v>0</v>
      </c>
      <c r="L620" s="5">
        <f>IF(OR(INDEX($W$2:$W$1001,MATCH(ROWS($V$2:V620),$V$2:$V$1001,0),1)&gt;=100000,INDEX($AC$1005:$AS$1005,1,MATCH(COLUMNS($AC$1006:AM1006),$AC$1006:$AS$1006,0))&gt;=100000), " ",IF(INDEX($AC$2:$AS$1001,MATCH(ROWS($V$2:V620),$V$2:$V$1001,0),MATCH(COLUMNS($AC$1006:AM1006),$AC$1006:$AS$1006,0)), HYPERLINK("#",""), HYPERLINK(CONCATENATE("#Metadata!", ADDRESS(INDEX($X$2:$X$1001,MATCH(ROWS($V$2:V620),$V$2:$V$1001,0),0), INDEX($AC$1004:$AS$1004,1,MATCH(COLUMNS($AC$1006:AM1006),$AC$1006:$AS$1006,0)))),"Fix")))</f>
        <v>0</v>
      </c>
      <c r="M620" s="5">
        <f>IF(OR(INDEX($W$2:$W$1001,MATCH(ROWS($V$2:V620),$V$2:$V$1001,0),1)&gt;=100000,INDEX($AC$1005:$AS$1005,1,MATCH(COLUMNS($AC$1006:AN1006),$AC$1006:$AS$1006,0))&gt;=100000), " ",IF(INDEX($AC$2:$AS$1001,MATCH(ROWS($V$2:V620),$V$2:$V$1001,0),MATCH(COLUMNS($AC$1006:AN1006),$AC$1006:$AS$1006,0)), HYPERLINK("#",""), HYPERLINK(CONCATENATE("#Metadata!", ADDRESS(INDEX($X$2:$X$1001,MATCH(ROWS($V$2:V620),$V$2:$V$1001,0),0), INDEX($AC$1004:$AS$1004,1,MATCH(COLUMNS($AC$1006:AN1006),$AC$1006:$AS$1006,0)))),"Fix")))</f>
        <v>0</v>
      </c>
      <c r="N620" s="5">
        <f>IF(OR(INDEX($W$2:$W$1001,MATCH(ROWS($V$2:V620),$V$2:$V$1001,0),1)&gt;=100000,INDEX($AC$1005:$AS$1005,1,MATCH(COLUMNS($AC$1006:AO1006),$AC$1006:$AS$1006,0))&gt;=100000), " ",IF(INDEX($AC$2:$AS$1001,MATCH(ROWS($V$2:V620),$V$2:$V$1001,0),MATCH(COLUMNS($AC$1006:AO1006),$AC$1006:$AS$1006,0)), HYPERLINK("#",""), HYPERLINK(CONCATENATE("#Metadata!", ADDRESS(INDEX($X$2:$X$1001,MATCH(ROWS($V$2:V620),$V$2:$V$1001,0),0), INDEX($AC$1004:$AS$1004,1,MATCH(COLUMNS($AC$1006:AO1006),$AC$1006:$AS$1006,0)))),"Fix")))</f>
        <v>0</v>
      </c>
      <c r="O620" s="5">
        <f>IF(OR(INDEX($W$2:$W$1001,MATCH(ROWS($V$2:V620),$V$2:$V$1001,0),1)&gt;=100000,INDEX($AC$1005:$AS$1005,1,MATCH(COLUMNS($AC$1006:AP1006),$AC$1006:$AS$1006,0))&gt;=100000), " ",IF(INDEX($AC$2:$AS$1001,MATCH(ROWS($V$2:V620),$V$2:$V$1001,0),MATCH(COLUMNS($AC$1006:AP1006),$AC$1006:$AS$1006,0)), HYPERLINK("#",""), HYPERLINK(CONCATENATE("#Metadata!", ADDRESS(INDEX($X$2:$X$1001,MATCH(ROWS($V$2:V620),$V$2:$V$1001,0),0), INDEX($AC$1004:$AS$1004,1,MATCH(COLUMNS($AC$1006:AP1006),$AC$1006:$AS$1006,0)))),"Fix")))</f>
        <v>0</v>
      </c>
      <c r="P620" s="5">
        <f>IF(OR(INDEX($W$2:$W$1001,MATCH(ROWS($V$2:V620),$V$2:$V$1001,0),1)&gt;=100000,INDEX($AC$1005:$AS$1005,1,MATCH(COLUMNS($AC$1006:AQ1006),$AC$1006:$AS$1006,0))&gt;=100000), " ",IF(INDEX($AC$2:$AS$1001,MATCH(ROWS($V$2:V620),$V$2:$V$1001,0),MATCH(COLUMNS($AC$1006:AQ1006),$AC$1006:$AS$1006,0)), HYPERLINK("#",""), HYPERLINK(CONCATENATE("#Metadata!", ADDRESS(INDEX($X$2:$X$1001,MATCH(ROWS($V$2:V620),$V$2:$V$1001,0),0), INDEX($AC$1004:$AS$1004,1,MATCH(COLUMNS($AC$1006:AQ1006),$AC$1006:$AS$1006,0)))),"Fix")))</f>
        <v>0</v>
      </c>
      <c r="Q620" s="5">
        <f>IF(OR(INDEX($W$2:$W$1001,MATCH(ROWS($V$2:V620),$V$2:$V$1001,0),1)&gt;=100000,INDEX($AC$1005:$AS$1005,1,MATCH(COLUMNS($AC$1006:AR1006),$AC$1006:$AS$1006,0))&gt;=100000), " ",IF(INDEX($AC$2:$AS$1001,MATCH(ROWS($V$2:V620),$V$2:$V$1001,0),MATCH(COLUMNS($AC$1006:AR1006),$AC$1006:$AS$1006,0)), HYPERLINK("#",""), HYPERLINK(CONCATENATE("#Metadata!", ADDRESS(INDEX($X$2:$X$1001,MATCH(ROWS($V$2:V620),$V$2:$V$1001,0),0), INDEX($AC$1004:$AS$1004,1,MATCH(COLUMNS($AC$1006:AR1006),$AC$1006:$AS$1006,0)))),"Fix")))</f>
        <v>0</v>
      </c>
      <c r="R620" s="5">
        <f>IF(OR(INDEX($W$2:$W$1001,MATCH(ROWS($V$2:V620),$V$2:$V$1001,0),1)&gt;=100000,INDEX($AC$1005:$AS$1005,1,MATCH(COLUMNS($AC$1006:AS1006),$AC$1006:$AS$1006,0))&gt;=100000), " ",IF(INDEX($AC$2:$AS$1001,MATCH(ROWS($V$2:V620),$V$2:$V$1001,0),MATCH(COLUMNS($AC$1006:AS1006),$AC$1006:$AS$1006,0)), HYPERLINK("#",""), HYPERLINK(CONCATENATE("#Metadata!", ADDRESS(INDEX($X$2:$X$1001,MATCH(ROWS($V$2:V620),$V$2:$V$1001,0),0), INDEX($AC$1004:$AS$1004,1,MATCH(COLUMNS($AC$1006:AS1006),$AC$1006:$AS$1006,0)))),"Fix")))</f>
        <v>0</v>
      </c>
      <c r="V620">
        <v>0</v>
      </c>
      <c r="W620">
        <v>0</v>
      </c>
      <c r="X620">
        <v>0</v>
      </c>
      <c r="Y620">
        <f>IF(Z620,TRUE,AND(AC620:AS620))</f>
        <v>0</v>
      </c>
      <c r="Z620">
        <f>COUNTBLANK(Metadata!B620:R620)=COLUMNS(Metadata!B620:R620)</f>
        <v>0</v>
      </c>
      <c r="AA620">
        <v>0</v>
      </c>
      <c r="AC620">
        <f>AND(IF(Metadata!B620="",FALSE,TRUE),COUNTIF(Metadata!B:B, Metadata!B620) = 1,NOT(ISERROR(SUMPRODUCT(SEARCH(MID(Metadata!B620,ROW(INDIRECT("1:"&amp;LEN(Metadata!B620))), 1),"0123456789abcdefghijklmnopqrstuvwxyzABCDEFGHIJKLMNOPQRSTUVWXYZ.")))))</f>
        <v>0</v>
      </c>
      <c r="AD620">
        <f>AND(IF(Metadata!C620="",FALSE,TRUE),exact(Metadata!C620,"Host-associated"))</f>
        <v>0</v>
      </c>
      <c r="AE620">
        <f>AND(IF(Metadata!D620="",FALSE,TRUE),OR(exact(Metadata!D620,"Animal"),exact(Metadata!D620,"Fungus"),exact(Metadata!D620,"Plant")))</f>
        <v>0</v>
      </c>
      <c r="AF620">
        <f>AND(IF(Metadata!E620="",FALSE,TRUE),OR(exact(Metadata!E620,"Plant secretion"),exact(Metadata!E620,"Plant rhizosphere"),exact(Metadata!E620,"Plant surface"),exact(Metadata!E620,"Plant corpus"),exact(Metadata!E620,"Fungus surface"),exact(Metadata!E620,"Fungus corpus"),exact(Metadata!E620,"Animal surface"),exact(Metadata!E620,"Animal proximal gut"),exact(Metadata!E620,"Animal corpus"),exact(Metadata!E620,"Animal distal gut"),exact(Metadata!E620,"Animal secretion")))</f>
        <v>0</v>
      </c>
      <c r="AG620">
        <f>OR(AND(IF(Metadata!F620="",FALSE,TRUE),OR(exact(Metadata!F620,"not collected"),exact(Metadata!F620,"not provided"),exact(Metadata!F620,"restricted access"))),AND(IF(Metadata!F620="",FALSE,TRUE),OR(exact(Metadata!F620,"organism-associated habitat"),exact(Metadata!F620,"plant-associated habitat"),exact(Metadata!F620,"animal-associated habitat"),exact(Metadata!F620,"insecta-associated habitat"),exact(Metadata!F620,"mammalia-associated habitat"),exact(Metadata!F620,"human-associated habitat"),exact(Metadata!F620,"livestock-associated habitat"))))</f>
        <v>0</v>
      </c>
      <c r="AH620">
        <f>AND(IF(Metadata!G620="",FALSE,TRUE),exact(Metadata!G620,"host-associated"))</f>
        <v>0</v>
      </c>
      <c r="AI620">
        <f>OR(AND(IF(Metadata!H620="",FALSE,TRUE),OR(exact(Metadata!H620,"not collected"),exact(Metadata!H620,"not provided"))),AND(IF(Metadata!H620="",FALSE,ISNUMBER(VALUE(Metadata!H620))),Metadata!H620&gt;0))</f>
        <v>0</v>
      </c>
      <c r="AJ620">
        <f>AND(IF(Metadata!I620="",FALSE,TRUE),exact(Metadata!I620,"years"))</f>
        <v>0</v>
      </c>
      <c r="AK620">
        <f>IF(Metadata!J620="",FALSE,TRUE)</f>
        <v>0</v>
      </c>
      <c r="AL620">
        <f>OR(AND(IF(Metadata!K620="",FALSE,TRUE),OR(exact(Metadata!K620,"not collected"),exact(Metadata!K620,"not provided"))),AND(IF(Metadata!K620="",FALSE,ISNUMBER(VALUE(Metadata!K620))),Metadata!K620&gt;0))</f>
        <v>0</v>
      </c>
      <c r="AM620">
        <f>AND(IF(Metadata!L620="",FALSE,TRUE),exact(Metadata!L620,"cm"))</f>
        <v>0</v>
      </c>
      <c r="AN620">
        <f>IF(Metadata!M620="",FALSE,TRUE)</f>
        <v>0</v>
      </c>
      <c r="AO620">
        <f>OR(AND(IF(Metadata!N620="",FALSE,TRUE),OR(exact(Metadata!N620,"not applicable"),exact(Metadata!N620,"not collected"),exact(Metadata!N620,"not provided"))),AND(IF(Metadata!N620="",FALSE,IF(ISERROR(INT(Metadata!N620)),FALSE,INT(Metadata!N620)=Metadata!N620)),Metadata!N620&gt;0))</f>
        <v>0</v>
      </c>
      <c r="AP620">
        <f>OR(AND(IF(Metadata!O620="",FALSE,TRUE),OR(exact(Metadata!O620,"not collected"),exact(Metadata!O620,"not provided"))),AND(IF(Metadata!O620="",FALSE,ISNUMBER(VALUE(Metadata!O620))),Metadata!O620&gt;0))</f>
        <v>0</v>
      </c>
      <c r="AQ620">
        <f>AND(IF(Metadata!P620="",FALSE,TRUE),exact(Metadata!P620,"kg"))</f>
        <v>0</v>
      </c>
      <c r="AR620">
        <f>OR(AND(IF(Metadata!Q620="",FALSE,TRUE),OR(exact(Metadata!Q620,"not applicable"),exact(Metadata!Q620,"not collected"),exact(Metadata!Q620,"not provided"),exact(Metadata!Q620,"restricted access"))),IF(Metadata!Q620="",FALSE,IF(ISERROR(INT(Metadata!Q620)),FALSE,INT(Metadata!Q620)=Metadata!Q620)))</f>
        <v>0</v>
      </c>
      <c r="AS620">
        <f>AND(IF(Metadata!R620="",FALSE,TRUE),exact(Metadata!R620,"Not applicable"))</f>
        <v>0</v>
      </c>
    </row>
    <row r="621" spans="1:45">
      <c r="A621" s="4">
        <f>IF(B621=" "," ",HYPERLINK(CONCATENATE("#metadata!",ADDRESS(INDEX($X$2:$X$1001,MATCH(ROWS($V$2:V621),$V$2:$V$1001,0),0),2)),INDEX($AA$2:$AA$1001,MATCH(ROWS($V$2:V621),$V$2:$V$1001,0),0)))</f>
        <v>0</v>
      </c>
      <c r="B621" s="5">
        <f>IF(OR(INDEX($W$2:$W$1001,MATCH(ROWS($V$2:V621),$V$2:$V$1001,0),1)&gt;=100000,INDEX($AC$1005:$AS$1005,1,MATCH(COLUMNS($AC$1006:AC1006),$AC$1006:$AS$1006,0))&gt;=100000), " ",IF(INDEX($AC$2:$AS$1001,MATCH(ROWS($V$2:V621),$V$2:$V$1001,0),MATCH(COLUMNS($AC$1006:AC1006),$AC$1006:$AS$1006,0)), HYPERLINK("#",""), HYPERLINK(CONCATENATE("#Metadata!", ADDRESS(INDEX($X$2:$X$1001,MATCH(ROWS($V$2:V621),$V$2:$V$1001,0),0), INDEX($AC$1004:$AS$1004,1,MATCH(COLUMNS($AC$1006:AC1006),$AC$1006:$AS$1006,0)))),"Fix")))</f>
        <v>0</v>
      </c>
      <c r="C621" s="5">
        <f>IF(OR(INDEX($W$2:$W$1001,MATCH(ROWS($V$2:V621),$V$2:$V$1001,0),1)&gt;=100000,INDEX($AC$1005:$AS$1005,1,MATCH(COLUMNS($AC$1006:AD1006),$AC$1006:$AS$1006,0))&gt;=100000), " ",IF(INDEX($AC$2:$AS$1001,MATCH(ROWS($V$2:V621),$V$2:$V$1001,0),MATCH(COLUMNS($AC$1006:AD1006),$AC$1006:$AS$1006,0)), HYPERLINK("#",""), HYPERLINK(CONCATENATE("#Metadata!", ADDRESS(INDEX($X$2:$X$1001,MATCH(ROWS($V$2:V621),$V$2:$V$1001,0),0), INDEX($AC$1004:$AS$1004,1,MATCH(COLUMNS($AC$1006:AD1006),$AC$1006:$AS$1006,0)))),"Fix")))</f>
        <v>0</v>
      </c>
      <c r="D621" s="5">
        <f>IF(OR(INDEX($W$2:$W$1001,MATCH(ROWS($V$2:V621),$V$2:$V$1001,0),1)&gt;=100000,INDEX($AC$1005:$AS$1005,1,MATCH(COLUMNS($AC$1006:AE1006),$AC$1006:$AS$1006,0))&gt;=100000), " ",IF(INDEX($AC$2:$AS$1001,MATCH(ROWS($V$2:V621),$V$2:$V$1001,0),MATCH(COLUMNS($AC$1006:AE1006),$AC$1006:$AS$1006,0)), HYPERLINK("#",""), HYPERLINK(CONCATENATE("#Metadata!", ADDRESS(INDEX($X$2:$X$1001,MATCH(ROWS($V$2:V621),$V$2:$V$1001,0),0), INDEX($AC$1004:$AS$1004,1,MATCH(COLUMNS($AC$1006:AE1006),$AC$1006:$AS$1006,0)))),"Fix")))</f>
        <v>0</v>
      </c>
      <c r="E621" s="5">
        <f>IF(OR(INDEX($W$2:$W$1001,MATCH(ROWS($V$2:V621),$V$2:$V$1001,0),1)&gt;=100000,INDEX($AC$1005:$AS$1005,1,MATCH(COLUMNS($AC$1006:AF1006),$AC$1006:$AS$1006,0))&gt;=100000), " ",IF(INDEX($AC$2:$AS$1001,MATCH(ROWS($V$2:V621),$V$2:$V$1001,0),MATCH(COLUMNS($AC$1006:AF1006),$AC$1006:$AS$1006,0)), HYPERLINK("#",""), HYPERLINK(CONCATENATE("#Metadata!", ADDRESS(INDEX($X$2:$X$1001,MATCH(ROWS($V$2:V621),$V$2:$V$1001,0),0), INDEX($AC$1004:$AS$1004,1,MATCH(COLUMNS($AC$1006:AF1006),$AC$1006:$AS$1006,0)))),"Fix")))</f>
        <v>0</v>
      </c>
      <c r="F621" s="5">
        <f>IF(OR(INDEX($W$2:$W$1001,MATCH(ROWS($V$2:V621),$V$2:$V$1001,0),1)&gt;=100000,INDEX($AC$1005:$AS$1005,1,MATCH(COLUMNS($AC$1006:AG1006),$AC$1006:$AS$1006,0))&gt;=100000), " ",IF(INDEX($AC$2:$AS$1001,MATCH(ROWS($V$2:V621),$V$2:$V$1001,0),MATCH(COLUMNS($AC$1006:AG1006),$AC$1006:$AS$1006,0)), HYPERLINK("#",""), HYPERLINK(CONCATENATE("#Metadata!", ADDRESS(INDEX($X$2:$X$1001,MATCH(ROWS($V$2:V621),$V$2:$V$1001,0),0), INDEX($AC$1004:$AS$1004,1,MATCH(COLUMNS($AC$1006:AG1006),$AC$1006:$AS$1006,0)))),"Fix")))</f>
        <v>0</v>
      </c>
      <c r="G621" s="5">
        <f>IF(OR(INDEX($W$2:$W$1001,MATCH(ROWS($V$2:V621),$V$2:$V$1001,0),1)&gt;=100000,INDEX($AC$1005:$AS$1005,1,MATCH(COLUMNS($AC$1006:AH1006),$AC$1006:$AS$1006,0))&gt;=100000), " ",IF(INDEX($AC$2:$AS$1001,MATCH(ROWS($V$2:V621),$V$2:$V$1001,0),MATCH(COLUMNS($AC$1006:AH1006),$AC$1006:$AS$1006,0)), HYPERLINK("#",""), HYPERLINK(CONCATENATE("#Metadata!", ADDRESS(INDEX($X$2:$X$1001,MATCH(ROWS($V$2:V621),$V$2:$V$1001,0),0), INDEX($AC$1004:$AS$1004,1,MATCH(COLUMNS($AC$1006:AH1006),$AC$1006:$AS$1006,0)))),"Fix")))</f>
        <v>0</v>
      </c>
      <c r="H621" s="5">
        <f>IF(OR(INDEX($W$2:$W$1001,MATCH(ROWS($V$2:V621),$V$2:$V$1001,0),1)&gt;=100000,INDEX($AC$1005:$AS$1005,1,MATCH(COLUMNS($AC$1006:AI1006),$AC$1006:$AS$1006,0))&gt;=100000), " ",IF(INDEX($AC$2:$AS$1001,MATCH(ROWS($V$2:V621),$V$2:$V$1001,0),MATCH(COLUMNS($AC$1006:AI1006),$AC$1006:$AS$1006,0)), HYPERLINK("#",""), HYPERLINK(CONCATENATE("#Metadata!", ADDRESS(INDEX($X$2:$X$1001,MATCH(ROWS($V$2:V621),$V$2:$V$1001,0),0), INDEX($AC$1004:$AS$1004,1,MATCH(COLUMNS($AC$1006:AI1006),$AC$1006:$AS$1006,0)))),"Fix")))</f>
        <v>0</v>
      </c>
      <c r="I621" s="5">
        <f>IF(OR(INDEX($W$2:$W$1001,MATCH(ROWS($V$2:V621),$V$2:$V$1001,0),1)&gt;=100000,INDEX($AC$1005:$AS$1005,1,MATCH(COLUMNS($AC$1006:AJ1006),$AC$1006:$AS$1006,0))&gt;=100000), " ",IF(INDEX($AC$2:$AS$1001,MATCH(ROWS($V$2:V621),$V$2:$V$1001,0),MATCH(COLUMNS($AC$1006:AJ1006),$AC$1006:$AS$1006,0)), HYPERLINK("#",""), HYPERLINK(CONCATENATE("#Metadata!", ADDRESS(INDEX($X$2:$X$1001,MATCH(ROWS($V$2:V621),$V$2:$V$1001,0),0), INDEX($AC$1004:$AS$1004,1,MATCH(COLUMNS($AC$1006:AJ1006),$AC$1006:$AS$1006,0)))),"Fix")))</f>
        <v>0</v>
      </c>
      <c r="J621" s="5">
        <f>IF(OR(INDEX($W$2:$W$1001,MATCH(ROWS($V$2:V621),$V$2:$V$1001,0),1)&gt;=100000,INDEX($AC$1005:$AS$1005,1,MATCH(COLUMNS($AC$1006:AK1006),$AC$1006:$AS$1006,0))&gt;=100000), " ",IF(INDEX($AC$2:$AS$1001,MATCH(ROWS($V$2:V621),$V$2:$V$1001,0),MATCH(COLUMNS($AC$1006:AK1006),$AC$1006:$AS$1006,0)), HYPERLINK("#",""), HYPERLINK(CONCATENATE("#Metadata!", ADDRESS(INDEX($X$2:$X$1001,MATCH(ROWS($V$2:V621),$V$2:$V$1001,0),0), INDEX($AC$1004:$AS$1004,1,MATCH(COLUMNS($AC$1006:AK1006),$AC$1006:$AS$1006,0)))),"Fix")))</f>
        <v>0</v>
      </c>
      <c r="K621" s="5">
        <f>IF(OR(INDEX($W$2:$W$1001,MATCH(ROWS($V$2:V621),$V$2:$V$1001,0),1)&gt;=100000,INDEX($AC$1005:$AS$1005,1,MATCH(COLUMNS($AC$1006:AL1006),$AC$1006:$AS$1006,0))&gt;=100000), " ",IF(INDEX($AC$2:$AS$1001,MATCH(ROWS($V$2:V621),$V$2:$V$1001,0),MATCH(COLUMNS($AC$1006:AL1006),$AC$1006:$AS$1006,0)), HYPERLINK("#",""), HYPERLINK(CONCATENATE("#Metadata!", ADDRESS(INDEX($X$2:$X$1001,MATCH(ROWS($V$2:V621),$V$2:$V$1001,0),0), INDEX($AC$1004:$AS$1004,1,MATCH(COLUMNS($AC$1006:AL1006),$AC$1006:$AS$1006,0)))),"Fix")))</f>
        <v>0</v>
      </c>
      <c r="L621" s="5">
        <f>IF(OR(INDEX($W$2:$W$1001,MATCH(ROWS($V$2:V621),$V$2:$V$1001,0),1)&gt;=100000,INDEX($AC$1005:$AS$1005,1,MATCH(COLUMNS($AC$1006:AM1006),$AC$1006:$AS$1006,0))&gt;=100000), " ",IF(INDEX($AC$2:$AS$1001,MATCH(ROWS($V$2:V621),$V$2:$V$1001,0),MATCH(COLUMNS($AC$1006:AM1006),$AC$1006:$AS$1006,0)), HYPERLINK("#",""), HYPERLINK(CONCATENATE("#Metadata!", ADDRESS(INDEX($X$2:$X$1001,MATCH(ROWS($V$2:V621),$V$2:$V$1001,0),0), INDEX($AC$1004:$AS$1004,1,MATCH(COLUMNS($AC$1006:AM1006),$AC$1006:$AS$1006,0)))),"Fix")))</f>
        <v>0</v>
      </c>
      <c r="M621" s="5">
        <f>IF(OR(INDEX($W$2:$W$1001,MATCH(ROWS($V$2:V621),$V$2:$V$1001,0),1)&gt;=100000,INDEX($AC$1005:$AS$1005,1,MATCH(COLUMNS($AC$1006:AN1006),$AC$1006:$AS$1006,0))&gt;=100000), " ",IF(INDEX($AC$2:$AS$1001,MATCH(ROWS($V$2:V621),$V$2:$V$1001,0),MATCH(COLUMNS($AC$1006:AN1006),$AC$1006:$AS$1006,0)), HYPERLINK("#",""), HYPERLINK(CONCATENATE("#Metadata!", ADDRESS(INDEX($X$2:$X$1001,MATCH(ROWS($V$2:V621),$V$2:$V$1001,0),0), INDEX($AC$1004:$AS$1004,1,MATCH(COLUMNS($AC$1006:AN1006),$AC$1006:$AS$1006,0)))),"Fix")))</f>
        <v>0</v>
      </c>
      <c r="N621" s="5">
        <f>IF(OR(INDEX($W$2:$W$1001,MATCH(ROWS($V$2:V621),$V$2:$V$1001,0),1)&gt;=100000,INDEX($AC$1005:$AS$1005,1,MATCH(COLUMNS($AC$1006:AO1006),$AC$1006:$AS$1006,0))&gt;=100000), " ",IF(INDEX($AC$2:$AS$1001,MATCH(ROWS($V$2:V621),$V$2:$V$1001,0),MATCH(COLUMNS($AC$1006:AO1006),$AC$1006:$AS$1006,0)), HYPERLINK("#",""), HYPERLINK(CONCATENATE("#Metadata!", ADDRESS(INDEX($X$2:$X$1001,MATCH(ROWS($V$2:V621),$V$2:$V$1001,0),0), INDEX($AC$1004:$AS$1004,1,MATCH(COLUMNS($AC$1006:AO1006),$AC$1006:$AS$1006,0)))),"Fix")))</f>
        <v>0</v>
      </c>
      <c r="O621" s="5">
        <f>IF(OR(INDEX($W$2:$W$1001,MATCH(ROWS($V$2:V621),$V$2:$V$1001,0),1)&gt;=100000,INDEX($AC$1005:$AS$1005,1,MATCH(COLUMNS($AC$1006:AP1006),$AC$1006:$AS$1006,0))&gt;=100000), " ",IF(INDEX($AC$2:$AS$1001,MATCH(ROWS($V$2:V621),$V$2:$V$1001,0),MATCH(COLUMNS($AC$1006:AP1006),$AC$1006:$AS$1006,0)), HYPERLINK("#",""), HYPERLINK(CONCATENATE("#Metadata!", ADDRESS(INDEX($X$2:$X$1001,MATCH(ROWS($V$2:V621),$V$2:$V$1001,0),0), INDEX($AC$1004:$AS$1004,1,MATCH(COLUMNS($AC$1006:AP1006),$AC$1006:$AS$1006,0)))),"Fix")))</f>
        <v>0</v>
      </c>
      <c r="P621" s="5">
        <f>IF(OR(INDEX($W$2:$W$1001,MATCH(ROWS($V$2:V621),$V$2:$V$1001,0),1)&gt;=100000,INDEX($AC$1005:$AS$1005,1,MATCH(COLUMNS($AC$1006:AQ1006),$AC$1006:$AS$1006,0))&gt;=100000), " ",IF(INDEX($AC$2:$AS$1001,MATCH(ROWS($V$2:V621),$V$2:$V$1001,0),MATCH(COLUMNS($AC$1006:AQ1006),$AC$1006:$AS$1006,0)), HYPERLINK("#",""), HYPERLINK(CONCATENATE("#Metadata!", ADDRESS(INDEX($X$2:$X$1001,MATCH(ROWS($V$2:V621),$V$2:$V$1001,0),0), INDEX($AC$1004:$AS$1004,1,MATCH(COLUMNS($AC$1006:AQ1006),$AC$1006:$AS$1006,0)))),"Fix")))</f>
        <v>0</v>
      </c>
      <c r="Q621" s="5">
        <f>IF(OR(INDEX($W$2:$W$1001,MATCH(ROWS($V$2:V621),$V$2:$V$1001,0),1)&gt;=100000,INDEX($AC$1005:$AS$1005,1,MATCH(COLUMNS($AC$1006:AR1006),$AC$1006:$AS$1006,0))&gt;=100000), " ",IF(INDEX($AC$2:$AS$1001,MATCH(ROWS($V$2:V621),$V$2:$V$1001,0),MATCH(COLUMNS($AC$1006:AR1006),$AC$1006:$AS$1006,0)), HYPERLINK("#",""), HYPERLINK(CONCATENATE("#Metadata!", ADDRESS(INDEX($X$2:$X$1001,MATCH(ROWS($V$2:V621),$V$2:$V$1001,0),0), INDEX($AC$1004:$AS$1004,1,MATCH(COLUMNS($AC$1006:AR1006),$AC$1006:$AS$1006,0)))),"Fix")))</f>
        <v>0</v>
      </c>
      <c r="R621" s="5">
        <f>IF(OR(INDEX($W$2:$W$1001,MATCH(ROWS($V$2:V621),$V$2:$V$1001,0),1)&gt;=100000,INDEX($AC$1005:$AS$1005,1,MATCH(COLUMNS($AC$1006:AS1006),$AC$1006:$AS$1006,0))&gt;=100000), " ",IF(INDEX($AC$2:$AS$1001,MATCH(ROWS($V$2:V621),$V$2:$V$1001,0),MATCH(COLUMNS($AC$1006:AS1006),$AC$1006:$AS$1006,0)), HYPERLINK("#",""), HYPERLINK(CONCATENATE("#Metadata!", ADDRESS(INDEX($X$2:$X$1001,MATCH(ROWS($V$2:V621),$V$2:$V$1001,0),0), INDEX($AC$1004:$AS$1004,1,MATCH(COLUMNS($AC$1006:AS1006),$AC$1006:$AS$1006,0)))),"Fix")))</f>
        <v>0</v>
      </c>
      <c r="V621">
        <v>0</v>
      </c>
      <c r="W621">
        <v>0</v>
      </c>
      <c r="X621">
        <v>0</v>
      </c>
      <c r="Y621">
        <f>IF(Z621,TRUE,AND(AC621:AS621))</f>
        <v>0</v>
      </c>
      <c r="Z621">
        <f>COUNTBLANK(Metadata!B621:R621)=COLUMNS(Metadata!B621:R621)</f>
        <v>0</v>
      </c>
      <c r="AA621">
        <v>0</v>
      </c>
      <c r="AC621">
        <f>AND(IF(Metadata!B621="",FALSE,TRUE),COUNTIF(Metadata!B:B, Metadata!B621) = 1,NOT(ISERROR(SUMPRODUCT(SEARCH(MID(Metadata!B621,ROW(INDIRECT("1:"&amp;LEN(Metadata!B621))), 1),"0123456789abcdefghijklmnopqrstuvwxyzABCDEFGHIJKLMNOPQRSTUVWXYZ.")))))</f>
        <v>0</v>
      </c>
      <c r="AD621">
        <f>AND(IF(Metadata!C621="",FALSE,TRUE),exact(Metadata!C621,"Host-associated"))</f>
        <v>0</v>
      </c>
      <c r="AE621">
        <f>AND(IF(Metadata!D621="",FALSE,TRUE),OR(exact(Metadata!D621,"Animal"),exact(Metadata!D621,"Fungus"),exact(Metadata!D621,"Plant")))</f>
        <v>0</v>
      </c>
      <c r="AF621">
        <f>AND(IF(Metadata!E621="",FALSE,TRUE),OR(exact(Metadata!E621,"Plant secretion"),exact(Metadata!E621,"Plant rhizosphere"),exact(Metadata!E621,"Plant surface"),exact(Metadata!E621,"Plant corpus"),exact(Metadata!E621,"Fungus surface"),exact(Metadata!E621,"Fungus corpus"),exact(Metadata!E621,"Animal surface"),exact(Metadata!E621,"Animal proximal gut"),exact(Metadata!E621,"Animal corpus"),exact(Metadata!E621,"Animal distal gut"),exact(Metadata!E621,"Animal secretion")))</f>
        <v>0</v>
      </c>
      <c r="AG621">
        <f>OR(AND(IF(Metadata!F621="",FALSE,TRUE),OR(exact(Metadata!F621,"not collected"),exact(Metadata!F621,"not provided"),exact(Metadata!F621,"restricted access"))),AND(IF(Metadata!F621="",FALSE,TRUE),OR(exact(Metadata!F621,"organism-associated habitat"),exact(Metadata!F621,"plant-associated habitat"),exact(Metadata!F621,"animal-associated habitat"),exact(Metadata!F621,"insecta-associated habitat"),exact(Metadata!F621,"mammalia-associated habitat"),exact(Metadata!F621,"human-associated habitat"),exact(Metadata!F621,"livestock-associated habitat"))))</f>
        <v>0</v>
      </c>
      <c r="AH621">
        <f>AND(IF(Metadata!G621="",FALSE,TRUE),exact(Metadata!G621,"host-associated"))</f>
        <v>0</v>
      </c>
      <c r="AI621">
        <f>OR(AND(IF(Metadata!H621="",FALSE,TRUE),OR(exact(Metadata!H621,"not collected"),exact(Metadata!H621,"not provided"))),AND(IF(Metadata!H621="",FALSE,ISNUMBER(VALUE(Metadata!H621))),Metadata!H621&gt;0))</f>
        <v>0</v>
      </c>
      <c r="AJ621">
        <f>AND(IF(Metadata!I621="",FALSE,TRUE),exact(Metadata!I621,"years"))</f>
        <v>0</v>
      </c>
      <c r="AK621">
        <f>IF(Metadata!J621="",FALSE,TRUE)</f>
        <v>0</v>
      </c>
      <c r="AL621">
        <f>OR(AND(IF(Metadata!K621="",FALSE,TRUE),OR(exact(Metadata!K621,"not collected"),exact(Metadata!K621,"not provided"))),AND(IF(Metadata!K621="",FALSE,ISNUMBER(VALUE(Metadata!K621))),Metadata!K621&gt;0))</f>
        <v>0</v>
      </c>
      <c r="AM621">
        <f>AND(IF(Metadata!L621="",FALSE,TRUE),exact(Metadata!L621,"cm"))</f>
        <v>0</v>
      </c>
      <c r="AN621">
        <f>IF(Metadata!M621="",FALSE,TRUE)</f>
        <v>0</v>
      </c>
      <c r="AO621">
        <f>OR(AND(IF(Metadata!N621="",FALSE,TRUE),OR(exact(Metadata!N621,"not applicable"),exact(Metadata!N621,"not collected"),exact(Metadata!N621,"not provided"))),AND(IF(Metadata!N621="",FALSE,IF(ISERROR(INT(Metadata!N621)),FALSE,INT(Metadata!N621)=Metadata!N621)),Metadata!N621&gt;0))</f>
        <v>0</v>
      </c>
      <c r="AP621">
        <f>OR(AND(IF(Metadata!O621="",FALSE,TRUE),OR(exact(Metadata!O621,"not collected"),exact(Metadata!O621,"not provided"))),AND(IF(Metadata!O621="",FALSE,ISNUMBER(VALUE(Metadata!O621))),Metadata!O621&gt;0))</f>
        <v>0</v>
      </c>
      <c r="AQ621">
        <f>AND(IF(Metadata!P621="",FALSE,TRUE),exact(Metadata!P621,"kg"))</f>
        <v>0</v>
      </c>
      <c r="AR621">
        <f>OR(AND(IF(Metadata!Q621="",FALSE,TRUE),OR(exact(Metadata!Q621,"not applicable"),exact(Metadata!Q621,"not collected"),exact(Metadata!Q621,"not provided"),exact(Metadata!Q621,"restricted access"))),IF(Metadata!Q621="",FALSE,IF(ISERROR(INT(Metadata!Q621)),FALSE,INT(Metadata!Q621)=Metadata!Q621)))</f>
        <v>0</v>
      </c>
      <c r="AS621">
        <f>AND(IF(Metadata!R621="",FALSE,TRUE),exact(Metadata!R621,"Not applicable"))</f>
        <v>0</v>
      </c>
    </row>
    <row r="622" spans="1:45">
      <c r="A622" s="4">
        <f>IF(B622=" "," ",HYPERLINK(CONCATENATE("#metadata!",ADDRESS(INDEX($X$2:$X$1001,MATCH(ROWS($V$2:V622),$V$2:$V$1001,0),0),2)),INDEX($AA$2:$AA$1001,MATCH(ROWS($V$2:V622),$V$2:$V$1001,0),0)))</f>
        <v>0</v>
      </c>
      <c r="B622" s="5">
        <f>IF(OR(INDEX($W$2:$W$1001,MATCH(ROWS($V$2:V622),$V$2:$V$1001,0),1)&gt;=100000,INDEX($AC$1005:$AS$1005,1,MATCH(COLUMNS($AC$1006:AC1006),$AC$1006:$AS$1006,0))&gt;=100000), " ",IF(INDEX($AC$2:$AS$1001,MATCH(ROWS($V$2:V622),$V$2:$V$1001,0),MATCH(COLUMNS($AC$1006:AC1006),$AC$1006:$AS$1006,0)), HYPERLINK("#",""), HYPERLINK(CONCATENATE("#Metadata!", ADDRESS(INDEX($X$2:$X$1001,MATCH(ROWS($V$2:V622),$V$2:$V$1001,0),0), INDEX($AC$1004:$AS$1004,1,MATCH(COLUMNS($AC$1006:AC1006),$AC$1006:$AS$1006,0)))),"Fix")))</f>
        <v>0</v>
      </c>
      <c r="C622" s="5">
        <f>IF(OR(INDEX($W$2:$W$1001,MATCH(ROWS($V$2:V622),$V$2:$V$1001,0),1)&gt;=100000,INDEX($AC$1005:$AS$1005,1,MATCH(COLUMNS($AC$1006:AD1006),$AC$1006:$AS$1006,0))&gt;=100000), " ",IF(INDEX($AC$2:$AS$1001,MATCH(ROWS($V$2:V622),$V$2:$V$1001,0),MATCH(COLUMNS($AC$1006:AD1006),$AC$1006:$AS$1006,0)), HYPERLINK("#",""), HYPERLINK(CONCATENATE("#Metadata!", ADDRESS(INDEX($X$2:$X$1001,MATCH(ROWS($V$2:V622),$V$2:$V$1001,0),0), INDEX($AC$1004:$AS$1004,1,MATCH(COLUMNS($AC$1006:AD1006),$AC$1006:$AS$1006,0)))),"Fix")))</f>
        <v>0</v>
      </c>
      <c r="D622" s="5">
        <f>IF(OR(INDEX($W$2:$W$1001,MATCH(ROWS($V$2:V622),$V$2:$V$1001,0),1)&gt;=100000,INDEX($AC$1005:$AS$1005,1,MATCH(COLUMNS($AC$1006:AE1006),$AC$1006:$AS$1006,0))&gt;=100000), " ",IF(INDEX($AC$2:$AS$1001,MATCH(ROWS($V$2:V622),$V$2:$V$1001,0),MATCH(COLUMNS($AC$1006:AE1006),$AC$1006:$AS$1006,0)), HYPERLINK("#",""), HYPERLINK(CONCATENATE("#Metadata!", ADDRESS(INDEX($X$2:$X$1001,MATCH(ROWS($V$2:V622),$V$2:$V$1001,0),0), INDEX($AC$1004:$AS$1004,1,MATCH(COLUMNS($AC$1006:AE1006),$AC$1006:$AS$1006,0)))),"Fix")))</f>
        <v>0</v>
      </c>
      <c r="E622" s="5">
        <f>IF(OR(INDEX($W$2:$W$1001,MATCH(ROWS($V$2:V622),$V$2:$V$1001,0),1)&gt;=100000,INDEX($AC$1005:$AS$1005,1,MATCH(COLUMNS($AC$1006:AF1006),$AC$1006:$AS$1006,0))&gt;=100000), " ",IF(INDEX($AC$2:$AS$1001,MATCH(ROWS($V$2:V622),$V$2:$V$1001,0),MATCH(COLUMNS($AC$1006:AF1006),$AC$1006:$AS$1006,0)), HYPERLINK("#",""), HYPERLINK(CONCATENATE("#Metadata!", ADDRESS(INDEX($X$2:$X$1001,MATCH(ROWS($V$2:V622),$V$2:$V$1001,0),0), INDEX($AC$1004:$AS$1004,1,MATCH(COLUMNS($AC$1006:AF1006),$AC$1006:$AS$1006,0)))),"Fix")))</f>
        <v>0</v>
      </c>
      <c r="F622" s="5">
        <f>IF(OR(INDEX($W$2:$W$1001,MATCH(ROWS($V$2:V622),$V$2:$V$1001,0),1)&gt;=100000,INDEX($AC$1005:$AS$1005,1,MATCH(COLUMNS($AC$1006:AG1006),$AC$1006:$AS$1006,0))&gt;=100000), " ",IF(INDEX($AC$2:$AS$1001,MATCH(ROWS($V$2:V622),$V$2:$V$1001,0),MATCH(COLUMNS($AC$1006:AG1006),$AC$1006:$AS$1006,0)), HYPERLINK("#",""), HYPERLINK(CONCATENATE("#Metadata!", ADDRESS(INDEX($X$2:$X$1001,MATCH(ROWS($V$2:V622),$V$2:$V$1001,0),0), INDEX($AC$1004:$AS$1004,1,MATCH(COLUMNS($AC$1006:AG1006),$AC$1006:$AS$1006,0)))),"Fix")))</f>
        <v>0</v>
      </c>
      <c r="G622" s="5">
        <f>IF(OR(INDEX($W$2:$W$1001,MATCH(ROWS($V$2:V622),$V$2:$V$1001,0),1)&gt;=100000,INDEX($AC$1005:$AS$1005,1,MATCH(COLUMNS($AC$1006:AH1006),$AC$1006:$AS$1006,0))&gt;=100000), " ",IF(INDEX($AC$2:$AS$1001,MATCH(ROWS($V$2:V622),$V$2:$V$1001,0),MATCH(COLUMNS($AC$1006:AH1006),$AC$1006:$AS$1006,0)), HYPERLINK("#",""), HYPERLINK(CONCATENATE("#Metadata!", ADDRESS(INDEX($X$2:$X$1001,MATCH(ROWS($V$2:V622),$V$2:$V$1001,0),0), INDEX($AC$1004:$AS$1004,1,MATCH(COLUMNS($AC$1006:AH1006),$AC$1006:$AS$1006,0)))),"Fix")))</f>
        <v>0</v>
      </c>
      <c r="H622" s="5">
        <f>IF(OR(INDEX($W$2:$W$1001,MATCH(ROWS($V$2:V622),$V$2:$V$1001,0),1)&gt;=100000,INDEX($AC$1005:$AS$1005,1,MATCH(COLUMNS($AC$1006:AI1006),$AC$1006:$AS$1006,0))&gt;=100000), " ",IF(INDEX($AC$2:$AS$1001,MATCH(ROWS($V$2:V622),$V$2:$V$1001,0),MATCH(COLUMNS($AC$1006:AI1006),$AC$1006:$AS$1006,0)), HYPERLINK("#",""), HYPERLINK(CONCATENATE("#Metadata!", ADDRESS(INDEX($X$2:$X$1001,MATCH(ROWS($V$2:V622),$V$2:$V$1001,0),0), INDEX($AC$1004:$AS$1004,1,MATCH(COLUMNS($AC$1006:AI1006),$AC$1006:$AS$1006,0)))),"Fix")))</f>
        <v>0</v>
      </c>
      <c r="I622" s="5">
        <f>IF(OR(INDEX($W$2:$W$1001,MATCH(ROWS($V$2:V622),$V$2:$V$1001,0),1)&gt;=100000,INDEX($AC$1005:$AS$1005,1,MATCH(COLUMNS($AC$1006:AJ1006),$AC$1006:$AS$1006,0))&gt;=100000), " ",IF(INDEX($AC$2:$AS$1001,MATCH(ROWS($V$2:V622),$V$2:$V$1001,0),MATCH(COLUMNS($AC$1006:AJ1006),$AC$1006:$AS$1006,0)), HYPERLINK("#",""), HYPERLINK(CONCATENATE("#Metadata!", ADDRESS(INDEX($X$2:$X$1001,MATCH(ROWS($V$2:V622),$V$2:$V$1001,0),0), INDEX($AC$1004:$AS$1004,1,MATCH(COLUMNS($AC$1006:AJ1006),$AC$1006:$AS$1006,0)))),"Fix")))</f>
        <v>0</v>
      </c>
      <c r="J622" s="5">
        <f>IF(OR(INDEX($W$2:$W$1001,MATCH(ROWS($V$2:V622),$V$2:$V$1001,0),1)&gt;=100000,INDEX($AC$1005:$AS$1005,1,MATCH(COLUMNS($AC$1006:AK1006),$AC$1006:$AS$1006,0))&gt;=100000), " ",IF(INDEX($AC$2:$AS$1001,MATCH(ROWS($V$2:V622),$V$2:$V$1001,0),MATCH(COLUMNS($AC$1006:AK1006),$AC$1006:$AS$1006,0)), HYPERLINK("#",""), HYPERLINK(CONCATENATE("#Metadata!", ADDRESS(INDEX($X$2:$X$1001,MATCH(ROWS($V$2:V622),$V$2:$V$1001,0),0), INDEX($AC$1004:$AS$1004,1,MATCH(COLUMNS($AC$1006:AK1006),$AC$1006:$AS$1006,0)))),"Fix")))</f>
        <v>0</v>
      </c>
      <c r="K622" s="5">
        <f>IF(OR(INDEX($W$2:$W$1001,MATCH(ROWS($V$2:V622),$V$2:$V$1001,0),1)&gt;=100000,INDEX($AC$1005:$AS$1005,1,MATCH(COLUMNS($AC$1006:AL1006),$AC$1006:$AS$1006,0))&gt;=100000), " ",IF(INDEX($AC$2:$AS$1001,MATCH(ROWS($V$2:V622),$V$2:$V$1001,0),MATCH(COLUMNS($AC$1006:AL1006),$AC$1006:$AS$1006,0)), HYPERLINK("#",""), HYPERLINK(CONCATENATE("#Metadata!", ADDRESS(INDEX($X$2:$X$1001,MATCH(ROWS($V$2:V622),$V$2:$V$1001,0),0), INDEX($AC$1004:$AS$1004,1,MATCH(COLUMNS($AC$1006:AL1006),$AC$1006:$AS$1006,0)))),"Fix")))</f>
        <v>0</v>
      </c>
      <c r="L622" s="5">
        <f>IF(OR(INDEX($W$2:$W$1001,MATCH(ROWS($V$2:V622),$V$2:$V$1001,0),1)&gt;=100000,INDEX($AC$1005:$AS$1005,1,MATCH(COLUMNS($AC$1006:AM1006),$AC$1006:$AS$1006,0))&gt;=100000), " ",IF(INDEX($AC$2:$AS$1001,MATCH(ROWS($V$2:V622),$V$2:$V$1001,0),MATCH(COLUMNS($AC$1006:AM1006),$AC$1006:$AS$1006,0)), HYPERLINK("#",""), HYPERLINK(CONCATENATE("#Metadata!", ADDRESS(INDEX($X$2:$X$1001,MATCH(ROWS($V$2:V622),$V$2:$V$1001,0),0), INDEX($AC$1004:$AS$1004,1,MATCH(COLUMNS($AC$1006:AM1006),$AC$1006:$AS$1006,0)))),"Fix")))</f>
        <v>0</v>
      </c>
      <c r="M622" s="5">
        <f>IF(OR(INDEX($W$2:$W$1001,MATCH(ROWS($V$2:V622),$V$2:$V$1001,0),1)&gt;=100000,INDEX($AC$1005:$AS$1005,1,MATCH(COLUMNS($AC$1006:AN1006),$AC$1006:$AS$1006,0))&gt;=100000), " ",IF(INDEX($AC$2:$AS$1001,MATCH(ROWS($V$2:V622),$V$2:$V$1001,0),MATCH(COLUMNS($AC$1006:AN1006),$AC$1006:$AS$1006,0)), HYPERLINK("#",""), HYPERLINK(CONCATENATE("#Metadata!", ADDRESS(INDEX($X$2:$X$1001,MATCH(ROWS($V$2:V622),$V$2:$V$1001,0),0), INDEX($AC$1004:$AS$1004,1,MATCH(COLUMNS($AC$1006:AN1006),$AC$1006:$AS$1006,0)))),"Fix")))</f>
        <v>0</v>
      </c>
      <c r="N622" s="5">
        <f>IF(OR(INDEX($W$2:$W$1001,MATCH(ROWS($V$2:V622),$V$2:$V$1001,0),1)&gt;=100000,INDEX($AC$1005:$AS$1005,1,MATCH(COLUMNS($AC$1006:AO1006),$AC$1006:$AS$1006,0))&gt;=100000), " ",IF(INDEX($AC$2:$AS$1001,MATCH(ROWS($V$2:V622),$V$2:$V$1001,0),MATCH(COLUMNS($AC$1006:AO1006),$AC$1006:$AS$1006,0)), HYPERLINK("#",""), HYPERLINK(CONCATENATE("#Metadata!", ADDRESS(INDEX($X$2:$X$1001,MATCH(ROWS($V$2:V622),$V$2:$V$1001,0),0), INDEX($AC$1004:$AS$1004,1,MATCH(COLUMNS($AC$1006:AO1006),$AC$1006:$AS$1006,0)))),"Fix")))</f>
        <v>0</v>
      </c>
      <c r="O622" s="5">
        <f>IF(OR(INDEX($W$2:$W$1001,MATCH(ROWS($V$2:V622),$V$2:$V$1001,0),1)&gt;=100000,INDEX($AC$1005:$AS$1005,1,MATCH(COLUMNS($AC$1006:AP1006),$AC$1006:$AS$1006,0))&gt;=100000), " ",IF(INDEX($AC$2:$AS$1001,MATCH(ROWS($V$2:V622),$V$2:$V$1001,0),MATCH(COLUMNS($AC$1006:AP1006),$AC$1006:$AS$1006,0)), HYPERLINK("#",""), HYPERLINK(CONCATENATE("#Metadata!", ADDRESS(INDEX($X$2:$X$1001,MATCH(ROWS($V$2:V622),$V$2:$V$1001,0),0), INDEX($AC$1004:$AS$1004,1,MATCH(COLUMNS($AC$1006:AP1006),$AC$1006:$AS$1006,0)))),"Fix")))</f>
        <v>0</v>
      </c>
      <c r="P622" s="5">
        <f>IF(OR(INDEX($W$2:$W$1001,MATCH(ROWS($V$2:V622),$V$2:$V$1001,0),1)&gt;=100000,INDEX($AC$1005:$AS$1005,1,MATCH(COLUMNS($AC$1006:AQ1006),$AC$1006:$AS$1006,0))&gt;=100000), " ",IF(INDEX($AC$2:$AS$1001,MATCH(ROWS($V$2:V622),$V$2:$V$1001,0),MATCH(COLUMNS($AC$1006:AQ1006),$AC$1006:$AS$1006,0)), HYPERLINK("#",""), HYPERLINK(CONCATENATE("#Metadata!", ADDRESS(INDEX($X$2:$X$1001,MATCH(ROWS($V$2:V622),$V$2:$V$1001,0),0), INDEX($AC$1004:$AS$1004,1,MATCH(COLUMNS($AC$1006:AQ1006),$AC$1006:$AS$1006,0)))),"Fix")))</f>
        <v>0</v>
      </c>
      <c r="Q622" s="5">
        <f>IF(OR(INDEX($W$2:$W$1001,MATCH(ROWS($V$2:V622),$V$2:$V$1001,0),1)&gt;=100000,INDEX($AC$1005:$AS$1005,1,MATCH(COLUMNS($AC$1006:AR1006),$AC$1006:$AS$1006,0))&gt;=100000), " ",IF(INDEX($AC$2:$AS$1001,MATCH(ROWS($V$2:V622),$V$2:$V$1001,0),MATCH(COLUMNS($AC$1006:AR1006),$AC$1006:$AS$1006,0)), HYPERLINK("#",""), HYPERLINK(CONCATENATE("#Metadata!", ADDRESS(INDEX($X$2:$X$1001,MATCH(ROWS($V$2:V622),$V$2:$V$1001,0),0), INDEX($AC$1004:$AS$1004,1,MATCH(COLUMNS($AC$1006:AR1006),$AC$1006:$AS$1006,0)))),"Fix")))</f>
        <v>0</v>
      </c>
      <c r="R622" s="5">
        <f>IF(OR(INDEX($W$2:$W$1001,MATCH(ROWS($V$2:V622),$V$2:$V$1001,0),1)&gt;=100000,INDEX($AC$1005:$AS$1005,1,MATCH(COLUMNS($AC$1006:AS1006),$AC$1006:$AS$1006,0))&gt;=100000), " ",IF(INDEX($AC$2:$AS$1001,MATCH(ROWS($V$2:V622),$V$2:$V$1001,0),MATCH(COLUMNS($AC$1006:AS1006),$AC$1006:$AS$1006,0)), HYPERLINK("#",""), HYPERLINK(CONCATENATE("#Metadata!", ADDRESS(INDEX($X$2:$X$1001,MATCH(ROWS($V$2:V622),$V$2:$V$1001,0),0), INDEX($AC$1004:$AS$1004,1,MATCH(COLUMNS($AC$1006:AS1006),$AC$1006:$AS$1006,0)))),"Fix")))</f>
        <v>0</v>
      </c>
      <c r="V622">
        <v>0</v>
      </c>
      <c r="W622">
        <v>0</v>
      </c>
      <c r="X622">
        <v>0</v>
      </c>
      <c r="Y622">
        <f>IF(Z622,TRUE,AND(AC622:AS622))</f>
        <v>0</v>
      </c>
      <c r="Z622">
        <f>COUNTBLANK(Metadata!B622:R622)=COLUMNS(Metadata!B622:R622)</f>
        <v>0</v>
      </c>
      <c r="AA622">
        <v>0</v>
      </c>
      <c r="AC622">
        <f>AND(IF(Metadata!B622="",FALSE,TRUE),COUNTIF(Metadata!B:B, Metadata!B622) = 1,NOT(ISERROR(SUMPRODUCT(SEARCH(MID(Metadata!B622,ROW(INDIRECT("1:"&amp;LEN(Metadata!B622))), 1),"0123456789abcdefghijklmnopqrstuvwxyzABCDEFGHIJKLMNOPQRSTUVWXYZ.")))))</f>
        <v>0</v>
      </c>
      <c r="AD622">
        <f>AND(IF(Metadata!C622="",FALSE,TRUE),exact(Metadata!C622,"Host-associated"))</f>
        <v>0</v>
      </c>
      <c r="AE622">
        <f>AND(IF(Metadata!D622="",FALSE,TRUE),OR(exact(Metadata!D622,"Animal"),exact(Metadata!D622,"Fungus"),exact(Metadata!D622,"Plant")))</f>
        <v>0</v>
      </c>
      <c r="AF622">
        <f>AND(IF(Metadata!E622="",FALSE,TRUE),OR(exact(Metadata!E622,"Plant secretion"),exact(Metadata!E622,"Plant rhizosphere"),exact(Metadata!E622,"Plant surface"),exact(Metadata!E622,"Plant corpus"),exact(Metadata!E622,"Fungus surface"),exact(Metadata!E622,"Fungus corpus"),exact(Metadata!E622,"Animal surface"),exact(Metadata!E622,"Animal proximal gut"),exact(Metadata!E622,"Animal corpus"),exact(Metadata!E622,"Animal distal gut"),exact(Metadata!E622,"Animal secretion")))</f>
        <v>0</v>
      </c>
      <c r="AG622">
        <f>OR(AND(IF(Metadata!F622="",FALSE,TRUE),OR(exact(Metadata!F622,"not collected"),exact(Metadata!F622,"not provided"),exact(Metadata!F622,"restricted access"))),AND(IF(Metadata!F622="",FALSE,TRUE),OR(exact(Metadata!F622,"organism-associated habitat"),exact(Metadata!F622,"plant-associated habitat"),exact(Metadata!F622,"animal-associated habitat"),exact(Metadata!F622,"insecta-associated habitat"),exact(Metadata!F622,"mammalia-associated habitat"),exact(Metadata!F622,"human-associated habitat"),exact(Metadata!F622,"livestock-associated habitat"))))</f>
        <v>0</v>
      </c>
      <c r="AH622">
        <f>AND(IF(Metadata!G622="",FALSE,TRUE),exact(Metadata!G622,"host-associated"))</f>
        <v>0</v>
      </c>
      <c r="AI622">
        <f>OR(AND(IF(Metadata!H622="",FALSE,TRUE),OR(exact(Metadata!H622,"not collected"),exact(Metadata!H622,"not provided"))),AND(IF(Metadata!H622="",FALSE,ISNUMBER(VALUE(Metadata!H622))),Metadata!H622&gt;0))</f>
        <v>0</v>
      </c>
      <c r="AJ622">
        <f>AND(IF(Metadata!I622="",FALSE,TRUE),exact(Metadata!I622,"years"))</f>
        <v>0</v>
      </c>
      <c r="AK622">
        <f>IF(Metadata!J622="",FALSE,TRUE)</f>
        <v>0</v>
      </c>
      <c r="AL622">
        <f>OR(AND(IF(Metadata!K622="",FALSE,TRUE),OR(exact(Metadata!K622,"not collected"),exact(Metadata!K622,"not provided"))),AND(IF(Metadata!K622="",FALSE,ISNUMBER(VALUE(Metadata!K622))),Metadata!K622&gt;0))</f>
        <v>0</v>
      </c>
      <c r="AM622">
        <f>AND(IF(Metadata!L622="",FALSE,TRUE),exact(Metadata!L622,"cm"))</f>
        <v>0</v>
      </c>
      <c r="AN622">
        <f>IF(Metadata!M622="",FALSE,TRUE)</f>
        <v>0</v>
      </c>
      <c r="AO622">
        <f>OR(AND(IF(Metadata!N622="",FALSE,TRUE),OR(exact(Metadata!N622,"not applicable"),exact(Metadata!N622,"not collected"),exact(Metadata!N622,"not provided"))),AND(IF(Metadata!N622="",FALSE,IF(ISERROR(INT(Metadata!N622)),FALSE,INT(Metadata!N622)=Metadata!N622)),Metadata!N622&gt;0))</f>
        <v>0</v>
      </c>
      <c r="AP622">
        <f>OR(AND(IF(Metadata!O622="",FALSE,TRUE),OR(exact(Metadata!O622,"not collected"),exact(Metadata!O622,"not provided"))),AND(IF(Metadata!O622="",FALSE,ISNUMBER(VALUE(Metadata!O622))),Metadata!O622&gt;0))</f>
        <v>0</v>
      </c>
      <c r="AQ622">
        <f>AND(IF(Metadata!P622="",FALSE,TRUE),exact(Metadata!P622,"kg"))</f>
        <v>0</v>
      </c>
      <c r="AR622">
        <f>OR(AND(IF(Metadata!Q622="",FALSE,TRUE),OR(exact(Metadata!Q622,"not applicable"),exact(Metadata!Q622,"not collected"),exact(Metadata!Q622,"not provided"),exact(Metadata!Q622,"restricted access"))),IF(Metadata!Q622="",FALSE,IF(ISERROR(INT(Metadata!Q622)),FALSE,INT(Metadata!Q622)=Metadata!Q622)))</f>
        <v>0</v>
      </c>
      <c r="AS622">
        <f>AND(IF(Metadata!R622="",FALSE,TRUE),exact(Metadata!R622,"Not applicable"))</f>
        <v>0</v>
      </c>
    </row>
    <row r="623" spans="1:45">
      <c r="A623" s="4">
        <f>IF(B623=" "," ",HYPERLINK(CONCATENATE("#metadata!",ADDRESS(INDEX($X$2:$X$1001,MATCH(ROWS($V$2:V623),$V$2:$V$1001,0),0),2)),INDEX($AA$2:$AA$1001,MATCH(ROWS($V$2:V623),$V$2:$V$1001,0),0)))</f>
        <v>0</v>
      </c>
      <c r="B623" s="5">
        <f>IF(OR(INDEX($W$2:$W$1001,MATCH(ROWS($V$2:V623),$V$2:$V$1001,0),1)&gt;=100000,INDEX($AC$1005:$AS$1005,1,MATCH(COLUMNS($AC$1006:AC1006),$AC$1006:$AS$1006,0))&gt;=100000), " ",IF(INDEX($AC$2:$AS$1001,MATCH(ROWS($V$2:V623),$V$2:$V$1001,0),MATCH(COLUMNS($AC$1006:AC1006),$AC$1006:$AS$1006,0)), HYPERLINK("#",""), HYPERLINK(CONCATENATE("#Metadata!", ADDRESS(INDEX($X$2:$X$1001,MATCH(ROWS($V$2:V623),$V$2:$V$1001,0),0), INDEX($AC$1004:$AS$1004,1,MATCH(COLUMNS($AC$1006:AC1006),$AC$1006:$AS$1006,0)))),"Fix")))</f>
        <v>0</v>
      </c>
      <c r="C623" s="5">
        <f>IF(OR(INDEX($W$2:$W$1001,MATCH(ROWS($V$2:V623),$V$2:$V$1001,0),1)&gt;=100000,INDEX($AC$1005:$AS$1005,1,MATCH(COLUMNS($AC$1006:AD1006),$AC$1006:$AS$1006,0))&gt;=100000), " ",IF(INDEX($AC$2:$AS$1001,MATCH(ROWS($V$2:V623),$V$2:$V$1001,0),MATCH(COLUMNS($AC$1006:AD1006),$AC$1006:$AS$1006,0)), HYPERLINK("#",""), HYPERLINK(CONCATENATE("#Metadata!", ADDRESS(INDEX($X$2:$X$1001,MATCH(ROWS($V$2:V623),$V$2:$V$1001,0),0), INDEX($AC$1004:$AS$1004,1,MATCH(COLUMNS($AC$1006:AD1006),$AC$1006:$AS$1006,0)))),"Fix")))</f>
        <v>0</v>
      </c>
      <c r="D623" s="5">
        <f>IF(OR(INDEX($W$2:$W$1001,MATCH(ROWS($V$2:V623),$V$2:$V$1001,0),1)&gt;=100000,INDEX($AC$1005:$AS$1005,1,MATCH(COLUMNS($AC$1006:AE1006),$AC$1006:$AS$1006,0))&gt;=100000), " ",IF(INDEX($AC$2:$AS$1001,MATCH(ROWS($V$2:V623),$V$2:$V$1001,0),MATCH(COLUMNS($AC$1006:AE1006),$AC$1006:$AS$1006,0)), HYPERLINK("#",""), HYPERLINK(CONCATENATE("#Metadata!", ADDRESS(INDEX($X$2:$X$1001,MATCH(ROWS($V$2:V623),$V$2:$V$1001,0),0), INDEX($AC$1004:$AS$1004,1,MATCH(COLUMNS($AC$1006:AE1006),$AC$1006:$AS$1006,0)))),"Fix")))</f>
        <v>0</v>
      </c>
      <c r="E623" s="5">
        <f>IF(OR(INDEX($W$2:$W$1001,MATCH(ROWS($V$2:V623),$V$2:$V$1001,0),1)&gt;=100000,INDEX($AC$1005:$AS$1005,1,MATCH(COLUMNS($AC$1006:AF1006),$AC$1006:$AS$1006,0))&gt;=100000), " ",IF(INDEX($AC$2:$AS$1001,MATCH(ROWS($V$2:V623),$V$2:$V$1001,0),MATCH(COLUMNS($AC$1006:AF1006),$AC$1006:$AS$1006,0)), HYPERLINK("#",""), HYPERLINK(CONCATENATE("#Metadata!", ADDRESS(INDEX($X$2:$X$1001,MATCH(ROWS($V$2:V623),$V$2:$V$1001,0),0), INDEX($AC$1004:$AS$1004,1,MATCH(COLUMNS($AC$1006:AF1006),$AC$1006:$AS$1006,0)))),"Fix")))</f>
        <v>0</v>
      </c>
      <c r="F623" s="5">
        <f>IF(OR(INDEX($W$2:$W$1001,MATCH(ROWS($V$2:V623),$V$2:$V$1001,0),1)&gt;=100000,INDEX($AC$1005:$AS$1005,1,MATCH(COLUMNS($AC$1006:AG1006),$AC$1006:$AS$1006,0))&gt;=100000), " ",IF(INDEX($AC$2:$AS$1001,MATCH(ROWS($V$2:V623),$V$2:$V$1001,0),MATCH(COLUMNS($AC$1006:AG1006),$AC$1006:$AS$1006,0)), HYPERLINK("#",""), HYPERLINK(CONCATENATE("#Metadata!", ADDRESS(INDEX($X$2:$X$1001,MATCH(ROWS($V$2:V623),$V$2:$V$1001,0),0), INDEX($AC$1004:$AS$1004,1,MATCH(COLUMNS($AC$1006:AG1006),$AC$1006:$AS$1006,0)))),"Fix")))</f>
        <v>0</v>
      </c>
      <c r="G623" s="5">
        <f>IF(OR(INDEX($W$2:$W$1001,MATCH(ROWS($V$2:V623),$V$2:$V$1001,0),1)&gt;=100000,INDEX($AC$1005:$AS$1005,1,MATCH(COLUMNS($AC$1006:AH1006),$AC$1006:$AS$1006,0))&gt;=100000), " ",IF(INDEX($AC$2:$AS$1001,MATCH(ROWS($V$2:V623),$V$2:$V$1001,0),MATCH(COLUMNS($AC$1006:AH1006),$AC$1006:$AS$1006,0)), HYPERLINK("#",""), HYPERLINK(CONCATENATE("#Metadata!", ADDRESS(INDEX($X$2:$X$1001,MATCH(ROWS($V$2:V623),$V$2:$V$1001,0),0), INDEX($AC$1004:$AS$1004,1,MATCH(COLUMNS($AC$1006:AH1006),$AC$1006:$AS$1006,0)))),"Fix")))</f>
        <v>0</v>
      </c>
      <c r="H623" s="5">
        <f>IF(OR(INDEX($W$2:$W$1001,MATCH(ROWS($V$2:V623),$V$2:$V$1001,0),1)&gt;=100000,INDEX($AC$1005:$AS$1005,1,MATCH(COLUMNS($AC$1006:AI1006),$AC$1006:$AS$1006,0))&gt;=100000), " ",IF(INDEX($AC$2:$AS$1001,MATCH(ROWS($V$2:V623),$V$2:$V$1001,0),MATCH(COLUMNS($AC$1006:AI1006),$AC$1006:$AS$1006,0)), HYPERLINK("#",""), HYPERLINK(CONCATENATE("#Metadata!", ADDRESS(INDEX($X$2:$X$1001,MATCH(ROWS($V$2:V623),$V$2:$V$1001,0),0), INDEX($AC$1004:$AS$1004,1,MATCH(COLUMNS($AC$1006:AI1006),$AC$1006:$AS$1006,0)))),"Fix")))</f>
        <v>0</v>
      </c>
      <c r="I623" s="5">
        <f>IF(OR(INDEX($W$2:$W$1001,MATCH(ROWS($V$2:V623),$V$2:$V$1001,0),1)&gt;=100000,INDEX($AC$1005:$AS$1005,1,MATCH(COLUMNS($AC$1006:AJ1006),$AC$1006:$AS$1006,0))&gt;=100000), " ",IF(INDEX($AC$2:$AS$1001,MATCH(ROWS($V$2:V623),$V$2:$V$1001,0),MATCH(COLUMNS($AC$1006:AJ1006),$AC$1006:$AS$1006,0)), HYPERLINK("#",""), HYPERLINK(CONCATENATE("#Metadata!", ADDRESS(INDEX($X$2:$X$1001,MATCH(ROWS($V$2:V623),$V$2:$V$1001,0),0), INDEX($AC$1004:$AS$1004,1,MATCH(COLUMNS($AC$1006:AJ1006),$AC$1006:$AS$1006,0)))),"Fix")))</f>
        <v>0</v>
      </c>
      <c r="J623" s="5">
        <f>IF(OR(INDEX($W$2:$W$1001,MATCH(ROWS($V$2:V623),$V$2:$V$1001,0),1)&gt;=100000,INDEX($AC$1005:$AS$1005,1,MATCH(COLUMNS($AC$1006:AK1006),$AC$1006:$AS$1006,0))&gt;=100000), " ",IF(INDEX($AC$2:$AS$1001,MATCH(ROWS($V$2:V623),$V$2:$V$1001,0),MATCH(COLUMNS($AC$1006:AK1006),$AC$1006:$AS$1006,0)), HYPERLINK("#",""), HYPERLINK(CONCATENATE("#Metadata!", ADDRESS(INDEX($X$2:$X$1001,MATCH(ROWS($V$2:V623),$V$2:$V$1001,0),0), INDEX($AC$1004:$AS$1004,1,MATCH(COLUMNS($AC$1006:AK1006),$AC$1006:$AS$1006,0)))),"Fix")))</f>
        <v>0</v>
      </c>
      <c r="K623" s="5">
        <f>IF(OR(INDEX($W$2:$W$1001,MATCH(ROWS($V$2:V623),$V$2:$V$1001,0),1)&gt;=100000,INDEX($AC$1005:$AS$1005,1,MATCH(COLUMNS($AC$1006:AL1006),$AC$1006:$AS$1006,0))&gt;=100000), " ",IF(INDEX($AC$2:$AS$1001,MATCH(ROWS($V$2:V623),$V$2:$V$1001,0),MATCH(COLUMNS($AC$1006:AL1006),$AC$1006:$AS$1006,0)), HYPERLINK("#",""), HYPERLINK(CONCATENATE("#Metadata!", ADDRESS(INDEX($X$2:$X$1001,MATCH(ROWS($V$2:V623),$V$2:$V$1001,0),0), INDEX($AC$1004:$AS$1004,1,MATCH(COLUMNS($AC$1006:AL1006),$AC$1006:$AS$1006,0)))),"Fix")))</f>
        <v>0</v>
      </c>
      <c r="L623" s="5">
        <f>IF(OR(INDEX($W$2:$W$1001,MATCH(ROWS($V$2:V623),$V$2:$V$1001,0),1)&gt;=100000,INDEX($AC$1005:$AS$1005,1,MATCH(COLUMNS($AC$1006:AM1006),$AC$1006:$AS$1006,0))&gt;=100000), " ",IF(INDEX($AC$2:$AS$1001,MATCH(ROWS($V$2:V623),$V$2:$V$1001,0),MATCH(COLUMNS($AC$1006:AM1006),$AC$1006:$AS$1006,0)), HYPERLINK("#",""), HYPERLINK(CONCATENATE("#Metadata!", ADDRESS(INDEX($X$2:$X$1001,MATCH(ROWS($V$2:V623),$V$2:$V$1001,0),0), INDEX($AC$1004:$AS$1004,1,MATCH(COLUMNS($AC$1006:AM1006),$AC$1006:$AS$1006,0)))),"Fix")))</f>
        <v>0</v>
      </c>
      <c r="M623" s="5">
        <f>IF(OR(INDEX($W$2:$W$1001,MATCH(ROWS($V$2:V623),$V$2:$V$1001,0),1)&gt;=100000,INDEX($AC$1005:$AS$1005,1,MATCH(COLUMNS($AC$1006:AN1006),$AC$1006:$AS$1006,0))&gt;=100000), " ",IF(INDEX($AC$2:$AS$1001,MATCH(ROWS($V$2:V623),$V$2:$V$1001,0),MATCH(COLUMNS($AC$1006:AN1006),$AC$1006:$AS$1006,0)), HYPERLINK("#",""), HYPERLINK(CONCATENATE("#Metadata!", ADDRESS(INDEX($X$2:$X$1001,MATCH(ROWS($V$2:V623),$V$2:$V$1001,0),0), INDEX($AC$1004:$AS$1004,1,MATCH(COLUMNS($AC$1006:AN1006),$AC$1006:$AS$1006,0)))),"Fix")))</f>
        <v>0</v>
      </c>
      <c r="N623" s="5">
        <f>IF(OR(INDEX($W$2:$W$1001,MATCH(ROWS($V$2:V623),$V$2:$V$1001,0),1)&gt;=100000,INDEX($AC$1005:$AS$1005,1,MATCH(COLUMNS($AC$1006:AO1006),$AC$1006:$AS$1006,0))&gt;=100000), " ",IF(INDEX($AC$2:$AS$1001,MATCH(ROWS($V$2:V623),$V$2:$V$1001,0),MATCH(COLUMNS($AC$1006:AO1006),$AC$1006:$AS$1006,0)), HYPERLINK("#",""), HYPERLINK(CONCATENATE("#Metadata!", ADDRESS(INDEX($X$2:$X$1001,MATCH(ROWS($V$2:V623),$V$2:$V$1001,0),0), INDEX($AC$1004:$AS$1004,1,MATCH(COLUMNS($AC$1006:AO1006),$AC$1006:$AS$1006,0)))),"Fix")))</f>
        <v>0</v>
      </c>
      <c r="O623" s="5">
        <f>IF(OR(INDEX($W$2:$W$1001,MATCH(ROWS($V$2:V623),$V$2:$V$1001,0),1)&gt;=100000,INDEX($AC$1005:$AS$1005,1,MATCH(COLUMNS($AC$1006:AP1006),$AC$1006:$AS$1006,0))&gt;=100000), " ",IF(INDEX($AC$2:$AS$1001,MATCH(ROWS($V$2:V623),$V$2:$V$1001,0),MATCH(COLUMNS($AC$1006:AP1006),$AC$1006:$AS$1006,0)), HYPERLINK("#",""), HYPERLINK(CONCATENATE("#Metadata!", ADDRESS(INDEX($X$2:$X$1001,MATCH(ROWS($V$2:V623),$V$2:$V$1001,0),0), INDEX($AC$1004:$AS$1004,1,MATCH(COLUMNS($AC$1006:AP1006),$AC$1006:$AS$1006,0)))),"Fix")))</f>
        <v>0</v>
      </c>
      <c r="P623" s="5">
        <f>IF(OR(INDEX($W$2:$W$1001,MATCH(ROWS($V$2:V623),$V$2:$V$1001,0),1)&gt;=100000,INDEX($AC$1005:$AS$1005,1,MATCH(COLUMNS($AC$1006:AQ1006),$AC$1006:$AS$1006,0))&gt;=100000), " ",IF(INDEX($AC$2:$AS$1001,MATCH(ROWS($V$2:V623),$V$2:$V$1001,0),MATCH(COLUMNS($AC$1006:AQ1006),$AC$1006:$AS$1006,0)), HYPERLINK("#",""), HYPERLINK(CONCATENATE("#Metadata!", ADDRESS(INDEX($X$2:$X$1001,MATCH(ROWS($V$2:V623),$V$2:$V$1001,0),0), INDEX($AC$1004:$AS$1004,1,MATCH(COLUMNS($AC$1006:AQ1006),$AC$1006:$AS$1006,0)))),"Fix")))</f>
        <v>0</v>
      </c>
      <c r="Q623" s="5">
        <f>IF(OR(INDEX($W$2:$W$1001,MATCH(ROWS($V$2:V623),$V$2:$V$1001,0),1)&gt;=100000,INDEX($AC$1005:$AS$1005,1,MATCH(COLUMNS($AC$1006:AR1006),$AC$1006:$AS$1006,0))&gt;=100000), " ",IF(INDEX($AC$2:$AS$1001,MATCH(ROWS($V$2:V623),$V$2:$V$1001,0),MATCH(COLUMNS($AC$1006:AR1006),$AC$1006:$AS$1006,0)), HYPERLINK("#",""), HYPERLINK(CONCATENATE("#Metadata!", ADDRESS(INDEX($X$2:$X$1001,MATCH(ROWS($V$2:V623),$V$2:$V$1001,0),0), INDEX($AC$1004:$AS$1004,1,MATCH(COLUMNS($AC$1006:AR1006),$AC$1006:$AS$1006,0)))),"Fix")))</f>
        <v>0</v>
      </c>
      <c r="R623" s="5">
        <f>IF(OR(INDEX($W$2:$W$1001,MATCH(ROWS($V$2:V623),$V$2:$V$1001,0),1)&gt;=100000,INDEX($AC$1005:$AS$1005,1,MATCH(COLUMNS($AC$1006:AS1006),$AC$1006:$AS$1006,0))&gt;=100000), " ",IF(INDEX($AC$2:$AS$1001,MATCH(ROWS($V$2:V623),$V$2:$V$1001,0),MATCH(COLUMNS($AC$1006:AS1006),$AC$1006:$AS$1006,0)), HYPERLINK("#",""), HYPERLINK(CONCATENATE("#Metadata!", ADDRESS(INDEX($X$2:$X$1001,MATCH(ROWS($V$2:V623),$V$2:$V$1001,0),0), INDEX($AC$1004:$AS$1004,1,MATCH(COLUMNS($AC$1006:AS1006),$AC$1006:$AS$1006,0)))),"Fix")))</f>
        <v>0</v>
      </c>
      <c r="V623">
        <v>0</v>
      </c>
      <c r="W623">
        <v>0</v>
      </c>
      <c r="X623">
        <v>0</v>
      </c>
      <c r="Y623">
        <f>IF(Z623,TRUE,AND(AC623:AS623))</f>
        <v>0</v>
      </c>
      <c r="Z623">
        <f>COUNTBLANK(Metadata!B623:R623)=COLUMNS(Metadata!B623:R623)</f>
        <v>0</v>
      </c>
      <c r="AA623">
        <v>0</v>
      </c>
      <c r="AC623">
        <f>AND(IF(Metadata!B623="",FALSE,TRUE),COUNTIF(Metadata!B:B, Metadata!B623) = 1,NOT(ISERROR(SUMPRODUCT(SEARCH(MID(Metadata!B623,ROW(INDIRECT("1:"&amp;LEN(Metadata!B623))), 1),"0123456789abcdefghijklmnopqrstuvwxyzABCDEFGHIJKLMNOPQRSTUVWXYZ.")))))</f>
        <v>0</v>
      </c>
      <c r="AD623">
        <f>AND(IF(Metadata!C623="",FALSE,TRUE),exact(Metadata!C623,"Host-associated"))</f>
        <v>0</v>
      </c>
      <c r="AE623">
        <f>AND(IF(Metadata!D623="",FALSE,TRUE),OR(exact(Metadata!D623,"Animal"),exact(Metadata!D623,"Fungus"),exact(Metadata!D623,"Plant")))</f>
        <v>0</v>
      </c>
      <c r="AF623">
        <f>AND(IF(Metadata!E623="",FALSE,TRUE),OR(exact(Metadata!E623,"Plant secretion"),exact(Metadata!E623,"Plant rhizosphere"),exact(Metadata!E623,"Plant surface"),exact(Metadata!E623,"Plant corpus"),exact(Metadata!E623,"Fungus surface"),exact(Metadata!E623,"Fungus corpus"),exact(Metadata!E623,"Animal surface"),exact(Metadata!E623,"Animal proximal gut"),exact(Metadata!E623,"Animal corpus"),exact(Metadata!E623,"Animal distal gut"),exact(Metadata!E623,"Animal secretion")))</f>
        <v>0</v>
      </c>
      <c r="AG623">
        <f>OR(AND(IF(Metadata!F623="",FALSE,TRUE),OR(exact(Metadata!F623,"not collected"),exact(Metadata!F623,"not provided"),exact(Metadata!F623,"restricted access"))),AND(IF(Metadata!F623="",FALSE,TRUE),OR(exact(Metadata!F623,"organism-associated habitat"),exact(Metadata!F623,"plant-associated habitat"),exact(Metadata!F623,"animal-associated habitat"),exact(Metadata!F623,"insecta-associated habitat"),exact(Metadata!F623,"mammalia-associated habitat"),exact(Metadata!F623,"human-associated habitat"),exact(Metadata!F623,"livestock-associated habitat"))))</f>
        <v>0</v>
      </c>
      <c r="AH623">
        <f>AND(IF(Metadata!G623="",FALSE,TRUE),exact(Metadata!G623,"host-associated"))</f>
        <v>0</v>
      </c>
      <c r="AI623">
        <f>OR(AND(IF(Metadata!H623="",FALSE,TRUE),OR(exact(Metadata!H623,"not collected"),exact(Metadata!H623,"not provided"))),AND(IF(Metadata!H623="",FALSE,ISNUMBER(VALUE(Metadata!H623))),Metadata!H623&gt;0))</f>
        <v>0</v>
      </c>
      <c r="AJ623">
        <f>AND(IF(Metadata!I623="",FALSE,TRUE),exact(Metadata!I623,"years"))</f>
        <v>0</v>
      </c>
      <c r="AK623">
        <f>IF(Metadata!J623="",FALSE,TRUE)</f>
        <v>0</v>
      </c>
      <c r="AL623">
        <f>OR(AND(IF(Metadata!K623="",FALSE,TRUE),OR(exact(Metadata!K623,"not collected"),exact(Metadata!K623,"not provided"))),AND(IF(Metadata!K623="",FALSE,ISNUMBER(VALUE(Metadata!K623))),Metadata!K623&gt;0))</f>
        <v>0</v>
      </c>
      <c r="AM623">
        <f>AND(IF(Metadata!L623="",FALSE,TRUE),exact(Metadata!L623,"cm"))</f>
        <v>0</v>
      </c>
      <c r="AN623">
        <f>IF(Metadata!M623="",FALSE,TRUE)</f>
        <v>0</v>
      </c>
      <c r="AO623">
        <f>OR(AND(IF(Metadata!N623="",FALSE,TRUE),OR(exact(Metadata!N623,"not applicable"),exact(Metadata!N623,"not collected"),exact(Metadata!N623,"not provided"))),AND(IF(Metadata!N623="",FALSE,IF(ISERROR(INT(Metadata!N623)),FALSE,INT(Metadata!N623)=Metadata!N623)),Metadata!N623&gt;0))</f>
        <v>0</v>
      </c>
      <c r="AP623">
        <f>OR(AND(IF(Metadata!O623="",FALSE,TRUE),OR(exact(Metadata!O623,"not collected"),exact(Metadata!O623,"not provided"))),AND(IF(Metadata!O623="",FALSE,ISNUMBER(VALUE(Metadata!O623))),Metadata!O623&gt;0))</f>
        <v>0</v>
      </c>
      <c r="AQ623">
        <f>AND(IF(Metadata!P623="",FALSE,TRUE),exact(Metadata!P623,"kg"))</f>
        <v>0</v>
      </c>
      <c r="AR623">
        <f>OR(AND(IF(Metadata!Q623="",FALSE,TRUE),OR(exact(Metadata!Q623,"not applicable"),exact(Metadata!Q623,"not collected"),exact(Metadata!Q623,"not provided"),exact(Metadata!Q623,"restricted access"))),IF(Metadata!Q623="",FALSE,IF(ISERROR(INT(Metadata!Q623)),FALSE,INT(Metadata!Q623)=Metadata!Q623)))</f>
        <v>0</v>
      </c>
      <c r="AS623">
        <f>AND(IF(Metadata!R623="",FALSE,TRUE),exact(Metadata!R623,"Not applicable"))</f>
        <v>0</v>
      </c>
    </row>
    <row r="624" spans="1:45">
      <c r="A624" s="4">
        <f>IF(B624=" "," ",HYPERLINK(CONCATENATE("#metadata!",ADDRESS(INDEX($X$2:$X$1001,MATCH(ROWS($V$2:V624),$V$2:$V$1001,0),0),2)),INDEX($AA$2:$AA$1001,MATCH(ROWS($V$2:V624),$V$2:$V$1001,0),0)))</f>
        <v>0</v>
      </c>
      <c r="B624" s="5">
        <f>IF(OR(INDEX($W$2:$W$1001,MATCH(ROWS($V$2:V624),$V$2:$V$1001,0),1)&gt;=100000,INDEX($AC$1005:$AS$1005,1,MATCH(COLUMNS($AC$1006:AC1006),$AC$1006:$AS$1006,0))&gt;=100000), " ",IF(INDEX($AC$2:$AS$1001,MATCH(ROWS($V$2:V624),$V$2:$V$1001,0),MATCH(COLUMNS($AC$1006:AC1006),$AC$1006:$AS$1006,0)), HYPERLINK("#",""), HYPERLINK(CONCATENATE("#Metadata!", ADDRESS(INDEX($X$2:$X$1001,MATCH(ROWS($V$2:V624),$V$2:$V$1001,0),0), INDEX($AC$1004:$AS$1004,1,MATCH(COLUMNS($AC$1006:AC1006),$AC$1006:$AS$1006,0)))),"Fix")))</f>
        <v>0</v>
      </c>
      <c r="C624" s="5">
        <f>IF(OR(INDEX($W$2:$W$1001,MATCH(ROWS($V$2:V624),$V$2:$V$1001,0),1)&gt;=100000,INDEX($AC$1005:$AS$1005,1,MATCH(COLUMNS($AC$1006:AD1006),$AC$1006:$AS$1006,0))&gt;=100000), " ",IF(INDEX($AC$2:$AS$1001,MATCH(ROWS($V$2:V624),$V$2:$V$1001,0),MATCH(COLUMNS($AC$1006:AD1006),$AC$1006:$AS$1006,0)), HYPERLINK("#",""), HYPERLINK(CONCATENATE("#Metadata!", ADDRESS(INDEX($X$2:$X$1001,MATCH(ROWS($V$2:V624),$V$2:$V$1001,0),0), INDEX($AC$1004:$AS$1004,1,MATCH(COLUMNS($AC$1006:AD1006),$AC$1006:$AS$1006,0)))),"Fix")))</f>
        <v>0</v>
      </c>
      <c r="D624" s="5">
        <f>IF(OR(INDEX($W$2:$W$1001,MATCH(ROWS($V$2:V624),$V$2:$V$1001,0),1)&gt;=100000,INDEX($AC$1005:$AS$1005,1,MATCH(COLUMNS($AC$1006:AE1006),$AC$1006:$AS$1006,0))&gt;=100000), " ",IF(INDEX($AC$2:$AS$1001,MATCH(ROWS($V$2:V624),$V$2:$V$1001,0),MATCH(COLUMNS($AC$1006:AE1006),$AC$1006:$AS$1006,0)), HYPERLINK("#",""), HYPERLINK(CONCATENATE("#Metadata!", ADDRESS(INDEX($X$2:$X$1001,MATCH(ROWS($V$2:V624),$V$2:$V$1001,0),0), INDEX($AC$1004:$AS$1004,1,MATCH(COLUMNS($AC$1006:AE1006),$AC$1006:$AS$1006,0)))),"Fix")))</f>
        <v>0</v>
      </c>
      <c r="E624" s="5">
        <f>IF(OR(INDEX($W$2:$W$1001,MATCH(ROWS($V$2:V624),$V$2:$V$1001,0),1)&gt;=100000,INDEX($AC$1005:$AS$1005,1,MATCH(COLUMNS($AC$1006:AF1006),$AC$1006:$AS$1006,0))&gt;=100000), " ",IF(INDEX($AC$2:$AS$1001,MATCH(ROWS($V$2:V624),$V$2:$V$1001,0),MATCH(COLUMNS($AC$1006:AF1006),$AC$1006:$AS$1006,0)), HYPERLINK("#",""), HYPERLINK(CONCATENATE("#Metadata!", ADDRESS(INDEX($X$2:$X$1001,MATCH(ROWS($V$2:V624),$V$2:$V$1001,0),0), INDEX($AC$1004:$AS$1004,1,MATCH(COLUMNS($AC$1006:AF1006),$AC$1006:$AS$1006,0)))),"Fix")))</f>
        <v>0</v>
      </c>
      <c r="F624" s="5">
        <f>IF(OR(INDEX($W$2:$W$1001,MATCH(ROWS($V$2:V624),$V$2:$V$1001,0),1)&gt;=100000,INDEX($AC$1005:$AS$1005,1,MATCH(COLUMNS($AC$1006:AG1006),$AC$1006:$AS$1006,0))&gt;=100000), " ",IF(INDEX($AC$2:$AS$1001,MATCH(ROWS($V$2:V624),$V$2:$V$1001,0),MATCH(COLUMNS($AC$1006:AG1006),$AC$1006:$AS$1006,0)), HYPERLINK("#",""), HYPERLINK(CONCATENATE("#Metadata!", ADDRESS(INDEX($X$2:$X$1001,MATCH(ROWS($V$2:V624),$V$2:$V$1001,0),0), INDEX($AC$1004:$AS$1004,1,MATCH(COLUMNS($AC$1006:AG1006),$AC$1006:$AS$1006,0)))),"Fix")))</f>
        <v>0</v>
      </c>
      <c r="G624" s="5">
        <f>IF(OR(INDEX($W$2:$W$1001,MATCH(ROWS($V$2:V624),$V$2:$V$1001,0),1)&gt;=100000,INDEX($AC$1005:$AS$1005,1,MATCH(COLUMNS($AC$1006:AH1006),$AC$1006:$AS$1006,0))&gt;=100000), " ",IF(INDEX($AC$2:$AS$1001,MATCH(ROWS($V$2:V624),$V$2:$V$1001,0),MATCH(COLUMNS($AC$1006:AH1006),$AC$1006:$AS$1006,0)), HYPERLINK("#",""), HYPERLINK(CONCATENATE("#Metadata!", ADDRESS(INDEX($X$2:$X$1001,MATCH(ROWS($V$2:V624),$V$2:$V$1001,0),0), INDEX($AC$1004:$AS$1004,1,MATCH(COLUMNS($AC$1006:AH1006),$AC$1006:$AS$1006,0)))),"Fix")))</f>
        <v>0</v>
      </c>
      <c r="H624" s="5">
        <f>IF(OR(INDEX($W$2:$W$1001,MATCH(ROWS($V$2:V624),$V$2:$V$1001,0),1)&gt;=100000,INDEX($AC$1005:$AS$1005,1,MATCH(COLUMNS($AC$1006:AI1006),$AC$1006:$AS$1006,0))&gt;=100000), " ",IF(INDEX($AC$2:$AS$1001,MATCH(ROWS($V$2:V624),$V$2:$V$1001,0),MATCH(COLUMNS($AC$1006:AI1006),$AC$1006:$AS$1006,0)), HYPERLINK("#",""), HYPERLINK(CONCATENATE("#Metadata!", ADDRESS(INDEX($X$2:$X$1001,MATCH(ROWS($V$2:V624),$V$2:$V$1001,0),0), INDEX($AC$1004:$AS$1004,1,MATCH(COLUMNS($AC$1006:AI1006),$AC$1006:$AS$1006,0)))),"Fix")))</f>
        <v>0</v>
      </c>
      <c r="I624" s="5">
        <f>IF(OR(INDEX($W$2:$W$1001,MATCH(ROWS($V$2:V624),$V$2:$V$1001,0),1)&gt;=100000,INDEX($AC$1005:$AS$1005,1,MATCH(COLUMNS($AC$1006:AJ1006),$AC$1006:$AS$1006,0))&gt;=100000), " ",IF(INDEX($AC$2:$AS$1001,MATCH(ROWS($V$2:V624),$V$2:$V$1001,0),MATCH(COLUMNS($AC$1006:AJ1006),$AC$1006:$AS$1006,0)), HYPERLINK("#",""), HYPERLINK(CONCATENATE("#Metadata!", ADDRESS(INDEX($X$2:$X$1001,MATCH(ROWS($V$2:V624),$V$2:$V$1001,0),0), INDEX($AC$1004:$AS$1004,1,MATCH(COLUMNS($AC$1006:AJ1006),$AC$1006:$AS$1006,0)))),"Fix")))</f>
        <v>0</v>
      </c>
      <c r="J624" s="5">
        <f>IF(OR(INDEX($W$2:$W$1001,MATCH(ROWS($V$2:V624),$V$2:$V$1001,0),1)&gt;=100000,INDEX($AC$1005:$AS$1005,1,MATCH(COLUMNS($AC$1006:AK1006),$AC$1006:$AS$1006,0))&gt;=100000), " ",IF(INDEX($AC$2:$AS$1001,MATCH(ROWS($V$2:V624),$V$2:$V$1001,0),MATCH(COLUMNS($AC$1006:AK1006),$AC$1006:$AS$1006,0)), HYPERLINK("#",""), HYPERLINK(CONCATENATE("#Metadata!", ADDRESS(INDEX($X$2:$X$1001,MATCH(ROWS($V$2:V624),$V$2:$V$1001,0),0), INDEX($AC$1004:$AS$1004,1,MATCH(COLUMNS($AC$1006:AK1006),$AC$1006:$AS$1006,0)))),"Fix")))</f>
        <v>0</v>
      </c>
      <c r="K624" s="5">
        <f>IF(OR(INDEX($W$2:$W$1001,MATCH(ROWS($V$2:V624),$V$2:$V$1001,0),1)&gt;=100000,INDEX($AC$1005:$AS$1005,1,MATCH(COLUMNS($AC$1006:AL1006),$AC$1006:$AS$1006,0))&gt;=100000), " ",IF(INDEX($AC$2:$AS$1001,MATCH(ROWS($V$2:V624),$V$2:$V$1001,0),MATCH(COLUMNS($AC$1006:AL1006),$AC$1006:$AS$1006,0)), HYPERLINK("#",""), HYPERLINK(CONCATENATE("#Metadata!", ADDRESS(INDEX($X$2:$X$1001,MATCH(ROWS($V$2:V624),$V$2:$V$1001,0),0), INDEX($AC$1004:$AS$1004,1,MATCH(COLUMNS($AC$1006:AL1006),$AC$1006:$AS$1006,0)))),"Fix")))</f>
        <v>0</v>
      </c>
      <c r="L624" s="5">
        <f>IF(OR(INDEX($W$2:$W$1001,MATCH(ROWS($V$2:V624),$V$2:$V$1001,0),1)&gt;=100000,INDEX($AC$1005:$AS$1005,1,MATCH(COLUMNS($AC$1006:AM1006),$AC$1006:$AS$1006,0))&gt;=100000), " ",IF(INDEX($AC$2:$AS$1001,MATCH(ROWS($V$2:V624),$V$2:$V$1001,0),MATCH(COLUMNS($AC$1006:AM1006),$AC$1006:$AS$1006,0)), HYPERLINK("#",""), HYPERLINK(CONCATENATE("#Metadata!", ADDRESS(INDEX($X$2:$X$1001,MATCH(ROWS($V$2:V624),$V$2:$V$1001,0),0), INDEX($AC$1004:$AS$1004,1,MATCH(COLUMNS($AC$1006:AM1006),$AC$1006:$AS$1006,0)))),"Fix")))</f>
        <v>0</v>
      </c>
      <c r="M624" s="5">
        <f>IF(OR(INDEX($W$2:$W$1001,MATCH(ROWS($V$2:V624),$V$2:$V$1001,0),1)&gt;=100000,INDEX($AC$1005:$AS$1005,1,MATCH(COLUMNS($AC$1006:AN1006),$AC$1006:$AS$1006,0))&gt;=100000), " ",IF(INDEX($AC$2:$AS$1001,MATCH(ROWS($V$2:V624),$V$2:$V$1001,0),MATCH(COLUMNS($AC$1006:AN1006),$AC$1006:$AS$1006,0)), HYPERLINK("#",""), HYPERLINK(CONCATENATE("#Metadata!", ADDRESS(INDEX($X$2:$X$1001,MATCH(ROWS($V$2:V624),$V$2:$V$1001,0),0), INDEX($AC$1004:$AS$1004,1,MATCH(COLUMNS($AC$1006:AN1006),$AC$1006:$AS$1006,0)))),"Fix")))</f>
        <v>0</v>
      </c>
      <c r="N624" s="5">
        <f>IF(OR(INDEX($W$2:$W$1001,MATCH(ROWS($V$2:V624),$V$2:$V$1001,0),1)&gt;=100000,INDEX($AC$1005:$AS$1005,1,MATCH(COLUMNS($AC$1006:AO1006),$AC$1006:$AS$1006,0))&gt;=100000), " ",IF(INDEX($AC$2:$AS$1001,MATCH(ROWS($V$2:V624),$V$2:$V$1001,0),MATCH(COLUMNS($AC$1006:AO1006),$AC$1006:$AS$1006,0)), HYPERLINK("#",""), HYPERLINK(CONCATENATE("#Metadata!", ADDRESS(INDEX($X$2:$X$1001,MATCH(ROWS($V$2:V624),$V$2:$V$1001,0),0), INDEX($AC$1004:$AS$1004,1,MATCH(COLUMNS($AC$1006:AO1006),$AC$1006:$AS$1006,0)))),"Fix")))</f>
        <v>0</v>
      </c>
      <c r="O624" s="5">
        <f>IF(OR(INDEX($W$2:$W$1001,MATCH(ROWS($V$2:V624),$V$2:$V$1001,0),1)&gt;=100000,INDEX($AC$1005:$AS$1005,1,MATCH(COLUMNS($AC$1006:AP1006),$AC$1006:$AS$1006,0))&gt;=100000), " ",IF(INDEX($AC$2:$AS$1001,MATCH(ROWS($V$2:V624),$V$2:$V$1001,0),MATCH(COLUMNS($AC$1006:AP1006),$AC$1006:$AS$1006,0)), HYPERLINK("#",""), HYPERLINK(CONCATENATE("#Metadata!", ADDRESS(INDEX($X$2:$X$1001,MATCH(ROWS($V$2:V624),$V$2:$V$1001,0),0), INDEX($AC$1004:$AS$1004,1,MATCH(COLUMNS($AC$1006:AP1006),$AC$1006:$AS$1006,0)))),"Fix")))</f>
        <v>0</v>
      </c>
      <c r="P624" s="5">
        <f>IF(OR(INDEX($W$2:$W$1001,MATCH(ROWS($V$2:V624),$V$2:$V$1001,0),1)&gt;=100000,INDEX($AC$1005:$AS$1005,1,MATCH(COLUMNS($AC$1006:AQ1006),$AC$1006:$AS$1006,0))&gt;=100000), " ",IF(INDEX($AC$2:$AS$1001,MATCH(ROWS($V$2:V624),$V$2:$V$1001,0),MATCH(COLUMNS($AC$1006:AQ1006),$AC$1006:$AS$1006,0)), HYPERLINK("#",""), HYPERLINK(CONCATENATE("#Metadata!", ADDRESS(INDEX($X$2:$X$1001,MATCH(ROWS($V$2:V624),$V$2:$V$1001,0),0), INDEX($AC$1004:$AS$1004,1,MATCH(COLUMNS($AC$1006:AQ1006),$AC$1006:$AS$1006,0)))),"Fix")))</f>
        <v>0</v>
      </c>
      <c r="Q624" s="5">
        <f>IF(OR(INDEX($W$2:$W$1001,MATCH(ROWS($V$2:V624),$V$2:$V$1001,0),1)&gt;=100000,INDEX($AC$1005:$AS$1005,1,MATCH(COLUMNS($AC$1006:AR1006),$AC$1006:$AS$1006,0))&gt;=100000), " ",IF(INDEX($AC$2:$AS$1001,MATCH(ROWS($V$2:V624),$V$2:$V$1001,0),MATCH(COLUMNS($AC$1006:AR1006),$AC$1006:$AS$1006,0)), HYPERLINK("#",""), HYPERLINK(CONCATENATE("#Metadata!", ADDRESS(INDEX($X$2:$X$1001,MATCH(ROWS($V$2:V624),$V$2:$V$1001,0),0), INDEX($AC$1004:$AS$1004,1,MATCH(COLUMNS($AC$1006:AR1006),$AC$1006:$AS$1006,0)))),"Fix")))</f>
        <v>0</v>
      </c>
      <c r="R624" s="5">
        <f>IF(OR(INDEX($W$2:$W$1001,MATCH(ROWS($V$2:V624),$V$2:$V$1001,0),1)&gt;=100000,INDEX($AC$1005:$AS$1005,1,MATCH(COLUMNS($AC$1006:AS1006),$AC$1006:$AS$1006,0))&gt;=100000), " ",IF(INDEX($AC$2:$AS$1001,MATCH(ROWS($V$2:V624),$V$2:$V$1001,0),MATCH(COLUMNS($AC$1006:AS1006),$AC$1006:$AS$1006,0)), HYPERLINK("#",""), HYPERLINK(CONCATENATE("#Metadata!", ADDRESS(INDEX($X$2:$X$1001,MATCH(ROWS($V$2:V624),$V$2:$V$1001,0),0), INDEX($AC$1004:$AS$1004,1,MATCH(COLUMNS($AC$1006:AS1006),$AC$1006:$AS$1006,0)))),"Fix")))</f>
        <v>0</v>
      </c>
      <c r="V624">
        <v>0</v>
      </c>
      <c r="W624">
        <v>0</v>
      </c>
      <c r="X624">
        <v>0</v>
      </c>
      <c r="Y624">
        <f>IF(Z624,TRUE,AND(AC624:AS624))</f>
        <v>0</v>
      </c>
      <c r="Z624">
        <f>COUNTBLANK(Metadata!B624:R624)=COLUMNS(Metadata!B624:R624)</f>
        <v>0</v>
      </c>
      <c r="AA624">
        <v>0</v>
      </c>
      <c r="AC624">
        <f>AND(IF(Metadata!B624="",FALSE,TRUE),COUNTIF(Metadata!B:B, Metadata!B624) = 1,NOT(ISERROR(SUMPRODUCT(SEARCH(MID(Metadata!B624,ROW(INDIRECT("1:"&amp;LEN(Metadata!B624))), 1),"0123456789abcdefghijklmnopqrstuvwxyzABCDEFGHIJKLMNOPQRSTUVWXYZ.")))))</f>
        <v>0</v>
      </c>
      <c r="AD624">
        <f>AND(IF(Metadata!C624="",FALSE,TRUE),exact(Metadata!C624,"Host-associated"))</f>
        <v>0</v>
      </c>
      <c r="AE624">
        <f>AND(IF(Metadata!D624="",FALSE,TRUE),OR(exact(Metadata!D624,"Animal"),exact(Metadata!D624,"Fungus"),exact(Metadata!D624,"Plant")))</f>
        <v>0</v>
      </c>
      <c r="AF624">
        <f>AND(IF(Metadata!E624="",FALSE,TRUE),OR(exact(Metadata!E624,"Plant secretion"),exact(Metadata!E624,"Plant rhizosphere"),exact(Metadata!E624,"Plant surface"),exact(Metadata!E624,"Plant corpus"),exact(Metadata!E624,"Fungus surface"),exact(Metadata!E624,"Fungus corpus"),exact(Metadata!E624,"Animal surface"),exact(Metadata!E624,"Animal proximal gut"),exact(Metadata!E624,"Animal corpus"),exact(Metadata!E624,"Animal distal gut"),exact(Metadata!E624,"Animal secretion")))</f>
        <v>0</v>
      </c>
      <c r="AG624">
        <f>OR(AND(IF(Metadata!F624="",FALSE,TRUE),OR(exact(Metadata!F624,"not collected"),exact(Metadata!F624,"not provided"),exact(Metadata!F624,"restricted access"))),AND(IF(Metadata!F624="",FALSE,TRUE),OR(exact(Metadata!F624,"organism-associated habitat"),exact(Metadata!F624,"plant-associated habitat"),exact(Metadata!F624,"animal-associated habitat"),exact(Metadata!F624,"insecta-associated habitat"),exact(Metadata!F624,"mammalia-associated habitat"),exact(Metadata!F624,"human-associated habitat"),exact(Metadata!F624,"livestock-associated habitat"))))</f>
        <v>0</v>
      </c>
      <c r="AH624">
        <f>AND(IF(Metadata!G624="",FALSE,TRUE),exact(Metadata!G624,"host-associated"))</f>
        <v>0</v>
      </c>
      <c r="AI624">
        <f>OR(AND(IF(Metadata!H624="",FALSE,TRUE),OR(exact(Metadata!H624,"not collected"),exact(Metadata!H624,"not provided"))),AND(IF(Metadata!H624="",FALSE,ISNUMBER(VALUE(Metadata!H624))),Metadata!H624&gt;0))</f>
        <v>0</v>
      </c>
      <c r="AJ624">
        <f>AND(IF(Metadata!I624="",FALSE,TRUE),exact(Metadata!I624,"years"))</f>
        <v>0</v>
      </c>
      <c r="AK624">
        <f>IF(Metadata!J624="",FALSE,TRUE)</f>
        <v>0</v>
      </c>
      <c r="AL624">
        <f>OR(AND(IF(Metadata!K624="",FALSE,TRUE),OR(exact(Metadata!K624,"not collected"),exact(Metadata!K624,"not provided"))),AND(IF(Metadata!K624="",FALSE,ISNUMBER(VALUE(Metadata!K624))),Metadata!K624&gt;0))</f>
        <v>0</v>
      </c>
      <c r="AM624">
        <f>AND(IF(Metadata!L624="",FALSE,TRUE),exact(Metadata!L624,"cm"))</f>
        <v>0</v>
      </c>
      <c r="AN624">
        <f>IF(Metadata!M624="",FALSE,TRUE)</f>
        <v>0</v>
      </c>
      <c r="AO624">
        <f>OR(AND(IF(Metadata!N624="",FALSE,TRUE),OR(exact(Metadata!N624,"not applicable"),exact(Metadata!N624,"not collected"),exact(Metadata!N624,"not provided"))),AND(IF(Metadata!N624="",FALSE,IF(ISERROR(INT(Metadata!N624)),FALSE,INT(Metadata!N624)=Metadata!N624)),Metadata!N624&gt;0))</f>
        <v>0</v>
      </c>
      <c r="AP624">
        <f>OR(AND(IF(Metadata!O624="",FALSE,TRUE),OR(exact(Metadata!O624,"not collected"),exact(Metadata!O624,"not provided"))),AND(IF(Metadata!O624="",FALSE,ISNUMBER(VALUE(Metadata!O624))),Metadata!O624&gt;0))</f>
        <v>0</v>
      </c>
      <c r="AQ624">
        <f>AND(IF(Metadata!P624="",FALSE,TRUE),exact(Metadata!P624,"kg"))</f>
        <v>0</v>
      </c>
      <c r="AR624">
        <f>OR(AND(IF(Metadata!Q624="",FALSE,TRUE),OR(exact(Metadata!Q624,"not applicable"),exact(Metadata!Q624,"not collected"),exact(Metadata!Q624,"not provided"),exact(Metadata!Q624,"restricted access"))),IF(Metadata!Q624="",FALSE,IF(ISERROR(INT(Metadata!Q624)),FALSE,INT(Metadata!Q624)=Metadata!Q624)))</f>
        <v>0</v>
      </c>
      <c r="AS624">
        <f>AND(IF(Metadata!R624="",FALSE,TRUE),exact(Metadata!R624,"Not applicable"))</f>
        <v>0</v>
      </c>
    </row>
    <row r="625" spans="1:45">
      <c r="A625" s="4">
        <f>IF(B625=" "," ",HYPERLINK(CONCATENATE("#metadata!",ADDRESS(INDEX($X$2:$X$1001,MATCH(ROWS($V$2:V625),$V$2:$V$1001,0),0),2)),INDEX($AA$2:$AA$1001,MATCH(ROWS($V$2:V625),$V$2:$V$1001,0),0)))</f>
        <v>0</v>
      </c>
      <c r="B625" s="5">
        <f>IF(OR(INDEX($W$2:$W$1001,MATCH(ROWS($V$2:V625),$V$2:$V$1001,0),1)&gt;=100000,INDEX($AC$1005:$AS$1005,1,MATCH(COLUMNS($AC$1006:AC1006),$AC$1006:$AS$1006,0))&gt;=100000), " ",IF(INDEX($AC$2:$AS$1001,MATCH(ROWS($V$2:V625),$V$2:$V$1001,0),MATCH(COLUMNS($AC$1006:AC1006),$AC$1006:$AS$1006,0)), HYPERLINK("#",""), HYPERLINK(CONCATENATE("#Metadata!", ADDRESS(INDEX($X$2:$X$1001,MATCH(ROWS($V$2:V625),$V$2:$V$1001,0),0), INDEX($AC$1004:$AS$1004,1,MATCH(COLUMNS($AC$1006:AC1006),$AC$1006:$AS$1006,0)))),"Fix")))</f>
        <v>0</v>
      </c>
      <c r="C625" s="5">
        <f>IF(OR(INDEX($W$2:$W$1001,MATCH(ROWS($V$2:V625),$V$2:$V$1001,0),1)&gt;=100000,INDEX($AC$1005:$AS$1005,1,MATCH(COLUMNS($AC$1006:AD1006),$AC$1006:$AS$1006,0))&gt;=100000), " ",IF(INDEX($AC$2:$AS$1001,MATCH(ROWS($V$2:V625),$V$2:$V$1001,0),MATCH(COLUMNS($AC$1006:AD1006),$AC$1006:$AS$1006,0)), HYPERLINK("#",""), HYPERLINK(CONCATENATE("#Metadata!", ADDRESS(INDEX($X$2:$X$1001,MATCH(ROWS($V$2:V625),$V$2:$V$1001,0),0), INDEX($AC$1004:$AS$1004,1,MATCH(COLUMNS($AC$1006:AD1006),$AC$1006:$AS$1006,0)))),"Fix")))</f>
        <v>0</v>
      </c>
      <c r="D625" s="5">
        <f>IF(OR(INDEX($W$2:$W$1001,MATCH(ROWS($V$2:V625),$V$2:$V$1001,0),1)&gt;=100000,INDEX($AC$1005:$AS$1005,1,MATCH(COLUMNS($AC$1006:AE1006),$AC$1006:$AS$1006,0))&gt;=100000), " ",IF(INDEX($AC$2:$AS$1001,MATCH(ROWS($V$2:V625),$V$2:$V$1001,0),MATCH(COLUMNS($AC$1006:AE1006),$AC$1006:$AS$1006,0)), HYPERLINK("#",""), HYPERLINK(CONCATENATE("#Metadata!", ADDRESS(INDEX($X$2:$X$1001,MATCH(ROWS($V$2:V625),$V$2:$V$1001,0),0), INDEX($AC$1004:$AS$1004,1,MATCH(COLUMNS($AC$1006:AE1006),$AC$1006:$AS$1006,0)))),"Fix")))</f>
        <v>0</v>
      </c>
      <c r="E625" s="5">
        <f>IF(OR(INDEX($W$2:$W$1001,MATCH(ROWS($V$2:V625),$V$2:$V$1001,0),1)&gt;=100000,INDEX($AC$1005:$AS$1005,1,MATCH(COLUMNS($AC$1006:AF1006),$AC$1006:$AS$1006,0))&gt;=100000), " ",IF(INDEX($AC$2:$AS$1001,MATCH(ROWS($V$2:V625),$V$2:$V$1001,0),MATCH(COLUMNS($AC$1006:AF1006),$AC$1006:$AS$1006,0)), HYPERLINK("#",""), HYPERLINK(CONCATENATE("#Metadata!", ADDRESS(INDEX($X$2:$X$1001,MATCH(ROWS($V$2:V625),$V$2:$V$1001,0),0), INDEX($AC$1004:$AS$1004,1,MATCH(COLUMNS($AC$1006:AF1006),$AC$1006:$AS$1006,0)))),"Fix")))</f>
        <v>0</v>
      </c>
      <c r="F625" s="5">
        <f>IF(OR(INDEX($W$2:$W$1001,MATCH(ROWS($V$2:V625),$V$2:$V$1001,0),1)&gt;=100000,INDEX($AC$1005:$AS$1005,1,MATCH(COLUMNS($AC$1006:AG1006),$AC$1006:$AS$1006,0))&gt;=100000), " ",IF(INDEX($AC$2:$AS$1001,MATCH(ROWS($V$2:V625),$V$2:$V$1001,0),MATCH(COLUMNS($AC$1006:AG1006),$AC$1006:$AS$1006,0)), HYPERLINK("#",""), HYPERLINK(CONCATENATE("#Metadata!", ADDRESS(INDEX($X$2:$X$1001,MATCH(ROWS($V$2:V625),$V$2:$V$1001,0),0), INDEX($AC$1004:$AS$1004,1,MATCH(COLUMNS($AC$1006:AG1006),$AC$1006:$AS$1006,0)))),"Fix")))</f>
        <v>0</v>
      </c>
      <c r="G625" s="5">
        <f>IF(OR(INDEX($W$2:$W$1001,MATCH(ROWS($V$2:V625),$V$2:$V$1001,0),1)&gt;=100000,INDEX($AC$1005:$AS$1005,1,MATCH(COLUMNS($AC$1006:AH1006),$AC$1006:$AS$1006,0))&gt;=100000), " ",IF(INDEX($AC$2:$AS$1001,MATCH(ROWS($V$2:V625),$V$2:$V$1001,0),MATCH(COLUMNS($AC$1006:AH1006),$AC$1006:$AS$1006,0)), HYPERLINK("#",""), HYPERLINK(CONCATENATE("#Metadata!", ADDRESS(INDEX($X$2:$X$1001,MATCH(ROWS($V$2:V625),$V$2:$V$1001,0),0), INDEX($AC$1004:$AS$1004,1,MATCH(COLUMNS($AC$1006:AH1006),$AC$1006:$AS$1006,0)))),"Fix")))</f>
        <v>0</v>
      </c>
      <c r="H625" s="5">
        <f>IF(OR(INDEX($W$2:$W$1001,MATCH(ROWS($V$2:V625),$V$2:$V$1001,0),1)&gt;=100000,INDEX($AC$1005:$AS$1005,1,MATCH(COLUMNS($AC$1006:AI1006),$AC$1006:$AS$1006,0))&gt;=100000), " ",IF(INDEX($AC$2:$AS$1001,MATCH(ROWS($V$2:V625),$V$2:$V$1001,0),MATCH(COLUMNS($AC$1006:AI1006),$AC$1006:$AS$1006,0)), HYPERLINK("#",""), HYPERLINK(CONCATENATE("#Metadata!", ADDRESS(INDEX($X$2:$X$1001,MATCH(ROWS($V$2:V625),$V$2:$V$1001,0),0), INDEX($AC$1004:$AS$1004,1,MATCH(COLUMNS($AC$1006:AI1006),$AC$1006:$AS$1006,0)))),"Fix")))</f>
        <v>0</v>
      </c>
      <c r="I625" s="5">
        <f>IF(OR(INDEX($W$2:$W$1001,MATCH(ROWS($V$2:V625),$V$2:$V$1001,0),1)&gt;=100000,INDEX($AC$1005:$AS$1005,1,MATCH(COLUMNS($AC$1006:AJ1006),$AC$1006:$AS$1006,0))&gt;=100000), " ",IF(INDEX($AC$2:$AS$1001,MATCH(ROWS($V$2:V625),$V$2:$V$1001,0),MATCH(COLUMNS($AC$1006:AJ1006),$AC$1006:$AS$1006,0)), HYPERLINK("#",""), HYPERLINK(CONCATENATE("#Metadata!", ADDRESS(INDEX($X$2:$X$1001,MATCH(ROWS($V$2:V625),$V$2:$V$1001,0),0), INDEX($AC$1004:$AS$1004,1,MATCH(COLUMNS($AC$1006:AJ1006),$AC$1006:$AS$1006,0)))),"Fix")))</f>
        <v>0</v>
      </c>
      <c r="J625" s="5">
        <f>IF(OR(INDEX($W$2:$W$1001,MATCH(ROWS($V$2:V625),$V$2:$V$1001,0),1)&gt;=100000,INDEX($AC$1005:$AS$1005,1,MATCH(COLUMNS($AC$1006:AK1006),$AC$1006:$AS$1006,0))&gt;=100000), " ",IF(INDEX($AC$2:$AS$1001,MATCH(ROWS($V$2:V625),$V$2:$V$1001,0),MATCH(COLUMNS($AC$1006:AK1006),$AC$1006:$AS$1006,0)), HYPERLINK("#",""), HYPERLINK(CONCATENATE("#Metadata!", ADDRESS(INDEX($X$2:$X$1001,MATCH(ROWS($V$2:V625),$V$2:$V$1001,0),0), INDEX($AC$1004:$AS$1004,1,MATCH(COLUMNS($AC$1006:AK1006),$AC$1006:$AS$1006,0)))),"Fix")))</f>
        <v>0</v>
      </c>
      <c r="K625" s="5">
        <f>IF(OR(INDEX($W$2:$W$1001,MATCH(ROWS($V$2:V625),$V$2:$V$1001,0),1)&gt;=100000,INDEX($AC$1005:$AS$1005,1,MATCH(COLUMNS($AC$1006:AL1006),$AC$1006:$AS$1006,0))&gt;=100000), " ",IF(INDEX($AC$2:$AS$1001,MATCH(ROWS($V$2:V625),$V$2:$V$1001,0),MATCH(COLUMNS($AC$1006:AL1006),$AC$1006:$AS$1006,0)), HYPERLINK("#",""), HYPERLINK(CONCATENATE("#Metadata!", ADDRESS(INDEX($X$2:$X$1001,MATCH(ROWS($V$2:V625),$V$2:$V$1001,0),0), INDEX($AC$1004:$AS$1004,1,MATCH(COLUMNS($AC$1006:AL1006),$AC$1006:$AS$1006,0)))),"Fix")))</f>
        <v>0</v>
      </c>
      <c r="L625" s="5">
        <f>IF(OR(INDEX($W$2:$W$1001,MATCH(ROWS($V$2:V625),$V$2:$V$1001,0),1)&gt;=100000,INDEX($AC$1005:$AS$1005,1,MATCH(COLUMNS($AC$1006:AM1006),$AC$1006:$AS$1006,0))&gt;=100000), " ",IF(INDEX($AC$2:$AS$1001,MATCH(ROWS($V$2:V625),$V$2:$V$1001,0),MATCH(COLUMNS($AC$1006:AM1006),$AC$1006:$AS$1006,0)), HYPERLINK("#",""), HYPERLINK(CONCATENATE("#Metadata!", ADDRESS(INDEX($X$2:$X$1001,MATCH(ROWS($V$2:V625),$V$2:$V$1001,0),0), INDEX($AC$1004:$AS$1004,1,MATCH(COLUMNS($AC$1006:AM1006),$AC$1006:$AS$1006,0)))),"Fix")))</f>
        <v>0</v>
      </c>
      <c r="M625" s="5">
        <f>IF(OR(INDEX($W$2:$W$1001,MATCH(ROWS($V$2:V625),$V$2:$V$1001,0),1)&gt;=100000,INDEX($AC$1005:$AS$1005,1,MATCH(COLUMNS($AC$1006:AN1006),$AC$1006:$AS$1006,0))&gt;=100000), " ",IF(INDEX($AC$2:$AS$1001,MATCH(ROWS($V$2:V625),$V$2:$V$1001,0),MATCH(COLUMNS($AC$1006:AN1006),$AC$1006:$AS$1006,0)), HYPERLINK("#",""), HYPERLINK(CONCATENATE("#Metadata!", ADDRESS(INDEX($X$2:$X$1001,MATCH(ROWS($V$2:V625),$V$2:$V$1001,0),0), INDEX($AC$1004:$AS$1004,1,MATCH(COLUMNS($AC$1006:AN1006),$AC$1006:$AS$1006,0)))),"Fix")))</f>
        <v>0</v>
      </c>
      <c r="N625" s="5">
        <f>IF(OR(INDEX($W$2:$W$1001,MATCH(ROWS($V$2:V625),$V$2:$V$1001,0),1)&gt;=100000,INDEX($AC$1005:$AS$1005,1,MATCH(COLUMNS($AC$1006:AO1006),$AC$1006:$AS$1006,0))&gt;=100000), " ",IF(INDEX($AC$2:$AS$1001,MATCH(ROWS($V$2:V625),$V$2:$V$1001,0),MATCH(COLUMNS($AC$1006:AO1006),$AC$1006:$AS$1006,0)), HYPERLINK("#",""), HYPERLINK(CONCATENATE("#Metadata!", ADDRESS(INDEX($X$2:$X$1001,MATCH(ROWS($V$2:V625),$V$2:$V$1001,0),0), INDEX($AC$1004:$AS$1004,1,MATCH(COLUMNS($AC$1006:AO1006),$AC$1006:$AS$1006,0)))),"Fix")))</f>
        <v>0</v>
      </c>
      <c r="O625" s="5">
        <f>IF(OR(INDEX($W$2:$W$1001,MATCH(ROWS($V$2:V625),$V$2:$V$1001,0),1)&gt;=100000,INDEX($AC$1005:$AS$1005,1,MATCH(COLUMNS($AC$1006:AP1006),$AC$1006:$AS$1006,0))&gt;=100000), " ",IF(INDEX($AC$2:$AS$1001,MATCH(ROWS($V$2:V625),$V$2:$V$1001,0),MATCH(COLUMNS($AC$1006:AP1006),$AC$1006:$AS$1006,0)), HYPERLINK("#",""), HYPERLINK(CONCATENATE("#Metadata!", ADDRESS(INDEX($X$2:$X$1001,MATCH(ROWS($V$2:V625),$V$2:$V$1001,0),0), INDEX($AC$1004:$AS$1004,1,MATCH(COLUMNS($AC$1006:AP1006),$AC$1006:$AS$1006,0)))),"Fix")))</f>
        <v>0</v>
      </c>
      <c r="P625" s="5">
        <f>IF(OR(INDEX($W$2:$W$1001,MATCH(ROWS($V$2:V625),$V$2:$V$1001,0),1)&gt;=100000,INDEX($AC$1005:$AS$1005,1,MATCH(COLUMNS($AC$1006:AQ1006),$AC$1006:$AS$1006,0))&gt;=100000), " ",IF(INDEX($AC$2:$AS$1001,MATCH(ROWS($V$2:V625),$V$2:$V$1001,0),MATCH(COLUMNS($AC$1006:AQ1006),$AC$1006:$AS$1006,0)), HYPERLINK("#",""), HYPERLINK(CONCATENATE("#Metadata!", ADDRESS(INDEX($X$2:$X$1001,MATCH(ROWS($V$2:V625),$V$2:$V$1001,0),0), INDEX($AC$1004:$AS$1004,1,MATCH(COLUMNS($AC$1006:AQ1006),$AC$1006:$AS$1006,0)))),"Fix")))</f>
        <v>0</v>
      </c>
      <c r="Q625" s="5">
        <f>IF(OR(INDEX($W$2:$W$1001,MATCH(ROWS($V$2:V625),$V$2:$V$1001,0),1)&gt;=100000,INDEX($AC$1005:$AS$1005,1,MATCH(COLUMNS($AC$1006:AR1006),$AC$1006:$AS$1006,0))&gt;=100000), " ",IF(INDEX($AC$2:$AS$1001,MATCH(ROWS($V$2:V625),$V$2:$V$1001,0),MATCH(COLUMNS($AC$1006:AR1006),$AC$1006:$AS$1006,0)), HYPERLINK("#",""), HYPERLINK(CONCATENATE("#Metadata!", ADDRESS(INDEX($X$2:$X$1001,MATCH(ROWS($V$2:V625),$V$2:$V$1001,0),0), INDEX($AC$1004:$AS$1004,1,MATCH(COLUMNS($AC$1006:AR1006),$AC$1006:$AS$1006,0)))),"Fix")))</f>
        <v>0</v>
      </c>
      <c r="R625" s="5">
        <f>IF(OR(INDEX($W$2:$W$1001,MATCH(ROWS($V$2:V625),$V$2:$V$1001,0),1)&gt;=100000,INDEX($AC$1005:$AS$1005,1,MATCH(COLUMNS($AC$1006:AS1006),$AC$1006:$AS$1006,0))&gt;=100000), " ",IF(INDEX($AC$2:$AS$1001,MATCH(ROWS($V$2:V625),$V$2:$V$1001,0),MATCH(COLUMNS($AC$1006:AS1006),$AC$1006:$AS$1006,0)), HYPERLINK("#",""), HYPERLINK(CONCATENATE("#Metadata!", ADDRESS(INDEX($X$2:$X$1001,MATCH(ROWS($V$2:V625),$V$2:$V$1001,0),0), INDEX($AC$1004:$AS$1004,1,MATCH(COLUMNS($AC$1006:AS1006),$AC$1006:$AS$1006,0)))),"Fix")))</f>
        <v>0</v>
      </c>
      <c r="V625">
        <v>0</v>
      </c>
      <c r="W625">
        <v>0</v>
      </c>
      <c r="X625">
        <v>0</v>
      </c>
      <c r="Y625">
        <f>IF(Z625,TRUE,AND(AC625:AS625))</f>
        <v>0</v>
      </c>
      <c r="Z625">
        <f>COUNTBLANK(Metadata!B625:R625)=COLUMNS(Metadata!B625:R625)</f>
        <v>0</v>
      </c>
      <c r="AA625">
        <v>0</v>
      </c>
      <c r="AC625">
        <f>AND(IF(Metadata!B625="",FALSE,TRUE),COUNTIF(Metadata!B:B, Metadata!B625) = 1,NOT(ISERROR(SUMPRODUCT(SEARCH(MID(Metadata!B625,ROW(INDIRECT("1:"&amp;LEN(Metadata!B625))), 1),"0123456789abcdefghijklmnopqrstuvwxyzABCDEFGHIJKLMNOPQRSTUVWXYZ.")))))</f>
        <v>0</v>
      </c>
      <c r="AD625">
        <f>AND(IF(Metadata!C625="",FALSE,TRUE),exact(Metadata!C625,"Host-associated"))</f>
        <v>0</v>
      </c>
      <c r="AE625">
        <f>AND(IF(Metadata!D625="",FALSE,TRUE),OR(exact(Metadata!D625,"Animal"),exact(Metadata!D625,"Fungus"),exact(Metadata!D625,"Plant")))</f>
        <v>0</v>
      </c>
      <c r="AF625">
        <f>AND(IF(Metadata!E625="",FALSE,TRUE),OR(exact(Metadata!E625,"Plant secretion"),exact(Metadata!E625,"Plant rhizosphere"),exact(Metadata!E625,"Plant surface"),exact(Metadata!E625,"Plant corpus"),exact(Metadata!E625,"Fungus surface"),exact(Metadata!E625,"Fungus corpus"),exact(Metadata!E625,"Animal surface"),exact(Metadata!E625,"Animal proximal gut"),exact(Metadata!E625,"Animal corpus"),exact(Metadata!E625,"Animal distal gut"),exact(Metadata!E625,"Animal secretion")))</f>
        <v>0</v>
      </c>
      <c r="AG625">
        <f>OR(AND(IF(Metadata!F625="",FALSE,TRUE),OR(exact(Metadata!F625,"not collected"),exact(Metadata!F625,"not provided"),exact(Metadata!F625,"restricted access"))),AND(IF(Metadata!F625="",FALSE,TRUE),OR(exact(Metadata!F625,"organism-associated habitat"),exact(Metadata!F625,"plant-associated habitat"),exact(Metadata!F625,"animal-associated habitat"),exact(Metadata!F625,"insecta-associated habitat"),exact(Metadata!F625,"mammalia-associated habitat"),exact(Metadata!F625,"human-associated habitat"),exact(Metadata!F625,"livestock-associated habitat"))))</f>
        <v>0</v>
      </c>
      <c r="AH625">
        <f>AND(IF(Metadata!G625="",FALSE,TRUE),exact(Metadata!G625,"host-associated"))</f>
        <v>0</v>
      </c>
      <c r="AI625">
        <f>OR(AND(IF(Metadata!H625="",FALSE,TRUE),OR(exact(Metadata!H625,"not collected"),exact(Metadata!H625,"not provided"))),AND(IF(Metadata!H625="",FALSE,ISNUMBER(VALUE(Metadata!H625))),Metadata!H625&gt;0))</f>
        <v>0</v>
      </c>
      <c r="AJ625">
        <f>AND(IF(Metadata!I625="",FALSE,TRUE),exact(Metadata!I625,"years"))</f>
        <v>0</v>
      </c>
      <c r="AK625">
        <f>IF(Metadata!J625="",FALSE,TRUE)</f>
        <v>0</v>
      </c>
      <c r="AL625">
        <f>OR(AND(IF(Metadata!K625="",FALSE,TRUE),OR(exact(Metadata!K625,"not collected"),exact(Metadata!K625,"not provided"))),AND(IF(Metadata!K625="",FALSE,ISNUMBER(VALUE(Metadata!K625))),Metadata!K625&gt;0))</f>
        <v>0</v>
      </c>
      <c r="AM625">
        <f>AND(IF(Metadata!L625="",FALSE,TRUE),exact(Metadata!L625,"cm"))</f>
        <v>0</v>
      </c>
      <c r="AN625">
        <f>IF(Metadata!M625="",FALSE,TRUE)</f>
        <v>0</v>
      </c>
      <c r="AO625">
        <f>OR(AND(IF(Metadata!N625="",FALSE,TRUE),OR(exact(Metadata!N625,"not applicable"),exact(Metadata!N625,"not collected"),exact(Metadata!N625,"not provided"))),AND(IF(Metadata!N625="",FALSE,IF(ISERROR(INT(Metadata!N625)),FALSE,INT(Metadata!N625)=Metadata!N625)),Metadata!N625&gt;0))</f>
        <v>0</v>
      </c>
      <c r="AP625">
        <f>OR(AND(IF(Metadata!O625="",FALSE,TRUE),OR(exact(Metadata!O625,"not collected"),exact(Metadata!O625,"not provided"))),AND(IF(Metadata!O625="",FALSE,ISNUMBER(VALUE(Metadata!O625))),Metadata!O625&gt;0))</f>
        <v>0</v>
      </c>
      <c r="AQ625">
        <f>AND(IF(Metadata!P625="",FALSE,TRUE),exact(Metadata!P625,"kg"))</f>
        <v>0</v>
      </c>
      <c r="AR625">
        <f>OR(AND(IF(Metadata!Q625="",FALSE,TRUE),OR(exact(Metadata!Q625,"not applicable"),exact(Metadata!Q625,"not collected"),exact(Metadata!Q625,"not provided"),exact(Metadata!Q625,"restricted access"))),IF(Metadata!Q625="",FALSE,IF(ISERROR(INT(Metadata!Q625)),FALSE,INT(Metadata!Q625)=Metadata!Q625)))</f>
        <v>0</v>
      </c>
      <c r="AS625">
        <f>AND(IF(Metadata!R625="",FALSE,TRUE),exact(Metadata!R625,"Not applicable"))</f>
        <v>0</v>
      </c>
    </row>
    <row r="626" spans="1:45">
      <c r="A626" s="4">
        <f>IF(B626=" "," ",HYPERLINK(CONCATENATE("#metadata!",ADDRESS(INDEX($X$2:$X$1001,MATCH(ROWS($V$2:V626),$V$2:$V$1001,0),0),2)),INDEX($AA$2:$AA$1001,MATCH(ROWS($V$2:V626),$V$2:$V$1001,0),0)))</f>
        <v>0</v>
      </c>
      <c r="B626" s="5">
        <f>IF(OR(INDEX($W$2:$W$1001,MATCH(ROWS($V$2:V626),$V$2:$V$1001,0),1)&gt;=100000,INDEX($AC$1005:$AS$1005,1,MATCH(COLUMNS($AC$1006:AC1006),$AC$1006:$AS$1006,0))&gt;=100000), " ",IF(INDEX($AC$2:$AS$1001,MATCH(ROWS($V$2:V626),$V$2:$V$1001,0),MATCH(COLUMNS($AC$1006:AC1006),$AC$1006:$AS$1006,0)), HYPERLINK("#",""), HYPERLINK(CONCATENATE("#Metadata!", ADDRESS(INDEX($X$2:$X$1001,MATCH(ROWS($V$2:V626),$V$2:$V$1001,0),0), INDEX($AC$1004:$AS$1004,1,MATCH(COLUMNS($AC$1006:AC1006),$AC$1006:$AS$1006,0)))),"Fix")))</f>
        <v>0</v>
      </c>
      <c r="C626" s="5">
        <f>IF(OR(INDEX($W$2:$W$1001,MATCH(ROWS($V$2:V626),$V$2:$V$1001,0),1)&gt;=100000,INDEX($AC$1005:$AS$1005,1,MATCH(COLUMNS($AC$1006:AD1006),$AC$1006:$AS$1006,0))&gt;=100000), " ",IF(INDEX($AC$2:$AS$1001,MATCH(ROWS($V$2:V626),$V$2:$V$1001,0),MATCH(COLUMNS($AC$1006:AD1006),$AC$1006:$AS$1006,0)), HYPERLINK("#",""), HYPERLINK(CONCATENATE("#Metadata!", ADDRESS(INDEX($X$2:$X$1001,MATCH(ROWS($V$2:V626),$V$2:$V$1001,0),0), INDEX($AC$1004:$AS$1004,1,MATCH(COLUMNS($AC$1006:AD1006),$AC$1006:$AS$1006,0)))),"Fix")))</f>
        <v>0</v>
      </c>
      <c r="D626" s="5">
        <f>IF(OR(INDEX($W$2:$W$1001,MATCH(ROWS($V$2:V626),$V$2:$V$1001,0),1)&gt;=100000,INDEX($AC$1005:$AS$1005,1,MATCH(COLUMNS($AC$1006:AE1006),$AC$1006:$AS$1006,0))&gt;=100000), " ",IF(INDEX($AC$2:$AS$1001,MATCH(ROWS($V$2:V626),$V$2:$V$1001,0),MATCH(COLUMNS($AC$1006:AE1006),$AC$1006:$AS$1006,0)), HYPERLINK("#",""), HYPERLINK(CONCATENATE("#Metadata!", ADDRESS(INDEX($X$2:$X$1001,MATCH(ROWS($V$2:V626),$V$2:$V$1001,0),0), INDEX($AC$1004:$AS$1004,1,MATCH(COLUMNS($AC$1006:AE1006),$AC$1006:$AS$1006,0)))),"Fix")))</f>
        <v>0</v>
      </c>
      <c r="E626" s="5">
        <f>IF(OR(INDEX($W$2:$W$1001,MATCH(ROWS($V$2:V626),$V$2:$V$1001,0),1)&gt;=100000,INDEX($AC$1005:$AS$1005,1,MATCH(COLUMNS($AC$1006:AF1006),$AC$1006:$AS$1006,0))&gt;=100000), " ",IF(INDEX($AC$2:$AS$1001,MATCH(ROWS($V$2:V626),$V$2:$V$1001,0),MATCH(COLUMNS($AC$1006:AF1006),$AC$1006:$AS$1006,0)), HYPERLINK("#",""), HYPERLINK(CONCATENATE("#Metadata!", ADDRESS(INDEX($X$2:$X$1001,MATCH(ROWS($V$2:V626),$V$2:$V$1001,0),0), INDEX($AC$1004:$AS$1004,1,MATCH(COLUMNS($AC$1006:AF1006),$AC$1006:$AS$1006,0)))),"Fix")))</f>
        <v>0</v>
      </c>
      <c r="F626" s="5">
        <f>IF(OR(INDEX($W$2:$W$1001,MATCH(ROWS($V$2:V626),$V$2:$V$1001,0),1)&gt;=100000,INDEX($AC$1005:$AS$1005,1,MATCH(COLUMNS($AC$1006:AG1006),$AC$1006:$AS$1006,0))&gt;=100000), " ",IF(INDEX($AC$2:$AS$1001,MATCH(ROWS($V$2:V626),$V$2:$V$1001,0),MATCH(COLUMNS($AC$1006:AG1006),$AC$1006:$AS$1006,0)), HYPERLINK("#",""), HYPERLINK(CONCATENATE("#Metadata!", ADDRESS(INDEX($X$2:$X$1001,MATCH(ROWS($V$2:V626),$V$2:$V$1001,0),0), INDEX($AC$1004:$AS$1004,1,MATCH(COLUMNS($AC$1006:AG1006),$AC$1006:$AS$1006,0)))),"Fix")))</f>
        <v>0</v>
      </c>
      <c r="G626" s="5">
        <f>IF(OR(INDEX($W$2:$W$1001,MATCH(ROWS($V$2:V626),$V$2:$V$1001,0),1)&gt;=100000,INDEX($AC$1005:$AS$1005,1,MATCH(COLUMNS($AC$1006:AH1006),$AC$1006:$AS$1006,0))&gt;=100000), " ",IF(INDEX($AC$2:$AS$1001,MATCH(ROWS($V$2:V626),$V$2:$V$1001,0),MATCH(COLUMNS($AC$1006:AH1006),$AC$1006:$AS$1006,0)), HYPERLINK("#",""), HYPERLINK(CONCATENATE("#Metadata!", ADDRESS(INDEX($X$2:$X$1001,MATCH(ROWS($V$2:V626),$V$2:$V$1001,0),0), INDEX($AC$1004:$AS$1004,1,MATCH(COLUMNS($AC$1006:AH1006),$AC$1006:$AS$1006,0)))),"Fix")))</f>
        <v>0</v>
      </c>
      <c r="H626" s="5">
        <f>IF(OR(INDEX($W$2:$W$1001,MATCH(ROWS($V$2:V626),$V$2:$V$1001,0),1)&gt;=100000,INDEX($AC$1005:$AS$1005,1,MATCH(COLUMNS($AC$1006:AI1006),$AC$1006:$AS$1006,0))&gt;=100000), " ",IF(INDEX($AC$2:$AS$1001,MATCH(ROWS($V$2:V626),$V$2:$V$1001,0),MATCH(COLUMNS($AC$1006:AI1006),$AC$1006:$AS$1006,0)), HYPERLINK("#",""), HYPERLINK(CONCATENATE("#Metadata!", ADDRESS(INDEX($X$2:$X$1001,MATCH(ROWS($V$2:V626),$V$2:$V$1001,0),0), INDEX($AC$1004:$AS$1004,1,MATCH(COLUMNS($AC$1006:AI1006),$AC$1006:$AS$1006,0)))),"Fix")))</f>
        <v>0</v>
      </c>
      <c r="I626" s="5">
        <f>IF(OR(INDEX($W$2:$W$1001,MATCH(ROWS($V$2:V626),$V$2:$V$1001,0),1)&gt;=100000,INDEX($AC$1005:$AS$1005,1,MATCH(COLUMNS($AC$1006:AJ1006),$AC$1006:$AS$1006,0))&gt;=100000), " ",IF(INDEX($AC$2:$AS$1001,MATCH(ROWS($V$2:V626),$V$2:$V$1001,0),MATCH(COLUMNS($AC$1006:AJ1006),$AC$1006:$AS$1006,0)), HYPERLINK("#",""), HYPERLINK(CONCATENATE("#Metadata!", ADDRESS(INDEX($X$2:$X$1001,MATCH(ROWS($V$2:V626),$V$2:$V$1001,0),0), INDEX($AC$1004:$AS$1004,1,MATCH(COLUMNS($AC$1006:AJ1006),$AC$1006:$AS$1006,0)))),"Fix")))</f>
        <v>0</v>
      </c>
      <c r="J626" s="5">
        <f>IF(OR(INDEX($W$2:$W$1001,MATCH(ROWS($V$2:V626),$V$2:$V$1001,0),1)&gt;=100000,INDEX($AC$1005:$AS$1005,1,MATCH(COLUMNS($AC$1006:AK1006),$AC$1006:$AS$1006,0))&gt;=100000), " ",IF(INDEX($AC$2:$AS$1001,MATCH(ROWS($V$2:V626),$V$2:$V$1001,0),MATCH(COLUMNS($AC$1006:AK1006),$AC$1006:$AS$1006,0)), HYPERLINK("#",""), HYPERLINK(CONCATENATE("#Metadata!", ADDRESS(INDEX($X$2:$X$1001,MATCH(ROWS($V$2:V626),$V$2:$V$1001,0),0), INDEX($AC$1004:$AS$1004,1,MATCH(COLUMNS($AC$1006:AK1006),$AC$1006:$AS$1006,0)))),"Fix")))</f>
        <v>0</v>
      </c>
      <c r="K626" s="5">
        <f>IF(OR(INDEX($W$2:$W$1001,MATCH(ROWS($V$2:V626),$V$2:$V$1001,0),1)&gt;=100000,INDEX($AC$1005:$AS$1005,1,MATCH(COLUMNS($AC$1006:AL1006),$AC$1006:$AS$1006,0))&gt;=100000), " ",IF(INDEX($AC$2:$AS$1001,MATCH(ROWS($V$2:V626),$V$2:$V$1001,0),MATCH(COLUMNS($AC$1006:AL1006),$AC$1006:$AS$1006,0)), HYPERLINK("#",""), HYPERLINK(CONCATENATE("#Metadata!", ADDRESS(INDEX($X$2:$X$1001,MATCH(ROWS($V$2:V626),$V$2:$V$1001,0),0), INDEX($AC$1004:$AS$1004,1,MATCH(COLUMNS($AC$1006:AL1006),$AC$1006:$AS$1006,0)))),"Fix")))</f>
        <v>0</v>
      </c>
      <c r="L626" s="5">
        <f>IF(OR(INDEX($W$2:$W$1001,MATCH(ROWS($V$2:V626),$V$2:$V$1001,0),1)&gt;=100000,INDEX($AC$1005:$AS$1005,1,MATCH(COLUMNS($AC$1006:AM1006),$AC$1006:$AS$1006,0))&gt;=100000), " ",IF(INDEX($AC$2:$AS$1001,MATCH(ROWS($V$2:V626),$V$2:$V$1001,0),MATCH(COLUMNS($AC$1006:AM1006),$AC$1006:$AS$1006,0)), HYPERLINK("#",""), HYPERLINK(CONCATENATE("#Metadata!", ADDRESS(INDEX($X$2:$X$1001,MATCH(ROWS($V$2:V626),$V$2:$V$1001,0),0), INDEX($AC$1004:$AS$1004,1,MATCH(COLUMNS($AC$1006:AM1006),$AC$1006:$AS$1006,0)))),"Fix")))</f>
        <v>0</v>
      </c>
      <c r="M626" s="5">
        <f>IF(OR(INDEX($W$2:$W$1001,MATCH(ROWS($V$2:V626),$V$2:$V$1001,0),1)&gt;=100000,INDEX($AC$1005:$AS$1005,1,MATCH(COLUMNS($AC$1006:AN1006),$AC$1006:$AS$1006,0))&gt;=100000), " ",IF(INDEX($AC$2:$AS$1001,MATCH(ROWS($V$2:V626),$V$2:$V$1001,0),MATCH(COLUMNS($AC$1006:AN1006),$AC$1006:$AS$1006,0)), HYPERLINK("#",""), HYPERLINK(CONCATENATE("#Metadata!", ADDRESS(INDEX($X$2:$X$1001,MATCH(ROWS($V$2:V626),$V$2:$V$1001,0),0), INDEX($AC$1004:$AS$1004,1,MATCH(COLUMNS($AC$1006:AN1006),$AC$1006:$AS$1006,0)))),"Fix")))</f>
        <v>0</v>
      </c>
      <c r="N626" s="5">
        <f>IF(OR(INDEX($W$2:$W$1001,MATCH(ROWS($V$2:V626),$V$2:$V$1001,0),1)&gt;=100000,INDEX($AC$1005:$AS$1005,1,MATCH(COLUMNS($AC$1006:AO1006),$AC$1006:$AS$1006,0))&gt;=100000), " ",IF(INDEX($AC$2:$AS$1001,MATCH(ROWS($V$2:V626),$V$2:$V$1001,0),MATCH(COLUMNS($AC$1006:AO1006),$AC$1006:$AS$1006,0)), HYPERLINK("#",""), HYPERLINK(CONCATENATE("#Metadata!", ADDRESS(INDEX($X$2:$X$1001,MATCH(ROWS($V$2:V626),$V$2:$V$1001,0),0), INDEX($AC$1004:$AS$1004,1,MATCH(COLUMNS($AC$1006:AO1006),$AC$1006:$AS$1006,0)))),"Fix")))</f>
        <v>0</v>
      </c>
      <c r="O626" s="5">
        <f>IF(OR(INDEX($W$2:$W$1001,MATCH(ROWS($V$2:V626),$V$2:$V$1001,0),1)&gt;=100000,INDEX($AC$1005:$AS$1005,1,MATCH(COLUMNS($AC$1006:AP1006),$AC$1006:$AS$1006,0))&gt;=100000), " ",IF(INDEX($AC$2:$AS$1001,MATCH(ROWS($V$2:V626),$V$2:$V$1001,0),MATCH(COLUMNS($AC$1006:AP1006),$AC$1006:$AS$1006,0)), HYPERLINK("#",""), HYPERLINK(CONCATENATE("#Metadata!", ADDRESS(INDEX($X$2:$X$1001,MATCH(ROWS($V$2:V626),$V$2:$V$1001,0),0), INDEX($AC$1004:$AS$1004,1,MATCH(COLUMNS($AC$1006:AP1006),$AC$1006:$AS$1006,0)))),"Fix")))</f>
        <v>0</v>
      </c>
      <c r="P626" s="5">
        <f>IF(OR(INDEX($W$2:$W$1001,MATCH(ROWS($V$2:V626),$V$2:$V$1001,0),1)&gt;=100000,INDEX($AC$1005:$AS$1005,1,MATCH(COLUMNS($AC$1006:AQ1006),$AC$1006:$AS$1006,0))&gt;=100000), " ",IF(INDEX($AC$2:$AS$1001,MATCH(ROWS($V$2:V626),$V$2:$V$1001,0),MATCH(COLUMNS($AC$1006:AQ1006),$AC$1006:$AS$1006,0)), HYPERLINK("#",""), HYPERLINK(CONCATENATE("#Metadata!", ADDRESS(INDEX($X$2:$X$1001,MATCH(ROWS($V$2:V626),$V$2:$V$1001,0),0), INDEX($AC$1004:$AS$1004,1,MATCH(COLUMNS($AC$1006:AQ1006),$AC$1006:$AS$1006,0)))),"Fix")))</f>
        <v>0</v>
      </c>
      <c r="Q626" s="5">
        <f>IF(OR(INDEX($W$2:$W$1001,MATCH(ROWS($V$2:V626),$V$2:$V$1001,0),1)&gt;=100000,INDEX($AC$1005:$AS$1005,1,MATCH(COLUMNS($AC$1006:AR1006),$AC$1006:$AS$1006,0))&gt;=100000), " ",IF(INDEX($AC$2:$AS$1001,MATCH(ROWS($V$2:V626),$V$2:$V$1001,0),MATCH(COLUMNS($AC$1006:AR1006),$AC$1006:$AS$1006,0)), HYPERLINK("#",""), HYPERLINK(CONCATENATE("#Metadata!", ADDRESS(INDEX($X$2:$X$1001,MATCH(ROWS($V$2:V626),$V$2:$V$1001,0),0), INDEX($AC$1004:$AS$1004,1,MATCH(COLUMNS($AC$1006:AR1006),$AC$1006:$AS$1006,0)))),"Fix")))</f>
        <v>0</v>
      </c>
      <c r="R626" s="5">
        <f>IF(OR(INDEX($W$2:$W$1001,MATCH(ROWS($V$2:V626),$V$2:$V$1001,0),1)&gt;=100000,INDEX($AC$1005:$AS$1005,1,MATCH(COLUMNS($AC$1006:AS1006),$AC$1006:$AS$1006,0))&gt;=100000), " ",IF(INDEX($AC$2:$AS$1001,MATCH(ROWS($V$2:V626),$V$2:$V$1001,0),MATCH(COLUMNS($AC$1006:AS1006),$AC$1006:$AS$1006,0)), HYPERLINK("#",""), HYPERLINK(CONCATENATE("#Metadata!", ADDRESS(INDEX($X$2:$X$1001,MATCH(ROWS($V$2:V626),$V$2:$V$1001,0),0), INDEX($AC$1004:$AS$1004,1,MATCH(COLUMNS($AC$1006:AS1006),$AC$1006:$AS$1006,0)))),"Fix")))</f>
        <v>0</v>
      </c>
      <c r="V626">
        <v>0</v>
      </c>
      <c r="W626">
        <v>0</v>
      </c>
      <c r="X626">
        <v>0</v>
      </c>
      <c r="Y626">
        <f>IF(Z626,TRUE,AND(AC626:AS626))</f>
        <v>0</v>
      </c>
      <c r="Z626">
        <f>COUNTBLANK(Metadata!B626:R626)=COLUMNS(Metadata!B626:R626)</f>
        <v>0</v>
      </c>
      <c r="AA626">
        <v>0</v>
      </c>
      <c r="AC626">
        <f>AND(IF(Metadata!B626="",FALSE,TRUE),COUNTIF(Metadata!B:B, Metadata!B626) = 1,NOT(ISERROR(SUMPRODUCT(SEARCH(MID(Metadata!B626,ROW(INDIRECT("1:"&amp;LEN(Metadata!B626))), 1),"0123456789abcdefghijklmnopqrstuvwxyzABCDEFGHIJKLMNOPQRSTUVWXYZ.")))))</f>
        <v>0</v>
      </c>
      <c r="AD626">
        <f>AND(IF(Metadata!C626="",FALSE,TRUE),exact(Metadata!C626,"Host-associated"))</f>
        <v>0</v>
      </c>
      <c r="AE626">
        <f>AND(IF(Metadata!D626="",FALSE,TRUE),OR(exact(Metadata!D626,"Animal"),exact(Metadata!D626,"Fungus"),exact(Metadata!D626,"Plant")))</f>
        <v>0</v>
      </c>
      <c r="AF626">
        <f>AND(IF(Metadata!E626="",FALSE,TRUE),OR(exact(Metadata!E626,"Plant secretion"),exact(Metadata!E626,"Plant rhizosphere"),exact(Metadata!E626,"Plant surface"),exact(Metadata!E626,"Plant corpus"),exact(Metadata!E626,"Fungus surface"),exact(Metadata!E626,"Fungus corpus"),exact(Metadata!E626,"Animal surface"),exact(Metadata!E626,"Animal proximal gut"),exact(Metadata!E626,"Animal corpus"),exact(Metadata!E626,"Animal distal gut"),exact(Metadata!E626,"Animal secretion")))</f>
        <v>0</v>
      </c>
      <c r="AG626">
        <f>OR(AND(IF(Metadata!F626="",FALSE,TRUE),OR(exact(Metadata!F626,"not collected"),exact(Metadata!F626,"not provided"),exact(Metadata!F626,"restricted access"))),AND(IF(Metadata!F626="",FALSE,TRUE),OR(exact(Metadata!F626,"organism-associated habitat"),exact(Metadata!F626,"plant-associated habitat"),exact(Metadata!F626,"animal-associated habitat"),exact(Metadata!F626,"insecta-associated habitat"),exact(Metadata!F626,"mammalia-associated habitat"),exact(Metadata!F626,"human-associated habitat"),exact(Metadata!F626,"livestock-associated habitat"))))</f>
        <v>0</v>
      </c>
      <c r="AH626">
        <f>AND(IF(Metadata!G626="",FALSE,TRUE),exact(Metadata!G626,"host-associated"))</f>
        <v>0</v>
      </c>
      <c r="AI626">
        <f>OR(AND(IF(Metadata!H626="",FALSE,TRUE),OR(exact(Metadata!H626,"not collected"),exact(Metadata!H626,"not provided"))),AND(IF(Metadata!H626="",FALSE,ISNUMBER(VALUE(Metadata!H626))),Metadata!H626&gt;0))</f>
        <v>0</v>
      </c>
      <c r="AJ626">
        <f>AND(IF(Metadata!I626="",FALSE,TRUE),exact(Metadata!I626,"years"))</f>
        <v>0</v>
      </c>
      <c r="AK626">
        <f>IF(Metadata!J626="",FALSE,TRUE)</f>
        <v>0</v>
      </c>
      <c r="AL626">
        <f>OR(AND(IF(Metadata!K626="",FALSE,TRUE),OR(exact(Metadata!K626,"not collected"),exact(Metadata!K626,"not provided"))),AND(IF(Metadata!K626="",FALSE,ISNUMBER(VALUE(Metadata!K626))),Metadata!K626&gt;0))</f>
        <v>0</v>
      </c>
      <c r="AM626">
        <f>AND(IF(Metadata!L626="",FALSE,TRUE),exact(Metadata!L626,"cm"))</f>
        <v>0</v>
      </c>
      <c r="AN626">
        <f>IF(Metadata!M626="",FALSE,TRUE)</f>
        <v>0</v>
      </c>
      <c r="AO626">
        <f>OR(AND(IF(Metadata!N626="",FALSE,TRUE),OR(exact(Metadata!N626,"not applicable"),exact(Metadata!N626,"not collected"),exact(Metadata!N626,"not provided"))),AND(IF(Metadata!N626="",FALSE,IF(ISERROR(INT(Metadata!N626)),FALSE,INT(Metadata!N626)=Metadata!N626)),Metadata!N626&gt;0))</f>
        <v>0</v>
      </c>
      <c r="AP626">
        <f>OR(AND(IF(Metadata!O626="",FALSE,TRUE),OR(exact(Metadata!O626,"not collected"),exact(Metadata!O626,"not provided"))),AND(IF(Metadata!O626="",FALSE,ISNUMBER(VALUE(Metadata!O626))),Metadata!O626&gt;0))</f>
        <v>0</v>
      </c>
      <c r="AQ626">
        <f>AND(IF(Metadata!P626="",FALSE,TRUE),exact(Metadata!P626,"kg"))</f>
        <v>0</v>
      </c>
      <c r="AR626">
        <f>OR(AND(IF(Metadata!Q626="",FALSE,TRUE),OR(exact(Metadata!Q626,"not applicable"),exact(Metadata!Q626,"not collected"),exact(Metadata!Q626,"not provided"),exact(Metadata!Q626,"restricted access"))),IF(Metadata!Q626="",FALSE,IF(ISERROR(INT(Metadata!Q626)),FALSE,INT(Metadata!Q626)=Metadata!Q626)))</f>
        <v>0</v>
      </c>
      <c r="AS626">
        <f>AND(IF(Metadata!R626="",FALSE,TRUE),exact(Metadata!R626,"Not applicable"))</f>
        <v>0</v>
      </c>
    </row>
    <row r="627" spans="1:45">
      <c r="A627" s="4">
        <f>IF(B627=" "," ",HYPERLINK(CONCATENATE("#metadata!",ADDRESS(INDEX($X$2:$X$1001,MATCH(ROWS($V$2:V627),$V$2:$V$1001,0),0),2)),INDEX($AA$2:$AA$1001,MATCH(ROWS($V$2:V627),$V$2:$V$1001,0),0)))</f>
        <v>0</v>
      </c>
      <c r="B627" s="5">
        <f>IF(OR(INDEX($W$2:$W$1001,MATCH(ROWS($V$2:V627),$V$2:$V$1001,0),1)&gt;=100000,INDEX($AC$1005:$AS$1005,1,MATCH(COLUMNS($AC$1006:AC1006),$AC$1006:$AS$1006,0))&gt;=100000), " ",IF(INDEX($AC$2:$AS$1001,MATCH(ROWS($V$2:V627),$V$2:$V$1001,0),MATCH(COLUMNS($AC$1006:AC1006),$AC$1006:$AS$1006,0)), HYPERLINK("#",""), HYPERLINK(CONCATENATE("#Metadata!", ADDRESS(INDEX($X$2:$X$1001,MATCH(ROWS($V$2:V627),$V$2:$V$1001,0),0), INDEX($AC$1004:$AS$1004,1,MATCH(COLUMNS($AC$1006:AC1006),$AC$1006:$AS$1006,0)))),"Fix")))</f>
        <v>0</v>
      </c>
      <c r="C627" s="5">
        <f>IF(OR(INDEX($W$2:$W$1001,MATCH(ROWS($V$2:V627),$V$2:$V$1001,0),1)&gt;=100000,INDEX($AC$1005:$AS$1005,1,MATCH(COLUMNS($AC$1006:AD1006),$AC$1006:$AS$1006,0))&gt;=100000), " ",IF(INDEX($AC$2:$AS$1001,MATCH(ROWS($V$2:V627),$V$2:$V$1001,0),MATCH(COLUMNS($AC$1006:AD1006),$AC$1006:$AS$1006,0)), HYPERLINK("#",""), HYPERLINK(CONCATENATE("#Metadata!", ADDRESS(INDEX($X$2:$X$1001,MATCH(ROWS($V$2:V627),$V$2:$V$1001,0),0), INDEX($AC$1004:$AS$1004,1,MATCH(COLUMNS($AC$1006:AD1006),$AC$1006:$AS$1006,0)))),"Fix")))</f>
        <v>0</v>
      </c>
      <c r="D627" s="5">
        <f>IF(OR(INDEX($W$2:$W$1001,MATCH(ROWS($V$2:V627),$V$2:$V$1001,0),1)&gt;=100000,INDEX($AC$1005:$AS$1005,1,MATCH(COLUMNS($AC$1006:AE1006),$AC$1006:$AS$1006,0))&gt;=100000), " ",IF(INDEX($AC$2:$AS$1001,MATCH(ROWS($V$2:V627),$V$2:$V$1001,0),MATCH(COLUMNS($AC$1006:AE1006),$AC$1006:$AS$1006,0)), HYPERLINK("#",""), HYPERLINK(CONCATENATE("#Metadata!", ADDRESS(INDEX($X$2:$X$1001,MATCH(ROWS($V$2:V627),$V$2:$V$1001,0),0), INDEX($AC$1004:$AS$1004,1,MATCH(COLUMNS($AC$1006:AE1006),$AC$1006:$AS$1006,0)))),"Fix")))</f>
        <v>0</v>
      </c>
      <c r="E627" s="5">
        <f>IF(OR(INDEX($W$2:$W$1001,MATCH(ROWS($V$2:V627),$V$2:$V$1001,0),1)&gt;=100000,INDEX($AC$1005:$AS$1005,1,MATCH(COLUMNS($AC$1006:AF1006),$AC$1006:$AS$1006,0))&gt;=100000), " ",IF(INDEX($AC$2:$AS$1001,MATCH(ROWS($V$2:V627),$V$2:$V$1001,0),MATCH(COLUMNS($AC$1006:AF1006),$AC$1006:$AS$1006,0)), HYPERLINK("#",""), HYPERLINK(CONCATENATE("#Metadata!", ADDRESS(INDEX($X$2:$X$1001,MATCH(ROWS($V$2:V627),$V$2:$V$1001,0),0), INDEX($AC$1004:$AS$1004,1,MATCH(COLUMNS($AC$1006:AF1006),$AC$1006:$AS$1006,0)))),"Fix")))</f>
        <v>0</v>
      </c>
      <c r="F627" s="5">
        <f>IF(OR(INDEX($W$2:$W$1001,MATCH(ROWS($V$2:V627),$V$2:$V$1001,0),1)&gt;=100000,INDEX($AC$1005:$AS$1005,1,MATCH(COLUMNS($AC$1006:AG1006),$AC$1006:$AS$1006,0))&gt;=100000), " ",IF(INDEX($AC$2:$AS$1001,MATCH(ROWS($V$2:V627),$V$2:$V$1001,0),MATCH(COLUMNS($AC$1006:AG1006),$AC$1006:$AS$1006,0)), HYPERLINK("#",""), HYPERLINK(CONCATENATE("#Metadata!", ADDRESS(INDEX($X$2:$X$1001,MATCH(ROWS($V$2:V627),$V$2:$V$1001,0),0), INDEX($AC$1004:$AS$1004,1,MATCH(COLUMNS($AC$1006:AG1006),$AC$1006:$AS$1006,0)))),"Fix")))</f>
        <v>0</v>
      </c>
      <c r="G627" s="5">
        <f>IF(OR(INDEX($W$2:$W$1001,MATCH(ROWS($V$2:V627),$V$2:$V$1001,0),1)&gt;=100000,INDEX($AC$1005:$AS$1005,1,MATCH(COLUMNS($AC$1006:AH1006),$AC$1006:$AS$1006,0))&gt;=100000), " ",IF(INDEX($AC$2:$AS$1001,MATCH(ROWS($V$2:V627),$V$2:$V$1001,0),MATCH(COLUMNS($AC$1006:AH1006),$AC$1006:$AS$1006,0)), HYPERLINK("#",""), HYPERLINK(CONCATENATE("#Metadata!", ADDRESS(INDEX($X$2:$X$1001,MATCH(ROWS($V$2:V627),$V$2:$V$1001,0),0), INDEX($AC$1004:$AS$1004,1,MATCH(COLUMNS($AC$1006:AH1006),$AC$1006:$AS$1006,0)))),"Fix")))</f>
        <v>0</v>
      </c>
      <c r="H627" s="5">
        <f>IF(OR(INDEX($W$2:$W$1001,MATCH(ROWS($V$2:V627),$V$2:$V$1001,0),1)&gt;=100000,INDEX($AC$1005:$AS$1005,1,MATCH(COLUMNS($AC$1006:AI1006),$AC$1006:$AS$1006,0))&gt;=100000), " ",IF(INDEX($AC$2:$AS$1001,MATCH(ROWS($V$2:V627),$V$2:$V$1001,0),MATCH(COLUMNS($AC$1006:AI1006),$AC$1006:$AS$1006,0)), HYPERLINK("#",""), HYPERLINK(CONCATENATE("#Metadata!", ADDRESS(INDEX($X$2:$X$1001,MATCH(ROWS($V$2:V627),$V$2:$V$1001,0),0), INDEX($AC$1004:$AS$1004,1,MATCH(COLUMNS($AC$1006:AI1006),$AC$1006:$AS$1006,0)))),"Fix")))</f>
        <v>0</v>
      </c>
      <c r="I627" s="5">
        <f>IF(OR(INDEX($W$2:$W$1001,MATCH(ROWS($V$2:V627),$V$2:$V$1001,0),1)&gt;=100000,INDEX($AC$1005:$AS$1005,1,MATCH(COLUMNS($AC$1006:AJ1006),$AC$1006:$AS$1006,0))&gt;=100000), " ",IF(INDEX($AC$2:$AS$1001,MATCH(ROWS($V$2:V627),$V$2:$V$1001,0),MATCH(COLUMNS($AC$1006:AJ1006),$AC$1006:$AS$1006,0)), HYPERLINK("#",""), HYPERLINK(CONCATENATE("#Metadata!", ADDRESS(INDEX($X$2:$X$1001,MATCH(ROWS($V$2:V627),$V$2:$V$1001,0),0), INDEX($AC$1004:$AS$1004,1,MATCH(COLUMNS($AC$1006:AJ1006),$AC$1006:$AS$1006,0)))),"Fix")))</f>
        <v>0</v>
      </c>
      <c r="J627" s="5">
        <f>IF(OR(INDEX($W$2:$W$1001,MATCH(ROWS($V$2:V627),$V$2:$V$1001,0),1)&gt;=100000,INDEX($AC$1005:$AS$1005,1,MATCH(COLUMNS($AC$1006:AK1006),$AC$1006:$AS$1006,0))&gt;=100000), " ",IF(INDEX($AC$2:$AS$1001,MATCH(ROWS($V$2:V627),$V$2:$V$1001,0),MATCH(COLUMNS($AC$1006:AK1006),$AC$1006:$AS$1006,0)), HYPERLINK("#",""), HYPERLINK(CONCATENATE("#Metadata!", ADDRESS(INDEX($X$2:$X$1001,MATCH(ROWS($V$2:V627),$V$2:$V$1001,0),0), INDEX($AC$1004:$AS$1004,1,MATCH(COLUMNS($AC$1006:AK1006),$AC$1006:$AS$1006,0)))),"Fix")))</f>
        <v>0</v>
      </c>
      <c r="K627" s="5">
        <f>IF(OR(INDEX($W$2:$W$1001,MATCH(ROWS($V$2:V627),$V$2:$V$1001,0),1)&gt;=100000,INDEX($AC$1005:$AS$1005,1,MATCH(COLUMNS($AC$1006:AL1006),$AC$1006:$AS$1006,0))&gt;=100000), " ",IF(INDEX($AC$2:$AS$1001,MATCH(ROWS($V$2:V627),$V$2:$V$1001,0),MATCH(COLUMNS($AC$1006:AL1006),$AC$1006:$AS$1006,0)), HYPERLINK("#",""), HYPERLINK(CONCATENATE("#Metadata!", ADDRESS(INDEX($X$2:$X$1001,MATCH(ROWS($V$2:V627),$V$2:$V$1001,0),0), INDEX($AC$1004:$AS$1004,1,MATCH(COLUMNS($AC$1006:AL1006),$AC$1006:$AS$1006,0)))),"Fix")))</f>
        <v>0</v>
      </c>
      <c r="L627" s="5">
        <f>IF(OR(INDEX($W$2:$W$1001,MATCH(ROWS($V$2:V627),$V$2:$V$1001,0),1)&gt;=100000,INDEX($AC$1005:$AS$1005,1,MATCH(COLUMNS($AC$1006:AM1006),$AC$1006:$AS$1006,0))&gt;=100000), " ",IF(INDEX($AC$2:$AS$1001,MATCH(ROWS($V$2:V627),$V$2:$V$1001,0),MATCH(COLUMNS($AC$1006:AM1006),$AC$1006:$AS$1006,0)), HYPERLINK("#",""), HYPERLINK(CONCATENATE("#Metadata!", ADDRESS(INDEX($X$2:$X$1001,MATCH(ROWS($V$2:V627),$V$2:$V$1001,0),0), INDEX($AC$1004:$AS$1004,1,MATCH(COLUMNS($AC$1006:AM1006),$AC$1006:$AS$1006,0)))),"Fix")))</f>
        <v>0</v>
      </c>
      <c r="M627" s="5">
        <f>IF(OR(INDEX($W$2:$W$1001,MATCH(ROWS($V$2:V627),$V$2:$V$1001,0),1)&gt;=100000,INDEX($AC$1005:$AS$1005,1,MATCH(COLUMNS($AC$1006:AN1006),$AC$1006:$AS$1006,0))&gt;=100000), " ",IF(INDEX($AC$2:$AS$1001,MATCH(ROWS($V$2:V627),$V$2:$V$1001,0),MATCH(COLUMNS($AC$1006:AN1006),$AC$1006:$AS$1006,0)), HYPERLINK("#",""), HYPERLINK(CONCATENATE("#Metadata!", ADDRESS(INDEX($X$2:$X$1001,MATCH(ROWS($V$2:V627),$V$2:$V$1001,0),0), INDEX($AC$1004:$AS$1004,1,MATCH(COLUMNS($AC$1006:AN1006),$AC$1006:$AS$1006,0)))),"Fix")))</f>
        <v>0</v>
      </c>
      <c r="N627" s="5">
        <f>IF(OR(INDEX($W$2:$W$1001,MATCH(ROWS($V$2:V627),$V$2:$V$1001,0),1)&gt;=100000,INDEX($AC$1005:$AS$1005,1,MATCH(COLUMNS($AC$1006:AO1006),$AC$1006:$AS$1006,0))&gt;=100000), " ",IF(INDEX($AC$2:$AS$1001,MATCH(ROWS($V$2:V627),$V$2:$V$1001,0),MATCH(COLUMNS($AC$1006:AO1006),$AC$1006:$AS$1006,0)), HYPERLINK("#",""), HYPERLINK(CONCATENATE("#Metadata!", ADDRESS(INDEX($X$2:$X$1001,MATCH(ROWS($V$2:V627),$V$2:$V$1001,0),0), INDEX($AC$1004:$AS$1004,1,MATCH(COLUMNS($AC$1006:AO1006),$AC$1006:$AS$1006,0)))),"Fix")))</f>
        <v>0</v>
      </c>
      <c r="O627" s="5">
        <f>IF(OR(INDEX($W$2:$W$1001,MATCH(ROWS($V$2:V627),$V$2:$V$1001,0),1)&gt;=100000,INDEX($AC$1005:$AS$1005,1,MATCH(COLUMNS($AC$1006:AP1006),$AC$1006:$AS$1006,0))&gt;=100000), " ",IF(INDEX($AC$2:$AS$1001,MATCH(ROWS($V$2:V627),$V$2:$V$1001,0),MATCH(COLUMNS($AC$1006:AP1006),$AC$1006:$AS$1006,0)), HYPERLINK("#",""), HYPERLINK(CONCATENATE("#Metadata!", ADDRESS(INDEX($X$2:$X$1001,MATCH(ROWS($V$2:V627),$V$2:$V$1001,0),0), INDEX($AC$1004:$AS$1004,1,MATCH(COLUMNS($AC$1006:AP1006),$AC$1006:$AS$1006,0)))),"Fix")))</f>
        <v>0</v>
      </c>
      <c r="P627" s="5">
        <f>IF(OR(INDEX($W$2:$W$1001,MATCH(ROWS($V$2:V627),$V$2:$V$1001,0),1)&gt;=100000,INDEX($AC$1005:$AS$1005,1,MATCH(COLUMNS($AC$1006:AQ1006),$AC$1006:$AS$1006,0))&gt;=100000), " ",IF(INDEX($AC$2:$AS$1001,MATCH(ROWS($V$2:V627),$V$2:$V$1001,0),MATCH(COLUMNS($AC$1006:AQ1006),$AC$1006:$AS$1006,0)), HYPERLINK("#",""), HYPERLINK(CONCATENATE("#Metadata!", ADDRESS(INDEX($X$2:$X$1001,MATCH(ROWS($V$2:V627),$V$2:$V$1001,0),0), INDEX($AC$1004:$AS$1004,1,MATCH(COLUMNS($AC$1006:AQ1006),$AC$1006:$AS$1006,0)))),"Fix")))</f>
        <v>0</v>
      </c>
      <c r="Q627" s="5">
        <f>IF(OR(INDEX($W$2:$W$1001,MATCH(ROWS($V$2:V627),$V$2:$V$1001,0),1)&gt;=100000,INDEX($AC$1005:$AS$1005,1,MATCH(COLUMNS($AC$1006:AR1006),$AC$1006:$AS$1006,0))&gt;=100000), " ",IF(INDEX($AC$2:$AS$1001,MATCH(ROWS($V$2:V627),$V$2:$V$1001,0),MATCH(COLUMNS($AC$1006:AR1006),$AC$1006:$AS$1006,0)), HYPERLINK("#",""), HYPERLINK(CONCATENATE("#Metadata!", ADDRESS(INDEX($X$2:$X$1001,MATCH(ROWS($V$2:V627),$V$2:$V$1001,0),0), INDEX($AC$1004:$AS$1004,1,MATCH(COLUMNS($AC$1006:AR1006),$AC$1006:$AS$1006,0)))),"Fix")))</f>
        <v>0</v>
      </c>
      <c r="R627" s="5">
        <f>IF(OR(INDEX($W$2:$W$1001,MATCH(ROWS($V$2:V627),$V$2:$V$1001,0),1)&gt;=100000,INDEX($AC$1005:$AS$1005,1,MATCH(COLUMNS($AC$1006:AS1006),$AC$1006:$AS$1006,0))&gt;=100000), " ",IF(INDEX($AC$2:$AS$1001,MATCH(ROWS($V$2:V627),$V$2:$V$1001,0),MATCH(COLUMNS($AC$1006:AS1006),$AC$1006:$AS$1006,0)), HYPERLINK("#",""), HYPERLINK(CONCATENATE("#Metadata!", ADDRESS(INDEX($X$2:$X$1001,MATCH(ROWS($V$2:V627),$V$2:$V$1001,0),0), INDEX($AC$1004:$AS$1004,1,MATCH(COLUMNS($AC$1006:AS1006),$AC$1006:$AS$1006,0)))),"Fix")))</f>
        <v>0</v>
      </c>
      <c r="V627">
        <v>0</v>
      </c>
      <c r="W627">
        <v>0</v>
      </c>
      <c r="X627">
        <v>0</v>
      </c>
      <c r="Y627">
        <f>IF(Z627,TRUE,AND(AC627:AS627))</f>
        <v>0</v>
      </c>
      <c r="Z627">
        <f>COUNTBLANK(Metadata!B627:R627)=COLUMNS(Metadata!B627:R627)</f>
        <v>0</v>
      </c>
      <c r="AA627">
        <v>0</v>
      </c>
      <c r="AC627">
        <f>AND(IF(Metadata!B627="",FALSE,TRUE),COUNTIF(Metadata!B:B, Metadata!B627) = 1,NOT(ISERROR(SUMPRODUCT(SEARCH(MID(Metadata!B627,ROW(INDIRECT("1:"&amp;LEN(Metadata!B627))), 1),"0123456789abcdefghijklmnopqrstuvwxyzABCDEFGHIJKLMNOPQRSTUVWXYZ.")))))</f>
        <v>0</v>
      </c>
      <c r="AD627">
        <f>AND(IF(Metadata!C627="",FALSE,TRUE),exact(Metadata!C627,"Host-associated"))</f>
        <v>0</v>
      </c>
      <c r="AE627">
        <f>AND(IF(Metadata!D627="",FALSE,TRUE),OR(exact(Metadata!D627,"Animal"),exact(Metadata!D627,"Fungus"),exact(Metadata!D627,"Plant")))</f>
        <v>0</v>
      </c>
      <c r="AF627">
        <f>AND(IF(Metadata!E627="",FALSE,TRUE),OR(exact(Metadata!E627,"Plant secretion"),exact(Metadata!E627,"Plant rhizosphere"),exact(Metadata!E627,"Plant surface"),exact(Metadata!E627,"Plant corpus"),exact(Metadata!E627,"Fungus surface"),exact(Metadata!E627,"Fungus corpus"),exact(Metadata!E627,"Animal surface"),exact(Metadata!E627,"Animal proximal gut"),exact(Metadata!E627,"Animal corpus"),exact(Metadata!E627,"Animal distal gut"),exact(Metadata!E627,"Animal secretion")))</f>
        <v>0</v>
      </c>
      <c r="AG627">
        <f>OR(AND(IF(Metadata!F627="",FALSE,TRUE),OR(exact(Metadata!F627,"not collected"),exact(Metadata!F627,"not provided"),exact(Metadata!F627,"restricted access"))),AND(IF(Metadata!F627="",FALSE,TRUE),OR(exact(Metadata!F627,"organism-associated habitat"),exact(Metadata!F627,"plant-associated habitat"),exact(Metadata!F627,"animal-associated habitat"),exact(Metadata!F627,"insecta-associated habitat"),exact(Metadata!F627,"mammalia-associated habitat"),exact(Metadata!F627,"human-associated habitat"),exact(Metadata!F627,"livestock-associated habitat"))))</f>
        <v>0</v>
      </c>
      <c r="AH627">
        <f>AND(IF(Metadata!G627="",FALSE,TRUE),exact(Metadata!G627,"host-associated"))</f>
        <v>0</v>
      </c>
      <c r="AI627">
        <f>OR(AND(IF(Metadata!H627="",FALSE,TRUE),OR(exact(Metadata!H627,"not collected"),exact(Metadata!H627,"not provided"))),AND(IF(Metadata!H627="",FALSE,ISNUMBER(VALUE(Metadata!H627))),Metadata!H627&gt;0))</f>
        <v>0</v>
      </c>
      <c r="AJ627">
        <f>AND(IF(Metadata!I627="",FALSE,TRUE),exact(Metadata!I627,"years"))</f>
        <v>0</v>
      </c>
      <c r="AK627">
        <f>IF(Metadata!J627="",FALSE,TRUE)</f>
        <v>0</v>
      </c>
      <c r="AL627">
        <f>OR(AND(IF(Metadata!K627="",FALSE,TRUE),OR(exact(Metadata!K627,"not collected"),exact(Metadata!K627,"not provided"))),AND(IF(Metadata!K627="",FALSE,ISNUMBER(VALUE(Metadata!K627))),Metadata!K627&gt;0))</f>
        <v>0</v>
      </c>
      <c r="AM627">
        <f>AND(IF(Metadata!L627="",FALSE,TRUE),exact(Metadata!L627,"cm"))</f>
        <v>0</v>
      </c>
      <c r="AN627">
        <f>IF(Metadata!M627="",FALSE,TRUE)</f>
        <v>0</v>
      </c>
      <c r="AO627">
        <f>OR(AND(IF(Metadata!N627="",FALSE,TRUE),OR(exact(Metadata!N627,"not applicable"),exact(Metadata!N627,"not collected"),exact(Metadata!N627,"not provided"))),AND(IF(Metadata!N627="",FALSE,IF(ISERROR(INT(Metadata!N627)),FALSE,INT(Metadata!N627)=Metadata!N627)),Metadata!N627&gt;0))</f>
        <v>0</v>
      </c>
      <c r="AP627">
        <f>OR(AND(IF(Metadata!O627="",FALSE,TRUE),OR(exact(Metadata!O627,"not collected"),exact(Metadata!O627,"not provided"))),AND(IF(Metadata!O627="",FALSE,ISNUMBER(VALUE(Metadata!O627))),Metadata!O627&gt;0))</f>
        <v>0</v>
      </c>
      <c r="AQ627">
        <f>AND(IF(Metadata!P627="",FALSE,TRUE),exact(Metadata!P627,"kg"))</f>
        <v>0</v>
      </c>
      <c r="AR627">
        <f>OR(AND(IF(Metadata!Q627="",FALSE,TRUE),OR(exact(Metadata!Q627,"not applicable"),exact(Metadata!Q627,"not collected"),exact(Metadata!Q627,"not provided"),exact(Metadata!Q627,"restricted access"))),IF(Metadata!Q627="",FALSE,IF(ISERROR(INT(Metadata!Q627)),FALSE,INT(Metadata!Q627)=Metadata!Q627)))</f>
        <v>0</v>
      </c>
      <c r="AS627">
        <f>AND(IF(Metadata!R627="",FALSE,TRUE),exact(Metadata!R627,"Not applicable"))</f>
        <v>0</v>
      </c>
    </row>
    <row r="628" spans="1:45">
      <c r="A628" s="4">
        <f>IF(B628=" "," ",HYPERLINK(CONCATENATE("#metadata!",ADDRESS(INDEX($X$2:$X$1001,MATCH(ROWS($V$2:V628),$V$2:$V$1001,0),0),2)),INDEX($AA$2:$AA$1001,MATCH(ROWS($V$2:V628),$V$2:$V$1001,0),0)))</f>
        <v>0</v>
      </c>
      <c r="B628" s="5">
        <f>IF(OR(INDEX($W$2:$W$1001,MATCH(ROWS($V$2:V628),$V$2:$V$1001,0),1)&gt;=100000,INDEX($AC$1005:$AS$1005,1,MATCH(COLUMNS($AC$1006:AC1006),$AC$1006:$AS$1006,0))&gt;=100000), " ",IF(INDEX($AC$2:$AS$1001,MATCH(ROWS($V$2:V628),$V$2:$V$1001,0),MATCH(COLUMNS($AC$1006:AC1006),$AC$1006:$AS$1006,0)), HYPERLINK("#",""), HYPERLINK(CONCATENATE("#Metadata!", ADDRESS(INDEX($X$2:$X$1001,MATCH(ROWS($V$2:V628),$V$2:$V$1001,0),0), INDEX($AC$1004:$AS$1004,1,MATCH(COLUMNS($AC$1006:AC1006),$AC$1006:$AS$1006,0)))),"Fix")))</f>
        <v>0</v>
      </c>
      <c r="C628" s="5">
        <f>IF(OR(INDEX($W$2:$W$1001,MATCH(ROWS($V$2:V628),$V$2:$V$1001,0),1)&gt;=100000,INDEX($AC$1005:$AS$1005,1,MATCH(COLUMNS($AC$1006:AD1006),$AC$1006:$AS$1006,0))&gt;=100000), " ",IF(INDEX($AC$2:$AS$1001,MATCH(ROWS($V$2:V628),$V$2:$V$1001,0),MATCH(COLUMNS($AC$1006:AD1006),$AC$1006:$AS$1006,0)), HYPERLINK("#",""), HYPERLINK(CONCATENATE("#Metadata!", ADDRESS(INDEX($X$2:$X$1001,MATCH(ROWS($V$2:V628),$V$2:$V$1001,0),0), INDEX($AC$1004:$AS$1004,1,MATCH(COLUMNS($AC$1006:AD1006),$AC$1006:$AS$1006,0)))),"Fix")))</f>
        <v>0</v>
      </c>
      <c r="D628" s="5">
        <f>IF(OR(INDEX($W$2:$W$1001,MATCH(ROWS($V$2:V628),$V$2:$V$1001,0),1)&gt;=100000,INDEX($AC$1005:$AS$1005,1,MATCH(COLUMNS($AC$1006:AE1006),$AC$1006:$AS$1006,0))&gt;=100000), " ",IF(INDEX($AC$2:$AS$1001,MATCH(ROWS($V$2:V628),$V$2:$V$1001,0),MATCH(COLUMNS($AC$1006:AE1006),$AC$1006:$AS$1006,0)), HYPERLINK("#",""), HYPERLINK(CONCATENATE("#Metadata!", ADDRESS(INDEX($X$2:$X$1001,MATCH(ROWS($V$2:V628),$V$2:$V$1001,0),0), INDEX($AC$1004:$AS$1004,1,MATCH(COLUMNS($AC$1006:AE1006),$AC$1006:$AS$1006,0)))),"Fix")))</f>
        <v>0</v>
      </c>
      <c r="E628" s="5">
        <f>IF(OR(INDEX($W$2:$W$1001,MATCH(ROWS($V$2:V628),$V$2:$V$1001,0),1)&gt;=100000,INDEX($AC$1005:$AS$1005,1,MATCH(COLUMNS($AC$1006:AF1006),$AC$1006:$AS$1006,0))&gt;=100000), " ",IF(INDEX($AC$2:$AS$1001,MATCH(ROWS($V$2:V628),$V$2:$V$1001,0),MATCH(COLUMNS($AC$1006:AF1006),$AC$1006:$AS$1006,0)), HYPERLINK("#",""), HYPERLINK(CONCATENATE("#Metadata!", ADDRESS(INDEX($X$2:$X$1001,MATCH(ROWS($V$2:V628),$V$2:$V$1001,0),0), INDEX($AC$1004:$AS$1004,1,MATCH(COLUMNS($AC$1006:AF1006),$AC$1006:$AS$1006,0)))),"Fix")))</f>
        <v>0</v>
      </c>
      <c r="F628" s="5">
        <f>IF(OR(INDEX($W$2:$W$1001,MATCH(ROWS($V$2:V628),$V$2:$V$1001,0),1)&gt;=100000,INDEX($AC$1005:$AS$1005,1,MATCH(COLUMNS($AC$1006:AG1006),$AC$1006:$AS$1006,0))&gt;=100000), " ",IF(INDEX($AC$2:$AS$1001,MATCH(ROWS($V$2:V628),$V$2:$V$1001,0),MATCH(COLUMNS($AC$1006:AG1006),$AC$1006:$AS$1006,0)), HYPERLINK("#",""), HYPERLINK(CONCATENATE("#Metadata!", ADDRESS(INDEX($X$2:$X$1001,MATCH(ROWS($V$2:V628),$V$2:$V$1001,0),0), INDEX($AC$1004:$AS$1004,1,MATCH(COLUMNS($AC$1006:AG1006),$AC$1006:$AS$1006,0)))),"Fix")))</f>
        <v>0</v>
      </c>
      <c r="G628" s="5">
        <f>IF(OR(INDEX($W$2:$W$1001,MATCH(ROWS($V$2:V628),$V$2:$V$1001,0),1)&gt;=100000,INDEX($AC$1005:$AS$1005,1,MATCH(COLUMNS($AC$1006:AH1006),$AC$1006:$AS$1006,0))&gt;=100000), " ",IF(INDEX($AC$2:$AS$1001,MATCH(ROWS($V$2:V628),$V$2:$V$1001,0),MATCH(COLUMNS($AC$1006:AH1006),$AC$1006:$AS$1006,0)), HYPERLINK("#",""), HYPERLINK(CONCATENATE("#Metadata!", ADDRESS(INDEX($X$2:$X$1001,MATCH(ROWS($V$2:V628),$V$2:$V$1001,0),0), INDEX($AC$1004:$AS$1004,1,MATCH(COLUMNS($AC$1006:AH1006),$AC$1006:$AS$1006,0)))),"Fix")))</f>
        <v>0</v>
      </c>
      <c r="H628" s="5">
        <f>IF(OR(INDEX($W$2:$W$1001,MATCH(ROWS($V$2:V628),$V$2:$V$1001,0),1)&gt;=100000,INDEX($AC$1005:$AS$1005,1,MATCH(COLUMNS($AC$1006:AI1006),$AC$1006:$AS$1006,0))&gt;=100000), " ",IF(INDEX($AC$2:$AS$1001,MATCH(ROWS($V$2:V628),$V$2:$V$1001,0),MATCH(COLUMNS($AC$1006:AI1006),$AC$1006:$AS$1006,0)), HYPERLINK("#",""), HYPERLINK(CONCATENATE("#Metadata!", ADDRESS(INDEX($X$2:$X$1001,MATCH(ROWS($V$2:V628),$V$2:$V$1001,0),0), INDEX($AC$1004:$AS$1004,1,MATCH(COLUMNS($AC$1006:AI1006),$AC$1006:$AS$1006,0)))),"Fix")))</f>
        <v>0</v>
      </c>
      <c r="I628" s="5">
        <f>IF(OR(INDEX($W$2:$W$1001,MATCH(ROWS($V$2:V628),$V$2:$V$1001,0),1)&gt;=100000,INDEX($AC$1005:$AS$1005,1,MATCH(COLUMNS($AC$1006:AJ1006),$AC$1006:$AS$1006,0))&gt;=100000), " ",IF(INDEX($AC$2:$AS$1001,MATCH(ROWS($V$2:V628),$V$2:$V$1001,0),MATCH(COLUMNS($AC$1006:AJ1006),$AC$1006:$AS$1006,0)), HYPERLINK("#",""), HYPERLINK(CONCATENATE("#Metadata!", ADDRESS(INDEX($X$2:$X$1001,MATCH(ROWS($V$2:V628),$V$2:$V$1001,0),0), INDEX($AC$1004:$AS$1004,1,MATCH(COLUMNS($AC$1006:AJ1006),$AC$1006:$AS$1006,0)))),"Fix")))</f>
        <v>0</v>
      </c>
      <c r="J628" s="5">
        <f>IF(OR(INDEX($W$2:$W$1001,MATCH(ROWS($V$2:V628),$V$2:$V$1001,0),1)&gt;=100000,INDEX($AC$1005:$AS$1005,1,MATCH(COLUMNS($AC$1006:AK1006),$AC$1006:$AS$1006,0))&gt;=100000), " ",IF(INDEX($AC$2:$AS$1001,MATCH(ROWS($V$2:V628),$V$2:$V$1001,0),MATCH(COLUMNS($AC$1006:AK1006),$AC$1006:$AS$1006,0)), HYPERLINK("#",""), HYPERLINK(CONCATENATE("#Metadata!", ADDRESS(INDEX($X$2:$X$1001,MATCH(ROWS($V$2:V628),$V$2:$V$1001,0),0), INDEX($AC$1004:$AS$1004,1,MATCH(COLUMNS($AC$1006:AK1006),$AC$1006:$AS$1006,0)))),"Fix")))</f>
        <v>0</v>
      </c>
      <c r="K628" s="5">
        <f>IF(OR(INDEX($W$2:$W$1001,MATCH(ROWS($V$2:V628),$V$2:$V$1001,0),1)&gt;=100000,INDEX($AC$1005:$AS$1005,1,MATCH(COLUMNS($AC$1006:AL1006),$AC$1006:$AS$1006,0))&gt;=100000), " ",IF(INDEX($AC$2:$AS$1001,MATCH(ROWS($V$2:V628),$V$2:$V$1001,0),MATCH(COLUMNS($AC$1006:AL1006),$AC$1006:$AS$1006,0)), HYPERLINK("#",""), HYPERLINK(CONCATENATE("#Metadata!", ADDRESS(INDEX($X$2:$X$1001,MATCH(ROWS($V$2:V628),$V$2:$V$1001,0),0), INDEX($AC$1004:$AS$1004,1,MATCH(COLUMNS($AC$1006:AL1006),$AC$1006:$AS$1006,0)))),"Fix")))</f>
        <v>0</v>
      </c>
      <c r="L628" s="5">
        <f>IF(OR(INDEX($W$2:$W$1001,MATCH(ROWS($V$2:V628),$V$2:$V$1001,0),1)&gt;=100000,INDEX($AC$1005:$AS$1005,1,MATCH(COLUMNS($AC$1006:AM1006),$AC$1006:$AS$1006,0))&gt;=100000), " ",IF(INDEX($AC$2:$AS$1001,MATCH(ROWS($V$2:V628),$V$2:$V$1001,0),MATCH(COLUMNS($AC$1006:AM1006),$AC$1006:$AS$1006,0)), HYPERLINK("#",""), HYPERLINK(CONCATENATE("#Metadata!", ADDRESS(INDEX($X$2:$X$1001,MATCH(ROWS($V$2:V628),$V$2:$V$1001,0),0), INDEX($AC$1004:$AS$1004,1,MATCH(COLUMNS($AC$1006:AM1006),$AC$1006:$AS$1006,0)))),"Fix")))</f>
        <v>0</v>
      </c>
      <c r="M628" s="5">
        <f>IF(OR(INDEX($W$2:$W$1001,MATCH(ROWS($V$2:V628),$V$2:$V$1001,0),1)&gt;=100000,INDEX($AC$1005:$AS$1005,1,MATCH(COLUMNS($AC$1006:AN1006),$AC$1006:$AS$1006,0))&gt;=100000), " ",IF(INDEX($AC$2:$AS$1001,MATCH(ROWS($V$2:V628),$V$2:$V$1001,0),MATCH(COLUMNS($AC$1006:AN1006),$AC$1006:$AS$1006,0)), HYPERLINK("#",""), HYPERLINK(CONCATENATE("#Metadata!", ADDRESS(INDEX($X$2:$X$1001,MATCH(ROWS($V$2:V628),$V$2:$V$1001,0),0), INDEX($AC$1004:$AS$1004,1,MATCH(COLUMNS($AC$1006:AN1006),$AC$1006:$AS$1006,0)))),"Fix")))</f>
        <v>0</v>
      </c>
      <c r="N628" s="5">
        <f>IF(OR(INDEX($W$2:$W$1001,MATCH(ROWS($V$2:V628),$V$2:$V$1001,0),1)&gt;=100000,INDEX($AC$1005:$AS$1005,1,MATCH(COLUMNS($AC$1006:AO1006),$AC$1006:$AS$1006,0))&gt;=100000), " ",IF(INDEX($AC$2:$AS$1001,MATCH(ROWS($V$2:V628),$V$2:$V$1001,0),MATCH(COLUMNS($AC$1006:AO1006),$AC$1006:$AS$1006,0)), HYPERLINK("#",""), HYPERLINK(CONCATENATE("#Metadata!", ADDRESS(INDEX($X$2:$X$1001,MATCH(ROWS($V$2:V628),$V$2:$V$1001,0),0), INDEX($AC$1004:$AS$1004,1,MATCH(COLUMNS($AC$1006:AO1006),$AC$1006:$AS$1006,0)))),"Fix")))</f>
        <v>0</v>
      </c>
      <c r="O628" s="5">
        <f>IF(OR(INDEX($W$2:$W$1001,MATCH(ROWS($V$2:V628),$V$2:$V$1001,0),1)&gt;=100000,INDEX($AC$1005:$AS$1005,1,MATCH(COLUMNS($AC$1006:AP1006),$AC$1006:$AS$1006,0))&gt;=100000), " ",IF(INDEX($AC$2:$AS$1001,MATCH(ROWS($V$2:V628),$V$2:$V$1001,0),MATCH(COLUMNS($AC$1006:AP1006),$AC$1006:$AS$1006,0)), HYPERLINK("#",""), HYPERLINK(CONCATENATE("#Metadata!", ADDRESS(INDEX($X$2:$X$1001,MATCH(ROWS($V$2:V628),$V$2:$V$1001,0),0), INDEX($AC$1004:$AS$1004,1,MATCH(COLUMNS($AC$1006:AP1006),$AC$1006:$AS$1006,0)))),"Fix")))</f>
        <v>0</v>
      </c>
      <c r="P628" s="5">
        <f>IF(OR(INDEX($W$2:$W$1001,MATCH(ROWS($V$2:V628),$V$2:$V$1001,0),1)&gt;=100000,INDEX($AC$1005:$AS$1005,1,MATCH(COLUMNS($AC$1006:AQ1006),$AC$1006:$AS$1006,0))&gt;=100000), " ",IF(INDEX($AC$2:$AS$1001,MATCH(ROWS($V$2:V628),$V$2:$V$1001,0),MATCH(COLUMNS($AC$1006:AQ1006),$AC$1006:$AS$1006,0)), HYPERLINK("#",""), HYPERLINK(CONCATENATE("#Metadata!", ADDRESS(INDEX($X$2:$X$1001,MATCH(ROWS($V$2:V628),$V$2:$V$1001,0),0), INDEX($AC$1004:$AS$1004,1,MATCH(COLUMNS($AC$1006:AQ1006),$AC$1006:$AS$1006,0)))),"Fix")))</f>
        <v>0</v>
      </c>
      <c r="Q628" s="5">
        <f>IF(OR(INDEX($W$2:$W$1001,MATCH(ROWS($V$2:V628),$V$2:$V$1001,0),1)&gt;=100000,INDEX($AC$1005:$AS$1005,1,MATCH(COLUMNS($AC$1006:AR1006),$AC$1006:$AS$1006,0))&gt;=100000), " ",IF(INDEX($AC$2:$AS$1001,MATCH(ROWS($V$2:V628),$V$2:$V$1001,0),MATCH(COLUMNS($AC$1006:AR1006),$AC$1006:$AS$1006,0)), HYPERLINK("#",""), HYPERLINK(CONCATENATE("#Metadata!", ADDRESS(INDEX($X$2:$X$1001,MATCH(ROWS($V$2:V628),$V$2:$V$1001,0),0), INDEX($AC$1004:$AS$1004,1,MATCH(COLUMNS($AC$1006:AR1006),$AC$1006:$AS$1006,0)))),"Fix")))</f>
        <v>0</v>
      </c>
      <c r="R628" s="5">
        <f>IF(OR(INDEX($W$2:$W$1001,MATCH(ROWS($V$2:V628),$V$2:$V$1001,0),1)&gt;=100000,INDEX($AC$1005:$AS$1005,1,MATCH(COLUMNS($AC$1006:AS1006),$AC$1006:$AS$1006,0))&gt;=100000), " ",IF(INDEX($AC$2:$AS$1001,MATCH(ROWS($V$2:V628),$V$2:$V$1001,0),MATCH(COLUMNS($AC$1006:AS1006),$AC$1006:$AS$1006,0)), HYPERLINK("#",""), HYPERLINK(CONCATENATE("#Metadata!", ADDRESS(INDEX($X$2:$X$1001,MATCH(ROWS($V$2:V628),$V$2:$V$1001,0),0), INDEX($AC$1004:$AS$1004,1,MATCH(COLUMNS($AC$1006:AS1006),$AC$1006:$AS$1006,0)))),"Fix")))</f>
        <v>0</v>
      </c>
      <c r="V628">
        <v>0</v>
      </c>
      <c r="W628">
        <v>0</v>
      </c>
      <c r="X628">
        <v>0</v>
      </c>
      <c r="Y628">
        <f>IF(Z628,TRUE,AND(AC628:AS628))</f>
        <v>0</v>
      </c>
      <c r="Z628">
        <f>COUNTBLANK(Metadata!B628:R628)=COLUMNS(Metadata!B628:R628)</f>
        <v>0</v>
      </c>
      <c r="AA628">
        <v>0</v>
      </c>
      <c r="AC628">
        <f>AND(IF(Metadata!B628="",FALSE,TRUE),COUNTIF(Metadata!B:B, Metadata!B628) = 1,NOT(ISERROR(SUMPRODUCT(SEARCH(MID(Metadata!B628,ROW(INDIRECT("1:"&amp;LEN(Metadata!B628))), 1),"0123456789abcdefghijklmnopqrstuvwxyzABCDEFGHIJKLMNOPQRSTUVWXYZ.")))))</f>
        <v>0</v>
      </c>
      <c r="AD628">
        <f>AND(IF(Metadata!C628="",FALSE,TRUE),exact(Metadata!C628,"Host-associated"))</f>
        <v>0</v>
      </c>
      <c r="AE628">
        <f>AND(IF(Metadata!D628="",FALSE,TRUE),OR(exact(Metadata!D628,"Animal"),exact(Metadata!D628,"Fungus"),exact(Metadata!D628,"Plant")))</f>
        <v>0</v>
      </c>
      <c r="AF628">
        <f>AND(IF(Metadata!E628="",FALSE,TRUE),OR(exact(Metadata!E628,"Plant secretion"),exact(Metadata!E628,"Plant rhizosphere"),exact(Metadata!E628,"Plant surface"),exact(Metadata!E628,"Plant corpus"),exact(Metadata!E628,"Fungus surface"),exact(Metadata!E628,"Fungus corpus"),exact(Metadata!E628,"Animal surface"),exact(Metadata!E628,"Animal proximal gut"),exact(Metadata!E628,"Animal corpus"),exact(Metadata!E628,"Animal distal gut"),exact(Metadata!E628,"Animal secretion")))</f>
        <v>0</v>
      </c>
      <c r="AG628">
        <f>OR(AND(IF(Metadata!F628="",FALSE,TRUE),OR(exact(Metadata!F628,"not collected"),exact(Metadata!F628,"not provided"),exact(Metadata!F628,"restricted access"))),AND(IF(Metadata!F628="",FALSE,TRUE),OR(exact(Metadata!F628,"organism-associated habitat"),exact(Metadata!F628,"plant-associated habitat"),exact(Metadata!F628,"animal-associated habitat"),exact(Metadata!F628,"insecta-associated habitat"),exact(Metadata!F628,"mammalia-associated habitat"),exact(Metadata!F628,"human-associated habitat"),exact(Metadata!F628,"livestock-associated habitat"))))</f>
        <v>0</v>
      </c>
      <c r="AH628">
        <f>AND(IF(Metadata!G628="",FALSE,TRUE),exact(Metadata!G628,"host-associated"))</f>
        <v>0</v>
      </c>
      <c r="AI628">
        <f>OR(AND(IF(Metadata!H628="",FALSE,TRUE),OR(exact(Metadata!H628,"not collected"),exact(Metadata!H628,"not provided"))),AND(IF(Metadata!H628="",FALSE,ISNUMBER(VALUE(Metadata!H628))),Metadata!H628&gt;0))</f>
        <v>0</v>
      </c>
      <c r="AJ628">
        <f>AND(IF(Metadata!I628="",FALSE,TRUE),exact(Metadata!I628,"years"))</f>
        <v>0</v>
      </c>
      <c r="AK628">
        <f>IF(Metadata!J628="",FALSE,TRUE)</f>
        <v>0</v>
      </c>
      <c r="AL628">
        <f>OR(AND(IF(Metadata!K628="",FALSE,TRUE),OR(exact(Metadata!K628,"not collected"),exact(Metadata!K628,"not provided"))),AND(IF(Metadata!K628="",FALSE,ISNUMBER(VALUE(Metadata!K628))),Metadata!K628&gt;0))</f>
        <v>0</v>
      </c>
      <c r="AM628">
        <f>AND(IF(Metadata!L628="",FALSE,TRUE),exact(Metadata!L628,"cm"))</f>
        <v>0</v>
      </c>
      <c r="AN628">
        <f>IF(Metadata!M628="",FALSE,TRUE)</f>
        <v>0</v>
      </c>
      <c r="AO628">
        <f>OR(AND(IF(Metadata!N628="",FALSE,TRUE),OR(exact(Metadata!N628,"not applicable"),exact(Metadata!N628,"not collected"),exact(Metadata!N628,"not provided"))),AND(IF(Metadata!N628="",FALSE,IF(ISERROR(INT(Metadata!N628)),FALSE,INT(Metadata!N628)=Metadata!N628)),Metadata!N628&gt;0))</f>
        <v>0</v>
      </c>
      <c r="AP628">
        <f>OR(AND(IF(Metadata!O628="",FALSE,TRUE),OR(exact(Metadata!O628,"not collected"),exact(Metadata!O628,"not provided"))),AND(IF(Metadata!O628="",FALSE,ISNUMBER(VALUE(Metadata!O628))),Metadata!O628&gt;0))</f>
        <v>0</v>
      </c>
      <c r="AQ628">
        <f>AND(IF(Metadata!P628="",FALSE,TRUE),exact(Metadata!P628,"kg"))</f>
        <v>0</v>
      </c>
      <c r="AR628">
        <f>OR(AND(IF(Metadata!Q628="",FALSE,TRUE),OR(exact(Metadata!Q628,"not applicable"),exact(Metadata!Q628,"not collected"),exact(Metadata!Q628,"not provided"),exact(Metadata!Q628,"restricted access"))),IF(Metadata!Q628="",FALSE,IF(ISERROR(INT(Metadata!Q628)),FALSE,INT(Metadata!Q628)=Metadata!Q628)))</f>
        <v>0</v>
      </c>
      <c r="AS628">
        <f>AND(IF(Metadata!R628="",FALSE,TRUE),exact(Metadata!R628,"Not applicable"))</f>
        <v>0</v>
      </c>
    </row>
    <row r="629" spans="1:45">
      <c r="A629" s="4">
        <f>IF(B629=" "," ",HYPERLINK(CONCATENATE("#metadata!",ADDRESS(INDEX($X$2:$X$1001,MATCH(ROWS($V$2:V629),$V$2:$V$1001,0),0),2)),INDEX($AA$2:$AA$1001,MATCH(ROWS($V$2:V629),$V$2:$V$1001,0),0)))</f>
        <v>0</v>
      </c>
      <c r="B629" s="5">
        <f>IF(OR(INDEX($W$2:$W$1001,MATCH(ROWS($V$2:V629),$V$2:$V$1001,0),1)&gt;=100000,INDEX($AC$1005:$AS$1005,1,MATCH(COLUMNS($AC$1006:AC1006),$AC$1006:$AS$1006,0))&gt;=100000), " ",IF(INDEX($AC$2:$AS$1001,MATCH(ROWS($V$2:V629),$V$2:$V$1001,0),MATCH(COLUMNS($AC$1006:AC1006),$AC$1006:$AS$1006,0)), HYPERLINK("#",""), HYPERLINK(CONCATENATE("#Metadata!", ADDRESS(INDEX($X$2:$X$1001,MATCH(ROWS($V$2:V629),$V$2:$V$1001,0),0), INDEX($AC$1004:$AS$1004,1,MATCH(COLUMNS($AC$1006:AC1006),$AC$1006:$AS$1006,0)))),"Fix")))</f>
        <v>0</v>
      </c>
      <c r="C629" s="5">
        <f>IF(OR(INDEX($W$2:$W$1001,MATCH(ROWS($V$2:V629),$V$2:$V$1001,0),1)&gt;=100000,INDEX($AC$1005:$AS$1005,1,MATCH(COLUMNS($AC$1006:AD1006),$AC$1006:$AS$1006,0))&gt;=100000), " ",IF(INDEX($AC$2:$AS$1001,MATCH(ROWS($V$2:V629),$V$2:$V$1001,0),MATCH(COLUMNS($AC$1006:AD1006),$AC$1006:$AS$1006,0)), HYPERLINK("#",""), HYPERLINK(CONCATENATE("#Metadata!", ADDRESS(INDEX($X$2:$X$1001,MATCH(ROWS($V$2:V629),$V$2:$V$1001,0),0), INDEX($AC$1004:$AS$1004,1,MATCH(COLUMNS($AC$1006:AD1006),$AC$1006:$AS$1006,0)))),"Fix")))</f>
        <v>0</v>
      </c>
      <c r="D629" s="5">
        <f>IF(OR(INDEX($W$2:$W$1001,MATCH(ROWS($V$2:V629),$V$2:$V$1001,0),1)&gt;=100000,INDEX($AC$1005:$AS$1005,1,MATCH(COLUMNS($AC$1006:AE1006),$AC$1006:$AS$1006,0))&gt;=100000), " ",IF(INDEX($AC$2:$AS$1001,MATCH(ROWS($V$2:V629),$V$2:$V$1001,0),MATCH(COLUMNS($AC$1006:AE1006),$AC$1006:$AS$1006,0)), HYPERLINK("#",""), HYPERLINK(CONCATENATE("#Metadata!", ADDRESS(INDEX($X$2:$X$1001,MATCH(ROWS($V$2:V629),$V$2:$V$1001,0),0), INDEX($AC$1004:$AS$1004,1,MATCH(COLUMNS($AC$1006:AE1006),$AC$1006:$AS$1006,0)))),"Fix")))</f>
        <v>0</v>
      </c>
      <c r="E629" s="5">
        <f>IF(OR(INDEX($W$2:$W$1001,MATCH(ROWS($V$2:V629),$V$2:$V$1001,0),1)&gt;=100000,INDEX($AC$1005:$AS$1005,1,MATCH(COLUMNS($AC$1006:AF1006),$AC$1006:$AS$1006,0))&gt;=100000), " ",IF(INDEX($AC$2:$AS$1001,MATCH(ROWS($V$2:V629),$V$2:$V$1001,0),MATCH(COLUMNS($AC$1006:AF1006),$AC$1006:$AS$1006,0)), HYPERLINK("#",""), HYPERLINK(CONCATENATE("#Metadata!", ADDRESS(INDEX($X$2:$X$1001,MATCH(ROWS($V$2:V629),$V$2:$V$1001,0),0), INDEX($AC$1004:$AS$1004,1,MATCH(COLUMNS($AC$1006:AF1006),$AC$1006:$AS$1006,0)))),"Fix")))</f>
        <v>0</v>
      </c>
      <c r="F629" s="5">
        <f>IF(OR(INDEX($W$2:$W$1001,MATCH(ROWS($V$2:V629),$V$2:$V$1001,0),1)&gt;=100000,INDEX($AC$1005:$AS$1005,1,MATCH(COLUMNS($AC$1006:AG1006),$AC$1006:$AS$1006,0))&gt;=100000), " ",IF(INDEX($AC$2:$AS$1001,MATCH(ROWS($V$2:V629),$V$2:$V$1001,0),MATCH(COLUMNS($AC$1006:AG1006),$AC$1006:$AS$1006,0)), HYPERLINK("#",""), HYPERLINK(CONCATENATE("#Metadata!", ADDRESS(INDEX($X$2:$X$1001,MATCH(ROWS($V$2:V629),$V$2:$V$1001,0),0), INDEX($AC$1004:$AS$1004,1,MATCH(COLUMNS($AC$1006:AG1006),$AC$1006:$AS$1006,0)))),"Fix")))</f>
        <v>0</v>
      </c>
      <c r="G629" s="5">
        <f>IF(OR(INDEX($W$2:$W$1001,MATCH(ROWS($V$2:V629),$V$2:$V$1001,0),1)&gt;=100000,INDEX($AC$1005:$AS$1005,1,MATCH(COLUMNS($AC$1006:AH1006),$AC$1006:$AS$1006,0))&gt;=100000), " ",IF(INDEX($AC$2:$AS$1001,MATCH(ROWS($V$2:V629),$V$2:$V$1001,0),MATCH(COLUMNS($AC$1006:AH1006),$AC$1006:$AS$1006,0)), HYPERLINK("#",""), HYPERLINK(CONCATENATE("#Metadata!", ADDRESS(INDEX($X$2:$X$1001,MATCH(ROWS($V$2:V629),$V$2:$V$1001,0),0), INDEX($AC$1004:$AS$1004,1,MATCH(COLUMNS($AC$1006:AH1006),$AC$1006:$AS$1006,0)))),"Fix")))</f>
        <v>0</v>
      </c>
      <c r="H629" s="5">
        <f>IF(OR(INDEX($W$2:$W$1001,MATCH(ROWS($V$2:V629),$V$2:$V$1001,0),1)&gt;=100000,INDEX($AC$1005:$AS$1005,1,MATCH(COLUMNS($AC$1006:AI1006),$AC$1006:$AS$1006,0))&gt;=100000), " ",IF(INDEX($AC$2:$AS$1001,MATCH(ROWS($V$2:V629),$V$2:$V$1001,0),MATCH(COLUMNS($AC$1006:AI1006),$AC$1006:$AS$1006,0)), HYPERLINK("#",""), HYPERLINK(CONCATENATE("#Metadata!", ADDRESS(INDEX($X$2:$X$1001,MATCH(ROWS($V$2:V629),$V$2:$V$1001,0),0), INDEX($AC$1004:$AS$1004,1,MATCH(COLUMNS($AC$1006:AI1006),$AC$1006:$AS$1006,0)))),"Fix")))</f>
        <v>0</v>
      </c>
      <c r="I629" s="5">
        <f>IF(OR(INDEX($W$2:$W$1001,MATCH(ROWS($V$2:V629),$V$2:$V$1001,0),1)&gt;=100000,INDEX($AC$1005:$AS$1005,1,MATCH(COLUMNS($AC$1006:AJ1006),$AC$1006:$AS$1006,0))&gt;=100000), " ",IF(INDEX($AC$2:$AS$1001,MATCH(ROWS($V$2:V629),$V$2:$V$1001,0),MATCH(COLUMNS($AC$1006:AJ1006),$AC$1006:$AS$1006,0)), HYPERLINK("#",""), HYPERLINK(CONCATENATE("#Metadata!", ADDRESS(INDEX($X$2:$X$1001,MATCH(ROWS($V$2:V629),$V$2:$V$1001,0),0), INDEX($AC$1004:$AS$1004,1,MATCH(COLUMNS($AC$1006:AJ1006),$AC$1006:$AS$1006,0)))),"Fix")))</f>
        <v>0</v>
      </c>
      <c r="J629" s="5">
        <f>IF(OR(INDEX($W$2:$W$1001,MATCH(ROWS($V$2:V629),$V$2:$V$1001,0),1)&gt;=100000,INDEX($AC$1005:$AS$1005,1,MATCH(COLUMNS($AC$1006:AK1006),$AC$1006:$AS$1006,0))&gt;=100000), " ",IF(INDEX($AC$2:$AS$1001,MATCH(ROWS($V$2:V629),$V$2:$V$1001,0),MATCH(COLUMNS($AC$1006:AK1006),$AC$1006:$AS$1006,0)), HYPERLINK("#",""), HYPERLINK(CONCATENATE("#Metadata!", ADDRESS(INDEX($X$2:$X$1001,MATCH(ROWS($V$2:V629),$V$2:$V$1001,0),0), INDEX($AC$1004:$AS$1004,1,MATCH(COLUMNS($AC$1006:AK1006),$AC$1006:$AS$1006,0)))),"Fix")))</f>
        <v>0</v>
      </c>
      <c r="K629" s="5">
        <f>IF(OR(INDEX($W$2:$W$1001,MATCH(ROWS($V$2:V629),$V$2:$V$1001,0),1)&gt;=100000,INDEX($AC$1005:$AS$1005,1,MATCH(COLUMNS($AC$1006:AL1006),$AC$1006:$AS$1006,0))&gt;=100000), " ",IF(INDEX($AC$2:$AS$1001,MATCH(ROWS($V$2:V629),$V$2:$V$1001,0),MATCH(COLUMNS($AC$1006:AL1006),$AC$1006:$AS$1006,0)), HYPERLINK("#",""), HYPERLINK(CONCATENATE("#Metadata!", ADDRESS(INDEX($X$2:$X$1001,MATCH(ROWS($V$2:V629),$V$2:$V$1001,0),0), INDEX($AC$1004:$AS$1004,1,MATCH(COLUMNS($AC$1006:AL1006),$AC$1006:$AS$1006,0)))),"Fix")))</f>
        <v>0</v>
      </c>
      <c r="L629" s="5">
        <f>IF(OR(INDEX($W$2:$W$1001,MATCH(ROWS($V$2:V629),$V$2:$V$1001,0),1)&gt;=100000,INDEX($AC$1005:$AS$1005,1,MATCH(COLUMNS($AC$1006:AM1006),$AC$1006:$AS$1006,0))&gt;=100000), " ",IF(INDEX($AC$2:$AS$1001,MATCH(ROWS($V$2:V629),$V$2:$V$1001,0),MATCH(COLUMNS($AC$1006:AM1006),$AC$1006:$AS$1006,0)), HYPERLINK("#",""), HYPERLINK(CONCATENATE("#Metadata!", ADDRESS(INDEX($X$2:$X$1001,MATCH(ROWS($V$2:V629),$V$2:$V$1001,0),0), INDEX($AC$1004:$AS$1004,1,MATCH(COLUMNS($AC$1006:AM1006),$AC$1006:$AS$1006,0)))),"Fix")))</f>
        <v>0</v>
      </c>
      <c r="M629" s="5">
        <f>IF(OR(INDEX($W$2:$W$1001,MATCH(ROWS($V$2:V629),$V$2:$V$1001,0),1)&gt;=100000,INDEX($AC$1005:$AS$1005,1,MATCH(COLUMNS($AC$1006:AN1006),$AC$1006:$AS$1006,0))&gt;=100000), " ",IF(INDEX($AC$2:$AS$1001,MATCH(ROWS($V$2:V629),$V$2:$V$1001,0),MATCH(COLUMNS($AC$1006:AN1006),$AC$1006:$AS$1006,0)), HYPERLINK("#",""), HYPERLINK(CONCATENATE("#Metadata!", ADDRESS(INDEX($X$2:$X$1001,MATCH(ROWS($V$2:V629),$V$2:$V$1001,0),0), INDEX($AC$1004:$AS$1004,1,MATCH(COLUMNS($AC$1006:AN1006),$AC$1006:$AS$1006,0)))),"Fix")))</f>
        <v>0</v>
      </c>
      <c r="N629" s="5">
        <f>IF(OR(INDEX($W$2:$W$1001,MATCH(ROWS($V$2:V629),$V$2:$V$1001,0),1)&gt;=100000,INDEX($AC$1005:$AS$1005,1,MATCH(COLUMNS($AC$1006:AO1006),$AC$1006:$AS$1006,0))&gt;=100000), " ",IF(INDEX($AC$2:$AS$1001,MATCH(ROWS($V$2:V629),$V$2:$V$1001,0),MATCH(COLUMNS($AC$1006:AO1006),$AC$1006:$AS$1006,0)), HYPERLINK("#",""), HYPERLINK(CONCATENATE("#Metadata!", ADDRESS(INDEX($X$2:$X$1001,MATCH(ROWS($V$2:V629),$V$2:$V$1001,0),0), INDEX($AC$1004:$AS$1004,1,MATCH(COLUMNS($AC$1006:AO1006),$AC$1006:$AS$1006,0)))),"Fix")))</f>
        <v>0</v>
      </c>
      <c r="O629" s="5">
        <f>IF(OR(INDEX($W$2:$W$1001,MATCH(ROWS($V$2:V629),$V$2:$V$1001,0),1)&gt;=100000,INDEX($AC$1005:$AS$1005,1,MATCH(COLUMNS($AC$1006:AP1006),$AC$1006:$AS$1006,0))&gt;=100000), " ",IF(INDEX($AC$2:$AS$1001,MATCH(ROWS($V$2:V629),$V$2:$V$1001,0),MATCH(COLUMNS($AC$1006:AP1006),$AC$1006:$AS$1006,0)), HYPERLINK("#",""), HYPERLINK(CONCATENATE("#Metadata!", ADDRESS(INDEX($X$2:$X$1001,MATCH(ROWS($V$2:V629),$V$2:$V$1001,0),0), INDEX($AC$1004:$AS$1004,1,MATCH(COLUMNS($AC$1006:AP1006),$AC$1006:$AS$1006,0)))),"Fix")))</f>
        <v>0</v>
      </c>
      <c r="P629" s="5">
        <f>IF(OR(INDEX($W$2:$W$1001,MATCH(ROWS($V$2:V629),$V$2:$V$1001,0),1)&gt;=100000,INDEX($AC$1005:$AS$1005,1,MATCH(COLUMNS($AC$1006:AQ1006),$AC$1006:$AS$1006,0))&gt;=100000), " ",IF(INDEX($AC$2:$AS$1001,MATCH(ROWS($V$2:V629),$V$2:$V$1001,0),MATCH(COLUMNS($AC$1006:AQ1006),$AC$1006:$AS$1006,0)), HYPERLINK("#",""), HYPERLINK(CONCATENATE("#Metadata!", ADDRESS(INDEX($X$2:$X$1001,MATCH(ROWS($V$2:V629),$V$2:$V$1001,0),0), INDEX($AC$1004:$AS$1004,1,MATCH(COLUMNS($AC$1006:AQ1006),$AC$1006:$AS$1006,0)))),"Fix")))</f>
        <v>0</v>
      </c>
      <c r="Q629" s="5">
        <f>IF(OR(INDEX($W$2:$W$1001,MATCH(ROWS($V$2:V629),$V$2:$V$1001,0),1)&gt;=100000,INDEX($AC$1005:$AS$1005,1,MATCH(COLUMNS($AC$1006:AR1006),$AC$1006:$AS$1006,0))&gt;=100000), " ",IF(INDEX($AC$2:$AS$1001,MATCH(ROWS($V$2:V629),$V$2:$V$1001,0),MATCH(COLUMNS($AC$1006:AR1006),$AC$1006:$AS$1006,0)), HYPERLINK("#",""), HYPERLINK(CONCATENATE("#Metadata!", ADDRESS(INDEX($X$2:$X$1001,MATCH(ROWS($V$2:V629),$V$2:$V$1001,0),0), INDEX($AC$1004:$AS$1004,1,MATCH(COLUMNS($AC$1006:AR1006),$AC$1006:$AS$1006,0)))),"Fix")))</f>
        <v>0</v>
      </c>
      <c r="R629" s="5">
        <f>IF(OR(INDEX($W$2:$W$1001,MATCH(ROWS($V$2:V629),$V$2:$V$1001,0),1)&gt;=100000,INDEX($AC$1005:$AS$1005,1,MATCH(COLUMNS($AC$1006:AS1006),$AC$1006:$AS$1006,0))&gt;=100000), " ",IF(INDEX($AC$2:$AS$1001,MATCH(ROWS($V$2:V629),$V$2:$V$1001,0),MATCH(COLUMNS($AC$1006:AS1006),$AC$1006:$AS$1006,0)), HYPERLINK("#",""), HYPERLINK(CONCATENATE("#Metadata!", ADDRESS(INDEX($X$2:$X$1001,MATCH(ROWS($V$2:V629),$V$2:$V$1001,0),0), INDEX($AC$1004:$AS$1004,1,MATCH(COLUMNS($AC$1006:AS1006),$AC$1006:$AS$1006,0)))),"Fix")))</f>
        <v>0</v>
      </c>
      <c r="V629">
        <v>0</v>
      </c>
      <c r="W629">
        <v>0</v>
      </c>
      <c r="X629">
        <v>0</v>
      </c>
      <c r="Y629">
        <f>IF(Z629,TRUE,AND(AC629:AS629))</f>
        <v>0</v>
      </c>
      <c r="Z629">
        <f>COUNTBLANK(Metadata!B629:R629)=COLUMNS(Metadata!B629:R629)</f>
        <v>0</v>
      </c>
      <c r="AA629">
        <v>0</v>
      </c>
      <c r="AC629">
        <f>AND(IF(Metadata!B629="",FALSE,TRUE),COUNTIF(Metadata!B:B, Metadata!B629) = 1,NOT(ISERROR(SUMPRODUCT(SEARCH(MID(Metadata!B629,ROW(INDIRECT("1:"&amp;LEN(Metadata!B629))), 1),"0123456789abcdefghijklmnopqrstuvwxyzABCDEFGHIJKLMNOPQRSTUVWXYZ.")))))</f>
        <v>0</v>
      </c>
      <c r="AD629">
        <f>AND(IF(Metadata!C629="",FALSE,TRUE),exact(Metadata!C629,"Host-associated"))</f>
        <v>0</v>
      </c>
      <c r="AE629">
        <f>AND(IF(Metadata!D629="",FALSE,TRUE),OR(exact(Metadata!D629,"Animal"),exact(Metadata!D629,"Fungus"),exact(Metadata!D629,"Plant")))</f>
        <v>0</v>
      </c>
      <c r="AF629">
        <f>AND(IF(Metadata!E629="",FALSE,TRUE),OR(exact(Metadata!E629,"Plant secretion"),exact(Metadata!E629,"Plant rhizosphere"),exact(Metadata!E629,"Plant surface"),exact(Metadata!E629,"Plant corpus"),exact(Metadata!E629,"Fungus surface"),exact(Metadata!E629,"Fungus corpus"),exact(Metadata!E629,"Animal surface"),exact(Metadata!E629,"Animal proximal gut"),exact(Metadata!E629,"Animal corpus"),exact(Metadata!E629,"Animal distal gut"),exact(Metadata!E629,"Animal secretion")))</f>
        <v>0</v>
      </c>
      <c r="AG629">
        <f>OR(AND(IF(Metadata!F629="",FALSE,TRUE),OR(exact(Metadata!F629,"not collected"),exact(Metadata!F629,"not provided"),exact(Metadata!F629,"restricted access"))),AND(IF(Metadata!F629="",FALSE,TRUE),OR(exact(Metadata!F629,"organism-associated habitat"),exact(Metadata!F629,"plant-associated habitat"),exact(Metadata!F629,"animal-associated habitat"),exact(Metadata!F629,"insecta-associated habitat"),exact(Metadata!F629,"mammalia-associated habitat"),exact(Metadata!F629,"human-associated habitat"),exact(Metadata!F629,"livestock-associated habitat"))))</f>
        <v>0</v>
      </c>
      <c r="AH629">
        <f>AND(IF(Metadata!G629="",FALSE,TRUE),exact(Metadata!G629,"host-associated"))</f>
        <v>0</v>
      </c>
      <c r="AI629">
        <f>OR(AND(IF(Metadata!H629="",FALSE,TRUE),OR(exact(Metadata!H629,"not collected"),exact(Metadata!H629,"not provided"))),AND(IF(Metadata!H629="",FALSE,ISNUMBER(VALUE(Metadata!H629))),Metadata!H629&gt;0))</f>
        <v>0</v>
      </c>
      <c r="AJ629">
        <f>AND(IF(Metadata!I629="",FALSE,TRUE),exact(Metadata!I629,"years"))</f>
        <v>0</v>
      </c>
      <c r="AK629">
        <f>IF(Metadata!J629="",FALSE,TRUE)</f>
        <v>0</v>
      </c>
      <c r="AL629">
        <f>OR(AND(IF(Metadata!K629="",FALSE,TRUE),OR(exact(Metadata!K629,"not collected"),exact(Metadata!K629,"not provided"))),AND(IF(Metadata!K629="",FALSE,ISNUMBER(VALUE(Metadata!K629))),Metadata!K629&gt;0))</f>
        <v>0</v>
      </c>
      <c r="AM629">
        <f>AND(IF(Metadata!L629="",FALSE,TRUE),exact(Metadata!L629,"cm"))</f>
        <v>0</v>
      </c>
      <c r="AN629">
        <f>IF(Metadata!M629="",FALSE,TRUE)</f>
        <v>0</v>
      </c>
      <c r="AO629">
        <f>OR(AND(IF(Metadata!N629="",FALSE,TRUE),OR(exact(Metadata!N629,"not applicable"),exact(Metadata!N629,"not collected"),exact(Metadata!N629,"not provided"))),AND(IF(Metadata!N629="",FALSE,IF(ISERROR(INT(Metadata!N629)),FALSE,INT(Metadata!N629)=Metadata!N629)),Metadata!N629&gt;0))</f>
        <v>0</v>
      </c>
      <c r="AP629">
        <f>OR(AND(IF(Metadata!O629="",FALSE,TRUE),OR(exact(Metadata!O629,"not collected"),exact(Metadata!O629,"not provided"))),AND(IF(Metadata!O629="",FALSE,ISNUMBER(VALUE(Metadata!O629))),Metadata!O629&gt;0))</f>
        <v>0</v>
      </c>
      <c r="AQ629">
        <f>AND(IF(Metadata!P629="",FALSE,TRUE),exact(Metadata!P629,"kg"))</f>
        <v>0</v>
      </c>
      <c r="AR629">
        <f>OR(AND(IF(Metadata!Q629="",FALSE,TRUE),OR(exact(Metadata!Q629,"not applicable"),exact(Metadata!Q629,"not collected"),exact(Metadata!Q629,"not provided"),exact(Metadata!Q629,"restricted access"))),IF(Metadata!Q629="",FALSE,IF(ISERROR(INT(Metadata!Q629)),FALSE,INT(Metadata!Q629)=Metadata!Q629)))</f>
        <v>0</v>
      </c>
      <c r="AS629">
        <f>AND(IF(Metadata!R629="",FALSE,TRUE),exact(Metadata!R629,"Not applicable"))</f>
        <v>0</v>
      </c>
    </row>
    <row r="630" spans="1:45">
      <c r="A630" s="4">
        <f>IF(B630=" "," ",HYPERLINK(CONCATENATE("#metadata!",ADDRESS(INDEX($X$2:$X$1001,MATCH(ROWS($V$2:V630),$V$2:$V$1001,0),0),2)),INDEX($AA$2:$AA$1001,MATCH(ROWS($V$2:V630),$V$2:$V$1001,0),0)))</f>
        <v>0</v>
      </c>
      <c r="B630" s="5">
        <f>IF(OR(INDEX($W$2:$W$1001,MATCH(ROWS($V$2:V630),$V$2:$V$1001,0),1)&gt;=100000,INDEX($AC$1005:$AS$1005,1,MATCH(COLUMNS($AC$1006:AC1006),$AC$1006:$AS$1006,0))&gt;=100000), " ",IF(INDEX($AC$2:$AS$1001,MATCH(ROWS($V$2:V630),$V$2:$V$1001,0),MATCH(COLUMNS($AC$1006:AC1006),$AC$1006:$AS$1006,0)), HYPERLINK("#",""), HYPERLINK(CONCATENATE("#Metadata!", ADDRESS(INDEX($X$2:$X$1001,MATCH(ROWS($V$2:V630),$V$2:$V$1001,0),0), INDEX($AC$1004:$AS$1004,1,MATCH(COLUMNS($AC$1006:AC1006),$AC$1006:$AS$1006,0)))),"Fix")))</f>
        <v>0</v>
      </c>
      <c r="C630" s="5">
        <f>IF(OR(INDEX($W$2:$W$1001,MATCH(ROWS($V$2:V630),$V$2:$V$1001,0),1)&gt;=100000,INDEX($AC$1005:$AS$1005,1,MATCH(COLUMNS($AC$1006:AD1006),$AC$1006:$AS$1006,0))&gt;=100000), " ",IF(INDEX($AC$2:$AS$1001,MATCH(ROWS($V$2:V630),$V$2:$V$1001,0),MATCH(COLUMNS($AC$1006:AD1006),$AC$1006:$AS$1006,0)), HYPERLINK("#",""), HYPERLINK(CONCATENATE("#Metadata!", ADDRESS(INDEX($X$2:$X$1001,MATCH(ROWS($V$2:V630),$V$2:$V$1001,0),0), INDEX($AC$1004:$AS$1004,1,MATCH(COLUMNS($AC$1006:AD1006),$AC$1006:$AS$1006,0)))),"Fix")))</f>
        <v>0</v>
      </c>
      <c r="D630" s="5">
        <f>IF(OR(INDEX($W$2:$W$1001,MATCH(ROWS($V$2:V630),$V$2:$V$1001,0),1)&gt;=100000,INDEX($AC$1005:$AS$1005,1,MATCH(COLUMNS($AC$1006:AE1006),$AC$1006:$AS$1006,0))&gt;=100000), " ",IF(INDEX($AC$2:$AS$1001,MATCH(ROWS($V$2:V630),$V$2:$V$1001,0),MATCH(COLUMNS($AC$1006:AE1006),$AC$1006:$AS$1006,0)), HYPERLINK("#",""), HYPERLINK(CONCATENATE("#Metadata!", ADDRESS(INDEX($X$2:$X$1001,MATCH(ROWS($V$2:V630),$V$2:$V$1001,0),0), INDEX($AC$1004:$AS$1004,1,MATCH(COLUMNS($AC$1006:AE1006),$AC$1006:$AS$1006,0)))),"Fix")))</f>
        <v>0</v>
      </c>
      <c r="E630" s="5">
        <f>IF(OR(INDEX($W$2:$W$1001,MATCH(ROWS($V$2:V630),$V$2:$V$1001,0),1)&gt;=100000,INDEX($AC$1005:$AS$1005,1,MATCH(COLUMNS($AC$1006:AF1006),$AC$1006:$AS$1006,0))&gt;=100000), " ",IF(INDEX($AC$2:$AS$1001,MATCH(ROWS($V$2:V630),$V$2:$V$1001,0),MATCH(COLUMNS($AC$1006:AF1006),$AC$1006:$AS$1006,0)), HYPERLINK("#",""), HYPERLINK(CONCATENATE("#Metadata!", ADDRESS(INDEX($X$2:$X$1001,MATCH(ROWS($V$2:V630),$V$2:$V$1001,0),0), INDEX($AC$1004:$AS$1004,1,MATCH(COLUMNS($AC$1006:AF1006),$AC$1006:$AS$1006,0)))),"Fix")))</f>
        <v>0</v>
      </c>
      <c r="F630" s="5">
        <f>IF(OR(INDEX($W$2:$W$1001,MATCH(ROWS($V$2:V630),$V$2:$V$1001,0),1)&gt;=100000,INDEX($AC$1005:$AS$1005,1,MATCH(COLUMNS($AC$1006:AG1006),$AC$1006:$AS$1006,0))&gt;=100000), " ",IF(INDEX($AC$2:$AS$1001,MATCH(ROWS($V$2:V630),$V$2:$V$1001,0),MATCH(COLUMNS($AC$1006:AG1006),$AC$1006:$AS$1006,0)), HYPERLINK("#",""), HYPERLINK(CONCATENATE("#Metadata!", ADDRESS(INDEX($X$2:$X$1001,MATCH(ROWS($V$2:V630),$V$2:$V$1001,0),0), INDEX($AC$1004:$AS$1004,1,MATCH(COLUMNS($AC$1006:AG1006),$AC$1006:$AS$1006,0)))),"Fix")))</f>
        <v>0</v>
      </c>
      <c r="G630" s="5">
        <f>IF(OR(INDEX($W$2:$W$1001,MATCH(ROWS($V$2:V630),$V$2:$V$1001,0),1)&gt;=100000,INDEX($AC$1005:$AS$1005,1,MATCH(COLUMNS($AC$1006:AH1006),$AC$1006:$AS$1006,0))&gt;=100000), " ",IF(INDEX($AC$2:$AS$1001,MATCH(ROWS($V$2:V630),$V$2:$V$1001,0),MATCH(COLUMNS($AC$1006:AH1006),$AC$1006:$AS$1006,0)), HYPERLINK("#",""), HYPERLINK(CONCATENATE("#Metadata!", ADDRESS(INDEX($X$2:$X$1001,MATCH(ROWS($V$2:V630),$V$2:$V$1001,0),0), INDEX($AC$1004:$AS$1004,1,MATCH(COLUMNS($AC$1006:AH1006),$AC$1006:$AS$1006,0)))),"Fix")))</f>
        <v>0</v>
      </c>
      <c r="H630" s="5">
        <f>IF(OR(INDEX($W$2:$W$1001,MATCH(ROWS($V$2:V630),$V$2:$V$1001,0),1)&gt;=100000,INDEX($AC$1005:$AS$1005,1,MATCH(COLUMNS($AC$1006:AI1006),$AC$1006:$AS$1006,0))&gt;=100000), " ",IF(INDEX($AC$2:$AS$1001,MATCH(ROWS($V$2:V630),$V$2:$V$1001,0),MATCH(COLUMNS($AC$1006:AI1006),$AC$1006:$AS$1006,0)), HYPERLINK("#",""), HYPERLINK(CONCATENATE("#Metadata!", ADDRESS(INDEX($X$2:$X$1001,MATCH(ROWS($V$2:V630),$V$2:$V$1001,0),0), INDEX($AC$1004:$AS$1004,1,MATCH(COLUMNS($AC$1006:AI1006),$AC$1006:$AS$1006,0)))),"Fix")))</f>
        <v>0</v>
      </c>
      <c r="I630" s="5">
        <f>IF(OR(INDEX($W$2:$W$1001,MATCH(ROWS($V$2:V630),$V$2:$V$1001,0),1)&gt;=100000,INDEX($AC$1005:$AS$1005,1,MATCH(COLUMNS($AC$1006:AJ1006),$AC$1006:$AS$1006,0))&gt;=100000), " ",IF(INDEX($AC$2:$AS$1001,MATCH(ROWS($V$2:V630),$V$2:$V$1001,0),MATCH(COLUMNS($AC$1006:AJ1006),$AC$1006:$AS$1006,0)), HYPERLINK("#",""), HYPERLINK(CONCATENATE("#Metadata!", ADDRESS(INDEX($X$2:$X$1001,MATCH(ROWS($V$2:V630),$V$2:$V$1001,0),0), INDEX($AC$1004:$AS$1004,1,MATCH(COLUMNS($AC$1006:AJ1006),$AC$1006:$AS$1006,0)))),"Fix")))</f>
        <v>0</v>
      </c>
      <c r="J630" s="5">
        <f>IF(OR(INDEX($W$2:$W$1001,MATCH(ROWS($V$2:V630),$V$2:$V$1001,0),1)&gt;=100000,INDEX($AC$1005:$AS$1005,1,MATCH(COLUMNS($AC$1006:AK1006),$AC$1006:$AS$1006,0))&gt;=100000), " ",IF(INDEX($AC$2:$AS$1001,MATCH(ROWS($V$2:V630),$V$2:$V$1001,0),MATCH(COLUMNS($AC$1006:AK1006),$AC$1006:$AS$1006,0)), HYPERLINK("#",""), HYPERLINK(CONCATENATE("#Metadata!", ADDRESS(INDEX($X$2:$X$1001,MATCH(ROWS($V$2:V630),$V$2:$V$1001,0),0), INDEX($AC$1004:$AS$1004,1,MATCH(COLUMNS($AC$1006:AK1006),$AC$1006:$AS$1006,0)))),"Fix")))</f>
        <v>0</v>
      </c>
      <c r="K630" s="5">
        <f>IF(OR(INDEX($W$2:$W$1001,MATCH(ROWS($V$2:V630),$V$2:$V$1001,0),1)&gt;=100000,INDEX($AC$1005:$AS$1005,1,MATCH(COLUMNS($AC$1006:AL1006),$AC$1006:$AS$1006,0))&gt;=100000), " ",IF(INDEX($AC$2:$AS$1001,MATCH(ROWS($V$2:V630),$V$2:$V$1001,0),MATCH(COLUMNS($AC$1006:AL1006),$AC$1006:$AS$1006,0)), HYPERLINK("#",""), HYPERLINK(CONCATENATE("#Metadata!", ADDRESS(INDEX($X$2:$X$1001,MATCH(ROWS($V$2:V630),$V$2:$V$1001,0),0), INDEX($AC$1004:$AS$1004,1,MATCH(COLUMNS($AC$1006:AL1006),$AC$1006:$AS$1006,0)))),"Fix")))</f>
        <v>0</v>
      </c>
      <c r="L630" s="5">
        <f>IF(OR(INDEX($W$2:$W$1001,MATCH(ROWS($V$2:V630),$V$2:$V$1001,0),1)&gt;=100000,INDEX($AC$1005:$AS$1005,1,MATCH(COLUMNS($AC$1006:AM1006),$AC$1006:$AS$1006,0))&gt;=100000), " ",IF(INDEX($AC$2:$AS$1001,MATCH(ROWS($V$2:V630),$V$2:$V$1001,0),MATCH(COLUMNS($AC$1006:AM1006),$AC$1006:$AS$1006,0)), HYPERLINK("#",""), HYPERLINK(CONCATENATE("#Metadata!", ADDRESS(INDEX($X$2:$X$1001,MATCH(ROWS($V$2:V630),$V$2:$V$1001,0),0), INDEX($AC$1004:$AS$1004,1,MATCH(COLUMNS($AC$1006:AM1006),$AC$1006:$AS$1006,0)))),"Fix")))</f>
        <v>0</v>
      </c>
      <c r="M630" s="5">
        <f>IF(OR(INDEX($W$2:$W$1001,MATCH(ROWS($V$2:V630),$V$2:$V$1001,0),1)&gt;=100000,INDEX($AC$1005:$AS$1005,1,MATCH(COLUMNS($AC$1006:AN1006),$AC$1006:$AS$1006,0))&gt;=100000), " ",IF(INDEX($AC$2:$AS$1001,MATCH(ROWS($V$2:V630),$V$2:$V$1001,0),MATCH(COLUMNS($AC$1006:AN1006),$AC$1006:$AS$1006,0)), HYPERLINK("#",""), HYPERLINK(CONCATENATE("#Metadata!", ADDRESS(INDEX($X$2:$X$1001,MATCH(ROWS($V$2:V630),$V$2:$V$1001,0),0), INDEX($AC$1004:$AS$1004,1,MATCH(COLUMNS($AC$1006:AN1006),$AC$1006:$AS$1006,0)))),"Fix")))</f>
        <v>0</v>
      </c>
      <c r="N630" s="5">
        <f>IF(OR(INDEX($W$2:$W$1001,MATCH(ROWS($V$2:V630),$V$2:$V$1001,0),1)&gt;=100000,INDEX($AC$1005:$AS$1005,1,MATCH(COLUMNS($AC$1006:AO1006),$AC$1006:$AS$1006,0))&gt;=100000), " ",IF(INDEX($AC$2:$AS$1001,MATCH(ROWS($V$2:V630),$V$2:$V$1001,0),MATCH(COLUMNS($AC$1006:AO1006),$AC$1006:$AS$1006,0)), HYPERLINK("#",""), HYPERLINK(CONCATENATE("#Metadata!", ADDRESS(INDEX($X$2:$X$1001,MATCH(ROWS($V$2:V630),$V$2:$V$1001,0),0), INDEX($AC$1004:$AS$1004,1,MATCH(COLUMNS($AC$1006:AO1006),$AC$1006:$AS$1006,0)))),"Fix")))</f>
        <v>0</v>
      </c>
      <c r="O630" s="5">
        <f>IF(OR(INDEX($W$2:$W$1001,MATCH(ROWS($V$2:V630),$V$2:$V$1001,0),1)&gt;=100000,INDEX($AC$1005:$AS$1005,1,MATCH(COLUMNS($AC$1006:AP1006),$AC$1006:$AS$1006,0))&gt;=100000), " ",IF(INDEX($AC$2:$AS$1001,MATCH(ROWS($V$2:V630),$V$2:$V$1001,0),MATCH(COLUMNS($AC$1006:AP1006),$AC$1006:$AS$1006,0)), HYPERLINK("#",""), HYPERLINK(CONCATENATE("#Metadata!", ADDRESS(INDEX($X$2:$X$1001,MATCH(ROWS($V$2:V630),$V$2:$V$1001,0),0), INDEX($AC$1004:$AS$1004,1,MATCH(COLUMNS($AC$1006:AP1006),$AC$1006:$AS$1006,0)))),"Fix")))</f>
        <v>0</v>
      </c>
      <c r="P630" s="5">
        <f>IF(OR(INDEX($W$2:$W$1001,MATCH(ROWS($V$2:V630),$V$2:$V$1001,0),1)&gt;=100000,INDEX($AC$1005:$AS$1005,1,MATCH(COLUMNS($AC$1006:AQ1006),$AC$1006:$AS$1006,0))&gt;=100000), " ",IF(INDEX($AC$2:$AS$1001,MATCH(ROWS($V$2:V630),$V$2:$V$1001,0),MATCH(COLUMNS($AC$1006:AQ1006),$AC$1006:$AS$1006,0)), HYPERLINK("#",""), HYPERLINK(CONCATENATE("#Metadata!", ADDRESS(INDEX($X$2:$X$1001,MATCH(ROWS($V$2:V630),$V$2:$V$1001,0),0), INDEX($AC$1004:$AS$1004,1,MATCH(COLUMNS($AC$1006:AQ1006),$AC$1006:$AS$1006,0)))),"Fix")))</f>
        <v>0</v>
      </c>
      <c r="Q630" s="5">
        <f>IF(OR(INDEX($W$2:$W$1001,MATCH(ROWS($V$2:V630),$V$2:$V$1001,0),1)&gt;=100000,INDEX($AC$1005:$AS$1005,1,MATCH(COLUMNS($AC$1006:AR1006),$AC$1006:$AS$1006,0))&gt;=100000), " ",IF(INDEX($AC$2:$AS$1001,MATCH(ROWS($V$2:V630),$V$2:$V$1001,0),MATCH(COLUMNS($AC$1006:AR1006),$AC$1006:$AS$1006,0)), HYPERLINK("#",""), HYPERLINK(CONCATENATE("#Metadata!", ADDRESS(INDEX($X$2:$X$1001,MATCH(ROWS($V$2:V630),$V$2:$V$1001,0),0), INDEX($AC$1004:$AS$1004,1,MATCH(COLUMNS($AC$1006:AR1006),$AC$1006:$AS$1006,0)))),"Fix")))</f>
        <v>0</v>
      </c>
      <c r="R630" s="5">
        <f>IF(OR(INDEX($W$2:$W$1001,MATCH(ROWS($V$2:V630),$V$2:$V$1001,0),1)&gt;=100000,INDEX($AC$1005:$AS$1005,1,MATCH(COLUMNS($AC$1006:AS1006),$AC$1006:$AS$1006,0))&gt;=100000), " ",IF(INDEX($AC$2:$AS$1001,MATCH(ROWS($V$2:V630),$V$2:$V$1001,0),MATCH(COLUMNS($AC$1006:AS1006),$AC$1006:$AS$1006,0)), HYPERLINK("#",""), HYPERLINK(CONCATENATE("#Metadata!", ADDRESS(INDEX($X$2:$X$1001,MATCH(ROWS($V$2:V630),$V$2:$V$1001,0),0), INDEX($AC$1004:$AS$1004,1,MATCH(COLUMNS($AC$1006:AS1006),$AC$1006:$AS$1006,0)))),"Fix")))</f>
        <v>0</v>
      </c>
      <c r="V630">
        <v>0</v>
      </c>
      <c r="W630">
        <v>0</v>
      </c>
      <c r="X630">
        <v>0</v>
      </c>
      <c r="Y630">
        <f>IF(Z630,TRUE,AND(AC630:AS630))</f>
        <v>0</v>
      </c>
      <c r="Z630">
        <f>COUNTBLANK(Metadata!B630:R630)=COLUMNS(Metadata!B630:R630)</f>
        <v>0</v>
      </c>
      <c r="AA630">
        <v>0</v>
      </c>
      <c r="AC630">
        <f>AND(IF(Metadata!B630="",FALSE,TRUE),COUNTIF(Metadata!B:B, Metadata!B630) = 1,NOT(ISERROR(SUMPRODUCT(SEARCH(MID(Metadata!B630,ROW(INDIRECT("1:"&amp;LEN(Metadata!B630))), 1),"0123456789abcdefghijklmnopqrstuvwxyzABCDEFGHIJKLMNOPQRSTUVWXYZ.")))))</f>
        <v>0</v>
      </c>
      <c r="AD630">
        <f>AND(IF(Metadata!C630="",FALSE,TRUE),exact(Metadata!C630,"Host-associated"))</f>
        <v>0</v>
      </c>
      <c r="AE630">
        <f>AND(IF(Metadata!D630="",FALSE,TRUE),OR(exact(Metadata!D630,"Animal"),exact(Metadata!D630,"Fungus"),exact(Metadata!D630,"Plant")))</f>
        <v>0</v>
      </c>
      <c r="AF630">
        <f>AND(IF(Metadata!E630="",FALSE,TRUE),OR(exact(Metadata!E630,"Plant secretion"),exact(Metadata!E630,"Plant rhizosphere"),exact(Metadata!E630,"Plant surface"),exact(Metadata!E630,"Plant corpus"),exact(Metadata!E630,"Fungus surface"),exact(Metadata!E630,"Fungus corpus"),exact(Metadata!E630,"Animal surface"),exact(Metadata!E630,"Animal proximal gut"),exact(Metadata!E630,"Animal corpus"),exact(Metadata!E630,"Animal distal gut"),exact(Metadata!E630,"Animal secretion")))</f>
        <v>0</v>
      </c>
      <c r="AG630">
        <f>OR(AND(IF(Metadata!F630="",FALSE,TRUE),OR(exact(Metadata!F630,"not collected"),exact(Metadata!F630,"not provided"),exact(Metadata!F630,"restricted access"))),AND(IF(Metadata!F630="",FALSE,TRUE),OR(exact(Metadata!F630,"organism-associated habitat"),exact(Metadata!F630,"plant-associated habitat"),exact(Metadata!F630,"animal-associated habitat"),exact(Metadata!F630,"insecta-associated habitat"),exact(Metadata!F630,"mammalia-associated habitat"),exact(Metadata!F630,"human-associated habitat"),exact(Metadata!F630,"livestock-associated habitat"))))</f>
        <v>0</v>
      </c>
      <c r="AH630">
        <f>AND(IF(Metadata!G630="",FALSE,TRUE),exact(Metadata!G630,"host-associated"))</f>
        <v>0</v>
      </c>
      <c r="AI630">
        <f>OR(AND(IF(Metadata!H630="",FALSE,TRUE),OR(exact(Metadata!H630,"not collected"),exact(Metadata!H630,"not provided"))),AND(IF(Metadata!H630="",FALSE,ISNUMBER(VALUE(Metadata!H630))),Metadata!H630&gt;0))</f>
        <v>0</v>
      </c>
      <c r="AJ630">
        <f>AND(IF(Metadata!I630="",FALSE,TRUE),exact(Metadata!I630,"years"))</f>
        <v>0</v>
      </c>
      <c r="AK630">
        <f>IF(Metadata!J630="",FALSE,TRUE)</f>
        <v>0</v>
      </c>
      <c r="AL630">
        <f>OR(AND(IF(Metadata!K630="",FALSE,TRUE),OR(exact(Metadata!K630,"not collected"),exact(Metadata!K630,"not provided"))),AND(IF(Metadata!K630="",FALSE,ISNUMBER(VALUE(Metadata!K630))),Metadata!K630&gt;0))</f>
        <v>0</v>
      </c>
      <c r="AM630">
        <f>AND(IF(Metadata!L630="",FALSE,TRUE),exact(Metadata!L630,"cm"))</f>
        <v>0</v>
      </c>
      <c r="AN630">
        <f>IF(Metadata!M630="",FALSE,TRUE)</f>
        <v>0</v>
      </c>
      <c r="AO630">
        <f>OR(AND(IF(Metadata!N630="",FALSE,TRUE),OR(exact(Metadata!N630,"not applicable"),exact(Metadata!N630,"not collected"),exact(Metadata!N630,"not provided"))),AND(IF(Metadata!N630="",FALSE,IF(ISERROR(INT(Metadata!N630)),FALSE,INT(Metadata!N630)=Metadata!N630)),Metadata!N630&gt;0))</f>
        <v>0</v>
      </c>
      <c r="AP630">
        <f>OR(AND(IF(Metadata!O630="",FALSE,TRUE),OR(exact(Metadata!O630,"not collected"),exact(Metadata!O630,"not provided"))),AND(IF(Metadata!O630="",FALSE,ISNUMBER(VALUE(Metadata!O630))),Metadata!O630&gt;0))</f>
        <v>0</v>
      </c>
      <c r="AQ630">
        <f>AND(IF(Metadata!P630="",FALSE,TRUE),exact(Metadata!P630,"kg"))</f>
        <v>0</v>
      </c>
      <c r="AR630">
        <f>OR(AND(IF(Metadata!Q630="",FALSE,TRUE),OR(exact(Metadata!Q630,"not applicable"),exact(Metadata!Q630,"not collected"),exact(Metadata!Q630,"not provided"),exact(Metadata!Q630,"restricted access"))),IF(Metadata!Q630="",FALSE,IF(ISERROR(INT(Metadata!Q630)),FALSE,INT(Metadata!Q630)=Metadata!Q630)))</f>
        <v>0</v>
      </c>
      <c r="AS630">
        <f>AND(IF(Metadata!R630="",FALSE,TRUE),exact(Metadata!R630,"Not applicable"))</f>
        <v>0</v>
      </c>
    </row>
    <row r="631" spans="1:45">
      <c r="A631" s="4">
        <f>IF(B631=" "," ",HYPERLINK(CONCATENATE("#metadata!",ADDRESS(INDEX($X$2:$X$1001,MATCH(ROWS($V$2:V631),$V$2:$V$1001,0),0),2)),INDEX($AA$2:$AA$1001,MATCH(ROWS($V$2:V631),$V$2:$V$1001,0),0)))</f>
        <v>0</v>
      </c>
      <c r="B631" s="5">
        <f>IF(OR(INDEX($W$2:$W$1001,MATCH(ROWS($V$2:V631),$V$2:$V$1001,0),1)&gt;=100000,INDEX($AC$1005:$AS$1005,1,MATCH(COLUMNS($AC$1006:AC1006),$AC$1006:$AS$1006,0))&gt;=100000), " ",IF(INDEX($AC$2:$AS$1001,MATCH(ROWS($V$2:V631),$V$2:$V$1001,0),MATCH(COLUMNS($AC$1006:AC1006),$AC$1006:$AS$1006,0)), HYPERLINK("#",""), HYPERLINK(CONCATENATE("#Metadata!", ADDRESS(INDEX($X$2:$X$1001,MATCH(ROWS($V$2:V631),$V$2:$V$1001,0),0), INDEX($AC$1004:$AS$1004,1,MATCH(COLUMNS($AC$1006:AC1006),$AC$1006:$AS$1006,0)))),"Fix")))</f>
        <v>0</v>
      </c>
      <c r="C631" s="5">
        <f>IF(OR(INDEX($W$2:$W$1001,MATCH(ROWS($V$2:V631),$V$2:$V$1001,0),1)&gt;=100000,INDEX($AC$1005:$AS$1005,1,MATCH(COLUMNS($AC$1006:AD1006),$AC$1006:$AS$1006,0))&gt;=100000), " ",IF(INDEX($AC$2:$AS$1001,MATCH(ROWS($V$2:V631),$V$2:$V$1001,0),MATCH(COLUMNS($AC$1006:AD1006),$AC$1006:$AS$1006,0)), HYPERLINK("#",""), HYPERLINK(CONCATENATE("#Metadata!", ADDRESS(INDEX($X$2:$X$1001,MATCH(ROWS($V$2:V631),$V$2:$V$1001,0),0), INDEX($AC$1004:$AS$1004,1,MATCH(COLUMNS($AC$1006:AD1006),$AC$1006:$AS$1006,0)))),"Fix")))</f>
        <v>0</v>
      </c>
      <c r="D631" s="5">
        <f>IF(OR(INDEX($W$2:$W$1001,MATCH(ROWS($V$2:V631),$V$2:$V$1001,0),1)&gt;=100000,INDEX($AC$1005:$AS$1005,1,MATCH(COLUMNS($AC$1006:AE1006),$AC$1006:$AS$1006,0))&gt;=100000), " ",IF(INDEX($AC$2:$AS$1001,MATCH(ROWS($V$2:V631),$V$2:$V$1001,0),MATCH(COLUMNS($AC$1006:AE1006),$AC$1006:$AS$1006,0)), HYPERLINK("#",""), HYPERLINK(CONCATENATE("#Metadata!", ADDRESS(INDEX($X$2:$X$1001,MATCH(ROWS($V$2:V631),$V$2:$V$1001,0),0), INDEX($AC$1004:$AS$1004,1,MATCH(COLUMNS($AC$1006:AE1006),$AC$1006:$AS$1006,0)))),"Fix")))</f>
        <v>0</v>
      </c>
      <c r="E631" s="5">
        <f>IF(OR(INDEX($W$2:$W$1001,MATCH(ROWS($V$2:V631),$V$2:$V$1001,0),1)&gt;=100000,INDEX($AC$1005:$AS$1005,1,MATCH(COLUMNS($AC$1006:AF1006),$AC$1006:$AS$1006,0))&gt;=100000), " ",IF(INDEX($AC$2:$AS$1001,MATCH(ROWS($V$2:V631),$V$2:$V$1001,0),MATCH(COLUMNS($AC$1006:AF1006),$AC$1006:$AS$1006,0)), HYPERLINK("#",""), HYPERLINK(CONCATENATE("#Metadata!", ADDRESS(INDEX($X$2:$X$1001,MATCH(ROWS($V$2:V631),$V$2:$V$1001,0),0), INDEX($AC$1004:$AS$1004,1,MATCH(COLUMNS($AC$1006:AF1006),$AC$1006:$AS$1006,0)))),"Fix")))</f>
        <v>0</v>
      </c>
      <c r="F631" s="5">
        <f>IF(OR(INDEX($W$2:$W$1001,MATCH(ROWS($V$2:V631),$V$2:$V$1001,0),1)&gt;=100000,INDEX($AC$1005:$AS$1005,1,MATCH(COLUMNS($AC$1006:AG1006),$AC$1006:$AS$1006,0))&gt;=100000), " ",IF(INDEX($AC$2:$AS$1001,MATCH(ROWS($V$2:V631),$V$2:$V$1001,0),MATCH(COLUMNS($AC$1006:AG1006),$AC$1006:$AS$1006,0)), HYPERLINK("#",""), HYPERLINK(CONCATENATE("#Metadata!", ADDRESS(INDEX($X$2:$X$1001,MATCH(ROWS($V$2:V631),$V$2:$V$1001,0),0), INDEX($AC$1004:$AS$1004,1,MATCH(COLUMNS($AC$1006:AG1006),$AC$1006:$AS$1006,0)))),"Fix")))</f>
        <v>0</v>
      </c>
      <c r="G631" s="5">
        <f>IF(OR(INDEX($W$2:$W$1001,MATCH(ROWS($V$2:V631),$V$2:$V$1001,0),1)&gt;=100000,INDEX($AC$1005:$AS$1005,1,MATCH(COLUMNS($AC$1006:AH1006),$AC$1006:$AS$1006,0))&gt;=100000), " ",IF(INDEX($AC$2:$AS$1001,MATCH(ROWS($V$2:V631),$V$2:$V$1001,0),MATCH(COLUMNS($AC$1006:AH1006),$AC$1006:$AS$1006,0)), HYPERLINK("#",""), HYPERLINK(CONCATENATE("#Metadata!", ADDRESS(INDEX($X$2:$X$1001,MATCH(ROWS($V$2:V631),$V$2:$V$1001,0),0), INDEX($AC$1004:$AS$1004,1,MATCH(COLUMNS($AC$1006:AH1006),$AC$1006:$AS$1006,0)))),"Fix")))</f>
        <v>0</v>
      </c>
      <c r="H631" s="5">
        <f>IF(OR(INDEX($W$2:$W$1001,MATCH(ROWS($V$2:V631),$V$2:$V$1001,0),1)&gt;=100000,INDEX($AC$1005:$AS$1005,1,MATCH(COLUMNS($AC$1006:AI1006),$AC$1006:$AS$1006,0))&gt;=100000), " ",IF(INDEX($AC$2:$AS$1001,MATCH(ROWS($V$2:V631),$V$2:$V$1001,0),MATCH(COLUMNS($AC$1006:AI1006),$AC$1006:$AS$1006,0)), HYPERLINK("#",""), HYPERLINK(CONCATENATE("#Metadata!", ADDRESS(INDEX($X$2:$X$1001,MATCH(ROWS($V$2:V631),$V$2:$V$1001,0),0), INDEX($AC$1004:$AS$1004,1,MATCH(COLUMNS($AC$1006:AI1006),$AC$1006:$AS$1006,0)))),"Fix")))</f>
        <v>0</v>
      </c>
      <c r="I631" s="5">
        <f>IF(OR(INDEX($W$2:$W$1001,MATCH(ROWS($V$2:V631),$V$2:$V$1001,0),1)&gt;=100000,INDEX($AC$1005:$AS$1005,1,MATCH(COLUMNS($AC$1006:AJ1006),$AC$1006:$AS$1006,0))&gt;=100000), " ",IF(INDEX($AC$2:$AS$1001,MATCH(ROWS($V$2:V631),$V$2:$V$1001,0),MATCH(COLUMNS($AC$1006:AJ1006),$AC$1006:$AS$1006,0)), HYPERLINK("#",""), HYPERLINK(CONCATENATE("#Metadata!", ADDRESS(INDEX($X$2:$X$1001,MATCH(ROWS($V$2:V631),$V$2:$V$1001,0),0), INDEX($AC$1004:$AS$1004,1,MATCH(COLUMNS($AC$1006:AJ1006),$AC$1006:$AS$1006,0)))),"Fix")))</f>
        <v>0</v>
      </c>
      <c r="J631" s="5">
        <f>IF(OR(INDEX($W$2:$W$1001,MATCH(ROWS($V$2:V631),$V$2:$V$1001,0),1)&gt;=100000,INDEX($AC$1005:$AS$1005,1,MATCH(COLUMNS($AC$1006:AK1006),$AC$1006:$AS$1006,0))&gt;=100000), " ",IF(INDEX($AC$2:$AS$1001,MATCH(ROWS($V$2:V631),$V$2:$V$1001,0),MATCH(COLUMNS($AC$1006:AK1006),$AC$1006:$AS$1006,0)), HYPERLINK("#",""), HYPERLINK(CONCATENATE("#Metadata!", ADDRESS(INDEX($X$2:$X$1001,MATCH(ROWS($V$2:V631),$V$2:$V$1001,0),0), INDEX($AC$1004:$AS$1004,1,MATCH(COLUMNS($AC$1006:AK1006),$AC$1006:$AS$1006,0)))),"Fix")))</f>
        <v>0</v>
      </c>
      <c r="K631" s="5">
        <f>IF(OR(INDEX($W$2:$W$1001,MATCH(ROWS($V$2:V631),$V$2:$V$1001,0),1)&gt;=100000,INDEX($AC$1005:$AS$1005,1,MATCH(COLUMNS($AC$1006:AL1006),$AC$1006:$AS$1006,0))&gt;=100000), " ",IF(INDEX($AC$2:$AS$1001,MATCH(ROWS($V$2:V631),$V$2:$V$1001,0),MATCH(COLUMNS($AC$1006:AL1006),$AC$1006:$AS$1006,0)), HYPERLINK("#",""), HYPERLINK(CONCATENATE("#Metadata!", ADDRESS(INDEX($X$2:$X$1001,MATCH(ROWS($V$2:V631),$V$2:$V$1001,0),0), INDEX($AC$1004:$AS$1004,1,MATCH(COLUMNS($AC$1006:AL1006),$AC$1006:$AS$1006,0)))),"Fix")))</f>
        <v>0</v>
      </c>
      <c r="L631" s="5">
        <f>IF(OR(INDEX($W$2:$W$1001,MATCH(ROWS($V$2:V631),$V$2:$V$1001,0),1)&gt;=100000,INDEX($AC$1005:$AS$1005,1,MATCH(COLUMNS($AC$1006:AM1006),$AC$1006:$AS$1006,0))&gt;=100000), " ",IF(INDEX($AC$2:$AS$1001,MATCH(ROWS($V$2:V631),$V$2:$V$1001,0),MATCH(COLUMNS($AC$1006:AM1006),$AC$1006:$AS$1006,0)), HYPERLINK("#",""), HYPERLINK(CONCATENATE("#Metadata!", ADDRESS(INDEX($X$2:$X$1001,MATCH(ROWS($V$2:V631),$V$2:$V$1001,0),0), INDEX($AC$1004:$AS$1004,1,MATCH(COLUMNS($AC$1006:AM1006),$AC$1006:$AS$1006,0)))),"Fix")))</f>
        <v>0</v>
      </c>
      <c r="M631" s="5">
        <f>IF(OR(INDEX($W$2:$W$1001,MATCH(ROWS($V$2:V631),$V$2:$V$1001,0),1)&gt;=100000,INDEX($AC$1005:$AS$1005,1,MATCH(COLUMNS($AC$1006:AN1006),$AC$1006:$AS$1006,0))&gt;=100000), " ",IF(INDEX($AC$2:$AS$1001,MATCH(ROWS($V$2:V631),$V$2:$V$1001,0),MATCH(COLUMNS($AC$1006:AN1006),$AC$1006:$AS$1006,0)), HYPERLINK("#",""), HYPERLINK(CONCATENATE("#Metadata!", ADDRESS(INDEX($X$2:$X$1001,MATCH(ROWS($V$2:V631),$V$2:$V$1001,0),0), INDEX($AC$1004:$AS$1004,1,MATCH(COLUMNS($AC$1006:AN1006),$AC$1006:$AS$1006,0)))),"Fix")))</f>
        <v>0</v>
      </c>
      <c r="N631" s="5">
        <f>IF(OR(INDEX($W$2:$W$1001,MATCH(ROWS($V$2:V631),$V$2:$V$1001,0),1)&gt;=100000,INDEX($AC$1005:$AS$1005,1,MATCH(COLUMNS($AC$1006:AO1006),$AC$1006:$AS$1006,0))&gt;=100000), " ",IF(INDEX($AC$2:$AS$1001,MATCH(ROWS($V$2:V631),$V$2:$V$1001,0),MATCH(COLUMNS($AC$1006:AO1006),$AC$1006:$AS$1006,0)), HYPERLINK("#",""), HYPERLINK(CONCATENATE("#Metadata!", ADDRESS(INDEX($X$2:$X$1001,MATCH(ROWS($V$2:V631),$V$2:$V$1001,0),0), INDEX($AC$1004:$AS$1004,1,MATCH(COLUMNS($AC$1006:AO1006),$AC$1006:$AS$1006,0)))),"Fix")))</f>
        <v>0</v>
      </c>
      <c r="O631" s="5">
        <f>IF(OR(INDEX($W$2:$W$1001,MATCH(ROWS($V$2:V631),$V$2:$V$1001,0),1)&gt;=100000,INDEX($AC$1005:$AS$1005,1,MATCH(COLUMNS($AC$1006:AP1006),$AC$1006:$AS$1006,0))&gt;=100000), " ",IF(INDEX($AC$2:$AS$1001,MATCH(ROWS($V$2:V631),$V$2:$V$1001,0),MATCH(COLUMNS($AC$1006:AP1006),$AC$1006:$AS$1006,0)), HYPERLINK("#",""), HYPERLINK(CONCATENATE("#Metadata!", ADDRESS(INDEX($X$2:$X$1001,MATCH(ROWS($V$2:V631),$V$2:$V$1001,0),0), INDEX($AC$1004:$AS$1004,1,MATCH(COLUMNS($AC$1006:AP1006),$AC$1006:$AS$1006,0)))),"Fix")))</f>
        <v>0</v>
      </c>
      <c r="P631" s="5">
        <f>IF(OR(INDEX($W$2:$W$1001,MATCH(ROWS($V$2:V631),$V$2:$V$1001,0),1)&gt;=100000,INDEX($AC$1005:$AS$1005,1,MATCH(COLUMNS($AC$1006:AQ1006),$AC$1006:$AS$1006,0))&gt;=100000), " ",IF(INDEX($AC$2:$AS$1001,MATCH(ROWS($V$2:V631),$V$2:$V$1001,0),MATCH(COLUMNS($AC$1006:AQ1006),$AC$1006:$AS$1006,0)), HYPERLINK("#",""), HYPERLINK(CONCATENATE("#Metadata!", ADDRESS(INDEX($X$2:$X$1001,MATCH(ROWS($V$2:V631),$V$2:$V$1001,0),0), INDEX($AC$1004:$AS$1004,1,MATCH(COLUMNS($AC$1006:AQ1006),$AC$1006:$AS$1006,0)))),"Fix")))</f>
        <v>0</v>
      </c>
      <c r="Q631" s="5">
        <f>IF(OR(INDEX($W$2:$W$1001,MATCH(ROWS($V$2:V631),$V$2:$V$1001,0),1)&gt;=100000,INDEX($AC$1005:$AS$1005,1,MATCH(COLUMNS($AC$1006:AR1006),$AC$1006:$AS$1006,0))&gt;=100000), " ",IF(INDEX($AC$2:$AS$1001,MATCH(ROWS($V$2:V631),$V$2:$V$1001,0),MATCH(COLUMNS($AC$1006:AR1006),$AC$1006:$AS$1006,0)), HYPERLINK("#",""), HYPERLINK(CONCATENATE("#Metadata!", ADDRESS(INDEX($X$2:$X$1001,MATCH(ROWS($V$2:V631),$V$2:$V$1001,0),0), INDEX($AC$1004:$AS$1004,1,MATCH(COLUMNS($AC$1006:AR1006),$AC$1006:$AS$1006,0)))),"Fix")))</f>
        <v>0</v>
      </c>
      <c r="R631" s="5">
        <f>IF(OR(INDEX($W$2:$W$1001,MATCH(ROWS($V$2:V631),$V$2:$V$1001,0),1)&gt;=100000,INDEX($AC$1005:$AS$1005,1,MATCH(COLUMNS($AC$1006:AS1006),$AC$1006:$AS$1006,0))&gt;=100000), " ",IF(INDEX($AC$2:$AS$1001,MATCH(ROWS($V$2:V631),$V$2:$V$1001,0),MATCH(COLUMNS($AC$1006:AS1006),$AC$1006:$AS$1006,0)), HYPERLINK("#",""), HYPERLINK(CONCATENATE("#Metadata!", ADDRESS(INDEX($X$2:$X$1001,MATCH(ROWS($V$2:V631),$V$2:$V$1001,0),0), INDEX($AC$1004:$AS$1004,1,MATCH(COLUMNS($AC$1006:AS1006),$AC$1006:$AS$1006,0)))),"Fix")))</f>
        <v>0</v>
      </c>
      <c r="V631">
        <v>0</v>
      </c>
      <c r="W631">
        <v>0</v>
      </c>
      <c r="X631">
        <v>0</v>
      </c>
      <c r="Y631">
        <f>IF(Z631,TRUE,AND(AC631:AS631))</f>
        <v>0</v>
      </c>
      <c r="Z631">
        <f>COUNTBLANK(Metadata!B631:R631)=COLUMNS(Metadata!B631:R631)</f>
        <v>0</v>
      </c>
      <c r="AA631">
        <v>0</v>
      </c>
      <c r="AC631">
        <f>AND(IF(Metadata!B631="",FALSE,TRUE),COUNTIF(Metadata!B:B, Metadata!B631) = 1,NOT(ISERROR(SUMPRODUCT(SEARCH(MID(Metadata!B631,ROW(INDIRECT("1:"&amp;LEN(Metadata!B631))), 1),"0123456789abcdefghijklmnopqrstuvwxyzABCDEFGHIJKLMNOPQRSTUVWXYZ.")))))</f>
        <v>0</v>
      </c>
      <c r="AD631">
        <f>AND(IF(Metadata!C631="",FALSE,TRUE),exact(Metadata!C631,"Host-associated"))</f>
        <v>0</v>
      </c>
      <c r="AE631">
        <f>AND(IF(Metadata!D631="",FALSE,TRUE),OR(exact(Metadata!D631,"Animal"),exact(Metadata!D631,"Fungus"),exact(Metadata!D631,"Plant")))</f>
        <v>0</v>
      </c>
      <c r="AF631">
        <f>AND(IF(Metadata!E631="",FALSE,TRUE),OR(exact(Metadata!E631,"Plant secretion"),exact(Metadata!E631,"Plant rhizosphere"),exact(Metadata!E631,"Plant surface"),exact(Metadata!E631,"Plant corpus"),exact(Metadata!E631,"Fungus surface"),exact(Metadata!E631,"Fungus corpus"),exact(Metadata!E631,"Animal surface"),exact(Metadata!E631,"Animal proximal gut"),exact(Metadata!E631,"Animal corpus"),exact(Metadata!E631,"Animal distal gut"),exact(Metadata!E631,"Animal secretion")))</f>
        <v>0</v>
      </c>
      <c r="AG631">
        <f>OR(AND(IF(Metadata!F631="",FALSE,TRUE),OR(exact(Metadata!F631,"not collected"),exact(Metadata!F631,"not provided"),exact(Metadata!F631,"restricted access"))),AND(IF(Metadata!F631="",FALSE,TRUE),OR(exact(Metadata!F631,"organism-associated habitat"),exact(Metadata!F631,"plant-associated habitat"),exact(Metadata!F631,"animal-associated habitat"),exact(Metadata!F631,"insecta-associated habitat"),exact(Metadata!F631,"mammalia-associated habitat"),exact(Metadata!F631,"human-associated habitat"),exact(Metadata!F631,"livestock-associated habitat"))))</f>
        <v>0</v>
      </c>
      <c r="AH631">
        <f>AND(IF(Metadata!G631="",FALSE,TRUE),exact(Metadata!G631,"host-associated"))</f>
        <v>0</v>
      </c>
      <c r="AI631">
        <f>OR(AND(IF(Metadata!H631="",FALSE,TRUE),OR(exact(Metadata!H631,"not collected"),exact(Metadata!H631,"not provided"))),AND(IF(Metadata!H631="",FALSE,ISNUMBER(VALUE(Metadata!H631))),Metadata!H631&gt;0))</f>
        <v>0</v>
      </c>
      <c r="AJ631">
        <f>AND(IF(Metadata!I631="",FALSE,TRUE),exact(Metadata!I631,"years"))</f>
        <v>0</v>
      </c>
      <c r="AK631">
        <f>IF(Metadata!J631="",FALSE,TRUE)</f>
        <v>0</v>
      </c>
      <c r="AL631">
        <f>OR(AND(IF(Metadata!K631="",FALSE,TRUE),OR(exact(Metadata!K631,"not collected"),exact(Metadata!K631,"not provided"))),AND(IF(Metadata!K631="",FALSE,ISNUMBER(VALUE(Metadata!K631))),Metadata!K631&gt;0))</f>
        <v>0</v>
      </c>
      <c r="AM631">
        <f>AND(IF(Metadata!L631="",FALSE,TRUE),exact(Metadata!L631,"cm"))</f>
        <v>0</v>
      </c>
      <c r="AN631">
        <f>IF(Metadata!M631="",FALSE,TRUE)</f>
        <v>0</v>
      </c>
      <c r="AO631">
        <f>OR(AND(IF(Metadata!N631="",FALSE,TRUE),OR(exact(Metadata!N631,"not applicable"),exact(Metadata!N631,"not collected"),exact(Metadata!N631,"not provided"))),AND(IF(Metadata!N631="",FALSE,IF(ISERROR(INT(Metadata!N631)),FALSE,INT(Metadata!N631)=Metadata!N631)),Metadata!N631&gt;0))</f>
        <v>0</v>
      </c>
      <c r="AP631">
        <f>OR(AND(IF(Metadata!O631="",FALSE,TRUE),OR(exact(Metadata!O631,"not collected"),exact(Metadata!O631,"not provided"))),AND(IF(Metadata!O631="",FALSE,ISNUMBER(VALUE(Metadata!O631))),Metadata!O631&gt;0))</f>
        <v>0</v>
      </c>
      <c r="AQ631">
        <f>AND(IF(Metadata!P631="",FALSE,TRUE),exact(Metadata!P631,"kg"))</f>
        <v>0</v>
      </c>
      <c r="AR631">
        <f>OR(AND(IF(Metadata!Q631="",FALSE,TRUE),OR(exact(Metadata!Q631,"not applicable"),exact(Metadata!Q631,"not collected"),exact(Metadata!Q631,"not provided"),exact(Metadata!Q631,"restricted access"))),IF(Metadata!Q631="",FALSE,IF(ISERROR(INT(Metadata!Q631)),FALSE,INT(Metadata!Q631)=Metadata!Q631)))</f>
        <v>0</v>
      </c>
      <c r="AS631">
        <f>AND(IF(Metadata!R631="",FALSE,TRUE),exact(Metadata!R631,"Not applicable"))</f>
        <v>0</v>
      </c>
    </row>
    <row r="632" spans="1:45">
      <c r="A632" s="4">
        <f>IF(B632=" "," ",HYPERLINK(CONCATENATE("#metadata!",ADDRESS(INDEX($X$2:$X$1001,MATCH(ROWS($V$2:V632),$V$2:$V$1001,0),0),2)),INDEX($AA$2:$AA$1001,MATCH(ROWS($V$2:V632),$V$2:$V$1001,0),0)))</f>
        <v>0</v>
      </c>
      <c r="B632" s="5">
        <f>IF(OR(INDEX($W$2:$W$1001,MATCH(ROWS($V$2:V632),$V$2:$V$1001,0),1)&gt;=100000,INDEX($AC$1005:$AS$1005,1,MATCH(COLUMNS($AC$1006:AC1006),$AC$1006:$AS$1006,0))&gt;=100000), " ",IF(INDEX($AC$2:$AS$1001,MATCH(ROWS($V$2:V632),$V$2:$V$1001,0),MATCH(COLUMNS($AC$1006:AC1006),$AC$1006:$AS$1006,0)), HYPERLINK("#",""), HYPERLINK(CONCATENATE("#Metadata!", ADDRESS(INDEX($X$2:$X$1001,MATCH(ROWS($V$2:V632),$V$2:$V$1001,0),0), INDEX($AC$1004:$AS$1004,1,MATCH(COLUMNS($AC$1006:AC1006),$AC$1006:$AS$1006,0)))),"Fix")))</f>
        <v>0</v>
      </c>
      <c r="C632" s="5">
        <f>IF(OR(INDEX($W$2:$W$1001,MATCH(ROWS($V$2:V632),$V$2:$V$1001,0),1)&gt;=100000,INDEX($AC$1005:$AS$1005,1,MATCH(COLUMNS($AC$1006:AD1006),$AC$1006:$AS$1006,0))&gt;=100000), " ",IF(INDEX($AC$2:$AS$1001,MATCH(ROWS($V$2:V632),$V$2:$V$1001,0),MATCH(COLUMNS($AC$1006:AD1006),$AC$1006:$AS$1006,0)), HYPERLINK("#",""), HYPERLINK(CONCATENATE("#Metadata!", ADDRESS(INDEX($X$2:$X$1001,MATCH(ROWS($V$2:V632),$V$2:$V$1001,0),0), INDEX($AC$1004:$AS$1004,1,MATCH(COLUMNS($AC$1006:AD1006),$AC$1006:$AS$1006,0)))),"Fix")))</f>
        <v>0</v>
      </c>
      <c r="D632" s="5">
        <f>IF(OR(INDEX($W$2:$W$1001,MATCH(ROWS($V$2:V632),$V$2:$V$1001,0),1)&gt;=100000,INDEX($AC$1005:$AS$1005,1,MATCH(COLUMNS($AC$1006:AE1006),$AC$1006:$AS$1006,0))&gt;=100000), " ",IF(INDEX($AC$2:$AS$1001,MATCH(ROWS($V$2:V632),$V$2:$V$1001,0),MATCH(COLUMNS($AC$1006:AE1006),$AC$1006:$AS$1006,0)), HYPERLINK("#",""), HYPERLINK(CONCATENATE("#Metadata!", ADDRESS(INDEX($X$2:$X$1001,MATCH(ROWS($V$2:V632),$V$2:$V$1001,0),0), INDEX($AC$1004:$AS$1004,1,MATCH(COLUMNS($AC$1006:AE1006),$AC$1006:$AS$1006,0)))),"Fix")))</f>
        <v>0</v>
      </c>
      <c r="E632" s="5">
        <f>IF(OR(INDEX($W$2:$W$1001,MATCH(ROWS($V$2:V632),$V$2:$V$1001,0),1)&gt;=100000,INDEX($AC$1005:$AS$1005,1,MATCH(COLUMNS($AC$1006:AF1006),$AC$1006:$AS$1006,0))&gt;=100000), " ",IF(INDEX($AC$2:$AS$1001,MATCH(ROWS($V$2:V632),$V$2:$V$1001,0),MATCH(COLUMNS($AC$1006:AF1006),$AC$1006:$AS$1006,0)), HYPERLINK("#",""), HYPERLINK(CONCATENATE("#Metadata!", ADDRESS(INDEX($X$2:$X$1001,MATCH(ROWS($V$2:V632),$V$2:$V$1001,0),0), INDEX($AC$1004:$AS$1004,1,MATCH(COLUMNS($AC$1006:AF1006),$AC$1006:$AS$1006,0)))),"Fix")))</f>
        <v>0</v>
      </c>
      <c r="F632" s="5">
        <f>IF(OR(INDEX($W$2:$W$1001,MATCH(ROWS($V$2:V632),$V$2:$V$1001,0),1)&gt;=100000,INDEX($AC$1005:$AS$1005,1,MATCH(COLUMNS($AC$1006:AG1006),$AC$1006:$AS$1006,0))&gt;=100000), " ",IF(INDEX($AC$2:$AS$1001,MATCH(ROWS($V$2:V632),$V$2:$V$1001,0),MATCH(COLUMNS($AC$1006:AG1006),$AC$1006:$AS$1006,0)), HYPERLINK("#",""), HYPERLINK(CONCATENATE("#Metadata!", ADDRESS(INDEX($X$2:$X$1001,MATCH(ROWS($V$2:V632),$V$2:$V$1001,0),0), INDEX($AC$1004:$AS$1004,1,MATCH(COLUMNS($AC$1006:AG1006),$AC$1006:$AS$1006,0)))),"Fix")))</f>
        <v>0</v>
      </c>
      <c r="G632" s="5">
        <f>IF(OR(INDEX($W$2:$W$1001,MATCH(ROWS($V$2:V632),$V$2:$V$1001,0),1)&gt;=100000,INDEX($AC$1005:$AS$1005,1,MATCH(COLUMNS($AC$1006:AH1006),$AC$1006:$AS$1006,0))&gt;=100000), " ",IF(INDEX($AC$2:$AS$1001,MATCH(ROWS($V$2:V632),$V$2:$V$1001,0),MATCH(COLUMNS($AC$1006:AH1006),$AC$1006:$AS$1006,0)), HYPERLINK("#",""), HYPERLINK(CONCATENATE("#Metadata!", ADDRESS(INDEX($X$2:$X$1001,MATCH(ROWS($V$2:V632),$V$2:$V$1001,0),0), INDEX($AC$1004:$AS$1004,1,MATCH(COLUMNS($AC$1006:AH1006),$AC$1006:$AS$1006,0)))),"Fix")))</f>
        <v>0</v>
      </c>
      <c r="H632" s="5">
        <f>IF(OR(INDEX($W$2:$W$1001,MATCH(ROWS($V$2:V632),$V$2:$V$1001,0),1)&gt;=100000,INDEX($AC$1005:$AS$1005,1,MATCH(COLUMNS($AC$1006:AI1006),$AC$1006:$AS$1006,0))&gt;=100000), " ",IF(INDEX($AC$2:$AS$1001,MATCH(ROWS($V$2:V632),$V$2:$V$1001,0),MATCH(COLUMNS($AC$1006:AI1006),$AC$1006:$AS$1006,0)), HYPERLINK("#",""), HYPERLINK(CONCATENATE("#Metadata!", ADDRESS(INDEX($X$2:$X$1001,MATCH(ROWS($V$2:V632),$V$2:$V$1001,0),0), INDEX($AC$1004:$AS$1004,1,MATCH(COLUMNS($AC$1006:AI1006),$AC$1006:$AS$1006,0)))),"Fix")))</f>
        <v>0</v>
      </c>
      <c r="I632" s="5">
        <f>IF(OR(INDEX($W$2:$W$1001,MATCH(ROWS($V$2:V632),$V$2:$V$1001,0),1)&gt;=100000,INDEX($AC$1005:$AS$1005,1,MATCH(COLUMNS($AC$1006:AJ1006),$AC$1006:$AS$1006,0))&gt;=100000), " ",IF(INDEX($AC$2:$AS$1001,MATCH(ROWS($V$2:V632),$V$2:$V$1001,0),MATCH(COLUMNS($AC$1006:AJ1006),$AC$1006:$AS$1006,0)), HYPERLINK("#",""), HYPERLINK(CONCATENATE("#Metadata!", ADDRESS(INDEX($X$2:$X$1001,MATCH(ROWS($V$2:V632),$V$2:$V$1001,0),0), INDEX($AC$1004:$AS$1004,1,MATCH(COLUMNS($AC$1006:AJ1006),$AC$1006:$AS$1006,0)))),"Fix")))</f>
        <v>0</v>
      </c>
      <c r="J632" s="5">
        <f>IF(OR(INDEX($W$2:$W$1001,MATCH(ROWS($V$2:V632),$V$2:$V$1001,0),1)&gt;=100000,INDEX($AC$1005:$AS$1005,1,MATCH(COLUMNS($AC$1006:AK1006),$AC$1006:$AS$1006,0))&gt;=100000), " ",IF(INDEX($AC$2:$AS$1001,MATCH(ROWS($V$2:V632),$V$2:$V$1001,0),MATCH(COLUMNS($AC$1006:AK1006),$AC$1006:$AS$1006,0)), HYPERLINK("#",""), HYPERLINK(CONCATENATE("#Metadata!", ADDRESS(INDEX($X$2:$X$1001,MATCH(ROWS($V$2:V632),$V$2:$V$1001,0),0), INDEX($AC$1004:$AS$1004,1,MATCH(COLUMNS($AC$1006:AK1006),$AC$1006:$AS$1006,0)))),"Fix")))</f>
        <v>0</v>
      </c>
      <c r="K632" s="5">
        <f>IF(OR(INDEX($W$2:$W$1001,MATCH(ROWS($V$2:V632),$V$2:$V$1001,0),1)&gt;=100000,INDEX($AC$1005:$AS$1005,1,MATCH(COLUMNS($AC$1006:AL1006),$AC$1006:$AS$1006,0))&gt;=100000), " ",IF(INDEX($AC$2:$AS$1001,MATCH(ROWS($V$2:V632),$V$2:$V$1001,0),MATCH(COLUMNS($AC$1006:AL1006),$AC$1006:$AS$1006,0)), HYPERLINK("#",""), HYPERLINK(CONCATENATE("#Metadata!", ADDRESS(INDEX($X$2:$X$1001,MATCH(ROWS($V$2:V632),$V$2:$V$1001,0),0), INDEX($AC$1004:$AS$1004,1,MATCH(COLUMNS($AC$1006:AL1006),$AC$1006:$AS$1006,0)))),"Fix")))</f>
        <v>0</v>
      </c>
      <c r="L632" s="5">
        <f>IF(OR(INDEX($W$2:$W$1001,MATCH(ROWS($V$2:V632),$V$2:$V$1001,0),1)&gt;=100000,INDEX($AC$1005:$AS$1005,1,MATCH(COLUMNS($AC$1006:AM1006),$AC$1006:$AS$1006,0))&gt;=100000), " ",IF(INDEX($AC$2:$AS$1001,MATCH(ROWS($V$2:V632),$V$2:$V$1001,0),MATCH(COLUMNS($AC$1006:AM1006),$AC$1006:$AS$1006,0)), HYPERLINK("#",""), HYPERLINK(CONCATENATE("#Metadata!", ADDRESS(INDEX($X$2:$X$1001,MATCH(ROWS($V$2:V632),$V$2:$V$1001,0),0), INDEX($AC$1004:$AS$1004,1,MATCH(COLUMNS($AC$1006:AM1006),$AC$1006:$AS$1006,0)))),"Fix")))</f>
        <v>0</v>
      </c>
      <c r="M632" s="5">
        <f>IF(OR(INDEX($W$2:$W$1001,MATCH(ROWS($V$2:V632),$V$2:$V$1001,0),1)&gt;=100000,INDEX($AC$1005:$AS$1005,1,MATCH(COLUMNS($AC$1006:AN1006),$AC$1006:$AS$1006,0))&gt;=100000), " ",IF(INDEX($AC$2:$AS$1001,MATCH(ROWS($V$2:V632),$V$2:$V$1001,0),MATCH(COLUMNS($AC$1006:AN1006),$AC$1006:$AS$1006,0)), HYPERLINK("#",""), HYPERLINK(CONCATENATE("#Metadata!", ADDRESS(INDEX($X$2:$X$1001,MATCH(ROWS($V$2:V632),$V$2:$V$1001,0),0), INDEX($AC$1004:$AS$1004,1,MATCH(COLUMNS($AC$1006:AN1006),$AC$1006:$AS$1006,0)))),"Fix")))</f>
        <v>0</v>
      </c>
      <c r="N632" s="5">
        <f>IF(OR(INDEX($W$2:$W$1001,MATCH(ROWS($V$2:V632),$V$2:$V$1001,0),1)&gt;=100000,INDEX($AC$1005:$AS$1005,1,MATCH(COLUMNS($AC$1006:AO1006),$AC$1006:$AS$1006,0))&gt;=100000), " ",IF(INDEX($AC$2:$AS$1001,MATCH(ROWS($V$2:V632),$V$2:$V$1001,0),MATCH(COLUMNS($AC$1006:AO1006),$AC$1006:$AS$1006,0)), HYPERLINK("#",""), HYPERLINK(CONCATENATE("#Metadata!", ADDRESS(INDEX($X$2:$X$1001,MATCH(ROWS($V$2:V632),$V$2:$V$1001,0),0), INDEX($AC$1004:$AS$1004,1,MATCH(COLUMNS($AC$1006:AO1006),$AC$1006:$AS$1006,0)))),"Fix")))</f>
        <v>0</v>
      </c>
      <c r="O632" s="5">
        <f>IF(OR(INDEX($W$2:$W$1001,MATCH(ROWS($V$2:V632),$V$2:$V$1001,0),1)&gt;=100000,INDEX($AC$1005:$AS$1005,1,MATCH(COLUMNS($AC$1006:AP1006),$AC$1006:$AS$1006,0))&gt;=100000), " ",IF(INDEX($AC$2:$AS$1001,MATCH(ROWS($V$2:V632),$V$2:$V$1001,0),MATCH(COLUMNS($AC$1006:AP1006),$AC$1006:$AS$1006,0)), HYPERLINK("#",""), HYPERLINK(CONCATENATE("#Metadata!", ADDRESS(INDEX($X$2:$X$1001,MATCH(ROWS($V$2:V632),$V$2:$V$1001,0),0), INDEX($AC$1004:$AS$1004,1,MATCH(COLUMNS($AC$1006:AP1006),$AC$1006:$AS$1006,0)))),"Fix")))</f>
        <v>0</v>
      </c>
      <c r="P632" s="5">
        <f>IF(OR(INDEX($W$2:$W$1001,MATCH(ROWS($V$2:V632),$V$2:$V$1001,0),1)&gt;=100000,INDEX($AC$1005:$AS$1005,1,MATCH(COLUMNS($AC$1006:AQ1006),$AC$1006:$AS$1006,0))&gt;=100000), " ",IF(INDEX($AC$2:$AS$1001,MATCH(ROWS($V$2:V632),$V$2:$V$1001,0),MATCH(COLUMNS($AC$1006:AQ1006),$AC$1006:$AS$1006,0)), HYPERLINK("#",""), HYPERLINK(CONCATENATE("#Metadata!", ADDRESS(INDEX($X$2:$X$1001,MATCH(ROWS($V$2:V632),$V$2:$V$1001,0),0), INDEX($AC$1004:$AS$1004,1,MATCH(COLUMNS($AC$1006:AQ1006),$AC$1006:$AS$1006,0)))),"Fix")))</f>
        <v>0</v>
      </c>
      <c r="Q632" s="5">
        <f>IF(OR(INDEX($W$2:$W$1001,MATCH(ROWS($V$2:V632),$V$2:$V$1001,0),1)&gt;=100000,INDEX($AC$1005:$AS$1005,1,MATCH(COLUMNS($AC$1006:AR1006),$AC$1006:$AS$1006,0))&gt;=100000), " ",IF(INDEX($AC$2:$AS$1001,MATCH(ROWS($V$2:V632),$V$2:$V$1001,0),MATCH(COLUMNS($AC$1006:AR1006),$AC$1006:$AS$1006,0)), HYPERLINK("#",""), HYPERLINK(CONCATENATE("#Metadata!", ADDRESS(INDEX($X$2:$X$1001,MATCH(ROWS($V$2:V632),$V$2:$V$1001,0),0), INDEX($AC$1004:$AS$1004,1,MATCH(COLUMNS($AC$1006:AR1006),$AC$1006:$AS$1006,0)))),"Fix")))</f>
        <v>0</v>
      </c>
      <c r="R632" s="5">
        <f>IF(OR(INDEX($W$2:$W$1001,MATCH(ROWS($V$2:V632),$V$2:$V$1001,0),1)&gt;=100000,INDEX($AC$1005:$AS$1005,1,MATCH(COLUMNS($AC$1006:AS1006),$AC$1006:$AS$1006,0))&gt;=100000), " ",IF(INDEX($AC$2:$AS$1001,MATCH(ROWS($V$2:V632),$V$2:$V$1001,0),MATCH(COLUMNS($AC$1006:AS1006),$AC$1006:$AS$1006,0)), HYPERLINK("#",""), HYPERLINK(CONCATENATE("#Metadata!", ADDRESS(INDEX($X$2:$X$1001,MATCH(ROWS($V$2:V632),$V$2:$V$1001,0),0), INDEX($AC$1004:$AS$1004,1,MATCH(COLUMNS($AC$1006:AS1006),$AC$1006:$AS$1006,0)))),"Fix")))</f>
        <v>0</v>
      </c>
      <c r="V632">
        <v>0</v>
      </c>
      <c r="W632">
        <v>0</v>
      </c>
      <c r="X632">
        <v>0</v>
      </c>
      <c r="Y632">
        <f>IF(Z632,TRUE,AND(AC632:AS632))</f>
        <v>0</v>
      </c>
      <c r="Z632">
        <f>COUNTBLANK(Metadata!B632:R632)=COLUMNS(Metadata!B632:R632)</f>
        <v>0</v>
      </c>
      <c r="AA632">
        <v>0</v>
      </c>
      <c r="AC632">
        <f>AND(IF(Metadata!B632="",FALSE,TRUE),COUNTIF(Metadata!B:B, Metadata!B632) = 1,NOT(ISERROR(SUMPRODUCT(SEARCH(MID(Metadata!B632,ROW(INDIRECT("1:"&amp;LEN(Metadata!B632))), 1),"0123456789abcdefghijklmnopqrstuvwxyzABCDEFGHIJKLMNOPQRSTUVWXYZ.")))))</f>
        <v>0</v>
      </c>
      <c r="AD632">
        <f>AND(IF(Metadata!C632="",FALSE,TRUE),exact(Metadata!C632,"Host-associated"))</f>
        <v>0</v>
      </c>
      <c r="AE632">
        <f>AND(IF(Metadata!D632="",FALSE,TRUE),OR(exact(Metadata!D632,"Animal"),exact(Metadata!D632,"Fungus"),exact(Metadata!D632,"Plant")))</f>
        <v>0</v>
      </c>
      <c r="AF632">
        <f>AND(IF(Metadata!E632="",FALSE,TRUE),OR(exact(Metadata!E632,"Plant secretion"),exact(Metadata!E632,"Plant rhizosphere"),exact(Metadata!E632,"Plant surface"),exact(Metadata!E632,"Plant corpus"),exact(Metadata!E632,"Fungus surface"),exact(Metadata!E632,"Fungus corpus"),exact(Metadata!E632,"Animal surface"),exact(Metadata!E632,"Animal proximal gut"),exact(Metadata!E632,"Animal corpus"),exact(Metadata!E632,"Animal distal gut"),exact(Metadata!E632,"Animal secretion")))</f>
        <v>0</v>
      </c>
      <c r="AG632">
        <f>OR(AND(IF(Metadata!F632="",FALSE,TRUE),OR(exact(Metadata!F632,"not collected"),exact(Metadata!F632,"not provided"),exact(Metadata!F632,"restricted access"))),AND(IF(Metadata!F632="",FALSE,TRUE),OR(exact(Metadata!F632,"organism-associated habitat"),exact(Metadata!F632,"plant-associated habitat"),exact(Metadata!F632,"animal-associated habitat"),exact(Metadata!F632,"insecta-associated habitat"),exact(Metadata!F632,"mammalia-associated habitat"),exact(Metadata!F632,"human-associated habitat"),exact(Metadata!F632,"livestock-associated habitat"))))</f>
        <v>0</v>
      </c>
      <c r="AH632">
        <f>AND(IF(Metadata!G632="",FALSE,TRUE),exact(Metadata!G632,"host-associated"))</f>
        <v>0</v>
      </c>
      <c r="AI632">
        <f>OR(AND(IF(Metadata!H632="",FALSE,TRUE),OR(exact(Metadata!H632,"not collected"),exact(Metadata!H632,"not provided"))),AND(IF(Metadata!H632="",FALSE,ISNUMBER(VALUE(Metadata!H632))),Metadata!H632&gt;0))</f>
        <v>0</v>
      </c>
      <c r="AJ632">
        <f>AND(IF(Metadata!I632="",FALSE,TRUE),exact(Metadata!I632,"years"))</f>
        <v>0</v>
      </c>
      <c r="AK632">
        <f>IF(Metadata!J632="",FALSE,TRUE)</f>
        <v>0</v>
      </c>
      <c r="AL632">
        <f>OR(AND(IF(Metadata!K632="",FALSE,TRUE),OR(exact(Metadata!K632,"not collected"),exact(Metadata!K632,"not provided"))),AND(IF(Metadata!K632="",FALSE,ISNUMBER(VALUE(Metadata!K632))),Metadata!K632&gt;0))</f>
        <v>0</v>
      </c>
      <c r="AM632">
        <f>AND(IF(Metadata!L632="",FALSE,TRUE),exact(Metadata!L632,"cm"))</f>
        <v>0</v>
      </c>
      <c r="AN632">
        <f>IF(Metadata!M632="",FALSE,TRUE)</f>
        <v>0</v>
      </c>
      <c r="AO632">
        <f>OR(AND(IF(Metadata!N632="",FALSE,TRUE),OR(exact(Metadata!N632,"not applicable"),exact(Metadata!N632,"not collected"),exact(Metadata!N632,"not provided"))),AND(IF(Metadata!N632="",FALSE,IF(ISERROR(INT(Metadata!N632)),FALSE,INT(Metadata!N632)=Metadata!N632)),Metadata!N632&gt;0))</f>
        <v>0</v>
      </c>
      <c r="AP632">
        <f>OR(AND(IF(Metadata!O632="",FALSE,TRUE),OR(exact(Metadata!O632,"not collected"),exact(Metadata!O632,"not provided"))),AND(IF(Metadata!O632="",FALSE,ISNUMBER(VALUE(Metadata!O632))),Metadata!O632&gt;0))</f>
        <v>0</v>
      </c>
      <c r="AQ632">
        <f>AND(IF(Metadata!P632="",FALSE,TRUE),exact(Metadata!P632,"kg"))</f>
        <v>0</v>
      </c>
      <c r="AR632">
        <f>OR(AND(IF(Metadata!Q632="",FALSE,TRUE),OR(exact(Metadata!Q632,"not applicable"),exact(Metadata!Q632,"not collected"),exact(Metadata!Q632,"not provided"),exact(Metadata!Q632,"restricted access"))),IF(Metadata!Q632="",FALSE,IF(ISERROR(INT(Metadata!Q632)),FALSE,INT(Metadata!Q632)=Metadata!Q632)))</f>
        <v>0</v>
      </c>
      <c r="AS632">
        <f>AND(IF(Metadata!R632="",FALSE,TRUE),exact(Metadata!R632,"Not applicable"))</f>
        <v>0</v>
      </c>
    </row>
    <row r="633" spans="1:45">
      <c r="A633" s="4">
        <f>IF(B633=" "," ",HYPERLINK(CONCATENATE("#metadata!",ADDRESS(INDEX($X$2:$X$1001,MATCH(ROWS($V$2:V633),$V$2:$V$1001,0),0),2)),INDEX($AA$2:$AA$1001,MATCH(ROWS($V$2:V633),$V$2:$V$1001,0),0)))</f>
        <v>0</v>
      </c>
      <c r="B633" s="5">
        <f>IF(OR(INDEX($W$2:$W$1001,MATCH(ROWS($V$2:V633),$V$2:$V$1001,0),1)&gt;=100000,INDEX($AC$1005:$AS$1005,1,MATCH(COLUMNS($AC$1006:AC1006),$AC$1006:$AS$1006,0))&gt;=100000), " ",IF(INDEX($AC$2:$AS$1001,MATCH(ROWS($V$2:V633),$V$2:$V$1001,0),MATCH(COLUMNS($AC$1006:AC1006),$AC$1006:$AS$1006,0)), HYPERLINK("#",""), HYPERLINK(CONCATENATE("#Metadata!", ADDRESS(INDEX($X$2:$X$1001,MATCH(ROWS($V$2:V633),$V$2:$V$1001,0),0), INDEX($AC$1004:$AS$1004,1,MATCH(COLUMNS($AC$1006:AC1006),$AC$1006:$AS$1006,0)))),"Fix")))</f>
        <v>0</v>
      </c>
      <c r="C633" s="5">
        <f>IF(OR(INDEX($W$2:$W$1001,MATCH(ROWS($V$2:V633),$V$2:$V$1001,0),1)&gt;=100000,INDEX($AC$1005:$AS$1005,1,MATCH(COLUMNS($AC$1006:AD1006),$AC$1006:$AS$1006,0))&gt;=100000), " ",IF(INDEX($AC$2:$AS$1001,MATCH(ROWS($V$2:V633),$V$2:$V$1001,0),MATCH(COLUMNS($AC$1006:AD1006),$AC$1006:$AS$1006,0)), HYPERLINK("#",""), HYPERLINK(CONCATENATE("#Metadata!", ADDRESS(INDEX($X$2:$X$1001,MATCH(ROWS($V$2:V633),$V$2:$V$1001,0),0), INDEX($AC$1004:$AS$1004,1,MATCH(COLUMNS($AC$1006:AD1006),$AC$1006:$AS$1006,0)))),"Fix")))</f>
        <v>0</v>
      </c>
      <c r="D633" s="5">
        <f>IF(OR(INDEX($W$2:$W$1001,MATCH(ROWS($V$2:V633),$V$2:$V$1001,0),1)&gt;=100000,INDEX($AC$1005:$AS$1005,1,MATCH(COLUMNS($AC$1006:AE1006),$AC$1006:$AS$1006,0))&gt;=100000), " ",IF(INDEX($AC$2:$AS$1001,MATCH(ROWS($V$2:V633),$V$2:$V$1001,0),MATCH(COLUMNS($AC$1006:AE1006),$AC$1006:$AS$1006,0)), HYPERLINK("#",""), HYPERLINK(CONCATENATE("#Metadata!", ADDRESS(INDEX($X$2:$X$1001,MATCH(ROWS($V$2:V633),$V$2:$V$1001,0),0), INDEX($AC$1004:$AS$1004,1,MATCH(COLUMNS($AC$1006:AE1006),$AC$1006:$AS$1006,0)))),"Fix")))</f>
        <v>0</v>
      </c>
      <c r="E633" s="5">
        <f>IF(OR(INDEX($W$2:$W$1001,MATCH(ROWS($V$2:V633),$V$2:$V$1001,0),1)&gt;=100000,INDEX($AC$1005:$AS$1005,1,MATCH(COLUMNS($AC$1006:AF1006),$AC$1006:$AS$1006,0))&gt;=100000), " ",IF(INDEX($AC$2:$AS$1001,MATCH(ROWS($V$2:V633),$V$2:$V$1001,0),MATCH(COLUMNS($AC$1006:AF1006),$AC$1006:$AS$1006,0)), HYPERLINK("#",""), HYPERLINK(CONCATENATE("#Metadata!", ADDRESS(INDEX($X$2:$X$1001,MATCH(ROWS($V$2:V633),$V$2:$V$1001,0),0), INDEX($AC$1004:$AS$1004,1,MATCH(COLUMNS($AC$1006:AF1006),$AC$1006:$AS$1006,0)))),"Fix")))</f>
        <v>0</v>
      </c>
      <c r="F633" s="5">
        <f>IF(OR(INDEX($W$2:$W$1001,MATCH(ROWS($V$2:V633),$V$2:$V$1001,0),1)&gt;=100000,INDEX($AC$1005:$AS$1005,1,MATCH(COLUMNS($AC$1006:AG1006),$AC$1006:$AS$1006,0))&gt;=100000), " ",IF(INDEX($AC$2:$AS$1001,MATCH(ROWS($V$2:V633),$V$2:$V$1001,0),MATCH(COLUMNS($AC$1006:AG1006),$AC$1006:$AS$1006,0)), HYPERLINK("#",""), HYPERLINK(CONCATENATE("#Metadata!", ADDRESS(INDEX($X$2:$X$1001,MATCH(ROWS($V$2:V633),$V$2:$V$1001,0),0), INDEX($AC$1004:$AS$1004,1,MATCH(COLUMNS($AC$1006:AG1006),$AC$1006:$AS$1006,0)))),"Fix")))</f>
        <v>0</v>
      </c>
      <c r="G633" s="5">
        <f>IF(OR(INDEX($W$2:$W$1001,MATCH(ROWS($V$2:V633),$V$2:$V$1001,0),1)&gt;=100000,INDEX($AC$1005:$AS$1005,1,MATCH(COLUMNS($AC$1006:AH1006),$AC$1006:$AS$1006,0))&gt;=100000), " ",IF(INDEX($AC$2:$AS$1001,MATCH(ROWS($V$2:V633),$V$2:$V$1001,0),MATCH(COLUMNS($AC$1006:AH1006),$AC$1006:$AS$1006,0)), HYPERLINK("#",""), HYPERLINK(CONCATENATE("#Metadata!", ADDRESS(INDEX($X$2:$X$1001,MATCH(ROWS($V$2:V633),$V$2:$V$1001,0),0), INDEX($AC$1004:$AS$1004,1,MATCH(COLUMNS($AC$1006:AH1006),$AC$1006:$AS$1006,0)))),"Fix")))</f>
        <v>0</v>
      </c>
      <c r="H633" s="5">
        <f>IF(OR(INDEX($W$2:$W$1001,MATCH(ROWS($V$2:V633),$V$2:$V$1001,0),1)&gt;=100000,INDEX($AC$1005:$AS$1005,1,MATCH(COLUMNS($AC$1006:AI1006),$AC$1006:$AS$1006,0))&gt;=100000), " ",IF(INDEX($AC$2:$AS$1001,MATCH(ROWS($V$2:V633),$V$2:$V$1001,0),MATCH(COLUMNS($AC$1006:AI1006),$AC$1006:$AS$1006,0)), HYPERLINK("#",""), HYPERLINK(CONCATENATE("#Metadata!", ADDRESS(INDEX($X$2:$X$1001,MATCH(ROWS($V$2:V633),$V$2:$V$1001,0),0), INDEX($AC$1004:$AS$1004,1,MATCH(COLUMNS($AC$1006:AI1006),$AC$1006:$AS$1006,0)))),"Fix")))</f>
        <v>0</v>
      </c>
      <c r="I633" s="5">
        <f>IF(OR(INDEX($W$2:$W$1001,MATCH(ROWS($V$2:V633),$V$2:$V$1001,0),1)&gt;=100000,INDEX($AC$1005:$AS$1005,1,MATCH(COLUMNS($AC$1006:AJ1006),$AC$1006:$AS$1006,0))&gt;=100000), " ",IF(INDEX($AC$2:$AS$1001,MATCH(ROWS($V$2:V633),$V$2:$V$1001,0),MATCH(COLUMNS($AC$1006:AJ1006),$AC$1006:$AS$1006,0)), HYPERLINK("#",""), HYPERLINK(CONCATENATE("#Metadata!", ADDRESS(INDEX($X$2:$X$1001,MATCH(ROWS($V$2:V633),$V$2:$V$1001,0),0), INDEX($AC$1004:$AS$1004,1,MATCH(COLUMNS($AC$1006:AJ1006),$AC$1006:$AS$1006,0)))),"Fix")))</f>
        <v>0</v>
      </c>
      <c r="J633" s="5">
        <f>IF(OR(INDEX($W$2:$W$1001,MATCH(ROWS($V$2:V633),$V$2:$V$1001,0),1)&gt;=100000,INDEX($AC$1005:$AS$1005,1,MATCH(COLUMNS($AC$1006:AK1006),$AC$1006:$AS$1006,0))&gt;=100000), " ",IF(INDEX($AC$2:$AS$1001,MATCH(ROWS($V$2:V633),$V$2:$V$1001,0),MATCH(COLUMNS($AC$1006:AK1006),$AC$1006:$AS$1006,0)), HYPERLINK("#",""), HYPERLINK(CONCATENATE("#Metadata!", ADDRESS(INDEX($X$2:$X$1001,MATCH(ROWS($V$2:V633),$V$2:$V$1001,0),0), INDEX($AC$1004:$AS$1004,1,MATCH(COLUMNS($AC$1006:AK1006),$AC$1006:$AS$1006,0)))),"Fix")))</f>
        <v>0</v>
      </c>
      <c r="K633" s="5">
        <f>IF(OR(INDEX($W$2:$W$1001,MATCH(ROWS($V$2:V633),$V$2:$V$1001,0),1)&gt;=100000,INDEX($AC$1005:$AS$1005,1,MATCH(COLUMNS($AC$1006:AL1006),$AC$1006:$AS$1006,0))&gt;=100000), " ",IF(INDEX($AC$2:$AS$1001,MATCH(ROWS($V$2:V633),$V$2:$V$1001,0),MATCH(COLUMNS($AC$1006:AL1006),$AC$1006:$AS$1006,0)), HYPERLINK("#",""), HYPERLINK(CONCATENATE("#Metadata!", ADDRESS(INDEX($X$2:$X$1001,MATCH(ROWS($V$2:V633),$V$2:$V$1001,0),0), INDEX($AC$1004:$AS$1004,1,MATCH(COLUMNS($AC$1006:AL1006),$AC$1006:$AS$1006,0)))),"Fix")))</f>
        <v>0</v>
      </c>
      <c r="L633" s="5">
        <f>IF(OR(INDEX($W$2:$W$1001,MATCH(ROWS($V$2:V633),$V$2:$V$1001,0),1)&gt;=100000,INDEX($AC$1005:$AS$1005,1,MATCH(COLUMNS($AC$1006:AM1006),$AC$1006:$AS$1006,0))&gt;=100000), " ",IF(INDEX($AC$2:$AS$1001,MATCH(ROWS($V$2:V633),$V$2:$V$1001,0),MATCH(COLUMNS($AC$1006:AM1006),$AC$1006:$AS$1006,0)), HYPERLINK("#",""), HYPERLINK(CONCATENATE("#Metadata!", ADDRESS(INDEX($X$2:$X$1001,MATCH(ROWS($V$2:V633),$V$2:$V$1001,0),0), INDEX($AC$1004:$AS$1004,1,MATCH(COLUMNS($AC$1006:AM1006),$AC$1006:$AS$1006,0)))),"Fix")))</f>
        <v>0</v>
      </c>
      <c r="M633" s="5">
        <f>IF(OR(INDEX($W$2:$W$1001,MATCH(ROWS($V$2:V633),$V$2:$V$1001,0),1)&gt;=100000,INDEX($AC$1005:$AS$1005,1,MATCH(COLUMNS($AC$1006:AN1006),$AC$1006:$AS$1006,0))&gt;=100000), " ",IF(INDEX($AC$2:$AS$1001,MATCH(ROWS($V$2:V633),$V$2:$V$1001,0),MATCH(COLUMNS($AC$1006:AN1006),$AC$1006:$AS$1006,0)), HYPERLINK("#",""), HYPERLINK(CONCATENATE("#Metadata!", ADDRESS(INDEX($X$2:$X$1001,MATCH(ROWS($V$2:V633),$V$2:$V$1001,0),0), INDEX($AC$1004:$AS$1004,1,MATCH(COLUMNS($AC$1006:AN1006),$AC$1006:$AS$1006,0)))),"Fix")))</f>
        <v>0</v>
      </c>
      <c r="N633" s="5">
        <f>IF(OR(INDEX($W$2:$W$1001,MATCH(ROWS($V$2:V633),$V$2:$V$1001,0),1)&gt;=100000,INDEX($AC$1005:$AS$1005,1,MATCH(COLUMNS($AC$1006:AO1006),$AC$1006:$AS$1006,0))&gt;=100000), " ",IF(INDEX($AC$2:$AS$1001,MATCH(ROWS($V$2:V633),$V$2:$V$1001,0),MATCH(COLUMNS($AC$1006:AO1006),$AC$1006:$AS$1006,0)), HYPERLINK("#",""), HYPERLINK(CONCATENATE("#Metadata!", ADDRESS(INDEX($X$2:$X$1001,MATCH(ROWS($V$2:V633),$V$2:$V$1001,0),0), INDEX($AC$1004:$AS$1004,1,MATCH(COLUMNS($AC$1006:AO1006),$AC$1006:$AS$1006,0)))),"Fix")))</f>
        <v>0</v>
      </c>
      <c r="O633" s="5">
        <f>IF(OR(INDEX($W$2:$W$1001,MATCH(ROWS($V$2:V633),$V$2:$V$1001,0),1)&gt;=100000,INDEX($AC$1005:$AS$1005,1,MATCH(COLUMNS($AC$1006:AP1006),$AC$1006:$AS$1006,0))&gt;=100000), " ",IF(INDEX($AC$2:$AS$1001,MATCH(ROWS($V$2:V633),$V$2:$V$1001,0),MATCH(COLUMNS($AC$1006:AP1006),$AC$1006:$AS$1006,0)), HYPERLINK("#",""), HYPERLINK(CONCATENATE("#Metadata!", ADDRESS(INDEX($X$2:$X$1001,MATCH(ROWS($V$2:V633),$V$2:$V$1001,0),0), INDEX($AC$1004:$AS$1004,1,MATCH(COLUMNS($AC$1006:AP1006),$AC$1006:$AS$1006,0)))),"Fix")))</f>
        <v>0</v>
      </c>
      <c r="P633" s="5">
        <f>IF(OR(INDEX($W$2:$W$1001,MATCH(ROWS($V$2:V633),$V$2:$V$1001,0),1)&gt;=100000,INDEX($AC$1005:$AS$1005,1,MATCH(COLUMNS($AC$1006:AQ1006),$AC$1006:$AS$1006,0))&gt;=100000), " ",IF(INDEX($AC$2:$AS$1001,MATCH(ROWS($V$2:V633),$V$2:$V$1001,0),MATCH(COLUMNS($AC$1006:AQ1006),$AC$1006:$AS$1006,0)), HYPERLINK("#",""), HYPERLINK(CONCATENATE("#Metadata!", ADDRESS(INDEX($X$2:$X$1001,MATCH(ROWS($V$2:V633),$V$2:$V$1001,0),0), INDEX($AC$1004:$AS$1004,1,MATCH(COLUMNS($AC$1006:AQ1006),$AC$1006:$AS$1006,0)))),"Fix")))</f>
        <v>0</v>
      </c>
      <c r="Q633" s="5">
        <f>IF(OR(INDEX($W$2:$W$1001,MATCH(ROWS($V$2:V633),$V$2:$V$1001,0),1)&gt;=100000,INDEX($AC$1005:$AS$1005,1,MATCH(COLUMNS($AC$1006:AR1006),$AC$1006:$AS$1006,0))&gt;=100000), " ",IF(INDEX($AC$2:$AS$1001,MATCH(ROWS($V$2:V633),$V$2:$V$1001,0),MATCH(COLUMNS($AC$1006:AR1006),$AC$1006:$AS$1006,0)), HYPERLINK("#",""), HYPERLINK(CONCATENATE("#Metadata!", ADDRESS(INDEX($X$2:$X$1001,MATCH(ROWS($V$2:V633),$V$2:$V$1001,0),0), INDEX($AC$1004:$AS$1004,1,MATCH(COLUMNS($AC$1006:AR1006),$AC$1006:$AS$1006,0)))),"Fix")))</f>
        <v>0</v>
      </c>
      <c r="R633" s="5">
        <f>IF(OR(INDEX($W$2:$W$1001,MATCH(ROWS($V$2:V633),$V$2:$V$1001,0),1)&gt;=100000,INDEX($AC$1005:$AS$1005,1,MATCH(COLUMNS($AC$1006:AS1006),$AC$1006:$AS$1006,0))&gt;=100000), " ",IF(INDEX($AC$2:$AS$1001,MATCH(ROWS($V$2:V633),$V$2:$V$1001,0),MATCH(COLUMNS($AC$1006:AS1006),$AC$1006:$AS$1006,0)), HYPERLINK("#",""), HYPERLINK(CONCATENATE("#Metadata!", ADDRESS(INDEX($X$2:$X$1001,MATCH(ROWS($V$2:V633),$V$2:$V$1001,0),0), INDEX($AC$1004:$AS$1004,1,MATCH(COLUMNS($AC$1006:AS1006),$AC$1006:$AS$1006,0)))),"Fix")))</f>
        <v>0</v>
      </c>
      <c r="V633">
        <v>0</v>
      </c>
      <c r="W633">
        <v>0</v>
      </c>
      <c r="X633">
        <v>0</v>
      </c>
      <c r="Y633">
        <f>IF(Z633,TRUE,AND(AC633:AS633))</f>
        <v>0</v>
      </c>
      <c r="Z633">
        <f>COUNTBLANK(Metadata!B633:R633)=COLUMNS(Metadata!B633:R633)</f>
        <v>0</v>
      </c>
      <c r="AA633">
        <v>0</v>
      </c>
      <c r="AC633">
        <f>AND(IF(Metadata!B633="",FALSE,TRUE),COUNTIF(Metadata!B:B, Metadata!B633) = 1,NOT(ISERROR(SUMPRODUCT(SEARCH(MID(Metadata!B633,ROW(INDIRECT("1:"&amp;LEN(Metadata!B633))), 1),"0123456789abcdefghijklmnopqrstuvwxyzABCDEFGHIJKLMNOPQRSTUVWXYZ.")))))</f>
        <v>0</v>
      </c>
      <c r="AD633">
        <f>AND(IF(Metadata!C633="",FALSE,TRUE),exact(Metadata!C633,"Host-associated"))</f>
        <v>0</v>
      </c>
      <c r="AE633">
        <f>AND(IF(Metadata!D633="",FALSE,TRUE),OR(exact(Metadata!D633,"Animal"),exact(Metadata!D633,"Fungus"),exact(Metadata!D633,"Plant")))</f>
        <v>0</v>
      </c>
      <c r="AF633">
        <f>AND(IF(Metadata!E633="",FALSE,TRUE),OR(exact(Metadata!E633,"Plant secretion"),exact(Metadata!E633,"Plant rhizosphere"),exact(Metadata!E633,"Plant surface"),exact(Metadata!E633,"Plant corpus"),exact(Metadata!E633,"Fungus surface"),exact(Metadata!E633,"Fungus corpus"),exact(Metadata!E633,"Animal surface"),exact(Metadata!E633,"Animal proximal gut"),exact(Metadata!E633,"Animal corpus"),exact(Metadata!E633,"Animal distal gut"),exact(Metadata!E633,"Animal secretion")))</f>
        <v>0</v>
      </c>
      <c r="AG633">
        <f>OR(AND(IF(Metadata!F633="",FALSE,TRUE),OR(exact(Metadata!F633,"not collected"),exact(Metadata!F633,"not provided"),exact(Metadata!F633,"restricted access"))),AND(IF(Metadata!F633="",FALSE,TRUE),OR(exact(Metadata!F633,"organism-associated habitat"),exact(Metadata!F633,"plant-associated habitat"),exact(Metadata!F633,"animal-associated habitat"),exact(Metadata!F633,"insecta-associated habitat"),exact(Metadata!F633,"mammalia-associated habitat"),exact(Metadata!F633,"human-associated habitat"),exact(Metadata!F633,"livestock-associated habitat"))))</f>
        <v>0</v>
      </c>
      <c r="AH633">
        <f>AND(IF(Metadata!G633="",FALSE,TRUE),exact(Metadata!G633,"host-associated"))</f>
        <v>0</v>
      </c>
      <c r="AI633">
        <f>OR(AND(IF(Metadata!H633="",FALSE,TRUE),OR(exact(Metadata!H633,"not collected"),exact(Metadata!H633,"not provided"))),AND(IF(Metadata!H633="",FALSE,ISNUMBER(VALUE(Metadata!H633))),Metadata!H633&gt;0))</f>
        <v>0</v>
      </c>
      <c r="AJ633">
        <f>AND(IF(Metadata!I633="",FALSE,TRUE),exact(Metadata!I633,"years"))</f>
        <v>0</v>
      </c>
      <c r="AK633">
        <f>IF(Metadata!J633="",FALSE,TRUE)</f>
        <v>0</v>
      </c>
      <c r="AL633">
        <f>OR(AND(IF(Metadata!K633="",FALSE,TRUE),OR(exact(Metadata!K633,"not collected"),exact(Metadata!K633,"not provided"))),AND(IF(Metadata!K633="",FALSE,ISNUMBER(VALUE(Metadata!K633))),Metadata!K633&gt;0))</f>
        <v>0</v>
      </c>
      <c r="AM633">
        <f>AND(IF(Metadata!L633="",FALSE,TRUE),exact(Metadata!L633,"cm"))</f>
        <v>0</v>
      </c>
      <c r="AN633">
        <f>IF(Metadata!M633="",FALSE,TRUE)</f>
        <v>0</v>
      </c>
      <c r="AO633">
        <f>OR(AND(IF(Metadata!N633="",FALSE,TRUE),OR(exact(Metadata!N633,"not applicable"),exact(Metadata!N633,"not collected"),exact(Metadata!N633,"not provided"))),AND(IF(Metadata!N633="",FALSE,IF(ISERROR(INT(Metadata!N633)),FALSE,INT(Metadata!N633)=Metadata!N633)),Metadata!N633&gt;0))</f>
        <v>0</v>
      </c>
      <c r="AP633">
        <f>OR(AND(IF(Metadata!O633="",FALSE,TRUE),OR(exact(Metadata!O633,"not collected"),exact(Metadata!O633,"not provided"))),AND(IF(Metadata!O633="",FALSE,ISNUMBER(VALUE(Metadata!O633))),Metadata!O633&gt;0))</f>
        <v>0</v>
      </c>
      <c r="AQ633">
        <f>AND(IF(Metadata!P633="",FALSE,TRUE),exact(Metadata!P633,"kg"))</f>
        <v>0</v>
      </c>
      <c r="AR633">
        <f>OR(AND(IF(Metadata!Q633="",FALSE,TRUE),OR(exact(Metadata!Q633,"not applicable"),exact(Metadata!Q633,"not collected"),exact(Metadata!Q633,"not provided"),exact(Metadata!Q633,"restricted access"))),IF(Metadata!Q633="",FALSE,IF(ISERROR(INT(Metadata!Q633)),FALSE,INT(Metadata!Q633)=Metadata!Q633)))</f>
        <v>0</v>
      </c>
      <c r="AS633">
        <f>AND(IF(Metadata!R633="",FALSE,TRUE),exact(Metadata!R633,"Not applicable"))</f>
        <v>0</v>
      </c>
    </row>
    <row r="634" spans="1:45">
      <c r="A634" s="4">
        <f>IF(B634=" "," ",HYPERLINK(CONCATENATE("#metadata!",ADDRESS(INDEX($X$2:$X$1001,MATCH(ROWS($V$2:V634),$V$2:$V$1001,0),0),2)),INDEX($AA$2:$AA$1001,MATCH(ROWS($V$2:V634),$V$2:$V$1001,0),0)))</f>
        <v>0</v>
      </c>
      <c r="B634" s="5">
        <f>IF(OR(INDEX($W$2:$W$1001,MATCH(ROWS($V$2:V634),$V$2:$V$1001,0),1)&gt;=100000,INDEX($AC$1005:$AS$1005,1,MATCH(COLUMNS($AC$1006:AC1006),$AC$1006:$AS$1006,0))&gt;=100000), " ",IF(INDEX($AC$2:$AS$1001,MATCH(ROWS($V$2:V634),$V$2:$V$1001,0),MATCH(COLUMNS($AC$1006:AC1006),$AC$1006:$AS$1006,0)), HYPERLINK("#",""), HYPERLINK(CONCATENATE("#Metadata!", ADDRESS(INDEX($X$2:$X$1001,MATCH(ROWS($V$2:V634),$V$2:$V$1001,0),0), INDEX($AC$1004:$AS$1004,1,MATCH(COLUMNS($AC$1006:AC1006),$AC$1006:$AS$1006,0)))),"Fix")))</f>
        <v>0</v>
      </c>
      <c r="C634" s="5">
        <f>IF(OR(INDEX($W$2:$W$1001,MATCH(ROWS($V$2:V634),$V$2:$V$1001,0),1)&gt;=100000,INDEX($AC$1005:$AS$1005,1,MATCH(COLUMNS($AC$1006:AD1006),$AC$1006:$AS$1006,0))&gt;=100000), " ",IF(INDEX($AC$2:$AS$1001,MATCH(ROWS($V$2:V634),$V$2:$V$1001,0),MATCH(COLUMNS($AC$1006:AD1006),$AC$1006:$AS$1006,0)), HYPERLINK("#",""), HYPERLINK(CONCATENATE("#Metadata!", ADDRESS(INDEX($X$2:$X$1001,MATCH(ROWS($V$2:V634),$V$2:$V$1001,0),0), INDEX($AC$1004:$AS$1004,1,MATCH(COLUMNS($AC$1006:AD1006),$AC$1006:$AS$1006,0)))),"Fix")))</f>
        <v>0</v>
      </c>
      <c r="D634" s="5">
        <f>IF(OR(INDEX($W$2:$W$1001,MATCH(ROWS($V$2:V634),$V$2:$V$1001,0),1)&gt;=100000,INDEX($AC$1005:$AS$1005,1,MATCH(COLUMNS($AC$1006:AE1006),$AC$1006:$AS$1006,0))&gt;=100000), " ",IF(INDEX($AC$2:$AS$1001,MATCH(ROWS($V$2:V634),$V$2:$V$1001,0),MATCH(COLUMNS($AC$1006:AE1006),$AC$1006:$AS$1006,0)), HYPERLINK("#",""), HYPERLINK(CONCATENATE("#Metadata!", ADDRESS(INDEX($X$2:$X$1001,MATCH(ROWS($V$2:V634),$V$2:$V$1001,0),0), INDEX($AC$1004:$AS$1004,1,MATCH(COLUMNS($AC$1006:AE1006),$AC$1006:$AS$1006,0)))),"Fix")))</f>
        <v>0</v>
      </c>
      <c r="E634" s="5">
        <f>IF(OR(INDEX($W$2:$W$1001,MATCH(ROWS($V$2:V634),$V$2:$V$1001,0),1)&gt;=100000,INDEX($AC$1005:$AS$1005,1,MATCH(COLUMNS($AC$1006:AF1006),$AC$1006:$AS$1006,0))&gt;=100000), " ",IF(INDEX($AC$2:$AS$1001,MATCH(ROWS($V$2:V634),$V$2:$V$1001,0),MATCH(COLUMNS($AC$1006:AF1006),$AC$1006:$AS$1006,0)), HYPERLINK("#",""), HYPERLINK(CONCATENATE("#Metadata!", ADDRESS(INDEX($X$2:$X$1001,MATCH(ROWS($V$2:V634),$V$2:$V$1001,0),0), INDEX($AC$1004:$AS$1004,1,MATCH(COLUMNS($AC$1006:AF1006),$AC$1006:$AS$1006,0)))),"Fix")))</f>
        <v>0</v>
      </c>
      <c r="F634" s="5">
        <f>IF(OR(INDEX($W$2:$W$1001,MATCH(ROWS($V$2:V634),$V$2:$V$1001,0),1)&gt;=100000,INDEX($AC$1005:$AS$1005,1,MATCH(COLUMNS($AC$1006:AG1006),$AC$1006:$AS$1006,0))&gt;=100000), " ",IF(INDEX($AC$2:$AS$1001,MATCH(ROWS($V$2:V634),$V$2:$V$1001,0),MATCH(COLUMNS($AC$1006:AG1006),$AC$1006:$AS$1006,0)), HYPERLINK("#",""), HYPERLINK(CONCATENATE("#Metadata!", ADDRESS(INDEX($X$2:$X$1001,MATCH(ROWS($V$2:V634),$V$2:$V$1001,0),0), INDEX($AC$1004:$AS$1004,1,MATCH(COLUMNS($AC$1006:AG1006),$AC$1006:$AS$1006,0)))),"Fix")))</f>
        <v>0</v>
      </c>
      <c r="G634" s="5">
        <f>IF(OR(INDEX($W$2:$W$1001,MATCH(ROWS($V$2:V634),$V$2:$V$1001,0),1)&gt;=100000,INDEX($AC$1005:$AS$1005,1,MATCH(COLUMNS($AC$1006:AH1006),$AC$1006:$AS$1006,0))&gt;=100000), " ",IF(INDEX($AC$2:$AS$1001,MATCH(ROWS($V$2:V634),$V$2:$V$1001,0),MATCH(COLUMNS($AC$1006:AH1006),$AC$1006:$AS$1006,0)), HYPERLINK("#",""), HYPERLINK(CONCATENATE("#Metadata!", ADDRESS(INDEX($X$2:$X$1001,MATCH(ROWS($V$2:V634),$V$2:$V$1001,0),0), INDEX($AC$1004:$AS$1004,1,MATCH(COLUMNS($AC$1006:AH1006),$AC$1006:$AS$1006,0)))),"Fix")))</f>
        <v>0</v>
      </c>
      <c r="H634" s="5">
        <f>IF(OR(INDEX($W$2:$W$1001,MATCH(ROWS($V$2:V634),$V$2:$V$1001,0),1)&gt;=100000,INDEX($AC$1005:$AS$1005,1,MATCH(COLUMNS($AC$1006:AI1006),$AC$1006:$AS$1006,0))&gt;=100000), " ",IF(INDEX($AC$2:$AS$1001,MATCH(ROWS($V$2:V634),$V$2:$V$1001,0),MATCH(COLUMNS($AC$1006:AI1006),$AC$1006:$AS$1006,0)), HYPERLINK("#",""), HYPERLINK(CONCATENATE("#Metadata!", ADDRESS(INDEX($X$2:$X$1001,MATCH(ROWS($V$2:V634),$V$2:$V$1001,0),0), INDEX($AC$1004:$AS$1004,1,MATCH(COLUMNS($AC$1006:AI1006),$AC$1006:$AS$1006,0)))),"Fix")))</f>
        <v>0</v>
      </c>
      <c r="I634" s="5">
        <f>IF(OR(INDEX($W$2:$W$1001,MATCH(ROWS($V$2:V634),$V$2:$V$1001,0),1)&gt;=100000,INDEX($AC$1005:$AS$1005,1,MATCH(COLUMNS($AC$1006:AJ1006),$AC$1006:$AS$1006,0))&gt;=100000), " ",IF(INDEX($AC$2:$AS$1001,MATCH(ROWS($V$2:V634),$V$2:$V$1001,0),MATCH(COLUMNS($AC$1006:AJ1006),$AC$1006:$AS$1006,0)), HYPERLINK("#",""), HYPERLINK(CONCATENATE("#Metadata!", ADDRESS(INDEX($X$2:$X$1001,MATCH(ROWS($V$2:V634),$V$2:$V$1001,0),0), INDEX($AC$1004:$AS$1004,1,MATCH(COLUMNS($AC$1006:AJ1006),$AC$1006:$AS$1006,0)))),"Fix")))</f>
        <v>0</v>
      </c>
      <c r="J634" s="5">
        <f>IF(OR(INDEX($W$2:$W$1001,MATCH(ROWS($V$2:V634),$V$2:$V$1001,0),1)&gt;=100000,INDEX($AC$1005:$AS$1005,1,MATCH(COLUMNS($AC$1006:AK1006),$AC$1006:$AS$1006,0))&gt;=100000), " ",IF(INDEX($AC$2:$AS$1001,MATCH(ROWS($V$2:V634),$V$2:$V$1001,0),MATCH(COLUMNS($AC$1006:AK1006),$AC$1006:$AS$1006,0)), HYPERLINK("#",""), HYPERLINK(CONCATENATE("#Metadata!", ADDRESS(INDEX($X$2:$X$1001,MATCH(ROWS($V$2:V634),$V$2:$V$1001,0),0), INDEX($AC$1004:$AS$1004,1,MATCH(COLUMNS($AC$1006:AK1006),$AC$1006:$AS$1006,0)))),"Fix")))</f>
        <v>0</v>
      </c>
      <c r="K634" s="5">
        <f>IF(OR(INDEX($W$2:$W$1001,MATCH(ROWS($V$2:V634),$V$2:$V$1001,0),1)&gt;=100000,INDEX($AC$1005:$AS$1005,1,MATCH(COLUMNS($AC$1006:AL1006),$AC$1006:$AS$1006,0))&gt;=100000), " ",IF(INDEX($AC$2:$AS$1001,MATCH(ROWS($V$2:V634),$V$2:$V$1001,0),MATCH(COLUMNS($AC$1006:AL1006),$AC$1006:$AS$1006,0)), HYPERLINK("#",""), HYPERLINK(CONCATENATE("#Metadata!", ADDRESS(INDEX($X$2:$X$1001,MATCH(ROWS($V$2:V634),$V$2:$V$1001,0),0), INDEX($AC$1004:$AS$1004,1,MATCH(COLUMNS($AC$1006:AL1006),$AC$1006:$AS$1006,0)))),"Fix")))</f>
        <v>0</v>
      </c>
      <c r="L634" s="5">
        <f>IF(OR(INDEX($W$2:$W$1001,MATCH(ROWS($V$2:V634),$V$2:$V$1001,0),1)&gt;=100000,INDEX($AC$1005:$AS$1005,1,MATCH(COLUMNS($AC$1006:AM1006),$AC$1006:$AS$1006,0))&gt;=100000), " ",IF(INDEX($AC$2:$AS$1001,MATCH(ROWS($V$2:V634),$V$2:$V$1001,0),MATCH(COLUMNS($AC$1006:AM1006),$AC$1006:$AS$1006,0)), HYPERLINK("#",""), HYPERLINK(CONCATENATE("#Metadata!", ADDRESS(INDEX($X$2:$X$1001,MATCH(ROWS($V$2:V634),$V$2:$V$1001,0),0), INDEX($AC$1004:$AS$1004,1,MATCH(COLUMNS($AC$1006:AM1006),$AC$1006:$AS$1006,0)))),"Fix")))</f>
        <v>0</v>
      </c>
      <c r="M634" s="5">
        <f>IF(OR(INDEX($W$2:$W$1001,MATCH(ROWS($V$2:V634),$V$2:$V$1001,0),1)&gt;=100000,INDEX($AC$1005:$AS$1005,1,MATCH(COLUMNS($AC$1006:AN1006),$AC$1006:$AS$1006,0))&gt;=100000), " ",IF(INDEX($AC$2:$AS$1001,MATCH(ROWS($V$2:V634),$V$2:$V$1001,0),MATCH(COLUMNS($AC$1006:AN1006),$AC$1006:$AS$1006,0)), HYPERLINK("#",""), HYPERLINK(CONCATENATE("#Metadata!", ADDRESS(INDEX($X$2:$X$1001,MATCH(ROWS($V$2:V634),$V$2:$V$1001,0),0), INDEX($AC$1004:$AS$1004,1,MATCH(COLUMNS($AC$1006:AN1006),$AC$1006:$AS$1006,0)))),"Fix")))</f>
        <v>0</v>
      </c>
      <c r="N634" s="5">
        <f>IF(OR(INDEX($W$2:$W$1001,MATCH(ROWS($V$2:V634),$V$2:$V$1001,0),1)&gt;=100000,INDEX($AC$1005:$AS$1005,1,MATCH(COLUMNS($AC$1006:AO1006),$AC$1006:$AS$1006,0))&gt;=100000), " ",IF(INDEX($AC$2:$AS$1001,MATCH(ROWS($V$2:V634),$V$2:$V$1001,0),MATCH(COLUMNS($AC$1006:AO1006),$AC$1006:$AS$1006,0)), HYPERLINK("#",""), HYPERLINK(CONCATENATE("#Metadata!", ADDRESS(INDEX($X$2:$X$1001,MATCH(ROWS($V$2:V634),$V$2:$V$1001,0),0), INDEX($AC$1004:$AS$1004,1,MATCH(COLUMNS($AC$1006:AO1006),$AC$1006:$AS$1006,0)))),"Fix")))</f>
        <v>0</v>
      </c>
      <c r="O634" s="5">
        <f>IF(OR(INDEX($W$2:$W$1001,MATCH(ROWS($V$2:V634),$V$2:$V$1001,0),1)&gt;=100000,INDEX($AC$1005:$AS$1005,1,MATCH(COLUMNS($AC$1006:AP1006),$AC$1006:$AS$1006,0))&gt;=100000), " ",IF(INDEX($AC$2:$AS$1001,MATCH(ROWS($V$2:V634),$V$2:$V$1001,0),MATCH(COLUMNS($AC$1006:AP1006),$AC$1006:$AS$1006,0)), HYPERLINK("#",""), HYPERLINK(CONCATENATE("#Metadata!", ADDRESS(INDEX($X$2:$X$1001,MATCH(ROWS($V$2:V634),$V$2:$V$1001,0),0), INDEX($AC$1004:$AS$1004,1,MATCH(COLUMNS($AC$1006:AP1006),$AC$1006:$AS$1006,0)))),"Fix")))</f>
        <v>0</v>
      </c>
      <c r="P634" s="5">
        <f>IF(OR(INDEX($W$2:$W$1001,MATCH(ROWS($V$2:V634),$V$2:$V$1001,0),1)&gt;=100000,INDEX($AC$1005:$AS$1005,1,MATCH(COLUMNS($AC$1006:AQ1006),$AC$1006:$AS$1006,0))&gt;=100000), " ",IF(INDEX($AC$2:$AS$1001,MATCH(ROWS($V$2:V634),$V$2:$V$1001,0),MATCH(COLUMNS($AC$1006:AQ1006),$AC$1006:$AS$1006,0)), HYPERLINK("#",""), HYPERLINK(CONCATENATE("#Metadata!", ADDRESS(INDEX($X$2:$X$1001,MATCH(ROWS($V$2:V634),$V$2:$V$1001,0),0), INDEX($AC$1004:$AS$1004,1,MATCH(COLUMNS($AC$1006:AQ1006),$AC$1006:$AS$1006,0)))),"Fix")))</f>
        <v>0</v>
      </c>
      <c r="Q634" s="5">
        <f>IF(OR(INDEX($W$2:$W$1001,MATCH(ROWS($V$2:V634),$V$2:$V$1001,0),1)&gt;=100000,INDEX($AC$1005:$AS$1005,1,MATCH(COLUMNS($AC$1006:AR1006),$AC$1006:$AS$1006,0))&gt;=100000), " ",IF(INDEX($AC$2:$AS$1001,MATCH(ROWS($V$2:V634),$V$2:$V$1001,0),MATCH(COLUMNS($AC$1006:AR1006),$AC$1006:$AS$1006,0)), HYPERLINK("#",""), HYPERLINK(CONCATENATE("#Metadata!", ADDRESS(INDEX($X$2:$X$1001,MATCH(ROWS($V$2:V634),$V$2:$V$1001,0),0), INDEX($AC$1004:$AS$1004,1,MATCH(COLUMNS($AC$1006:AR1006),$AC$1006:$AS$1006,0)))),"Fix")))</f>
        <v>0</v>
      </c>
      <c r="R634" s="5">
        <f>IF(OR(INDEX($W$2:$W$1001,MATCH(ROWS($V$2:V634),$V$2:$V$1001,0),1)&gt;=100000,INDEX($AC$1005:$AS$1005,1,MATCH(COLUMNS($AC$1006:AS1006),$AC$1006:$AS$1006,0))&gt;=100000), " ",IF(INDEX($AC$2:$AS$1001,MATCH(ROWS($V$2:V634),$V$2:$V$1001,0),MATCH(COLUMNS($AC$1006:AS1006),$AC$1006:$AS$1006,0)), HYPERLINK("#",""), HYPERLINK(CONCATENATE("#Metadata!", ADDRESS(INDEX($X$2:$X$1001,MATCH(ROWS($V$2:V634),$V$2:$V$1001,0),0), INDEX($AC$1004:$AS$1004,1,MATCH(COLUMNS($AC$1006:AS1006),$AC$1006:$AS$1006,0)))),"Fix")))</f>
        <v>0</v>
      </c>
      <c r="V634">
        <v>0</v>
      </c>
      <c r="W634">
        <v>0</v>
      </c>
      <c r="X634">
        <v>0</v>
      </c>
      <c r="Y634">
        <f>IF(Z634,TRUE,AND(AC634:AS634))</f>
        <v>0</v>
      </c>
      <c r="Z634">
        <f>COUNTBLANK(Metadata!B634:R634)=COLUMNS(Metadata!B634:R634)</f>
        <v>0</v>
      </c>
      <c r="AA634">
        <v>0</v>
      </c>
      <c r="AC634">
        <f>AND(IF(Metadata!B634="",FALSE,TRUE),COUNTIF(Metadata!B:B, Metadata!B634) = 1,NOT(ISERROR(SUMPRODUCT(SEARCH(MID(Metadata!B634,ROW(INDIRECT("1:"&amp;LEN(Metadata!B634))), 1),"0123456789abcdefghijklmnopqrstuvwxyzABCDEFGHIJKLMNOPQRSTUVWXYZ.")))))</f>
        <v>0</v>
      </c>
      <c r="AD634">
        <f>AND(IF(Metadata!C634="",FALSE,TRUE),exact(Metadata!C634,"Host-associated"))</f>
        <v>0</v>
      </c>
      <c r="AE634">
        <f>AND(IF(Metadata!D634="",FALSE,TRUE),OR(exact(Metadata!D634,"Animal"),exact(Metadata!D634,"Fungus"),exact(Metadata!D634,"Plant")))</f>
        <v>0</v>
      </c>
      <c r="AF634">
        <f>AND(IF(Metadata!E634="",FALSE,TRUE),OR(exact(Metadata!E634,"Plant secretion"),exact(Metadata!E634,"Plant rhizosphere"),exact(Metadata!E634,"Plant surface"),exact(Metadata!E634,"Plant corpus"),exact(Metadata!E634,"Fungus surface"),exact(Metadata!E634,"Fungus corpus"),exact(Metadata!E634,"Animal surface"),exact(Metadata!E634,"Animal proximal gut"),exact(Metadata!E634,"Animal corpus"),exact(Metadata!E634,"Animal distal gut"),exact(Metadata!E634,"Animal secretion")))</f>
        <v>0</v>
      </c>
      <c r="AG634">
        <f>OR(AND(IF(Metadata!F634="",FALSE,TRUE),OR(exact(Metadata!F634,"not collected"),exact(Metadata!F634,"not provided"),exact(Metadata!F634,"restricted access"))),AND(IF(Metadata!F634="",FALSE,TRUE),OR(exact(Metadata!F634,"organism-associated habitat"),exact(Metadata!F634,"plant-associated habitat"),exact(Metadata!F634,"animal-associated habitat"),exact(Metadata!F634,"insecta-associated habitat"),exact(Metadata!F634,"mammalia-associated habitat"),exact(Metadata!F634,"human-associated habitat"),exact(Metadata!F634,"livestock-associated habitat"))))</f>
        <v>0</v>
      </c>
      <c r="AH634">
        <f>AND(IF(Metadata!G634="",FALSE,TRUE),exact(Metadata!G634,"host-associated"))</f>
        <v>0</v>
      </c>
      <c r="AI634">
        <f>OR(AND(IF(Metadata!H634="",FALSE,TRUE),OR(exact(Metadata!H634,"not collected"),exact(Metadata!H634,"not provided"))),AND(IF(Metadata!H634="",FALSE,ISNUMBER(VALUE(Metadata!H634))),Metadata!H634&gt;0))</f>
        <v>0</v>
      </c>
      <c r="AJ634">
        <f>AND(IF(Metadata!I634="",FALSE,TRUE),exact(Metadata!I634,"years"))</f>
        <v>0</v>
      </c>
      <c r="AK634">
        <f>IF(Metadata!J634="",FALSE,TRUE)</f>
        <v>0</v>
      </c>
      <c r="AL634">
        <f>OR(AND(IF(Metadata!K634="",FALSE,TRUE),OR(exact(Metadata!K634,"not collected"),exact(Metadata!K634,"not provided"))),AND(IF(Metadata!K634="",FALSE,ISNUMBER(VALUE(Metadata!K634))),Metadata!K634&gt;0))</f>
        <v>0</v>
      </c>
      <c r="AM634">
        <f>AND(IF(Metadata!L634="",FALSE,TRUE),exact(Metadata!L634,"cm"))</f>
        <v>0</v>
      </c>
      <c r="AN634">
        <f>IF(Metadata!M634="",FALSE,TRUE)</f>
        <v>0</v>
      </c>
      <c r="AO634">
        <f>OR(AND(IF(Metadata!N634="",FALSE,TRUE),OR(exact(Metadata!N634,"not applicable"),exact(Metadata!N634,"not collected"),exact(Metadata!N634,"not provided"))),AND(IF(Metadata!N634="",FALSE,IF(ISERROR(INT(Metadata!N634)),FALSE,INT(Metadata!N634)=Metadata!N634)),Metadata!N634&gt;0))</f>
        <v>0</v>
      </c>
      <c r="AP634">
        <f>OR(AND(IF(Metadata!O634="",FALSE,TRUE),OR(exact(Metadata!O634,"not collected"),exact(Metadata!O634,"not provided"))),AND(IF(Metadata!O634="",FALSE,ISNUMBER(VALUE(Metadata!O634))),Metadata!O634&gt;0))</f>
        <v>0</v>
      </c>
      <c r="AQ634">
        <f>AND(IF(Metadata!P634="",FALSE,TRUE),exact(Metadata!P634,"kg"))</f>
        <v>0</v>
      </c>
      <c r="AR634">
        <f>OR(AND(IF(Metadata!Q634="",FALSE,TRUE),OR(exact(Metadata!Q634,"not applicable"),exact(Metadata!Q634,"not collected"),exact(Metadata!Q634,"not provided"),exact(Metadata!Q634,"restricted access"))),IF(Metadata!Q634="",FALSE,IF(ISERROR(INT(Metadata!Q634)),FALSE,INT(Metadata!Q634)=Metadata!Q634)))</f>
        <v>0</v>
      </c>
      <c r="AS634">
        <f>AND(IF(Metadata!R634="",FALSE,TRUE),exact(Metadata!R634,"Not applicable"))</f>
        <v>0</v>
      </c>
    </row>
    <row r="635" spans="1:45">
      <c r="A635" s="4">
        <f>IF(B635=" "," ",HYPERLINK(CONCATENATE("#metadata!",ADDRESS(INDEX($X$2:$X$1001,MATCH(ROWS($V$2:V635),$V$2:$V$1001,0),0),2)),INDEX($AA$2:$AA$1001,MATCH(ROWS($V$2:V635),$V$2:$V$1001,0),0)))</f>
        <v>0</v>
      </c>
      <c r="B635" s="5">
        <f>IF(OR(INDEX($W$2:$W$1001,MATCH(ROWS($V$2:V635),$V$2:$V$1001,0),1)&gt;=100000,INDEX($AC$1005:$AS$1005,1,MATCH(COLUMNS($AC$1006:AC1006),$AC$1006:$AS$1006,0))&gt;=100000), " ",IF(INDEX($AC$2:$AS$1001,MATCH(ROWS($V$2:V635),$V$2:$V$1001,0),MATCH(COLUMNS($AC$1006:AC1006),$AC$1006:$AS$1006,0)), HYPERLINK("#",""), HYPERLINK(CONCATENATE("#Metadata!", ADDRESS(INDEX($X$2:$X$1001,MATCH(ROWS($V$2:V635),$V$2:$V$1001,0),0), INDEX($AC$1004:$AS$1004,1,MATCH(COLUMNS($AC$1006:AC1006),$AC$1006:$AS$1006,0)))),"Fix")))</f>
        <v>0</v>
      </c>
      <c r="C635" s="5">
        <f>IF(OR(INDEX($W$2:$W$1001,MATCH(ROWS($V$2:V635),$V$2:$V$1001,0),1)&gt;=100000,INDEX($AC$1005:$AS$1005,1,MATCH(COLUMNS($AC$1006:AD1006),$AC$1006:$AS$1006,0))&gt;=100000), " ",IF(INDEX($AC$2:$AS$1001,MATCH(ROWS($V$2:V635),$V$2:$V$1001,0),MATCH(COLUMNS($AC$1006:AD1006),$AC$1006:$AS$1006,0)), HYPERLINK("#",""), HYPERLINK(CONCATENATE("#Metadata!", ADDRESS(INDEX($X$2:$X$1001,MATCH(ROWS($V$2:V635),$V$2:$V$1001,0),0), INDEX($AC$1004:$AS$1004,1,MATCH(COLUMNS($AC$1006:AD1006),$AC$1006:$AS$1006,0)))),"Fix")))</f>
        <v>0</v>
      </c>
      <c r="D635" s="5">
        <f>IF(OR(INDEX($W$2:$W$1001,MATCH(ROWS($V$2:V635),$V$2:$V$1001,0),1)&gt;=100000,INDEX($AC$1005:$AS$1005,1,MATCH(COLUMNS($AC$1006:AE1006),$AC$1006:$AS$1006,0))&gt;=100000), " ",IF(INDEX($AC$2:$AS$1001,MATCH(ROWS($V$2:V635),$V$2:$V$1001,0),MATCH(COLUMNS($AC$1006:AE1006),$AC$1006:$AS$1006,0)), HYPERLINK("#",""), HYPERLINK(CONCATENATE("#Metadata!", ADDRESS(INDEX($X$2:$X$1001,MATCH(ROWS($V$2:V635),$V$2:$V$1001,0),0), INDEX($AC$1004:$AS$1004,1,MATCH(COLUMNS($AC$1006:AE1006),$AC$1006:$AS$1006,0)))),"Fix")))</f>
        <v>0</v>
      </c>
      <c r="E635" s="5">
        <f>IF(OR(INDEX($W$2:$W$1001,MATCH(ROWS($V$2:V635),$V$2:$V$1001,0),1)&gt;=100000,INDEX($AC$1005:$AS$1005,1,MATCH(COLUMNS($AC$1006:AF1006),$AC$1006:$AS$1006,0))&gt;=100000), " ",IF(INDEX($AC$2:$AS$1001,MATCH(ROWS($V$2:V635),$V$2:$V$1001,0),MATCH(COLUMNS($AC$1006:AF1006),$AC$1006:$AS$1006,0)), HYPERLINK("#",""), HYPERLINK(CONCATENATE("#Metadata!", ADDRESS(INDEX($X$2:$X$1001,MATCH(ROWS($V$2:V635),$V$2:$V$1001,0),0), INDEX($AC$1004:$AS$1004,1,MATCH(COLUMNS($AC$1006:AF1006),$AC$1006:$AS$1006,0)))),"Fix")))</f>
        <v>0</v>
      </c>
      <c r="F635" s="5">
        <f>IF(OR(INDEX($W$2:$W$1001,MATCH(ROWS($V$2:V635),$V$2:$V$1001,0),1)&gt;=100000,INDEX($AC$1005:$AS$1005,1,MATCH(COLUMNS($AC$1006:AG1006),$AC$1006:$AS$1006,0))&gt;=100000), " ",IF(INDEX($AC$2:$AS$1001,MATCH(ROWS($V$2:V635),$V$2:$V$1001,0),MATCH(COLUMNS($AC$1006:AG1006),$AC$1006:$AS$1006,0)), HYPERLINK("#",""), HYPERLINK(CONCATENATE("#Metadata!", ADDRESS(INDEX($X$2:$X$1001,MATCH(ROWS($V$2:V635),$V$2:$V$1001,0),0), INDEX($AC$1004:$AS$1004,1,MATCH(COLUMNS($AC$1006:AG1006),$AC$1006:$AS$1006,0)))),"Fix")))</f>
        <v>0</v>
      </c>
      <c r="G635" s="5">
        <f>IF(OR(INDEX($W$2:$W$1001,MATCH(ROWS($V$2:V635),$V$2:$V$1001,0),1)&gt;=100000,INDEX($AC$1005:$AS$1005,1,MATCH(COLUMNS($AC$1006:AH1006),$AC$1006:$AS$1006,0))&gt;=100000), " ",IF(INDEX($AC$2:$AS$1001,MATCH(ROWS($V$2:V635),$V$2:$V$1001,0),MATCH(COLUMNS($AC$1006:AH1006),$AC$1006:$AS$1006,0)), HYPERLINK("#",""), HYPERLINK(CONCATENATE("#Metadata!", ADDRESS(INDEX($X$2:$X$1001,MATCH(ROWS($V$2:V635),$V$2:$V$1001,0),0), INDEX($AC$1004:$AS$1004,1,MATCH(COLUMNS($AC$1006:AH1006),$AC$1006:$AS$1006,0)))),"Fix")))</f>
        <v>0</v>
      </c>
      <c r="H635" s="5">
        <f>IF(OR(INDEX($W$2:$W$1001,MATCH(ROWS($V$2:V635),$V$2:$V$1001,0),1)&gt;=100000,INDEX($AC$1005:$AS$1005,1,MATCH(COLUMNS($AC$1006:AI1006),$AC$1006:$AS$1006,0))&gt;=100000), " ",IF(INDEX($AC$2:$AS$1001,MATCH(ROWS($V$2:V635),$V$2:$V$1001,0),MATCH(COLUMNS($AC$1006:AI1006),$AC$1006:$AS$1006,0)), HYPERLINK("#",""), HYPERLINK(CONCATENATE("#Metadata!", ADDRESS(INDEX($X$2:$X$1001,MATCH(ROWS($V$2:V635),$V$2:$V$1001,0),0), INDEX($AC$1004:$AS$1004,1,MATCH(COLUMNS($AC$1006:AI1006),$AC$1006:$AS$1006,0)))),"Fix")))</f>
        <v>0</v>
      </c>
      <c r="I635" s="5">
        <f>IF(OR(INDEX($W$2:$W$1001,MATCH(ROWS($V$2:V635),$V$2:$V$1001,0),1)&gt;=100000,INDEX($AC$1005:$AS$1005,1,MATCH(COLUMNS($AC$1006:AJ1006),$AC$1006:$AS$1006,0))&gt;=100000), " ",IF(INDEX($AC$2:$AS$1001,MATCH(ROWS($V$2:V635),$V$2:$V$1001,0),MATCH(COLUMNS($AC$1006:AJ1006),$AC$1006:$AS$1006,0)), HYPERLINK("#",""), HYPERLINK(CONCATENATE("#Metadata!", ADDRESS(INDEX($X$2:$X$1001,MATCH(ROWS($V$2:V635),$V$2:$V$1001,0),0), INDEX($AC$1004:$AS$1004,1,MATCH(COLUMNS($AC$1006:AJ1006),$AC$1006:$AS$1006,0)))),"Fix")))</f>
        <v>0</v>
      </c>
      <c r="J635" s="5">
        <f>IF(OR(INDEX($W$2:$W$1001,MATCH(ROWS($V$2:V635),$V$2:$V$1001,0),1)&gt;=100000,INDEX($AC$1005:$AS$1005,1,MATCH(COLUMNS($AC$1006:AK1006),$AC$1006:$AS$1006,0))&gt;=100000), " ",IF(INDEX($AC$2:$AS$1001,MATCH(ROWS($V$2:V635),$V$2:$V$1001,0),MATCH(COLUMNS($AC$1006:AK1006),$AC$1006:$AS$1006,0)), HYPERLINK("#",""), HYPERLINK(CONCATENATE("#Metadata!", ADDRESS(INDEX($X$2:$X$1001,MATCH(ROWS($V$2:V635),$V$2:$V$1001,0),0), INDEX($AC$1004:$AS$1004,1,MATCH(COLUMNS($AC$1006:AK1006),$AC$1006:$AS$1006,0)))),"Fix")))</f>
        <v>0</v>
      </c>
      <c r="K635" s="5">
        <f>IF(OR(INDEX($W$2:$W$1001,MATCH(ROWS($V$2:V635),$V$2:$V$1001,0),1)&gt;=100000,INDEX($AC$1005:$AS$1005,1,MATCH(COLUMNS($AC$1006:AL1006),$AC$1006:$AS$1006,0))&gt;=100000), " ",IF(INDEX($AC$2:$AS$1001,MATCH(ROWS($V$2:V635),$V$2:$V$1001,0),MATCH(COLUMNS($AC$1006:AL1006),$AC$1006:$AS$1006,0)), HYPERLINK("#",""), HYPERLINK(CONCATENATE("#Metadata!", ADDRESS(INDEX($X$2:$X$1001,MATCH(ROWS($V$2:V635),$V$2:$V$1001,0),0), INDEX($AC$1004:$AS$1004,1,MATCH(COLUMNS($AC$1006:AL1006),$AC$1006:$AS$1006,0)))),"Fix")))</f>
        <v>0</v>
      </c>
      <c r="L635" s="5">
        <f>IF(OR(INDEX($W$2:$W$1001,MATCH(ROWS($V$2:V635),$V$2:$V$1001,0),1)&gt;=100000,INDEX($AC$1005:$AS$1005,1,MATCH(COLUMNS($AC$1006:AM1006),$AC$1006:$AS$1006,0))&gt;=100000), " ",IF(INDEX($AC$2:$AS$1001,MATCH(ROWS($V$2:V635),$V$2:$V$1001,0),MATCH(COLUMNS($AC$1006:AM1006),$AC$1006:$AS$1006,0)), HYPERLINK("#",""), HYPERLINK(CONCATENATE("#Metadata!", ADDRESS(INDEX($X$2:$X$1001,MATCH(ROWS($V$2:V635),$V$2:$V$1001,0),0), INDEX($AC$1004:$AS$1004,1,MATCH(COLUMNS($AC$1006:AM1006),$AC$1006:$AS$1006,0)))),"Fix")))</f>
        <v>0</v>
      </c>
      <c r="M635" s="5">
        <f>IF(OR(INDEX($W$2:$W$1001,MATCH(ROWS($V$2:V635),$V$2:$V$1001,0),1)&gt;=100000,INDEX($AC$1005:$AS$1005,1,MATCH(COLUMNS($AC$1006:AN1006),$AC$1006:$AS$1006,0))&gt;=100000), " ",IF(INDEX($AC$2:$AS$1001,MATCH(ROWS($V$2:V635),$V$2:$V$1001,0),MATCH(COLUMNS($AC$1006:AN1006),$AC$1006:$AS$1006,0)), HYPERLINK("#",""), HYPERLINK(CONCATENATE("#Metadata!", ADDRESS(INDEX($X$2:$X$1001,MATCH(ROWS($V$2:V635),$V$2:$V$1001,0),0), INDEX($AC$1004:$AS$1004,1,MATCH(COLUMNS($AC$1006:AN1006),$AC$1006:$AS$1006,0)))),"Fix")))</f>
        <v>0</v>
      </c>
      <c r="N635" s="5">
        <f>IF(OR(INDEX($W$2:$W$1001,MATCH(ROWS($V$2:V635),$V$2:$V$1001,0),1)&gt;=100000,INDEX($AC$1005:$AS$1005,1,MATCH(COLUMNS($AC$1006:AO1006),$AC$1006:$AS$1006,0))&gt;=100000), " ",IF(INDEX($AC$2:$AS$1001,MATCH(ROWS($V$2:V635),$V$2:$V$1001,0),MATCH(COLUMNS($AC$1006:AO1006),$AC$1006:$AS$1006,0)), HYPERLINK("#",""), HYPERLINK(CONCATENATE("#Metadata!", ADDRESS(INDEX($X$2:$X$1001,MATCH(ROWS($V$2:V635),$V$2:$V$1001,0),0), INDEX($AC$1004:$AS$1004,1,MATCH(COLUMNS($AC$1006:AO1006),$AC$1006:$AS$1006,0)))),"Fix")))</f>
        <v>0</v>
      </c>
      <c r="O635" s="5">
        <f>IF(OR(INDEX($W$2:$W$1001,MATCH(ROWS($V$2:V635),$V$2:$V$1001,0),1)&gt;=100000,INDEX($AC$1005:$AS$1005,1,MATCH(COLUMNS($AC$1006:AP1006),$AC$1006:$AS$1006,0))&gt;=100000), " ",IF(INDEX($AC$2:$AS$1001,MATCH(ROWS($V$2:V635),$V$2:$V$1001,0),MATCH(COLUMNS($AC$1006:AP1006),$AC$1006:$AS$1006,0)), HYPERLINK("#",""), HYPERLINK(CONCATENATE("#Metadata!", ADDRESS(INDEX($X$2:$X$1001,MATCH(ROWS($V$2:V635),$V$2:$V$1001,0),0), INDEX($AC$1004:$AS$1004,1,MATCH(COLUMNS($AC$1006:AP1006),$AC$1006:$AS$1006,0)))),"Fix")))</f>
        <v>0</v>
      </c>
      <c r="P635" s="5">
        <f>IF(OR(INDEX($W$2:$W$1001,MATCH(ROWS($V$2:V635),$V$2:$V$1001,0),1)&gt;=100000,INDEX($AC$1005:$AS$1005,1,MATCH(COLUMNS($AC$1006:AQ1006),$AC$1006:$AS$1006,0))&gt;=100000), " ",IF(INDEX($AC$2:$AS$1001,MATCH(ROWS($V$2:V635),$V$2:$V$1001,0),MATCH(COLUMNS($AC$1006:AQ1006),$AC$1006:$AS$1006,0)), HYPERLINK("#",""), HYPERLINK(CONCATENATE("#Metadata!", ADDRESS(INDEX($X$2:$X$1001,MATCH(ROWS($V$2:V635),$V$2:$V$1001,0),0), INDEX($AC$1004:$AS$1004,1,MATCH(COLUMNS($AC$1006:AQ1006),$AC$1006:$AS$1006,0)))),"Fix")))</f>
        <v>0</v>
      </c>
      <c r="Q635" s="5">
        <f>IF(OR(INDEX($W$2:$W$1001,MATCH(ROWS($V$2:V635),$V$2:$V$1001,0),1)&gt;=100000,INDEX($AC$1005:$AS$1005,1,MATCH(COLUMNS($AC$1006:AR1006),$AC$1006:$AS$1006,0))&gt;=100000), " ",IF(INDEX($AC$2:$AS$1001,MATCH(ROWS($V$2:V635),$V$2:$V$1001,0),MATCH(COLUMNS($AC$1006:AR1006),$AC$1006:$AS$1006,0)), HYPERLINK("#",""), HYPERLINK(CONCATENATE("#Metadata!", ADDRESS(INDEX($X$2:$X$1001,MATCH(ROWS($V$2:V635),$V$2:$V$1001,0),0), INDEX($AC$1004:$AS$1004,1,MATCH(COLUMNS($AC$1006:AR1006),$AC$1006:$AS$1006,0)))),"Fix")))</f>
        <v>0</v>
      </c>
      <c r="R635" s="5">
        <f>IF(OR(INDEX($W$2:$W$1001,MATCH(ROWS($V$2:V635),$V$2:$V$1001,0),1)&gt;=100000,INDEX($AC$1005:$AS$1005,1,MATCH(COLUMNS($AC$1006:AS1006),$AC$1006:$AS$1006,0))&gt;=100000), " ",IF(INDEX($AC$2:$AS$1001,MATCH(ROWS($V$2:V635),$V$2:$V$1001,0),MATCH(COLUMNS($AC$1006:AS1006),$AC$1006:$AS$1006,0)), HYPERLINK("#",""), HYPERLINK(CONCATENATE("#Metadata!", ADDRESS(INDEX($X$2:$X$1001,MATCH(ROWS($V$2:V635),$V$2:$V$1001,0),0), INDEX($AC$1004:$AS$1004,1,MATCH(COLUMNS($AC$1006:AS1006),$AC$1006:$AS$1006,0)))),"Fix")))</f>
        <v>0</v>
      </c>
      <c r="V635">
        <v>0</v>
      </c>
      <c r="W635">
        <v>0</v>
      </c>
      <c r="X635">
        <v>0</v>
      </c>
      <c r="Y635">
        <f>IF(Z635,TRUE,AND(AC635:AS635))</f>
        <v>0</v>
      </c>
      <c r="Z635">
        <f>COUNTBLANK(Metadata!B635:R635)=COLUMNS(Metadata!B635:R635)</f>
        <v>0</v>
      </c>
      <c r="AA635">
        <v>0</v>
      </c>
      <c r="AC635">
        <f>AND(IF(Metadata!B635="",FALSE,TRUE),COUNTIF(Metadata!B:B, Metadata!B635) = 1,NOT(ISERROR(SUMPRODUCT(SEARCH(MID(Metadata!B635,ROW(INDIRECT("1:"&amp;LEN(Metadata!B635))), 1),"0123456789abcdefghijklmnopqrstuvwxyzABCDEFGHIJKLMNOPQRSTUVWXYZ.")))))</f>
        <v>0</v>
      </c>
      <c r="AD635">
        <f>AND(IF(Metadata!C635="",FALSE,TRUE),exact(Metadata!C635,"Host-associated"))</f>
        <v>0</v>
      </c>
      <c r="AE635">
        <f>AND(IF(Metadata!D635="",FALSE,TRUE),OR(exact(Metadata!D635,"Animal"),exact(Metadata!D635,"Fungus"),exact(Metadata!D635,"Plant")))</f>
        <v>0</v>
      </c>
      <c r="AF635">
        <f>AND(IF(Metadata!E635="",FALSE,TRUE),OR(exact(Metadata!E635,"Plant secretion"),exact(Metadata!E635,"Plant rhizosphere"),exact(Metadata!E635,"Plant surface"),exact(Metadata!E635,"Plant corpus"),exact(Metadata!E635,"Fungus surface"),exact(Metadata!E635,"Fungus corpus"),exact(Metadata!E635,"Animal surface"),exact(Metadata!E635,"Animal proximal gut"),exact(Metadata!E635,"Animal corpus"),exact(Metadata!E635,"Animal distal gut"),exact(Metadata!E635,"Animal secretion")))</f>
        <v>0</v>
      </c>
      <c r="AG635">
        <f>OR(AND(IF(Metadata!F635="",FALSE,TRUE),OR(exact(Metadata!F635,"not collected"),exact(Metadata!F635,"not provided"),exact(Metadata!F635,"restricted access"))),AND(IF(Metadata!F635="",FALSE,TRUE),OR(exact(Metadata!F635,"organism-associated habitat"),exact(Metadata!F635,"plant-associated habitat"),exact(Metadata!F635,"animal-associated habitat"),exact(Metadata!F635,"insecta-associated habitat"),exact(Metadata!F635,"mammalia-associated habitat"),exact(Metadata!F635,"human-associated habitat"),exact(Metadata!F635,"livestock-associated habitat"))))</f>
        <v>0</v>
      </c>
      <c r="AH635">
        <f>AND(IF(Metadata!G635="",FALSE,TRUE),exact(Metadata!G635,"host-associated"))</f>
        <v>0</v>
      </c>
      <c r="AI635">
        <f>OR(AND(IF(Metadata!H635="",FALSE,TRUE),OR(exact(Metadata!H635,"not collected"),exact(Metadata!H635,"not provided"))),AND(IF(Metadata!H635="",FALSE,ISNUMBER(VALUE(Metadata!H635))),Metadata!H635&gt;0))</f>
        <v>0</v>
      </c>
      <c r="AJ635">
        <f>AND(IF(Metadata!I635="",FALSE,TRUE),exact(Metadata!I635,"years"))</f>
        <v>0</v>
      </c>
      <c r="AK635">
        <f>IF(Metadata!J635="",FALSE,TRUE)</f>
        <v>0</v>
      </c>
      <c r="AL635">
        <f>OR(AND(IF(Metadata!K635="",FALSE,TRUE),OR(exact(Metadata!K635,"not collected"),exact(Metadata!K635,"not provided"))),AND(IF(Metadata!K635="",FALSE,ISNUMBER(VALUE(Metadata!K635))),Metadata!K635&gt;0))</f>
        <v>0</v>
      </c>
      <c r="AM635">
        <f>AND(IF(Metadata!L635="",FALSE,TRUE),exact(Metadata!L635,"cm"))</f>
        <v>0</v>
      </c>
      <c r="AN635">
        <f>IF(Metadata!M635="",FALSE,TRUE)</f>
        <v>0</v>
      </c>
      <c r="AO635">
        <f>OR(AND(IF(Metadata!N635="",FALSE,TRUE),OR(exact(Metadata!N635,"not applicable"),exact(Metadata!N635,"not collected"),exact(Metadata!N635,"not provided"))),AND(IF(Metadata!N635="",FALSE,IF(ISERROR(INT(Metadata!N635)),FALSE,INT(Metadata!N635)=Metadata!N635)),Metadata!N635&gt;0))</f>
        <v>0</v>
      </c>
      <c r="AP635">
        <f>OR(AND(IF(Metadata!O635="",FALSE,TRUE),OR(exact(Metadata!O635,"not collected"),exact(Metadata!O635,"not provided"))),AND(IF(Metadata!O635="",FALSE,ISNUMBER(VALUE(Metadata!O635))),Metadata!O635&gt;0))</f>
        <v>0</v>
      </c>
      <c r="AQ635">
        <f>AND(IF(Metadata!P635="",FALSE,TRUE),exact(Metadata!P635,"kg"))</f>
        <v>0</v>
      </c>
      <c r="AR635">
        <f>OR(AND(IF(Metadata!Q635="",FALSE,TRUE),OR(exact(Metadata!Q635,"not applicable"),exact(Metadata!Q635,"not collected"),exact(Metadata!Q635,"not provided"),exact(Metadata!Q635,"restricted access"))),IF(Metadata!Q635="",FALSE,IF(ISERROR(INT(Metadata!Q635)),FALSE,INT(Metadata!Q635)=Metadata!Q635)))</f>
        <v>0</v>
      </c>
      <c r="AS635">
        <f>AND(IF(Metadata!R635="",FALSE,TRUE),exact(Metadata!R635,"Not applicable"))</f>
        <v>0</v>
      </c>
    </row>
    <row r="636" spans="1:45">
      <c r="A636" s="4">
        <f>IF(B636=" "," ",HYPERLINK(CONCATENATE("#metadata!",ADDRESS(INDEX($X$2:$X$1001,MATCH(ROWS($V$2:V636),$V$2:$V$1001,0),0),2)),INDEX($AA$2:$AA$1001,MATCH(ROWS($V$2:V636),$V$2:$V$1001,0),0)))</f>
        <v>0</v>
      </c>
      <c r="B636" s="5">
        <f>IF(OR(INDEX($W$2:$W$1001,MATCH(ROWS($V$2:V636),$V$2:$V$1001,0),1)&gt;=100000,INDEX($AC$1005:$AS$1005,1,MATCH(COLUMNS($AC$1006:AC1006),$AC$1006:$AS$1006,0))&gt;=100000), " ",IF(INDEX($AC$2:$AS$1001,MATCH(ROWS($V$2:V636),$V$2:$V$1001,0),MATCH(COLUMNS($AC$1006:AC1006),$AC$1006:$AS$1006,0)), HYPERLINK("#",""), HYPERLINK(CONCATENATE("#Metadata!", ADDRESS(INDEX($X$2:$X$1001,MATCH(ROWS($V$2:V636),$V$2:$V$1001,0),0), INDEX($AC$1004:$AS$1004,1,MATCH(COLUMNS($AC$1006:AC1006),$AC$1006:$AS$1006,0)))),"Fix")))</f>
        <v>0</v>
      </c>
      <c r="C636" s="5">
        <f>IF(OR(INDEX($W$2:$W$1001,MATCH(ROWS($V$2:V636),$V$2:$V$1001,0),1)&gt;=100000,INDEX($AC$1005:$AS$1005,1,MATCH(COLUMNS($AC$1006:AD1006),$AC$1006:$AS$1006,0))&gt;=100000), " ",IF(INDEX($AC$2:$AS$1001,MATCH(ROWS($V$2:V636),$V$2:$V$1001,0),MATCH(COLUMNS($AC$1006:AD1006),$AC$1006:$AS$1006,0)), HYPERLINK("#",""), HYPERLINK(CONCATENATE("#Metadata!", ADDRESS(INDEX($X$2:$X$1001,MATCH(ROWS($V$2:V636),$V$2:$V$1001,0),0), INDEX($AC$1004:$AS$1004,1,MATCH(COLUMNS($AC$1006:AD1006),$AC$1006:$AS$1006,0)))),"Fix")))</f>
        <v>0</v>
      </c>
      <c r="D636" s="5">
        <f>IF(OR(INDEX($W$2:$W$1001,MATCH(ROWS($V$2:V636),$V$2:$V$1001,0),1)&gt;=100000,INDEX($AC$1005:$AS$1005,1,MATCH(COLUMNS($AC$1006:AE1006),$AC$1006:$AS$1006,0))&gt;=100000), " ",IF(INDEX($AC$2:$AS$1001,MATCH(ROWS($V$2:V636),$V$2:$V$1001,0),MATCH(COLUMNS($AC$1006:AE1006),$AC$1006:$AS$1006,0)), HYPERLINK("#",""), HYPERLINK(CONCATENATE("#Metadata!", ADDRESS(INDEX($X$2:$X$1001,MATCH(ROWS($V$2:V636),$V$2:$V$1001,0),0), INDEX($AC$1004:$AS$1004,1,MATCH(COLUMNS($AC$1006:AE1006),$AC$1006:$AS$1006,0)))),"Fix")))</f>
        <v>0</v>
      </c>
      <c r="E636" s="5">
        <f>IF(OR(INDEX($W$2:$W$1001,MATCH(ROWS($V$2:V636),$V$2:$V$1001,0),1)&gt;=100000,INDEX($AC$1005:$AS$1005,1,MATCH(COLUMNS($AC$1006:AF1006),$AC$1006:$AS$1006,0))&gt;=100000), " ",IF(INDEX($AC$2:$AS$1001,MATCH(ROWS($V$2:V636),$V$2:$V$1001,0),MATCH(COLUMNS($AC$1006:AF1006),$AC$1006:$AS$1006,0)), HYPERLINK("#",""), HYPERLINK(CONCATENATE("#Metadata!", ADDRESS(INDEX($X$2:$X$1001,MATCH(ROWS($V$2:V636),$V$2:$V$1001,0),0), INDEX($AC$1004:$AS$1004,1,MATCH(COLUMNS($AC$1006:AF1006),$AC$1006:$AS$1006,0)))),"Fix")))</f>
        <v>0</v>
      </c>
      <c r="F636" s="5">
        <f>IF(OR(INDEX($W$2:$W$1001,MATCH(ROWS($V$2:V636),$V$2:$V$1001,0),1)&gt;=100000,INDEX($AC$1005:$AS$1005,1,MATCH(COLUMNS($AC$1006:AG1006),$AC$1006:$AS$1006,0))&gt;=100000), " ",IF(INDEX($AC$2:$AS$1001,MATCH(ROWS($V$2:V636),$V$2:$V$1001,0),MATCH(COLUMNS($AC$1006:AG1006),$AC$1006:$AS$1006,0)), HYPERLINK("#",""), HYPERLINK(CONCATENATE("#Metadata!", ADDRESS(INDEX($X$2:$X$1001,MATCH(ROWS($V$2:V636),$V$2:$V$1001,0),0), INDEX($AC$1004:$AS$1004,1,MATCH(COLUMNS($AC$1006:AG1006),$AC$1006:$AS$1006,0)))),"Fix")))</f>
        <v>0</v>
      </c>
      <c r="G636" s="5">
        <f>IF(OR(INDEX($W$2:$W$1001,MATCH(ROWS($V$2:V636),$V$2:$V$1001,0),1)&gt;=100000,INDEX($AC$1005:$AS$1005,1,MATCH(COLUMNS($AC$1006:AH1006),$AC$1006:$AS$1006,0))&gt;=100000), " ",IF(INDEX($AC$2:$AS$1001,MATCH(ROWS($V$2:V636),$V$2:$V$1001,0),MATCH(COLUMNS($AC$1006:AH1006),$AC$1006:$AS$1006,0)), HYPERLINK("#",""), HYPERLINK(CONCATENATE("#Metadata!", ADDRESS(INDEX($X$2:$X$1001,MATCH(ROWS($V$2:V636),$V$2:$V$1001,0),0), INDEX($AC$1004:$AS$1004,1,MATCH(COLUMNS($AC$1006:AH1006),$AC$1006:$AS$1006,0)))),"Fix")))</f>
        <v>0</v>
      </c>
      <c r="H636" s="5">
        <f>IF(OR(INDEX($W$2:$W$1001,MATCH(ROWS($V$2:V636),$V$2:$V$1001,0),1)&gt;=100000,INDEX($AC$1005:$AS$1005,1,MATCH(COLUMNS($AC$1006:AI1006),$AC$1006:$AS$1006,0))&gt;=100000), " ",IF(INDEX($AC$2:$AS$1001,MATCH(ROWS($V$2:V636),$V$2:$V$1001,0),MATCH(COLUMNS($AC$1006:AI1006),$AC$1006:$AS$1006,0)), HYPERLINK("#",""), HYPERLINK(CONCATENATE("#Metadata!", ADDRESS(INDEX($X$2:$X$1001,MATCH(ROWS($V$2:V636),$V$2:$V$1001,0),0), INDEX($AC$1004:$AS$1004,1,MATCH(COLUMNS($AC$1006:AI1006),$AC$1006:$AS$1006,0)))),"Fix")))</f>
        <v>0</v>
      </c>
      <c r="I636" s="5">
        <f>IF(OR(INDEX($W$2:$W$1001,MATCH(ROWS($V$2:V636),$V$2:$V$1001,0),1)&gt;=100000,INDEX($AC$1005:$AS$1005,1,MATCH(COLUMNS($AC$1006:AJ1006),$AC$1006:$AS$1006,0))&gt;=100000), " ",IF(INDEX($AC$2:$AS$1001,MATCH(ROWS($V$2:V636),$V$2:$V$1001,0),MATCH(COLUMNS($AC$1006:AJ1006),$AC$1006:$AS$1006,0)), HYPERLINK("#",""), HYPERLINK(CONCATENATE("#Metadata!", ADDRESS(INDEX($X$2:$X$1001,MATCH(ROWS($V$2:V636),$V$2:$V$1001,0),0), INDEX($AC$1004:$AS$1004,1,MATCH(COLUMNS($AC$1006:AJ1006),$AC$1006:$AS$1006,0)))),"Fix")))</f>
        <v>0</v>
      </c>
      <c r="J636" s="5">
        <f>IF(OR(INDEX($W$2:$W$1001,MATCH(ROWS($V$2:V636),$V$2:$V$1001,0),1)&gt;=100000,INDEX($AC$1005:$AS$1005,1,MATCH(COLUMNS($AC$1006:AK1006),$AC$1006:$AS$1006,0))&gt;=100000), " ",IF(INDEX($AC$2:$AS$1001,MATCH(ROWS($V$2:V636),$V$2:$V$1001,0),MATCH(COLUMNS($AC$1006:AK1006),$AC$1006:$AS$1006,0)), HYPERLINK("#",""), HYPERLINK(CONCATENATE("#Metadata!", ADDRESS(INDEX($X$2:$X$1001,MATCH(ROWS($V$2:V636),$V$2:$V$1001,0),0), INDEX($AC$1004:$AS$1004,1,MATCH(COLUMNS($AC$1006:AK1006),$AC$1006:$AS$1006,0)))),"Fix")))</f>
        <v>0</v>
      </c>
      <c r="K636" s="5">
        <f>IF(OR(INDEX($W$2:$W$1001,MATCH(ROWS($V$2:V636),$V$2:$V$1001,0),1)&gt;=100000,INDEX($AC$1005:$AS$1005,1,MATCH(COLUMNS($AC$1006:AL1006),$AC$1006:$AS$1006,0))&gt;=100000), " ",IF(INDEX($AC$2:$AS$1001,MATCH(ROWS($V$2:V636),$V$2:$V$1001,0),MATCH(COLUMNS($AC$1006:AL1006),$AC$1006:$AS$1006,0)), HYPERLINK("#",""), HYPERLINK(CONCATENATE("#Metadata!", ADDRESS(INDEX($X$2:$X$1001,MATCH(ROWS($V$2:V636),$V$2:$V$1001,0),0), INDEX($AC$1004:$AS$1004,1,MATCH(COLUMNS($AC$1006:AL1006),$AC$1006:$AS$1006,0)))),"Fix")))</f>
        <v>0</v>
      </c>
      <c r="L636" s="5">
        <f>IF(OR(INDEX($W$2:$W$1001,MATCH(ROWS($V$2:V636),$V$2:$V$1001,0),1)&gt;=100000,INDEX($AC$1005:$AS$1005,1,MATCH(COLUMNS($AC$1006:AM1006),$AC$1006:$AS$1006,0))&gt;=100000), " ",IF(INDEX($AC$2:$AS$1001,MATCH(ROWS($V$2:V636),$V$2:$V$1001,0),MATCH(COLUMNS($AC$1006:AM1006),$AC$1006:$AS$1006,0)), HYPERLINK("#",""), HYPERLINK(CONCATENATE("#Metadata!", ADDRESS(INDEX($X$2:$X$1001,MATCH(ROWS($V$2:V636),$V$2:$V$1001,0),0), INDEX($AC$1004:$AS$1004,1,MATCH(COLUMNS($AC$1006:AM1006),$AC$1006:$AS$1006,0)))),"Fix")))</f>
        <v>0</v>
      </c>
      <c r="M636" s="5">
        <f>IF(OR(INDEX($W$2:$W$1001,MATCH(ROWS($V$2:V636),$V$2:$V$1001,0),1)&gt;=100000,INDEX($AC$1005:$AS$1005,1,MATCH(COLUMNS($AC$1006:AN1006),$AC$1006:$AS$1006,0))&gt;=100000), " ",IF(INDEX($AC$2:$AS$1001,MATCH(ROWS($V$2:V636),$V$2:$V$1001,0),MATCH(COLUMNS($AC$1006:AN1006),$AC$1006:$AS$1006,0)), HYPERLINK("#",""), HYPERLINK(CONCATENATE("#Metadata!", ADDRESS(INDEX($X$2:$X$1001,MATCH(ROWS($V$2:V636),$V$2:$V$1001,0),0), INDEX($AC$1004:$AS$1004,1,MATCH(COLUMNS($AC$1006:AN1006),$AC$1006:$AS$1006,0)))),"Fix")))</f>
        <v>0</v>
      </c>
      <c r="N636" s="5">
        <f>IF(OR(INDEX($W$2:$W$1001,MATCH(ROWS($V$2:V636),$V$2:$V$1001,0),1)&gt;=100000,INDEX($AC$1005:$AS$1005,1,MATCH(COLUMNS($AC$1006:AO1006),$AC$1006:$AS$1006,0))&gt;=100000), " ",IF(INDEX($AC$2:$AS$1001,MATCH(ROWS($V$2:V636),$V$2:$V$1001,0),MATCH(COLUMNS($AC$1006:AO1006),$AC$1006:$AS$1006,0)), HYPERLINK("#",""), HYPERLINK(CONCATENATE("#Metadata!", ADDRESS(INDEX($X$2:$X$1001,MATCH(ROWS($V$2:V636),$V$2:$V$1001,0),0), INDEX($AC$1004:$AS$1004,1,MATCH(COLUMNS($AC$1006:AO1006),$AC$1006:$AS$1006,0)))),"Fix")))</f>
        <v>0</v>
      </c>
      <c r="O636" s="5">
        <f>IF(OR(INDEX($W$2:$W$1001,MATCH(ROWS($V$2:V636),$V$2:$V$1001,0),1)&gt;=100000,INDEX($AC$1005:$AS$1005,1,MATCH(COLUMNS($AC$1006:AP1006),$AC$1006:$AS$1006,0))&gt;=100000), " ",IF(INDEX($AC$2:$AS$1001,MATCH(ROWS($V$2:V636),$V$2:$V$1001,0),MATCH(COLUMNS($AC$1006:AP1006),$AC$1006:$AS$1006,0)), HYPERLINK("#",""), HYPERLINK(CONCATENATE("#Metadata!", ADDRESS(INDEX($X$2:$X$1001,MATCH(ROWS($V$2:V636),$V$2:$V$1001,0),0), INDEX($AC$1004:$AS$1004,1,MATCH(COLUMNS($AC$1006:AP1006),$AC$1006:$AS$1006,0)))),"Fix")))</f>
        <v>0</v>
      </c>
      <c r="P636" s="5">
        <f>IF(OR(INDEX($W$2:$W$1001,MATCH(ROWS($V$2:V636),$V$2:$V$1001,0),1)&gt;=100000,INDEX($AC$1005:$AS$1005,1,MATCH(COLUMNS($AC$1006:AQ1006),$AC$1006:$AS$1006,0))&gt;=100000), " ",IF(INDEX($AC$2:$AS$1001,MATCH(ROWS($V$2:V636),$V$2:$V$1001,0),MATCH(COLUMNS($AC$1006:AQ1006),$AC$1006:$AS$1006,0)), HYPERLINK("#",""), HYPERLINK(CONCATENATE("#Metadata!", ADDRESS(INDEX($X$2:$X$1001,MATCH(ROWS($V$2:V636),$V$2:$V$1001,0),0), INDEX($AC$1004:$AS$1004,1,MATCH(COLUMNS($AC$1006:AQ1006),$AC$1006:$AS$1006,0)))),"Fix")))</f>
        <v>0</v>
      </c>
      <c r="Q636" s="5">
        <f>IF(OR(INDEX($W$2:$W$1001,MATCH(ROWS($V$2:V636),$V$2:$V$1001,0),1)&gt;=100000,INDEX($AC$1005:$AS$1005,1,MATCH(COLUMNS($AC$1006:AR1006),$AC$1006:$AS$1006,0))&gt;=100000), " ",IF(INDEX($AC$2:$AS$1001,MATCH(ROWS($V$2:V636),$V$2:$V$1001,0),MATCH(COLUMNS($AC$1006:AR1006),$AC$1006:$AS$1006,0)), HYPERLINK("#",""), HYPERLINK(CONCATENATE("#Metadata!", ADDRESS(INDEX($X$2:$X$1001,MATCH(ROWS($V$2:V636),$V$2:$V$1001,0),0), INDEX($AC$1004:$AS$1004,1,MATCH(COLUMNS($AC$1006:AR1006),$AC$1006:$AS$1006,0)))),"Fix")))</f>
        <v>0</v>
      </c>
      <c r="R636" s="5">
        <f>IF(OR(INDEX($W$2:$W$1001,MATCH(ROWS($V$2:V636),$V$2:$V$1001,0),1)&gt;=100000,INDEX($AC$1005:$AS$1005,1,MATCH(COLUMNS($AC$1006:AS1006),$AC$1006:$AS$1006,0))&gt;=100000), " ",IF(INDEX($AC$2:$AS$1001,MATCH(ROWS($V$2:V636),$V$2:$V$1001,0),MATCH(COLUMNS($AC$1006:AS1006),$AC$1006:$AS$1006,0)), HYPERLINK("#",""), HYPERLINK(CONCATENATE("#Metadata!", ADDRESS(INDEX($X$2:$X$1001,MATCH(ROWS($V$2:V636),$V$2:$V$1001,0),0), INDEX($AC$1004:$AS$1004,1,MATCH(COLUMNS($AC$1006:AS1006),$AC$1006:$AS$1006,0)))),"Fix")))</f>
        <v>0</v>
      </c>
      <c r="V636">
        <v>0</v>
      </c>
      <c r="W636">
        <v>0</v>
      </c>
      <c r="X636">
        <v>0</v>
      </c>
      <c r="Y636">
        <f>IF(Z636,TRUE,AND(AC636:AS636))</f>
        <v>0</v>
      </c>
      <c r="Z636">
        <f>COUNTBLANK(Metadata!B636:R636)=COLUMNS(Metadata!B636:R636)</f>
        <v>0</v>
      </c>
      <c r="AA636">
        <v>0</v>
      </c>
      <c r="AC636">
        <f>AND(IF(Metadata!B636="",FALSE,TRUE),COUNTIF(Metadata!B:B, Metadata!B636) = 1,NOT(ISERROR(SUMPRODUCT(SEARCH(MID(Metadata!B636,ROW(INDIRECT("1:"&amp;LEN(Metadata!B636))), 1),"0123456789abcdefghijklmnopqrstuvwxyzABCDEFGHIJKLMNOPQRSTUVWXYZ.")))))</f>
        <v>0</v>
      </c>
      <c r="AD636">
        <f>AND(IF(Metadata!C636="",FALSE,TRUE),exact(Metadata!C636,"Host-associated"))</f>
        <v>0</v>
      </c>
      <c r="AE636">
        <f>AND(IF(Metadata!D636="",FALSE,TRUE),OR(exact(Metadata!D636,"Animal"),exact(Metadata!D636,"Fungus"),exact(Metadata!D636,"Plant")))</f>
        <v>0</v>
      </c>
      <c r="AF636">
        <f>AND(IF(Metadata!E636="",FALSE,TRUE),OR(exact(Metadata!E636,"Plant secretion"),exact(Metadata!E636,"Plant rhizosphere"),exact(Metadata!E636,"Plant surface"),exact(Metadata!E636,"Plant corpus"),exact(Metadata!E636,"Fungus surface"),exact(Metadata!E636,"Fungus corpus"),exact(Metadata!E636,"Animal surface"),exact(Metadata!E636,"Animal proximal gut"),exact(Metadata!E636,"Animal corpus"),exact(Metadata!E636,"Animal distal gut"),exact(Metadata!E636,"Animal secretion")))</f>
        <v>0</v>
      </c>
      <c r="AG636">
        <f>OR(AND(IF(Metadata!F636="",FALSE,TRUE),OR(exact(Metadata!F636,"not collected"),exact(Metadata!F636,"not provided"),exact(Metadata!F636,"restricted access"))),AND(IF(Metadata!F636="",FALSE,TRUE),OR(exact(Metadata!F636,"organism-associated habitat"),exact(Metadata!F636,"plant-associated habitat"),exact(Metadata!F636,"animal-associated habitat"),exact(Metadata!F636,"insecta-associated habitat"),exact(Metadata!F636,"mammalia-associated habitat"),exact(Metadata!F636,"human-associated habitat"),exact(Metadata!F636,"livestock-associated habitat"))))</f>
        <v>0</v>
      </c>
      <c r="AH636">
        <f>AND(IF(Metadata!G636="",FALSE,TRUE),exact(Metadata!G636,"host-associated"))</f>
        <v>0</v>
      </c>
      <c r="AI636">
        <f>OR(AND(IF(Metadata!H636="",FALSE,TRUE),OR(exact(Metadata!H636,"not collected"),exact(Metadata!H636,"not provided"))),AND(IF(Metadata!H636="",FALSE,ISNUMBER(VALUE(Metadata!H636))),Metadata!H636&gt;0))</f>
        <v>0</v>
      </c>
      <c r="AJ636">
        <f>AND(IF(Metadata!I636="",FALSE,TRUE),exact(Metadata!I636,"years"))</f>
        <v>0</v>
      </c>
      <c r="AK636">
        <f>IF(Metadata!J636="",FALSE,TRUE)</f>
        <v>0</v>
      </c>
      <c r="AL636">
        <f>OR(AND(IF(Metadata!K636="",FALSE,TRUE),OR(exact(Metadata!K636,"not collected"),exact(Metadata!K636,"not provided"))),AND(IF(Metadata!K636="",FALSE,ISNUMBER(VALUE(Metadata!K636))),Metadata!K636&gt;0))</f>
        <v>0</v>
      </c>
      <c r="AM636">
        <f>AND(IF(Metadata!L636="",FALSE,TRUE),exact(Metadata!L636,"cm"))</f>
        <v>0</v>
      </c>
      <c r="AN636">
        <f>IF(Metadata!M636="",FALSE,TRUE)</f>
        <v>0</v>
      </c>
      <c r="AO636">
        <f>OR(AND(IF(Metadata!N636="",FALSE,TRUE),OR(exact(Metadata!N636,"not applicable"),exact(Metadata!N636,"not collected"),exact(Metadata!N636,"not provided"))),AND(IF(Metadata!N636="",FALSE,IF(ISERROR(INT(Metadata!N636)),FALSE,INT(Metadata!N636)=Metadata!N636)),Metadata!N636&gt;0))</f>
        <v>0</v>
      </c>
      <c r="AP636">
        <f>OR(AND(IF(Metadata!O636="",FALSE,TRUE),OR(exact(Metadata!O636,"not collected"),exact(Metadata!O636,"not provided"))),AND(IF(Metadata!O636="",FALSE,ISNUMBER(VALUE(Metadata!O636))),Metadata!O636&gt;0))</f>
        <v>0</v>
      </c>
      <c r="AQ636">
        <f>AND(IF(Metadata!P636="",FALSE,TRUE),exact(Metadata!P636,"kg"))</f>
        <v>0</v>
      </c>
      <c r="AR636">
        <f>OR(AND(IF(Metadata!Q636="",FALSE,TRUE),OR(exact(Metadata!Q636,"not applicable"),exact(Metadata!Q636,"not collected"),exact(Metadata!Q636,"not provided"),exact(Metadata!Q636,"restricted access"))),IF(Metadata!Q636="",FALSE,IF(ISERROR(INT(Metadata!Q636)),FALSE,INT(Metadata!Q636)=Metadata!Q636)))</f>
        <v>0</v>
      </c>
      <c r="AS636">
        <f>AND(IF(Metadata!R636="",FALSE,TRUE),exact(Metadata!R636,"Not applicable"))</f>
        <v>0</v>
      </c>
    </row>
    <row r="637" spans="1:45">
      <c r="A637" s="4">
        <f>IF(B637=" "," ",HYPERLINK(CONCATENATE("#metadata!",ADDRESS(INDEX($X$2:$X$1001,MATCH(ROWS($V$2:V637),$V$2:$V$1001,0),0),2)),INDEX($AA$2:$AA$1001,MATCH(ROWS($V$2:V637),$V$2:$V$1001,0),0)))</f>
        <v>0</v>
      </c>
      <c r="B637" s="5">
        <f>IF(OR(INDEX($W$2:$W$1001,MATCH(ROWS($V$2:V637),$V$2:$V$1001,0),1)&gt;=100000,INDEX($AC$1005:$AS$1005,1,MATCH(COLUMNS($AC$1006:AC1006),$AC$1006:$AS$1006,0))&gt;=100000), " ",IF(INDEX($AC$2:$AS$1001,MATCH(ROWS($V$2:V637),$V$2:$V$1001,0),MATCH(COLUMNS($AC$1006:AC1006),$AC$1006:$AS$1006,0)), HYPERLINK("#",""), HYPERLINK(CONCATENATE("#Metadata!", ADDRESS(INDEX($X$2:$X$1001,MATCH(ROWS($V$2:V637),$V$2:$V$1001,0),0), INDEX($AC$1004:$AS$1004,1,MATCH(COLUMNS($AC$1006:AC1006),$AC$1006:$AS$1006,0)))),"Fix")))</f>
        <v>0</v>
      </c>
      <c r="C637" s="5">
        <f>IF(OR(INDEX($W$2:$W$1001,MATCH(ROWS($V$2:V637),$V$2:$V$1001,0),1)&gt;=100000,INDEX($AC$1005:$AS$1005,1,MATCH(COLUMNS($AC$1006:AD1006),$AC$1006:$AS$1006,0))&gt;=100000), " ",IF(INDEX($AC$2:$AS$1001,MATCH(ROWS($V$2:V637),$V$2:$V$1001,0),MATCH(COLUMNS($AC$1006:AD1006),$AC$1006:$AS$1006,0)), HYPERLINK("#",""), HYPERLINK(CONCATENATE("#Metadata!", ADDRESS(INDEX($X$2:$X$1001,MATCH(ROWS($V$2:V637),$V$2:$V$1001,0),0), INDEX($AC$1004:$AS$1004,1,MATCH(COLUMNS($AC$1006:AD1006),$AC$1006:$AS$1006,0)))),"Fix")))</f>
        <v>0</v>
      </c>
      <c r="D637" s="5">
        <f>IF(OR(INDEX($W$2:$W$1001,MATCH(ROWS($V$2:V637),$V$2:$V$1001,0),1)&gt;=100000,INDEX($AC$1005:$AS$1005,1,MATCH(COLUMNS($AC$1006:AE1006),$AC$1006:$AS$1006,0))&gt;=100000), " ",IF(INDEX($AC$2:$AS$1001,MATCH(ROWS($V$2:V637),$V$2:$V$1001,0),MATCH(COLUMNS($AC$1006:AE1006),$AC$1006:$AS$1006,0)), HYPERLINK("#",""), HYPERLINK(CONCATENATE("#Metadata!", ADDRESS(INDEX($X$2:$X$1001,MATCH(ROWS($V$2:V637),$V$2:$V$1001,0),0), INDEX($AC$1004:$AS$1004,1,MATCH(COLUMNS($AC$1006:AE1006),$AC$1006:$AS$1006,0)))),"Fix")))</f>
        <v>0</v>
      </c>
      <c r="E637" s="5">
        <f>IF(OR(INDEX($W$2:$W$1001,MATCH(ROWS($V$2:V637),$V$2:$V$1001,0),1)&gt;=100000,INDEX($AC$1005:$AS$1005,1,MATCH(COLUMNS($AC$1006:AF1006),$AC$1006:$AS$1006,0))&gt;=100000), " ",IF(INDEX($AC$2:$AS$1001,MATCH(ROWS($V$2:V637),$V$2:$V$1001,0),MATCH(COLUMNS($AC$1006:AF1006),$AC$1006:$AS$1006,0)), HYPERLINK("#",""), HYPERLINK(CONCATENATE("#Metadata!", ADDRESS(INDEX($X$2:$X$1001,MATCH(ROWS($V$2:V637),$V$2:$V$1001,0),0), INDEX($AC$1004:$AS$1004,1,MATCH(COLUMNS($AC$1006:AF1006),$AC$1006:$AS$1006,0)))),"Fix")))</f>
        <v>0</v>
      </c>
      <c r="F637" s="5">
        <f>IF(OR(INDEX($W$2:$W$1001,MATCH(ROWS($V$2:V637),$V$2:$V$1001,0),1)&gt;=100000,INDEX($AC$1005:$AS$1005,1,MATCH(COLUMNS($AC$1006:AG1006),$AC$1006:$AS$1006,0))&gt;=100000), " ",IF(INDEX($AC$2:$AS$1001,MATCH(ROWS($V$2:V637),$V$2:$V$1001,0),MATCH(COLUMNS($AC$1006:AG1006),$AC$1006:$AS$1006,0)), HYPERLINK("#",""), HYPERLINK(CONCATENATE("#Metadata!", ADDRESS(INDEX($X$2:$X$1001,MATCH(ROWS($V$2:V637),$V$2:$V$1001,0),0), INDEX($AC$1004:$AS$1004,1,MATCH(COLUMNS($AC$1006:AG1006),$AC$1006:$AS$1006,0)))),"Fix")))</f>
        <v>0</v>
      </c>
      <c r="G637" s="5">
        <f>IF(OR(INDEX($W$2:$W$1001,MATCH(ROWS($V$2:V637),$V$2:$V$1001,0),1)&gt;=100000,INDEX($AC$1005:$AS$1005,1,MATCH(COLUMNS($AC$1006:AH1006),$AC$1006:$AS$1006,0))&gt;=100000), " ",IF(INDEX($AC$2:$AS$1001,MATCH(ROWS($V$2:V637),$V$2:$V$1001,0),MATCH(COLUMNS($AC$1006:AH1006),$AC$1006:$AS$1006,0)), HYPERLINK("#",""), HYPERLINK(CONCATENATE("#Metadata!", ADDRESS(INDEX($X$2:$X$1001,MATCH(ROWS($V$2:V637),$V$2:$V$1001,0),0), INDEX($AC$1004:$AS$1004,1,MATCH(COLUMNS($AC$1006:AH1006),$AC$1006:$AS$1006,0)))),"Fix")))</f>
        <v>0</v>
      </c>
      <c r="H637" s="5">
        <f>IF(OR(INDEX($W$2:$W$1001,MATCH(ROWS($V$2:V637),$V$2:$V$1001,0),1)&gt;=100000,INDEX($AC$1005:$AS$1005,1,MATCH(COLUMNS($AC$1006:AI1006),$AC$1006:$AS$1006,0))&gt;=100000), " ",IF(INDEX($AC$2:$AS$1001,MATCH(ROWS($V$2:V637),$V$2:$V$1001,0),MATCH(COLUMNS($AC$1006:AI1006),$AC$1006:$AS$1006,0)), HYPERLINK("#",""), HYPERLINK(CONCATENATE("#Metadata!", ADDRESS(INDEX($X$2:$X$1001,MATCH(ROWS($V$2:V637),$V$2:$V$1001,0),0), INDEX($AC$1004:$AS$1004,1,MATCH(COLUMNS($AC$1006:AI1006),$AC$1006:$AS$1006,0)))),"Fix")))</f>
        <v>0</v>
      </c>
      <c r="I637" s="5">
        <f>IF(OR(INDEX($W$2:$W$1001,MATCH(ROWS($V$2:V637),$V$2:$V$1001,0),1)&gt;=100000,INDEX($AC$1005:$AS$1005,1,MATCH(COLUMNS($AC$1006:AJ1006),$AC$1006:$AS$1006,0))&gt;=100000), " ",IF(INDEX($AC$2:$AS$1001,MATCH(ROWS($V$2:V637),$V$2:$V$1001,0),MATCH(COLUMNS($AC$1006:AJ1006),$AC$1006:$AS$1006,0)), HYPERLINK("#",""), HYPERLINK(CONCATENATE("#Metadata!", ADDRESS(INDEX($X$2:$X$1001,MATCH(ROWS($V$2:V637),$V$2:$V$1001,0),0), INDEX($AC$1004:$AS$1004,1,MATCH(COLUMNS($AC$1006:AJ1006),$AC$1006:$AS$1006,0)))),"Fix")))</f>
        <v>0</v>
      </c>
      <c r="J637" s="5">
        <f>IF(OR(INDEX($W$2:$W$1001,MATCH(ROWS($V$2:V637),$V$2:$V$1001,0),1)&gt;=100000,INDEX($AC$1005:$AS$1005,1,MATCH(COLUMNS($AC$1006:AK1006),$AC$1006:$AS$1006,0))&gt;=100000), " ",IF(INDEX($AC$2:$AS$1001,MATCH(ROWS($V$2:V637),$V$2:$V$1001,0),MATCH(COLUMNS($AC$1006:AK1006),$AC$1006:$AS$1006,0)), HYPERLINK("#",""), HYPERLINK(CONCATENATE("#Metadata!", ADDRESS(INDEX($X$2:$X$1001,MATCH(ROWS($V$2:V637),$V$2:$V$1001,0),0), INDEX($AC$1004:$AS$1004,1,MATCH(COLUMNS($AC$1006:AK1006),$AC$1006:$AS$1006,0)))),"Fix")))</f>
        <v>0</v>
      </c>
      <c r="K637" s="5">
        <f>IF(OR(INDEX($W$2:$W$1001,MATCH(ROWS($V$2:V637),$V$2:$V$1001,0),1)&gt;=100000,INDEX($AC$1005:$AS$1005,1,MATCH(COLUMNS($AC$1006:AL1006),$AC$1006:$AS$1006,0))&gt;=100000), " ",IF(INDEX($AC$2:$AS$1001,MATCH(ROWS($V$2:V637),$V$2:$V$1001,0),MATCH(COLUMNS($AC$1006:AL1006),$AC$1006:$AS$1006,0)), HYPERLINK("#",""), HYPERLINK(CONCATENATE("#Metadata!", ADDRESS(INDEX($X$2:$X$1001,MATCH(ROWS($V$2:V637),$V$2:$V$1001,0),0), INDEX($AC$1004:$AS$1004,1,MATCH(COLUMNS($AC$1006:AL1006),$AC$1006:$AS$1006,0)))),"Fix")))</f>
        <v>0</v>
      </c>
      <c r="L637" s="5">
        <f>IF(OR(INDEX($W$2:$W$1001,MATCH(ROWS($V$2:V637),$V$2:$V$1001,0),1)&gt;=100000,INDEX($AC$1005:$AS$1005,1,MATCH(COLUMNS($AC$1006:AM1006),$AC$1006:$AS$1006,0))&gt;=100000), " ",IF(INDEX($AC$2:$AS$1001,MATCH(ROWS($V$2:V637),$V$2:$V$1001,0),MATCH(COLUMNS($AC$1006:AM1006),$AC$1006:$AS$1006,0)), HYPERLINK("#",""), HYPERLINK(CONCATENATE("#Metadata!", ADDRESS(INDEX($X$2:$X$1001,MATCH(ROWS($V$2:V637),$V$2:$V$1001,0),0), INDEX($AC$1004:$AS$1004,1,MATCH(COLUMNS($AC$1006:AM1006),$AC$1006:$AS$1006,0)))),"Fix")))</f>
        <v>0</v>
      </c>
      <c r="M637" s="5">
        <f>IF(OR(INDEX($W$2:$W$1001,MATCH(ROWS($V$2:V637),$V$2:$V$1001,0),1)&gt;=100000,INDEX($AC$1005:$AS$1005,1,MATCH(COLUMNS($AC$1006:AN1006),$AC$1006:$AS$1006,0))&gt;=100000), " ",IF(INDEX($AC$2:$AS$1001,MATCH(ROWS($V$2:V637),$V$2:$V$1001,0),MATCH(COLUMNS($AC$1006:AN1006),$AC$1006:$AS$1006,0)), HYPERLINK("#",""), HYPERLINK(CONCATENATE("#Metadata!", ADDRESS(INDEX($X$2:$X$1001,MATCH(ROWS($V$2:V637),$V$2:$V$1001,0),0), INDEX($AC$1004:$AS$1004,1,MATCH(COLUMNS($AC$1006:AN1006),$AC$1006:$AS$1006,0)))),"Fix")))</f>
        <v>0</v>
      </c>
      <c r="N637" s="5">
        <f>IF(OR(INDEX($W$2:$W$1001,MATCH(ROWS($V$2:V637),$V$2:$V$1001,0),1)&gt;=100000,INDEX($AC$1005:$AS$1005,1,MATCH(COLUMNS($AC$1006:AO1006),$AC$1006:$AS$1006,0))&gt;=100000), " ",IF(INDEX($AC$2:$AS$1001,MATCH(ROWS($V$2:V637),$V$2:$V$1001,0),MATCH(COLUMNS($AC$1006:AO1006),$AC$1006:$AS$1006,0)), HYPERLINK("#",""), HYPERLINK(CONCATENATE("#Metadata!", ADDRESS(INDEX($X$2:$X$1001,MATCH(ROWS($V$2:V637),$V$2:$V$1001,0),0), INDEX($AC$1004:$AS$1004,1,MATCH(COLUMNS($AC$1006:AO1006),$AC$1006:$AS$1006,0)))),"Fix")))</f>
        <v>0</v>
      </c>
      <c r="O637" s="5">
        <f>IF(OR(INDEX($W$2:$W$1001,MATCH(ROWS($V$2:V637),$V$2:$V$1001,0),1)&gt;=100000,INDEX($AC$1005:$AS$1005,1,MATCH(COLUMNS($AC$1006:AP1006),$AC$1006:$AS$1006,0))&gt;=100000), " ",IF(INDEX($AC$2:$AS$1001,MATCH(ROWS($V$2:V637),$V$2:$V$1001,0),MATCH(COLUMNS($AC$1006:AP1006),$AC$1006:$AS$1006,0)), HYPERLINK("#",""), HYPERLINK(CONCATENATE("#Metadata!", ADDRESS(INDEX($X$2:$X$1001,MATCH(ROWS($V$2:V637),$V$2:$V$1001,0),0), INDEX($AC$1004:$AS$1004,1,MATCH(COLUMNS($AC$1006:AP1006),$AC$1006:$AS$1006,0)))),"Fix")))</f>
        <v>0</v>
      </c>
      <c r="P637" s="5">
        <f>IF(OR(INDEX($W$2:$W$1001,MATCH(ROWS($V$2:V637),$V$2:$V$1001,0),1)&gt;=100000,INDEX($AC$1005:$AS$1005,1,MATCH(COLUMNS($AC$1006:AQ1006),$AC$1006:$AS$1006,0))&gt;=100000), " ",IF(INDEX($AC$2:$AS$1001,MATCH(ROWS($V$2:V637),$V$2:$V$1001,0),MATCH(COLUMNS($AC$1006:AQ1006),$AC$1006:$AS$1006,0)), HYPERLINK("#",""), HYPERLINK(CONCATENATE("#Metadata!", ADDRESS(INDEX($X$2:$X$1001,MATCH(ROWS($V$2:V637),$V$2:$V$1001,0),0), INDEX($AC$1004:$AS$1004,1,MATCH(COLUMNS($AC$1006:AQ1006),$AC$1006:$AS$1006,0)))),"Fix")))</f>
        <v>0</v>
      </c>
      <c r="Q637" s="5">
        <f>IF(OR(INDEX($W$2:$W$1001,MATCH(ROWS($V$2:V637),$V$2:$V$1001,0),1)&gt;=100000,INDEX($AC$1005:$AS$1005,1,MATCH(COLUMNS($AC$1006:AR1006),$AC$1006:$AS$1006,0))&gt;=100000), " ",IF(INDEX($AC$2:$AS$1001,MATCH(ROWS($V$2:V637),$V$2:$V$1001,0),MATCH(COLUMNS($AC$1006:AR1006),$AC$1006:$AS$1006,0)), HYPERLINK("#",""), HYPERLINK(CONCATENATE("#Metadata!", ADDRESS(INDEX($X$2:$X$1001,MATCH(ROWS($V$2:V637),$V$2:$V$1001,0),0), INDEX($AC$1004:$AS$1004,1,MATCH(COLUMNS($AC$1006:AR1006),$AC$1006:$AS$1006,0)))),"Fix")))</f>
        <v>0</v>
      </c>
      <c r="R637" s="5">
        <f>IF(OR(INDEX($W$2:$W$1001,MATCH(ROWS($V$2:V637),$V$2:$V$1001,0),1)&gt;=100000,INDEX($AC$1005:$AS$1005,1,MATCH(COLUMNS($AC$1006:AS1006),$AC$1006:$AS$1006,0))&gt;=100000), " ",IF(INDEX($AC$2:$AS$1001,MATCH(ROWS($V$2:V637),$V$2:$V$1001,0),MATCH(COLUMNS($AC$1006:AS1006),$AC$1006:$AS$1006,0)), HYPERLINK("#",""), HYPERLINK(CONCATENATE("#Metadata!", ADDRESS(INDEX($X$2:$X$1001,MATCH(ROWS($V$2:V637),$V$2:$V$1001,0),0), INDEX($AC$1004:$AS$1004,1,MATCH(COLUMNS($AC$1006:AS1006),$AC$1006:$AS$1006,0)))),"Fix")))</f>
        <v>0</v>
      </c>
      <c r="V637">
        <v>0</v>
      </c>
      <c r="W637">
        <v>0</v>
      </c>
      <c r="X637">
        <v>0</v>
      </c>
      <c r="Y637">
        <f>IF(Z637,TRUE,AND(AC637:AS637))</f>
        <v>0</v>
      </c>
      <c r="Z637">
        <f>COUNTBLANK(Metadata!B637:R637)=COLUMNS(Metadata!B637:R637)</f>
        <v>0</v>
      </c>
      <c r="AA637">
        <v>0</v>
      </c>
      <c r="AC637">
        <f>AND(IF(Metadata!B637="",FALSE,TRUE),COUNTIF(Metadata!B:B, Metadata!B637) = 1,NOT(ISERROR(SUMPRODUCT(SEARCH(MID(Metadata!B637,ROW(INDIRECT("1:"&amp;LEN(Metadata!B637))), 1),"0123456789abcdefghijklmnopqrstuvwxyzABCDEFGHIJKLMNOPQRSTUVWXYZ.")))))</f>
        <v>0</v>
      </c>
      <c r="AD637">
        <f>AND(IF(Metadata!C637="",FALSE,TRUE),exact(Metadata!C637,"Host-associated"))</f>
        <v>0</v>
      </c>
      <c r="AE637">
        <f>AND(IF(Metadata!D637="",FALSE,TRUE),OR(exact(Metadata!D637,"Animal"),exact(Metadata!D637,"Fungus"),exact(Metadata!D637,"Plant")))</f>
        <v>0</v>
      </c>
      <c r="AF637">
        <f>AND(IF(Metadata!E637="",FALSE,TRUE),OR(exact(Metadata!E637,"Plant secretion"),exact(Metadata!E637,"Plant rhizosphere"),exact(Metadata!E637,"Plant surface"),exact(Metadata!E637,"Plant corpus"),exact(Metadata!E637,"Fungus surface"),exact(Metadata!E637,"Fungus corpus"),exact(Metadata!E637,"Animal surface"),exact(Metadata!E637,"Animal proximal gut"),exact(Metadata!E637,"Animal corpus"),exact(Metadata!E637,"Animal distal gut"),exact(Metadata!E637,"Animal secretion")))</f>
        <v>0</v>
      </c>
      <c r="AG637">
        <f>OR(AND(IF(Metadata!F637="",FALSE,TRUE),OR(exact(Metadata!F637,"not collected"),exact(Metadata!F637,"not provided"),exact(Metadata!F637,"restricted access"))),AND(IF(Metadata!F637="",FALSE,TRUE),OR(exact(Metadata!F637,"organism-associated habitat"),exact(Metadata!F637,"plant-associated habitat"),exact(Metadata!F637,"animal-associated habitat"),exact(Metadata!F637,"insecta-associated habitat"),exact(Metadata!F637,"mammalia-associated habitat"),exact(Metadata!F637,"human-associated habitat"),exact(Metadata!F637,"livestock-associated habitat"))))</f>
        <v>0</v>
      </c>
      <c r="AH637">
        <f>AND(IF(Metadata!G637="",FALSE,TRUE),exact(Metadata!G637,"host-associated"))</f>
        <v>0</v>
      </c>
      <c r="AI637">
        <f>OR(AND(IF(Metadata!H637="",FALSE,TRUE),OR(exact(Metadata!H637,"not collected"),exact(Metadata!H637,"not provided"))),AND(IF(Metadata!H637="",FALSE,ISNUMBER(VALUE(Metadata!H637))),Metadata!H637&gt;0))</f>
        <v>0</v>
      </c>
      <c r="AJ637">
        <f>AND(IF(Metadata!I637="",FALSE,TRUE),exact(Metadata!I637,"years"))</f>
        <v>0</v>
      </c>
      <c r="AK637">
        <f>IF(Metadata!J637="",FALSE,TRUE)</f>
        <v>0</v>
      </c>
      <c r="AL637">
        <f>OR(AND(IF(Metadata!K637="",FALSE,TRUE),OR(exact(Metadata!K637,"not collected"),exact(Metadata!K637,"not provided"))),AND(IF(Metadata!K637="",FALSE,ISNUMBER(VALUE(Metadata!K637))),Metadata!K637&gt;0))</f>
        <v>0</v>
      </c>
      <c r="AM637">
        <f>AND(IF(Metadata!L637="",FALSE,TRUE),exact(Metadata!L637,"cm"))</f>
        <v>0</v>
      </c>
      <c r="AN637">
        <f>IF(Metadata!M637="",FALSE,TRUE)</f>
        <v>0</v>
      </c>
      <c r="AO637">
        <f>OR(AND(IF(Metadata!N637="",FALSE,TRUE),OR(exact(Metadata!N637,"not applicable"),exact(Metadata!N637,"not collected"),exact(Metadata!N637,"not provided"))),AND(IF(Metadata!N637="",FALSE,IF(ISERROR(INT(Metadata!N637)),FALSE,INT(Metadata!N637)=Metadata!N637)),Metadata!N637&gt;0))</f>
        <v>0</v>
      </c>
      <c r="AP637">
        <f>OR(AND(IF(Metadata!O637="",FALSE,TRUE),OR(exact(Metadata!O637,"not collected"),exact(Metadata!O637,"not provided"))),AND(IF(Metadata!O637="",FALSE,ISNUMBER(VALUE(Metadata!O637))),Metadata!O637&gt;0))</f>
        <v>0</v>
      </c>
      <c r="AQ637">
        <f>AND(IF(Metadata!P637="",FALSE,TRUE),exact(Metadata!P637,"kg"))</f>
        <v>0</v>
      </c>
      <c r="AR637">
        <f>OR(AND(IF(Metadata!Q637="",FALSE,TRUE),OR(exact(Metadata!Q637,"not applicable"),exact(Metadata!Q637,"not collected"),exact(Metadata!Q637,"not provided"),exact(Metadata!Q637,"restricted access"))),IF(Metadata!Q637="",FALSE,IF(ISERROR(INT(Metadata!Q637)),FALSE,INT(Metadata!Q637)=Metadata!Q637)))</f>
        <v>0</v>
      </c>
      <c r="AS637">
        <f>AND(IF(Metadata!R637="",FALSE,TRUE),exact(Metadata!R637,"Not applicable"))</f>
        <v>0</v>
      </c>
    </row>
    <row r="638" spans="1:45">
      <c r="A638" s="4">
        <f>IF(B638=" "," ",HYPERLINK(CONCATENATE("#metadata!",ADDRESS(INDEX($X$2:$X$1001,MATCH(ROWS($V$2:V638),$V$2:$V$1001,0),0),2)),INDEX($AA$2:$AA$1001,MATCH(ROWS($V$2:V638),$V$2:$V$1001,0),0)))</f>
        <v>0</v>
      </c>
      <c r="B638" s="5">
        <f>IF(OR(INDEX($W$2:$W$1001,MATCH(ROWS($V$2:V638),$V$2:$V$1001,0),1)&gt;=100000,INDEX($AC$1005:$AS$1005,1,MATCH(COLUMNS($AC$1006:AC1006),$AC$1006:$AS$1006,0))&gt;=100000), " ",IF(INDEX($AC$2:$AS$1001,MATCH(ROWS($V$2:V638),$V$2:$V$1001,0),MATCH(COLUMNS($AC$1006:AC1006),$AC$1006:$AS$1006,0)), HYPERLINK("#",""), HYPERLINK(CONCATENATE("#Metadata!", ADDRESS(INDEX($X$2:$X$1001,MATCH(ROWS($V$2:V638),$V$2:$V$1001,0),0), INDEX($AC$1004:$AS$1004,1,MATCH(COLUMNS($AC$1006:AC1006),$AC$1006:$AS$1006,0)))),"Fix")))</f>
        <v>0</v>
      </c>
      <c r="C638" s="5">
        <f>IF(OR(INDEX($W$2:$W$1001,MATCH(ROWS($V$2:V638),$V$2:$V$1001,0),1)&gt;=100000,INDEX($AC$1005:$AS$1005,1,MATCH(COLUMNS($AC$1006:AD1006),$AC$1006:$AS$1006,0))&gt;=100000), " ",IF(INDEX($AC$2:$AS$1001,MATCH(ROWS($V$2:V638),$V$2:$V$1001,0),MATCH(COLUMNS($AC$1006:AD1006),$AC$1006:$AS$1006,0)), HYPERLINK("#",""), HYPERLINK(CONCATENATE("#Metadata!", ADDRESS(INDEX($X$2:$X$1001,MATCH(ROWS($V$2:V638),$V$2:$V$1001,0),0), INDEX($AC$1004:$AS$1004,1,MATCH(COLUMNS($AC$1006:AD1006),$AC$1006:$AS$1006,0)))),"Fix")))</f>
        <v>0</v>
      </c>
      <c r="D638" s="5">
        <f>IF(OR(INDEX($W$2:$W$1001,MATCH(ROWS($V$2:V638),$V$2:$V$1001,0),1)&gt;=100000,INDEX($AC$1005:$AS$1005,1,MATCH(COLUMNS($AC$1006:AE1006),$AC$1006:$AS$1006,0))&gt;=100000), " ",IF(INDEX($AC$2:$AS$1001,MATCH(ROWS($V$2:V638),$V$2:$V$1001,0),MATCH(COLUMNS($AC$1006:AE1006),$AC$1006:$AS$1006,0)), HYPERLINK("#",""), HYPERLINK(CONCATENATE("#Metadata!", ADDRESS(INDEX($X$2:$X$1001,MATCH(ROWS($V$2:V638),$V$2:$V$1001,0),0), INDEX($AC$1004:$AS$1004,1,MATCH(COLUMNS($AC$1006:AE1006),$AC$1006:$AS$1006,0)))),"Fix")))</f>
        <v>0</v>
      </c>
      <c r="E638" s="5">
        <f>IF(OR(INDEX($W$2:$W$1001,MATCH(ROWS($V$2:V638),$V$2:$V$1001,0),1)&gt;=100000,INDEX($AC$1005:$AS$1005,1,MATCH(COLUMNS($AC$1006:AF1006),$AC$1006:$AS$1006,0))&gt;=100000), " ",IF(INDEX($AC$2:$AS$1001,MATCH(ROWS($V$2:V638),$V$2:$V$1001,0),MATCH(COLUMNS($AC$1006:AF1006),$AC$1006:$AS$1006,0)), HYPERLINK("#",""), HYPERLINK(CONCATENATE("#Metadata!", ADDRESS(INDEX($X$2:$X$1001,MATCH(ROWS($V$2:V638),$V$2:$V$1001,0),0), INDEX($AC$1004:$AS$1004,1,MATCH(COLUMNS($AC$1006:AF1006),$AC$1006:$AS$1006,0)))),"Fix")))</f>
        <v>0</v>
      </c>
      <c r="F638" s="5">
        <f>IF(OR(INDEX($W$2:$W$1001,MATCH(ROWS($V$2:V638),$V$2:$V$1001,0),1)&gt;=100000,INDEX($AC$1005:$AS$1005,1,MATCH(COLUMNS($AC$1006:AG1006),$AC$1006:$AS$1006,0))&gt;=100000), " ",IF(INDEX($AC$2:$AS$1001,MATCH(ROWS($V$2:V638),$V$2:$V$1001,0),MATCH(COLUMNS($AC$1006:AG1006),$AC$1006:$AS$1006,0)), HYPERLINK("#",""), HYPERLINK(CONCATENATE("#Metadata!", ADDRESS(INDEX($X$2:$X$1001,MATCH(ROWS($V$2:V638),$V$2:$V$1001,0),0), INDEX($AC$1004:$AS$1004,1,MATCH(COLUMNS($AC$1006:AG1006),$AC$1006:$AS$1006,0)))),"Fix")))</f>
        <v>0</v>
      </c>
      <c r="G638" s="5">
        <f>IF(OR(INDEX($W$2:$W$1001,MATCH(ROWS($V$2:V638),$V$2:$V$1001,0),1)&gt;=100000,INDEX($AC$1005:$AS$1005,1,MATCH(COLUMNS($AC$1006:AH1006),$AC$1006:$AS$1006,0))&gt;=100000), " ",IF(INDEX($AC$2:$AS$1001,MATCH(ROWS($V$2:V638),$V$2:$V$1001,0),MATCH(COLUMNS($AC$1006:AH1006),$AC$1006:$AS$1006,0)), HYPERLINK("#",""), HYPERLINK(CONCATENATE("#Metadata!", ADDRESS(INDEX($X$2:$X$1001,MATCH(ROWS($V$2:V638),$V$2:$V$1001,0),0), INDEX($AC$1004:$AS$1004,1,MATCH(COLUMNS($AC$1006:AH1006),$AC$1006:$AS$1006,0)))),"Fix")))</f>
        <v>0</v>
      </c>
      <c r="H638" s="5">
        <f>IF(OR(INDEX($W$2:$W$1001,MATCH(ROWS($V$2:V638),$V$2:$V$1001,0),1)&gt;=100000,INDEX($AC$1005:$AS$1005,1,MATCH(COLUMNS($AC$1006:AI1006),$AC$1006:$AS$1006,0))&gt;=100000), " ",IF(INDEX($AC$2:$AS$1001,MATCH(ROWS($V$2:V638),$V$2:$V$1001,0),MATCH(COLUMNS($AC$1006:AI1006),$AC$1006:$AS$1006,0)), HYPERLINK("#",""), HYPERLINK(CONCATENATE("#Metadata!", ADDRESS(INDEX($X$2:$X$1001,MATCH(ROWS($V$2:V638),$V$2:$V$1001,0),0), INDEX($AC$1004:$AS$1004,1,MATCH(COLUMNS($AC$1006:AI1006),$AC$1006:$AS$1006,0)))),"Fix")))</f>
        <v>0</v>
      </c>
      <c r="I638" s="5">
        <f>IF(OR(INDEX($W$2:$W$1001,MATCH(ROWS($V$2:V638),$V$2:$V$1001,0),1)&gt;=100000,INDEX($AC$1005:$AS$1005,1,MATCH(COLUMNS($AC$1006:AJ1006),$AC$1006:$AS$1006,0))&gt;=100000), " ",IF(INDEX($AC$2:$AS$1001,MATCH(ROWS($V$2:V638),$V$2:$V$1001,0),MATCH(COLUMNS($AC$1006:AJ1006),$AC$1006:$AS$1006,0)), HYPERLINK("#",""), HYPERLINK(CONCATENATE("#Metadata!", ADDRESS(INDEX($X$2:$X$1001,MATCH(ROWS($V$2:V638),$V$2:$V$1001,0),0), INDEX($AC$1004:$AS$1004,1,MATCH(COLUMNS($AC$1006:AJ1006),$AC$1006:$AS$1006,0)))),"Fix")))</f>
        <v>0</v>
      </c>
      <c r="J638" s="5">
        <f>IF(OR(INDEX($W$2:$W$1001,MATCH(ROWS($V$2:V638),$V$2:$V$1001,0),1)&gt;=100000,INDEX($AC$1005:$AS$1005,1,MATCH(COLUMNS($AC$1006:AK1006),$AC$1006:$AS$1006,0))&gt;=100000), " ",IF(INDEX($AC$2:$AS$1001,MATCH(ROWS($V$2:V638),$V$2:$V$1001,0),MATCH(COLUMNS($AC$1006:AK1006),$AC$1006:$AS$1006,0)), HYPERLINK("#",""), HYPERLINK(CONCATENATE("#Metadata!", ADDRESS(INDEX($X$2:$X$1001,MATCH(ROWS($V$2:V638),$V$2:$V$1001,0),0), INDEX($AC$1004:$AS$1004,1,MATCH(COLUMNS($AC$1006:AK1006),$AC$1006:$AS$1006,0)))),"Fix")))</f>
        <v>0</v>
      </c>
      <c r="K638" s="5">
        <f>IF(OR(INDEX($W$2:$W$1001,MATCH(ROWS($V$2:V638),$V$2:$V$1001,0),1)&gt;=100000,INDEX($AC$1005:$AS$1005,1,MATCH(COLUMNS($AC$1006:AL1006),$AC$1006:$AS$1006,0))&gt;=100000), " ",IF(INDEX($AC$2:$AS$1001,MATCH(ROWS($V$2:V638),$V$2:$V$1001,0),MATCH(COLUMNS($AC$1006:AL1006),$AC$1006:$AS$1006,0)), HYPERLINK("#",""), HYPERLINK(CONCATENATE("#Metadata!", ADDRESS(INDEX($X$2:$X$1001,MATCH(ROWS($V$2:V638),$V$2:$V$1001,0),0), INDEX($AC$1004:$AS$1004,1,MATCH(COLUMNS($AC$1006:AL1006),$AC$1006:$AS$1006,0)))),"Fix")))</f>
        <v>0</v>
      </c>
      <c r="L638" s="5">
        <f>IF(OR(INDEX($W$2:$W$1001,MATCH(ROWS($V$2:V638),$V$2:$V$1001,0),1)&gt;=100000,INDEX($AC$1005:$AS$1005,1,MATCH(COLUMNS($AC$1006:AM1006),$AC$1006:$AS$1006,0))&gt;=100000), " ",IF(INDEX($AC$2:$AS$1001,MATCH(ROWS($V$2:V638),$V$2:$V$1001,0),MATCH(COLUMNS($AC$1006:AM1006),$AC$1006:$AS$1006,0)), HYPERLINK("#",""), HYPERLINK(CONCATENATE("#Metadata!", ADDRESS(INDEX($X$2:$X$1001,MATCH(ROWS($V$2:V638),$V$2:$V$1001,0),0), INDEX($AC$1004:$AS$1004,1,MATCH(COLUMNS($AC$1006:AM1006),$AC$1006:$AS$1006,0)))),"Fix")))</f>
        <v>0</v>
      </c>
      <c r="M638" s="5">
        <f>IF(OR(INDEX($W$2:$W$1001,MATCH(ROWS($V$2:V638),$V$2:$V$1001,0),1)&gt;=100000,INDEX($AC$1005:$AS$1005,1,MATCH(COLUMNS($AC$1006:AN1006),$AC$1006:$AS$1006,0))&gt;=100000), " ",IF(INDEX($AC$2:$AS$1001,MATCH(ROWS($V$2:V638),$V$2:$V$1001,0),MATCH(COLUMNS($AC$1006:AN1006),$AC$1006:$AS$1006,0)), HYPERLINK("#",""), HYPERLINK(CONCATENATE("#Metadata!", ADDRESS(INDEX($X$2:$X$1001,MATCH(ROWS($V$2:V638),$V$2:$V$1001,0),0), INDEX($AC$1004:$AS$1004,1,MATCH(COLUMNS($AC$1006:AN1006),$AC$1006:$AS$1006,0)))),"Fix")))</f>
        <v>0</v>
      </c>
      <c r="N638" s="5">
        <f>IF(OR(INDEX($W$2:$W$1001,MATCH(ROWS($V$2:V638),$V$2:$V$1001,0),1)&gt;=100000,INDEX($AC$1005:$AS$1005,1,MATCH(COLUMNS($AC$1006:AO1006),$AC$1006:$AS$1006,0))&gt;=100000), " ",IF(INDEX($AC$2:$AS$1001,MATCH(ROWS($V$2:V638),$V$2:$V$1001,0),MATCH(COLUMNS($AC$1006:AO1006),$AC$1006:$AS$1006,0)), HYPERLINK("#",""), HYPERLINK(CONCATENATE("#Metadata!", ADDRESS(INDEX($X$2:$X$1001,MATCH(ROWS($V$2:V638),$V$2:$V$1001,0),0), INDEX($AC$1004:$AS$1004,1,MATCH(COLUMNS($AC$1006:AO1006),$AC$1006:$AS$1006,0)))),"Fix")))</f>
        <v>0</v>
      </c>
      <c r="O638" s="5">
        <f>IF(OR(INDEX($W$2:$W$1001,MATCH(ROWS($V$2:V638),$V$2:$V$1001,0),1)&gt;=100000,INDEX($AC$1005:$AS$1005,1,MATCH(COLUMNS($AC$1006:AP1006),$AC$1006:$AS$1006,0))&gt;=100000), " ",IF(INDEX($AC$2:$AS$1001,MATCH(ROWS($V$2:V638),$V$2:$V$1001,0),MATCH(COLUMNS($AC$1006:AP1006),$AC$1006:$AS$1006,0)), HYPERLINK("#",""), HYPERLINK(CONCATENATE("#Metadata!", ADDRESS(INDEX($X$2:$X$1001,MATCH(ROWS($V$2:V638),$V$2:$V$1001,0),0), INDEX($AC$1004:$AS$1004,1,MATCH(COLUMNS($AC$1006:AP1006),$AC$1006:$AS$1006,0)))),"Fix")))</f>
        <v>0</v>
      </c>
      <c r="P638" s="5">
        <f>IF(OR(INDEX($W$2:$W$1001,MATCH(ROWS($V$2:V638),$V$2:$V$1001,0),1)&gt;=100000,INDEX($AC$1005:$AS$1005,1,MATCH(COLUMNS($AC$1006:AQ1006),$AC$1006:$AS$1006,0))&gt;=100000), " ",IF(INDEX($AC$2:$AS$1001,MATCH(ROWS($V$2:V638),$V$2:$V$1001,0),MATCH(COLUMNS($AC$1006:AQ1006),$AC$1006:$AS$1006,0)), HYPERLINK("#",""), HYPERLINK(CONCATENATE("#Metadata!", ADDRESS(INDEX($X$2:$X$1001,MATCH(ROWS($V$2:V638),$V$2:$V$1001,0),0), INDEX($AC$1004:$AS$1004,1,MATCH(COLUMNS($AC$1006:AQ1006),$AC$1006:$AS$1006,0)))),"Fix")))</f>
        <v>0</v>
      </c>
      <c r="Q638" s="5">
        <f>IF(OR(INDEX($W$2:$W$1001,MATCH(ROWS($V$2:V638),$V$2:$V$1001,0),1)&gt;=100000,INDEX($AC$1005:$AS$1005,1,MATCH(COLUMNS($AC$1006:AR1006),$AC$1006:$AS$1006,0))&gt;=100000), " ",IF(INDEX($AC$2:$AS$1001,MATCH(ROWS($V$2:V638),$V$2:$V$1001,0),MATCH(COLUMNS($AC$1006:AR1006),$AC$1006:$AS$1006,0)), HYPERLINK("#",""), HYPERLINK(CONCATENATE("#Metadata!", ADDRESS(INDEX($X$2:$X$1001,MATCH(ROWS($V$2:V638),$V$2:$V$1001,0),0), INDEX($AC$1004:$AS$1004,1,MATCH(COLUMNS($AC$1006:AR1006),$AC$1006:$AS$1006,0)))),"Fix")))</f>
        <v>0</v>
      </c>
      <c r="R638" s="5">
        <f>IF(OR(INDEX($W$2:$W$1001,MATCH(ROWS($V$2:V638),$V$2:$V$1001,0),1)&gt;=100000,INDEX($AC$1005:$AS$1005,1,MATCH(COLUMNS($AC$1006:AS1006),$AC$1006:$AS$1006,0))&gt;=100000), " ",IF(INDEX($AC$2:$AS$1001,MATCH(ROWS($V$2:V638),$V$2:$V$1001,0),MATCH(COLUMNS($AC$1006:AS1006),$AC$1006:$AS$1006,0)), HYPERLINK("#",""), HYPERLINK(CONCATENATE("#Metadata!", ADDRESS(INDEX($X$2:$X$1001,MATCH(ROWS($V$2:V638),$V$2:$V$1001,0),0), INDEX($AC$1004:$AS$1004,1,MATCH(COLUMNS($AC$1006:AS1006),$AC$1006:$AS$1006,0)))),"Fix")))</f>
        <v>0</v>
      </c>
      <c r="V638">
        <v>0</v>
      </c>
      <c r="W638">
        <v>0</v>
      </c>
      <c r="X638">
        <v>0</v>
      </c>
      <c r="Y638">
        <f>IF(Z638,TRUE,AND(AC638:AS638))</f>
        <v>0</v>
      </c>
      <c r="Z638">
        <f>COUNTBLANK(Metadata!B638:R638)=COLUMNS(Metadata!B638:R638)</f>
        <v>0</v>
      </c>
      <c r="AA638">
        <v>0</v>
      </c>
      <c r="AC638">
        <f>AND(IF(Metadata!B638="",FALSE,TRUE),COUNTIF(Metadata!B:B, Metadata!B638) = 1,NOT(ISERROR(SUMPRODUCT(SEARCH(MID(Metadata!B638,ROW(INDIRECT("1:"&amp;LEN(Metadata!B638))), 1),"0123456789abcdefghijklmnopqrstuvwxyzABCDEFGHIJKLMNOPQRSTUVWXYZ.")))))</f>
        <v>0</v>
      </c>
      <c r="AD638">
        <f>AND(IF(Metadata!C638="",FALSE,TRUE),exact(Metadata!C638,"Host-associated"))</f>
        <v>0</v>
      </c>
      <c r="AE638">
        <f>AND(IF(Metadata!D638="",FALSE,TRUE),OR(exact(Metadata!D638,"Animal"),exact(Metadata!D638,"Fungus"),exact(Metadata!D638,"Plant")))</f>
        <v>0</v>
      </c>
      <c r="AF638">
        <f>AND(IF(Metadata!E638="",FALSE,TRUE),OR(exact(Metadata!E638,"Plant secretion"),exact(Metadata!E638,"Plant rhizosphere"),exact(Metadata!E638,"Plant surface"),exact(Metadata!E638,"Plant corpus"),exact(Metadata!E638,"Fungus surface"),exact(Metadata!E638,"Fungus corpus"),exact(Metadata!E638,"Animal surface"),exact(Metadata!E638,"Animal proximal gut"),exact(Metadata!E638,"Animal corpus"),exact(Metadata!E638,"Animal distal gut"),exact(Metadata!E638,"Animal secretion")))</f>
        <v>0</v>
      </c>
      <c r="AG638">
        <f>OR(AND(IF(Metadata!F638="",FALSE,TRUE),OR(exact(Metadata!F638,"not collected"),exact(Metadata!F638,"not provided"),exact(Metadata!F638,"restricted access"))),AND(IF(Metadata!F638="",FALSE,TRUE),OR(exact(Metadata!F638,"organism-associated habitat"),exact(Metadata!F638,"plant-associated habitat"),exact(Metadata!F638,"animal-associated habitat"),exact(Metadata!F638,"insecta-associated habitat"),exact(Metadata!F638,"mammalia-associated habitat"),exact(Metadata!F638,"human-associated habitat"),exact(Metadata!F638,"livestock-associated habitat"))))</f>
        <v>0</v>
      </c>
      <c r="AH638">
        <f>AND(IF(Metadata!G638="",FALSE,TRUE),exact(Metadata!G638,"host-associated"))</f>
        <v>0</v>
      </c>
      <c r="AI638">
        <f>OR(AND(IF(Metadata!H638="",FALSE,TRUE),OR(exact(Metadata!H638,"not collected"),exact(Metadata!H638,"not provided"))),AND(IF(Metadata!H638="",FALSE,ISNUMBER(VALUE(Metadata!H638))),Metadata!H638&gt;0))</f>
        <v>0</v>
      </c>
      <c r="AJ638">
        <f>AND(IF(Metadata!I638="",FALSE,TRUE),exact(Metadata!I638,"years"))</f>
        <v>0</v>
      </c>
      <c r="AK638">
        <f>IF(Metadata!J638="",FALSE,TRUE)</f>
        <v>0</v>
      </c>
      <c r="AL638">
        <f>OR(AND(IF(Metadata!K638="",FALSE,TRUE),OR(exact(Metadata!K638,"not collected"),exact(Metadata!K638,"not provided"))),AND(IF(Metadata!K638="",FALSE,ISNUMBER(VALUE(Metadata!K638))),Metadata!K638&gt;0))</f>
        <v>0</v>
      </c>
      <c r="AM638">
        <f>AND(IF(Metadata!L638="",FALSE,TRUE),exact(Metadata!L638,"cm"))</f>
        <v>0</v>
      </c>
      <c r="AN638">
        <f>IF(Metadata!M638="",FALSE,TRUE)</f>
        <v>0</v>
      </c>
      <c r="AO638">
        <f>OR(AND(IF(Metadata!N638="",FALSE,TRUE),OR(exact(Metadata!N638,"not applicable"),exact(Metadata!N638,"not collected"),exact(Metadata!N638,"not provided"))),AND(IF(Metadata!N638="",FALSE,IF(ISERROR(INT(Metadata!N638)),FALSE,INT(Metadata!N638)=Metadata!N638)),Metadata!N638&gt;0))</f>
        <v>0</v>
      </c>
      <c r="AP638">
        <f>OR(AND(IF(Metadata!O638="",FALSE,TRUE),OR(exact(Metadata!O638,"not collected"),exact(Metadata!O638,"not provided"))),AND(IF(Metadata!O638="",FALSE,ISNUMBER(VALUE(Metadata!O638))),Metadata!O638&gt;0))</f>
        <v>0</v>
      </c>
      <c r="AQ638">
        <f>AND(IF(Metadata!P638="",FALSE,TRUE),exact(Metadata!P638,"kg"))</f>
        <v>0</v>
      </c>
      <c r="AR638">
        <f>OR(AND(IF(Metadata!Q638="",FALSE,TRUE),OR(exact(Metadata!Q638,"not applicable"),exact(Metadata!Q638,"not collected"),exact(Metadata!Q638,"not provided"),exact(Metadata!Q638,"restricted access"))),IF(Metadata!Q638="",FALSE,IF(ISERROR(INT(Metadata!Q638)),FALSE,INT(Metadata!Q638)=Metadata!Q638)))</f>
        <v>0</v>
      </c>
      <c r="AS638">
        <f>AND(IF(Metadata!R638="",FALSE,TRUE),exact(Metadata!R638,"Not applicable"))</f>
        <v>0</v>
      </c>
    </row>
    <row r="639" spans="1:45">
      <c r="A639" s="4">
        <f>IF(B639=" "," ",HYPERLINK(CONCATENATE("#metadata!",ADDRESS(INDEX($X$2:$X$1001,MATCH(ROWS($V$2:V639),$V$2:$V$1001,0),0),2)),INDEX($AA$2:$AA$1001,MATCH(ROWS($V$2:V639),$V$2:$V$1001,0),0)))</f>
        <v>0</v>
      </c>
      <c r="B639" s="5">
        <f>IF(OR(INDEX($W$2:$W$1001,MATCH(ROWS($V$2:V639),$V$2:$V$1001,0),1)&gt;=100000,INDEX($AC$1005:$AS$1005,1,MATCH(COLUMNS($AC$1006:AC1006),$AC$1006:$AS$1006,0))&gt;=100000), " ",IF(INDEX($AC$2:$AS$1001,MATCH(ROWS($V$2:V639),$V$2:$V$1001,0),MATCH(COLUMNS($AC$1006:AC1006),$AC$1006:$AS$1006,0)), HYPERLINK("#",""), HYPERLINK(CONCATENATE("#Metadata!", ADDRESS(INDEX($X$2:$X$1001,MATCH(ROWS($V$2:V639),$V$2:$V$1001,0),0), INDEX($AC$1004:$AS$1004,1,MATCH(COLUMNS($AC$1006:AC1006),$AC$1006:$AS$1006,0)))),"Fix")))</f>
        <v>0</v>
      </c>
      <c r="C639" s="5">
        <f>IF(OR(INDEX($W$2:$W$1001,MATCH(ROWS($V$2:V639),$V$2:$V$1001,0),1)&gt;=100000,INDEX($AC$1005:$AS$1005,1,MATCH(COLUMNS($AC$1006:AD1006),$AC$1006:$AS$1006,0))&gt;=100000), " ",IF(INDEX($AC$2:$AS$1001,MATCH(ROWS($V$2:V639),$V$2:$V$1001,0),MATCH(COLUMNS($AC$1006:AD1006),$AC$1006:$AS$1006,0)), HYPERLINK("#",""), HYPERLINK(CONCATENATE("#Metadata!", ADDRESS(INDEX($X$2:$X$1001,MATCH(ROWS($V$2:V639),$V$2:$V$1001,0),0), INDEX($AC$1004:$AS$1004,1,MATCH(COLUMNS($AC$1006:AD1006),$AC$1006:$AS$1006,0)))),"Fix")))</f>
        <v>0</v>
      </c>
      <c r="D639" s="5">
        <f>IF(OR(INDEX($W$2:$W$1001,MATCH(ROWS($V$2:V639),$V$2:$V$1001,0),1)&gt;=100000,INDEX($AC$1005:$AS$1005,1,MATCH(COLUMNS($AC$1006:AE1006),$AC$1006:$AS$1006,0))&gt;=100000), " ",IF(INDEX($AC$2:$AS$1001,MATCH(ROWS($V$2:V639),$V$2:$V$1001,0),MATCH(COLUMNS($AC$1006:AE1006),$AC$1006:$AS$1006,0)), HYPERLINK("#",""), HYPERLINK(CONCATENATE("#Metadata!", ADDRESS(INDEX($X$2:$X$1001,MATCH(ROWS($V$2:V639),$V$2:$V$1001,0),0), INDEX($AC$1004:$AS$1004,1,MATCH(COLUMNS($AC$1006:AE1006),$AC$1006:$AS$1006,0)))),"Fix")))</f>
        <v>0</v>
      </c>
      <c r="E639" s="5">
        <f>IF(OR(INDEX($W$2:$W$1001,MATCH(ROWS($V$2:V639),$V$2:$V$1001,0),1)&gt;=100000,INDEX($AC$1005:$AS$1005,1,MATCH(COLUMNS($AC$1006:AF1006),$AC$1006:$AS$1006,0))&gt;=100000), " ",IF(INDEX($AC$2:$AS$1001,MATCH(ROWS($V$2:V639),$V$2:$V$1001,0),MATCH(COLUMNS($AC$1006:AF1006),$AC$1006:$AS$1006,0)), HYPERLINK("#",""), HYPERLINK(CONCATENATE("#Metadata!", ADDRESS(INDEX($X$2:$X$1001,MATCH(ROWS($V$2:V639),$V$2:$V$1001,0),0), INDEX($AC$1004:$AS$1004,1,MATCH(COLUMNS($AC$1006:AF1006),$AC$1006:$AS$1006,0)))),"Fix")))</f>
        <v>0</v>
      </c>
      <c r="F639" s="5">
        <f>IF(OR(INDEX($W$2:$W$1001,MATCH(ROWS($V$2:V639),$V$2:$V$1001,0),1)&gt;=100000,INDEX($AC$1005:$AS$1005,1,MATCH(COLUMNS($AC$1006:AG1006),$AC$1006:$AS$1006,0))&gt;=100000), " ",IF(INDEX($AC$2:$AS$1001,MATCH(ROWS($V$2:V639),$V$2:$V$1001,0),MATCH(COLUMNS($AC$1006:AG1006),$AC$1006:$AS$1006,0)), HYPERLINK("#",""), HYPERLINK(CONCATENATE("#Metadata!", ADDRESS(INDEX($X$2:$X$1001,MATCH(ROWS($V$2:V639),$V$2:$V$1001,0),0), INDEX($AC$1004:$AS$1004,1,MATCH(COLUMNS($AC$1006:AG1006),$AC$1006:$AS$1006,0)))),"Fix")))</f>
        <v>0</v>
      </c>
      <c r="G639" s="5">
        <f>IF(OR(INDEX($W$2:$W$1001,MATCH(ROWS($V$2:V639),$V$2:$V$1001,0),1)&gt;=100000,INDEX($AC$1005:$AS$1005,1,MATCH(COLUMNS($AC$1006:AH1006),$AC$1006:$AS$1006,0))&gt;=100000), " ",IF(INDEX($AC$2:$AS$1001,MATCH(ROWS($V$2:V639),$V$2:$V$1001,0),MATCH(COLUMNS($AC$1006:AH1006),$AC$1006:$AS$1006,0)), HYPERLINK("#",""), HYPERLINK(CONCATENATE("#Metadata!", ADDRESS(INDEX($X$2:$X$1001,MATCH(ROWS($V$2:V639),$V$2:$V$1001,0),0), INDEX($AC$1004:$AS$1004,1,MATCH(COLUMNS($AC$1006:AH1006),$AC$1006:$AS$1006,0)))),"Fix")))</f>
        <v>0</v>
      </c>
      <c r="H639" s="5">
        <f>IF(OR(INDEX($W$2:$W$1001,MATCH(ROWS($V$2:V639),$V$2:$V$1001,0),1)&gt;=100000,INDEX($AC$1005:$AS$1005,1,MATCH(COLUMNS($AC$1006:AI1006),$AC$1006:$AS$1006,0))&gt;=100000), " ",IF(INDEX($AC$2:$AS$1001,MATCH(ROWS($V$2:V639),$V$2:$V$1001,0),MATCH(COLUMNS($AC$1006:AI1006),$AC$1006:$AS$1006,0)), HYPERLINK("#",""), HYPERLINK(CONCATENATE("#Metadata!", ADDRESS(INDEX($X$2:$X$1001,MATCH(ROWS($V$2:V639),$V$2:$V$1001,0),0), INDEX($AC$1004:$AS$1004,1,MATCH(COLUMNS($AC$1006:AI1006),$AC$1006:$AS$1006,0)))),"Fix")))</f>
        <v>0</v>
      </c>
      <c r="I639" s="5">
        <f>IF(OR(INDEX($W$2:$W$1001,MATCH(ROWS($V$2:V639),$V$2:$V$1001,0),1)&gt;=100000,INDEX($AC$1005:$AS$1005,1,MATCH(COLUMNS($AC$1006:AJ1006),$AC$1006:$AS$1006,0))&gt;=100000), " ",IF(INDEX($AC$2:$AS$1001,MATCH(ROWS($V$2:V639),$V$2:$V$1001,0),MATCH(COLUMNS($AC$1006:AJ1006),$AC$1006:$AS$1006,0)), HYPERLINK("#",""), HYPERLINK(CONCATENATE("#Metadata!", ADDRESS(INDEX($X$2:$X$1001,MATCH(ROWS($V$2:V639),$V$2:$V$1001,0),0), INDEX($AC$1004:$AS$1004,1,MATCH(COLUMNS($AC$1006:AJ1006),$AC$1006:$AS$1006,0)))),"Fix")))</f>
        <v>0</v>
      </c>
      <c r="J639" s="5">
        <f>IF(OR(INDEX($W$2:$W$1001,MATCH(ROWS($V$2:V639),$V$2:$V$1001,0),1)&gt;=100000,INDEX($AC$1005:$AS$1005,1,MATCH(COLUMNS($AC$1006:AK1006),$AC$1006:$AS$1006,0))&gt;=100000), " ",IF(INDEX($AC$2:$AS$1001,MATCH(ROWS($V$2:V639),$V$2:$V$1001,0),MATCH(COLUMNS($AC$1006:AK1006),$AC$1006:$AS$1006,0)), HYPERLINK("#",""), HYPERLINK(CONCATENATE("#Metadata!", ADDRESS(INDEX($X$2:$X$1001,MATCH(ROWS($V$2:V639),$V$2:$V$1001,0),0), INDEX($AC$1004:$AS$1004,1,MATCH(COLUMNS($AC$1006:AK1006),$AC$1006:$AS$1006,0)))),"Fix")))</f>
        <v>0</v>
      </c>
      <c r="K639" s="5">
        <f>IF(OR(INDEX($W$2:$W$1001,MATCH(ROWS($V$2:V639),$V$2:$V$1001,0),1)&gt;=100000,INDEX($AC$1005:$AS$1005,1,MATCH(COLUMNS($AC$1006:AL1006),$AC$1006:$AS$1006,0))&gt;=100000), " ",IF(INDEX($AC$2:$AS$1001,MATCH(ROWS($V$2:V639),$V$2:$V$1001,0),MATCH(COLUMNS($AC$1006:AL1006),$AC$1006:$AS$1006,0)), HYPERLINK("#",""), HYPERLINK(CONCATENATE("#Metadata!", ADDRESS(INDEX($X$2:$X$1001,MATCH(ROWS($V$2:V639),$V$2:$V$1001,0),0), INDEX($AC$1004:$AS$1004,1,MATCH(COLUMNS($AC$1006:AL1006),$AC$1006:$AS$1006,0)))),"Fix")))</f>
        <v>0</v>
      </c>
      <c r="L639" s="5">
        <f>IF(OR(INDEX($W$2:$W$1001,MATCH(ROWS($V$2:V639),$V$2:$V$1001,0),1)&gt;=100000,INDEX($AC$1005:$AS$1005,1,MATCH(COLUMNS($AC$1006:AM1006),$AC$1006:$AS$1006,0))&gt;=100000), " ",IF(INDEX($AC$2:$AS$1001,MATCH(ROWS($V$2:V639),$V$2:$V$1001,0),MATCH(COLUMNS($AC$1006:AM1006),$AC$1006:$AS$1006,0)), HYPERLINK("#",""), HYPERLINK(CONCATENATE("#Metadata!", ADDRESS(INDEX($X$2:$X$1001,MATCH(ROWS($V$2:V639),$V$2:$V$1001,0),0), INDEX($AC$1004:$AS$1004,1,MATCH(COLUMNS($AC$1006:AM1006),$AC$1006:$AS$1006,0)))),"Fix")))</f>
        <v>0</v>
      </c>
      <c r="M639" s="5">
        <f>IF(OR(INDEX($W$2:$W$1001,MATCH(ROWS($V$2:V639),$V$2:$V$1001,0),1)&gt;=100000,INDEX($AC$1005:$AS$1005,1,MATCH(COLUMNS($AC$1006:AN1006),$AC$1006:$AS$1006,0))&gt;=100000), " ",IF(INDEX($AC$2:$AS$1001,MATCH(ROWS($V$2:V639),$V$2:$V$1001,0),MATCH(COLUMNS($AC$1006:AN1006),$AC$1006:$AS$1006,0)), HYPERLINK("#",""), HYPERLINK(CONCATENATE("#Metadata!", ADDRESS(INDEX($X$2:$X$1001,MATCH(ROWS($V$2:V639),$V$2:$V$1001,0),0), INDEX($AC$1004:$AS$1004,1,MATCH(COLUMNS($AC$1006:AN1006),$AC$1006:$AS$1006,0)))),"Fix")))</f>
        <v>0</v>
      </c>
      <c r="N639" s="5">
        <f>IF(OR(INDEX($W$2:$W$1001,MATCH(ROWS($V$2:V639),$V$2:$V$1001,0),1)&gt;=100000,INDEX($AC$1005:$AS$1005,1,MATCH(COLUMNS($AC$1006:AO1006),$AC$1006:$AS$1006,0))&gt;=100000), " ",IF(INDEX($AC$2:$AS$1001,MATCH(ROWS($V$2:V639),$V$2:$V$1001,0),MATCH(COLUMNS($AC$1006:AO1006),$AC$1006:$AS$1006,0)), HYPERLINK("#",""), HYPERLINK(CONCATENATE("#Metadata!", ADDRESS(INDEX($X$2:$X$1001,MATCH(ROWS($V$2:V639),$V$2:$V$1001,0),0), INDEX($AC$1004:$AS$1004,1,MATCH(COLUMNS($AC$1006:AO1006),$AC$1006:$AS$1006,0)))),"Fix")))</f>
        <v>0</v>
      </c>
      <c r="O639" s="5">
        <f>IF(OR(INDEX($W$2:$W$1001,MATCH(ROWS($V$2:V639),$V$2:$V$1001,0),1)&gt;=100000,INDEX($AC$1005:$AS$1005,1,MATCH(COLUMNS($AC$1006:AP1006),$AC$1006:$AS$1006,0))&gt;=100000), " ",IF(INDEX($AC$2:$AS$1001,MATCH(ROWS($V$2:V639),$V$2:$V$1001,0),MATCH(COLUMNS($AC$1006:AP1006),$AC$1006:$AS$1006,0)), HYPERLINK("#",""), HYPERLINK(CONCATENATE("#Metadata!", ADDRESS(INDEX($X$2:$X$1001,MATCH(ROWS($V$2:V639),$V$2:$V$1001,0),0), INDEX($AC$1004:$AS$1004,1,MATCH(COLUMNS($AC$1006:AP1006),$AC$1006:$AS$1006,0)))),"Fix")))</f>
        <v>0</v>
      </c>
      <c r="P639" s="5">
        <f>IF(OR(INDEX($W$2:$W$1001,MATCH(ROWS($V$2:V639),$V$2:$V$1001,0),1)&gt;=100000,INDEX($AC$1005:$AS$1005,1,MATCH(COLUMNS($AC$1006:AQ1006),$AC$1006:$AS$1006,0))&gt;=100000), " ",IF(INDEX($AC$2:$AS$1001,MATCH(ROWS($V$2:V639),$V$2:$V$1001,0),MATCH(COLUMNS($AC$1006:AQ1006),$AC$1006:$AS$1006,0)), HYPERLINK("#",""), HYPERLINK(CONCATENATE("#Metadata!", ADDRESS(INDEX($X$2:$X$1001,MATCH(ROWS($V$2:V639),$V$2:$V$1001,0),0), INDEX($AC$1004:$AS$1004,1,MATCH(COLUMNS($AC$1006:AQ1006),$AC$1006:$AS$1006,0)))),"Fix")))</f>
        <v>0</v>
      </c>
      <c r="Q639" s="5">
        <f>IF(OR(INDEX($W$2:$W$1001,MATCH(ROWS($V$2:V639),$V$2:$V$1001,0),1)&gt;=100000,INDEX($AC$1005:$AS$1005,1,MATCH(COLUMNS($AC$1006:AR1006),$AC$1006:$AS$1006,0))&gt;=100000), " ",IF(INDEX($AC$2:$AS$1001,MATCH(ROWS($V$2:V639),$V$2:$V$1001,0),MATCH(COLUMNS($AC$1006:AR1006),$AC$1006:$AS$1006,0)), HYPERLINK("#",""), HYPERLINK(CONCATENATE("#Metadata!", ADDRESS(INDEX($X$2:$X$1001,MATCH(ROWS($V$2:V639),$V$2:$V$1001,0),0), INDEX($AC$1004:$AS$1004,1,MATCH(COLUMNS($AC$1006:AR1006),$AC$1006:$AS$1006,0)))),"Fix")))</f>
        <v>0</v>
      </c>
      <c r="R639" s="5">
        <f>IF(OR(INDEX($W$2:$W$1001,MATCH(ROWS($V$2:V639),$V$2:$V$1001,0),1)&gt;=100000,INDEX($AC$1005:$AS$1005,1,MATCH(COLUMNS($AC$1006:AS1006),$AC$1006:$AS$1006,0))&gt;=100000), " ",IF(INDEX($AC$2:$AS$1001,MATCH(ROWS($V$2:V639),$V$2:$V$1001,0),MATCH(COLUMNS($AC$1006:AS1006),$AC$1006:$AS$1006,0)), HYPERLINK("#",""), HYPERLINK(CONCATENATE("#Metadata!", ADDRESS(INDEX($X$2:$X$1001,MATCH(ROWS($V$2:V639),$V$2:$V$1001,0),0), INDEX($AC$1004:$AS$1004,1,MATCH(COLUMNS($AC$1006:AS1006),$AC$1006:$AS$1006,0)))),"Fix")))</f>
        <v>0</v>
      </c>
      <c r="V639">
        <v>0</v>
      </c>
      <c r="W639">
        <v>0</v>
      </c>
      <c r="X639">
        <v>0</v>
      </c>
      <c r="Y639">
        <f>IF(Z639,TRUE,AND(AC639:AS639))</f>
        <v>0</v>
      </c>
      <c r="Z639">
        <f>COUNTBLANK(Metadata!B639:R639)=COLUMNS(Metadata!B639:R639)</f>
        <v>0</v>
      </c>
      <c r="AA639">
        <v>0</v>
      </c>
      <c r="AC639">
        <f>AND(IF(Metadata!B639="",FALSE,TRUE),COUNTIF(Metadata!B:B, Metadata!B639) = 1,NOT(ISERROR(SUMPRODUCT(SEARCH(MID(Metadata!B639,ROW(INDIRECT("1:"&amp;LEN(Metadata!B639))), 1),"0123456789abcdefghijklmnopqrstuvwxyzABCDEFGHIJKLMNOPQRSTUVWXYZ.")))))</f>
        <v>0</v>
      </c>
      <c r="AD639">
        <f>AND(IF(Metadata!C639="",FALSE,TRUE),exact(Metadata!C639,"Host-associated"))</f>
        <v>0</v>
      </c>
      <c r="AE639">
        <f>AND(IF(Metadata!D639="",FALSE,TRUE),OR(exact(Metadata!D639,"Animal"),exact(Metadata!D639,"Fungus"),exact(Metadata!D639,"Plant")))</f>
        <v>0</v>
      </c>
      <c r="AF639">
        <f>AND(IF(Metadata!E639="",FALSE,TRUE),OR(exact(Metadata!E639,"Plant secretion"),exact(Metadata!E639,"Plant rhizosphere"),exact(Metadata!E639,"Plant surface"),exact(Metadata!E639,"Plant corpus"),exact(Metadata!E639,"Fungus surface"),exact(Metadata!E639,"Fungus corpus"),exact(Metadata!E639,"Animal surface"),exact(Metadata!E639,"Animal proximal gut"),exact(Metadata!E639,"Animal corpus"),exact(Metadata!E639,"Animal distal gut"),exact(Metadata!E639,"Animal secretion")))</f>
        <v>0</v>
      </c>
      <c r="AG639">
        <f>OR(AND(IF(Metadata!F639="",FALSE,TRUE),OR(exact(Metadata!F639,"not collected"),exact(Metadata!F639,"not provided"),exact(Metadata!F639,"restricted access"))),AND(IF(Metadata!F639="",FALSE,TRUE),OR(exact(Metadata!F639,"organism-associated habitat"),exact(Metadata!F639,"plant-associated habitat"),exact(Metadata!F639,"animal-associated habitat"),exact(Metadata!F639,"insecta-associated habitat"),exact(Metadata!F639,"mammalia-associated habitat"),exact(Metadata!F639,"human-associated habitat"),exact(Metadata!F639,"livestock-associated habitat"))))</f>
        <v>0</v>
      </c>
      <c r="AH639">
        <f>AND(IF(Metadata!G639="",FALSE,TRUE),exact(Metadata!G639,"host-associated"))</f>
        <v>0</v>
      </c>
      <c r="AI639">
        <f>OR(AND(IF(Metadata!H639="",FALSE,TRUE),OR(exact(Metadata!H639,"not collected"),exact(Metadata!H639,"not provided"))),AND(IF(Metadata!H639="",FALSE,ISNUMBER(VALUE(Metadata!H639))),Metadata!H639&gt;0))</f>
        <v>0</v>
      </c>
      <c r="AJ639">
        <f>AND(IF(Metadata!I639="",FALSE,TRUE),exact(Metadata!I639,"years"))</f>
        <v>0</v>
      </c>
      <c r="AK639">
        <f>IF(Metadata!J639="",FALSE,TRUE)</f>
        <v>0</v>
      </c>
      <c r="AL639">
        <f>OR(AND(IF(Metadata!K639="",FALSE,TRUE),OR(exact(Metadata!K639,"not collected"),exact(Metadata!K639,"not provided"))),AND(IF(Metadata!K639="",FALSE,ISNUMBER(VALUE(Metadata!K639))),Metadata!K639&gt;0))</f>
        <v>0</v>
      </c>
      <c r="AM639">
        <f>AND(IF(Metadata!L639="",FALSE,TRUE),exact(Metadata!L639,"cm"))</f>
        <v>0</v>
      </c>
      <c r="AN639">
        <f>IF(Metadata!M639="",FALSE,TRUE)</f>
        <v>0</v>
      </c>
      <c r="AO639">
        <f>OR(AND(IF(Metadata!N639="",FALSE,TRUE),OR(exact(Metadata!N639,"not applicable"),exact(Metadata!N639,"not collected"),exact(Metadata!N639,"not provided"))),AND(IF(Metadata!N639="",FALSE,IF(ISERROR(INT(Metadata!N639)),FALSE,INT(Metadata!N639)=Metadata!N639)),Metadata!N639&gt;0))</f>
        <v>0</v>
      </c>
      <c r="AP639">
        <f>OR(AND(IF(Metadata!O639="",FALSE,TRUE),OR(exact(Metadata!O639,"not collected"),exact(Metadata!O639,"not provided"))),AND(IF(Metadata!O639="",FALSE,ISNUMBER(VALUE(Metadata!O639))),Metadata!O639&gt;0))</f>
        <v>0</v>
      </c>
      <c r="AQ639">
        <f>AND(IF(Metadata!P639="",FALSE,TRUE),exact(Metadata!P639,"kg"))</f>
        <v>0</v>
      </c>
      <c r="AR639">
        <f>OR(AND(IF(Metadata!Q639="",FALSE,TRUE),OR(exact(Metadata!Q639,"not applicable"),exact(Metadata!Q639,"not collected"),exact(Metadata!Q639,"not provided"),exact(Metadata!Q639,"restricted access"))),IF(Metadata!Q639="",FALSE,IF(ISERROR(INT(Metadata!Q639)),FALSE,INT(Metadata!Q639)=Metadata!Q639)))</f>
        <v>0</v>
      </c>
      <c r="AS639">
        <f>AND(IF(Metadata!R639="",FALSE,TRUE),exact(Metadata!R639,"Not applicable"))</f>
        <v>0</v>
      </c>
    </row>
    <row r="640" spans="1:45">
      <c r="A640" s="4">
        <f>IF(B640=" "," ",HYPERLINK(CONCATENATE("#metadata!",ADDRESS(INDEX($X$2:$X$1001,MATCH(ROWS($V$2:V640),$V$2:$V$1001,0),0),2)),INDEX($AA$2:$AA$1001,MATCH(ROWS($V$2:V640),$V$2:$V$1001,0),0)))</f>
        <v>0</v>
      </c>
      <c r="B640" s="5">
        <f>IF(OR(INDEX($W$2:$W$1001,MATCH(ROWS($V$2:V640),$V$2:$V$1001,0),1)&gt;=100000,INDEX($AC$1005:$AS$1005,1,MATCH(COLUMNS($AC$1006:AC1006),$AC$1006:$AS$1006,0))&gt;=100000), " ",IF(INDEX($AC$2:$AS$1001,MATCH(ROWS($V$2:V640),$V$2:$V$1001,0),MATCH(COLUMNS($AC$1006:AC1006),$AC$1006:$AS$1006,0)), HYPERLINK("#",""), HYPERLINK(CONCATENATE("#Metadata!", ADDRESS(INDEX($X$2:$X$1001,MATCH(ROWS($V$2:V640),$V$2:$V$1001,0),0), INDEX($AC$1004:$AS$1004,1,MATCH(COLUMNS($AC$1006:AC1006),$AC$1006:$AS$1006,0)))),"Fix")))</f>
        <v>0</v>
      </c>
      <c r="C640" s="5">
        <f>IF(OR(INDEX($W$2:$W$1001,MATCH(ROWS($V$2:V640),$V$2:$V$1001,0),1)&gt;=100000,INDEX($AC$1005:$AS$1005,1,MATCH(COLUMNS($AC$1006:AD1006),$AC$1006:$AS$1006,0))&gt;=100000), " ",IF(INDEX($AC$2:$AS$1001,MATCH(ROWS($V$2:V640),$V$2:$V$1001,0),MATCH(COLUMNS($AC$1006:AD1006),$AC$1006:$AS$1006,0)), HYPERLINK("#",""), HYPERLINK(CONCATENATE("#Metadata!", ADDRESS(INDEX($X$2:$X$1001,MATCH(ROWS($V$2:V640),$V$2:$V$1001,0),0), INDEX($AC$1004:$AS$1004,1,MATCH(COLUMNS($AC$1006:AD1006),$AC$1006:$AS$1006,0)))),"Fix")))</f>
        <v>0</v>
      </c>
      <c r="D640" s="5">
        <f>IF(OR(INDEX($W$2:$W$1001,MATCH(ROWS($V$2:V640),$V$2:$V$1001,0),1)&gt;=100000,INDEX($AC$1005:$AS$1005,1,MATCH(COLUMNS($AC$1006:AE1006),$AC$1006:$AS$1006,0))&gt;=100000), " ",IF(INDEX($AC$2:$AS$1001,MATCH(ROWS($V$2:V640),$V$2:$V$1001,0),MATCH(COLUMNS($AC$1006:AE1006),$AC$1006:$AS$1006,0)), HYPERLINK("#",""), HYPERLINK(CONCATENATE("#Metadata!", ADDRESS(INDEX($X$2:$X$1001,MATCH(ROWS($V$2:V640),$V$2:$V$1001,0),0), INDEX($AC$1004:$AS$1004,1,MATCH(COLUMNS($AC$1006:AE1006),$AC$1006:$AS$1006,0)))),"Fix")))</f>
        <v>0</v>
      </c>
      <c r="E640" s="5">
        <f>IF(OR(INDEX($W$2:$W$1001,MATCH(ROWS($V$2:V640),$V$2:$V$1001,0),1)&gt;=100000,INDEX($AC$1005:$AS$1005,1,MATCH(COLUMNS($AC$1006:AF1006),$AC$1006:$AS$1006,0))&gt;=100000), " ",IF(INDEX($AC$2:$AS$1001,MATCH(ROWS($V$2:V640),$V$2:$V$1001,0),MATCH(COLUMNS($AC$1006:AF1006),$AC$1006:$AS$1006,0)), HYPERLINK("#",""), HYPERLINK(CONCATENATE("#Metadata!", ADDRESS(INDEX($X$2:$X$1001,MATCH(ROWS($V$2:V640),$V$2:$V$1001,0),0), INDEX($AC$1004:$AS$1004,1,MATCH(COLUMNS($AC$1006:AF1006),$AC$1006:$AS$1006,0)))),"Fix")))</f>
        <v>0</v>
      </c>
      <c r="F640" s="5">
        <f>IF(OR(INDEX($W$2:$W$1001,MATCH(ROWS($V$2:V640),$V$2:$V$1001,0),1)&gt;=100000,INDEX($AC$1005:$AS$1005,1,MATCH(COLUMNS($AC$1006:AG1006),$AC$1006:$AS$1006,0))&gt;=100000), " ",IF(INDEX($AC$2:$AS$1001,MATCH(ROWS($V$2:V640),$V$2:$V$1001,0),MATCH(COLUMNS($AC$1006:AG1006),$AC$1006:$AS$1006,0)), HYPERLINK("#",""), HYPERLINK(CONCATENATE("#Metadata!", ADDRESS(INDEX($X$2:$X$1001,MATCH(ROWS($V$2:V640),$V$2:$V$1001,0),0), INDEX($AC$1004:$AS$1004,1,MATCH(COLUMNS($AC$1006:AG1006),$AC$1006:$AS$1006,0)))),"Fix")))</f>
        <v>0</v>
      </c>
      <c r="G640" s="5">
        <f>IF(OR(INDEX($W$2:$W$1001,MATCH(ROWS($V$2:V640),$V$2:$V$1001,0),1)&gt;=100000,INDEX($AC$1005:$AS$1005,1,MATCH(COLUMNS($AC$1006:AH1006),$AC$1006:$AS$1006,0))&gt;=100000), " ",IF(INDEX($AC$2:$AS$1001,MATCH(ROWS($V$2:V640),$V$2:$V$1001,0),MATCH(COLUMNS($AC$1006:AH1006),$AC$1006:$AS$1006,0)), HYPERLINK("#",""), HYPERLINK(CONCATENATE("#Metadata!", ADDRESS(INDEX($X$2:$X$1001,MATCH(ROWS($V$2:V640),$V$2:$V$1001,0),0), INDEX($AC$1004:$AS$1004,1,MATCH(COLUMNS($AC$1006:AH1006),$AC$1006:$AS$1006,0)))),"Fix")))</f>
        <v>0</v>
      </c>
      <c r="H640" s="5">
        <f>IF(OR(INDEX($W$2:$W$1001,MATCH(ROWS($V$2:V640),$V$2:$V$1001,0),1)&gt;=100000,INDEX($AC$1005:$AS$1005,1,MATCH(COLUMNS($AC$1006:AI1006),$AC$1006:$AS$1006,0))&gt;=100000), " ",IF(INDEX($AC$2:$AS$1001,MATCH(ROWS($V$2:V640),$V$2:$V$1001,0),MATCH(COLUMNS($AC$1006:AI1006),$AC$1006:$AS$1006,0)), HYPERLINK("#",""), HYPERLINK(CONCATENATE("#Metadata!", ADDRESS(INDEX($X$2:$X$1001,MATCH(ROWS($V$2:V640),$V$2:$V$1001,0),0), INDEX($AC$1004:$AS$1004,1,MATCH(COLUMNS($AC$1006:AI1006),$AC$1006:$AS$1006,0)))),"Fix")))</f>
        <v>0</v>
      </c>
      <c r="I640" s="5">
        <f>IF(OR(INDEX($W$2:$W$1001,MATCH(ROWS($V$2:V640),$V$2:$V$1001,0),1)&gt;=100000,INDEX($AC$1005:$AS$1005,1,MATCH(COLUMNS($AC$1006:AJ1006),$AC$1006:$AS$1006,0))&gt;=100000), " ",IF(INDEX($AC$2:$AS$1001,MATCH(ROWS($V$2:V640),$V$2:$V$1001,0),MATCH(COLUMNS($AC$1006:AJ1006),$AC$1006:$AS$1006,0)), HYPERLINK("#",""), HYPERLINK(CONCATENATE("#Metadata!", ADDRESS(INDEX($X$2:$X$1001,MATCH(ROWS($V$2:V640),$V$2:$V$1001,0),0), INDEX($AC$1004:$AS$1004,1,MATCH(COLUMNS($AC$1006:AJ1006),$AC$1006:$AS$1006,0)))),"Fix")))</f>
        <v>0</v>
      </c>
      <c r="J640" s="5">
        <f>IF(OR(INDEX($W$2:$W$1001,MATCH(ROWS($V$2:V640),$V$2:$V$1001,0),1)&gt;=100000,INDEX($AC$1005:$AS$1005,1,MATCH(COLUMNS($AC$1006:AK1006),$AC$1006:$AS$1006,0))&gt;=100000), " ",IF(INDEX($AC$2:$AS$1001,MATCH(ROWS($V$2:V640),$V$2:$V$1001,0),MATCH(COLUMNS($AC$1006:AK1006),$AC$1006:$AS$1006,0)), HYPERLINK("#",""), HYPERLINK(CONCATENATE("#Metadata!", ADDRESS(INDEX($X$2:$X$1001,MATCH(ROWS($V$2:V640),$V$2:$V$1001,0),0), INDEX($AC$1004:$AS$1004,1,MATCH(COLUMNS($AC$1006:AK1006),$AC$1006:$AS$1006,0)))),"Fix")))</f>
        <v>0</v>
      </c>
      <c r="K640" s="5">
        <f>IF(OR(INDEX($W$2:$W$1001,MATCH(ROWS($V$2:V640),$V$2:$V$1001,0),1)&gt;=100000,INDEX($AC$1005:$AS$1005,1,MATCH(COLUMNS($AC$1006:AL1006),$AC$1006:$AS$1006,0))&gt;=100000), " ",IF(INDEX($AC$2:$AS$1001,MATCH(ROWS($V$2:V640),$V$2:$V$1001,0),MATCH(COLUMNS($AC$1006:AL1006),$AC$1006:$AS$1006,0)), HYPERLINK("#",""), HYPERLINK(CONCATENATE("#Metadata!", ADDRESS(INDEX($X$2:$X$1001,MATCH(ROWS($V$2:V640),$V$2:$V$1001,0),0), INDEX($AC$1004:$AS$1004,1,MATCH(COLUMNS($AC$1006:AL1006),$AC$1006:$AS$1006,0)))),"Fix")))</f>
        <v>0</v>
      </c>
      <c r="L640" s="5">
        <f>IF(OR(INDEX($W$2:$W$1001,MATCH(ROWS($V$2:V640),$V$2:$V$1001,0),1)&gt;=100000,INDEX($AC$1005:$AS$1005,1,MATCH(COLUMNS($AC$1006:AM1006),$AC$1006:$AS$1006,0))&gt;=100000), " ",IF(INDEX($AC$2:$AS$1001,MATCH(ROWS($V$2:V640),$V$2:$V$1001,0),MATCH(COLUMNS($AC$1006:AM1006),$AC$1006:$AS$1006,0)), HYPERLINK("#",""), HYPERLINK(CONCATENATE("#Metadata!", ADDRESS(INDEX($X$2:$X$1001,MATCH(ROWS($V$2:V640),$V$2:$V$1001,0),0), INDEX($AC$1004:$AS$1004,1,MATCH(COLUMNS($AC$1006:AM1006),$AC$1006:$AS$1006,0)))),"Fix")))</f>
        <v>0</v>
      </c>
      <c r="M640" s="5">
        <f>IF(OR(INDEX($W$2:$W$1001,MATCH(ROWS($V$2:V640),$V$2:$V$1001,0),1)&gt;=100000,INDEX($AC$1005:$AS$1005,1,MATCH(COLUMNS($AC$1006:AN1006),$AC$1006:$AS$1006,0))&gt;=100000), " ",IF(INDEX($AC$2:$AS$1001,MATCH(ROWS($V$2:V640),$V$2:$V$1001,0),MATCH(COLUMNS($AC$1006:AN1006),$AC$1006:$AS$1006,0)), HYPERLINK("#",""), HYPERLINK(CONCATENATE("#Metadata!", ADDRESS(INDEX($X$2:$X$1001,MATCH(ROWS($V$2:V640),$V$2:$V$1001,0),0), INDEX($AC$1004:$AS$1004,1,MATCH(COLUMNS($AC$1006:AN1006),$AC$1006:$AS$1006,0)))),"Fix")))</f>
        <v>0</v>
      </c>
      <c r="N640" s="5">
        <f>IF(OR(INDEX($W$2:$W$1001,MATCH(ROWS($V$2:V640),$V$2:$V$1001,0),1)&gt;=100000,INDEX($AC$1005:$AS$1005,1,MATCH(COLUMNS($AC$1006:AO1006),$AC$1006:$AS$1006,0))&gt;=100000), " ",IF(INDEX($AC$2:$AS$1001,MATCH(ROWS($V$2:V640),$V$2:$V$1001,0),MATCH(COLUMNS($AC$1006:AO1006),$AC$1006:$AS$1006,0)), HYPERLINK("#",""), HYPERLINK(CONCATENATE("#Metadata!", ADDRESS(INDEX($X$2:$X$1001,MATCH(ROWS($V$2:V640),$V$2:$V$1001,0),0), INDEX($AC$1004:$AS$1004,1,MATCH(COLUMNS($AC$1006:AO1006),$AC$1006:$AS$1006,0)))),"Fix")))</f>
        <v>0</v>
      </c>
      <c r="O640" s="5">
        <f>IF(OR(INDEX($W$2:$W$1001,MATCH(ROWS($V$2:V640),$V$2:$V$1001,0),1)&gt;=100000,INDEX($AC$1005:$AS$1005,1,MATCH(COLUMNS($AC$1006:AP1006),$AC$1006:$AS$1006,0))&gt;=100000), " ",IF(INDEX($AC$2:$AS$1001,MATCH(ROWS($V$2:V640),$V$2:$V$1001,0),MATCH(COLUMNS($AC$1006:AP1006),$AC$1006:$AS$1006,0)), HYPERLINK("#",""), HYPERLINK(CONCATENATE("#Metadata!", ADDRESS(INDEX($X$2:$X$1001,MATCH(ROWS($V$2:V640),$V$2:$V$1001,0),0), INDEX($AC$1004:$AS$1004,1,MATCH(COLUMNS($AC$1006:AP1006),$AC$1006:$AS$1006,0)))),"Fix")))</f>
        <v>0</v>
      </c>
      <c r="P640" s="5">
        <f>IF(OR(INDEX($W$2:$W$1001,MATCH(ROWS($V$2:V640),$V$2:$V$1001,0),1)&gt;=100000,INDEX($AC$1005:$AS$1005,1,MATCH(COLUMNS($AC$1006:AQ1006),$AC$1006:$AS$1006,0))&gt;=100000), " ",IF(INDEX($AC$2:$AS$1001,MATCH(ROWS($V$2:V640),$V$2:$V$1001,0),MATCH(COLUMNS($AC$1006:AQ1006),$AC$1006:$AS$1006,0)), HYPERLINK("#",""), HYPERLINK(CONCATENATE("#Metadata!", ADDRESS(INDEX($X$2:$X$1001,MATCH(ROWS($V$2:V640),$V$2:$V$1001,0),0), INDEX($AC$1004:$AS$1004,1,MATCH(COLUMNS($AC$1006:AQ1006),$AC$1006:$AS$1006,0)))),"Fix")))</f>
        <v>0</v>
      </c>
      <c r="Q640" s="5">
        <f>IF(OR(INDEX($W$2:$W$1001,MATCH(ROWS($V$2:V640),$V$2:$V$1001,0),1)&gt;=100000,INDEX($AC$1005:$AS$1005,1,MATCH(COLUMNS($AC$1006:AR1006),$AC$1006:$AS$1006,0))&gt;=100000), " ",IF(INDEX($AC$2:$AS$1001,MATCH(ROWS($V$2:V640),$V$2:$V$1001,0),MATCH(COLUMNS($AC$1006:AR1006),$AC$1006:$AS$1006,0)), HYPERLINK("#",""), HYPERLINK(CONCATENATE("#Metadata!", ADDRESS(INDEX($X$2:$X$1001,MATCH(ROWS($V$2:V640),$V$2:$V$1001,0),0), INDEX($AC$1004:$AS$1004,1,MATCH(COLUMNS($AC$1006:AR1006),$AC$1006:$AS$1006,0)))),"Fix")))</f>
        <v>0</v>
      </c>
      <c r="R640" s="5">
        <f>IF(OR(INDEX($W$2:$W$1001,MATCH(ROWS($V$2:V640),$V$2:$V$1001,0),1)&gt;=100000,INDEX($AC$1005:$AS$1005,1,MATCH(COLUMNS($AC$1006:AS1006),$AC$1006:$AS$1006,0))&gt;=100000), " ",IF(INDEX($AC$2:$AS$1001,MATCH(ROWS($V$2:V640),$V$2:$V$1001,0),MATCH(COLUMNS($AC$1006:AS1006),$AC$1006:$AS$1006,0)), HYPERLINK("#",""), HYPERLINK(CONCATENATE("#Metadata!", ADDRESS(INDEX($X$2:$X$1001,MATCH(ROWS($V$2:V640),$V$2:$V$1001,0),0), INDEX($AC$1004:$AS$1004,1,MATCH(COLUMNS($AC$1006:AS1006),$AC$1006:$AS$1006,0)))),"Fix")))</f>
        <v>0</v>
      </c>
      <c r="V640">
        <v>0</v>
      </c>
      <c r="W640">
        <v>0</v>
      </c>
      <c r="X640">
        <v>0</v>
      </c>
      <c r="Y640">
        <f>IF(Z640,TRUE,AND(AC640:AS640))</f>
        <v>0</v>
      </c>
      <c r="Z640">
        <f>COUNTBLANK(Metadata!B640:R640)=COLUMNS(Metadata!B640:R640)</f>
        <v>0</v>
      </c>
      <c r="AA640">
        <v>0</v>
      </c>
      <c r="AC640">
        <f>AND(IF(Metadata!B640="",FALSE,TRUE),COUNTIF(Metadata!B:B, Metadata!B640) = 1,NOT(ISERROR(SUMPRODUCT(SEARCH(MID(Metadata!B640,ROW(INDIRECT("1:"&amp;LEN(Metadata!B640))), 1),"0123456789abcdefghijklmnopqrstuvwxyzABCDEFGHIJKLMNOPQRSTUVWXYZ.")))))</f>
        <v>0</v>
      </c>
      <c r="AD640">
        <f>AND(IF(Metadata!C640="",FALSE,TRUE),exact(Metadata!C640,"Host-associated"))</f>
        <v>0</v>
      </c>
      <c r="AE640">
        <f>AND(IF(Metadata!D640="",FALSE,TRUE),OR(exact(Metadata!D640,"Animal"),exact(Metadata!D640,"Fungus"),exact(Metadata!D640,"Plant")))</f>
        <v>0</v>
      </c>
      <c r="AF640">
        <f>AND(IF(Metadata!E640="",FALSE,TRUE),OR(exact(Metadata!E640,"Plant secretion"),exact(Metadata!E640,"Plant rhizosphere"),exact(Metadata!E640,"Plant surface"),exact(Metadata!E640,"Plant corpus"),exact(Metadata!E640,"Fungus surface"),exact(Metadata!E640,"Fungus corpus"),exact(Metadata!E640,"Animal surface"),exact(Metadata!E640,"Animal proximal gut"),exact(Metadata!E640,"Animal corpus"),exact(Metadata!E640,"Animal distal gut"),exact(Metadata!E640,"Animal secretion")))</f>
        <v>0</v>
      </c>
      <c r="AG640">
        <f>OR(AND(IF(Metadata!F640="",FALSE,TRUE),OR(exact(Metadata!F640,"not collected"),exact(Metadata!F640,"not provided"),exact(Metadata!F640,"restricted access"))),AND(IF(Metadata!F640="",FALSE,TRUE),OR(exact(Metadata!F640,"organism-associated habitat"),exact(Metadata!F640,"plant-associated habitat"),exact(Metadata!F640,"animal-associated habitat"),exact(Metadata!F640,"insecta-associated habitat"),exact(Metadata!F640,"mammalia-associated habitat"),exact(Metadata!F640,"human-associated habitat"),exact(Metadata!F640,"livestock-associated habitat"))))</f>
        <v>0</v>
      </c>
      <c r="AH640">
        <f>AND(IF(Metadata!G640="",FALSE,TRUE),exact(Metadata!G640,"host-associated"))</f>
        <v>0</v>
      </c>
      <c r="AI640">
        <f>OR(AND(IF(Metadata!H640="",FALSE,TRUE),OR(exact(Metadata!H640,"not collected"),exact(Metadata!H640,"not provided"))),AND(IF(Metadata!H640="",FALSE,ISNUMBER(VALUE(Metadata!H640))),Metadata!H640&gt;0))</f>
        <v>0</v>
      </c>
      <c r="AJ640">
        <f>AND(IF(Metadata!I640="",FALSE,TRUE),exact(Metadata!I640,"years"))</f>
        <v>0</v>
      </c>
      <c r="AK640">
        <f>IF(Metadata!J640="",FALSE,TRUE)</f>
        <v>0</v>
      </c>
      <c r="AL640">
        <f>OR(AND(IF(Metadata!K640="",FALSE,TRUE),OR(exact(Metadata!K640,"not collected"),exact(Metadata!K640,"not provided"))),AND(IF(Metadata!K640="",FALSE,ISNUMBER(VALUE(Metadata!K640))),Metadata!K640&gt;0))</f>
        <v>0</v>
      </c>
      <c r="AM640">
        <f>AND(IF(Metadata!L640="",FALSE,TRUE),exact(Metadata!L640,"cm"))</f>
        <v>0</v>
      </c>
      <c r="AN640">
        <f>IF(Metadata!M640="",FALSE,TRUE)</f>
        <v>0</v>
      </c>
      <c r="AO640">
        <f>OR(AND(IF(Metadata!N640="",FALSE,TRUE),OR(exact(Metadata!N640,"not applicable"),exact(Metadata!N640,"not collected"),exact(Metadata!N640,"not provided"))),AND(IF(Metadata!N640="",FALSE,IF(ISERROR(INT(Metadata!N640)),FALSE,INT(Metadata!N640)=Metadata!N640)),Metadata!N640&gt;0))</f>
        <v>0</v>
      </c>
      <c r="AP640">
        <f>OR(AND(IF(Metadata!O640="",FALSE,TRUE),OR(exact(Metadata!O640,"not collected"),exact(Metadata!O640,"not provided"))),AND(IF(Metadata!O640="",FALSE,ISNUMBER(VALUE(Metadata!O640))),Metadata!O640&gt;0))</f>
        <v>0</v>
      </c>
      <c r="AQ640">
        <f>AND(IF(Metadata!P640="",FALSE,TRUE),exact(Metadata!P640,"kg"))</f>
        <v>0</v>
      </c>
      <c r="AR640">
        <f>OR(AND(IF(Metadata!Q640="",FALSE,TRUE),OR(exact(Metadata!Q640,"not applicable"),exact(Metadata!Q640,"not collected"),exact(Metadata!Q640,"not provided"),exact(Metadata!Q640,"restricted access"))),IF(Metadata!Q640="",FALSE,IF(ISERROR(INT(Metadata!Q640)),FALSE,INT(Metadata!Q640)=Metadata!Q640)))</f>
        <v>0</v>
      </c>
      <c r="AS640">
        <f>AND(IF(Metadata!R640="",FALSE,TRUE),exact(Metadata!R640,"Not applicable"))</f>
        <v>0</v>
      </c>
    </row>
    <row r="641" spans="1:45">
      <c r="A641" s="4">
        <f>IF(B641=" "," ",HYPERLINK(CONCATENATE("#metadata!",ADDRESS(INDEX($X$2:$X$1001,MATCH(ROWS($V$2:V641),$V$2:$V$1001,0),0),2)),INDEX($AA$2:$AA$1001,MATCH(ROWS($V$2:V641),$V$2:$V$1001,0),0)))</f>
        <v>0</v>
      </c>
      <c r="B641" s="5">
        <f>IF(OR(INDEX($W$2:$W$1001,MATCH(ROWS($V$2:V641),$V$2:$V$1001,0),1)&gt;=100000,INDEX($AC$1005:$AS$1005,1,MATCH(COLUMNS($AC$1006:AC1006),$AC$1006:$AS$1006,0))&gt;=100000), " ",IF(INDEX($AC$2:$AS$1001,MATCH(ROWS($V$2:V641),$V$2:$V$1001,0),MATCH(COLUMNS($AC$1006:AC1006),$AC$1006:$AS$1006,0)), HYPERLINK("#",""), HYPERLINK(CONCATENATE("#Metadata!", ADDRESS(INDEX($X$2:$X$1001,MATCH(ROWS($V$2:V641),$V$2:$V$1001,0),0), INDEX($AC$1004:$AS$1004,1,MATCH(COLUMNS($AC$1006:AC1006),$AC$1006:$AS$1006,0)))),"Fix")))</f>
        <v>0</v>
      </c>
      <c r="C641" s="5">
        <f>IF(OR(INDEX($W$2:$W$1001,MATCH(ROWS($V$2:V641),$V$2:$V$1001,0),1)&gt;=100000,INDEX($AC$1005:$AS$1005,1,MATCH(COLUMNS($AC$1006:AD1006),$AC$1006:$AS$1006,0))&gt;=100000), " ",IF(INDEX($AC$2:$AS$1001,MATCH(ROWS($V$2:V641),$V$2:$V$1001,0),MATCH(COLUMNS($AC$1006:AD1006),$AC$1006:$AS$1006,0)), HYPERLINK("#",""), HYPERLINK(CONCATENATE("#Metadata!", ADDRESS(INDEX($X$2:$X$1001,MATCH(ROWS($V$2:V641),$V$2:$V$1001,0),0), INDEX($AC$1004:$AS$1004,1,MATCH(COLUMNS($AC$1006:AD1006),$AC$1006:$AS$1006,0)))),"Fix")))</f>
        <v>0</v>
      </c>
      <c r="D641" s="5">
        <f>IF(OR(INDEX($W$2:$W$1001,MATCH(ROWS($V$2:V641),$V$2:$V$1001,0),1)&gt;=100000,INDEX($AC$1005:$AS$1005,1,MATCH(COLUMNS($AC$1006:AE1006),$AC$1006:$AS$1006,0))&gt;=100000), " ",IF(INDEX($AC$2:$AS$1001,MATCH(ROWS($V$2:V641),$V$2:$V$1001,0),MATCH(COLUMNS($AC$1006:AE1006),$AC$1006:$AS$1006,0)), HYPERLINK("#",""), HYPERLINK(CONCATENATE("#Metadata!", ADDRESS(INDEX($X$2:$X$1001,MATCH(ROWS($V$2:V641),$V$2:$V$1001,0),0), INDEX($AC$1004:$AS$1004,1,MATCH(COLUMNS($AC$1006:AE1006),$AC$1006:$AS$1006,0)))),"Fix")))</f>
        <v>0</v>
      </c>
      <c r="E641" s="5">
        <f>IF(OR(INDEX($W$2:$W$1001,MATCH(ROWS($V$2:V641),$V$2:$V$1001,0),1)&gt;=100000,INDEX($AC$1005:$AS$1005,1,MATCH(COLUMNS($AC$1006:AF1006),$AC$1006:$AS$1006,0))&gt;=100000), " ",IF(INDEX($AC$2:$AS$1001,MATCH(ROWS($V$2:V641),$V$2:$V$1001,0),MATCH(COLUMNS($AC$1006:AF1006),$AC$1006:$AS$1006,0)), HYPERLINK("#",""), HYPERLINK(CONCATENATE("#Metadata!", ADDRESS(INDEX($X$2:$X$1001,MATCH(ROWS($V$2:V641),$V$2:$V$1001,0),0), INDEX($AC$1004:$AS$1004,1,MATCH(COLUMNS($AC$1006:AF1006),$AC$1006:$AS$1006,0)))),"Fix")))</f>
        <v>0</v>
      </c>
      <c r="F641" s="5">
        <f>IF(OR(INDEX($W$2:$W$1001,MATCH(ROWS($V$2:V641),$V$2:$V$1001,0),1)&gt;=100000,INDEX($AC$1005:$AS$1005,1,MATCH(COLUMNS($AC$1006:AG1006),$AC$1006:$AS$1006,0))&gt;=100000), " ",IF(INDEX($AC$2:$AS$1001,MATCH(ROWS($V$2:V641),$V$2:$V$1001,0),MATCH(COLUMNS($AC$1006:AG1006),$AC$1006:$AS$1006,0)), HYPERLINK("#",""), HYPERLINK(CONCATENATE("#Metadata!", ADDRESS(INDEX($X$2:$X$1001,MATCH(ROWS($V$2:V641),$V$2:$V$1001,0),0), INDEX($AC$1004:$AS$1004,1,MATCH(COLUMNS($AC$1006:AG1006),$AC$1006:$AS$1006,0)))),"Fix")))</f>
        <v>0</v>
      </c>
      <c r="G641" s="5">
        <f>IF(OR(INDEX($W$2:$W$1001,MATCH(ROWS($V$2:V641),$V$2:$V$1001,0),1)&gt;=100000,INDEX($AC$1005:$AS$1005,1,MATCH(COLUMNS($AC$1006:AH1006),$AC$1006:$AS$1006,0))&gt;=100000), " ",IF(INDEX($AC$2:$AS$1001,MATCH(ROWS($V$2:V641),$V$2:$V$1001,0),MATCH(COLUMNS($AC$1006:AH1006),$AC$1006:$AS$1006,0)), HYPERLINK("#",""), HYPERLINK(CONCATENATE("#Metadata!", ADDRESS(INDEX($X$2:$X$1001,MATCH(ROWS($V$2:V641),$V$2:$V$1001,0),0), INDEX($AC$1004:$AS$1004,1,MATCH(COLUMNS($AC$1006:AH1006),$AC$1006:$AS$1006,0)))),"Fix")))</f>
        <v>0</v>
      </c>
      <c r="H641" s="5">
        <f>IF(OR(INDEX($W$2:$W$1001,MATCH(ROWS($V$2:V641),$V$2:$V$1001,0),1)&gt;=100000,INDEX($AC$1005:$AS$1005,1,MATCH(COLUMNS($AC$1006:AI1006),$AC$1006:$AS$1006,0))&gt;=100000), " ",IF(INDEX($AC$2:$AS$1001,MATCH(ROWS($V$2:V641),$V$2:$V$1001,0),MATCH(COLUMNS($AC$1006:AI1006),$AC$1006:$AS$1006,0)), HYPERLINK("#",""), HYPERLINK(CONCATENATE("#Metadata!", ADDRESS(INDEX($X$2:$X$1001,MATCH(ROWS($V$2:V641),$V$2:$V$1001,0),0), INDEX($AC$1004:$AS$1004,1,MATCH(COLUMNS($AC$1006:AI1006),$AC$1006:$AS$1006,0)))),"Fix")))</f>
        <v>0</v>
      </c>
      <c r="I641" s="5">
        <f>IF(OR(INDEX($W$2:$W$1001,MATCH(ROWS($V$2:V641),$V$2:$V$1001,0),1)&gt;=100000,INDEX($AC$1005:$AS$1005,1,MATCH(COLUMNS($AC$1006:AJ1006),$AC$1006:$AS$1006,0))&gt;=100000), " ",IF(INDEX($AC$2:$AS$1001,MATCH(ROWS($V$2:V641),$V$2:$V$1001,0),MATCH(COLUMNS($AC$1006:AJ1006),$AC$1006:$AS$1006,0)), HYPERLINK("#",""), HYPERLINK(CONCATENATE("#Metadata!", ADDRESS(INDEX($X$2:$X$1001,MATCH(ROWS($V$2:V641),$V$2:$V$1001,0),0), INDEX($AC$1004:$AS$1004,1,MATCH(COLUMNS($AC$1006:AJ1006),$AC$1006:$AS$1006,0)))),"Fix")))</f>
        <v>0</v>
      </c>
      <c r="J641" s="5">
        <f>IF(OR(INDEX($W$2:$W$1001,MATCH(ROWS($V$2:V641),$V$2:$V$1001,0),1)&gt;=100000,INDEX($AC$1005:$AS$1005,1,MATCH(COLUMNS($AC$1006:AK1006),$AC$1006:$AS$1006,0))&gt;=100000), " ",IF(INDEX($AC$2:$AS$1001,MATCH(ROWS($V$2:V641),$V$2:$V$1001,0),MATCH(COLUMNS($AC$1006:AK1006),$AC$1006:$AS$1006,0)), HYPERLINK("#",""), HYPERLINK(CONCATENATE("#Metadata!", ADDRESS(INDEX($X$2:$X$1001,MATCH(ROWS($V$2:V641),$V$2:$V$1001,0),0), INDEX($AC$1004:$AS$1004,1,MATCH(COLUMNS($AC$1006:AK1006),$AC$1006:$AS$1006,0)))),"Fix")))</f>
        <v>0</v>
      </c>
      <c r="K641" s="5">
        <f>IF(OR(INDEX($W$2:$W$1001,MATCH(ROWS($V$2:V641),$V$2:$V$1001,0),1)&gt;=100000,INDEX($AC$1005:$AS$1005,1,MATCH(COLUMNS($AC$1006:AL1006),$AC$1006:$AS$1006,0))&gt;=100000), " ",IF(INDEX($AC$2:$AS$1001,MATCH(ROWS($V$2:V641),$V$2:$V$1001,0),MATCH(COLUMNS($AC$1006:AL1006),$AC$1006:$AS$1006,0)), HYPERLINK("#",""), HYPERLINK(CONCATENATE("#Metadata!", ADDRESS(INDEX($X$2:$X$1001,MATCH(ROWS($V$2:V641),$V$2:$V$1001,0),0), INDEX($AC$1004:$AS$1004,1,MATCH(COLUMNS($AC$1006:AL1006),$AC$1006:$AS$1006,0)))),"Fix")))</f>
        <v>0</v>
      </c>
      <c r="L641" s="5">
        <f>IF(OR(INDEX($W$2:$W$1001,MATCH(ROWS($V$2:V641),$V$2:$V$1001,0),1)&gt;=100000,INDEX($AC$1005:$AS$1005,1,MATCH(COLUMNS($AC$1006:AM1006),$AC$1006:$AS$1006,0))&gt;=100000), " ",IF(INDEX($AC$2:$AS$1001,MATCH(ROWS($V$2:V641),$V$2:$V$1001,0),MATCH(COLUMNS($AC$1006:AM1006),$AC$1006:$AS$1006,0)), HYPERLINK("#",""), HYPERLINK(CONCATENATE("#Metadata!", ADDRESS(INDEX($X$2:$X$1001,MATCH(ROWS($V$2:V641),$V$2:$V$1001,0),0), INDEX($AC$1004:$AS$1004,1,MATCH(COLUMNS($AC$1006:AM1006),$AC$1006:$AS$1006,0)))),"Fix")))</f>
        <v>0</v>
      </c>
      <c r="M641" s="5">
        <f>IF(OR(INDEX($W$2:$W$1001,MATCH(ROWS($V$2:V641),$V$2:$V$1001,0),1)&gt;=100000,INDEX($AC$1005:$AS$1005,1,MATCH(COLUMNS($AC$1006:AN1006),$AC$1006:$AS$1006,0))&gt;=100000), " ",IF(INDEX($AC$2:$AS$1001,MATCH(ROWS($V$2:V641),$V$2:$V$1001,0),MATCH(COLUMNS($AC$1006:AN1006),$AC$1006:$AS$1006,0)), HYPERLINK("#",""), HYPERLINK(CONCATENATE("#Metadata!", ADDRESS(INDEX($X$2:$X$1001,MATCH(ROWS($V$2:V641),$V$2:$V$1001,0),0), INDEX($AC$1004:$AS$1004,1,MATCH(COLUMNS($AC$1006:AN1006),$AC$1006:$AS$1006,0)))),"Fix")))</f>
        <v>0</v>
      </c>
      <c r="N641" s="5">
        <f>IF(OR(INDEX($W$2:$W$1001,MATCH(ROWS($V$2:V641),$V$2:$V$1001,0),1)&gt;=100000,INDEX($AC$1005:$AS$1005,1,MATCH(COLUMNS($AC$1006:AO1006),$AC$1006:$AS$1006,0))&gt;=100000), " ",IF(INDEX($AC$2:$AS$1001,MATCH(ROWS($V$2:V641),$V$2:$V$1001,0),MATCH(COLUMNS($AC$1006:AO1006),$AC$1006:$AS$1006,0)), HYPERLINK("#",""), HYPERLINK(CONCATENATE("#Metadata!", ADDRESS(INDEX($X$2:$X$1001,MATCH(ROWS($V$2:V641),$V$2:$V$1001,0),0), INDEX($AC$1004:$AS$1004,1,MATCH(COLUMNS($AC$1006:AO1006),$AC$1006:$AS$1006,0)))),"Fix")))</f>
        <v>0</v>
      </c>
      <c r="O641" s="5">
        <f>IF(OR(INDEX($W$2:$W$1001,MATCH(ROWS($V$2:V641),$V$2:$V$1001,0),1)&gt;=100000,INDEX($AC$1005:$AS$1005,1,MATCH(COLUMNS($AC$1006:AP1006),$AC$1006:$AS$1006,0))&gt;=100000), " ",IF(INDEX($AC$2:$AS$1001,MATCH(ROWS($V$2:V641),$V$2:$V$1001,0),MATCH(COLUMNS($AC$1006:AP1006),$AC$1006:$AS$1006,0)), HYPERLINK("#",""), HYPERLINK(CONCATENATE("#Metadata!", ADDRESS(INDEX($X$2:$X$1001,MATCH(ROWS($V$2:V641),$V$2:$V$1001,0),0), INDEX($AC$1004:$AS$1004,1,MATCH(COLUMNS($AC$1006:AP1006),$AC$1006:$AS$1006,0)))),"Fix")))</f>
        <v>0</v>
      </c>
      <c r="P641" s="5">
        <f>IF(OR(INDEX($W$2:$W$1001,MATCH(ROWS($V$2:V641),$V$2:$V$1001,0),1)&gt;=100000,INDEX($AC$1005:$AS$1005,1,MATCH(COLUMNS($AC$1006:AQ1006),$AC$1006:$AS$1006,0))&gt;=100000), " ",IF(INDEX($AC$2:$AS$1001,MATCH(ROWS($V$2:V641),$V$2:$V$1001,0),MATCH(COLUMNS($AC$1006:AQ1006),$AC$1006:$AS$1006,0)), HYPERLINK("#",""), HYPERLINK(CONCATENATE("#Metadata!", ADDRESS(INDEX($X$2:$X$1001,MATCH(ROWS($V$2:V641),$V$2:$V$1001,0),0), INDEX($AC$1004:$AS$1004,1,MATCH(COLUMNS($AC$1006:AQ1006),$AC$1006:$AS$1006,0)))),"Fix")))</f>
        <v>0</v>
      </c>
      <c r="Q641" s="5">
        <f>IF(OR(INDEX($W$2:$W$1001,MATCH(ROWS($V$2:V641),$V$2:$V$1001,0),1)&gt;=100000,INDEX($AC$1005:$AS$1005,1,MATCH(COLUMNS($AC$1006:AR1006),$AC$1006:$AS$1006,0))&gt;=100000), " ",IF(INDEX($AC$2:$AS$1001,MATCH(ROWS($V$2:V641),$V$2:$V$1001,0),MATCH(COLUMNS($AC$1006:AR1006),$AC$1006:$AS$1006,0)), HYPERLINK("#",""), HYPERLINK(CONCATENATE("#Metadata!", ADDRESS(INDEX($X$2:$X$1001,MATCH(ROWS($V$2:V641),$V$2:$V$1001,0),0), INDEX($AC$1004:$AS$1004,1,MATCH(COLUMNS($AC$1006:AR1006),$AC$1006:$AS$1006,0)))),"Fix")))</f>
        <v>0</v>
      </c>
      <c r="R641" s="5">
        <f>IF(OR(INDEX($W$2:$W$1001,MATCH(ROWS($V$2:V641),$V$2:$V$1001,0),1)&gt;=100000,INDEX($AC$1005:$AS$1005,1,MATCH(COLUMNS($AC$1006:AS1006),$AC$1006:$AS$1006,0))&gt;=100000), " ",IF(INDEX($AC$2:$AS$1001,MATCH(ROWS($V$2:V641),$V$2:$V$1001,0),MATCH(COLUMNS($AC$1006:AS1006),$AC$1006:$AS$1006,0)), HYPERLINK("#",""), HYPERLINK(CONCATENATE("#Metadata!", ADDRESS(INDEX($X$2:$X$1001,MATCH(ROWS($V$2:V641),$V$2:$V$1001,0),0), INDEX($AC$1004:$AS$1004,1,MATCH(COLUMNS($AC$1006:AS1006),$AC$1006:$AS$1006,0)))),"Fix")))</f>
        <v>0</v>
      </c>
      <c r="V641">
        <v>0</v>
      </c>
      <c r="W641">
        <v>0</v>
      </c>
      <c r="X641">
        <v>0</v>
      </c>
      <c r="Y641">
        <f>IF(Z641,TRUE,AND(AC641:AS641))</f>
        <v>0</v>
      </c>
      <c r="Z641">
        <f>COUNTBLANK(Metadata!B641:R641)=COLUMNS(Metadata!B641:R641)</f>
        <v>0</v>
      </c>
      <c r="AA641">
        <v>0</v>
      </c>
      <c r="AC641">
        <f>AND(IF(Metadata!B641="",FALSE,TRUE),COUNTIF(Metadata!B:B, Metadata!B641) = 1,NOT(ISERROR(SUMPRODUCT(SEARCH(MID(Metadata!B641,ROW(INDIRECT("1:"&amp;LEN(Metadata!B641))), 1),"0123456789abcdefghijklmnopqrstuvwxyzABCDEFGHIJKLMNOPQRSTUVWXYZ.")))))</f>
        <v>0</v>
      </c>
      <c r="AD641">
        <f>AND(IF(Metadata!C641="",FALSE,TRUE),exact(Metadata!C641,"Host-associated"))</f>
        <v>0</v>
      </c>
      <c r="AE641">
        <f>AND(IF(Metadata!D641="",FALSE,TRUE),OR(exact(Metadata!D641,"Animal"),exact(Metadata!D641,"Fungus"),exact(Metadata!D641,"Plant")))</f>
        <v>0</v>
      </c>
      <c r="AF641">
        <f>AND(IF(Metadata!E641="",FALSE,TRUE),OR(exact(Metadata!E641,"Plant secretion"),exact(Metadata!E641,"Plant rhizosphere"),exact(Metadata!E641,"Plant surface"),exact(Metadata!E641,"Plant corpus"),exact(Metadata!E641,"Fungus surface"),exact(Metadata!E641,"Fungus corpus"),exact(Metadata!E641,"Animal surface"),exact(Metadata!E641,"Animal proximal gut"),exact(Metadata!E641,"Animal corpus"),exact(Metadata!E641,"Animal distal gut"),exact(Metadata!E641,"Animal secretion")))</f>
        <v>0</v>
      </c>
      <c r="AG641">
        <f>OR(AND(IF(Metadata!F641="",FALSE,TRUE),OR(exact(Metadata!F641,"not collected"),exact(Metadata!F641,"not provided"),exact(Metadata!F641,"restricted access"))),AND(IF(Metadata!F641="",FALSE,TRUE),OR(exact(Metadata!F641,"organism-associated habitat"),exact(Metadata!F641,"plant-associated habitat"),exact(Metadata!F641,"animal-associated habitat"),exact(Metadata!F641,"insecta-associated habitat"),exact(Metadata!F641,"mammalia-associated habitat"),exact(Metadata!F641,"human-associated habitat"),exact(Metadata!F641,"livestock-associated habitat"))))</f>
        <v>0</v>
      </c>
      <c r="AH641">
        <f>AND(IF(Metadata!G641="",FALSE,TRUE),exact(Metadata!G641,"host-associated"))</f>
        <v>0</v>
      </c>
      <c r="AI641">
        <f>OR(AND(IF(Metadata!H641="",FALSE,TRUE),OR(exact(Metadata!H641,"not collected"),exact(Metadata!H641,"not provided"))),AND(IF(Metadata!H641="",FALSE,ISNUMBER(VALUE(Metadata!H641))),Metadata!H641&gt;0))</f>
        <v>0</v>
      </c>
      <c r="AJ641">
        <f>AND(IF(Metadata!I641="",FALSE,TRUE),exact(Metadata!I641,"years"))</f>
        <v>0</v>
      </c>
      <c r="AK641">
        <f>IF(Metadata!J641="",FALSE,TRUE)</f>
        <v>0</v>
      </c>
      <c r="AL641">
        <f>OR(AND(IF(Metadata!K641="",FALSE,TRUE),OR(exact(Metadata!K641,"not collected"),exact(Metadata!K641,"not provided"))),AND(IF(Metadata!K641="",FALSE,ISNUMBER(VALUE(Metadata!K641))),Metadata!K641&gt;0))</f>
        <v>0</v>
      </c>
      <c r="AM641">
        <f>AND(IF(Metadata!L641="",FALSE,TRUE),exact(Metadata!L641,"cm"))</f>
        <v>0</v>
      </c>
      <c r="AN641">
        <f>IF(Metadata!M641="",FALSE,TRUE)</f>
        <v>0</v>
      </c>
      <c r="AO641">
        <f>OR(AND(IF(Metadata!N641="",FALSE,TRUE),OR(exact(Metadata!N641,"not applicable"),exact(Metadata!N641,"not collected"),exact(Metadata!N641,"not provided"))),AND(IF(Metadata!N641="",FALSE,IF(ISERROR(INT(Metadata!N641)),FALSE,INT(Metadata!N641)=Metadata!N641)),Metadata!N641&gt;0))</f>
        <v>0</v>
      </c>
      <c r="AP641">
        <f>OR(AND(IF(Metadata!O641="",FALSE,TRUE),OR(exact(Metadata!O641,"not collected"),exact(Metadata!O641,"not provided"))),AND(IF(Metadata!O641="",FALSE,ISNUMBER(VALUE(Metadata!O641))),Metadata!O641&gt;0))</f>
        <v>0</v>
      </c>
      <c r="AQ641">
        <f>AND(IF(Metadata!P641="",FALSE,TRUE),exact(Metadata!P641,"kg"))</f>
        <v>0</v>
      </c>
      <c r="AR641">
        <f>OR(AND(IF(Metadata!Q641="",FALSE,TRUE),OR(exact(Metadata!Q641,"not applicable"),exact(Metadata!Q641,"not collected"),exact(Metadata!Q641,"not provided"),exact(Metadata!Q641,"restricted access"))),IF(Metadata!Q641="",FALSE,IF(ISERROR(INT(Metadata!Q641)),FALSE,INT(Metadata!Q641)=Metadata!Q641)))</f>
        <v>0</v>
      </c>
      <c r="AS641">
        <f>AND(IF(Metadata!R641="",FALSE,TRUE),exact(Metadata!R641,"Not applicable"))</f>
        <v>0</v>
      </c>
    </row>
    <row r="642" spans="1:45">
      <c r="A642" s="4">
        <f>IF(B642=" "," ",HYPERLINK(CONCATENATE("#metadata!",ADDRESS(INDEX($X$2:$X$1001,MATCH(ROWS($V$2:V642),$V$2:$V$1001,0),0),2)),INDEX($AA$2:$AA$1001,MATCH(ROWS($V$2:V642),$V$2:$V$1001,0),0)))</f>
        <v>0</v>
      </c>
      <c r="B642" s="5">
        <f>IF(OR(INDEX($W$2:$W$1001,MATCH(ROWS($V$2:V642),$V$2:$V$1001,0),1)&gt;=100000,INDEX($AC$1005:$AS$1005,1,MATCH(COLUMNS($AC$1006:AC1006),$AC$1006:$AS$1006,0))&gt;=100000), " ",IF(INDEX($AC$2:$AS$1001,MATCH(ROWS($V$2:V642),$V$2:$V$1001,0),MATCH(COLUMNS($AC$1006:AC1006),$AC$1006:$AS$1006,0)), HYPERLINK("#",""), HYPERLINK(CONCATENATE("#Metadata!", ADDRESS(INDEX($X$2:$X$1001,MATCH(ROWS($V$2:V642),$V$2:$V$1001,0),0), INDEX($AC$1004:$AS$1004,1,MATCH(COLUMNS($AC$1006:AC1006),$AC$1006:$AS$1006,0)))),"Fix")))</f>
        <v>0</v>
      </c>
      <c r="C642" s="5">
        <f>IF(OR(INDEX($W$2:$W$1001,MATCH(ROWS($V$2:V642),$V$2:$V$1001,0),1)&gt;=100000,INDEX($AC$1005:$AS$1005,1,MATCH(COLUMNS($AC$1006:AD1006),$AC$1006:$AS$1006,0))&gt;=100000), " ",IF(INDEX($AC$2:$AS$1001,MATCH(ROWS($V$2:V642),$V$2:$V$1001,0),MATCH(COLUMNS($AC$1006:AD1006),$AC$1006:$AS$1006,0)), HYPERLINK("#",""), HYPERLINK(CONCATENATE("#Metadata!", ADDRESS(INDEX($X$2:$X$1001,MATCH(ROWS($V$2:V642),$V$2:$V$1001,0),0), INDEX($AC$1004:$AS$1004,1,MATCH(COLUMNS($AC$1006:AD1006),$AC$1006:$AS$1006,0)))),"Fix")))</f>
        <v>0</v>
      </c>
      <c r="D642" s="5">
        <f>IF(OR(INDEX($W$2:$W$1001,MATCH(ROWS($V$2:V642),$V$2:$V$1001,0),1)&gt;=100000,INDEX($AC$1005:$AS$1005,1,MATCH(COLUMNS($AC$1006:AE1006),$AC$1006:$AS$1006,0))&gt;=100000), " ",IF(INDEX($AC$2:$AS$1001,MATCH(ROWS($V$2:V642),$V$2:$V$1001,0),MATCH(COLUMNS($AC$1006:AE1006),$AC$1006:$AS$1006,0)), HYPERLINK("#",""), HYPERLINK(CONCATENATE("#Metadata!", ADDRESS(INDEX($X$2:$X$1001,MATCH(ROWS($V$2:V642),$V$2:$V$1001,0),0), INDEX($AC$1004:$AS$1004,1,MATCH(COLUMNS($AC$1006:AE1006),$AC$1006:$AS$1006,0)))),"Fix")))</f>
        <v>0</v>
      </c>
      <c r="E642" s="5">
        <f>IF(OR(INDEX($W$2:$W$1001,MATCH(ROWS($V$2:V642),$V$2:$V$1001,0),1)&gt;=100000,INDEX($AC$1005:$AS$1005,1,MATCH(COLUMNS($AC$1006:AF1006),$AC$1006:$AS$1006,0))&gt;=100000), " ",IF(INDEX($AC$2:$AS$1001,MATCH(ROWS($V$2:V642),$V$2:$V$1001,0),MATCH(COLUMNS($AC$1006:AF1006),$AC$1006:$AS$1006,0)), HYPERLINK("#",""), HYPERLINK(CONCATENATE("#Metadata!", ADDRESS(INDEX($X$2:$X$1001,MATCH(ROWS($V$2:V642),$V$2:$V$1001,0),0), INDEX($AC$1004:$AS$1004,1,MATCH(COLUMNS($AC$1006:AF1006),$AC$1006:$AS$1006,0)))),"Fix")))</f>
        <v>0</v>
      </c>
      <c r="F642" s="5">
        <f>IF(OR(INDEX($W$2:$W$1001,MATCH(ROWS($V$2:V642),$V$2:$V$1001,0),1)&gt;=100000,INDEX($AC$1005:$AS$1005,1,MATCH(COLUMNS($AC$1006:AG1006),$AC$1006:$AS$1006,0))&gt;=100000), " ",IF(INDEX($AC$2:$AS$1001,MATCH(ROWS($V$2:V642),$V$2:$V$1001,0),MATCH(COLUMNS($AC$1006:AG1006),$AC$1006:$AS$1006,0)), HYPERLINK("#",""), HYPERLINK(CONCATENATE("#Metadata!", ADDRESS(INDEX($X$2:$X$1001,MATCH(ROWS($V$2:V642),$V$2:$V$1001,0),0), INDEX($AC$1004:$AS$1004,1,MATCH(COLUMNS($AC$1006:AG1006),$AC$1006:$AS$1006,0)))),"Fix")))</f>
        <v>0</v>
      </c>
      <c r="G642" s="5">
        <f>IF(OR(INDEX($W$2:$W$1001,MATCH(ROWS($V$2:V642),$V$2:$V$1001,0),1)&gt;=100000,INDEX($AC$1005:$AS$1005,1,MATCH(COLUMNS($AC$1006:AH1006),$AC$1006:$AS$1006,0))&gt;=100000), " ",IF(INDEX($AC$2:$AS$1001,MATCH(ROWS($V$2:V642),$V$2:$V$1001,0),MATCH(COLUMNS($AC$1006:AH1006),$AC$1006:$AS$1006,0)), HYPERLINK("#",""), HYPERLINK(CONCATENATE("#Metadata!", ADDRESS(INDEX($X$2:$X$1001,MATCH(ROWS($V$2:V642),$V$2:$V$1001,0),0), INDEX($AC$1004:$AS$1004,1,MATCH(COLUMNS($AC$1006:AH1006),$AC$1006:$AS$1006,0)))),"Fix")))</f>
        <v>0</v>
      </c>
      <c r="H642" s="5">
        <f>IF(OR(INDEX($W$2:$W$1001,MATCH(ROWS($V$2:V642),$V$2:$V$1001,0),1)&gt;=100000,INDEX($AC$1005:$AS$1005,1,MATCH(COLUMNS($AC$1006:AI1006),$AC$1006:$AS$1006,0))&gt;=100000), " ",IF(INDEX($AC$2:$AS$1001,MATCH(ROWS($V$2:V642),$V$2:$V$1001,0),MATCH(COLUMNS($AC$1006:AI1006),$AC$1006:$AS$1006,0)), HYPERLINK("#",""), HYPERLINK(CONCATENATE("#Metadata!", ADDRESS(INDEX($X$2:$X$1001,MATCH(ROWS($V$2:V642),$V$2:$V$1001,0),0), INDEX($AC$1004:$AS$1004,1,MATCH(COLUMNS($AC$1006:AI1006),$AC$1006:$AS$1006,0)))),"Fix")))</f>
        <v>0</v>
      </c>
      <c r="I642" s="5">
        <f>IF(OR(INDEX($W$2:$W$1001,MATCH(ROWS($V$2:V642),$V$2:$V$1001,0),1)&gt;=100000,INDEX($AC$1005:$AS$1005,1,MATCH(COLUMNS($AC$1006:AJ1006),$AC$1006:$AS$1006,0))&gt;=100000), " ",IF(INDEX($AC$2:$AS$1001,MATCH(ROWS($V$2:V642),$V$2:$V$1001,0),MATCH(COLUMNS($AC$1006:AJ1006),$AC$1006:$AS$1006,0)), HYPERLINK("#",""), HYPERLINK(CONCATENATE("#Metadata!", ADDRESS(INDEX($X$2:$X$1001,MATCH(ROWS($V$2:V642),$V$2:$V$1001,0),0), INDEX($AC$1004:$AS$1004,1,MATCH(COLUMNS($AC$1006:AJ1006),$AC$1006:$AS$1006,0)))),"Fix")))</f>
        <v>0</v>
      </c>
      <c r="J642" s="5">
        <f>IF(OR(INDEX($W$2:$W$1001,MATCH(ROWS($V$2:V642),$V$2:$V$1001,0),1)&gt;=100000,INDEX($AC$1005:$AS$1005,1,MATCH(COLUMNS($AC$1006:AK1006),$AC$1006:$AS$1006,0))&gt;=100000), " ",IF(INDEX($AC$2:$AS$1001,MATCH(ROWS($V$2:V642),$V$2:$V$1001,0),MATCH(COLUMNS($AC$1006:AK1006),$AC$1006:$AS$1006,0)), HYPERLINK("#",""), HYPERLINK(CONCATENATE("#Metadata!", ADDRESS(INDEX($X$2:$X$1001,MATCH(ROWS($V$2:V642),$V$2:$V$1001,0),0), INDEX($AC$1004:$AS$1004,1,MATCH(COLUMNS($AC$1006:AK1006),$AC$1006:$AS$1006,0)))),"Fix")))</f>
        <v>0</v>
      </c>
      <c r="K642" s="5">
        <f>IF(OR(INDEX($W$2:$W$1001,MATCH(ROWS($V$2:V642),$V$2:$V$1001,0),1)&gt;=100000,INDEX($AC$1005:$AS$1005,1,MATCH(COLUMNS($AC$1006:AL1006),$AC$1006:$AS$1006,0))&gt;=100000), " ",IF(INDEX($AC$2:$AS$1001,MATCH(ROWS($V$2:V642),$V$2:$V$1001,0),MATCH(COLUMNS($AC$1006:AL1006),$AC$1006:$AS$1006,0)), HYPERLINK("#",""), HYPERLINK(CONCATENATE("#Metadata!", ADDRESS(INDEX($X$2:$X$1001,MATCH(ROWS($V$2:V642),$V$2:$V$1001,0),0), INDEX($AC$1004:$AS$1004,1,MATCH(COLUMNS($AC$1006:AL1006),$AC$1006:$AS$1006,0)))),"Fix")))</f>
        <v>0</v>
      </c>
      <c r="L642" s="5">
        <f>IF(OR(INDEX($W$2:$W$1001,MATCH(ROWS($V$2:V642),$V$2:$V$1001,0),1)&gt;=100000,INDEX($AC$1005:$AS$1005,1,MATCH(COLUMNS($AC$1006:AM1006),$AC$1006:$AS$1006,0))&gt;=100000), " ",IF(INDEX($AC$2:$AS$1001,MATCH(ROWS($V$2:V642),$V$2:$V$1001,0),MATCH(COLUMNS($AC$1006:AM1006),$AC$1006:$AS$1006,0)), HYPERLINK("#",""), HYPERLINK(CONCATENATE("#Metadata!", ADDRESS(INDEX($X$2:$X$1001,MATCH(ROWS($V$2:V642),$V$2:$V$1001,0),0), INDEX($AC$1004:$AS$1004,1,MATCH(COLUMNS($AC$1006:AM1006),$AC$1006:$AS$1006,0)))),"Fix")))</f>
        <v>0</v>
      </c>
      <c r="M642" s="5">
        <f>IF(OR(INDEX($W$2:$W$1001,MATCH(ROWS($V$2:V642),$V$2:$V$1001,0),1)&gt;=100000,INDEX($AC$1005:$AS$1005,1,MATCH(COLUMNS($AC$1006:AN1006),$AC$1006:$AS$1006,0))&gt;=100000), " ",IF(INDEX($AC$2:$AS$1001,MATCH(ROWS($V$2:V642),$V$2:$V$1001,0),MATCH(COLUMNS($AC$1006:AN1006),$AC$1006:$AS$1006,0)), HYPERLINK("#",""), HYPERLINK(CONCATENATE("#Metadata!", ADDRESS(INDEX($X$2:$X$1001,MATCH(ROWS($V$2:V642),$V$2:$V$1001,0),0), INDEX($AC$1004:$AS$1004,1,MATCH(COLUMNS($AC$1006:AN1006),$AC$1006:$AS$1006,0)))),"Fix")))</f>
        <v>0</v>
      </c>
      <c r="N642" s="5">
        <f>IF(OR(INDEX($W$2:$W$1001,MATCH(ROWS($V$2:V642),$V$2:$V$1001,0),1)&gt;=100000,INDEX($AC$1005:$AS$1005,1,MATCH(COLUMNS($AC$1006:AO1006),$AC$1006:$AS$1006,0))&gt;=100000), " ",IF(INDEX($AC$2:$AS$1001,MATCH(ROWS($V$2:V642),$V$2:$V$1001,0),MATCH(COLUMNS($AC$1006:AO1006),$AC$1006:$AS$1006,0)), HYPERLINK("#",""), HYPERLINK(CONCATENATE("#Metadata!", ADDRESS(INDEX($X$2:$X$1001,MATCH(ROWS($V$2:V642),$V$2:$V$1001,0),0), INDEX($AC$1004:$AS$1004,1,MATCH(COLUMNS($AC$1006:AO1006),$AC$1006:$AS$1006,0)))),"Fix")))</f>
        <v>0</v>
      </c>
      <c r="O642" s="5">
        <f>IF(OR(INDEX($W$2:$W$1001,MATCH(ROWS($V$2:V642),$V$2:$V$1001,0),1)&gt;=100000,INDEX($AC$1005:$AS$1005,1,MATCH(COLUMNS($AC$1006:AP1006),$AC$1006:$AS$1006,0))&gt;=100000), " ",IF(INDEX($AC$2:$AS$1001,MATCH(ROWS($V$2:V642),$V$2:$V$1001,0),MATCH(COLUMNS($AC$1006:AP1006),$AC$1006:$AS$1006,0)), HYPERLINK("#",""), HYPERLINK(CONCATENATE("#Metadata!", ADDRESS(INDEX($X$2:$X$1001,MATCH(ROWS($V$2:V642),$V$2:$V$1001,0),0), INDEX($AC$1004:$AS$1004,1,MATCH(COLUMNS($AC$1006:AP1006),$AC$1006:$AS$1006,0)))),"Fix")))</f>
        <v>0</v>
      </c>
      <c r="P642" s="5">
        <f>IF(OR(INDEX($W$2:$W$1001,MATCH(ROWS($V$2:V642),$V$2:$V$1001,0),1)&gt;=100000,INDEX($AC$1005:$AS$1005,1,MATCH(COLUMNS($AC$1006:AQ1006),$AC$1006:$AS$1006,0))&gt;=100000), " ",IF(INDEX($AC$2:$AS$1001,MATCH(ROWS($V$2:V642),$V$2:$V$1001,0),MATCH(COLUMNS($AC$1006:AQ1006),$AC$1006:$AS$1006,0)), HYPERLINK("#",""), HYPERLINK(CONCATENATE("#Metadata!", ADDRESS(INDEX($X$2:$X$1001,MATCH(ROWS($V$2:V642),$V$2:$V$1001,0),0), INDEX($AC$1004:$AS$1004,1,MATCH(COLUMNS($AC$1006:AQ1006),$AC$1006:$AS$1006,0)))),"Fix")))</f>
        <v>0</v>
      </c>
      <c r="Q642" s="5">
        <f>IF(OR(INDEX($W$2:$W$1001,MATCH(ROWS($V$2:V642),$V$2:$V$1001,0),1)&gt;=100000,INDEX($AC$1005:$AS$1005,1,MATCH(COLUMNS($AC$1006:AR1006),$AC$1006:$AS$1006,0))&gt;=100000), " ",IF(INDEX($AC$2:$AS$1001,MATCH(ROWS($V$2:V642),$V$2:$V$1001,0),MATCH(COLUMNS($AC$1006:AR1006),$AC$1006:$AS$1006,0)), HYPERLINK("#",""), HYPERLINK(CONCATENATE("#Metadata!", ADDRESS(INDEX($X$2:$X$1001,MATCH(ROWS($V$2:V642),$V$2:$V$1001,0),0), INDEX($AC$1004:$AS$1004,1,MATCH(COLUMNS($AC$1006:AR1006),$AC$1006:$AS$1006,0)))),"Fix")))</f>
        <v>0</v>
      </c>
      <c r="R642" s="5">
        <f>IF(OR(INDEX($W$2:$W$1001,MATCH(ROWS($V$2:V642),$V$2:$V$1001,0),1)&gt;=100000,INDEX($AC$1005:$AS$1005,1,MATCH(COLUMNS($AC$1006:AS1006),$AC$1006:$AS$1006,0))&gt;=100000), " ",IF(INDEX($AC$2:$AS$1001,MATCH(ROWS($V$2:V642),$V$2:$V$1001,0),MATCH(COLUMNS($AC$1006:AS1006),$AC$1006:$AS$1006,0)), HYPERLINK("#",""), HYPERLINK(CONCATENATE("#Metadata!", ADDRESS(INDEX($X$2:$X$1001,MATCH(ROWS($V$2:V642),$V$2:$V$1001,0),0), INDEX($AC$1004:$AS$1004,1,MATCH(COLUMNS($AC$1006:AS1006),$AC$1006:$AS$1006,0)))),"Fix")))</f>
        <v>0</v>
      </c>
      <c r="V642">
        <v>0</v>
      </c>
      <c r="W642">
        <v>0</v>
      </c>
      <c r="X642">
        <v>0</v>
      </c>
      <c r="Y642">
        <f>IF(Z642,TRUE,AND(AC642:AS642))</f>
        <v>0</v>
      </c>
      <c r="Z642">
        <f>COUNTBLANK(Metadata!B642:R642)=COLUMNS(Metadata!B642:R642)</f>
        <v>0</v>
      </c>
      <c r="AA642">
        <v>0</v>
      </c>
      <c r="AC642">
        <f>AND(IF(Metadata!B642="",FALSE,TRUE),COUNTIF(Metadata!B:B, Metadata!B642) = 1,NOT(ISERROR(SUMPRODUCT(SEARCH(MID(Metadata!B642,ROW(INDIRECT("1:"&amp;LEN(Metadata!B642))), 1),"0123456789abcdefghijklmnopqrstuvwxyzABCDEFGHIJKLMNOPQRSTUVWXYZ.")))))</f>
        <v>0</v>
      </c>
      <c r="AD642">
        <f>AND(IF(Metadata!C642="",FALSE,TRUE),exact(Metadata!C642,"Host-associated"))</f>
        <v>0</v>
      </c>
      <c r="AE642">
        <f>AND(IF(Metadata!D642="",FALSE,TRUE),OR(exact(Metadata!D642,"Animal"),exact(Metadata!D642,"Fungus"),exact(Metadata!D642,"Plant")))</f>
        <v>0</v>
      </c>
      <c r="AF642">
        <f>AND(IF(Metadata!E642="",FALSE,TRUE),OR(exact(Metadata!E642,"Plant secretion"),exact(Metadata!E642,"Plant rhizosphere"),exact(Metadata!E642,"Plant surface"),exact(Metadata!E642,"Plant corpus"),exact(Metadata!E642,"Fungus surface"),exact(Metadata!E642,"Fungus corpus"),exact(Metadata!E642,"Animal surface"),exact(Metadata!E642,"Animal proximal gut"),exact(Metadata!E642,"Animal corpus"),exact(Metadata!E642,"Animal distal gut"),exact(Metadata!E642,"Animal secretion")))</f>
        <v>0</v>
      </c>
      <c r="AG642">
        <f>OR(AND(IF(Metadata!F642="",FALSE,TRUE),OR(exact(Metadata!F642,"not collected"),exact(Metadata!F642,"not provided"),exact(Metadata!F642,"restricted access"))),AND(IF(Metadata!F642="",FALSE,TRUE),OR(exact(Metadata!F642,"organism-associated habitat"),exact(Metadata!F642,"plant-associated habitat"),exact(Metadata!F642,"animal-associated habitat"),exact(Metadata!F642,"insecta-associated habitat"),exact(Metadata!F642,"mammalia-associated habitat"),exact(Metadata!F642,"human-associated habitat"),exact(Metadata!F642,"livestock-associated habitat"))))</f>
        <v>0</v>
      </c>
      <c r="AH642">
        <f>AND(IF(Metadata!G642="",FALSE,TRUE),exact(Metadata!G642,"host-associated"))</f>
        <v>0</v>
      </c>
      <c r="AI642">
        <f>OR(AND(IF(Metadata!H642="",FALSE,TRUE),OR(exact(Metadata!H642,"not collected"),exact(Metadata!H642,"not provided"))),AND(IF(Metadata!H642="",FALSE,ISNUMBER(VALUE(Metadata!H642))),Metadata!H642&gt;0))</f>
        <v>0</v>
      </c>
      <c r="AJ642">
        <f>AND(IF(Metadata!I642="",FALSE,TRUE),exact(Metadata!I642,"years"))</f>
        <v>0</v>
      </c>
      <c r="AK642">
        <f>IF(Metadata!J642="",FALSE,TRUE)</f>
        <v>0</v>
      </c>
      <c r="AL642">
        <f>OR(AND(IF(Metadata!K642="",FALSE,TRUE),OR(exact(Metadata!K642,"not collected"),exact(Metadata!K642,"not provided"))),AND(IF(Metadata!K642="",FALSE,ISNUMBER(VALUE(Metadata!K642))),Metadata!K642&gt;0))</f>
        <v>0</v>
      </c>
      <c r="AM642">
        <f>AND(IF(Metadata!L642="",FALSE,TRUE),exact(Metadata!L642,"cm"))</f>
        <v>0</v>
      </c>
      <c r="AN642">
        <f>IF(Metadata!M642="",FALSE,TRUE)</f>
        <v>0</v>
      </c>
      <c r="AO642">
        <f>OR(AND(IF(Metadata!N642="",FALSE,TRUE),OR(exact(Metadata!N642,"not applicable"),exact(Metadata!N642,"not collected"),exact(Metadata!N642,"not provided"))),AND(IF(Metadata!N642="",FALSE,IF(ISERROR(INT(Metadata!N642)),FALSE,INT(Metadata!N642)=Metadata!N642)),Metadata!N642&gt;0))</f>
        <v>0</v>
      </c>
      <c r="AP642">
        <f>OR(AND(IF(Metadata!O642="",FALSE,TRUE),OR(exact(Metadata!O642,"not collected"),exact(Metadata!O642,"not provided"))),AND(IF(Metadata!O642="",FALSE,ISNUMBER(VALUE(Metadata!O642))),Metadata!O642&gt;0))</f>
        <v>0</v>
      </c>
      <c r="AQ642">
        <f>AND(IF(Metadata!P642="",FALSE,TRUE),exact(Metadata!P642,"kg"))</f>
        <v>0</v>
      </c>
      <c r="AR642">
        <f>OR(AND(IF(Metadata!Q642="",FALSE,TRUE),OR(exact(Metadata!Q642,"not applicable"),exact(Metadata!Q642,"not collected"),exact(Metadata!Q642,"not provided"),exact(Metadata!Q642,"restricted access"))),IF(Metadata!Q642="",FALSE,IF(ISERROR(INT(Metadata!Q642)),FALSE,INT(Metadata!Q642)=Metadata!Q642)))</f>
        <v>0</v>
      </c>
      <c r="AS642">
        <f>AND(IF(Metadata!R642="",FALSE,TRUE),exact(Metadata!R642,"Not applicable"))</f>
        <v>0</v>
      </c>
    </row>
    <row r="643" spans="1:45">
      <c r="A643" s="4">
        <f>IF(B643=" "," ",HYPERLINK(CONCATENATE("#metadata!",ADDRESS(INDEX($X$2:$X$1001,MATCH(ROWS($V$2:V643),$V$2:$V$1001,0),0),2)),INDEX($AA$2:$AA$1001,MATCH(ROWS($V$2:V643),$V$2:$V$1001,0),0)))</f>
        <v>0</v>
      </c>
      <c r="B643" s="5">
        <f>IF(OR(INDEX($W$2:$W$1001,MATCH(ROWS($V$2:V643),$V$2:$V$1001,0),1)&gt;=100000,INDEX($AC$1005:$AS$1005,1,MATCH(COLUMNS($AC$1006:AC1006),$AC$1006:$AS$1006,0))&gt;=100000), " ",IF(INDEX($AC$2:$AS$1001,MATCH(ROWS($V$2:V643),$V$2:$V$1001,0),MATCH(COLUMNS($AC$1006:AC1006),$AC$1006:$AS$1006,0)), HYPERLINK("#",""), HYPERLINK(CONCATENATE("#Metadata!", ADDRESS(INDEX($X$2:$X$1001,MATCH(ROWS($V$2:V643),$V$2:$V$1001,0),0), INDEX($AC$1004:$AS$1004,1,MATCH(COLUMNS($AC$1006:AC1006),$AC$1006:$AS$1006,0)))),"Fix")))</f>
        <v>0</v>
      </c>
      <c r="C643" s="5">
        <f>IF(OR(INDEX($W$2:$W$1001,MATCH(ROWS($V$2:V643),$V$2:$V$1001,0),1)&gt;=100000,INDEX($AC$1005:$AS$1005,1,MATCH(COLUMNS($AC$1006:AD1006),$AC$1006:$AS$1006,0))&gt;=100000), " ",IF(INDEX($AC$2:$AS$1001,MATCH(ROWS($V$2:V643),$V$2:$V$1001,0),MATCH(COLUMNS($AC$1006:AD1006),$AC$1006:$AS$1006,0)), HYPERLINK("#",""), HYPERLINK(CONCATENATE("#Metadata!", ADDRESS(INDEX($X$2:$X$1001,MATCH(ROWS($V$2:V643),$V$2:$V$1001,0),0), INDEX($AC$1004:$AS$1004,1,MATCH(COLUMNS($AC$1006:AD1006),$AC$1006:$AS$1006,0)))),"Fix")))</f>
        <v>0</v>
      </c>
      <c r="D643" s="5">
        <f>IF(OR(INDEX($W$2:$W$1001,MATCH(ROWS($V$2:V643),$V$2:$V$1001,0),1)&gt;=100000,INDEX($AC$1005:$AS$1005,1,MATCH(COLUMNS($AC$1006:AE1006),$AC$1006:$AS$1006,0))&gt;=100000), " ",IF(INDEX($AC$2:$AS$1001,MATCH(ROWS($V$2:V643),$V$2:$V$1001,0),MATCH(COLUMNS($AC$1006:AE1006),$AC$1006:$AS$1006,0)), HYPERLINK("#",""), HYPERLINK(CONCATENATE("#Metadata!", ADDRESS(INDEX($X$2:$X$1001,MATCH(ROWS($V$2:V643),$V$2:$V$1001,0),0), INDEX($AC$1004:$AS$1004,1,MATCH(COLUMNS($AC$1006:AE1006),$AC$1006:$AS$1006,0)))),"Fix")))</f>
        <v>0</v>
      </c>
      <c r="E643" s="5">
        <f>IF(OR(INDEX($W$2:$W$1001,MATCH(ROWS($V$2:V643),$V$2:$V$1001,0),1)&gt;=100000,INDEX($AC$1005:$AS$1005,1,MATCH(COLUMNS($AC$1006:AF1006),$AC$1006:$AS$1006,0))&gt;=100000), " ",IF(INDEX($AC$2:$AS$1001,MATCH(ROWS($V$2:V643),$V$2:$V$1001,0),MATCH(COLUMNS($AC$1006:AF1006),$AC$1006:$AS$1006,0)), HYPERLINK("#",""), HYPERLINK(CONCATENATE("#Metadata!", ADDRESS(INDEX($X$2:$X$1001,MATCH(ROWS($V$2:V643),$V$2:$V$1001,0),0), INDEX($AC$1004:$AS$1004,1,MATCH(COLUMNS($AC$1006:AF1006),$AC$1006:$AS$1006,0)))),"Fix")))</f>
        <v>0</v>
      </c>
      <c r="F643" s="5">
        <f>IF(OR(INDEX($W$2:$W$1001,MATCH(ROWS($V$2:V643),$V$2:$V$1001,0),1)&gt;=100000,INDEX($AC$1005:$AS$1005,1,MATCH(COLUMNS($AC$1006:AG1006),$AC$1006:$AS$1006,0))&gt;=100000), " ",IF(INDEX($AC$2:$AS$1001,MATCH(ROWS($V$2:V643),$V$2:$V$1001,0),MATCH(COLUMNS($AC$1006:AG1006),$AC$1006:$AS$1006,0)), HYPERLINK("#",""), HYPERLINK(CONCATENATE("#Metadata!", ADDRESS(INDEX($X$2:$X$1001,MATCH(ROWS($V$2:V643),$V$2:$V$1001,0),0), INDEX($AC$1004:$AS$1004,1,MATCH(COLUMNS($AC$1006:AG1006),$AC$1006:$AS$1006,0)))),"Fix")))</f>
        <v>0</v>
      </c>
      <c r="G643" s="5">
        <f>IF(OR(INDEX($W$2:$W$1001,MATCH(ROWS($V$2:V643),$V$2:$V$1001,0),1)&gt;=100000,INDEX($AC$1005:$AS$1005,1,MATCH(COLUMNS($AC$1006:AH1006),$AC$1006:$AS$1006,0))&gt;=100000), " ",IF(INDEX($AC$2:$AS$1001,MATCH(ROWS($V$2:V643),$V$2:$V$1001,0),MATCH(COLUMNS($AC$1006:AH1006),$AC$1006:$AS$1006,0)), HYPERLINK("#",""), HYPERLINK(CONCATENATE("#Metadata!", ADDRESS(INDEX($X$2:$X$1001,MATCH(ROWS($V$2:V643),$V$2:$V$1001,0),0), INDEX($AC$1004:$AS$1004,1,MATCH(COLUMNS($AC$1006:AH1006),$AC$1006:$AS$1006,0)))),"Fix")))</f>
        <v>0</v>
      </c>
      <c r="H643" s="5">
        <f>IF(OR(INDEX($W$2:$W$1001,MATCH(ROWS($V$2:V643),$V$2:$V$1001,0),1)&gt;=100000,INDEX($AC$1005:$AS$1005,1,MATCH(COLUMNS($AC$1006:AI1006),$AC$1006:$AS$1006,0))&gt;=100000), " ",IF(INDEX($AC$2:$AS$1001,MATCH(ROWS($V$2:V643),$V$2:$V$1001,0),MATCH(COLUMNS($AC$1006:AI1006),$AC$1006:$AS$1006,0)), HYPERLINK("#",""), HYPERLINK(CONCATENATE("#Metadata!", ADDRESS(INDEX($X$2:$X$1001,MATCH(ROWS($V$2:V643),$V$2:$V$1001,0),0), INDEX($AC$1004:$AS$1004,1,MATCH(COLUMNS($AC$1006:AI1006),$AC$1006:$AS$1006,0)))),"Fix")))</f>
        <v>0</v>
      </c>
      <c r="I643" s="5">
        <f>IF(OR(INDEX($W$2:$W$1001,MATCH(ROWS($V$2:V643),$V$2:$V$1001,0),1)&gt;=100000,INDEX($AC$1005:$AS$1005,1,MATCH(COLUMNS($AC$1006:AJ1006),$AC$1006:$AS$1006,0))&gt;=100000), " ",IF(INDEX($AC$2:$AS$1001,MATCH(ROWS($V$2:V643),$V$2:$V$1001,0),MATCH(COLUMNS($AC$1006:AJ1006),$AC$1006:$AS$1006,0)), HYPERLINK("#",""), HYPERLINK(CONCATENATE("#Metadata!", ADDRESS(INDEX($X$2:$X$1001,MATCH(ROWS($V$2:V643),$V$2:$V$1001,0),0), INDEX($AC$1004:$AS$1004,1,MATCH(COLUMNS($AC$1006:AJ1006),$AC$1006:$AS$1006,0)))),"Fix")))</f>
        <v>0</v>
      </c>
      <c r="J643" s="5">
        <f>IF(OR(INDEX($W$2:$W$1001,MATCH(ROWS($V$2:V643),$V$2:$V$1001,0),1)&gt;=100000,INDEX($AC$1005:$AS$1005,1,MATCH(COLUMNS($AC$1006:AK1006),$AC$1006:$AS$1006,0))&gt;=100000), " ",IF(INDEX($AC$2:$AS$1001,MATCH(ROWS($V$2:V643),$V$2:$V$1001,0),MATCH(COLUMNS($AC$1006:AK1006),$AC$1006:$AS$1006,0)), HYPERLINK("#",""), HYPERLINK(CONCATENATE("#Metadata!", ADDRESS(INDEX($X$2:$X$1001,MATCH(ROWS($V$2:V643),$V$2:$V$1001,0),0), INDEX($AC$1004:$AS$1004,1,MATCH(COLUMNS($AC$1006:AK1006),$AC$1006:$AS$1006,0)))),"Fix")))</f>
        <v>0</v>
      </c>
      <c r="K643" s="5">
        <f>IF(OR(INDEX($W$2:$W$1001,MATCH(ROWS($V$2:V643),$V$2:$V$1001,0),1)&gt;=100000,INDEX($AC$1005:$AS$1005,1,MATCH(COLUMNS($AC$1006:AL1006),$AC$1006:$AS$1006,0))&gt;=100000), " ",IF(INDEX($AC$2:$AS$1001,MATCH(ROWS($V$2:V643),$V$2:$V$1001,0),MATCH(COLUMNS($AC$1006:AL1006),$AC$1006:$AS$1006,0)), HYPERLINK("#",""), HYPERLINK(CONCATENATE("#Metadata!", ADDRESS(INDEX($X$2:$X$1001,MATCH(ROWS($V$2:V643),$V$2:$V$1001,0),0), INDEX($AC$1004:$AS$1004,1,MATCH(COLUMNS($AC$1006:AL1006),$AC$1006:$AS$1006,0)))),"Fix")))</f>
        <v>0</v>
      </c>
      <c r="L643" s="5">
        <f>IF(OR(INDEX($W$2:$W$1001,MATCH(ROWS($V$2:V643),$V$2:$V$1001,0),1)&gt;=100000,INDEX($AC$1005:$AS$1005,1,MATCH(COLUMNS($AC$1006:AM1006),$AC$1006:$AS$1006,0))&gt;=100000), " ",IF(INDEX($AC$2:$AS$1001,MATCH(ROWS($V$2:V643),$V$2:$V$1001,0),MATCH(COLUMNS($AC$1006:AM1006),$AC$1006:$AS$1006,0)), HYPERLINK("#",""), HYPERLINK(CONCATENATE("#Metadata!", ADDRESS(INDEX($X$2:$X$1001,MATCH(ROWS($V$2:V643),$V$2:$V$1001,0),0), INDEX($AC$1004:$AS$1004,1,MATCH(COLUMNS($AC$1006:AM1006),$AC$1006:$AS$1006,0)))),"Fix")))</f>
        <v>0</v>
      </c>
      <c r="M643" s="5">
        <f>IF(OR(INDEX($W$2:$W$1001,MATCH(ROWS($V$2:V643),$V$2:$V$1001,0),1)&gt;=100000,INDEX($AC$1005:$AS$1005,1,MATCH(COLUMNS($AC$1006:AN1006),$AC$1006:$AS$1006,0))&gt;=100000), " ",IF(INDEX($AC$2:$AS$1001,MATCH(ROWS($V$2:V643),$V$2:$V$1001,0),MATCH(COLUMNS($AC$1006:AN1006),$AC$1006:$AS$1006,0)), HYPERLINK("#",""), HYPERLINK(CONCATENATE("#Metadata!", ADDRESS(INDEX($X$2:$X$1001,MATCH(ROWS($V$2:V643),$V$2:$V$1001,0),0), INDEX($AC$1004:$AS$1004,1,MATCH(COLUMNS($AC$1006:AN1006),$AC$1006:$AS$1006,0)))),"Fix")))</f>
        <v>0</v>
      </c>
      <c r="N643" s="5">
        <f>IF(OR(INDEX($W$2:$W$1001,MATCH(ROWS($V$2:V643),$V$2:$V$1001,0),1)&gt;=100000,INDEX($AC$1005:$AS$1005,1,MATCH(COLUMNS($AC$1006:AO1006),$AC$1006:$AS$1006,0))&gt;=100000), " ",IF(INDEX($AC$2:$AS$1001,MATCH(ROWS($V$2:V643),$V$2:$V$1001,0),MATCH(COLUMNS($AC$1006:AO1006),$AC$1006:$AS$1006,0)), HYPERLINK("#",""), HYPERLINK(CONCATENATE("#Metadata!", ADDRESS(INDEX($X$2:$X$1001,MATCH(ROWS($V$2:V643),$V$2:$V$1001,0),0), INDEX($AC$1004:$AS$1004,1,MATCH(COLUMNS($AC$1006:AO1006),$AC$1006:$AS$1006,0)))),"Fix")))</f>
        <v>0</v>
      </c>
      <c r="O643" s="5">
        <f>IF(OR(INDEX($W$2:$W$1001,MATCH(ROWS($V$2:V643),$V$2:$V$1001,0),1)&gt;=100000,INDEX($AC$1005:$AS$1005,1,MATCH(COLUMNS($AC$1006:AP1006),$AC$1006:$AS$1006,0))&gt;=100000), " ",IF(INDEX($AC$2:$AS$1001,MATCH(ROWS($V$2:V643),$V$2:$V$1001,0),MATCH(COLUMNS($AC$1006:AP1006),$AC$1006:$AS$1006,0)), HYPERLINK("#",""), HYPERLINK(CONCATENATE("#Metadata!", ADDRESS(INDEX($X$2:$X$1001,MATCH(ROWS($V$2:V643),$V$2:$V$1001,0),0), INDEX($AC$1004:$AS$1004,1,MATCH(COLUMNS($AC$1006:AP1006),$AC$1006:$AS$1006,0)))),"Fix")))</f>
        <v>0</v>
      </c>
      <c r="P643" s="5">
        <f>IF(OR(INDEX($W$2:$W$1001,MATCH(ROWS($V$2:V643),$V$2:$V$1001,0),1)&gt;=100000,INDEX($AC$1005:$AS$1005,1,MATCH(COLUMNS($AC$1006:AQ1006),$AC$1006:$AS$1006,0))&gt;=100000), " ",IF(INDEX($AC$2:$AS$1001,MATCH(ROWS($V$2:V643),$V$2:$V$1001,0),MATCH(COLUMNS($AC$1006:AQ1006),$AC$1006:$AS$1006,0)), HYPERLINK("#",""), HYPERLINK(CONCATENATE("#Metadata!", ADDRESS(INDEX($X$2:$X$1001,MATCH(ROWS($V$2:V643),$V$2:$V$1001,0),0), INDEX($AC$1004:$AS$1004,1,MATCH(COLUMNS($AC$1006:AQ1006),$AC$1006:$AS$1006,0)))),"Fix")))</f>
        <v>0</v>
      </c>
      <c r="Q643" s="5">
        <f>IF(OR(INDEX($W$2:$W$1001,MATCH(ROWS($V$2:V643),$V$2:$V$1001,0),1)&gt;=100000,INDEX($AC$1005:$AS$1005,1,MATCH(COLUMNS($AC$1006:AR1006),$AC$1006:$AS$1006,0))&gt;=100000), " ",IF(INDEX($AC$2:$AS$1001,MATCH(ROWS($V$2:V643),$V$2:$V$1001,0),MATCH(COLUMNS($AC$1006:AR1006),$AC$1006:$AS$1006,0)), HYPERLINK("#",""), HYPERLINK(CONCATENATE("#Metadata!", ADDRESS(INDEX($X$2:$X$1001,MATCH(ROWS($V$2:V643),$V$2:$V$1001,0),0), INDEX($AC$1004:$AS$1004,1,MATCH(COLUMNS($AC$1006:AR1006),$AC$1006:$AS$1006,0)))),"Fix")))</f>
        <v>0</v>
      </c>
      <c r="R643" s="5">
        <f>IF(OR(INDEX($W$2:$W$1001,MATCH(ROWS($V$2:V643),$V$2:$V$1001,0),1)&gt;=100000,INDEX($AC$1005:$AS$1005,1,MATCH(COLUMNS($AC$1006:AS1006),$AC$1006:$AS$1006,0))&gt;=100000), " ",IF(INDEX($AC$2:$AS$1001,MATCH(ROWS($V$2:V643),$V$2:$V$1001,0),MATCH(COLUMNS($AC$1006:AS1006),$AC$1006:$AS$1006,0)), HYPERLINK("#",""), HYPERLINK(CONCATENATE("#Metadata!", ADDRESS(INDEX($X$2:$X$1001,MATCH(ROWS($V$2:V643),$V$2:$V$1001,0),0), INDEX($AC$1004:$AS$1004,1,MATCH(COLUMNS($AC$1006:AS1006),$AC$1006:$AS$1006,0)))),"Fix")))</f>
        <v>0</v>
      </c>
      <c r="V643">
        <v>0</v>
      </c>
      <c r="W643">
        <v>0</v>
      </c>
      <c r="X643">
        <v>0</v>
      </c>
      <c r="Y643">
        <f>IF(Z643,TRUE,AND(AC643:AS643))</f>
        <v>0</v>
      </c>
      <c r="Z643">
        <f>COUNTBLANK(Metadata!B643:R643)=COLUMNS(Metadata!B643:R643)</f>
        <v>0</v>
      </c>
      <c r="AA643">
        <v>0</v>
      </c>
      <c r="AC643">
        <f>AND(IF(Metadata!B643="",FALSE,TRUE),COUNTIF(Metadata!B:B, Metadata!B643) = 1,NOT(ISERROR(SUMPRODUCT(SEARCH(MID(Metadata!B643,ROW(INDIRECT("1:"&amp;LEN(Metadata!B643))), 1),"0123456789abcdefghijklmnopqrstuvwxyzABCDEFGHIJKLMNOPQRSTUVWXYZ.")))))</f>
        <v>0</v>
      </c>
      <c r="AD643">
        <f>AND(IF(Metadata!C643="",FALSE,TRUE),exact(Metadata!C643,"Host-associated"))</f>
        <v>0</v>
      </c>
      <c r="AE643">
        <f>AND(IF(Metadata!D643="",FALSE,TRUE),OR(exact(Metadata!D643,"Animal"),exact(Metadata!D643,"Fungus"),exact(Metadata!D643,"Plant")))</f>
        <v>0</v>
      </c>
      <c r="AF643">
        <f>AND(IF(Metadata!E643="",FALSE,TRUE),OR(exact(Metadata!E643,"Plant secretion"),exact(Metadata!E643,"Plant rhizosphere"),exact(Metadata!E643,"Plant surface"),exact(Metadata!E643,"Plant corpus"),exact(Metadata!E643,"Fungus surface"),exact(Metadata!E643,"Fungus corpus"),exact(Metadata!E643,"Animal surface"),exact(Metadata!E643,"Animal proximal gut"),exact(Metadata!E643,"Animal corpus"),exact(Metadata!E643,"Animal distal gut"),exact(Metadata!E643,"Animal secretion")))</f>
        <v>0</v>
      </c>
      <c r="AG643">
        <f>OR(AND(IF(Metadata!F643="",FALSE,TRUE),OR(exact(Metadata!F643,"not collected"),exact(Metadata!F643,"not provided"),exact(Metadata!F643,"restricted access"))),AND(IF(Metadata!F643="",FALSE,TRUE),OR(exact(Metadata!F643,"organism-associated habitat"),exact(Metadata!F643,"plant-associated habitat"),exact(Metadata!F643,"animal-associated habitat"),exact(Metadata!F643,"insecta-associated habitat"),exact(Metadata!F643,"mammalia-associated habitat"),exact(Metadata!F643,"human-associated habitat"),exact(Metadata!F643,"livestock-associated habitat"))))</f>
        <v>0</v>
      </c>
      <c r="AH643">
        <f>AND(IF(Metadata!G643="",FALSE,TRUE),exact(Metadata!G643,"host-associated"))</f>
        <v>0</v>
      </c>
      <c r="AI643">
        <f>OR(AND(IF(Metadata!H643="",FALSE,TRUE),OR(exact(Metadata!H643,"not collected"),exact(Metadata!H643,"not provided"))),AND(IF(Metadata!H643="",FALSE,ISNUMBER(VALUE(Metadata!H643))),Metadata!H643&gt;0))</f>
        <v>0</v>
      </c>
      <c r="AJ643">
        <f>AND(IF(Metadata!I643="",FALSE,TRUE),exact(Metadata!I643,"years"))</f>
        <v>0</v>
      </c>
      <c r="AK643">
        <f>IF(Metadata!J643="",FALSE,TRUE)</f>
        <v>0</v>
      </c>
      <c r="AL643">
        <f>OR(AND(IF(Metadata!K643="",FALSE,TRUE),OR(exact(Metadata!K643,"not collected"),exact(Metadata!K643,"not provided"))),AND(IF(Metadata!K643="",FALSE,ISNUMBER(VALUE(Metadata!K643))),Metadata!K643&gt;0))</f>
        <v>0</v>
      </c>
      <c r="AM643">
        <f>AND(IF(Metadata!L643="",FALSE,TRUE),exact(Metadata!L643,"cm"))</f>
        <v>0</v>
      </c>
      <c r="AN643">
        <f>IF(Metadata!M643="",FALSE,TRUE)</f>
        <v>0</v>
      </c>
      <c r="AO643">
        <f>OR(AND(IF(Metadata!N643="",FALSE,TRUE),OR(exact(Metadata!N643,"not applicable"),exact(Metadata!N643,"not collected"),exact(Metadata!N643,"not provided"))),AND(IF(Metadata!N643="",FALSE,IF(ISERROR(INT(Metadata!N643)),FALSE,INT(Metadata!N643)=Metadata!N643)),Metadata!N643&gt;0))</f>
        <v>0</v>
      </c>
      <c r="AP643">
        <f>OR(AND(IF(Metadata!O643="",FALSE,TRUE),OR(exact(Metadata!O643,"not collected"),exact(Metadata!O643,"not provided"))),AND(IF(Metadata!O643="",FALSE,ISNUMBER(VALUE(Metadata!O643))),Metadata!O643&gt;0))</f>
        <v>0</v>
      </c>
      <c r="AQ643">
        <f>AND(IF(Metadata!P643="",FALSE,TRUE),exact(Metadata!P643,"kg"))</f>
        <v>0</v>
      </c>
      <c r="AR643">
        <f>OR(AND(IF(Metadata!Q643="",FALSE,TRUE),OR(exact(Metadata!Q643,"not applicable"),exact(Metadata!Q643,"not collected"),exact(Metadata!Q643,"not provided"),exact(Metadata!Q643,"restricted access"))),IF(Metadata!Q643="",FALSE,IF(ISERROR(INT(Metadata!Q643)),FALSE,INT(Metadata!Q643)=Metadata!Q643)))</f>
        <v>0</v>
      </c>
      <c r="AS643">
        <f>AND(IF(Metadata!R643="",FALSE,TRUE),exact(Metadata!R643,"Not applicable"))</f>
        <v>0</v>
      </c>
    </row>
    <row r="644" spans="1:45">
      <c r="A644" s="4">
        <f>IF(B644=" "," ",HYPERLINK(CONCATENATE("#metadata!",ADDRESS(INDEX($X$2:$X$1001,MATCH(ROWS($V$2:V644),$V$2:$V$1001,0),0),2)),INDEX($AA$2:$AA$1001,MATCH(ROWS($V$2:V644),$V$2:$V$1001,0),0)))</f>
        <v>0</v>
      </c>
      <c r="B644" s="5">
        <f>IF(OR(INDEX($W$2:$W$1001,MATCH(ROWS($V$2:V644),$V$2:$V$1001,0),1)&gt;=100000,INDEX($AC$1005:$AS$1005,1,MATCH(COLUMNS($AC$1006:AC1006),$AC$1006:$AS$1006,0))&gt;=100000), " ",IF(INDEX($AC$2:$AS$1001,MATCH(ROWS($V$2:V644),$V$2:$V$1001,0),MATCH(COLUMNS($AC$1006:AC1006),$AC$1006:$AS$1006,0)), HYPERLINK("#",""), HYPERLINK(CONCATENATE("#Metadata!", ADDRESS(INDEX($X$2:$X$1001,MATCH(ROWS($V$2:V644),$V$2:$V$1001,0),0), INDEX($AC$1004:$AS$1004,1,MATCH(COLUMNS($AC$1006:AC1006),$AC$1006:$AS$1006,0)))),"Fix")))</f>
        <v>0</v>
      </c>
      <c r="C644" s="5">
        <f>IF(OR(INDEX($W$2:$W$1001,MATCH(ROWS($V$2:V644),$V$2:$V$1001,0),1)&gt;=100000,INDEX($AC$1005:$AS$1005,1,MATCH(COLUMNS($AC$1006:AD1006),$AC$1006:$AS$1006,0))&gt;=100000), " ",IF(INDEX($AC$2:$AS$1001,MATCH(ROWS($V$2:V644),$V$2:$V$1001,0),MATCH(COLUMNS($AC$1006:AD1006),$AC$1006:$AS$1006,0)), HYPERLINK("#",""), HYPERLINK(CONCATENATE("#Metadata!", ADDRESS(INDEX($X$2:$X$1001,MATCH(ROWS($V$2:V644),$V$2:$V$1001,0),0), INDEX($AC$1004:$AS$1004,1,MATCH(COLUMNS($AC$1006:AD1006),$AC$1006:$AS$1006,0)))),"Fix")))</f>
        <v>0</v>
      </c>
      <c r="D644" s="5">
        <f>IF(OR(INDEX($W$2:$W$1001,MATCH(ROWS($V$2:V644),$V$2:$V$1001,0),1)&gt;=100000,INDEX($AC$1005:$AS$1005,1,MATCH(COLUMNS($AC$1006:AE1006),$AC$1006:$AS$1006,0))&gt;=100000), " ",IF(INDEX($AC$2:$AS$1001,MATCH(ROWS($V$2:V644),$V$2:$V$1001,0),MATCH(COLUMNS($AC$1006:AE1006),$AC$1006:$AS$1006,0)), HYPERLINK("#",""), HYPERLINK(CONCATENATE("#Metadata!", ADDRESS(INDEX($X$2:$X$1001,MATCH(ROWS($V$2:V644),$V$2:$V$1001,0),0), INDEX($AC$1004:$AS$1004,1,MATCH(COLUMNS($AC$1006:AE1006),$AC$1006:$AS$1006,0)))),"Fix")))</f>
        <v>0</v>
      </c>
      <c r="E644" s="5">
        <f>IF(OR(INDEX($W$2:$W$1001,MATCH(ROWS($V$2:V644),$V$2:$V$1001,0),1)&gt;=100000,INDEX($AC$1005:$AS$1005,1,MATCH(COLUMNS($AC$1006:AF1006),$AC$1006:$AS$1006,0))&gt;=100000), " ",IF(INDEX($AC$2:$AS$1001,MATCH(ROWS($V$2:V644),$V$2:$V$1001,0),MATCH(COLUMNS($AC$1006:AF1006),$AC$1006:$AS$1006,0)), HYPERLINK("#",""), HYPERLINK(CONCATENATE("#Metadata!", ADDRESS(INDEX($X$2:$X$1001,MATCH(ROWS($V$2:V644),$V$2:$V$1001,0),0), INDEX($AC$1004:$AS$1004,1,MATCH(COLUMNS($AC$1006:AF1006),$AC$1006:$AS$1006,0)))),"Fix")))</f>
        <v>0</v>
      </c>
      <c r="F644" s="5">
        <f>IF(OR(INDEX($W$2:$W$1001,MATCH(ROWS($V$2:V644),$V$2:$V$1001,0),1)&gt;=100000,INDEX($AC$1005:$AS$1005,1,MATCH(COLUMNS($AC$1006:AG1006),$AC$1006:$AS$1006,0))&gt;=100000), " ",IF(INDEX($AC$2:$AS$1001,MATCH(ROWS($V$2:V644),$V$2:$V$1001,0),MATCH(COLUMNS($AC$1006:AG1006),$AC$1006:$AS$1006,0)), HYPERLINK("#",""), HYPERLINK(CONCATENATE("#Metadata!", ADDRESS(INDEX($X$2:$X$1001,MATCH(ROWS($V$2:V644),$V$2:$V$1001,0),0), INDEX($AC$1004:$AS$1004,1,MATCH(COLUMNS($AC$1006:AG1006),$AC$1006:$AS$1006,0)))),"Fix")))</f>
        <v>0</v>
      </c>
      <c r="G644" s="5">
        <f>IF(OR(INDEX($W$2:$W$1001,MATCH(ROWS($V$2:V644),$V$2:$V$1001,0),1)&gt;=100000,INDEX($AC$1005:$AS$1005,1,MATCH(COLUMNS($AC$1006:AH1006),$AC$1006:$AS$1006,0))&gt;=100000), " ",IF(INDEX($AC$2:$AS$1001,MATCH(ROWS($V$2:V644),$V$2:$V$1001,0),MATCH(COLUMNS($AC$1006:AH1006),$AC$1006:$AS$1006,0)), HYPERLINK("#",""), HYPERLINK(CONCATENATE("#Metadata!", ADDRESS(INDEX($X$2:$X$1001,MATCH(ROWS($V$2:V644),$V$2:$V$1001,0),0), INDEX($AC$1004:$AS$1004,1,MATCH(COLUMNS($AC$1006:AH1006),$AC$1006:$AS$1006,0)))),"Fix")))</f>
        <v>0</v>
      </c>
      <c r="H644" s="5">
        <f>IF(OR(INDEX($W$2:$W$1001,MATCH(ROWS($V$2:V644),$V$2:$V$1001,0),1)&gt;=100000,INDEX($AC$1005:$AS$1005,1,MATCH(COLUMNS($AC$1006:AI1006),$AC$1006:$AS$1006,0))&gt;=100000), " ",IF(INDEX($AC$2:$AS$1001,MATCH(ROWS($V$2:V644),$V$2:$V$1001,0),MATCH(COLUMNS($AC$1006:AI1006),$AC$1006:$AS$1006,0)), HYPERLINK("#",""), HYPERLINK(CONCATENATE("#Metadata!", ADDRESS(INDEX($X$2:$X$1001,MATCH(ROWS($V$2:V644),$V$2:$V$1001,0),0), INDEX($AC$1004:$AS$1004,1,MATCH(COLUMNS($AC$1006:AI1006),$AC$1006:$AS$1006,0)))),"Fix")))</f>
        <v>0</v>
      </c>
      <c r="I644" s="5">
        <f>IF(OR(INDEX($W$2:$W$1001,MATCH(ROWS($V$2:V644),$V$2:$V$1001,0),1)&gt;=100000,INDEX($AC$1005:$AS$1005,1,MATCH(COLUMNS($AC$1006:AJ1006),$AC$1006:$AS$1006,0))&gt;=100000), " ",IF(INDEX($AC$2:$AS$1001,MATCH(ROWS($V$2:V644),$V$2:$V$1001,0),MATCH(COLUMNS($AC$1006:AJ1006),$AC$1006:$AS$1006,0)), HYPERLINK("#",""), HYPERLINK(CONCATENATE("#Metadata!", ADDRESS(INDEX($X$2:$X$1001,MATCH(ROWS($V$2:V644),$V$2:$V$1001,0),0), INDEX($AC$1004:$AS$1004,1,MATCH(COLUMNS($AC$1006:AJ1006),$AC$1006:$AS$1006,0)))),"Fix")))</f>
        <v>0</v>
      </c>
      <c r="J644" s="5">
        <f>IF(OR(INDEX($W$2:$W$1001,MATCH(ROWS($V$2:V644),$V$2:$V$1001,0),1)&gt;=100000,INDEX($AC$1005:$AS$1005,1,MATCH(COLUMNS($AC$1006:AK1006),$AC$1006:$AS$1006,0))&gt;=100000), " ",IF(INDEX($AC$2:$AS$1001,MATCH(ROWS($V$2:V644),$V$2:$V$1001,0),MATCH(COLUMNS($AC$1006:AK1006),$AC$1006:$AS$1006,0)), HYPERLINK("#",""), HYPERLINK(CONCATENATE("#Metadata!", ADDRESS(INDEX($X$2:$X$1001,MATCH(ROWS($V$2:V644),$V$2:$V$1001,0),0), INDEX($AC$1004:$AS$1004,1,MATCH(COLUMNS($AC$1006:AK1006),$AC$1006:$AS$1006,0)))),"Fix")))</f>
        <v>0</v>
      </c>
      <c r="K644" s="5">
        <f>IF(OR(INDEX($W$2:$W$1001,MATCH(ROWS($V$2:V644),$V$2:$V$1001,0),1)&gt;=100000,INDEX($AC$1005:$AS$1005,1,MATCH(COLUMNS($AC$1006:AL1006),$AC$1006:$AS$1006,0))&gt;=100000), " ",IF(INDEX($AC$2:$AS$1001,MATCH(ROWS($V$2:V644),$V$2:$V$1001,0),MATCH(COLUMNS($AC$1006:AL1006),$AC$1006:$AS$1006,0)), HYPERLINK("#",""), HYPERLINK(CONCATENATE("#Metadata!", ADDRESS(INDEX($X$2:$X$1001,MATCH(ROWS($V$2:V644),$V$2:$V$1001,0),0), INDEX($AC$1004:$AS$1004,1,MATCH(COLUMNS($AC$1006:AL1006),$AC$1006:$AS$1006,0)))),"Fix")))</f>
        <v>0</v>
      </c>
      <c r="L644" s="5">
        <f>IF(OR(INDEX($W$2:$W$1001,MATCH(ROWS($V$2:V644),$V$2:$V$1001,0),1)&gt;=100000,INDEX($AC$1005:$AS$1005,1,MATCH(COLUMNS($AC$1006:AM1006),$AC$1006:$AS$1006,0))&gt;=100000), " ",IF(INDEX($AC$2:$AS$1001,MATCH(ROWS($V$2:V644),$V$2:$V$1001,0),MATCH(COLUMNS($AC$1006:AM1006),$AC$1006:$AS$1006,0)), HYPERLINK("#",""), HYPERLINK(CONCATENATE("#Metadata!", ADDRESS(INDEX($X$2:$X$1001,MATCH(ROWS($V$2:V644),$V$2:$V$1001,0),0), INDEX($AC$1004:$AS$1004,1,MATCH(COLUMNS($AC$1006:AM1006),$AC$1006:$AS$1006,0)))),"Fix")))</f>
        <v>0</v>
      </c>
      <c r="M644" s="5">
        <f>IF(OR(INDEX($W$2:$W$1001,MATCH(ROWS($V$2:V644),$V$2:$V$1001,0),1)&gt;=100000,INDEX($AC$1005:$AS$1005,1,MATCH(COLUMNS($AC$1006:AN1006),$AC$1006:$AS$1006,0))&gt;=100000), " ",IF(INDEX($AC$2:$AS$1001,MATCH(ROWS($V$2:V644),$V$2:$V$1001,0),MATCH(COLUMNS($AC$1006:AN1006),$AC$1006:$AS$1006,0)), HYPERLINK("#",""), HYPERLINK(CONCATENATE("#Metadata!", ADDRESS(INDEX($X$2:$X$1001,MATCH(ROWS($V$2:V644),$V$2:$V$1001,0),0), INDEX($AC$1004:$AS$1004,1,MATCH(COLUMNS($AC$1006:AN1006),$AC$1006:$AS$1006,0)))),"Fix")))</f>
        <v>0</v>
      </c>
      <c r="N644" s="5">
        <f>IF(OR(INDEX($W$2:$W$1001,MATCH(ROWS($V$2:V644),$V$2:$V$1001,0),1)&gt;=100000,INDEX($AC$1005:$AS$1005,1,MATCH(COLUMNS($AC$1006:AO1006),$AC$1006:$AS$1006,0))&gt;=100000), " ",IF(INDEX($AC$2:$AS$1001,MATCH(ROWS($V$2:V644),$V$2:$V$1001,0),MATCH(COLUMNS($AC$1006:AO1006),$AC$1006:$AS$1006,0)), HYPERLINK("#",""), HYPERLINK(CONCATENATE("#Metadata!", ADDRESS(INDEX($X$2:$X$1001,MATCH(ROWS($V$2:V644),$V$2:$V$1001,0),0), INDEX($AC$1004:$AS$1004,1,MATCH(COLUMNS($AC$1006:AO1006),$AC$1006:$AS$1006,0)))),"Fix")))</f>
        <v>0</v>
      </c>
      <c r="O644" s="5">
        <f>IF(OR(INDEX($W$2:$W$1001,MATCH(ROWS($V$2:V644),$V$2:$V$1001,0),1)&gt;=100000,INDEX($AC$1005:$AS$1005,1,MATCH(COLUMNS($AC$1006:AP1006),$AC$1006:$AS$1006,0))&gt;=100000), " ",IF(INDEX($AC$2:$AS$1001,MATCH(ROWS($V$2:V644),$V$2:$V$1001,0),MATCH(COLUMNS($AC$1006:AP1006),$AC$1006:$AS$1006,0)), HYPERLINK("#",""), HYPERLINK(CONCATENATE("#Metadata!", ADDRESS(INDEX($X$2:$X$1001,MATCH(ROWS($V$2:V644),$V$2:$V$1001,0),0), INDEX($AC$1004:$AS$1004,1,MATCH(COLUMNS($AC$1006:AP1006),$AC$1006:$AS$1006,0)))),"Fix")))</f>
        <v>0</v>
      </c>
      <c r="P644" s="5">
        <f>IF(OR(INDEX($W$2:$W$1001,MATCH(ROWS($V$2:V644),$V$2:$V$1001,0),1)&gt;=100000,INDEX($AC$1005:$AS$1005,1,MATCH(COLUMNS($AC$1006:AQ1006),$AC$1006:$AS$1006,0))&gt;=100000), " ",IF(INDEX($AC$2:$AS$1001,MATCH(ROWS($V$2:V644),$V$2:$V$1001,0),MATCH(COLUMNS($AC$1006:AQ1006),$AC$1006:$AS$1006,0)), HYPERLINK("#",""), HYPERLINK(CONCATENATE("#Metadata!", ADDRESS(INDEX($X$2:$X$1001,MATCH(ROWS($V$2:V644),$V$2:$V$1001,0),0), INDEX($AC$1004:$AS$1004,1,MATCH(COLUMNS($AC$1006:AQ1006),$AC$1006:$AS$1006,0)))),"Fix")))</f>
        <v>0</v>
      </c>
      <c r="Q644" s="5">
        <f>IF(OR(INDEX($W$2:$W$1001,MATCH(ROWS($V$2:V644),$V$2:$V$1001,0),1)&gt;=100000,INDEX($AC$1005:$AS$1005,1,MATCH(COLUMNS($AC$1006:AR1006),$AC$1006:$AS$1006,0))&gt;=100000), " ",IF(INDEX($AC$2:$AS$1001,MATCH(ROWS($V$2:V644),$V$2:$V$1001,0),MATCH(COLUMNS($AC$1006:AR1006),$AC$1006:$AS$1006,0)), HYPERLINK("#",""), HYPERLINK(CONCATENATE("#Metadata!", ADDRESS(INDEX($X$2:$X$1001,MATCH(ROWS($V$2:V644),$V$2:$V$1001,0),0), INDEX($AC$1004:$AS$1004,1,MATCH(COLUMNS($AC$1006:AR1006),$AC$1006:$AS$1006,0)))),"Fix")))</f>
        <v>0</v>
      </c>
      <c r="R644" s="5">
        <f>IF(OR(INDEX($W$2:$W$1001,MATCH(ROWS($V$2:V644),$V$2:$V$1001,0),1)&gt;=100000,INDEX($AC$1005:$AS$1005,1,MATCH(COLUMNS($AC$1006:AS1006),$AC$1006:$AS$1006,0))&gt;=100000), " ",IF(INDEX($AC$2:$AS$1001,MATCH(ROWS($V$2:V644),$V$2:$V$1001,0),MATCH(COLUMNS($AC$1006:AS1006),$AC$1006:$AS$1006,0)), HYPERLINK("#",""), HYPERLINK(CONCATENATE("#Metadata!", ADDRESS(INDEX($X$2:$X$1001,MATCH(ROWS($V$2:V644),$V$2:$V$1001,0),0), INDEX($AC$1004:$AS$1004,1,MATCH(COLUMNS($AC$1006:AS1006),$AC$1006:$AS$1006,0)))),"Fix")))</f>
        <v>0</v>
      </c>
      <c r="V644">
        <v>0</v>
      </c>
      <c r="W644">
        <v>0</v>
      </c>
      <c r="X644">
        <v>0</v>
      </c>
      <c r="Y644">
        <f>IF(Z644,TRUE,AND(AC644:AS644))</f>
        <v>0</v>
      </c>
      <c r="Z644">
        <f>COUNTBLANK(Metadata!B644:R644)=COLUMNS(Metadata!B644:R644)</f>
        <v>0</v>
      </c>
      <c r="AA644">
        <v>0</v>
      </c>
      <c r="AC644">
        <f>AND(IF(Metadata!B644="",FALSE,TRUE),COUNTIF(Metadata!B:B, Metadata!B644) = 1,NOT(ISERROR(SUMPRODUCT(SEARCH(MID(Metadata!B644,ROW(INDIRECT("1:"&amp;LEN(Metadata!B644))), 1),"0123456789abcdefghijklmnopqrstuvwxyzABCDEFGHIJKLMNOPQRSTUVWXYZ.")))))</f>
        <v>0</v>
      </c>
      <c r="AD644">
        <f>AND(IF(Metadata!C644="",FALSE,TRUE),exact(Metadata!C644,"Host-associated"))</f>
        <v>0</v>
      </c>
      <c r="AE644">
        <f>AND(IF(Metadata!D644="",FALSE,TRUE),OR(exact(Metadata!D644,"Animal"),exact(Metadata!D644,"Fungus"),exact(Metadata!D644,"Plant")))</f>
        <v>0</v>
      </c>
      <c r="AF644">
        <f>AND(IF(Metadata!E644="",FALSE,TRUE),OR(exact(Metadata!E644,"Plant secretion"),exact(Metadata!E644,"Plant rhizosphere"),exact(Metadata!E644,"Plant surface"),exact(Metadata!E644,"Plant corpus"),exact(Metadata!E644,"Fungus surface"),exact(Metadata!E644,"Fungus corpus"),exact(Metadata!E644,"Animal surface"),exact(Metadata!E644,"Animal proximal gut"),exact(Metadata!E644,"Animal corpus"),exact(Metadata!E644,"Animal distal gut"),exact(Metadata!E644,"Animal secretion")))</f>
        <v>0</v>
      </c>
      <c r="AG644">
        <f>OR(AND(IF(Metadata!F644="",FALSE,TRUE),OR(exact(Metadata!F644,"not collected"),exact(Metadata!F644,"not provided"),exact(Metadata!F644,"restricted access"))),AND(IF(Metadata!F644="",FALSE,TRUE),OR(exact(Metadata!F644,"organism-associated habitat"),exact(Metadata!F644,"plant-associated habitat"),exact(Metadata!F644,"animal-associated habitat"),exact(Metadata!F644,"insecta-associated habitat"),exact(Metadata!F644,"mammalia-associated habitat"),exact(Metadata!F644,"human-associated habitat"),exact(Metadata!F644,"livestock-associated habitat"))))</f>
        <v>0</v>
      </c>
      <c r="AH644">
        <f>AND(IF(Metadata!G644="",FALSE,TRUE),exact(Metadata!G644,"host-associated"))</f>
        <v>0</v>
      </c>
      <c r="AI644">
        <f>OR(AND(IF(Metadata!H644="",FALSE,TRUE),OR(exact(Metadata!H644,"not collected"),exact(Metadata!H644,"not provided"))),AND(IF(Metadata!H644="",FALSE,ISNUMBER(VALUE(Metadata!H644))),Metadata!H644&gt;0))</f>
        <v>0</v>
      </c>
      <c r="AJ644">
        <f>AND(IF(Metadata!I644="",FALSE,TRUE),exact(Metadata!I644,"years"))</f>
        <v>0</v>
      </c>
      <c r="AK644">
        <f>IF(Metadata!J644="",FALSE,TRUE)</f>
        <v>0</v>
      </c>
      <c r="AL644">
        <f>OR(AND(IF(Metadata!K644="",FALSE,TRUE),OR(exact(Metadata!K644,"not collected"),exact(Metadata!K644,"not provided"))),AND(IF(Metadata!K644="",FALSE,ISNUMBER(VALUE(Metadata!K644))),Metadata!K644&gt;0))</f>
        <v>0</v>
      </c>
      <c r="AM644">
        <f>AND(IF(Metadata!L644="",FALSE,TRUE),exact(Metadata!L644,"cm"))</f>
        <v>0</v>
      </c>
      <c r="AN644">
        <f>IF(Metadata!M644="",FALSE,TRUE)</f>
        <v>0</v>
      </c>
      <c r="AO644">
        <f>OR(AND(IF(Metadata!N644="",FALSE,TRUE),OR(exact(Metadata!N644,"not applicable"),exact(Metadata!N644,"not collected"),exact(Metadata!N644,"not provided"))),AND(IF(Metadata!N644="",FALSE,IF(ISERROR(INT(Metadata!N644)),FALSE,INT(Metadata!N644)=Metadata!N644)),Metadata!N644&gt;0))</f>
        <v>0</v>
      </c>
      <c r="AP644">
        <f>OR(AND(IF(Metadata!O644="",FALSE,TRUE),OR(exact(Metadata!O644,"not collected"),exact(Metadata!O644,"not provided"))),AND(IF(Metadata!O644="",FALSE,ISNUMBER(VALUE(Metadata!O644))),Metadata!O644&gt;0))</f>
        <v>0</v>
      </c>
      <c r="AQ644">
        <f>AND(IF(Metadata!P644="",FALSE,TRUE),exact(Metadata!P644,"kg"))</f>
        <v>0</v>
      </c>
      <c r="AR644">
        <f>OR(AND(IF(Metadata!Q644="",FALSE,TRUE),OR(exact(Metadata!Q644,"not applicable"),exact(Metadata!Q644,"not collected"),exact(Metadata!Q644,"not provided"),exact(Metadata!Q644,"restricted access"))),IF(Metadata!Q644="",FALSE,IF(ISERROR(INT(Metadata!Q644)),FALSE,INT(Metadata!Q644)=Metadata!Q644)))</f>
        <v>0</v>
      </c>
      <c r="AS644">
        <f>AND(IF(Metadata!R644="",FALSE,TRUE),exact(Metadata!R644,"Not applicable"))</f>
        <v>0</v>
      </c>
    </row>
    <row r="645" spans="1:45">
      <c r="A645" s="4">
        <f>IF(B645=" "," ",HYPERLINK(CONCATENATE("#metadata!",ADDRESS(INDEX($X$2:$X$1001,MATCH(ROWS($V$2:V645),$V$2:$V$1001,0),0),2)),INDEX($AA$2:$AA$1001,MATCH(ROWS($V$2:V645),$V$2:$V$1001,0),0)))</f>
        <v>0</v>
      </c>
      <c r="B645" s="5">
        <f>IF(OR(INDEX($W$2:$W$1001,MATCH(ROWS($V$2:V645),$V$2:$V$1001,0),1)&gt;=100000,INDEX($AC$1005:$AS$1005,1,MATCH(COLUMNS($AC$1006:AC1006),$AC$1006:$AS$1006,0))&gt;=100000), " ",IF(INDEX($AC$2:$AS$1001,MATCH(ROWS($V$2:V645),$V$2:$V$1001,0),MATCH(COLUMNS($AC$1006:AC1006),$AC$1006:$AS$1006,0)), HYPERLINK("#",""), HYPERLINK(CONCATENATE("#Metadata!", ADDRESS(INDEX($X$2:$X$1001,MATCH(ROWS($V$2:V645),$V$2:$V$1001,0),0), INDEX($AC$1004:$AS$1004,1,MATCH(COLUMNS($AC$1006:AC1006),$AC$1006:$AS$1006,0)))),"Fix")))</f>
        <v>0</v>
      </c>
      <c r="C645" s="5">
        <f>IF(OR(INDEX($W$2:$W$1001,MATCH(ROWS($V$2:V645),$V$2:$V$1001,0),1)&gt;=100000,INDEX($AC$1005:$AS$1005,1,MATCH(COLUMNS($AC$1006:AD1006),$AC$1006:$AS$1006,0))&gt;=100000), " ",IF(INDEX($AC$2:$AS$1001,MATCH(ROWS($V$2:V645),$V$2:$V$1001,0),MATCH(COLUMNS($AC$1006:AD1006),$AC$1006:$AS$1006,0)), HYPERLINK("#",""), HYPERLINK(CONCATENATE("#Metadata!", ADDRESS(INDEX($X$2:$X$1001,MATCH(ROWS($V$2:V645),$V$2:$V$1001,0),0), INDEX($AC$1004:$AS$1004,1,MATCH(COLUMNS($AC$1006:AD1006),$AC$1006:$AS$1006,0)))),"Fix")))</f>
        <v>0</v>
      </c>
      <c r="D645" s="5">
        <f>IF(OR(INDEX($W$2:$W$1001,MATCH(ROWS($V$2:V645),$V$2:$V$1001,0),1)&gt;=100000,INDEX($AC$1005:$AS$1005,1,MATCH(COLUMNS($AC$1006:AE1006),$AC$1006:$AS$1006,0))&gt;=100000), " ",IF(INDEX($AC$2:$AS$1001,MATCH(ROWS($V$2:V645),$V$2:$V$1001,0),MATCH(COLUMNS($AC$1006:AE1006),$AC$1006:$AS$1006,0)), HYPERLINK("#",""), HYPERLINK(CONCATENATE("#Metadata!", ADDRESS(INDEX($X$2:$X$1001,MATCH(ROWS($V$2:V645),$V$2:$V$1001,0),0), INDEX($AC$1004:$AS$1004,1,MATCH(COLUMNS($AC$1006:AE1006),$AC$1006:$AS$1006,0)))),"Fix")))</f>
        <v>0</v>
      </c>
      <c r="E645" s="5">
        <f>IF(OR(INDEX($W$2:$W$1001,MATCH(ROWS($V$2:V645),$V$2:$V$1001,0),1)&gt;=100000,INDEX($AC$1005:$AS$1005,1,MATCH(COLUMNS($AC$1006:AF1006),$AC$1006:$AS$1006,0))&gt;=100000), " ",IF(INDEX($AC$2:$AS$1001,MATCH(ROWS($V$2:V645),$V$2:$V$1001,0),MATCH(COLUMNS($AC$1006:AF1006),$AC$1006:$AS$1006,0)), HYPERLINK("#",""), HYPERLINK(CONCATENATE("#Metadata!", ADDRESS(INDEX($X$2:$X$1001,MATCH(ROWS($V$2:V645),$V$2:$V$1001,0),0), INDEX($AC$1004:$AS$1004,1,MATCH(COLUMNS($AC$1006:AF1006),$AC$1006:$AS$1006,0)))),"Fix")))</f>
        <v>0</v>
      </c>
      <c r="F645" s="5">
        <f>IF(OR(INDEX($W$2:$W$1001,MATCH(ROWS($V$2:V645),$V$2:$V$1001,0),1)&gt;=100000,INDEX($AC$1005:$AS$1005,1,MATCH(COLUMNS($AC$1006:AG1006),$AC$1006:$AS$1006,0))&gt;=100000), " ",IF(INDEX($AC$2:$AS$1001,MATCH(ROWS($V$2:V645),$V$2:$V$1001,0),MATCH(COLUMNS($AC$1006:AG1006),$AC$1006:$AS$1006,0)), HYPERLINK("#",""), HYPERLINK(CONCATENATE("#Metadata!", ADDRESS(INDEX($X$2:$X$1001,MATCH(ROWS($V$2:V645),$V$2:$V$1001,0),0), INDEX($AC$1004:$AS$1004,1,MATCH(COLUMNS($AC$1006:AG1006),$AC$1006:$AS$1006,0)))),"Fix")))</f>
        <v>0</v>
      </c>
      <c r="G645" s="5">
        <f>IF(OR(INDEX($W$2:$W$1001,MATCH(ROWS($V$2:V645),$V$2:$V$1001,0),1)&gt;=100000,INDEX($AC$1005:$AS$1005,1,MATCH(COLUMNS($AC$1006:AH1006),$AC$1006:$AS$1006,0))&gt;=100000), " ",IF(INDEX($AC$2:$AS$1001,MATCH(ROWS($V$2:V645),$V$2:$V$1001,0),MATCH(COLUMNS($AC$1006:AH1006),$AC$1006:$AS$1006,0)), HYPERLINK("#",""), HYPERLINK(CONCATENATE("#Metadata!", ADDRESS(INDEX($X$2:$X$1001,MATCH(ROWS($V$2:V645),$V$2:$V$1001,0),0), INDEX($AC$1004:$AS$1004,1,MATCH(COLUMNS($AC$1006:AH1006),$AC$1006:$AS$1006,0)))),"Fix")))</f>
        <v>0</v>
      </c>
      <c r="H645" s="5">
        <f>IF(OR(INDEX($W$2:$W$1001,MATCH(ROWS($V$2:V645),$V$2:$V$1001,0),1)&gt;=100000,INDEX($AC$1005:$AS$1005,1,MATCH(COLUMNS($AC$1006:AI1006),$AC$1006:$AS$1006,0))&gt;=100000), " ",IF(INDEX($AC$2:$AS$1001,MATCH(ROWS($V$2:V645),$V$2:$V$1001,0),MATCH(COLUMNS($AC$1006:AI1006),$AC$1006:$AS$1006,0)), HYPERLINK("#",""), HYPERLINK(CONCATENATE("#Metadata!", ADDRESS(INDEX($X$2:$X$1001,MATCH(ROWS($V$2:V645),$V$2:$V$1001,0),0), INDEX($AC$1004:$AS$1004,1,MATCH(COLUMNS($AC$1006:AI1006),$AC$1006:$AS$1006,0)))),"Fix")))</f>
        <v>0</v>
      </c>
      <c r="I645" s="5">
        <f>IF(OR(INDEX($W$2:$W$1001,MATCH(ROWS($V$2:V645),$V$2:$V$1001,0),1)&gt;=100000,INDEX($AC$1005:$AS$1005,1,MATCH(COLUMNS($AC$1006:AJ1006),$AC$1006:$AS$1006,0))&gt;=100000), " ",IF(INDEX($AC$2:$AS$1001,MATCH(ROWS($V$2:V645),$V$2:$V$1001,0),MATCH(COLUMNS($AC$1006:AJ1006),$AC$1006:$AS$1006,0)), HYPERLINK("#",""), HYPERLINK(CONCATENATE("#Metadata!", ADDRESS(INDEX($X$2:$X$1001,MATCH(ROWS($V$2:V645),$V$2:$V$1001,0),0), INDEX($AC$1004:$AS$1004,1,MATCH(COLUMNS($AC$1006:AJ1006),$AC$1006:$AS$1006,0)))),"Fix")))</f>
        <v>0</v>
      </c>
      <c r="J645" s="5">
        <f>IF(OR(INDEX($W$2:$W$1001,MATCH(ROWS($V$2:V645),$V$2:$V$1001,0),1)&gt;=100000,INDEX($AC$1005:$AS$1005,1,MATCH(COLUMNS($AC$1006:AK1006),$AC$1006:$AS$1006,0))&gt;=100000), " ",IF(INDEX($AC$2:$AS$1001,MATCH(ROWS($V$2:V645),$V$2:$V$1001,0),MATCH(COLUMNS($AC$1006:AK1006),$AC$1006:$AS$1006,0)), HYPERLINK("#",""), HYPERLINK(CONCATENATE("#Metadata!", ADDRESS(INDEX($X$2:$X$1001,MATCH(ROWS($V$2:V645),$V$2:$V$1001,0),0), INDEX($AC$1004:$AS$1004,1,MATCH(COLUMNS($AC$1006:AK1006),$AC$1006:$AS$1006,0)))),"Fix")))</f>
        <v>0</v>
      </c>
      <c r="K645" s="5">
        <f>IF(OR(INDEX($W$2:$W$1001,MATCH(ROWS($V$2:V645),$V$2:$V$1001,0),1)&gt;=100000,INDEX($AC$1005:$AS$1005,1,MATCH(COLUMNS($AC$1006:AL1006),$AC$1006:$AS$1006,0))&gt;=100000), " ",IF(INDEX($AC$2:$AS$1001,MATCH(ROWS($V$2:V645),$V$2:$V$1001,0),MATCH(COLUMNS($AC$1006:AL1006),$AC$1006:$AS$1006,0)), HYPERLINK("#",""), HYPERLINK(CONCATENATE("#Metadata!", ADDRESS(INDEX($X$2:$X$1001,MATCH(ROWS($V$2:V645),$V$2:$V$1001,0),0), INDEX($AC$1004:$AS$1004,1,MATCH(COLUMNS($AC$1006:AL1006),$AC$1006:$AS$1006,0)))),"Fix")))</f>
        <v>0</v>
      </c>
      <c r="L645" s="5">
        <f>IF(OR(INDEX($W$2:$W$1001,MATCH(ROWS($V$2:V645),$V$2:$V$1001,0),1)&gt;=100000,INDEX($AC$1005:$AS$1005,1,MATCH(COLUMNS($AC$1006:AM1006),$AC$1006:$AS$1006,0))&gt;=100000), " ",IF(INDEX($AC$2:$AS$1001,MATCH(ROWS($V$2:V645),$V$2:$V$1001,0),MATCH(COLUMNS($AC$1006:AM1006),$AC$1006:$AS$1006,0)), HYPERLINK("#",""), HYPERLINK(CONCATENATE("#Metadata!", ADDRESS(INDEX($X$2:$X$1001,MATCH(ROWS($V$2:V645),$V$2:$V$1001,0),0), INDEX($AC$1004:$AS$1004,1,MATCH(COLUMNS($AC$1006:AM1006),$AC$1006:$AS$1006,0)))),"Fix")))</f>
        <v>0</v>
      </c>
      <c r="M645" s="5">
        <f>IF(OR(INDEX($W$2:$W$1001,MATCH(ROWS($V$2:V645),$V$2:$V$1001,0),1)&gt;=100000,INDEX($AC$1005:$AS$1005,1,MATCH(COLUMNS($AC$1006:AN1006),$AC$1006:$AS$1006,0))&gt;=100000), " ",IF(INDEX($AC$2:$AS$1001,MATCH(ROWS($V$2:V645),$V$2:$V$1001,0),MATCH(COLUMNS($AC$1006:AN1006),$AC$1006:$AS$1006,0)), HYPERLINK("#",""), HYPERLINK(CONCATENATE("#Metadata!", ADDRESS(INDEX($X$2:$X$1001,MATCH(ROWS($V$2:V645),$V$2:$V$1001,0),0), INDEX($AC$1004:$AS$1004,1,MATCH(COLUMNS($AC$1006:AN1006),$AC$1006:$AS$1006,0)))),"Fix")))</f>
        <v>0</v>
      </c>
      <c r="N645" s="5">
        <f>IF(OR(INDEX($W$2:$W$1001,MATCH(ROWS($V$2:V645),$V$2:$V$1001,0),1)&gt;=100000,INDEX($AC$1005:$AS$1005,1,MATCH(COLUMNS($AC$1006:AO1006),$AC$1006:$AS$1006,0))&gt;=100000), " ",IF(INDEX($AC$2:$AS$1001,MATCH(ROWS($V$2:V645),$V$2:$V$1001,0),MATCH(COLUMNS($AC$1006:AO1006),$AC$1006:$AS$1006,0)), HYPERLINK("#",""), HYPERLINK(CONCATENATE("#Metadata!", ADDRESS(INDEX($X$2:$X$1001,MATCH(ROWS($V$2:V645),$V$2:$V$1001,0),0), INDEX($AC$1004:$AS$1004,1,MATCH(COLUMNS($AC$1006:AO1006),$AC$1006:$AS$1006,0)))),"Fix")))</f>
        <v>0</v>
      </c>
      <c r="O645" s="5">
        <f>IF(OR(INDEX($W$2:$W$1001,MATCH(ROWS($V$2:V645),$V$2:$V$1001,0),1)&gt;=100000,INDEX($AC$1005:$AS$1005,1,MATCH(COLUMNS($AC$1006:AP1006),$AC$1006:$AS$1006,0))&gt;=100000), " ",IF(INDEX($AC$2:$AS$1001,MATCH(ROWS($V$2:V645),$V$2:$V$1001,0),MATCH(COLUMNS($AC$1006:AP1006),$AC$1006:$AS$1006,0)), HYPERLINK("#",""), HYPERLINK(CONCATENATE("#Metadata!", ADDRESS(INDEX($X$2:$X$1001,MATCH(ROWS($V$2:V645),$V$2:$V$1001,0),0), INDEX($AC$1004:$AS$1004,1,MATCH(COLUMNS($AC$1006:AP1006),$AC$1006:$AS$1006,0)))),"Fix")))</f>
        <v>0</v>
      </c>
      <c r="P645" s="5">
        <f>IF(OR(INDEX($W$2:$W$1001,MATCH(ROWS($V$2:V645),$V$2:$V$1001,0),1)&gt;=100000,INDEX($AC$1005:$AS$1005,1,MATCH(COLUMNS($AC$1006:AQ1006),$AC$1006:$AS$1006,0))&gt;=100000), " ",IF(INDEX($AC$2:$AS$1001,MATCH(ROWS($V$2:V645),$V$2:$V$1001,0),MATCH(COLUMNS($AC$1006:AQ1006),$AC$1006:$AS$1006,0)), HYPERLINK("#",""), HYPERLINK(CONCATENATE("#Metadata!", ADDRESS(INDEX($X$2:$X$1001,MATCH(ROWS($V$2:V645),$V$2:$V$1001,0),0), INDEX($AC$1004:$AS$1004,1,MATCH(COLUMNS($AC$1006:AQ1006),$AC$1006:$AS$1006,0)))),"Fix")))</f>
        <v>0</v>
      </c>
      <c r="Q645" s="5">
        <f>IF(OR(INDEX($W$2:$W$1001,MATCH(ROWS($V$2:V645),$V$2:$V$1001,0),1)&gt;=100000,INDEX($AC$1005:$AS$1005,1,MATCH(COLUMNS($AC$1006:AR1006),$AC$1006:$AS$1006,0))&gt;=100000), " ",IF(INDEX($AC$2:$AS$1001,MATCH(ROWS($V$2:V645),$V$2:$V$1001,0),MATCH(COLUMNS($AC$1006:AR1006),$AC$1006:$AS$1006,0)), HYPERLINK("#",""), HYPERLINK(CONCATENATE("#Metadata!", ADDRESS(INDEX($X$2:$X$1001,MATCH(ROWS($V$2:V645),$V$2:$V$1001,0),0), INDEX($AC$1004:$AS$1004,1,MATCH(COLUMNS($AC$1006:AR1006),$AC$1006:$AS$1006,0)))),"Fix")))</f>
        <v>0</v>
      </c>
      <c r="R645" s="5">
        <f>IF(OR(INDEX($W$2:$W$1001,MATCH(ROWS($V$2:V645),$V$2:$V$1001,0),1)&gt;=100000,INDEX($AC$1005:$AS$1005,1,MATCH(COLUMNS($AC$1006:AS1006),$AC$1006:$AS$1006,0))&gt;=100000), " ",IF(INDEX($AC$2:$AS$1001,MATCH(ROWS($V$2:V645),$V$2:$V$1001,0),MATCH(COLUMNS($AC$1006:AS1006),$AC$1006:$AS$1006,0)), HYPERLINK("#",""), HYPERLINK(CONCATENATE("#Metadata!", ADDRESS(INDEX($X$2:$X$1001,MATCH(ROWS($V$2:V645),$V$2:$V$1001,0),0), INDEX($AC$1004:$AS$1004,1,MATCH(COLUMNS($AC$1006:AS1006),$AC$1006:$AS$1006,0)))),"Fix")))</f>
        <v>0</v>
      </c>
      <c r="V645">
        <v>0</v>
      </c>
      <c r="W645">
        <v>0</v>
      </c>
      <c r="X645">
        <v>0</v>
      </c>
      <c r="Y645">
        <f>IF(Z645,TRUE,AND(AC645:AS645))</f>
        <v>0</v>
      </c>
      <c r="Z645">
        <f>COUNTBLANK(Metadata!B645:R645)=COLUMNS(Metadata!B645:R645)</f>
        <v>0</v>
      </c>
      <c r="AA645">
        <v>0</v>
      </c>
      <c r="AC645">
        <f>AND(IF(Metadata!B645="",FALSE,TRUE),COUNTIF(Metadata!B:B, Metadata!B645) = 1,NOT(ISERROR(SUMPRODUCT(SEARCH(MID(Metadata!B645,ROW(INDIRECT("1:"&amp;LEN(Metadata!B645))), 1),"0123456789abcdefghijklmnopqrstuvwxyzABCDEFGHIJKLMNOPQRSTUVWXYZ.")))))</f>
        <v>0</v>
      </c>
      <c r="AD645">
        <f>AND(IF(Metadata!C645="",FALSE,TRUE),exact(Metadata!C645,"Host-associated"))</f>
        <v>0</v>
      </c>
      <c r="AE645">
        <f>AND(IF(Metadata!D645="",FALSE,TRUE),OR(exact(Metadata!D645,"Animal"),exact(Metadata!D645,"Fungus"),exact(Metadata!D645,"Plant")))</f>
        <v>0</v>
      </c>
      <c r="AF645">
        <f>AND(IF(Metadata!E645="",FALSE,TRUE),OR(exact(Metadata!E645,"Plant secretion"),exact(Metadata!E645,"Plant rhizosphere"),exact(Metadata!E645,"Plant surface"),exact(Metadata!E645,"Plant corpus"),exact(Metadata!E645,"Fungus surface"),exact(Metadata!E645,"Fungus corpus"),exact(Metadata!E645,"Animal surface"),exact(Metadata!E645,"Animal proximal gut"),exact(Metadata!E645,"Animal corpus"),exact(Metadata!E645,"Animal distal gut"),exact(Metadata!E645,"Animal secretion")))</f>
        <v>0</v>
      </c>
      <c r="AG645">
        <f>OR(AND(IF(Metadata!F645="",FALSE,TRUE),OR(exact(Metadata!F645,"not collected"),exact(Metadata!F645,"not provided"),exact(Metadata!F645,"restricted access"))),AND(IF(Metadata!F645="",FALSE,TRUE),OR(exact(Metadata!F645,"organism-associated habitat"),exact(Metadata!F645,"plant-associated habitat"),exact(Metadata!F645,"animal-associated habitat"),exact(Metadata!F645,"insecta-associated habitat"),exact(Metadata!F645,"mammalia-associated habitat"),exact(Metadata!F645,"human-associated habitat"),exact(Metadata!F645,"livestock-associated habitat"))))</f>
        <v>0</v>
      </c>
      <c r="AH645">
        <f>AND(IF(Metadata!G645="",FALSE,TRUE),exact(Metadata!G645,"host-associated"))</f>
        <v>0</v>
      </c>
      <c r="AI645">
        <f>OR(AND(IF(Metadata!H645="",FALSE,TRUE),OR(exact(Metadata!H645,"not collected"),exact(Metadata!H645,"not provided"))),AND(IF(Metadata!H645="",FALSE,ISNUMBER(VALUE(Metadata!H645))),Metadata!H645&gt;0))</f>
        <v>0</v>
      </c>
      <c r="AJ645">
        <f>AND(IF(Metadata!I645="",FALSE,TRUE),exact(Metadata!I645,"years"))</f>
        <v>0</v>
      </c>
      <c r="AK645">
        <f>IF(Metadata!J645="",FALSE,TRUE)</f>
        <v>0</v>
      </c>
      <c r="AL645">
        <f>OR(AND(IF(Metadata!K645="",FALSE,TRUE),OR(exact(Metadata!K645,"not collected"),exact(Metadata!K645,"not provided"))),AND(IF(Metadata!K645="",FALSE,ISNUMBER(VALUE(Metadata!K645))),Metadata!K645&gt;0))</f>
        <v>0</v>
      </c>
      <c r="AM645">
        <f>AND(IF(Metadata!L645="",FALSE,TRUE),exact(Metadata!L645,"cm"))</f>
        <v>0</v>
      </c>
      <c r="AN645">
        <f>IF(Metadata!M645="",FALSE,TRUE)</f>
        <v>0</v>
      </c>
      <c r="AO645">
        <f>OR(AND(IF(Metadata!N645="",FALSE,TRUE),OR(exact(Metadata!N645,"not applicable"),exact(Metadata!N645,"not collected"),exact(Metadata!N645,"not provided"))),AND(IF(Metadata!N645="",FALSE,IF(ISERROR(INT(Metadata!N645)),FALSE,INT(Metadata!N645)=Metadata!N645)),Metadata!N645&gt;0))</f>
        <v>0</v>
      </c>
      <c r="AP645">
        <f>OR(AND(IF(Metadata!O645="",FALSE,TRUE),OR(exact(Metadata!O645,"not collected"),exact(Metadata!O645,"not provided"))),AND(IF(Metadata!O645="",FALSE,ISNUMBER(VALUE(Metadata!O645))),Metadata!O645&gt;0))</f>
        <v>0</v>
      </c>
      <c r="AQ645">
        <f>AND(IF(Metadata!P645="",FALSE,TRUE),exact(Metadata!P645,"kg"))</f>
        <v>0</v>
      </c>
      <c r="AR645">
        <f>OR(AND(IF(Metadata!Q645="",FALSE,TRUE),OR(exact(Metadata!Q645,"not applicable"),exact(Metadata!Q645,"not collected"),exact(Metadata!Q645,"not provided"),exact(Metadata!Q645,"restricted access"))),IF(Metadata!Q645="",FALSE,IF(ISERROR(INT(Metadata!Q645)),FALSE,INT(Metadata!Q645)=Metadata!Q645)))</f>
        <v>0</v>
      </c>
      <c r="AS645">
        <f>AND(IF(Metadata!R645="",FALSE,TRUE),exact(Metadata!R645,"Not applicable"))</f>
        <v>0</v>
      </c>
    </row>
    <row r="646" spans="1:45">
      <c r="A646" s="4">
        <f>IF(B646=" "," ",HYPERLINK(CONCATENATE("#metadata!",ADDRESS(INDEX($X$2:$X$1001,MATCH(ROWS($V$2:V646),$V$2:$V$1001,0),0),2)),INDEX($AA$2:$AA$1001,MATCH(ROWS($V$2:V646),$V$2:$V$1001,0),0)))</f>
        <v>0</v>
      </c>
      <c r="B646" s="5">
        <f>IF(OR(INDEX($W$2:$W$1001,MATCH(ROWS($V$2:V646),$V$2:$V$1001,0),1)&gt;=100000,INDEX($AC$1005:$AS$1005,1,MATCH(COLUMNS($AC$1006:AC1006),$AC$1006:$AS$1006,0))&gt;=100000), " ",IF(INDEX($AC$2:$AS$1001,MATCH(ROWS($V$2:V646),$V$2:$V$1001,0),MATCH(COLUMNS($AC$1006:AC1006),$AC$1006:$AS$1006,0)), HYPERLINK("#",""), HYPERLINK(CONCATENATE("#Metadata!", ADDRESS(INDEX($X$2:$X$1001,MATCH(ROWS($V$2:V646),$V$2:$V$1001,0),0), INDEX($AC$1004:$AS$1004,1,MATCH(COLUMNS($AC$1006:AC1006),$AC$1006:$AS$1006,0)))),"Fix")))</f>
        <v>0</v>
      </c>
      <c r="C646" s="5">
        <f>IF(OR(INDEX($W$2:$W$1001,MATCH(ROWS($V$2:V646),$V$2:$V$1001,0),1)&gt;=100000,INDEX($AC$1005:$AS$1005,1,MATCH(COLUMNS($AC$1006:AD1006),$AC$1006:$AS$1006,0))&gt;=100000), " ",IF(INDEX($AC$2:$AS$1001,MATCH(ROWS($V$2:V646),$V$2:$V$1001,0),MATCH(COLUMNS($AC$1006:AD1006),$AC$1006:$AS$1006,0)), HYPERLINK("#",""), HYPERLINK(CONCATENATE("#Metadata!", ADDRESS(INDEX($X$2:$X$1001,MATCH(ROWS($V$2:V646),$V$2:$V$1001,0),0), INDEX($AC$1004:$AS$1004,1,MATCH(COLUMNS($AC$1006:AD1006),$AC$1006:$AS$1006,0)))),"Fix")))</f>
        <v>0</v>
      </c>
      <c r="D646" s="5">
        <f>IF(OR(INDEX($W$2:$W$1001,MATCH(ROWS($V$2:V646),$V$2:$V$1001,0),1)&gt;=100000,INDEX($AC$1005:$AS$1005,1,MATCH(COLUMNS($AC$1006:AE1006),$AC$1006:$AS$1006,0))&gt;=100000), " ",IF(INDEX($AC$2:$AS$1001,MATCH(ROWS($V$2:V646),$V$2:$V$1001,0),MATCH(COLUMNS($AC$1006:AE1006),$AC$1006:$AS$1006,0)), HYPERLINK("#",""), HYPERLINK(CONCATENATE("#Metadata!", ADDRESS(INDEX($X$2:$X$1001,MATCH(ROWS($V$2:V646),$V$2:$V$1001,0),0), INDEX($AC$1004:$AS$1004,1,MATCH(COLUMNS($AC$1006:AE1006),$AC$1006:$AS$1006,0)))),"Fix")))</f>
        <v>0</v>
      </c>
      <c r="E646" s="5">
        <f>IF(OR(INDEX($W$2:$W$1001,MATCH(ROWS($V$2:V646),$V$2:$V$1001,0),1)&gt;=100000,INDEX($AC$1005:$AS$1005,1,MATCH(COLUMNS($AC$1006:AF1006),$AC$1006:$AS$1006,0))&gt;=100000), " ",IF(INDEX($AC$2:$AS$1001,MATCH(ROWS($V$2:V646),$V$2:$V$1001,0),MATCH(COLUMNS($AC$1006:AF1006),$AC$1006:$AS$1006,0)), HYPERLINK("#",""), HYPERLINK(CONCATENATE("#Metadata!", ADDRESS(INDEX($X$2:$X$1001,MATCH(ROWS($V$2:V646),$V$2:$V$1001,0),0), INDEX($AC$1004:$AS$1004,1,MATCH(COLUMNS($AC$1006:AF1006),$AC$1006:$AS$1006,0)))),"Fix")))</f>
        <v>0</v>
      </c>
      <c r="F646" s="5">
        <f>IF(OR(INDEX($W$2:$W$1001,MATCH(ROWS($V$2:V646),$V$2:$V$1001,0),1)&gt;=100000,INDEX($AC$1005:$AS$1005,1,MATCH(COLUMNS($AC$1006:AG1006),$AC$1006:$AS$1006,0))&gt;=100000), " ",IF(INDEX($AC$2:$AS$1001,MATCH(ROWS($V$2:V646),$V$2:$V$1001,0),MATCH(COLUMNS($AC$1006:AG1006),$AC$1006:$AS$1006,0)), HYPERLINK("#",""), HYPERLINK(CONCATENATE("#Metadata!", ADDRESS(INDEX($X$2:$X$1001,MATCH(ROWS($V$2:V646),$V$2:$V$1001,0),0), INDEX($AC$1004:$AS$1004,1,MATCH(COLUMNS($AC$1006:AG1006),$AC$1006:$AS$1006,0)))),"Fix")))</f>
        <v>0</v>
      </c>
      <c r="G646" s="5">
        <f>IF(OR(INDEX($W$2:$W$1001,MATCH(ROWS($V$2:V646),$V$2:$V$1001,0),1)&gt;=100000,INDEX($AC$1005:$AS$1005,1,MATCH(COLUMNS($AC$1006:AH1006),$AC$1006:$AS$1006,0))&gt;=100000), " ",IF(INDEX($AC$2:$AS$1001,MATCH(ROWS($V$2:V646),$V$2:$V$1001,0),MATCH(COLUMNS($AC$1006:AH1006),$AC$1006:$AS$1006,0)), HYPERLINK("#",""), HYPERLINK(CONCATENATE("#Metadata!", ADDRESS(INDEX($X$2:$X$1001,MATCH(ROWS($V$2:V646),$V$2:$V$1001,0),0), INDEX($AC$1004:$AS$1004,1,MATCH(COLUMNS($AC$1006:AH1006),$AC$1006:$AS$1006,0)))),"Fix")))</f>
        <v>0</v>
      </c>
      <c r="H646" s="5">
        <f>IF(OR(INDEX($W$2:$W$1001,MATCH(ROWS($V$2:V646),$V$2:$V$1001,0),1)&gt;=100000,INDEX($AC$1005:$AS$1005,1,MATCH(COLUMNS($AC$1006:AI1006),$AC$1006:$AS$1006,0))&gt;=100000), " ",IF(INDEX($AC$2:$AS$1001,MATCH(ROWS($V$2:V646),$V$2:$V$1001,0),MATCH(COLUMNS($AC$1006:AI1006),$AC$1006:$AS$1006,0)), HYPERLINK("#",""), HYPERLINK(CONCATENATE("#Metadata!", ADDRESS(INDEX($X$2:$X$1001,MATCH(ROWS($V$2:V646),$V$2:$V$1001,0),0), INDEX($AC$1004:$AS$1004,1,MATCH(COLUMNS($AC$1006:AI1006),$AC$1006:$AS$1006,0)))),"Fix")))</f>
        <v>0</v>
      </c>
      <c r="I646" s="5">
        <f>IF(OR(INDEX($W$2:$W$1001,MATCH(ROWS($V$2:V646),$V$2:$V$1001,0),1)&gt;=100000,INDEX($AC$1005:$AS$1005,1,MATCH(COLUMNS($AC$1006:AJ1006),$AC$1006:$AS$1006,0))&gt;=100000), " ",IF(INDEX($AC$2:$AS$1001,MATCH(ROWS($V$2:V646),$V$2:$V$1001,0),MATCH(COLUMNS($AC$1006:AJ1006),$AC$1006:$AS$1006,0)), HYPERLINK("#",""), HYPERLINK(CONCATENATE("#Metadata!", ADDRESS(INDEX($X$2:$X$1001,MATCH(ROWS($V$2:V646),$V$2:$V$1001,0),0), INDEX($AC$1004:$AS$1004,1,MATCH(COLUMNS($AC$1006:AJ1006),$AC$1006:$AS$1006,0)))),"Fix")))</f>
        <v>0</v>
      </c>
      <c r="J646" s="5">
        <f>IF(OR(INDEX($W$2:$W$1001,MATCH(ROWS($V$2:V646),$V$2:$V$1001,0),1)&gt;=100000,INDEX($AC$1005:$AS$1005,1,MATCH(COLUMNS($AC$1006:AK1006),$AC$1006:$AS$1006,0))&gt;=100000), " ",IF(INDEX($AC$2:$AS$1001,MATCH(ROWS($V$2:V646),$V$2:$V$1001,0),MATCH(COLUMNS($AC$1006:AK1006),$AC$1006:$AS$1006,0)), HYPERLINK("#",""), HYPERLINK(CONCATENATE("#Metadata!", ADDRESS(INDEX($X$2:$X$1001,MATCH(ROWS($V$2:V646),$V$2:$V$1001,0),0), INDEX($AC$1004:$AS$1004,1,MATCH(COLUMNS($AC$1006:AK1006),$AC$1006:$AS$1006,0)))),"Fix")))</f>
        <v>0</v>
      </c>
      <c r="K646" s="5">
        <f>IF(OR(INDEX($W$2:$W$1001,MATCH(ROWS($V$2:V646),$V$2:$V$1001,0),1)&gt;=100000,INDEX($AC$1005:$AS$1005,1,MATCH(COLUMNS($AC$1006:AL1006),$AC$1006:$AS$1006,0))&gt;=100000), " ",IF(INDEX($AC$2:$AS$1001,MATCH(ROWS($V$2:V646),$V$2:$V$1001,0),MATCH(COLUMNS($AC$1006:AL1006),$AC$1006:$AS$1006,0)), HYPERLINK("#",""), HYPERLINK(CONCATENATE("#Metadata!", ADDRESS(INDEX($X$2:$X$1001,MATCH(ROWS($V$2:V646),$V$2:$V$1001,0),0), INDEX($AC$1004:$AS$1004,1,MATCH(COLUMNS($AC$1006:AL1006),$AC$1006:$AS$1006,0)))),"Fix")))</f>
        <v>0</v>
      </c>
      <c r="L646" s="5">
        <f>IF(OR(INDEX($W$2:$W$1001,MATCH(ROWS($V$2:V646),$V$2:$V$1001,0),1)&gt;=100000,INDEX($AC$1005:$AS$1005,1,MATCH(COLUMNS($AC$1006:AM1006),$AC$1006:$AS$1006,0))&gt;=100000), " ",IF(INDEX($AC$2:$AS$1001,MATCH(ROWS($V$2:V646),$V$2:$V$1001,0),MATCH(COLUMNS($AC$1006:AM1006),$AC$1006:$AS$1006,0)), HYPERLINK("#",""), HYPERLINK(CONCATENATE("#Metadata!", ADDRESS(INDEX($X$2:$X$1001,MATCH(ROWS($V$2:V646),$V$2:$V$1001,0),0), INDEX($AC$1004:$AS$1004,1,MATCH(COLUMNS($AC$1006:AM1006),$AC$1006:$AS$1006,0)))),"Fix")))</f>
        <v>0</v>
      </c>
      <c r="M646" s="5">
        <f>IF(OR(INDEX($W$2:$W$1001,MATCH(ROWS($V$2:V646),$V$2:$V$1001,0),1)&gt;=100000,INDEX($AC$1005:$AS$1005,1,MATCH(COLUMNS($AC$1006:AN1006),$AC$1006:$AS$1006,0))&gt;=100000), " ",IF(INDEX($AC$2:$AS$1001,MATCH(ROWS($V$2:V646),$V$2:$V$1001,0),MATCH(COLUMNS($AC$1006:AN1006),$AC$1006:$AS$1006,0)), HYPERLINK("#",""), HYPERLINK(CONCATENATE("#Metadata!", ADDRESS(INDEX($X$2:$X$1001,MATCH(ROWS($V$2:V646),$V$2:$V$1001,0),0), INDEX($AC$1004:$AS$1004,1,MATCH(COLUMNS($AC$1006:AN1006),$AC$1006:$AS$1006,0)))),"Fix")))</f>
        <v>0</v>
      </c>
      <c r="N646" s="5">
        <f>IF(OR(INDEX($W$2:$W$1001,MATCH(ROWS($V$2:V646),$V$2:$V$1001,0),1)&gt;=100000,INDEX($AC$1005:$AS$1005,1,MATCH(COLUMNS($AC$1006:AO1006),$AC$1006:$AS$1006,0))&gt;=100000), " ",IF(INDEX($AC$2:$AS$1001,MATCH(ROWS($V$2:V646),$V$2:$V$1001,0),MATCH(COLUMNS($AC$1006:AO1006),$AC$1006:$AS$1006,0)), HYPERLINK("#",""), HYPERLINK(CONCATENATE("#Metadata!", ADDRESS(INDEX($X$2:$X$1001,MATCH(ROWS($V$2:V646),$V$2:$V$1001,0),0), INDEX($AC$1004:$AS$1004,1,MATCH(COLUMNS($AC$1006:AO1006),$AC$1006:$AS$1006,0)))),"Fix")))</f>
        <v>0</v>
      </c>
      <c r="O646" s="5">
        <f>IF(OR(INDEX($W$2:$W$1001,MATCH(ROWS($V$2:V646),$V$2:$V$1001,0),1)&gt;=100000,INDEX($AC$1005:$AS$1005,1,MATCH(COLUMNS($AC$1006:AP1006),$AC$1006:$AS$1006,0))&gt;=100000), " ",IF(INDEX($AC$2:$AS$1001,MATCH(ROWS($V$2:V646),$V$2:$V$1001,0),MATCH(COLUMNS($AC$1006:AP1006),$AC$1006:$AS$1006,0)), HYPERLINK("#",""), HYPERLINK(CONCATENATE("#Metadata!", ADDRESS(INDEX($X$2:$X$1001,MATCH(ROWS($V$2:V646),$V$2:$V$1001,0),0), INDEX($AC$1004:$AS$1004,1,MATCH(COLUMNS($AC$1006:AP1006),$AC$1006:$AS$1006,0)))),"Fix")))</f>
        <v>0</v>
      </c>
      <c r="P646" s="5">
        <f>IF(OR(INDEX($W$2:$W$1001,MATCH(ROWS($V$2:V646),$V$2:$V$1001,0),1)&gt;=100000,INDEX($AC$1005:$AS$1005,1,MATCH(COLUMNS($AC$1006:AQ1006),$AC$1006:$AS$1006,0))&gt;=100000), " ",IF(INDEX($AC$2:$AS$1001,MATCH(ROWS($V$2:V646),$V$2:$V$1001,0),MATCH(COLUMNS($AC$1006:AQ1006),$AC$1006:$AS$1006,0)), HYPERLINK("#",""), HYPERLINK(CONCATENATE("#Metadata!", ADDRESS(INDEX($X$2:$X$1001,MATCH(ROWS($V$2:V646),$V$2:$V$1001,0),0), INDEX($AC$1004:$AS$1004,1,MATCH(COLUMNS($AC$1006:AQ1006),$AC$1006:$AS$1006,0)))),"Fix")))</f>
        <v>0</v>
      </c>
      <c r="Q646" s="5">
        <f>IF(OR(INDEX($W$2:$W$1001,MATCH(ROWS($V$2:V646),$V$2:$V$1001,0),1)&gt;=100000,INDEX($AC$1005:$AS$1005,1,MATCH(COLUMNS($AC$1006:AR1006),$AC$1006:$AS$1006,0))&gt;=100000), " ",IF(INDEX($AC$2:$AS$1001,MATCH(ROWS($V$2:V646),$V$2:$V$1001,0),MATCH(COLUMNS($AC$1006:AR1006),$AC$1006:$AS$1006,0)), HYPERLINK("#",""), HYPERLINK(CONCATENATE("#Metadata!", ADDRESS(INDEX($X$2:$X$1001,MATCH(ROWS($V$2:V646),$V$2:$V$1001,0),0), INDEX($AC$1004:$AS$1004,1,MATCH(COLUMNS($AC$1006:AR1006),$AC$1006:$AS$1006,0)))),"Fix")))</f>
        <v>0</v>
      </c>
      <c r="R646" s="5">
        <f>IF(OR(INDEX($W$2:$W$1001,MATCH(ROWS($V$2:V646),$V$2:$V$1001,0),1)&gt;=100000,INDEX($AC$1005:$AS$1005,1,MATCH(COLUMNS($AC$1006:AS1006),$AC$1006:$AS$1006,0))&gt;=100000), " ",IF(INDEX($AC$2:$AS$1001,MATCH(ROWS($V$2:V646),$V$2:$V$1001,0),MATCH(COLUMNS($AC$1006:AS1006),$AC$1006:$AS$1006,0)), HYPERLINK("#",""), HYPERLINK(CONCATENATE("#Metadata!", ADDRESS(INDEX($X$2:$X$1001,MATCH(ROWS($V$2:V646),$V$2:$V$1001,0),0), INDEX($AC$1004:$AS$1004,1,MATCH(COLUMNS($AC$1006:AS1006),$AC$1006:$AS$1006,0)))),"Fix")))</f>
        <v>0</v>
      </c>
      <c r="V646">
        <v>0</v>
      </c>
      <c r="W646">
        <v>0</v>
      </c>
      <c r="X646">
        <v>0</v>
      </c>
      <c r="Y646">
        <f>IF(Z646,TRUE,AND(AC646:AS646))</f>
        <v>0</v>
      </c>
      <c r="Z646">
        <f>COUNTBLANK(Metadata!B646:R646)=COLUMNS(Metadata!B646:R646)</f>
        <v>0</v>
      </c>
      <c r="AA646">
        <v>0</v>
      </c>
      <c r="AC646">
        <f>AND(IF(Metadata!B646="",FALSE,TRUE),COUNTIF(Metadata!B:B, Metadata!B646) = 1,NOT(ISERROR(SUMPRODUCT(SEARCH(MID(Metadata!B646,ROW(INDIRECT("1:"&amp;LEN(Metadata!B646))), 1),"0123456789abcdefghijklmnopqrstuvwxyzABCDEFGHIJKLMNOPQRSTUVWXYZ.")))))</f>
        <v>0</v>
      </c>
      <c r="AD646">
        <f>AND(IF(Metadata!C646="",FALSE,TRUE),exact(Metadata!C646,"Host-associated"))</f>
        <v>0</v>
      </c>
      <c r="AE646">
        <f>AND(IF(Metadata!D646="",FALSE,TRUE),OR(exact(Metadata!D646,"Animal"),exact(Metadata!D646,"Fungus"),exact(Metadata!D646,"Plant")))</f>
        <v>0</v>
      </c>
      <c r="AF646">
        <f>AND(IF(Metadata!E646="",FALSE,TRUE),OR(exact(Metadata!E646,"Plant secretion"),exact(Metadata!E646,"Plant rhizosphere"),exact(Metadata!E646,"Plant surface"),exact(Metadata!E646,"Plant corpus"),exact(Metadata!E646,"Fungus surface"),exact(Metadata!E646,"Fungus corpus"),exact(Metadata!E646,"Animal surface"),exact(Metadata!E646,"Animal proximal gut"),exact(Metadata!E646,"Animal corpus"),exact(Metadata!E646,"Animal distal gut"),exact(Metadata!E646,"Animal secretion")))</f>
        <v>0</v>
      </c>
      <c r="AG646">
        <f>OR(AND(IF(Metadata!F646="",FALSE,TRUE),OR(exact(Metadata!F646,"not collected"),exact(Metadata!F646,"not provided"),exact(Metadata!F646,"restricted access"))),AND(IF(Metadata!F646="",FALSE,TRUE),OR(exact(Metadata!F646,"organism-associated habitat"),exact(Metadata!F646,"plant-associated habitat"),exact(Metadata!F646,"animal-associated habitat"),exact(Metadata!F646,"insecta-associated habitat"),exact(Metadata!F646,"mammalia-associated habitat"),exact(Metadata!F646,"human-associated habitat"),exact(Metadata!F646,"livestock-associated habitat"))))</f>
        <v>0</v>
      </c>
      <c r="AH646">
        <f>AND(IF(Metadata!G646="",FALSE,TRUE),exact(Metadata!G646,"host-associated"))</f>
        <v>0</v>
      </c>
      <c r="AI646">
        <f>OR(AND(IF(Metadata!H646="",FALSE,TRUE),OR(exact(Metadata!H646,"not collected"),exact(Metadata!H646,"not provided"))),AND(IF(Metadata!H646="",FALSE,ISNUMBER(VALUE(Metadata!H646))),Metadata!H646&gt;0))</f>
        <v>0</v>
      </c>
      <c r="AJ646">
        <f>AND(IF(Metadata!I646="",FALSE,TRUE),exact(Metadata!I646,"years"))</f>
        <v>0</v>
      </c>
      <c r="AK646">
        <f>IF(Metadata!J646="",FALSE,TRUE)</f>
        <v>0</v>
      </c>
      <c r="AL646">
        <f>OR(AND(IF(Metadata!K646="",FALSE,TRUE),OR(exact(Metadata!K646,"not collected"),exact(Metadata!K646,"not provided"))),AND(IF(Metadata!K646="",FALSE,ISNUMBER(VALUE(Metadata!K646))),Metadata!K646&gt;0))</f>
        <v>0</v>
      </c>
      <c r="AM646">
        <f>AND(IF(Metadata!L646="",FALSE,TRUE),exact(Metadata!L646,"cm"))</f>
        <v>0</v>
      </c>
      <c r="AN646">
        <f>IF(Metadata!M646="",FALSE,TRUE)</f>
        <v>0</v>
      </c>
      <c r="AO646">
        <f>OR(AND(IF(Metadata!N646="",FALSE,TRUE),OR(exact(Metadata!N646,"not applicable"),exact(Metadata!N646,"not collected"),exact(Metadata!N646,"not provided"))),AND(IF(Metadata!N646="",FALSE,IF(ISERROR(INT(Metadata!N646)),FALSE,INT(Metadata!N646)=Metadata!N646)),Metadata!N646&gt;0))</f>
        <v>0</v>
      </c>
      <c r="AP646">
        <f>OR(AND(IF(Metadata!O646="",FALSE,TRUE),OR(exact(Metadata!O646,"not collected"),exact(Metadata!O646,"not provided"))),AND(IF(Metadata!O646="",FALSE,ISNUMBER(VALUE(Metadata!O646))),Metadata!O646&gt;0))</f>
        <v>0</v>
      </c>
      <c r="AQ646">
        <f>AND(IF(Metadata!P646="",FALSE,TRUE),exact(Metadata!P646,"kg"))</f>
        <v>0</v>
      </c>
      <c r="AR646">
        <f>OR(AND(IF(Metadata!Q646="",FALSE,TRUE),OR(exact(Metadata!Q646,"not applicable"),exact(Metadata!Q646,"not collected"),exact(Metadata!Q646,"not provided"),exact(Metadata!Q646,"restricted access"))),IF(Metadata!Q646="",FALSE,IF(ISERROR(INT(Metadata!Q646)),FALSE,INT(Metadata!Q646)=Metadata!Q646)))</f>
        <v>0</v>
      </c>
      <c r="AS646">
        <f>AND(IF(Metadata!R646="",FALSE,TRUE),exact(Metadata!R646,"Not applicable"))</f>
        <v>0</v>
      </c>
    </row>
    <row r="647" spans="1:45">
      <c r="A647" s="4">
        <f>IF(B647=" "," ",HYPERLINK(CONCATENATE("#metadata!",ADDRESS(INDEX($X$2:$X$1001,MATCH(ROWS($V$2:V647),$V$2:$V$1001,0),0),2)),INDEX($AA$2:$AA$1001,MATCH(ROWS($V$2:V647),$V$2:$V$1001,0),0)))</f>
        <v>0</v>
      </c>
      <c r="B647" s="5">
        <f>IF(OR(INDEX($W$2:$W$1001,MATCH(ROWS($V$2:V647),$V$2:$V$1001,0),1)&gt;=100000,INDEX($AC$1005:$AS$1005,1,MATCH(COLUMNS($AC$1006:AC1006),$AC$1006:$AS$1006,0))&gt;=100000), " ",IF(INDEX($AC$2:$AS$1001,MATCH(ROWS($V$2:V647),$V$2:$V$1001,0),MATCH(COLUMNS($AC$1006:AC1006),$AC$1006:$AS$1006,0)), HYPERLINK("#",""), HYPERLINK(CONCATENATE("#Metadata!", ADDRESS(INDEX($X$2:$X$1001,MATCH(ROWS($V$2:V647),$V$2:$V$1001,0),0), INDEX($AC$1004:$AS$1004,1,MATCH(COLUMNS($AC$1006:AC1006),$AC$1006:$AS$1006,0)))),"Fix")))</f>
        <v>0</v>
      </c>
      <c r="C647" s="5">
        <f>IF(OR(INDEX($W$2:$W$1001,MATCH(ROWS($V$2:V647),$V$2:$V$1001,0),1)&gt;=100000,INDEX($AC$1005:$AS$1005,1,MATCH(COLUMNS($AC$1006:AD1006),$AC$1006:$AS$1006,0))&gt;=100000), " ",IF(INDEX($AC$2:$AS$1001,MATCH(ROWS($V$2:V647),$V$2:$V$1001,0),MATCH(COLUMNS($AC$1006:AD1006),$AC$1006:$AS$1006,0)), HYPERLINK("#",""), HYPERLINK(CONCATENATE("#Metadata!", ADDRESS(INDEX($X$2:$X$1001,MATCH(ROWS($V$2:V647),$V$2:$V$1001,0),0), INDEX($AC$1004:$AS$1004,1,MATCH(COLUMNS($AC$1006:AD1006),$AC$1006:$AS$1006,0)))),"Fix")))</f>
        <v>0</v>
      </c>
      <c r="D647" s="5">
        <f>IF(OR(INDEX($W$2:$W$1001,MATCH(ROWS($V$2:V647),$V$2:$V$1001,0),1)&gt;=100000,INDEX($AC$1005:$AS$1005,1,MATCH(COLUMNS($AC$1006:AE1006),$AC$1006:$AS$1006,0))&gt;=100000), " ",IF(INDEX($AC$2:$AS$1001,MATCH(ROWS($V$2:V647),$V$2:$V$1001,0),MATCH(COLUMNS($AC$1006:AE1006),$AC$1006:$AS$1006,0)), HYPERLINK("#",""), HYPERLINK(CONCATENATE("#Metadata!", ADDRESS(INDEX($X$2:$X$1001,MATCH(ROWS($V$2:V647),$V$2:$V$1001,0),0), INDEX($AC$1004:$AS$1004,1,MATCH(COLUMNS($AC$1006:AE1006),$AC$1006:$AS$1006,0)))),"Fix")))</f>
        <v>0</v>
      </c>
      <c r="E647" s="5">
        <f>IF(OR(INDEX($W$2:$W$1001,MATCH(ROWS($V$2:V647),$V$2:$V$1001,0),1)&gt;=100000,INDEX($AC$1005:$AS$1005,1,MATCH(COLUMNS($AC$1006:AF1006),$AC$1006:$AS$1006,0))&gt;=100000), " ",IF(INDEX($AC$2:$AS$1001,MATCH(ROWS($V$2:V647),$V$2:$V$1001,0),MATCH(COLUMNS($AC$1006:AF1006),$AC$1006:$AS$1006,0)), HYPERLINK("#",""), HYPERLINK(CONCATENATE("#Metadata!", ADDRESS(INDEX($X$2:$X$1001,MATCH(ROWS($V$2:V647),$V$2:$V$1001,0),0), INDEX($AC$1004:$AS$1004,1,MATCH(COLUMNS($AC$1006:AF1006),$AC$1006:$AS$1006,0)))),"Fix")))</f>
        <v>0</v>
      </c>
      <c r="F647" s="5">
        <f>IF(OR(INDEX($W$2:$W$1001,MATCH(ROWS($V$2:V647),$V$2:$V$1001,0),1)&gt;=100000,INDEX($AC$1005:$AS$1005,1,MATCH(COLUMNS($AC$1006:AG1006),$AC$1006:$AS$1006,0))&gt;=100000), " ",IF(INDEX($AC$2:$AS$1001,MATCH(ROWS($V$2:V647),$V$2:$V$1001,0),MATCH(COLUMNS($AC$1006:AG1006),$AC$1006:$AS$1006,0)), HYPERLINK("#",""), HYPERLINK(CONCATENATE("#Metadata!", ADDRESS(INDEX($X$2:$X$1001,MATCH(ROWS($V$2:V647),$V$2:$V$1001,0),0), INDEX($AC$1004:$AS$1004,1,MATCH(COLUMNS($AC$1006:AG1006),$AC$1006:$AS$1006,0)))),"Fix")))</f>
        <v>0</v>
      </c>
      <c r="G647" s="5">
        <f>IF(OR(INDEX($W$2:$W$1001,MATCH(ROWS($V$2:V647),$V$2:$V$1001,0),1)&gt;=100000,INDEX($AC$1005:$AS$1005,1,MATCH(COLUMNS($AC$1006:AH1006),$AC$1006:$AS$1006,0))&gt;=100000), " ",IF(INDEX($AC$2:$AS$1001,MATCH(ROWS($V$2:V647),$V$2:$V$1001,0),MATCH(COLUMNS($AC$1006:AH1006),$AC$1006:$AS$1006,0)), HYPERLINK("#",""), HYPERLINK(CONCATENATE("#Metadata!", ADDRESS(INDEX($X$2:$X$1001,MATCH(ROWS($V$2:V647),$V$2:$V$1001,0),0), INDEX($AC$1004:$AS$1004,1,MATCH(COLUMNS($AC$1006:AH1006),$AC$1006:$AS$1006,0)))),"Fix")))</f>
        <v>0</v>
      </c>
      <c r="H647" s="5">
        <f>IF(OR(INDEX($W$2:$W$1001,MATCH(ROWS($V$2:V647),$V$2:$V$1001,0),1)&gt;=100000,INDEX($AC$1005:$AS$1005,1,MATCH(COLUMNS($AC$1006:AI1006),$AC$1006:$AS$1006,0))&gt;=100000), " ",IF(INDEX($AC$2:$AS$1001,MATCH(ROWS($V$2:V647),$V$2:$V$1001,0),MATCH(COLUMNS($AC$1006:AI1006),$AC$1006:$AS$1006,0)), HYPERLINK("#",""), HYPERLINK(CONCATENATE("#Metadata!", ADDRESS(INDEX($X$2:$X$1001,MATCH(ROWS($V$2:V647),$V$2:$V$1001,0),0), INDEX($AC$1004:$AS$1004,1,MATCH(COLUMNS($AC$1006:AI1006),$AC$1006:$AS$1006,0)))),"Fix")))</f>
        <v>0</v>
      </c>
      <c r="I647" s="5">
        <f>IF(OR(INDEX($W$2:$W$1001,MATCH(ROWS($V$2:V647),$V$2:$V$1001,0),1)&gt;=100000,INDEX($AC$1005:$AS$1005,1,MATCH(COLUMNS($AC$1006:AJ1006),$AC$1006:$AS$1006,0))&gt;=100000), " ",IF(INDEX($AC$2:$AS$1001,MATCH(ROWS($V$2:V647),$V$2:$V$1001,0),MATCH(COLUMNS($AC$1006:AJ1006),$AC$1006:$AS$1006,0)), HYPERLINK("#",""), HYPERLINK(CONCATENATE("#Metadata!", ADDRESS(INDEX($X$2:$X$1001,MATCH(ROWS($V$2:V647),$V$2:$V$1001,0),0), INDEX($AC$1004:$AS$1004,1,MATCH(COLUMNS($AC$1006:AJ1006),$AC$1006:$AS$1006,0)))),"Fix")))</f>
        <v>0</v>
      </c>
      <c r="J647" s="5">
        <f>IF(OR(INDEX($W$2:$W$1001,MATCH(ROWS($V$2:V647),$V$2:$V$1001,0),1)&gt;=100000,INDEX($AC$1005:$AS$1005,1,MATCH(COLUMNS($AC$1006:AK1006),$AC$1006:$AS$1006,0))&gt;=100000), " ",IF(INDEX($AC$2:$AS$1001,MATCH(ROWS($V$2:V647),$V$2:$V$1001,0),MATCH(COLUMNS($AC$1006:AK1006),$AC$1006:$AS$1006,0)), HYPERLINK("#",""), HYPERLINK(CONCATENATE("#Metadata!", ADDRESS(INDEX($X$2:$X$1001,MATCH(ROWS($V$2:V647),$V$2:$V$1001,0),0), INDEX($AC$1004:$AS$1004,1,MATCH(COLUMNS($AC$1006:AK1006),$AC$1006:$AS$1006,0)))),"Fix")))</f>
        <v>0</v>
      </c>
      <c r="K647" s="5">
        <f>IF(OR(INDEX($W$2:$W$1001,MATCH(ROWS($V$2:V647),$V$2:$V$1001,0),1)&gt;=100000,INDEX($AC$1005:$AS$1005,1,MATCH(COLUMNS($AC$1006:AL1006),$AC$1006:$AS$1006,0))&gt;=100000), " ",IF(INDEX($AC$2:$AS$1001,MATCH(ROWS($V$2:V647),$V$2:$V$1001,0),MATCH(COLUMNS($AC$1006:AL1006),$AC$1006:$AS$1006,0)), HYPERLINK("#",""), HYPERLINK(CONCATENATE("#Metadata!", ADDRESS(INDEX($X$2:$X$1001,MATCH(ROWS($V$2:V647),$V$2:$V$1001,0),0), INDEX($AC$1004:$AS$1004,1,MATCH(COLUMNS($AC$1006:AL1006),$AC$1006:$AS$1006,0)))),"Fix")))</f>
        <v>0</v>
      </c>
      <c r="L647" s="5">
        <f>IF(OR(INDEX($W$2:$W$1001,MATCH(ROWS($V$2:V647),$V$2:$V$1001,0),1)&gt;=100000,INDEX($AC$1005:$AS$1005,1,MATCH(COLUMNS($AC$1006:AM1006),$AC$1006:$AS$1006,0))&gt;=100000), " ",IF(INDEX($AC$2:$AS$1001,MATCH(ROWS($V$2:V647),$V$2:$V$1001,0),MATCH(COLUMNS($AC$1006:AM1006),$AC$1006:$AS$1006,0)), HYPERLINK("#",""), HYPERLINK(CONCATENATE("#Metadata!", ADDRESS(INDEX($X$2:$X$1001,MATCH(ROWS($V$2:V647),$V$2:$V$1001,0),0), INDEX($AC$1004:$AS$1004,1,MATCH(COLUMNS($AC$1006:AM1006),$AC$1006:$AS$1006,0)))),"Fix")))</f>
        <v>0</v>
      </c>
      <c r="M647" s="5">
        <f>IF(OR(INDEX($W$2:$W$1001,MATCH(ROWS($V$2:V647),$V$2:$V$1001,0),1)&gt;=100000,INDEX($AC$1005:$AS$1005,1,MATCH(COLUMNS($AC$1006:AN1006),$AC$1006:$AS$1006,0))&gt;=100000), " ",IF(INDEX($AC$2:$AS$1001,MATCH(ROWS($V$2:V647),$V$2:$V$1001,0),MATCH(COLUMNS($AC$1006:AN1006),$AC$1006:$AS$1006,0)), HYPERLINK("#",""), HYPERLINK(CONCATENATE("#Metadata!", ADDRESS(INDEX($X$2:$X$1001,MATCH(ROWS($V$2:V647),$V$2:$V$1001,0),0), INDEX($AC$1004:$AS$1004,1,MATCH(COLUMNS($AC$1006:AN1006),$AC$1006:$AS$1006,0)))),"Fix")))</f>
        <v>0</v>
      </c>
      <c r="N647" s="5">
        <f>IF(OR(INDEX($W$2:$W$1001,MATCH(ROWS($V$2:V647),$V$2:$V$1001,0),1)&gt;=100000,INDEX($AC$1005:$AS$1005,1,MATCH(COLUMNS($AC$1006:AO1006),$AC$1006:$AS$1006,0))&gt;=100000), " ",IF(INDEX($AC$2:$AS$1001,MATCH(ROWS($V$2:V647),$V$2:$V$1001,0),MATCH(COLUMNS($AC$1006:AO1006),$AC$1006:$AS$1006,0)), HYPERLINK("#",""), HYPERLINK(CONCATENATE("#Metadata!", ADDRESS(INDEX($X$2:$X$1001,MATCH(ROWS($V$2:V647),$V$2:$V$1001,0),0), INDEX($AC$1004:$AS$1004,1,MATCH(COLUMNS($AC$1006:AO1006),$AC$1006:$AS$1006,0)))),"Fix")))</f>
        <v>0</v>
      </c>
      <c r="O647" s="5">
        <f>IF(OR(INDEX($W$2:$W$1001,MATCH(ROWS($V$2:V647),$V$2:$V$1001,0),1)&gt;=100000,INDEX($AC$1005:$AS$1005,1,MATCH(COLUMNS($AC$1006:AP1006),$AC$1006:$AS$1006,0))&gt;=100000), " ",IF(INDEX($AC$2:$AS$1001,MATCH(ROWS($V$2:V647),$V$2:$V$1001,0),MATCH(COLUMNS($AC$1006:AP1006),$AC$1006:$AS$1006,0)), HYPERLINK("#",""), HYPERLINK(CONCATENATE("#Metadata!", ADDRESS(INDEX($X$2:$X$1001,MATCH(ROWS($V$2:V647),$V$2:$V$1001,0),0), INDEX($AC$1004:$AS$1004,1,MATCH(COLUMNS($AC$1006:AP1006),$AC$1006:$AS$1006,0)))),"Fix")))</f>
        <v>0</v>
      </c>
      <c r="P647" s="5">
        <f>IF(OR(INDEX($W$2:$W$1001,MATCH(ROWS($V$2:V647),$V$2:$V$1001,0),1)&gt;=100000,INDEX($AC$1005:$AS$1005,1,MATCH(COLUMNS($AC$1006:AQ1006),$AC$1006:$AS$1006,0))&gt;=100000), " ",IF(INDEX($AC$2:$AS$1001,MATCH(ROWS($V$2:V647),$V$2:$V$1001,0),MATCH(COLUMNS($AC$1006:AQ1006),$AC$1006:$AS$1006,0)), HYPERLINK("#",""), HYPERLINK(CONCATENATE("#Metadata!", ADDRESS(INDEX($X$2:$X$1001,MATCH(ROWS($V$2:V647),$V$2:$V$1001,0),0), INDEX($AC$1004:$AS$1004,1,MATCH(COLUMNS($AC$1006:AQ1006),$AC$1006:$AS$1006,0)))),"Fix")))</f>
        <v>0</v>
      </c>
      <c r="Q647" s="5">
        <f>IF(OR(INDEX($W$2:$W$1001,MATCH(ROWS($V$2:V647),$V$2:$V$1001,0),1)&gt;=100000,INDEX($AC$1005:$AS$1005,1,MATCH(COLUMNS($AC$1006:AR1006),$AC$1006:$AS$1006,0))&gt;=100000), " ",IF(INDEX($AC$2:$AS$1001,MATCH(ROWS($V$2:V647),$V$2:$V$1001,0),MATCH(COLUMNS($AC$1006:AR1006),$AC$1006:$AS$1006,0)), HYPERLINK("#",""), HYPERLINK(CONCATENATE("#Metadata!", ADDRESS(INDEX($X$2:$X$1001,MATCH(ROWS($V$2:V647),$V$2:$V$1001,0),0), INDEX($AC$1004:$AS$1004,1,MATCH(COLUMNS($AC$1006:AR1006),$AC$1006:$AS$1006,0)))),"Fix")))</f>
        <v>0</v>
      </c>
      <c r="R647" s="5">
        <f>IF(OR(INDEX($W$2:$W$1001,MATCH(ROWS($V$2:V647),$V$2:$V$1001,0),1)&gt;=100000,INDEX($AC$1005:$AS$1005,1,MATCH(COLUMNS($AC$1006:AS1006),$AC$1006:$AS$1006,0))&gt;=100000), " ",IF(INDEX($AC$2:$AS$1001,MATCH(ROWS($V$2:V647),$V$2:$V$1001,0),MATCH(COLUMNS($AC$1006:AS1006),$AC$1006:$AS$1006,0)), HYPERLINK("#",""), HYPERLINK(CONCATENATE("#Metadata!", ADDRESS(INDEX($X$2:$X$1001,MATCH(ROWS($V$2:V647),$V$2:$V$1001,0),0), INDEX($AC$1004:$AS$1004,1,MATCH(COLUMNS($AC$1006:AS1006),$AC$1006:$AS$1006,0)))),"Fix")))</f>
        <v>0</v>
      </c>
      <c r="V647">
        <v>0</v>
      </c>
      <c r="W647">
        <v>0</v>
      </c>
      <c r="X647">
        <v>0</v>
      </c>
      <c r="Y647">
        <f>IF(Z647,TRUE,AND(AC647:AS647))</f>
        <v>0</v>
      </c>
      <c r="Z647">
        <f>COUNTBLANK(Metadata!B647:R647)=COLUMNS(Metadata!B647:R647)</f>
        <v>0</v>
      </c>
      <c r="AA647">
        <v>0</v>
      </c>
      <c r="AC647">
        <f>AND(IF(Metadata!B647="",FALSE,TRUE),COUNTIF(Metadata!B:B, Metadata!B647) = 1,NOT(ISERROR(SUMPRODUCT(SEARCH(MID(Metadata!B647,ROW(INDIRECT("1:"&amp;LEN(Metadata!B647))), 1),"0123456789abcdefghijklmnopqrstuvwxyzABCDEFGHIJKLMNOPQRSTUVWXYZ.")))))</f>
        <v>0</v>
      </c>
      <c r="AD647">
        <f>AND(IF(Metadata!C647="",FALSE,TRUE),exact(Metadata!C647,"Host-associated"))</f>
        <v>0</v>
      </c>
      <c r="AE647">
        <f>AND(IF(Metadata!D647="",FALSE,TRUE),OR(exact(Metadata!D647,"Animal"),exact(Metadata!D647,"Fungus"),exact(Metadata!D647,"Plant")))</f>
        <v>0</v>
      </c>
      <c r="AF647">
        <f>AND(IF(Metadata!E647="",FALSE,TRUE),OR(exact(Metadata!E647,"Plant secretion"),exact(Metadata!E647,"Plant rhizosphere"),exact(Metadata!E647,"Plant surface"),exact(Metadata!E647,"Plant corpus"),exact(Metadata!E647,"Fungus surface"),exact(Metadata!E647,"Fungus corpus"),exact(Metadata!E647,"Animal surface"),exact(Metadata!E647,"Animal proximal gut"),exact(Metadata!E647,"Animal corpus"),exact(Metadata!E647,"Animal distal gut"),exact(Metadata!E647,"Animal secretion")))</f>
        <v>0</v>
      </c>
      <c r="AG647">
        <f>OR(AND(IF(Metadata!F647="",FALSE,TRUE),OR(exact(Metadata!F647,"not collected"),exact(Metadata!F647,"not provided"),exact(Metadata!F647,"restricted access"))),AND(IF(Metadata!F647="",FALSE,TRUE),OR(exact(Metadata!F647,"organism-associated habitat"),exact(Metadata!F647,"plant-associated habitat"),exact(Metadata!F647,"animal-associated habitat"),exact(Metadata!F647,"insecta-associated habitat"),exact(Metadata!F647,"mammalia-associated habitat"),exact(Metadata!F647,"human-associated habitat"),exact(Metadata!F647,"livestock-associated habitat"))))</f>
        <v>0</v>
      </c>
      <c r="AH647">
        <f>AND(IF(Metadata!G647="",FALSE,TRUE),exact(Metadata!G647,"host-associated"))</f>
        <v>0</v>
      </c>
      <c r="AI647">
        <f>OR(AND(IF(Metadata!H647="",FALSE,TRUE),OR(exact(Metadata!H647,"not collected"),exact(Metadata!H647,"not provided"))),AND(IF(Metadata!H647="",FALSE,ISNUMBER(VALUE(Metadata!H647))),Metadata!H647&gt;0))</f>
        <v>0</v>
      </c>
      <c r="AJ647">
        <f>AND(IF(Metadata!I647="",FALSE,TRUE),exact(Metadata!I647,"years"))</f>
        <v>0</v>
      </c>
      <c r="AK647">
        <f>IF(Metadata!J647="",FALSE,TRUE)</f>
        <v>0</v>
      </c>
      <c r="AL647">
        <f>OR(AND(IF(Metadata!K647="",FALSE,TRUE),OR(exact(Metadata!K647,"not collected"),exact(Metadata!K647,"not provided"))),AND(IF(Metadata!K647="",FALSE,ISNUMBER(VALUE(Metadata!K647))),Metadata!K647&gt;0))</f>
        <v>0</v>
      </c>
      <c r="AM647">
        <f>AND(IF(Metadata!L647="",FALSE,TRUE),exact(Metadata!L647,"cm"))</f>
        <v>0</v>
      </c>
      <c r="AN647">
        <f>IF(Metadata!M647="",FALSE,TRUE)</f>
        <v>0</v>
      </c>
      <c r="AO647">
        <f>OR(AND(IF(Metadata!N647="",FALSE,TRUE),OR(exact(Metadata!N647,"not applicable"),exact(Metadata!N647,"not collected"),exact(Metadata!N647,"not provided"))),AND(IF(Metadata!N647="",FALSE,IF(ISERROR(INT(Metadata!N647)),FALSE,INT(Metadata!N647)=Metadata!N647)),Metadata!N647&gt;0))</f>
        <v>0</v>
      </c>
      <c r="AP647">
        <f>OR(AND(IF(Metadata!O647="",FALSE,TRUE),OR(exact(Metadata!O647,"not collected"),exact(Metadata!O647,"not provided"))),AND(IF(Metadata!O647="",FALSE,ISNUMBER(VALUE(Metadata!O647))),Metadata!O647&gt;0))</f>
        <v>0</v>
      </c>
      <c r="AQ647">
        <f>AND(IF(Metadata!P647="",FALSE,TRUE),exact(Metadata!P647,"kg"))</f>
        <v>0</v>
      </c>
      <c r="AR647">
        <f>OR(AND(IF(Metadata!Q647="",FALSE,TRUE),OR(exact(Metadata!Q647,"not applicable"),exact(Metadata!Q647,"not collected"),exact(Metadata!Q647,"not provided"),exact(Metadata!Q647,"restricted access"))),IF(Metadata!Q647="",FALSE,IF(ISERROR(INT(Metadata!Q647)),FALSE,INT(Metadata!Q647)=Metadata!Q647)))</f>
        <v>0</v>
      </c>
      <c r="AS647">
        <f>AND(IF(Metadata!R647="",FALSE,TRUE),exact(Metadata!R647,"Not applicable"))</f>
        <v>0</v>
      </c>
    </row>
    <row r="648" spans="1:45">
      <c r="A648" s="4">
        <f>IF(B648=" "," ",HYPERLINK(CONCATENATE("#metadata!",ADDRESS(INDEX($X$2:$X$1001,MATCH(ROWS($V$2:V648),$V$2:$V$1001,0),0),2)),INDEX($AA$2:$AA$1001,MATCH(ROWS($V$2:V648),$V$2:$V$1001,0),0)))</f>
        <v>0</v>
      </c>
      <c r="B648" s="5">
        <f>IF(OR(INDEX($W$2:$W$1001,MATCH(ROWS($V$2:V648),$V$2:$V$1001,0),1)&gt;=100000,INDEX($AC$1005:$AS$1005,1,MATCH(COLUMNS($AC$1006:AC1006),$AC$1006:$AS$1006,0))&gt;=100000), " ",IF(INDEX($AC$2:$AS$1001,MATCH(ROWS($V$2:V648),$V$2:$V$1001,0),MATCH(COLUMNS($AC$1006:AC1006),$AC$1006:$AS$1006,0)), HYPERLINK("#",""), HYPERLINK(CONCATENATE("#Metadata!", ADDRESS(INDEX($X$2:$X$1001,MATCH(ROWS($V$2:V648),$V$2:$V$1001,0),0), INDEX($AC$1004:$AS$1004,1,MATCH(COLUMNS($AC$1006:AC1006),$AC$1006:$AS$1006,0)))),"Fix")))</f>
        <v>0</v>
      </c>
      <c r="C648" s="5">
        <f>IF(OR(INDEX($W$2:$W$1001,MATCH(ROWS($V$2:V648),$V$2:$V$1001,0),1)&gt;=100000,INDEX($AC$1005:$AS$1005,1,MATCH(COLUMNS($AC$1006:AD1006),$AC$1006:$AS$1006,0))&gt;=100000), " ",IF(INDEX($AC$2:$AS$1001,MATCH(ROWS($V$2:V648),$V$2:$V$1001,0),MATCH(COLUMNS($AC$1006:AD1006),$AC$1006:$AS$1006,0)), HYPERLINK("#",""), HYPERLINK(CONCATENATE("#Metadata!", ADDRESS(INDEX($X$2:$X$1001,MATCH(ROWS($V$2:V648),$V$2:$V$1001,0),0), INDEX($AC$1004:$AS$1004,1,MATCH(COLUMNS($AC$1006:AD1006),$AC$1006:$AS$1006,0)))),"Fix")))</f>
        <v>0</v>
      </c>
      <c r="D648" s="5">
        <f>IF(OR(INDEX($W$2:$W$1001,MATCH(ROWS($V$2:V648),$V$2:$V$1001,0),1)&gt;=100000,INDEX($AC$1005:$AS$1005,1,MATCH(COLUMNS($AC$1006:AE1006),$AC$1006:$AS$1006,0))&gt;=100000), " ",IF(INDEX($AC$2:$AS$1001,MATCH(ROWS($V$2:V648),$V$2:$V$1001,0),MATCH(COLUMNS($AC$1006:AE1006),$AC$1006:$AS$1006,0)), HYPERLINK("#",""), HYPERLINK(CONCATENATE("#Metadata!", ADDRESS(INDEX($X$2:$X$1001,MATCH(ROWS($V$2:V648),$V$2:$V$1001,0),0), INDEX($AC$1004:$AS$1004,1,MATCH(COLUMNS($AC$1006:AE1006),$AC$1006:$AS$1006,0)))),"Fix")))</f>
        <v>0</v>
      </c>
      <c r="E648" s="5">
        <f>IF(OR(INDEX($W$2:$W$1001,MATCH(ROWS($V$2:V648),$V$2:$V$1001,0),1)&gt;=100000,INDEX($AC$1005:$AS$1005,1,MATCH(COLUMNS($AC$1006:AF1006),$AC$1006:$AS$1006,0))&gt;=100000), " ",IF(INDEX($AC$2:$AS$1001,MATCH(ROWS($V$2:V648),$V$2:$V$1001,0),MATCH(COLUMNS($AC$1006:AF1006),$AC$1006:$AS$1006,0)), HYPERLINK("#",""), HYPERLINK(CONCATENATE("#Metadata!", ADDRESS(INDEX($X$2:$X$1001,MATCH(ROWS($V$2:V648),$V$2:$V$1001,0),0), INDEX($AC$1004:$AS$1004,1,MATCH(COLUMNS($AC$1006:AF1006),$AC$1006:$AS$1006,0)))),"Fix")))</f>
        <v>0</v>
      </c>
      <c r="F648" s="5">
        <f>IF(OR(INDEX($W$2:$W$1001,MATCH(ROWS($V$2:V648),$V$2:$V$1001,0),1)&gt;=100000,INDEX($AC$1005:$AS$1005,1,MATCH(COLUMNS($AC$1006:AG1006),$AC$1006:$AS$1006,0))&gt;=100000), " ",IF(INDEX($AC$2:$AS$1001,MATCH(ROWS($V$2:V648),$V$2:$V$1001,0),MATCH(COLUMNS($AC$1006:AG1006),$AC$1006:$AS$1006,0)), HYPERLINK("#",""), HYPERLINK(CONCATENATE("#Metadata!", ADDRESS(INDEX($X$2:$X$1001,MATCH(ROWS($V$2:V648),$V$2:$V$1001,0),0), INDEX($AC$1004:$AS$1004,1,MATCH(COLUMNS($AC$1006:AG1006),$AC$1006:$AS$1006,0)))),"Fix")))</f>
        <v>0</v>
      </c>
      <c r="G648" s="5">
        <f>IF(OR(INDEX($W$2:$W$1001,MATCH(ROWS($V$2:V648),$V$2:$V$1001,0),1)&gt;=100000,INDEX($AC$1005:$AS$1005,1,MATCH(COLUMNS($AC$1006:AH1006),$AC$1006:$AS$1006,0))&gt;=100000), " ",IF(INDEX($AC$2:$AS$1001,MATCH(ROWS($V$2:V648),$V$2:$V$1001,0),MATCH(COLUMNS($AC$1006:AH1006),$AC$1006:$AS$1006,0)), HYPERLINK("#",""), HYPERLINK(CONCATENATE("#Metadata!", ADDRESS(INDEX($X$2:$X$1001,MATCH(ROWS($V$2:V648),$V$2:$V$1001,0),0), INDEX($AC$1004:$AS$1004,1,MATCH(COLUMNS($AC$1006:AH1006),$AC$1006:$AS$1006,0)))),"Fix")))</f>
        <v>0</v>
      </c>
      <c r="H648" s="5">
        <f>IF(OR(INDEX($W$2:$W$1001,MATCH(ROWS($V$2:V648),$V$2:$V$1001,0),1)&gt;=100000,INDEX($AC$1005:$AS$1005,1,MATCH(COLUMNS($AC$1006:AI1006),$AC$1006:$AS$1006,0))&gt;=100000), " ",IF(INDEX($AC$2:$AS$1001,MATCH(ROWS($V$2:V648),$V$2:$V$1001,0),MATCH(COLUMNS($AC$1006:AI1006),$AC$1006:$AS$1006,0)), HYPERLINK("#",""), HYPERLINK(CONCATENATE("#Metadata!", ADDRESS(INDEX($X$2:$X$1001,MATCH(ROWS($V$2:V648),$V$2:$V$1001,0),0), INDEX($AC$1004:$AS$1004,1,MATCH(COLUMNS($AC$1006:AI1006),$AC$1006:$AS$1006,0)))),"Fix")))</f>
        <v>0</v>
      </c>
      <c r="I648" s="5">
        <f>IF(OR(INDEX($W$2:$W$1001,MATCH(ROWS($V$2:V648),$V$2:$V$1001,0),1)&gt;=100000,INDEX($AC$1005:$AS$1005,1,MATCH(COLUMNS($AC$1006:AJ1006),$AC$1006:$AS$1006,0))&gt;=100000), " ",IF(INDEX($AC$2:$AS$1001,MATCH(ROWS($V$2:V648),$V$2:$V$1001,0),MATCH(COLUMNS($AC$1006:AJ1006),$AC$1006:$AS$1006,0)), HYPERLINK("#",""), HYPERLINK(CONCATENATE("#Metadata!", ADDRESS(INDEX($X$2:$X$1001,MATCH(ROWS($V$2:V648),$V$2:$V$1001,0),0), INDEX($AC$1004:$AS$1004,1,MATCH(COLUMNS($AC$1006:AJ1006),$AC$1006:$AS$1006,0)))),"Fix")))</f>
        <v>0</v>
      </c>
      <c r="J648" s="5">
        <f>IF(OR(INDEX($W$2:$W$1001,MATCH(ROWS($V$2:V648),$V$2:$V$1001,0),1)&gt;=100000,INDEX($AC$1005:$AS$1005,1,MATCH(COLUMNS($AC$1006:AK1006),$AC$1006:$AS$1006,0))&gt;=100000), " ",IF(INDEX($AC$2:$AS$1001,MATCH(ROWS($V$2:V648),$V$2:$V$1001,0),MATCH(COLUMNS($AC$1006:AK1006),$AC$1006:$AS$1006,0)), HYPERLINK("#",""), HYPERLINK(CONCATENATE("#Metadata!", ADDRESS(INDEX($X$2:$X$1001,MATCH(ROWS($V$2:V648),$V$2:$V$1001,0),0), INDEX($AC$1004:$AS$1004,1,MATCH(COLUMNS($AC$1006:AK1006),$AC$1006:$AS$1006,0)))),"Fix")))</f>
        <v>0</v>
      </c>
      <c r="K648" s="5">
        <f>IF(OR(INDEX($W$2:$W$1001,MATCH(ROWS($V$2:V648),$V$2:$V$1001,0),1)&gt;=100000,INDEX($AC$1005:$AS$1005,1,MATCH(COLUMNS($AC$1006:AL1006),$AC$1006:$AS$1006,0))&gt;=100000), " ",IF(INDEX($AC$2:$AS$1001,MATCH(ROWS($V$2:V648),$V$2:$V$1001,0),MATCH(COLUMNS($AC$1006:AL1006),$AC$1006:$AS$1006,0)), HYPERLINK("#",""), HYPERLINK(CONCATENATE("#Metadata!", ADDRESS(INDEX($X$2:$X$1001,MATCH(ROWS($V$2:V648),$V$2:$V$1001,0),0), INDEX($AC$1004:$AS$1004,1,MATCH(COLUMNS($AC$1006:AL1006),$AC$1006:$AS$1006,0)))),"Fix")))</f>
        <v>0</v>
      </c>
      <c r="L648" s="5">
        <f>IF(OR(INDEX($W$2:$W$1001,MATCH(ROWS($V$2:V648),$V$2:$V$1001,0),1)&gt;=100000,INDEX($AC$1005:$AS$1005,1,MATCH(COLUMNS($AC$1006:AM1006),$AC$1006:$AS$1006,0))&gt;=100000), " ",IF(INDEX($AC$2:$AS$1001,MATCH(ROWS($V$2:V648),$V$2:$V$1001,0),MATCH(COLUMNS($AC$1006:AM1006),$AC$1006:$AS$1006,0)), HYPERLINK("#",""), HYPERLINK(CONCATENATE("#Metadata!", ADDRESS(INDEX($X$2:$X$1001,MATCH(ROWS($V$2:V648),$V$2:$V$1001,0),0), INDEX($AC$1004:$AS$1004,1,MATCH(COLUMNS($AC$1006:AM1006),$AC$1006:$AS$1006,0)))),"Fix")))</f>
        <v>0</v>
      </c>
      <c r="M648" s="5">
        <f>IF(OR(INDEX($W$2:$W$1001,MATCH(ROWS($V$2:V648),$V$2:$V$1001,0),1)&gt;=100000,INDEX($AC$1005:$AS$1005,1,MATCH(COLUMNS($AC$1006:AN1006),$AC$1006:$AS$1006,0))&gt;=100000), " ",IF(INDEX($AC$2:$AS$1001,MATCH(ROWS($V$2:V648),$V$2:$V$1001,0),MATCH(COLUMNS($AC$1006:AN1006),$AC$1006:$AS$1006,0)), HYPERLINK("#",""), HYPERLINK(CONCATENATE("#Metadata!", ADDRESS(INDEX($X$2:$X$1001,MATCH(ROWS($V$2:V648),$V$2:$V$1001,0),0), INDEX($AC$1004:$AS$1004,1,MATCH(COLUMNS($AC$1006:AN1006),$AC$1006:$AS$1006,0)))),"Fix")))</f>
        <v>0</v>
      </c>
      <c r="N648" s="5">
        <f>IF(OR(INDEX($W$2:$W$1001,MATCH(ROWS($V$2:V648),$V$2:$V$1001,0),1)&gt;=100000,INDEX($AC$1005:$AS$1005,1,MATCH(COLUMNS($AC$1006:AO1006),$AC$1006:$AS$1006,0))&gt;=100000), " ",IF(INDEX($AC$2:$AS$1001,MATCH(ROWS($V$2:V648),$V$2:$V$1001,0),MATCH(COLUMNS($AC$1006:AO1006),$AC$1006:$AS$1006,0)), HYPERLINK("#",""), HYPERLINK(CONCATENATE("#Metadata!", ADDRESS(INDEX($X$2:$X$1001,MATCH(ROWS($V$2:V648),$V$2:$V$1001,0),0), INDEX($AC$1004:$AS$1004,1,MATCH(COLUMNS($AC$1006:AO1006),$AC$1006:$AS$1006,0)))),"Fix")))</f>
        <v>0</v>
      </c>
      <c r="O648" s="5">
        <f>IF(OR(INDEX($W$2:$W$1001,MATCH(ROWS($V$2:V648),$V$2:$V$1001,0),1)&gt;=100000,INDEX($AC$1005:$AS$1005,1,MATCH(COLUMNS($AC$1006:AP1006),$AC$1006:$AS$1006,0))&gt;=100000), " ",IF(INDEX($AC$2:$AS$1001,MATCH(ROWS($V$2:V648),$V$2:$V$1001,0),MATCH(COLUMNS($AC$1006:AP1006),$AC$1006:$AS$1006,0)), HYPERLINK("#",""), HYPERLINK(CONCATENATE("#Metadata!", ADDRESS(INDEX($X$2:$X$1001,MATCH(ROWS($V$2:V648),$V$2:$V$1001,0),0), INDEX($AC$1004:$AS$1004,1,MATCH(COLUMNS($AC$1006:AP1006),$AC$1006:$AS$1006,0)))),"Fix")))</f>
        <v>0</v>
      </c>
      <c r="P648" s="5">
        <f>IF(OR(INDEX($W$2:$W$1001,MATCH(ROWS($V$2:V648),$V$2:$V$1001,0),1)&gt;=100000,INDEX($AC$1005:$AS$1005,1,MATCH(COLUMNS($AC$1006:AQ1006),$AC$1006:$AS$1006,0))&gt;=100000), " ",IF(INDEX($AC$2:$AS$1001,MATCH(ROWS($V$2:V648),$V$2:$V$1001,0),MATCH(COLUMNS($AC$1006:AQ1006),$AC$1006:$AS$1006,0)), HYPERLINK("#",""), HYPERLINK(CONCATENATE("#Metadata!", ADDRESS(INDEX($X$2:$X$1001,MATCH(ROWS($V$2:V648),$V$2:$V$1001,0),0), INDEX($AC$1004:$AS$1004,1,MATCH(COLUMNS($AC$1006:AQ1006),$AC$1006:$AS$1006,0)))),"Fix")))</f>
        <v>0</v>
      </c>
      <c r="Q648" s="5">
        <f>IF(OR(INDEX($W$2:$W$1001,MATCH(ROWS($V$2:V648),$V$2:$V$1001,0),1)&gt;=100000,INDEX($AC$1005:$AS$1005,1,MATCH(COLUMNS($AC$1006:AR1006),$AC$1006:$AS$1006,0))&gt;=100000), " ",IF(INDEX($AC$2:$AS$1001,MATCH(ROWS($V$2:V648),$V$2:$V$1001,0),MATCH(COLUMNS($AC$1006:AR1006),$AC$1006:$AS$1006,0)), HYPERLINK("#",""), HYPERLINK(CONCATENATE("#Metadata!", ADDRESS(INDEX($X$2:$X$1001,MATCH(ROWS($V$2:V648),$V$2:$V$1001,0),0), INDEX($AC$1004:$AS$1004,1,MATCH(COLUMNS($AC$1006:AR1006),$AC$1006:$AS$1006,0)))),"Fix")))</f>
        <v>0</v>
      </c>
      <c r="R648" s="5">
        <f>IF(OR(INDEX($W$2:$W$1001,MATCH(ROWS($V$2:V648),$V$2:$V$1001,0),1)&gt;=100000,INDEX($AC$1005:$AS$1005,1,MATCH(COLUMNS($AC$1006:AS1006),$AC$1006:$AS$1006,0))&gt;=100000), " ",IF(INDEX($AC$2:$AS$1001,MATCH(ROWS($V$2:V648),$V$2:$V$1001,0),MATCH(COLUMNS($AC$1006:AS1006),$AC$1006:$AS$1006,0)), HYPERLINK("#",""), HYPERLINK(CONCATENATE("#Metadata!", ADDRESS(INDEX($X$2:$X$1001,MATCH(ROWS($V$2:V648),$V$2:$V$1001,0),0), INDEX($AC$1004:$AS$1004,1,MATCH(COLUMNS($AC$1006:AS1006),$AC$1006:$AS$1006,0)))),"Fix")))</f>
        <v>0</v>
      </c>
      <c r="V648">
        <v>0</v>
      </c>
      <c r="W648">
        <v>0</v>
      </c>
      <c r="X648">
        <v>0</v>
      </c>
      <c r="Y648">
        <f>IF(Z648,TRUE,AND(AC648:AS648))</f>
        <v>0</v>
      </c>
      <c r="Z648">
        <f>COUNTBLANK(Metadata!B648:R648)=COLUMNS(Metadata!B648:R648)</f>
        <v>0</v>
      </c>
      <c r="AA648">
        <v>0</v>
      </c>
      <c r="AC648">
        <f>AND(IF(Metadata!B648="",FALSE,TRUE),COUNTIF(Metadata!B:B, Metadata!B648) = 1,NOT(ISERROR(SUMPRODUCT(SEARCH(MID(Metadata!B648,ROW(INDIRECT("1:"&amp;LEN(Metadata!B648))), 1),"0123456789abcdefghijklmnopqrstuvwxyzABCDEFGHIJKLMNOPQRSTUVWXYZ.")))))</f>
        <v>0</v>
      </c>
      <c r="AD648">
        <f>AND(IF(Metadata!C648="",FALSE,TRUE),exact(Metadata!C648,"Host-associated"))</f>
        <v>0</v>
      </c>
      <c r="AE648">
        <f>AND(IF(Metadata!D648="",FALSE,TRUE),OR(exact(Metadata!D648,"Animal"),exact(Metadata!D648,"Fungus"),exact(Metadata!D648,"Plant")))</f>
        <v>0</v>
      </c>
      <c r="AF648">
        <f>AND(IF(Metadata!E648="",FALSE,TRUE),OR(exact(Metadata!E648,"Plant secretion"),exact(Metadata!E648,"Plant rhizosphere"),exact(Metadata!E648,"Plant surface"),exact(Metadata!E648,"Plant corpus"),exact(Metadata!E648,"Fungus surface"),exact(Metadata!E648,"Fungus corpus"),exact(Metadata!E648,"Animal surface"),exact(Metadata!E648,"Animal proximal gut"),exact(Metadata!E648,"Animal corpus"),exact(Metadata!E648,"Animal distal gut"),exact(Metadata!E648,"Animal secretion")))</f>
        <v>0</v>
      </c>
      <c r="AG648">
        <f>OR(AND(IF(Metadata!F648="",FALSE,TRUE),OR(exact(Metadata!F648,"not collected"),exact(Metadata!F648,"not provided"),exact(Metadata!F648,"restricted access"))),AND(IF(Metadata!F648="",FALSE,TRUE),OR(exact(Metadata!F648,"organism-associated habitat"),exact(Metadata!F648,"plant-associated habitat"),exact(Metadata!F648,"animal-associated habitat"),exact(Metadata!F648,"insecta-associated habitat"),exact(Metadata!F648,"mammalia-associated habitat"),exact(Metadata!F648,"human-associated habitat"),exact(Metadata!F648,"livestock-associated habitat"))))</f>
        <v>0</v>
      </c>
      <c r="AH648">
        <f>AND(IF(Metadata!G648="",FALSE,TRUE),exact(Metadata!G648,"host-associated"))</f>
        <v>0</v>
      </c>
      <c r="AI648">
        <f>OR(AND(IF(Metadata!H648="",FALSE,TRUE),OR(exact(Metadata!H648,"not collected"),exact(Metadata!H648,"not provided"))),AND(IF(Metadata!H648="",FALSE,ISNUMBER(VALUE(Metadata!H648))),Metadata!H648&gt;0))</f>
        <v>0</v>
      </c>
      <c r="AJ648">
        <f>AND(IF(Metadata!I648="",FALSE,TRUE),exact(Metadata!I648,"years"))</f>
        <v>0</v>
      </c>
      <c r="AK648">
        <f>IF(Metadata!J648="",FALSE,TRUE)</f>
        <v>0</v>
      </c>
      <c r="AL648">
        <f>OR(AND(IF(Metadata!K648="",FALSE,TRUE),OR(exact(Metadata!K648,"not collected"),exact(Metadata!K648,"not provided"))),AND(IF(Metadata!K648="",FALSE,ISNUMBER(VALUE(Metadata!K648))),Metadata!K648&gt;0))</f>
        <v>0</v>
      </c>
      <c r="AM648">
        <f>AND(IF(Metadata!L648="",FALSE,TRUE),exact(Metadata!L648,"cm"))</f>
        <v>0</v>
      </c>
      <c r="AN648">
        <f>IF(Metadata!M648="",FALSE,TRUE)</f>
        <v>0</v>
      </c>
      <c r="AO648">
        <f>OR(AND(IF(Metadata!N648="",FALSE,TRUE),OR(exact(Metadata!N648,"not applicable"),exact(Metadata!N648,"not collected"),exact(Metadata!N648,"not provided"))),AND(IF(Metadata!N648="",FALSE,IF(ISERROR(INT(Metadata!N648)),FALSE,INT(Metadata!N648)=Metadata!N648)),Metadata!N648&gt;0))</f>
        <v>0</v>
      </c>
      <c r="AP648">
        <f>OR(AND(IF(Metadata!O648="",FALSE,TRUE),OR(exact(Metadata!O648,"not collected"),exact(Metadata!O648,"not provided"))),AND(IF(Metadata!O648="",FALSE,ISNUMBER(VALUE(Metadata!O648))),Metadata!O648&gt;0))</f>
        <v>0</v>
      </c>
      <c r="AQ648">
        <f>AND(IF(Metadata!P648="",FALSE,TRUE),exact(Metadata!P648,"kg"))</f>
        <v>0</v>
      </c>
      <c r="AR648">
        <f>OR(AND(IF(Metadata!Q648="",FALSE,TRUE),OR(exact(Metadata!Q648,"not applicable"),exact(Metadata!Q648,"not collected"),exact(Metadata!Q648,"not provided"),exact(Metadata!Q648,"restricted access"))),IF(Metadata!Q648="",FALSE,IF(ISERROR(INT(Metadata!Q648)),FALSE,INT(Metadata!Q648)=Metadata!Q648)))</f>
        <v>0</v>
      </c>
      <c r="AS648">
        <f>AND(IF(Metadata!R648="",FALSE,TRUE),exact(Metadata!R648,"Not applicable"))</f>
        <v>0</v>
      </c>
    </row>
    <row r="649" spans="1:45">
      <c r="A649" s="4">
        <f>IF(B649=" "," ",HYPERLINK(CONCATENATE("#metadata!",ADDRESS(INDEX($X$2:$X$1001,MATCH(ROWS($V$2:V649),$V$2:$V$1001,0),0),2)),INDEX($AA$2:$AA$1001,MATCH(ROWS($V$2:V649),$V$2:$V$1001,0),0)))</f>
        <v>0</v>
      </c>
      <c r="B649" s="5">
        <f>IF(OR(INDEX($W$2:$W$1001,MATCH(ROWS($V$2:V649),$V$2:$V$1001,0),1)&gt;=100000,INDEX($AC$1005:$AS$1005,1,MATCH(COLUMNS($AC$1006:AC1006),$AC$1006:$AS$1006,0))&gt;=100000), " ",IF(INDEX($AC$2:$AS$1001,MATCH(ROWS($V$2:V649),$V$2:$V$1001,0),MATCH(COLUMNS($AC$1006:AC1006),$AC$1006:$AS$1006,0)), HYPERLINK("#",""), HYPERLINK(CONCATENATE("#Metadata!", ADDRESS(INDEX($X$2:$X$1001,MATCH(ROWS($V$2:V649),$V$2:$V$1001,0),0), INDEX($AC$1004:$AS$1004,1,MATCH(COLUMNS($AC$1006:AC1006),$AC$1006:$AS$1006,0)))),"Fix")))</f>
        <v>0</v>
      </c>
      <c r="C649" s="5">
        <f>IF(OR(INDEX($W$2:$W$1001,MATCH(ROWS($V$2:V649),$V$2:$V$1001,0),1)&gt;=100000,INDEX($AC$1005:$AS$1005,1,MATCH(COLUMNS($AC$1006:AD1006),$AC$1006:$AS$1006,0))&gt;=100000), " ",IF(INDEX($AC$2:$AS$1001,MATCH(ROWS($V$2:V649),$V$2:$V$1001,0),MATCH(COLUMNS($AC$1006:AD1006),$AC$1006:$AS$1006,0)), HYPERLINK("#",""), HYPERLINK(CONCATENATE("#Metadata!", ADDRESS(INDEX($X$2:$X$1001,MATCH(ROWS($V$2:V649),$V$2:$V$1001,0),0), INDEX($AC$1004:$AS$1004,1,MATCH(COLUMNS($AC$1006:AD1006),$AC$1006:$AS$1006,0)))),"Fix")))</f>
        <v>0</v>
      </c>
      <c r="D649" s="5">
        <f>IF(OR(INDEX($W$2:$W$1001,MATCH(ROWS($V$2:V649),$V$2:$V$1001,0),1)&gt;=100000,INDEX($AC$1005:$AS$1005,1,MATCH(COLUMNS($AC$1006:AE1006),$AC$1006:$AS$1006,0))&gt;=100000), " ",IF(INDEX($AC$2:$AS$1001,MATCH(ROWS($V$2:V649),$V$2:$V$1001,0),MATCH(COLUMNS($AC$1006:AE1006),$AC$1006:$AS$1006,0)), HYPERLINK("#",""), HYPERLINK(CONCATENATE("#Metadata!", ADDRESS(INDEX($X$2:$X$1001,MATCH(ROWS($V$2:V649),$V$2:$V$1001,0),0), INDEX($AC$1004:$AS$1004,1,MATCH(COLUMNS($AC$1006:AE1006),$AC$1006:$AS$1006,0)))),"Fix")))</f>
        <v>0</v>
      </c>
      <c r="E649" s="5">
        <f>IF(OR(INDEX($W$2:$W$1001,MATCH(ROWS($V$2:V649),$V$2:$V$1001,0),1)&gt;=100000,INDEX($AC$1005:$AS$1005,1,MATCH(COLUMNS($AC$1006:AF1006),$AC$1006:$AS$1006,0))&gt;=100000), " ",IF(INDEX($AC$2:$AS$1001,MATCH(ROWS($V$2:V649),$V$2:$V$1001,0),MATCH(COLUMNS($AC$1006:AF1006),$AC$1006:$AS$1006,0)), HYPERLINK("#",""), HYPERLINK(CONCATENATE("#Metadata!", ADDRESS(INDEX($X$2:$X$1001,MATCH(ROWS($V$2:V649),$V$2:$V$1001,0),0), INDEX($AC$1004:$AS$1004,1,MATCH(COLUMNS($AC$1006:AF1006),$AC$1006:$AS$1006,0)))),"Fix")))</f>
        <v>0</v>
      </c>
      <c r="F649" s="5">
        <f>IF(OR(INDEX($W$2:$W$1001,MATCH(ROWS($V$2:V649),$V$2:$V$1001,0),1)&gt;=100000,INDEX($AC$1005:$AS$1005,1,MATCH(COLUMNS($AC$1006:AG1006),$AC$1006:$AS$1006,0))&gt;=100000), " ",IF(INDEX($AC$2:$AS$1001,MATCH(ROWS($V$2:V649),$V$2:$V$1001,0),MATCH(COLUMNS($AC$1006:AG1006),$AC$1006:$AS$1006,0)), HYPERLINK("#",""), HYPERLINK(CONCATENATE("#Metadata!", ADDRESS(INDEX($X$2:$X$1001,MATCH(ROWS($V$2:V649),$V$2:$V$1001,0),0), INDEX($AC$1004:$AS$1004,1,MATCH(COLUMNS($AC$1006:AG1006),$AC$1006:$AS$1006,0)))),"Fix")))</f>
        <v>0</v>
      </c>
      <c r="G649" s="5">
        <f>IF(OR(INDEX($W$2:$W$1001,MATCH(ROWS($V$2:V649),$V$2:$V$1001,0),1)&gt;=100000,INDEX($AC$1005:$AS$1005,1,MATCH(COLUMNS($AC$1006:AH1006),$AC$1006:$AS$1006,0))&gt;=100000), " ",IF(INDEX($AC$2:$AS$1001,MATCH(ROWS($V$2:V649),$V$2:$V$1001,0),MATCH(COLUMNS($AC$1006:AH1006),$AC$1006:$AS$1006,0)), HYPERLINK("#",""), HYPERLINK(CONCATENATE("#Metadata!", ADDRESS(INDEX($X$2:$X$1001,MATCH(ROWS($V$2:V649),$V$2:$V$1001,0),0), INDEX($AC$1004:$AS$1004,1,MATCH(COLUMNS($AC$1006:AH1006),$AC$1006:$AS$1006,0)))),"Fix")))</f>
        <v>0</v>
      </c>
      <c r="H649" s="5">
        <f>IF(OR(INDEX($W$2:$W$1001,MATCH(ROWS($V$2:V649),$V$2:$V$1001,0),1)&gt;=100000,INDEX($AC$1005:$AS$1005,1,MATCH(COLUMNS($AC$1006:AI1006),$AC$1006:$AS$1006,0))&gt;=100000), " ",IF(INDEX($AC$2:$AS$1001,MATCH(ROWS($V$2:V649),$V$2:$V$1001,0),MATCH(COLUMNS($AC$1006:AI1006),$AC$1006:$AS$1006,0)), HYPERLINK("#",""), HYPERLINK(CONCATENATE("#Metadata!", ADDRESS(INDEX($X$2:$X$1001,MATCH(ROWS($V$2:V649),$V$2:$V$1001,0),0), INDEX($AC$1004:$AS$1004,1,MATCH(COLUMNS($AC$1006:AI1006),$AC$1006:$AS$1006,0)))),"Fix")))</f>
        <v>0</v>
      </c>
      <c r="I649" s="5">
        <f>IF(OR(INDEX($W$2:$W$1001,MATCH(ROWS($V$2:V649),$V$2:$V$1001,0),1)&gt;=100000,INDEX($AC$1005:$AS$1005,1,MATCH(COLUMNS($AC$1006:AJ1006),$AC$1006:$AS$1006,0))&gt;=100000), " ",IF(INDEX($AC$2:$AS$1001,MATCH(ROWS($V$2:V649),$V$2:$V$1001,0),MATCH(COLUMNS($AC$1006:AJ1006),$AC$1006:$AS$1006,0)), HYPERLINK("#",""), HYPERLINK(CONCATENATE("#Metadata!", ADDRESS(INDEX($X$2:$X$1001,MATCH(ROWS($V$2:V649),$V$2:$V$1001,0),0), INDEX($AC$1004:$AS$1004,1,MATCH(COLUMNS($AC$1006:AJ1006),$AC$1006:$AS$1006,0)))),"Fix")))</f>
        <v>0</v>
      </c>
      <c r="J649" s="5">
        <f>IF(OR(INDEX($W$2:$W$1001,MATCH(ROWS($V$2:V649),$V$2:$V$1001,0),1)&gt;=100000,INDEX($AC$1005:$AS$1005,1,MATCH(COLUMNS($AC$1006:AK1006),$AC$1006:$AS$1006,0))&gt;=100000), " ",IF(INDEX($AC$2:$AS$1001,MATCH(ROWS($V$2:V649),$V$2:$V$1001,0),MATCH(COLUMNS($AC$1006:AK1006),$AC$1006:$AS$1006,0)), HYPERLINK("#",""), HYPERLINK(CONCATENATE("#Metadata!", ADDRESS(INDEX($X$2:$X$1001,MATCH(ROWS($V$2:V649),$V$2:$V$1001,0),0), INDEX($AC$1004:$AS$1004,1,MATCH(COLUMNS($AC$1006:AK1006),$AC$1006:$AS$1006,0)))),"Fix")))</f>
        <v>0</v>
      </c>
      <c r="K649" s="5">
        <f>IF(OR(INDEX($W$2:$W$1001,MATCH(ROWS($V$2:V649),$V$2:$V$1001,0),1)&gt;=100000,INDEX($AC$1005:$AS$1005,1,MATCH(COLUMNS($AC$1006:AL1006),$AC$1006:$AS$1006,0))&gt;=100000), " ",IF(INDEX($AC$2:$AS$1001,MATCH(ROWS($V$2:V649),$V$2:$V$1001,0),MATCH(COLUMNS($AC$1006:AL1006),$AC$1006:$AS$1006,0)), HYPERLINK("#",""), HYPERLINK(CONCATENATE("#Metadata!", ADDRESS(INDEX($X$2:$X$1001,MATCH(ROWS($V$2:V649),$V$2:$V$1001,0),0), INDEX($AC$1004:$AS$1004,1,MATCH(COLUMNS($AC$1006:AL1006),$AC$1006:$AS$1006,0)))),"Fix")))</f>
        <v>0</v>
      </c>
      <c r="L649" s="5">
        <f>IF(OR(INDEX($W$2:$W$1001,MATCH(ROWS($V$2:V649),$V$2:$V$1001,0),1)&gt;=100000,INDEX($AC$1005:$AS$1005,1,MATCH(COLUMNS($AC$1006:AM1006),$AC$1006:$AS$1006,0))&gt;=100000), " ",IF(INDEX($AC$2:$AS$1001,MATCH(ROWS($V$2:V649),$V$2:$V$1001,0),MATCH(COLUMNS($AC$1006:AM1006),$AC$1006:$AS$1006,0)), HYPERLINK("#",""), HYPERLINK(CONCATENATE("#Metadata!", ADDRESS(INDEX($X$2:$X$1001,MATCH(ROWS($V$2:V649),$V$2:$V$1001,0),0), INDEX($AC$1004:$AS$1004,1,MATCH(COLUMNS($AC$1006:AM1006),$AC$1006:$AS$1006,0)))),"Fix")))</f>
        <v>0</v>
      </c>
      <c r="M649" s="5">
        <f>IF(OR(INDEX($W$2:$W$1001,MATCH(ROWS($V$2:V649),$V$2:$V$1001,0),1)&gt;=100000,INDEX($AC$1005:$AS$1005,1,MATCH(COLUMNS($AC$1006:AN1006),$AC$1006:$AS$1006,0))&gt;=100000), " ",IF(INDEX($AC$2:$AS$1001,MATCH(ROWS($V$2:V649),$V$2:$V$1001,0),MATCH(COLUMNS($AC$1006:AN1006),$AC$1006:$AS$1006,0)), HYPERLINK("#",""), HYPERLINK(CONCATENATE("#Metadata!", ADDRESS(INDEX($X$2:$X$1001,MATCH(ROWS($V$2:V649),$V$2:$V$1001,0),0), INDEX($AC$1004:$AS$1004,1,MATCH(COLUMNS($AC$1006:AN1006),$AC$1006:$AS$1006,0)))),"Fix")))</f>
        <v>0</v>
      </c>
      <c r="N649" s="5">
        <f>IF(OR(INDEX($W$2:$W$1001,MATCH(ROWS($V$2:V649),$V$2:$V$1001,0),1)&gt;=100000,INDEX($AC$1005:$AS$1005,1,MATCH(COLUMNS($AC$1006:AO1006),$AC$1006:$AS$1006,0))&gt;=100000), " ",IF(INDEX($AC$2:$AS$1001,MATCH(ROWS($V$2:V649),$V$2:$V$1001,0),MATCH(COLUMNS($AC$1006:AO1006),$AC$1006:$AS$1006,0)), HYPERLINK("#",""), HYPERLINK(CONCATENATE("#Metadata!", ADDRESS(INDEX($X$2:$X$1001,MATCH(ROWS($V$2:V649),$V$2:$V$1001,0),0), INDEX($AC$1004:$AS$1004,1,MATCH(COLUMNS($AC$1006:AO1006),$AC$1006:$AS$1006,0)))),"Fix")))</f>
        <v>0</v>
      </c>
      <c r="O649" s="5">
        <f>IF(OR(INDEX($W$2:$W$1001,MATCH(ROWS($V$2:V649),$V$2:$V$1001,0),1)&gt;=100000,INDEX($AC$1005:$AS$1005,1,MATCH(COLUMNS($AC$1006:AP1006),$AC$1006:$AS$1006,0))&gt;=100000), " ",IF(INDEX($AC$2:$AS$1001,MATCH(ROWS($V$2:V649),$V$2:$V$1001,0),MATCH(COLUMNS($AC$1006:AP1006),$AC$1006:$AS$1006,0)), HYPERLINK("#",""), HYPERLINK(CONCATENATE("#Metadata!", ADDRESS(INDEX($X$2:$X$1001,MATCH(ROWS($V$2:V649),$V$2:$V$1001,0),0), INDEX($AC$1004:$AS$1004,1,MATCH(COLUMNS($AC$1006:AP1006),$AC$1006:$AS$1006,0)))),"Fix")))</f>
        <v>0</v>
      </c>
      <c r="P649" s="5">
        <f>IF(OR(INDEX($W$2:$W$1001,MATCH(ROWS($V$2:V649),$V$2:$V$1001,0),1)&gt;=100000,INDEX($AC$1005:$AS$1005,1,MATCH(COLUMNS($AC$1006:AQ1006),$AC$1006:$AS$1006,0))&gt;=100000), " ",IF(INDEX($AC$2:$AS$1001,MATCH(ROWS($V$2:V649),$V$2:$V$1001,0),MATCH(COLUMNS($AC$1006:AQ1006),$AC$1006:$AS$1006,0)), HYPERLINK("#",""), HYPERLINK(CONCATENATE("#Metadata!", ADDRESS(INDEX($X$2:$X$1001,MATCH(ROWS($V$2:V649),$V$2:$V$1001,0),0), INDEX($AC$1004:$AS$1004,1,MATCH(COLUMNS($AC$1006:AQ1006),$AC$1006:$AS$1006,0)))),"Fix")))</f>
        <v>0</v>
      </c>
      <c r="Q649" s="5">
        <f>IF(OR(INDEX($W$2:$W$1001,MATCH(ROWS($V$2:V649),$V$2:$V$1001,0),1)&gt;=100000,INDEX($AC$1005:$AS$1005,1,MATCH(COLUMNS($AC$1006:AR1006),$AC$1006:$AS$1006,0))&gt;=100000), " ",IF(INDEX($AC$2:$AS$1001,MATCH(ROWS($V$2:V649),$V$2:$V$1001,0),MATCH(COLUMNS($AC$1006:AR1006),$AC$1006:$AS$1006,0)), HYPERLINK("#",""), HYPERLINK(CONCATENATE("#Metadata!", ADDRESS(INDEX($X$2:$X$1001,MATCH(ROWS($V$2:V649),$V$2:$V$1001,0),0), INDEX($AC$1004:$AS$1004,1,MATCH(COLUMNS($AC$1006:AR1006),$AC$1006:$AS$1006,0)))),"Fix")))</f>
        <v>0</v>
      </c>
      <c r="R649" s="5">
        <f>IF(OR(INDEX($W$2:$W$1001,MATCH(ROWS($V$2:V649),$V$2:$V$1001,0),1)&gt;=100000,INDEX($AC$1005:$AS$1005,1,MATCH(COLUMNS($AC$1006:AS1006),$AC$1006:$AS$1006,0))&gt;=100000), " ",IF(INDEX($AC$2:$AS$1001,MATCH(ROWS($V$2:V649),$V$2:$V$1001,0),MATCH(COLUMNS($AC$1006:AS1006),$AC$1006:$AS$1006,0)), HYPERLINK("#",""), HYPERLINK(CONCATENATE("#Metadata!", ADDRESS(INDEX($X$2:$X$1001,MATCH(ROWS($V$2:V649),$V$2:$V$1001,0),0), INDEX($AC$1004:$AS$1004,1,MATCH(COLUMNS($AC$1006:AS1006),$AC$1006:$AS$1006,0)))),"Fix")))</f>
        <v>0</v>
      </c>
      <c r="V649">
        <v>0</v>
      </c>
      <c r="W649">
        <v>0</v>
      </c>
      <c r="X649">
        <v>0</v>
      </c>
      <c r="Y649">
        <f>IF(Z649,TRUE,AND(AC649:AS649))</f>
        <v>0</v>
      </c>
      <c r="Z649">
        <f>COUNTBLANK(Metadata!B649:R649)=COLUMNS(Metadata!B649:R649)</f>
        <v>0</v>
      </c>
      <c r="AA649">
        <v>0</v>
      </c>
      <c r="AC649">
        <f>AND(IF(Metadata!B649="",FALSE,TRUE),COUNTIF(Metadata!B:B, Metadata!B649) = 1,NOT(ISERROR(SUMPRODUCT(SEARCH(MID(Metadata!B649,ROW(INDIRECT("1:"&amp;LEN(Metadata!B649))), 1),"0123456789abcdefghijklmnopqrstuvwxyzABCDEFGHIJKLMNOPQRSTUVWXYZ.")))))</f>
        <v>0</v>
      </c>
      <c r="AD649">
        <f>AND(IF(Metadata!C649="",FALSE,TRUE),exact(Metadata!C649,"Host-associated"))</f>
        <v>0</v>
      </c>
      <c r="AE649">
        <f>AND(IF(Metadata!D649="",FALSE,TRUE),OR(exact(Metadata!D649,"Animal"),exact(Metadata!D649,"Fungus"),exact(Metadata!D649,"Plant")))</f>
        <v>0</v>
      </c>
      <c r="AF649">
        <f>AND(IF(Metadata!E649="",FALSE,TRUE),OR(exact(Metadata!E649,"Plant secretion"),exact(Metadata!E649,"Plant rhizosphere"),exact(Metadata!E649,"Plant surface"),exact(Metadata!E649,"Plant corpus"),exact(Metadata!E649,"Fungus surface"),exact(Metadata!E649,"Fungus corpus"),exact(Metadata!E649,"Animal surface"),exact(Metadata!E649,"Animal proximal gut"),exact(Metadata!E649,"Animal corpus"),exact(Metadata!E649,"Animal distal gut"),exact(Metadata!E649,"Animal secretion")))</f>
        <v>0</v>
      </c>
      <c r="AG649">
        <f>OR(AND(IF(Metadata!F649="",FALSE,TRUE),OR(exact(Metadata!F649,"not collected"),exact(Metadata!F649,"not provided"),exact(Metadata!F649,"restricted access"))),AND(IF(Metadata!F649="",FALSE,TRUE),OR(exact(Metadata!F649,"organism-associated habitat"),exact(Metadata!F649,"plant-associated habitat"),exact(Metadata!F649,"animal-associated habitat"),exact(Metadata!F649,"insecta-associated habitat"),exact(Metadata!F649,"mammalia-associated habitat"),exact(Metadata!F649,"human-associated habitat"),exact(Metadata!F649,"livestock-associated habitat"))))</f>
        <v>0</v>
      </c>
      <c r="AH649">
        <f>AND(IF(Metadata!G649="",FALSE,TRUE),exact(Metadata!G649,"host-associated"))</f>
        <v>0</v>
      </c>
      <c r="AI649">
        <f>OR(AND(IF(Metadata!H649="",FALSE,TRUE),OR(exact(Metadata!H649,"not collected"),exact(Metadata!H649,"not provided"))),AND(IF(Metadata!H649="",FALSE,ISNUMBER(VALUE(Metadata!H649))),Metadata!H649&gt;0))</f>
        <v>0</v>
      </c>
      <c r="AJ649">
        <f>AND(IF(Metadata!I649="",FALSE,TRUE),exact(Metadata!I649,"years"))</f>
        <v>0</v>
      </c>
      <c r="AK649">
        <f>IF(Metadata!J649="",FALSE,TRUE)</f>
        <v>0</v>
      </c>
      <c r="AL649">
        <f>OR(AND(IF(Metadata!K649="",FALSE,TRUE),OR(exact(Metadata!K649,"not collected"),exact(Metadata!K649,"not provided"))),AND(IF(Metadata!K649="",FALSE,ISNUMBER(VALUE(Metadata!K649))),Metadata!K649&gt;0))</f>
        <v>0</v>
      </c>
      <c r="AM649">
        <f>AND(IF(Metadata!L649="",FALSE,TRUE),exact(Metadata!L649,"cm"))</f>
        <v>0</v>
      </c>
      <c r="AN649">
        <f>IF(Metadata!M649="",FALSE,TRUE)</f>
        <v>0</v>
      </c>
      <c r="AO649">
        <f>OR(AND(IF(Metadata!N649="",FALSE,TRUE),OR(exact(Metadata!N649,"not applicable"),exact(Metadata!N649,"not collected"),exact(Metadata!N649,"not provided"))),AND(IF(Metadata!N649="",FALSE,IF(ISERROR(INT(Metadata!N649)),FALSE,INT(Metadata!N649)=Metadata!N649)),Metadata!N649&gt;0))</f>
        <v>0</v>
      </c>
      <c r="AP649">
        <f>OR(AND(IF(Metadata!O649="",FALSE,TRUE),OR(exact(Metadata!O649,"not collected"),exact(Metadata!O649,"not provided"))),AND(IF(Metadata!O649="",FALSE,ISNUMBER(VALUE(Metadata!O649))),Metadata!O649&gt;0))</f>
        <v>0</v>
      </c>
      <c r="AQ649">
        <f>AND(IF(Metadata!P649="",FALSE,TRUE),exact(Metadata!P649,"kg"))</f>
        <v>0</v>
      </c>
      <c r="AR649">
        <f>OR(AND(IF(Metadata!Q649="",FALSE,TRUE),OR(exact(Metadata!Q649,"not applicable"),exact(Metadata!Q649,"not collected"),exact(Metadata!Q649,"not provided"),exact(Metadata!Q649,"restricted access"))),IF(Metadata!Q649="",FALSE,IF(ISERROR(INT(Metadata!Q649)),FALSE,INT(Metadata!Q649)=Metadata!Q649)))</f>
        <v>0</v>
      </c>
      <c r="AS649">
        <f>AND(IF(Metadata!R649="",FALSE,TRUE),exact(Metadata!R649,"Not applicable"))</f>
        <v>0</v>
      </c>
    </row>
    <row r="650" spans="1:45">
      <c r="A650" s="4">
        <f>IF(B650=" "," ",HYPERLINK(CONCATENATE("#metadata!",ADDRESS(INDEX($X$2:$X$1001,MATCH(ROWS($V$2:V650),$V$2:$V$1001,0),0),2)),INDEX($AA$2:$AA$1001,MATCH(ROWS($V$2:V650),$V$2:$V$1001,0),0)))</f>
        <v>0</v>
      </c>
      <c r="B650" s="5">
        <f>IF(OR(INDEX($W$2:$W$1001,MATCH(ROWS($V$2:V650),$V$2:$V$1001,0),1)&gt;=100000,INDEX($AC$1005:$AS$1005,1,MATCH(COLUMNS($AC$1006:AC1006),$AC$1006:$AS$1006,0))&gt;=100000), " ",IF(INDEX($AC$2:$AS$1001,MATCH(ROWS($V$2:V650),$V$2:$V$1001,0),MATCH(COLUMNS($AC$1006:AC1006),$AC$1006:$AS$1006,0)), HYPERLINK("#",""), HYPERLINK(CONCATENATE("#Metadata!", ADDRESS(INDEX($X$2:$X$1001,MATCH(ROWS($V$2:V650),$V$2:$V$1001,0),0), INDEX($AC$1004:$AS$1004,1,MATCH(COLUMNS($AC$1006:AC1006),$AC$1006:$AS$1006,0)))),"Fix")))</f>
        <v>0</v>
      </c>
      <c r="C650" s="5">
        <f>IF(OR(INDEX($W$2:$W$1001,MATCH(ROWS($V$2:V650),$V$2:$V$1001,0),1)&gt;=100000,INDEX($AC$1005:$AS$1005,1,MATCH(COLUMNS($AC$1006:AD1006),$AC$1006:$AS$1006,0))&gt;=100000), " ",IF(INDEX($AC$2:$AS$1001,MATCH(ROWS($V$2:V650),$V$2:$V$1001,0),MATCH(COLUMNS($AC$1006:AD1006),$AC$1006:$AS$1006,0)), HYPERLINK("#",""), HYPERLINK(CONCATENATE("#Metadata!", ADDRESS(INDEX($X$2:$X$1001,MATCH(ROWS($V$2:V650),$V$2:$V$1001,0),0), INDEX($AC$1004:$AS$1004,1,MATCH(COLUMNS($AC$1006:AD1006),$AC$1006:$AS$1006,0)))),"Fix")))</f>
        <v>0</v>
      </c>
      <c r="D650" s="5">
        <f>IF(OR(INDEX($W$2:$W$1001,MATCH(ROWS($V$2:V650),$V$2:$V$1001,0),1)&gt;=100000,INDEX($AC$1005:$AS$1005,1,MATCH(COLUMNS($AC$1006:AE1006),$AC$1006:$AS$1006,0))&gt;=100000), " ",IF(INDEX($AC$2:$AS$1001,MATCH(ROWS($V$2:V650),$V$2:$V$1001,0),MATCH(COLUMNS($AC$1006:AE1006),$AC$1006:$AS$1006,0)), HYPERLINK("#",""), HYPERLINK(CONCATENATE("#Metadata!", ADDRESS(INDEX($X$2:$X$1001,MATCH(ROWS($V$2:V650),$V$2:$V$1001,0),0), INDEX($AC$1004:$AS$1004,1,MATCH(COLUMNS($AC$1006:AE1006),$AC$1006:$AS$1006,0)))),"Fix")))</f>
        <v>0</v>
      </c>
      <c r="E650" s="5">
        <f>IF(OR(INDEX($W$2:$W$1001,MATCH(ROWS($V$2:V650),$V$2:$V$1001,0),1)&gt;=100000,INDEX($AC$1005:$AS$1005,1,MATCH(COLUMNS($AC$1006:AF1006),$AC$1006:$AS$1006,0))&gt;=100000), " ",IF(INDEX($AC$2:$AS$1001,MATCH(ROWS($V$2:V650),$V$2:$V$1001,0),MATCH(COLUMNS($AC$1006:AF1006),$AC$1006:$AS$1006,0)), HYPERLINK("#",""), HYPERLINK(CONCATENATE("#Metadata!", ADDRESS(INDEX($X$2:$X$1001,MATCH(ROWS($V$2:V650),$V$2:$V$1001,0),0), INDEX($AC$1004:$AS$1004,1,MATCH(COLUMNS($AC$1006:AF1006),$AC$1006:$AS$1006,0)))),"Fix")))</f>
        <v>0</v>
      </c>
      <c r="F650" s="5">
        <f>IF(OR(INDEX($W$2:$W$1001,MATCH(ROWS($V$2:V650),$V$2:$V$1001,0),1)&gt;=100000,INDEX($AC$1005:$AS$1005,1,MATCH(COLUMNS($AC$1006:AG1006),$AC$1006:$AS$1006,0))&gt;=100000), " ",IF(INDEX($AC$2:$AS$1001,MATCH(ROWS($V$2:V650),$V$2:$V$1001,0),MATCH(COLUMNS($AC$1006:AG1006),$AC$1006:$AS$1006,0)), HYPERLINK("#",""), HYPERLINK(CONCATENATE("#Metadata!", ADDRESS(INDEX($X$2:$X$1001,MATCH(ROWS($V$2:V650),$V$2:$V$1001,0),0), INDEX($AC$1004:$AS$1004,1,MATCH(COLUMNS($AC$1006:AG1006),$AC$1006:$AS$1006,0)))),"Fix")))</f>
        <v>0</v>
      </c>
      <c r="G650" s="5">
        <f>IF(OR(INDEX($W$2:$W$1001,MATCH(ROWS($V$2:V650),$V$2:$V$1001,0),1)&gt;=100000,INDEX($AC$1005:$AS$1005,1,MATCH(COLUMNS($AC$1006:AH1006),$AC$1006:$AS$1006,0))&gt;=100000), " ",IF(INDEX($AC$2:$AS$1001,MATCH(ROWS($V$2:V650),$V$2:$V$1001,0),MATCH(COLUMNS($AC$1006:AH1006),$AC$1006:$AS$1006,0)), HYPERLINK("#",""), HYPERLINK(CONCATENATE("#Metadata!", ADDRESS(INDEX($X$2:$X$1001,MATCH(ROWS($V$2:V650),$V$2:$V$1001,0),0), INDEX($AC$1004:$AS$1004,1,MATCH(COLUMNS($AC$1006:AH1006),$AC$1006:$AS$1006,0)))),"Fix")))</f>
        <v>0</v>
      </c>
      <c r="H650" s="5">
        <f>IF(OR(INDEX($W$2:$W$1001,MATCH(ROWS($V$2:V650),$V$2:$V$1001,0),1)&gt;=100000,INDEX($AC$1005:$AS$1005,1,MATCH(COLUMNS($AC$1006:AI1006),$AC$1006:$AS$1006,0))&gt;=100000), " ",IF(INDEX($AC$2:$AS$1001,MATCH(ROWS($V$2:V650),$V$2:$V$1001,0),MATCH(COLUMNS($AC$1006:AI1006),$AC$1006:$AS$1006,0)), HYPERLINK("#",""), HYPERLINK(CONCATENATE("#Metadata!", ADDRESS(INDEX($X$2:$X$1001,MATCH(ROWS($V$2:V650),$V$2:$V$1001,0),0), INDEX($AC$1004:$AS$1004,1,MATCH(COLUMNS($AC$1006:AI1006),$AC$1006:$AS$1006,0)))),"Fix")))</f>
        <v>0</v>
      </c>
      <c r="I650" s="5">
        <f>IF(OR(INDEX($W$2:$W$1001,MATCH(ROWS($V$2:V650),$V$2:$V$1001,0),1)&gt;=100000,INDEX($AC$1005:$AS$1005,1,MATCH(COLUMNS($AC$1006:AJ1006),$AC$1006:$AS$1006,0))&gt;=100000), " ",IF(INDEX($AC$2:$AS$1001,MATCH(ROWS($V$2:V650),$V$2:$V$1001,0),MATCH(COLUMNS($AC$1006:AJ1006),$AC$1006:$AS$1006,0)), HYPERLINK("#",""), HYPERLINK(CONCATENATE("#Metadata!", ADDRESS(INDEX($X$2:$X$1001,MATCH(ROWS($V$2:V650),$V$2:$V$1001,0),0), INDEX($AC$1004:$AS$1004,1,MATCH(COLUMNS($AC$1006:AJ1006),$AC$1006:$AS$1006,0)))),"Fix")))</f>
        <v>0</v>
      </c>
      <c r="J650" s="5">
        <f>IF(OR(INDEX($W$2:$W$1001,MATCH(ROWS($V$2:V650),$V$2:$V$1001,0),1)&gt;=100000,INDEX($AC$1005:$AS$1005,1,MATCH(COLUMNS($AC$1006:AK1006),$AC$1006:$AS$1006,0))&gt;=100000), " ",IF(INDEX($AC$2:$AS$1001,MATCH(ROWS($V$2:V650),$V$2:$V$1001,0),MATCH(COLUMNS($AC$1006:AK1006),$AC$1006:$AS$1006,0)), HYPERLINK("#",""), HYPERLINK(CONCATENATE("#Metadata!", ADDRESS(INDEX($X$2:$X$1001,MATCH(ROWS($V$2:V650),$V$2:$V$1001,0),0), INDEX($AC$1004:$AS$1004,1,MATCH(COLUMNS($AC$1006:AK1006),$AC$1006:$AS$1006,0)))),"Fix")))</f>
        <v>0</v>
      </c>
      <c r="K650" s="5">
        <f>IF(OR(INDEX($W$2:$W$1001,MATCH(ROWS($V$2:V650),$V$2:$V$1001,0),1)&gt;=100000,INDEX($AC$1005:$AS$1005,1,MATCH(COLUMNS($AC$1006:AL1006),$AC$1006:$AS$1006,0))&gt;=100000), " ",IF(INDEX($AC$2:$AS$1001,MATCH(ROWS($V$2:V650),$V$2:$V$1001,0),MATCH(COLUMNS($AC$1006:AL1006),$AC$1006:$AS$1006,0)), HYPERLINK("#",""), HYPERLINK(CONCATENATE("#Metadata!", ADDRESS(INDEX($X$2:$X$1001,MATCH(ROWS($V$2:V650),$V$2:$V$1001,0),0), INDEX($AC$1004:$AS$1004,1,MATCH(COLUMNS($AC$1006:AL1006),$AC$1006:$AS$1006,0)))),"Fix")))</f>
        <v>0</v>
      </c>
      <c r="L650" s="5">
        <f>IF(OR(INDEX($W$2:$W$1001,MATCH(ROWS($V$2:V650),$V$2:$V$1001,0),1)&gt;=100000,INDEX($AC$1005:$AS$1005,1,MATCH(COLUMNS($AC$1006:AM1006),$AC$1006:$AS$1006,0))&gt;=100000), " ",IF(INDEX($AC$2:$AS$1001,MATCH(ROWS($V$2:V650),$V$2:$V$1001,0),MATCH(COLUMNS($AC$1006:AM1006),$AC$1006:$AS$1006,0)), HYPERLINK("#",""), HYPERLINK(CONCATENATE("#Metadata!", ADDRESS(INDEX($X$2:$X$1001,MATCH(ROWS($V$2:V650),$V$2:$V$1001,0),0), INDEX($AC$1004:$AS$1004,1,MATCH(COLUMNS($AC$1006:AM1006),$AC$1006:$AS$1006,0)))),"Fix")))</f>
        <v>0</v>
      </c>
      <c r="M650" s="5">
        <f>IF(OR(INDEX($W$2:$W$1001,MATCH(ROWS($V$2:V650),$V$2:$V$1001,0),1)&gt;=100000,INDEX($AC$1005:$AS$1005,1,MATCH(COLUMNS($AC$1006:AN1006),$AC$1006:$AS$1006,0))&gt;=100000), " ",IF(INDEX($AC$2:$AS$1001,MATCH(ROWS($V$2:V650),$V$2:$V$1001,0),MATCH(COLUMNS($AC$1006:AN1006),$AC$1006:$AS$1006,0)), HYPERLINK("#",""), HYPERLINK(CONCATENATE("#Metadata!", ADDRESS(INDEX($X$2:$X$1001,MATCH(ROWS($V$2:V650),$V$2:$V$1001,0),0), INDEX($AC$1004:$AS$1004,1,MATCH(COLUMNS($AC$1006:AN1006),$AC$1006:$AS$1006,0)))),"Fix")))</f>
        <v>0</v>
      </c>
      <c r="N650" s="5">
        <f>IF(OR(INDEX($W$2:$W$1001,MATCH(ROWS($V$2:V650),$V$2:$V$1001,0),1)&gt;=100000,INDEX($AC$1005:$AS$1005,1,MATCH(COLUMNS($AC$1006:AO1006),$AC$1006:$AS$1006,0))&gt;=100000), " ",IF(INDEX($AC$2:$AS$1001,MATCH(ROWS($V$2:V650),$V$2:$V$1001,0),MATCH(COLUMNS($AC$1006:AO1006),$AC$1006:$AS$1006,0)), HYPERLINK("#",""), HYPERLINK(CONCATENATE("#Metadata!", ADDRESS(INDEX($X$2:$X$1001,MATCH(ROWS($V$2:V650),$V$2:$V$1001,0),0), INDEX($AC$1004:$AS$1004,1,MATCH(COLUMNS($AC$1006:AO1006),$AC$1006:$AS$1006,0)))),"Fix")))</f>
        <v>0</v>
      </c>
      <c r="O650" s="5">
        <f>IF(OR(INDEX($W$2:$W$1001,MATCH(ROWS($V$2:V650),$V$2:$V$1001,0),1)&gt;=100000,INDEX($AC$1005:$AS$1005,1,MATCH(COLUMNS($AC$1006:AP1006),$AC$1006:$AS$1006,0))&gt;=100000), " ",IF(INDEX($AC$2:$AS$1001,MATCH(ROWS($V$2:V650),$V$2:$V$1001,0),MATCH(COLUMNS($AC$1006:AP1006),$AC$1006:$AS$1006,0)), HYPERLINK("#",""), HYPERLINK(CONCATENATE("#Metadata!", ADDRESS(INDEX($X$2:$X$1001,MATCH(ROWS($V$2:V650),$V$2:$V$1001,0),0), INDEX($AC$1004:$AS$1004,1,MATCH(COLUMNS($AC$1006:AP1006),$AC$1006:$AS$1006,0)))),"Fix")))</f>
        <v>0</v>
      </c>
      <c r="P650" s="5">
        <f>IF(OR(INDEX($W$2:$W$1001,MATCH(ROWS($V$2:V650),$V$2:$V$1001,0),1)&gt;=100000,INDEX($AC$1005:$AS$1005,1,MATCH(COLUMNS($AC$1006:AQ1006),$AC$1006:$AS$1006,0))&gt;=100000), " ",IF(INDEX($AC$2:$AS$1001,MATCH(ROWS($V$2:V650),$V$2:$V$1001,0),MATCH(COLUMNS($AC$1006:AQ1006),$AC$1006:$AS$1006,0)), HYPERLINK("#",""), HYPERLINK(CONCATENATE("#Metadata!", ADDRESS(INDEX($X$2:$X$1001,MATCH(ROWS($V$2:V650),$V$2:$V$1001,0),0), INDEX($AC$1004:$AS$1004,1,MATCH(COLUMNS($AC$1006:AQ1006),$AC$1006:$AS$1006,0)))),"Fix")))</f>
        <v>0</v>
      </c>
      <c r="Q650" s="5">
        <f>IF(OR(INDEX($W$2:$W$1001,MATCH(ROWS($V$2:V650),$V$2:$V$1001,0),1)&gt;=100000,INDEX($AC$1005:$AS$1005,1,MATCH(COLUMNS($AC$1006:AR1006),$AC$1006:$AS$1006,0))&gt;=100000), " ",IF(INDEX($AC$2:$AS$1001,MATCH(ROWS($V$2:V650),$V$2:$V$1001,0),MATCH(COLUMNS($AC$1006:AR1006),$AC$1006:$AS$1006,0)), HYPERLINK("#",""), HYPERLINK(CONCATENATE("#Metadata!", ADDRESS(INDEX($X$2:$X$1001,MATCH(ROWS($V$2:V650),$V$2:$V$1001,0),0), INDEX($AC$1004:$AS$1004,1,MATCH(COLUMNS($AC$1006:AR1006),$AC$1006:$AS$1006,0)))),"Fix")))</f>
        <v>0</v>
      </c>
      <c r="R650" s="5">
        <f>IF(OR(INDEX($W$2:$W$1001,MATCH(ROWS($V$2:V650),$V$2:$V$1001,0),1)&gt;=100000,INDEX($AC$1005:$AS$1005,1,MATCH(COLUMNS($AC$1006:AS1006),$AC$1006:$AS$1006,0))&gt;=100000), " ",IF(INDEX($AC$2:$AS$1001,MATCH(ROWS($V$2:V650),$V$2:$V$1001,0),MATCH(COLUMNS($AC$1006:AS1006),$AC$1006:$AS$1006,0)), HYPERLINK("#",""), HYPERLINK(CONCATENATE("#Metadata!", ADDRESS(INDEX($X$2:$X$1001,MATCH(ROWS($V$2:V650),$V$2:$V$1001,0),0), INDEX($AC$1004:$AS$1004,1,MATCH(COLUMNS($AC$1006:AS1006),$AC$1006:$AS$1006,0)))),"Fix")))</f>
        <v>0</v>
      </c>
      <c r="V650">
        <v>0</v>
      </c>
      <c r="W650">
        <v>0</v>
      </c>
      <c r="X650">
        <v>0</v>
      </c>
      <c r="Y650">
        <f>IF(Z650,TRUE,AND(AC650:AS650))</f>
        <v>0</v>
      </c>
      <c r="Z650">
        <f>COUNTBLANK(Metadata!B650:R650)=COLUMNS(Metadata!B650:R650)</f>
        <v>0</v>
      </c>
      <c r="AA650">
        <v>0</v>
      </c>
      <c r="AC650">
        <f>AND(IF(Metadata!B650="",FALSE,TRUE),COUNTIF(Metadata!B:B, Metadata!B650) = 1,NOT(ISERROR(SUMPRODUCT(SEARCH(MID(Metadata!B650,ROW(INDIRECT("1:"&amp;LEN(Metadata!B650))), 1),"0123456789abcdefghijklmnopqrstuvwxyzABCDEFGHIJKLMNOPQRSTUVWXYZ.")))))</f>
        <v>0</v>
      </c>
      <c r="AD650">
        <f>AND(IF(Metadata!C650="",FALSE,TRUE),exact(Metadata!C650,"Host-associated"))</f>
        <v>0</v>
      </c>
      <c r="AE650">
        <f>AND(IF(Metadata!D650="",FALSE,TRUE),OR(exact(Metadata!D650,"Animal"),exact(Metadata!D650,"Fungus"),exact(Metadata!D650,"Plant")))</f>
        <v>0</v>
      </c>
      <c r="AF650">
        <f>AND(IF(Metadata!E650="",FALSE,TRUE),OR(exact(Metadata!E650,"Plant secretion"),exact(Metadata!E650,"Plant rhizosphere"),exact(Metadata!E650,"Plant surface"),exact(Metadata!E650,"Plant corpus"),exact(Metadata!E650,"Fungus surface"),exact(Metadata!E650,"Fungus corpus"),exact(Metadata!E650,"Animal surface"),exact(Metadata!E650,"Animal proximal gut"),exact(Metadata!E650,"Animal corpus"),exact(Metadata!E650,"Animal distal gut"),exact(Metadata!E650,"Animal secretion")))</f>
        <v>0</v>
      </c>
      <c r="AG650">
        <f>OR(AND(IF(Metadata!F650="",FALSE,TRUE),OR(exact(Metadata!F650,"not collected"),exact(Metadata!F650,"not provided"),exact(Metadata!F650,"restricted access"))),AND(IF(Metadata!F650="",FALSE,TRUE),OR(exact(Metadata!F650,"organism-associated habitat"),exact(Metadata!F650,"plant-associated habitat"),exact(Metadata!F650,"animal-associated habitat"),exact(Metadata!F650,"insecta-associated habitat"),exact(Metadata!F650,"mammalia-associated habitat"),exact(Metadata!F650,"human-associated habitat"),exact(Metadata!F650,"livestock-associated habitat"))))</f>
        <v>0</v>
      </c>
      <c r="AH650">
        <f>AND(IF(Metadata!G650="",FALSE,TRUE),exact(Metadata!G650,"host-associated"))</f>
        <v>0</v>
      </c>
      <c r="AI650">
        <f>OR(AND(IF(Metadata!H650="",FALSE,TRUE),OR(exact(Metadata!H650,"not collected"),exact(Metadata!H650,"not provided"))),AND(IF(Metadata!H650="",FALSE,ISNUMBER(VALUE(Metadata!H650))),Metadata!H650&gt;0))</f>
        <v>0</v>
      </c>
      <c r="AJ650">
        <f>AND(IF(Metadata!I650="",FALSE,TRUE),exact(Metadata!I650,"years"))</f>
        <v>0</v>
      </c>
      <c r="AK650">
        <f>IF(Metadata!J650="",FALSE,TRUE)</f>
        <v>0</v>
      </c>
      <c r="AL650">
        <f>OR(AND(IF(Metadata!K650="",FALSE,TRUE),OR(exact(Metadata!K650,"not collected"),exact(Metadata!K650,"not provided"))),AND(IF(Metadata!K650="",FALSE,ISNUMBER(VALUE(Metadata!K650))),Metadata!K650&gt;0))</f>
        <v>0</v>
      </c>
      <c r="AM650">
        <f>AND(IF(Metadata!L650="",FALSE,TRUE),exact(Metadata!L650,"cm"))</f>
        <v>0</v>
      </c>
      <c r="AN650">
        <f>IF(Metadata!M650="",FALSE,TRUE)</f>
        <v>0</v>
      </c>
      <c r="AO650">
        <f>OR(AND(IF(Metadata!N650="",FALSE,TRUE),OR(exact(Metadata!N650,"not applicable"),exact(Metadata!N650,"not collected"),exact(Metadata!N650,"not provided"))),AND(IF(Metadata!N650="",FALSE,IF(ISERROR(INT(Metadata!N650)),FALSE,INT(Metadata!N650)=Metadata!N650)),Metadata!N650&gt;0))</f>
        <v>0</v>
      </c>
      <c r="AP650">
        <f>OR(AND(IF(Metadata!O650="",FALSE,TRUE),OR(exact(Metadata!O650,"not collected"),exact(Metadata!O650,"not provided"))),AND(IF(Metadata!O650="",FALSE,ISNUMBER(VALUE(Metadata!O650))),Metadata!O650&gt;0))</f>
        <v>0</v>
      </c>
      <c r="AQ650">
        <f>AND(IF(Metadata!P650="",FALSE,TRUE),exact(Metadata!P650,"kg"))</f>
        <v>0</v>
      </c>
      <c r="AR650">
        <f>OR(AND(IF(Metadata!Q650="",FALSE,TRUE),OR(exact(Metadata!Q650,"not applicable"),exact(Metadata!Q650,"not collected"),exact(Metadata!Q650,"not provided"),exact(Metadata!Q650,"restricted access"))),IF(Metadata!Q650="",FALSE,IF(ISERROR(INT(Metadata!Q650)),FALSE,INT(Metadata!Q650)=Metadata!Q650)))</f>
        <v>0</v>
      </c>
      <c r="AS650">
        <f>AND(IF(Metadata!R650="",FALSE,TRUE),exact(Metadata!R650,"Not applicable"))</f>
        <v>0</v>
      </c>
    </row>
    <row r="651" spans="1:45">
      <c r="A651" s="4">
        <f>IF(B651=" "," ",HYPERLINK(CONCATENATE("#metadata!",ADDRESS(INDEX($X$2:$X$1001,MATCH(ROWS($V$2:V651),$V$2:$V$1001,0),0),2)),INDEX($AA$2:$AA$1001,MATCH(ROWS($V$2:V651),$V$2:$V$1001,0),0)))</f>
        <v>0</v>
      </c>
      <c r="B651" s="5">
        <f>IF(OR(INDEX($W$2:$W$1001,MATCH(ROWS($V$2:V651),$V$2:$V$1001,0),1)&gt;=100000,INDEX($AC$1005:$AS$1005,1,MATCH(COLUMNS($AC$1006:AC1006),$AC$1006:$AS$1006,0))&gt;=100000), " ",IF(INDEX($AC$2:$AS$1001,MATCH(ROWS($V$2:V651),$V$2:$V$1001,0),MATCH(COLUMNS($AC$1006:AC1006),$AC$1006:$AS$1006,0)), HYPERLINK("#",""), HYPERLINK(CONCATENATE("#Metadata!", ADDRESS(INDEX($X$2:$X$1001,MATCH(ROWS($V$2:V651),$V$2:$V$1001,0),0), INDEX($AC$1004:$AS$1004,1,MATCH(COLUMNS($AC$1006:AC1006),$AC$1006:$AS$1006,0)))),"Fix")))</f>
        <v>0</v>
      </c>
      <c r="C651" s="5">
        <f>IF(OR(INDEX($W$2:$W$1001,MATCH(ROWS($V$2:V651),$V$2:$V$1001,0),1)&gt;=100000,INDEX($AC$1005:$AS$1005,1,MATCH(COLUMNS($AC$1006:AD1006),$AC$1006:$AS$1006,0))&gt;=100000), " ",IF(INDEX($AC$2:$AS$1001,MATCH(ROWS($V$2:V651),$V$2:$V$1001,0),MATCH(COLUMNS($AC$1006:AD1006),$AC$1006:$AS$1006,0)), HYPERLINK("#",""), HYPERLINK(CONCATENATE("#Metadata!", ADDRESS(INDEX($X$2:$X$1001,MATCH(ROWS($V$2:V651),$V$2:$V$1001,0),0), INDEX($AC$1004:$AS$1004,1,MATCH(COLUMNS($AC$1006:AD1006),$AC$1006:$AS$1006,0)))),"Fix")))</f>
        <v>0</v>
      </c>
      <c r="D651" s="5">
        <f>IF(OR(INDEX($W$2:$W$1001,MATCH(ROWS($V$2:V651),$V$2:$V$1001,0),1)&gt;=100000,INDEX($AC$1005:$AS$1005,1,MATCH(COLUMNS($AC$1006:AE1006),$AC$1006:$AS$1006,0))&gt;=100000), " ",IF(INDEX($AC$2:$AS$1001,MATCH(ROWS($V$2:V651),$V$2:$V$1001,0),MATCH(COLUMNS($AC$1006:AE1006),$AC$1006:$AS$1006,0)), HYPERLINK("#",""), HYPERLINK(CONCATENATE("#Metadata!", ADDRESS(INDEX($X$2:$X$1001,MATCH(ROWS($V$2:V651),$V$2:$V$1001,0),0), INDEX($AC$1004:$AS$1004,1,MATCH(COLUMNS($AC$1006:AE1006),$AC$1006:$AS$1006,0)))),"Fix")))</f>
        <v>0</v>
      </c>
      <c r="E651" s="5">
        <f>IF(OR(INDEX($W$2:$W$1001,MATCH(ROWS($V$2:V651),$V$2:$V$1001,0),1)&gt;=100000,INDEX($AC$1005:$AS$1005,1,MATCH(COLUMNS($AC$1006:AF1006),$AC$1006:$AS$1006,0))&gt;=100000), " ",IF(INDEX($AC$2:$AS$1001,MATCH(ROWS($V$2:V651),$V$2:$V$1001,0),MATCH(COLUMNS($AC$1006:AF1006),$AC$1006:$AS$1006,0)), HYPERLINK("#",""), HYPERLINK(CONCATENATE("#Metadata!", ADDRESS(INDEX($X$2:$X$1001,MATCH(ROWS($V$2:V651),$V$2:$V$1001,0),0), INDEX($AC$1004:$AS$1004,1,MATCH(COLUMNS($AC$1006:AF1006),$AC$1006:$AS$1006,0)))),"Fix")))</f>
        <v>0</v>
      </c>
      <c r="F651" s="5">
        <f>IF(OR(INDEX($W$2:$W$1001,MATCH(ROWS($V$2:V651),$V$2:$V$1001,0),1)&gt;=100000,INDEX($AC$1005:$AS$1005,1,MATCH(COLUMNS($AC$1006:AG1006),$AC$1006:$AS$1006,0))&gt;=100000), " ",IF(INDEX($AC$2:$AS$1001,MATCH(ROWS($V$2:V651),$V$2:$V$1001,0),MATCH(COLUMNS($AC$1006:AG1006),$AC$1006:$AS$1006,0)), HYPERLINK("#",""), HYPERLINK(CONCATENATE("#Metadata!", ADDRESS(INDEX($X$2:$X$1001,MATCH(ROWS($V$2:V651),$V$2:$V$1001,0),0), INDEX($AC$1004:$AS$1004,1,MATCH(COLUMNS($AC$1006:AG1006),$AC$1006:$AS$1006,0)))),"Fix")))</f>
        <v>0</v>
      </c>
      <c r="G651" s="5">
        <f>IF(OR(INDEX($W$2:$W$1001,MATCH(ROWS($V$2:V651),$V$2:$V$1001,0),1)&gt;=100000,INDEX($AC$1005:$AS$1005,1,MATCH(COLUMNS($AC$1006:AH1006),$AC$1006:$AS$1006,0))&gt;=100000), " ",IF(INDEX($AC$2:$AS$1001,MATCH(ROWS($V$2:V651),$V$2:$V$1001,0),MATCH(COLUMNS($AC$1006:AH1006),$AC$1006:$AS$1006,0)), HYPERLINK("#",""), HYPERLINK(CONCATENATE("#Metadata!", ADDRESS(INDEX($X$2:$X$1001,MATCH(ROWS($V$2:V651),$V$2:$V$1001,0),0), INDEX($AC$1004:$AS$1004,1,MATCH(COLUMNS($AC$1006:AH1006),$AC$1006:$AS$1006,0)))),"Fix")))</f>
        <v>0</v>
      </c>
      <c r="H651" s="5">
        <f>IF(OR(INDEX($W$2:$W$1001,MATCH(ROWS($V$2:V651),$V$2:$V$1001,0),1)&gt;=100000,INDEX($AC$1005:$AS$1005,1,MATCH(COLUMNS($AC$1006:AI1006),$AC$1006:$AS$1006,0))&gt;=100000), " ",IF(INDEX($AC$2:$AS$1001,MATCH(ROWS($V$2:V651),$V$2:$V$1001,0),MATCH(COLUMNS($AC$1006:AI1006),$AC$1006:$AS$1006,0)), HYPERLINK("#",""), HYPERLINK(CONCATENATE("#Metadata!", ADDRESS(INDEX($X$2:$X$1001,MATCH(ROWS($V$2:V651),$V$2:$V$1001,0),0), INDEX($AC$1004:$AS$1004,1,MATCH(COLUMNS($AC$1006:AI1006),$AC$1006:$AS$1006,0)))),"Fix")))</f>
        <v>0</v>
      </c>
      <c r="I651" s="5">
        <f>IF(OR(INDEX($W$2:$W$1001,MATCH(ROWS($V$2:V651),$V$2:$V$1001,0),1)&gt;=100000,INDEX($AC$1005:$AS$1005,1,MATCH(COLUMNS($AC$1006:AJ1006),$AC$1006:$AS$1006,0))&gt;=100000), " ",IF(INDEX($AC$2:$AS$1001,MATCH(ROWS($V$2:V651),$V$2:$V$1001,0),MATCH(COLUMNS($AC$1006:AJ1006),$AC$1006:$AS$1006,0)), HYPERLINK("#",""), HYPERLINK(CONCATENATE("#Metadata!", ADDRESS(INDEX($X$2:$X$1001,MATCH(ROWS($V$2:V651),$V$2:$V$1001,0),0), INDEX($AC$1004:$AS$1004,1,MATCH(COLUMNS($AC$1006:AJ1006),$AC$1006:$AS$1006,0)))),"Fix")))</f>
        <v>0</v>
      </c>
      <c r="J651" s="5">
        <f>IF(OR(INDEX($W$2:$W$1001,MATCH(ROWS($V$2:V651),$V$2:$V$1001,0),1)&gt;=100000,INDEX($AC$1005:$AS$1005,1,MATCH(COLUMNS($AC$1006:AK1006),$AC$1006:$AS$1006,0))&gt;=100000), " ",IF(INDEX($AC$2:$AS$1001,MATCH(ROWS($V$2:V651),$V$2:$V$1001,0),MATCH(COLUMNS($AC$1006:AK1006),$AC$1006:$AS$1006,0)), HYPERLINK("#",""), HYPERLINK(CONCATENATE("#Metadata!", ADDRESS(INDEX($X$2:$X$1001,MATCH(ROWS($V$2:V651),$V$2:$V$1001,0),0), INDEX($AC$1004:$AS$1004,1,MATCH(COLUMNS($AC$1006:AK1006),$AC$1006:$AS$1006,0)))),"Fix")))</f>
        <v>0</v>
      </c>
      <c r="K651" s="5">
        <f>IF(OR(INDEX($W$2:$W$1001,MATCH(ROWS($V$2:V651),$V$2:$V$1001,0),1)&gt;=100000,INDEX($AC$1005:$AS$1005,1,MATCH(COLUMNS($AC$1006:AL1006),$AC$1006:$AS$1006,0))&gt;=100000), " ",IF(INDEX($AC$2:$AS$1001,MATCH(ROWS($V$2:V651),$V$2:$V$1001,0),MATCH(COLUMNS($AC$1006:AL1006),$AC$1006:$AS$1006,0)), HYPERLINK("#",""), HYPERLINK(CONCATENATE("#Metadata!", ADDRESS(INDEX($X$2:$X$1001,MATCH(ROWS($V$2:V651),$V$2:$V$1001,0),0), INDEX($AC$1004:$AS$1004,1,MATCH(COLUMNS($AC$1006:AL1006),$AC$1006:$AS$1006,0)))),"Fix")))</f>
        <v>0</v>
      </c>
      <c r="L651" s="5">
        <f>IF(OR(INDEX($W$2:$W$1001,MATCH(ROWS($V$2:V651),$V$2:$V$1001,0),1)&gt;=100000,INDEX($AC$1005:$AS$1005,1,MATCH(COLUMNS($AC$1006:AM1006),$AC$1006:$AS$1006,0))&gt;=100000), " ",IF(INDEX($AC$2:$AS$1001,MATCH(ROWS($V$2:V651),$V$2:$V$1001,0),MATCH(COLUMNS($AC$1006:AM1006),$AC$1006:$AS$1006,0)), HYPERLINK("#",""), HYPERLINK(CONCATENATE("#Metadata!", ADDRESS(INDEX($X$2:$X$1001,MATCH(ROWS($V$2:V651),$V$2:$V$1001,0),0), INDEX($AC$1004:$AS$1004,1,MATCH(COLUMNS($AC$1006:AM1006),$AC$1006:$AS$1006,0)))),"Fix")))</f>
        <v>0</v>
      </c>
      <c r="M651" s="5">
        <f>IF(OR(INDEX($W$2:$W$1001,MATCH(ROWS($V$2:V651),$V$2:$V$1001,0),1)&gt;=100000,INDEX($AC$1005:$AS$1005,1,MATCH(COLUMNS($AC$1006:AN1006),$AC$1006:$AS$1006,0))&gt;=100000), " ",IF(INDEX($AC$2:$AS$1001,MATCH(ROWS($V$2:V651),$V$2:$V$1001,0),MATCH(COLUMNS($AC$1006:AN1006),$AC$1006:$AS$1006,0)), HYPERLINK("#",""), HYPERLINK(CONCATENATE("#Metadata!", ADDRESS(INDEX($X$2:$X$1001,MATCH(ROWS($V$2:V651),$V$2:$V$1001,0),0), INDEX($AC$1004:$AS$1004,1,MATCH(COLUMNS($AC$1006:AN1006),$AC$1006:$AS$1006,0)))),"Fix")))</f>
        <v>0</v>
      </c>
      <c r="N651" s="5">
        <f>IF(OR(INDEX($W$2:$W$1001,MATCH(ROWS($V$2:V651),$V$2:$V$1001,0),1)&gt;=100000,INDEX($AC$1005:$AS$1005,1,MATCH(COLUMNS($AC$1006:AO1006),$AC$1006:$AS$1006,0))&gt;=100000), " ",IF(INDEX($AC$2:$AS$1001,MATCH(ROWS($V$2:V651),$V$2:$V$1001,0),MATCH(COLUMNS($AC$1006:AO1006),$AC$1006:$AS$1006,0)), HYPERLINK("#",""), HYPERLINK(CONCATENATE("#Metadata!", ADDRESS(INDEX($X$2:$X$1001,MATCH(ROWS($V$2:V651),$V$2:$V$1001,0),0), INDEX($AC$1004:$AS$1004,1,MATCH(COLUMNS($AC$1006:AO1006),$AC$1006:$AS$1006,0)))),"Fix")))</f>
        <v>0</v>
      </c>
      <c r="O651" s="5">
        <f>IF(OR(INDEX($W$2:$W$1001,MATCH(ROWS($V$2:V651),$V$2:$V$1001,0),1)&gt;=100000,INDEX($AC$1005:$AS$1005,1,MATCH(COLUMNS($AC$1006:AP1006),$AC$1006:$AS$1006,0))&gt;=100000), " ",IF(INDEX($AC$2:$AS$1001,MATCH(ROWS($V$2:V651),$V$2:$V$1001,0),MATCH(COLUMNS($AC$1006:AP1006),$AC$1006:$AS$1006,0)), HYPERLINK("#",""), HYPERLINK(CONCATENATE("#Metadata!", ADDRESS(INDEX($X$2:$X$1001,MATCH(ROWS($V$2:V651),$V$2:$V$1001,0),0), INDEX($AC$1004:$AS$1004,1,MATCH(COLUMNS($AC$1006:AP1006),$AC$1006:$AS$1006,0)))),"Fix")))</f>
        <v>0</v>
      </c>
      <c r="P651" s="5">
        <f>IF(OR(INDEX($W$2:$W$1001,MATCH(ROWS($V$2:V651),$V$2:$V$1001,0),1)&gt;=100000,INDEX($AC$1005:$AS$1005,1,MATCH(COLUMNS($AC$1006:AQ1006),$AC$1006:$AS$1006,0))&gt;=100000), " ",IF(INDEX($AC$2:$AS$1001,MATCH(ROWS($V$2:V651),$V$2:$V$1001,0),MATCH(COLUMNS($AC$1006:AQ1006),$AC$1006:$AS$1006,0)), HYPERLINK("#",""), HYPERLINK(CONCATENATE("#Metadata!", ADDRESS(INDEX($X$2:$X$1001,MATCH(ROWS($V$2:V651),$V$2:$V$1001,0),0), INDEX($AC$1004:$AS$1004,1,MATCH(COLUMNS($AC$1006:AQ1006),$AC$1006:$AS$1006,0)))),"Fix")))</f>
        <v>0</v>
      </c>
      <c r="Q651" s="5">
        <f>IF(OR(INDEX($W$2:$W$1001,MATCH(ROWS($V$2:V651),$V$2:$V$1001,0),1)&gt;=100000,INDEX($AC$1005:$AS$1005,1,MATCH(COLUMNS($AC$1006:AR1006),$AC$1006:$AS$1006,0))&gt;=100000), " ",IF(INDEX($AC$2:$AS$1001,MATCH(ROWS($V$2:V651),$V$2:$V$1001,0),MATCH(COLUMNS($AC$1006:AR1006),$AC$1006:$AS$1006,0)), HYPERLINK("#",""), HYPERLINK(CONCATENATE("#Metadata!", ADDRESS(INDEX($X$2:$X$1001,MATCH(ROWS($V$2:V651),$V$2:$V$1001,0),0), INDEX($AC$1004:$AS$1004,1,MATCH(COLUMNS($AC$1006:AR1006),$AC$1006:$AS$1006,0)))),"Fix")))</f>
        <v>0</v>
      </c>
      <c r="R651" s="5">
        <f>IF(OR(INDEX($W$2:$W$1001,MATCH(ROWS($V$2:V651),$V$2:$V$1001,0),1)&gt;=100000,INDEX($AC$1005:$AS$1005,1,MATCH(COLUMNS($AC$1006:AS1006),$AC$1006:$AS$1006,0))&gt;=100000), " ",IF(INDEX($AC$2:$AS$1001,MATCH(ROWS($V$2:V651),$V$2:$V$1001,0),MATCH(COLUMNS($AC$1006:AS1006),$AC$1006:$AS$1006,0)), HYPERLINK("#",""), HYPERLINK(CONCATENATE("#Metadata!", ADDRESS(INDEX($X$2:$X$1001,MATCH(ROWS($V$2:V651),$V$2:$V$1001,0),0), INDEX($AC$1004:$AS$1004,1,MATCH(COLUMNS($AC$1006:AS1006),$AC$1006:$AS$1006,0)))),"Fix")))</f>
        <v>0</v>
      </c>
      <c r="V651">
        <v>0</v>
      </c>
      <c r="W651">
        <v>0</v>
      </c>
      <c r="X651">
        <v>0</v>
      </c>
      <c r="Y651">
        <f>IF(Z651,TRUE,AND(AC651:AS651))</f>
        <v>0</v>
      </c>
      <c r="Z651">
        <f>COUNTBLANK(Metadata!B651:R651)=COLUMNS(Metadata!B651:R651)</f>
        <v>0</v>
      </c>
      <c r="AA651">
        <v>0</v>
      </c>
      <c r="AC651">
        <f>AND(IF(Metadata!B651="",FALSE,TRUE),COUNTIF(Metadata!B:B, Metadata!B651) = 1,NOT(ISERROR(SUMPRODUCT(SEARCH(MID(Metadata!B651,ROW(INDIRECT("1:"&amp;LEN(Metadata!B651))), 1),"0123456789abcdefghijklmnopqrstuvwxyzABCDEFGHIJKLMNOPQRSTUVWXYZ.")))))</f>
        <v>0</v>
      </c>
      <c r="AD651">
        <f>AND(IF(Metadata!C651="",FALSE,TRUE),exact(Metadata!C651,"Host-associated"))</f>
        <v>0</v>
      </c>
      <c r="AE651">
        <f>AND(IF(Metadata!D651="",FALSE,TRUE),OR(exact(Metadata!D651,"Animal"),exact(Metadata!D651,"Fungus"),exact(Metadata!D651,"Plant")))</f>
        <v>0</v>
      </c>
      <c r="AF651">
        <f>AND(IF(Metadata!E651="",FALSE,TRUE),OR(exact(Metadata!E651,"Plant secretion"),exact(Metadata!E651,"Plant rhizosphere"),exact(Metadata!E651,"Plant surface"),exact(Metadata!E651,"Plant corpus"),exact(Metadata!E651,"Fungus surface"),exact(Metadata!E651,"Fungus corpus"),exact(Metadata!E651,"Animal surface"),exact(Metadata!E651,"Animal proximal gut"),exact(Metadata!E651,"Animal corpus"),exact(Metadata!E651,"Animal distal gut"),exact(Metadata!E651,"Animal secretion")))</f>
        <v>0</v>
      </c>
      <c r="AG651">
        <f>OR(AND(IF(Metadata!F651="",FALSE,TRUE),OR(exact(Metadata!F651,"not collected"),exact(Metadata!F651,"not provided"),exact(Metadata!F651,"restricted access"))),AND(IF(Metadata!F651="",FALSE,TRUE),OR(exact(Metadata!F651,"organism-associated habitat"),exact(Metadata!F651,"plant-associated habitat"),exact(Metadata!F651,"animal-associated habitat"),exact(Metadata!F651,"insecta-associated habitat"),exact(Metadata!F651,"mammalia-associated habitat"),exact(Metadata!F651,"human-associated habitat"),exact(Metadata!F651,"livestock-associated habitat"))))</f>
        <v>0</v>
      </c>
      <c r="AH651">
        <f>AND(IF(Metadata!G651="",FALSE,TRUE),exact(Metadata!G651,"host-associated"))</f>
        <v>0</v>
      </c>
      <c r="AI651">
        <f>OR(AND(IF(Metadata!H651="",FALSE,TRUE),OR(exact(Metadata!H651,"not collected"),exact(Metadata!H651,"not provided"))),AND(IF(Metadata!H651="",FALSE,ISNUMBER(VALUE(Metadata!H651))),Metadata!H651&gt;0))</f>
        <v>0</v>
      </c>
      <c r="AJ651">
        <f>AND(IF(Metadata!I651="",FALSE,TRUE),exact(Metadata!I651,"years"))</f>
        <v>0</v>
      </c>
      <c r="AK651">
        <f>IF(Metadata!J651="",FALSE,TRUE)</f>
        <v>0</v>
      </c>
      <c r="AL651">
        <f>OR(AND(IF(Metadata!K651="",FALSE,TRUE),OR(exact(Metadata!K651,"not collected"),exact(Metadata!K651,"not provided"))),AND(IF(Metadata!K651="",FALSE,ISNUMBER(VALUE(Metadata!K651))),Metadata!K651&gt;0))</f>
        <v>0</v>
      </c>
      <c r="AM651">
        <f>AND(IF(Metadata!L651="",FALSE,TRUE),exact(Metadata!L651,"cm"))</f>
        <v>0</v>
      </c>
      <c r="AN651">
        <f>IF(Metadata!M651="",FALSE,TRUE)</f>
        <v>0</v>
      </c>
      <c r="AO651">
        <f>OR(AND(IF(Metadata!N651="",FALSE,TRUE),OR(exact(Metadata!N651,"not applicable"),exact(Metadata!N651,"not collected"),exact(Metadata!N651,"not provided"))),AND(IF(Metadata!N651="",FALSE,IF(ISERROR(INT(Metadata!N651)),FALSE,INT(Metadata!N651)=Metadata!N651)),Metadata!N651&gt;0))</f>
        <v>0</v>
      </c>
      <c r="AP651">
        <f>OR(AND(IF(Metadata!O651="",FALSE,TRUE),OR(exact(Metadata!O651,"not collected"),exact(Metadata!O651,"not provided"))),AND(IF(Metadata!O651="",FALSE,ISNUMBER(VALUE(Metadata!O651))),Metadata!O651&gt;0))</f>
        <v>0</v>
      </c>
      <c r="AQ651">
        <f>AND(IF(Metadata!P651="",FALSE,TRUE),exact(Metadata!P651,"kg"))</f>
        <v>0</v>
      </c>
      <c r="AR651">
        <f>OR(AND(IF(Metadata!Q651="",FALSE,TRUE),OR(exact(Metadata!Q651,"not applicable"),exact(Metadata!Q651,"not collected"),exact(Metadata!Q651,"not provided"),exact(Metadata!Q651,"restricted access"))),IF(Metadata!Q651="",FALSE,IF(ISERROR(INT(Metadata!Q651)),FALSE,INT(Metadata!Q651)=Metadata!Q651)))</f>
        <v>0</v>
      </c>
      <c r="AS651">
        <f>AND(IF(Metadata!R651="",FALSE,TRUE),exact(Metadata!R651,"Not applicable"))</f>
        <v>0</v>
      </c>
    </row>
    <row r="652" spans="1:45">
      <c r="A652" s="4">
        <f>IF(B652=" "," ",HYPERLINK(CONCATENATE("#metadata!",ADDRESS(INDEX($X$2:$X$1001,MATCH(ROWS($V$2:V652),$V$2:$V$1001,0),0),2)),INDEX($AA$2:$AA$1001,MATCH(ROWS($V$2:V652),$V$2:$V$1001,0),0)))</f>
        <v>0</v>
      </c>
      <c r="B652" s="5">
        <f>IF(OR(INDEX($W$2:$W$1001,MATCH(ROWS($V$2:V652),$V$2:$V$1001,0),1)&gt;=100000,INDEX($AC$1005:$AS$1005,1,MATCH(COLUMNS($AC$1006:AC1006),$AC$1006:$AS$1006,0))&gt;=100000), " ",IF(INDEX($AC$2:$AS$1001,MATCH(ROWS($V$2:V652),$V$2:$V$1001,0),MATCH(COLUMNS($AC$1006:AC1006),$AC$1006:$AS$1006,0)), HYPERLINK("#",""), HYPERLINK(CONCATENATE("#Metadata!", ADDRESS(INDEX($X$2:$X$1001,MATCH(ROWS($V$2:V652),$V$2:$V$1001,0),0), INDEX($AC$1004:$AS$1004,1,MATCH(COLUMNS($AC$1006:AC1006),$AC$1006:$AS$1006,0)))),"Fix")))</f>
        <v>0</v>
      </c>
      <c r="C652" s="5">
        <f>IF(OR(INDEX($W$2:$W$1001,MATCH(ROWS($V$2:V652),$V$2:$V$1001,0),1)&gt;=100000,INDEX($AC$1005:$AS$1005,1,MATCH(COLUMNS($AC$1006:AD1006),$AC$1006:$AS$1006,0))&gt;=100000), " ",IF(INDEX($AC$2:$AS$1001,MATCH(ROWS($V$2:V652),$V$2:$V$1001,0),MATCH(COLUMNS($AC$1006:AD1006),$AC$1006:$AS$1006,0)), HYPERLINK("#",""), HYPERLINK(CONCATENATE("#Metadata!", ADDRESS(INDEX($X$2:$X$1001,MATCH(ROWS($V$2:V652),$V$2:$V$1001,0),0), INDEX($AC$1004:$AS$1004,1,MATCH(COLUMNS($AC$1006:AD1006),$AC$1006:$AS$1006,0)))),"Fix")))</f>
        <v>0</v>
      </c>
      <c r="D652" s="5">
        <f>IF(OR(INDEX($W$2:$W$1001,MATCH(ROWS($V$2:V652),$V$2:$V$1001,0),1)&gt;=100000,INDEX($AC$1005:$AS$1005,1,MATCH(COLUMNS($AC$1006:AE1006),$AC$1006:$AS$1006,0))&gt;=100000), " ",IF(INDEX($AC$2:$AS$1001,MATCH(ROWS($V$2:V652),$V$2:$V$1001,0),MATCH(COLUMNS($AC$1006:AE1006),$AC$1006:$AS$1006,0)), HYPERLINK("#",""), HYPERLINK(CONCATENATE("#Metadata!", ADDRESS(INDEX($X$2:$X$1001,MATCH(ROWS($V$2:V652),$V$2:$V$1001,0),0), INDEX($AC$1004:$AS$1004,1,MATCH(COLUMNS($AC$1006:AE1006),$AC$1006:$AS$1006,0)))),"Fix")))</f>
        <v>0</v>
      </c>
      <c r="E652" s="5">
        <f>IF(OR(INDEX($W$2:$W$1001,MATCH(ROWS($V$2:V652),$V$2:$V$1001,0),1)&gt;=100000,INDEX($AC$1005:$AS$1005,1,MATCH(COLUMNS($AC$1006:AF1006),$AC$1006:$AS$1006,0))&gt;=100000), " ",IF(INDEX($AC$2:$AS$1001,MATCH(ROWS($V$2:V652),$V$2:$V$1001,0),MATCH(COLUMNS($AC$1006:AF1006),$AC$1006:$AS$1006,0)), HYPERLINK("#",""), HYPERLINK(CONCATENATE("#Metadata!", ADDRESS(INDEX($X$2:$X$1001,MATCH(ROWS($V$2:V652),$V$2:$V$1001,0),0), INDEX($AC$1004:$AS$1004,1,MATCH(COLUMNS($AC$1006:AF1006),$AC$1006:$AS$1006,0)))),"Fix")))</f>
        <v>0</v>
      </c>
      <c r="F652" s="5">
        <f>IF(OR(INDEX($W$2:$W$1001,MATCH(ROWS($V$2:V652),$V$2:$V$1001,0),1)&gt;=100000,INDEX($AC$1005:$AS$1005,1,MATCH(COLUMNS($AC$1006:AG1006),$AC$1006:$AS$1006,0))&gt;=100000), " ",IF(INDEX($AC$2:$AS$1001,MATCH(ROWS($V$2:V652),$V$2:$V$1001,0),MATCH(COLUMNS($AC$1006:AG1006),$AC$1006:$AS$1006,0)), HYPERLINK("#",""), HYPERLINK(CONCATENATE("#Metadata!", ADDRESS(INDEX($X$2:$X$1001,MATCH(ROWS($V$2:V652),$V$2:$V$1001,0),0), INDEX($AC$1004:$AS$1004,1,MATCH(COLUMNS($AC$1006:AG1006),$AC$1006:$AS$1006,0)))),"Fix")))</f>
        <v>0</v>
      </c>
      <c r="G652" s="5">
        <f>IF(OR(INDEX($W$2:$W$1001,MATCH(ROWS($V$2:V652),$V$2:$V$1001,0),1)&gt;=100000,INDEX($AC$1005:$AS$1005,1,MATCH(COLUMNS($AC$1006:AH1006),$AC$1006:$AS$1006,0))&gt;=100000), " ",IF(INDEX($AC$2:$AS$1001,MATCH(ROWS($V$2:V652),$V$2:$V$1001,0),MATCH(COLUMNS($AC$1006:AH1006),$AC$1006:$AS$1006,0)), HYPERLINK("#",""), HYPERLINK(CONCATENATE("#Metadata!", ADDRESS(INDEX($X$2:$X$1001,MATCH(ROWS($V$2:V652),$V$2:$V$1001,0),0), INDEX($AC$1004:$AS$1004,1,MATCH(COLUMNS($AC$1006:AH1006),$AC$1006:$AS$1006,0)))),"Fix")))</f>
        <v>0</v>
      </c>
      <c r="H652" s="5">
        <f>IF(OR(INDEX($W$2:$W$1001,MATCH(ROWS($V$2:V652),$V$2:$V$1001,0),1)&gt;=100000,INDEX($AC$1005:$AS$1005,1,MATCH(COLUMNS($AC$1006:AI1006),$AC$1006:$AS$1006,0))&gt;=100000), " ",IF(INDEX($AC$2:$AS$1001,MATCH(ROWS($V$2:V652),$V$2:$V$1001,0),MATCH(COLUMNS($AC$1006:AI1006),$AC$1006:$AS$1006,0)), HYPERLINK("#",""), HYPERLINK(CONCATENATE("#Metadata!", ADDRESS(INDEX($X$2:$X$1001,MATCH(ROWS($V$2:V652),$V$2:$V$1001,0),0), INDEX($AC$1004:$AS$1004,1,MATCH(COLUMNS($AC$1006:AI1006),$AC$1006:$AS$1006,0)))),"Fix")))</f>
        <v>0</v>
      </c>
      <c r="I652" s="5">
        <f>IF(OR(INDEX($W$2:$W$1001,MATCH(ROWS($V$2:V652),$V$2:$V$1001,0),1)&gt;=100000,INDEX($AC$1005:$AS$1005,1,MATCH(COLUMNS($AC$1006:AJ1006),$AC$1006:$AS$1006,0))&gt;=100000), " ",IF(INDEX($AC$2:$AS$1001,MATCH(ROWS($V$2:V652),$V$2:$V$1001,0),MATCH(COLUMNS($AC$1006:AJ1006),$AC$1006:$AS$1006,0)), HYPERLINK("#",""), HYPERLINK(CONCATENATE("#Metadata!", ADDRESS(INDEX($X$2:$X$1001,MATCH(ROWS($V$2:V652),$V$2:$V$1001,0),0), INDEX($AC$1004:$AS$1004,1,MATCH(COLUMNS($AC$1006:AJ1006),$AC$1006:$AS$1006,0)))),"Fix")))</f>
        <v>0</v>
      </c>
      <c r="J652" s="5">
        <f>IF(OR(INDEX($W$2:$W$1001,MATCH(ROWS($V$2:V652),$V$2:$V$1001,0),1)&gt;=100000,INDEX($AC$1005:$AS$1005,1,MATCH(COLUMNS($AC$1006:AK1006),$AC$1006:$AS$1006,0))&gt;=100000), " ",IF(INDEX($AC$2:$AS$1001,MATCH(ROWS($V$2:V652),$V$2:$V$1001,0),MATCH(COLUMNS($AC$1006:AK1006),$AC$1006:$AS$1006,0)), HYPERLINK("#",""), HYPERLINK(CONCATENATE("#Metadata!", ADDRESS(INDEX($X$2:$X$1001,MATCH(ROWS($V$2:V652),$V$2:$V$1001,0),0), INDEX($AC$1004:$AS$1004,1,MATCH(COLUMNS($AC$1006:AK1006),$AC$1006:$AS$1006,0)))),"Fix")))</f>
        <v>0</v>
      </c>
      <c r="K652" s="5">
        <f>IF(OR(INDEX($W$2:$W$1001,MATCH(ROWS($V$2:V652),$V$2:$V$1001,0),1)&gt;=100000,INDEX($AC$1005:$AS$1005,1,MATCH(COLUMNS($AC$1006:AL1006),$AC$1006:$AS$1006,0))&gt;=100000), " ",IF(INDEX($AC$2:$AS$1001,MATCH(ROWS($V$2:V652),$V$2:$V$1001,0),MATCH(COLUMNS($AC$1006:AL1006),$AC$1006:$AS$1006,0)), HYPERLINK("#",""), HYPERLINK(CONCATENATE("#Metadata!", ADDRESS(INDEX($X$2:$X$1001,MATCH(ROWS($V$2:V652),$V$2:$V$1001,0),0), INDEX($AC$1004:$AS$1004,1,MATCH(COLUMNS($AC$1006:AL1006),$AC$1006:$AS$1006,0)))),"Fix")))</f>
        <v>0</v>
      </c>
      <c r="L652" s="5">
        <f>IF(OR(INDEX($W$2:$W$1001,MATCH(ROWS($V$2:V652),$V$2:$V$1001,0),1)&gt;=100000,INDEX($AC$1005:$AS$1005,1,MATCH(COLUMNS($AC$1006:AM1006),$AC$1006:$AS$1006,0))&gt;=100000), " ",IF(INDEX($AC$2:$AS$1001,MATCH(ROWS($V$2:V652),$V$2:$V$1001,0),MATCH(COLUMNS($AC$1006:AM1006),$AC$1006:$AS$1006,0)), HYPERLINK("#",""), HYPERLINK(CONCATENATE("#Metadata!", ADDRESS(INDEX($X$2:$X$1001,MATCH(ROWS($V$2:V652),$V$2:$V$1001,0),0), INDEX($AC$1004:$AS$1004,1,MATCH(COLUMNS($AC$1006:AM1006),$AC$1006:$AS$1006,0)))),"Fix")))</f>
        <v>0</v>
      </c>
      <c r="M652" s="5">
        <f>IF(OR(INDEX($W$2:$W$1001,MATCH(ROWS($V$2:V652),$V$2:$V$1001,0),1)&gt;=100000,INDEX($AC$1005:$AS$1005,1,MATCH(COLUMNS($AC$1006:AN1006),$AC$1006:$AS$1006,0))&gt;=100000), " ",IF(INDEX($AC$2:$AS$1001,MATCH(ROWS($V$2:V652),$V$2:$V$1001,0),MATCH(COLUMNS($AC$1006:AN1006),$AC$1006:$AS$1006,0)), HYPERLINK("#",""), HYPERLINK(CONCATENATE("#Metadata!", ADDRESS(INDEX($X$2:$X$1001,MATCH(ROWS($V$2:V652),$V$2:$V$1001,0),0), INDEX($AC$1004:$AS$1004,1,MATCH(COLUMNS($AC$1006:AN1006),$AC$1006:$AS$1006,0)))),"Fix")))</f>
        <v>0</v>
      </c>
      <c r="N652" s="5">
        <f>IF(OR(INDEX($W$2:$W$1001,MATCH(ROWS($V$2:V652),$V$2:$V$1001,0),1)&gt;=100000,INDEX($AC$1005:$AS$1005,1,MATCH(COLUMNS($AC$1006:AO1006),$AC$1006:$AS$1006,0))&gt;=100000), " ",IF(INDEX($AC$2:$AS$1001,MATCH(ROWS($V$2:V652),$V$2:$V$1001,0),MATCH(COLUMNS($AC$1006:AO1006),$AC$1006:$AS$1006,0)), HYPERLINK("#",""), HYPERLINK(CONCATENATE("#Metadata!", ADDRESS(INDEX($X$2:$X$1001,MATCH(ROWS($V$2:V652),$V$2:$V$1001,0),0), INDEX($AC$1004:$AS$1004,1,MATCH(COLUMNS($AC$1006:AO1006),$AC$1006:$AS$1006,0)))),"Fix")))</f>
        <v>0</v>
      </c>
      <c r="O652" s="5">
        <f>IF(OR(INDEX($W$2:$W$1001,MATCH(ROWS($V$2:V652),$V$2:$V$1001,0),1)&gt;=100000,INDEX($AC$1005:$AS$1005,1,MATCH(COLUMNS($AC$1006:AP1006),$AC$1006:$AS$1006,0))&gt;=100000), " ",IF(INDEX($AC$2:$AS$1001,MATCH(ROWS($V$2:V652),$V$2:$V$1001,0),MATCH(COLUMNS($AC$1006:AP1006),$AC$1006:$AS$1006,0)), HYPERLINK("#",""), HYPERLINK(CONCATENATE("#Metadata!", ADDRESS(INDEX($X$2:$X$1001,MATCH(ROWS($V$2:V652),$V$2:$V$1001,0),0), INDEX($AC$1004:$AS$1004,1,MATCH(COLUMNS($AC$1006:AP1006),$AC$1006:$AS$1006,0)))),"Fix")))</f>
        <v>0</v>
      </c>
      <c r="P652" s="5">
        <f>IF(OR(INDEX($W$2:$W$1001,MATCH(ROWS($V$2:V652),$V$2:$V$1001,0),1)&gt;=100000,INDEX($AC$1005:$AS$1005,1,MATCH(COLUMNS($AC$1006:AQ1006),$AC$1006:$AS$1006,0))&gt;=100000), " ",IF(INDEX($AC$2:$AS$1001,MATCH(ROWS($V$2:V652),$V$2:$V$1001,0),MATCH(COLUMNS($AC$1006:AQ1006),$AC$1006:$AS$1006,0)), HYPERLINK("#",""), HYPERLINK(CONCATENATE("#Metadata!", ADDRESS(INDEX($X$2:$X$1001,MATCH(ROWS($V$2:V652),$V$2:$V$1001,0),0), INDEX($AC$1004:$AS$1004,1,MATCH(COLUMNS($AC$1006:AQ1006),$AC$1006:$AS$1006,0)))),"Fix")))</f>
        <v>0</v>
      </c>
      <c r="Q652" s="5">
        <f>IF(OR(INDEX($W$2:$W$1001,MATCH(ROWS($V$2:V652),$V$2:$V$1001,0),1)&gt;=100000,INDEX($AC$1005:$AS$1005,1,MATCH(COLUMNS($AC$1006:AR1006),$AC$1006:$AS$1006,0))&gt;=100000), " ",IF(INDEX($AC$2:$AS$1001,MATCH(ROWS($V$2:V652),$V$2:$V$1001,0),MATCH(COLUMNS($AC$1006:AR1006),$AC$1006:$AS$1006,0)), HYPERLINK("#",""), HYPERLINK(CONCATENATE("#Metadata!", ADDRESS(INDEX($X$2:$X$1001,MATCH(ROWS($V$2:V652),$V$2:$V$1001,0),0), INDEX($AC$1004:$AS$1004,1,MATCH(COLUMNS($AC$1006:AR1006),$AC$1006:$AS$1006,0)))),"Fix")))</f>
        <v>0</v>
      </c>
      <c r="R652" s="5">
        <f>IF(OR(INDEX($W$2:$W$1001,MATCH(ROWS($V$2:V652),$V$2:$V$1001,0),1)&gt;=100000,INDEX($AC$1005:$AS$1005,1,MATCH(COLUMNS($AC$1006:AS1006),$AC$1006:$AS$1006,0))&gt;=100000), " ",IF(INDEX($AC$2:$AS$1001,MATCH(ROWS($V$2:V652),$V$2:$V$1001,0),MATCH(COLUMNS($AC$1006:AS1006),$AC$1006:$AS$1006,0)), HYPERLINK("#",""), HYPERLINK(CONCATENATE("#Metadata!", ADDRESS(INDEX($X$2:$X$1001,MATCH(ROWS($V$2:V652),$V$2:$V$1001,0),0), INDEX($AC$1004:$AS$1004,1,MATCH(COLUMNS($AC$1006:AS1006),$AC$1006:$AS$1006,0)))),"Fix")))</f>
        <v>0</v>
      </c>
      <c r="V652">
        <v>0</v>
      </c>
      <c r="W652">
        <v>0</v>
      </c>
      <c r="X652">
        <v>0</v>
      </c>
      <c r="Y652">
        <f>IF(Z652,TRUE,AND(AC652:AS652))</f>
        <v>0</v>
      </c>
      <c r="Z652">
        <f>COUNTBLANK(Metadata!B652:R652)=COLUMNS(Metadata!B652:R652)</f>
        <v>0</v>
      </c>
      <c r="AA652">
        <v>0</v>
      </c>
      <c r="AC652">
        <f>AND(IF(Metadata!B652="",FALSE,TRUE),COUNTIF(Metadata!B:B, Metadata!B652) = 1,NOT(ISERROR(SUMPRODUCT(SEARCH(MID(Metadata!B652,ROW(INDIRECT("1:"&amp;LEN(Metadata!B652))), 1),"0123456789abcdefghijklmnopqrstuvwxyzABCDEFGHIJKLMNOPQRSTUVWXYZ.")))))</f>
        <v>0</v>
      </c>
      <c r="AD652">
        <f>AND(IF(Metadata!C652="",FALSE,TRUE),exact(Metadata!C652,"Host-associated"))</f>
        <v>0</v>
      </c>
      <c r="AE652">
        <f>AND(IF(Metadata!D652="",FALSE,TRUE),OR(exact(Metadata!D652,"Animal"),exact(Metadata!D652,"Fungus"),exact(Metadata!D652,"Plant")))</f>
        <v>0</v>
      </c>
      <c r="AF652">
        <f>AND(IF(Metadata!E652="",FALSE,TRUE),OR(exact(Metadata!E652,"Plant secretion"),exact(Metadata!E652,"Plant rhizosphere"),exact(Metadata!E652,"Plant surface"),exact(Metadata!E652,"Plant corpus"),exact(Metadata!E652,"Fungus surface"),exact(Metadata!E652,"Fungus corpus"),exact(Metadata!E652,"Animal surface"),exact(Metadata!E652,"Animal proximal gut"),exact(Metadata!E652,"Animal corpus"),exact(Metadata!E652,"Animal distal gut"),exact(Metadata!E652,"Animal secretion")))</f>
        <v>0</v>
      </c>
      <c r="AG652">
        <f>OR(AND(IF(Metadata!F652="",FALSE,TRUE),OR(exact(Metadata!F652,"not collected"),exact(Metadata!F652,"not provided"),exact(Metadata!F652,"restricted access"))),AND(IF(Metadata!F652="",FALSE,TRUE),OR(exact(Metadata!F652,"organism-associated habitat"),exact(Metadata!F652,"plant-associated habitat"),exact(Metadata!F652,"animal-associated habitat"),exact(Metadata!F652,"insecta-associated habitat"),exact(Metadata!F652,"mammalia-associated habitat"),exact(Metadata!F652,"human-associated habitat"),exact(Metadata!F652,"livestock-associated habitat"))))</f>
        <v>0</v>
      </c>
      <c r="AH652">
        <f>AND(IF(Metadata!G652="",FALSE,TRUE),exact(Metadata!G652,"host-associated"))</f>
        <v>0</v>
      </c>
      <c r="AI652">
        <f>OR(AND(IF(Metadata!H652="",FALSE,TRUE),OR(exact(Metadata!H652,"not collected"),exact(Metadata!H652,"not provided"))),AND(IF(Metadata!H652="",FALSE,ISNUMBER(VALUE(Metadata!H652))),Metadata!H652&gt;0))</f>
        <v>0</v>
      </c>
      <c r="AJ652">
        <f>AND(IF(Metadata!I652="",FALSE,TRUE),exact(Metadata!I652,"years"))</f>
        <v>0</v>
      </c>
      <c r="AK652">
        <f>IF(Metadata!J652="",FALSE,TRUE)</f>
        <v>0</v>
      </c>
      <c r="AL652">
        <f>OR(AND(IF(Metadata!K652="",FALSE,TRUE),OR(exact(Metadata!K652,"not collected"),exact(Metadata!K652,"not provided"))),AND(IF(Metadata!K652="",FALSE,ISNUMBER(VALUE(Metadata!K652))),Metadata!K652&gt;0))</f>
        <v>0</v>
      </c>
      <c r="AM652">
        <f>AND(IF(Metadata!L652="",FALSE,TRUE),exact(Metadata!L652,"cm"))</f>
        <v>0</v>
      </c>
      <c r="AN652">
        <f>IF(Metadata!M652="",FALSE,TRUE)</f>
        <v>0</v>
      </c>
      <c r="AO652">
        <f>OR(AND(IF(Metadata!N652="",FALSE,TRUE),OR(exact(Metadata!N652,"not applicable"),exact(Metadata!N652,"not collected"),exact(Metadata!N652,"not provided"))),AND(IF(Metadata!N652="",FALSE,IF(ISERROR(INT(Metadata!N652)),FALSE,INT(Metadata!N652)=Metadata!N652)),Metadata!N652&gt;0))</f>
        <v>0</v>
      </c>
      <c r="AP652">
        <f>OR(AND(IF(Metadata!O652="",FALSE,TRUE),OR(exact(Metadata!O652,"not collected"),exact(Metadata!O652,"not provided"))),AND(IF(Metadata!O652="",FALSE,ISNUMBER(VALUE(Metadata!O652))),Metadata!O652&gt;0))</f>
        <v>0</v>
      </c>
      <c r="AQ652">
        <f>AND(IF(Metadata!P652="",FALSE,TRUE),exact(Metadata!P652,"kg"))</f>
        <v>0</v>
      </c>
      <c r="AR652">
        <f>OR(AND(IF(Metadata!Q652="",FALSE,TRUE),OR(exact(Metadata!Q652,"not applicable"),exact(Metadata!Q652,"not collected"),exact(Metadata!Q652,"not provided"),exact(Metadata!Q652,"restricted access"))),IF(Metadata!Q652="",FALSE,IF(ISERROR(INT(Metadata!Q652)),FALSE,INT(Metadata!Q652)=Metadata!Q652)))</f>
        <v>0</v>
      </c>
      <c r="AS652">
        <f>AND(IF(Metadata!R652="",FALSE,TRUE),exact(Metadata!R652,"Not applicable"))</f>
        <v>0</v>
      </c>
    </row>
    <row r="653" spans="1:45">
      <c r="A653" s="4">
        <f>IF(B653=" "," ",HYPERLINK(CONCATENATE("#metadata!",ADDRESS(INDEX($X$2:$X$1001,MATCH(ROWS($V$2:V653),$V$2:$V$1001,0),0),2)),INDEX($AA$2:$AA$1001,MATCH(ROWS($V$2:V653),$V$2:$V$1001,0),0)))</f>
        <v>0</v>
      </c>
      <c r="B653" s="5">
        <f>IF(OR(INDEX($W$2:$W$1001,MATCH(ROWS($V$2:V653),$V$2:$V$1001,0),1)&gt;=100000,INDEX($AC$1005:$AS$1005,1,MATCH(COLUMNS($AC$1006:AC1006),$AC$1006:$AS$1006,0))&gt;=100000), " ",IF(INDEX($AC$2:$AS$1001,MATCH(ROWS($V$2:V653),$V$2:$V$1001,0),MATCH(COLUMNS($AC$1006:AC1006),$AC$1006:$AS$1006,0)), HYPERLINK("#",""), HYPERLINK(CONCATENATE("#Metadata!", ADDRESS(INDEX($X$2:$X$1001,MATCH(ROWS($V$2:V653),$V$2:$V$1001,0),0), INDEX($AC$1004:$AS$1004,1,MATCH(COLUMNS($AC$1006:AC1006),$AC$1006:$AS$1006,0)))),"Fix")))</f>
        <v>0</v>
      </c>
      <c r="C653" s="5">
        <f>IF(OR(INDEX($W$2:$W$1001,MATCH(ROWS($V$2:V653),$V$2:$V$1001,0),1)&gt;=100000,INDEX($AC$1005:$AS$1005,1,MATCH(COLUMNS($AC$1006:AD1006),$AC$1006:$AS$1006,0))&gt;=100000), " ",IF(INDEX($AC$2:$AS$1001,MATCH(ROWS($V$2:V653),$V$2:$V$1001,0),MATCH(COLUMNS($AC$1006:AD1006),$AC$1006:$AS$1006,0)), HYPERLINK("#",""), HYPERLINK(CONCATENATE("#Metadata!", ADDRESS(INDEX($X$2:$X$1001,MATCH(ROWS($V$2:V653),$V$2:$V$1001,0),0), INDEX($AC$1004:$AS$1004,1,MATCH(COLUMNS($AC$1006:AD1006),$AC$1006:$AS$1006,0)))),"Fix")))</f>
        <v>0</v>
      </c>
      <c r="D653" s="5">
        <f>IF(OR(INDEX($W$2:$W$1001,MATCH(ROWS($V$2:V653),$V$2:$V$1001,0),1)&gt;=100000,INDEX($AC$1005:$AS$1005,1,MATCH(COLUMNS($AC$1006:AE1006),$AC$1006:$AS$1006,0))&gt;=100000), " ",IF(INDEX($AC$2:$AS$1001,MATCH(ROWS($V$2:V653),$V$2:$V$1001,0),MATCH(COLUMNS($AC$1006:AE1006),$AC$1006:$AS$1006,0)), HYPERLINK("#",""), HYPERLINK(CONCATENATE("#Metadata!", ADDRESS(INDEX($X$2:$X$1001,MATCH(ROWS($V$2:V653),$V$2:$V$1001,0),0), INDEX($AC$1004:$AS$1004,1,MATCH(COLUMNS($AC$1006:AE1006),$AC$1006:$AS$1006,0)))),"Fix")))</f>
        <v>0</v>
      </c>
      <c r="E653" s="5">
        <f>IF(OR(INDEX($W$2:$W$1001,MATCH(ROWS($V$2:V653),$V$2:$V$1001,0),1)&gt;=100000,INDEX($AC$1005:$AS$1005,1,MATCH(COLUMNS($AC$1006:AF1006),$AC$1006:$AS$1006,0))&gt;=100000), " ",IF(INDEX($AC$2:$AS$1001,MATCH(ROWS($V$2:V653),$V$2:$V$1001,0),MATCH(COLUMNS($AC$1006:AF1006),$AC$1006:$AS$1006,0)), HYPERLINK("#",""), HYPERLINK(CONCATENATE("#Metadata!", ADDRESS(INDEX($X$2:$X$1001,MATCH(ROWS($V$2:V653),$V$2:$V$1001,0),0), INDEX($AC$1004:$AS$1004,1,MATCH(COLUMNS($AC$1006:AF1006),$AC$1006:$AS$1006,0)))),"Fix")))</f>
        <v>0</v>
      </c>
      <c r="F653" s="5">
        <f>IF(OR(INDEX($W$2:$W$1001,MATCH(ROWS($V$2:V653),$V$2:$V$1001,0),1)&gt;=100000,INDEX($AC$1005:$AS$1005,1,MATCH(COLUMNS($AC$1006:AG1006),$AC$1006:$AS$1006,0))&gt;=100000), " ",IF(INDEX($AC$2:$AS$1001,MATCH(ROWS($V$2:V653),$V$2:$V$1001,0),MATCH(COLUMNS($AC$1006:AG1006),$AC$1006:$AS$1006,0)), HYPERLINK("#",""), HYPERLINK(CONCATENATE("#Metadata!", ADDRESS(INDEX($X$2:$X$1001,MATCH(ROWS($V$2:V653),$V$2:$V$1001,0),0), INDEX($AC$1004:$AS$1004,1,MATCH(COLUMNS($AC$1006:AG1006),$AC$1006:$AS$1006,0)))),"Fix")))</f>
        <v>0</v>
      </c>
      <c r="G653" s="5">
        <f>IF(OR(INDEX($W$2:$W$1001,MATCH(ROWS($V$2:V653),$V$2:$V$1001,0),1)&gt;=100000,INDEX($AC$1005:$AS$1005,1,MATCH(COLUMNS($AC$1006:AH1006),$AC$1006:$AS$1006,0))&gt;=100000), " ",IF(INDEX($AC$2:$AS$1001,MATCH(ROWS($V$2:V653),$V$2:$V$1001,0),MATCH(COLUMNS($AC$1006:AH1006),$AC$1006:$AS$1006,0)), HYPERLINK("#",""), HYPERLINK(CONCATENATE("#Metadata!", ADDRESS(INDEX($X$2:$X$1001,MATCH(ROWS($V$2:V653),$V$2:$V$1001,0),0), INDEX($AC$1004:$AS$1004,1,MATCH(COLUMNS($AC$1006:AH1006),$AC$1006:$AS$1006,0)))),"Fix")))</f>
        <v>0</v>
      </c>
      <c r="H653" s="5">
        <f>IF(OR(INDEX($W$2:$W$1001,MATCH(ROWS($V$2:V653),$V$2:$V$1001,0),1)&gt;=100000,INDEX($AC$1005:$AS$1005,1,MATCH(COLUMNS($AC$1006:AI1006),$AC$1006:$AS$1006,0))&gt;=100000), " ",IF(INDEX($AC$2:$AS$1001,MATCH(ROWS($V$2:V653),$V$2:$V$1001,0),MATCH(COLUMNS($AC$1006:AI1006),$AC$1006:$AS$1006,0)), HYPERLINK("#",""), HYPERLINK(CONCATENATE("#Metadata!", ADDRESS(INDEX($X$2:$X$1001,MATCH(ROWS($V$2:V653),$V$2:$V$1001,0),0), INDEX($AC$1004:$AS$1004,1,MATCH(COLUMNS($AC$1006:AI1006),$AC$1006:$AS$1006,0)))),"Fix")))</f>
        <v>0</v>
      </c>
      <c r="I653" s="5">
        <f>IF(OR(INDEX($W$2:$W$1001,MATCH(ROWS($V$2:V653),$V$2:$V$1001,0),1)&gt;=100000,INDEX($AC$1005:$AS$1005,1,MATCH(COLUMNS($AC$1006:AJ1006),$AC$1006:$AS$1006,0))&gt;=100000), " ",IF(INDEX($AC$2:$AS$1001,MATCH(ROWS($V$2:V653),$V$2:$V$1001,0),MATCH(COLUMNS($AC$1006:AJ1006),$AC$1006:$AS$1006,0)), HYPERLINK("#",""), HYPERLINK(CONCATENATE("#Metadata!", ADDRESS(INDEX($X$2:$X$1001,MATCH(ROWS($V$2:V653),$V$2:$V$1001,0),0), INDEX($AC$1004:$AS$1004,1,MATCH(COLUMNS($AC$1006:AJ1006),$AC$1006:$AS$1006,0)))),"Fix")))</f>
        <v>0</v>
      </c>
      <c r="J653" s="5">
        <f>IF(OR(INDEX($W$2:$W$1001,MATCH(ROWS($V$2:V653),$V$2:$V$1001,0),1)&gt;=100000,INDEX($AC$1005:$AS$1005,1,MATCH(COLUMNS($AC$1006:AK1006),$AC$1006:$AS$1006,0))&gt;=100000), " ",IF(INDEX($AC$2:$AS$1001,MATCH(ROWS($V$2:V653),$V$2:$V$1001,0),MATCH(COLUMNS($AC$1006:AK1006),$AC$1006:$AS$1006,0)), HYPERLINK("#",""), HYPERLINK(CONCATENATE("#Metadata!", ADDRESS(INDEX($X$2:$X$1001,MATCH(ROWS($V$2:V653),$V$2:$V$1001,0),0), INDEX($AC$1004:$AS$1004,1,MATCH(COLUMNS($AC$1006:AK1006),$AC$1006:$AS$1006,0)))),"Fix")))</f>
        <v>0</v>
      </c>
      <c r="K653" s="5">
        <f>IF(OR(INDEX($W$2:$W$1001,MATCH(ROWS($V$2:V653),$V$2:$V$1001,0),1)&gt;=100000,INDEX($AC$1005:$AS$1005,1,MATCH(COLUMNS($AC$1006:AL1006),$AC$1006:$AS$1006,0))&gt;=100000), " ",IF(INDEX($AC$2:$AS$1001,MATCH(ROWS($V$2:V653),$V$2:$V$1001,0),MATCH(COLUMNS($AC$1006:AL1006),$AC$1006:$AS$1006,0)), HYPERLINK("#",""), HYPERLINK(CONCATENATE("#Metadata!", ADDRESS(INDEX($X$2:$X$1001,MATCH(ROWS($V$2:V653),$V$2:$V$1001,0),0), INDEX($AC$1004:$AS$1004,1,MATCH(COLUMNS($AC$1006:AL1006),$AC$1006:$AS$1006,0)))),"Fix")))</f>
        <v>0</v>
      </c>
      <c r="L653" s="5">
        <f>IF(OR(INDEX($W$2:$W$1001,MATCH(ROWS($V$2:V653),$V$2:$V$1001,0),1)&gt;=100000,INDEX($AC$1005:$AS$1005,1,MATCH(COLUMNS($AC$1006:AM1006),$AC$1006:$AS$1006,0))&gt;=100000), " ",IF(INDEX($AC$2:$AS$1001,MATCH(ROWS($V$2:V653),$V$2:$V$1001,0),MATCH(COLUMNS($AC$1006:AM1006),$AC$1006:$AS$1006,0)), HYPERLINK("#",""), HYPERLINK(CONCATENATE("#Metadata!", ADDRESS(INDEX($X$2:$X$1001,MATCH(ROWS($V$2:V653),$V$2:$V$1001,0),0), INDEX($AC$1004:$AS$1004,1,MATCH(COLUMNS($AC$1006:AM1006),$AC$1006:$AS$1006,0)))),"Fix")))</f>
        <v>0</v>
      </c>
      <c r="M653" s="5">
        <f>IF(OR(INDEX($W$2:$W$1001,MATCH(ROWS($V$2:V653),$V$2:$V$1001,0),1)&gt;=100000,INDEX($AC$1005:$AS$1005,1,MATCH(COLUMNS($AC$1006:AN1006),$AC$1006:$AS$1006,0))&gt;=100000), " ",IF(INDEX($AC$2:$AS$1001,MATCH(ROWS($V$2:V653),$V$2:$V$1001,0),MATCH(COLUMNS($AC$1006:AN1006),$AC$1006:$AS$1006,0)), HYPERLINK("#",""), HYPERLINK(CONCATENATE("#Metadata!", ADDRESS(INDEX($X$2:$X$1001,MATCH(ROWS($V$2:V653),$V$2:$V$1001,0),0), INDEX($AC$1004:$AS$1004,1,MATCH(COLUMNS($AC$1006:AN1006),$AC$1006:$AS$1006,0)))),"Fix")))</f>
        <v>0</v>
      </c>
      <c r="N653" s="5">
        <f>IF(OR(INDEX($W$2:$W$1001,MATCH(ROWS($V$2:V653),$V$2:$V$1001,0),1)&gt;=100000,INDEX($AC$1005:$AS$1005,1,MATCH(COLUMNS($AC$1006:AO1006),$AC$1006:$AS$1006,0))&gt;=100000), " ",IF(INDEX($AC$2:$AS$1001,MATCH(ROWS($V$2:V653),$V$2:$V$1001,0),MATCH(COLUMNS($AC$1006:AO1006),$AC$1006:$AS$1006,0)), HYPERLINK("#",""), HYPERLINK(CONCATENATE("#Metadata!", ADDRESS(INDEX($X$2:$X$1001,MATCH(ROWS($V$2:V653),$V$2:$V$1001,0),0), INDEX($AC$1004:$AS$1004,1,MATCH(COLUMNS($AC$1006:AO1006),$AC$1006:$AS$1006,0)))),"Fix")))</f>
        <v>0</v>
      </c>
      <c r="O653" s="5">
        <f>IF(OR(INDEX($W$2:$W$1001,MATCH(ROWS($V$2:V653),$V$2:$V$1001,0),1)&gt;=100000,INDEX($AC$1005:$AS$1005,1,MATCH(COLUMNS($AC$1006:AP1006),$AC$1006:$AS$1006,0))&gt;=100000), " ",IF(INDEX($AC$2:$AS$1001,MATCH(ROWS($V$2:V653),$V$2:$V$1001,0),MATCH(COLUMNS($AC$1006:AP1006),$AC$1006:$AS$1006,0)), HYPERLINK("#",""), HYPERLINK(CONCATENATE("#Metadata!", ADDRESS(INDEX($X$2:$X$1001,MATCH(ROWS($V$2:V653),$V$2:$V$1001,0),0), INDEX($AC$1004:$AS$1004,1,MATCH(COLUMNS($AC$1006:AP1006),$AC$1006:$AS$1006,0)))),"Fix")))</f>
        <v>0</v>
      </c>
      <c r="P653" s="5">
        <f>IF(OR(INDEX($W$2:$W$1001,MATCH(ROWS($V$2:V653),$V$2:$V$1001,0),1)&gt;=100000,INDEX($AC$1005:$AS$1005,1,MATCH(COLUMNS($AC$1006:AQ1006),$AC$1006:$AS$1006,0))&gt;=100000), " ",IF(INDEX($AC$2:$AS$1001,MATCH(ROWS($V$2:V653),$V$2:$V$1001,0),MATCH(COLUMNS($AC$1006:AQ1006),$AC$1006:$AS$1006,0)), HYPERLINK("#",""), HYPERLINK(CONCATENATE("#Metadata!", ADDRESS(INDEX($X$2:$X$1001,MATCH(ROWS($V$2:V653),$V$2:$V$1001,0),0), INDEX($AC$1004:$AS$1004,1,MATCH(COLUMNS($AC$1006:AQ1006),$AC$1006:$AS$1006,0)))),"Fix")))</f>
        <v>0</v>
      </c>
      <c r="Q653" s="5">
        <f>IF(OR(INDEX($W$2:$W$1001,MATCH(ROWS($V$2:V653),$V$2:$V$1001,0),1)&gt;=100000,INDEX($AC$1005:$AS$1005,1,MATCH(COLUMNS($AC$1006:AR1006),$AC$1006:$AS$1006,0))&gt;=100000), " ",IF(INDEX($AC$2:$AS$1001,MATCH(ROWS($V$2:V653),$V$2:$V$1001,0),MATCH(COLUMNS($AC$1006:AR1006),$AC$1006:$AS$1006,0)), HYPERLINK("#",""), HYPERLINK(CONCATENATE("#Metadata!", ADDRESS(INDEX($X$2:$X$1001,MATCH(ROWS($V$2:V653),$V$2:$V$1001,0),0), INDEX($AC$1004:$AS$1004,1,MATCH(COLUMNS($AC$1006:AR1006),$AC$1006:$AS$1006,0)))),"Fix")))</f>
        <v>0</v>
      </c>
      <c r="R653" s="5">
        <f>IF(OR(INDEX($W$2:$W$1001,MATCH(ROWS($V$2:V653),$V$2:$V$1001,0),1)&gt;=100000,INDEX($AC$1005:$AS$1005,1,MATCH(COLUMNS($AC$1006:AS1006),$AC$1006:$AS$1006,0))&gt;=100000), " ",IF(INDEX($AC$2:$AS$1001,MATCH(ROWS($V$2:V653),$V$2:$V$1001,0),MATCH(COLUMNS($AC$1006:AS1006),$AC$1006:$AS$1006,0)), HYPERLINK("#",""), HYPERLINK(CONCATENATE("#Metadata!", ADDRESS(INDEX($X$2:$X$1001,MATCH(ROWS($V$2:V653),$V$2:$V$1001,0),0), INDEX($AC$1004:$AS$1004,1,MATCH(COLUMNS($AC$1006:AS1006),$AC$1006:$AS$1006,0)))),"Fix")))</f>
        <v>0</v>
      </c>
      <c r="V653">
        <v>0</v>
      </c>
      <c r="W653">
        <v>0</v>
      </c>
      <c r="X653">
        <v>0</v>
      </c>
      <c r="Y653">
        <f>IF(Z653,TRUE,AND(AC653:AS653))</f>
        <v>0</v>
      </c>
      <c r="Z653">
        <f>COUNTBLANK(Metadata!B653:R653)=COLUMNS(Metadata!B653:R653)</f>
        <v>0</v>
      </c>
      <c r="AA653">
        <v>0</v>
      </c>
      <c r="AC653">
        <f>AND(IF(Metadata!B653="",FALSE,TRUE),COUNTIF(Metadata!B:B, Metadata!B653) = 1,NOT(ISERROR(SUMPRODUCT(SEARCH(MID(Metadata!B653,ROW(INDIRECT("1:"&amp;LEN(Metadata!B653))), 1),"0123456789abcdefghijklmnopqrstuvwxyzABCDEFGHIJKLMNOPQRSTUVWXYZ.")))))</f>
        <v>0</v>
      </c>
      <c r="AD653">
        <f>AND(IF(Metadata!C653="",FALSE,TRUE),exact(Metadata!C653,"Host-associated"))</f>
        <v>0</v>
      </c>
      <c r="AE653">
        <f>AND(IF(Metadata!D653="",FALSE,TRUE),OR(exact(Metadata!D653,"Animal"),exact(Metadata!D653,"Fungus"),exact(Metadata!D653,"Plant")))</f>
        <v>0</v>
      </c>
      <c r="AF653">
        <f>AND(IF(Metadata!E653="",FALSE,TRUE),OR(exact(Metadata!E653,"Plant secretion"),exact(Metadata!E653,"Plant rhizosphere"),exact(Metadata!E653,"Plant surface"),exact(Metadata!E653,"Plant corpus"),exact(Metadata!E653,"Fungus surface"),exact(Metadata!E653,"Fungus corpus"),exact(Metadata!E653,"Animal surface"),exact(Metadata!E653,"Animal proximal gut"),exact(Metadata!E653,"Animal corpus"),exact(Metadata!E653,"Animal distal gut"),exact(Metadata!E653,"Animal secretion")))</f>
        <v>0</v>
      </c>
      <c r="AG653">
        <f>OR(AND(IF(Metadata!F653="",FALSE,TRUE),OR(exact(Metadata!F653,"not collected"),exact(Metadata!F653,"not provided"),exact(Metadata!F653,"restricted access"))),AND(IF(Metadata!F653="",FALSE,TRUE),OR(exact(Metadata!F653,"organism-associated habitat"),exact(Metadata!F653,"plant-associated habitat"),exact(Metadata!F653,"animal-associated habitat"),exact(Metadata!F653,"insecta-associated habitat"),exact(Metadata!F653,"mammalia-associated habitat"),exact(Metadata!F653,"human-associated habitat"),exact(Metadata!F653,"livestock-associated habitat"))))</f>
        <v>0</v>
      </c>
      <c r="AH653">
        <f>AND(IF(Metadata!G653="",FALSE,TRUE),exact(Metadata!G653,"host-associated"))</f>
        <v>0</v>
      </c>
      <c r="AI653">
        <f>OR(AND(IF(Metadata!H653="",FALSE,TRUE),OR(exact(Metadata!H653,"not collected"),exact(Metadata!H653,"not provided"))),AND(IF(Metadata!H653="",FALSE,ISNUMBER(VALUE(Metadata!H653))),Metadata!H653&gt;0))</f>
        <v>0</v>
      </c>
      <c r="AJ653">
        <f>AND(IF(Metadata!I653="",FALSE,TRUE),exact(Metadata!I653,"years"))</f>
        <v>0</v>
      </c>
      <c r="AK653">
        <f>IF(Metadata!J653="",FALSE,TRUE)</f>
        <v>0</v>
      </c>
      <c r="AL653">
        <f>OR(AND(IF(Metadata!K653="",FALSE,TRUE),OR(exact(Metadata!K653,"not collected"),exact(Metadata!K653,"not provided"))),AND(IF(Metadata!K653="",FALSE,ISNUMBER(VALUE(Metadata!K653))),Metadata!K653&gt;0))</f>
        <v>0</v>
      </c>
      <c r="AM653">
        <f>AND(IF(Metadata!L653="",FALSE,TRUE),exact(Metadata!L653,"cm"))</f>
        <v>0</v>
      </c>
      <c r="AN653">
        <f>IF(Metadata!M653="",FALSE,TRUE)</f>
        <v>0</v>
      </c>
      <c r="AO653">
        <f>OR(AND(IF(Metadata!N653="",FALSE,TRUE),OR(exact(Metadata!N653,"not applicable"),exact(Metadata!N653,"not collected"),exact(Metadata!N653,"not provided"))),AND(IF(Metadata!N653="",FALSE,IF(ISERROR(INT(Metadata!N653)),FALSE,INT(Metadata!N653)=Metadata!N653)),Metadata!N653&gt;0))</f>
        <v>0</v>
      </c>
      <c r="AP653">
        <f>OR(AND(IF(Metadata!O653="",FALSE,TRUE),OR(exact(Metadata!O653,"not collected"),exact(Metadata!O653,"not provided"))),AND(IF(Metadata!O653="",FALSE,ISNUMBER(VALUE(Metadata!O653))),Metadata!O653&gt;0))</f>
        <v>0</v>
      </c>
      <c r="AQ653">
        <f>AND(IF(Metadata!P653="",FALSE,TRUE),exact(Metadata!P653,"kg"))</f>
        <v>0</v>
      </c>
      <c r="AR653">
        <f>OR(AND(IF(Metadata!Q653="",FALSE,TRUE),OR(exact(Metadata!Q653,"not applicable"),exact(Metadata!Q653,"not collected"),exact(Metadata!Q653,"not provided"),exact(Metadata!Q653,"restricted access"))),IF(Metadata!Q653="",FALSE,IF(ISERROR(INT(Metadata!Q653)),FALSE,INT(Metadata!Q653)=Metadata!Q653)))</f>
        <v>0</v>
      </c>
      <c r="AS653">
        <f>AND(IF(Metadata!R653="",FALSE,TRUE),exact(Metadata!R653,"Not applicable"))</f>
        <v>0</v>
      </c>
    </row>
    <row r="654" spans="1:45">
      <c r="A654" s="4">
        <f>IF(B654=" "," ",HYPERLINK(CONCATENATE("#metadata!",ADDRESS(INDEX($X$2:$X$1001,MATCH(ROWS($V$2:V654),$V$2:$V$1001,0),0),2)),INDEX($AA$2:$AA$1001,MATCH(ROWS($V$2:V654),$V$2:$V$1001,0),0)))</f>
        <v>0</v>
      </c>
      <c r="B654" s="5">
        <f>IF(OR(INDEX($W$2:$W$1001,MATCH(ROWS($V$2:V654),$V$2:$V$1001,0),1)&gt;=100000,INDEX($AC$1005:$AS$1005,1,MATCH(COLUMNS($AC$1006:AC1006),$AC$1006:$AS$1006,0))&gt;=100000), " ",IF(INDEX($AC$2:$AS$1001,MATCH(ROWS($V$2:V654),$V$2:$V$1001,0),MATCH(COLUMNS($AC$1006:AC1006),$AC$1006:$AS$1006,0)), HYPERLINK("#",""), HYPERLINK(CONCATENATE("#Metadata!", ADDRESS(INDEX($X$2:$X$1001,MATCH(ROWS($V$2:V654),$V$2:$V$1001,0),0), INDEX($AC$1004:$AS$1004,1,MATCH(COLUMNS($AC$1006:AC1006),$AC$1006:$AS$1006,0)))),"Fix")))</f>
        <v>0</v>
      </c>
      <c r="C654" s="5">
        <f>IF(OR(INDEX($W$2:$W$1001,MATCH(ROWS($V$2:V654),$V$2:$V$1001,0),1)&gt;=100000,INDEX($AC$1005:$AS$1005,1,MATCH(COLUMNS($AC$1006:AD1006),$AC$1006:$AS$1006,0))&gt;=100000), " ",IF(INDEX($AC$2:$AS$1001,MATCH(ROWS($V$2:V654),$V$2:$V$1001,0),MATCH(COLUMNS($AC$1006:AD1006),$AC$1006:$AS$1006,0)), HYPERLINK("#",""), HYPERLINK(CONCATENATE("#Metadata!", ADDRESS(INDEX($X$2:$X$1001,MATCH(ROWS($V$2:V654),$V$2:$V$1001,0),0), INDEX($AC$1004:$AS$1004,1,MATCH(COLUMNS($AC$1006:AD1006),$AC$1006:$AS$1006,0)))),"Fix")))</f>
        <v>0</v>
      </c>
      <c r="D654" s="5">
        <f>IF(OR(INDEX($W$2:$W$1001,MATCH(ROWS($V$2:V654),$V$2:$V$1001,0),1)&gt;=100000,INDEX($AC$1005:$AS$1005,1,MATCH(COLUMNS($AC$1006:AE1006),$AC$1006:$AS$1006,0))&gt;=100000), " ",IF(INDEX($AC$2:$AS$1001,MATCH(ROWS($V$2:V654),$V$2:$V$1001,0),MATCH(COLUMNS($AC$1006:AE1006),$AC$1006:$AS$1006,0)), HYPERLINK("#",""), HYPERLINK(CONCATENATE("#Metadata!", ADDRESS(INDEX($X$2:$X$1001,MATCH(ROWS($V$2:V654),$V$2:$V$1001,0),0), INDEX($AC$1004:$AS$1004,1,MATCH(COLUMNS($AC$1006:AE1006),$AC$1006:$AS$1006,0)))),"Fix")))</f>
        <v>0</v>
      </c>
      <c r="E654" s="5">
        <f>IF(OR(INDEX($W$2:$W$1001,MATCH(ROWS($V$2:V654),$V$2:$V$1001,0),1)&gt;=100000,INDEX($AC$1005:$AS$1005,1,MATCH(COLUMNS($AC$1006:AF1006),$AC$1006:$AS$1006,0))&gt;=100000), " ",IF(INDEX($AC$2:$AS$1001,MATCH(ROWS($V$2:V654),$V$2:$V$1001,0),MATCH(COLUMNS($AC$1006:AF1006),$AC$1006:$AS$1006,0)), HYPERLINK("#",""), HYPERLINK(CONCATENATE("#Metadata!", ADDRESS(INDEX($X$2:$X$1001,MATCH(ROWS($V$2:V654),$V$2:$V$1001,0),0), INDEX($AC$1004:$AS$1004,1,MATCH(COLUMNS($AC$1006:AF1006),$AC$1006:$AS$1006,0)))),"Fix")))</f>
        <v>0</v>
      </c>
      <c r="F654" s="5">
        <f>IF(OR(INDEX($W$2:$W$1001,MATCH(ROWS($V$2:V654),$V$2:$V$1001,0),1)&gt;=100000,INDEX($AC$1005:$AS$1005,1,MATCH(COLUMNS($AC$1006:AG1006),$AC$1006:$AS$1006,0))&gt;=100000), " ",IF(INDEX($AC$2:$AS$1001,MATCH(ROWS($V$2:V654),$V$2:$V$1001,0),MATCH(COLUMNS($AC$1006:AG1006),$AC$1006:$AS$1006,0)), HYPERLINK("#",""), HYPERLINK(CONCATENATE("#Metadata!", ADDRESS(INDEX($X$2:$X$1001,MATCH(ROWS($V$2:V654),$V$2:$V$1001,0),0), INDEX($AC$1004:$AS$1004,1,MATCH(COLUMNS($AC$1006:AG1006),$AC$1006:$AS$1006,0)))),"Fix")))</f>
        <v>0</v>
      </c>
      <c r="G654" s="5">
        <f>IF(OR(INDEX($W$2:$W$1001,MATCH(ROWS($V$2:V654),$V$2:$V$1001,0),1)&gt;=100000,INDEX($AC$1005:$AS$1005,1,MATCH(COLUMNS($AC$1006:AH1006),$AC$1006:$AS$1006,0))&gt;=100000), " ",IF(INDEX($AC$2:$AS$1001,MATCH(ROWS($V$2:V654),$V$2:$V$1001,0),MATCH(COLUMNS($AC$1006:AH1006),$AC$1006:$AS$1006,0)), HYPERLINK("#",""), HYPERLINK(CONCATENATE("#Metadata!", ADDRESS(INDEX($X$2:$X$1001,MATCH(ROWS($V$2:V654),$V$2:$V$1001,0),0), INDEX($AC$1004:$AS$1004,1,MATCH(COLUMNS($AC$1006:AH1006),$AC$1006:$AS$1006,0)))),"Fix")))</f>
        <v>0</v>
      </c>
      <c r="H654" s="5">
        <f>IF(OR(INDEX($W$2:$W$1001,MATCH(ROWS($V$2:V654),$V$2:$V$1001,0),1)&gt;=100000,INDEX($AC$1005:$AS$1005,1,MATCH(COLUMNS($AC$1006:AI1006),$AC$1006:$AS$1006,0))&gt;=100000), " ",IF(INDEX($AC$2:$AS$1001,MATCH(ROWS($V$2:V654),$V$2:$V$1001,0),MATCH(COLUMNS($AC$1006:AI1006),$AC$1006:$AS$1006,0)), HYPERLINK("#",""), HYPERLINK(CONCATENATE("#Metadata!", ADDRESS(INDEX($X$2:$X$1001,MATCH(ROWS($V$2:V654),$V$2:$V$1001,0),0), INDEX($AC$1004:$AS$1004,1,MATCH(COLUMNS($AC$1006:AI1006),$AC$1006:$AS$1006,0)))),"Fix")))</f>
        <v>0</v>
      </c>
      <c r="I654" s="5">
        <f>IF(OR(INDEX($W$2:$W$1001,MATCH(ROWS($V$2:V654),$V$2:$V$1001,0),1)&gt;=100000,INDEX($AC$1005:$AS$1005,1,MATCH(COLUMNS($AC$1006:AJ1006),$AC$1006:$AS$1006,0))&gt;=100000), " ",IF(INDEX($AC$2:$AS$1001,MATCH(ROWS($V$2:V654),$V$2:$V$1001,0),MATCH(COLUMNS($AC$1006:AJ1006),$AC$1006:$AS$1006,0)), HYPERLINK("#",""), HYPERLINK(CONCATENATE("#Metadata!", ADDRESS(INDEX($X$2:$X$1001,MATCH(ROWS($V$2:V654),$V$2:$V$1001,0),0), INDEX($AC$1004:$AS$1004,1,MATCH(COLUMNS($AC$1006:AJ1006),$AC$1006:$AS$1006,0)))),"Fix")))</f>
        <v>0</v>
      </c>
      <c r="J654" s="5">
        <f>IF(OR(INDEX($W$2:$W$1001,MATCH(ROWS($V$2:V654),$V$2:$V$1001,0),1)&gt;=100000,INDEX($AC$1005:$AS$1005,1,MATCH(COLUMNS($AC$1006:AK1006),$AC$1006:$AS$1006,0))&gt;=100000), " ",IF(INDEX($AC$2:$AS$1001,MATCH(ROWS($V$2:V654),$V$2:$V$1001,0),MATCH(COLUMNS($AC$1006:AK1006),$AC$1006:$AS$1006,0)), HYPERLINK("#",""), HYPERLINK(CONCATENATE("#Metadata!", ADDRESS(INDEX($X$2:$X$1001,MATCH(ROWS($V$2:V654),$V$2:$V$1001,0),0), INDEX($AC$1004:$AS$1004,1,MATCH(COLUMNS($AC$1006:AK1006),$AC$1006:$AS$1006,0)))),"Fix")))</f>
        <v>0</v>
      </c>
      <c r="K654" s="5">
        <f>IF(OR(INDEX($W$2:$W$1001,MATCH(ROWS($V$2:V654),$V$2:$V$1001,0),1)&gt;=100000,INDEX($AC$1005:$AS$1005,1,MATCH(COLUMNS($AC$1006:AL1006),$AC$1006:$AS$1006,0))&gt;=100000), " ",IF(INDEX($AC$2:$AS$1001,MATCH(ROWS($V$2:V654),$V$2:$V$1001,0),MATCH(COLUMNS($AC$1006:AL1006),$AC$1006:$AS$1006,0)), HYPERLINK("#",""), HYPERLINK(CONCATENATE("#Metadata!", ADDRESS(INDEX($X$2:$X$1001,MATCH(ROWS($V$2:V654),$V$2:$V$1001,0),0), INDEX($AC$1004:$AS$1004,1,MATCH(COLUMNS($AC$1006:AL1006),$AC$1006:$AS$1006,0)))),"Fix")))</f>
        <v>0</v>
      </c>
      <c r="L654" s="5">
        <f>IF(OR(INDEX($W$2:$W$1001,MATCH(ROWS($V$2:V654),$V$2:$V$1001,0),1)&gt;=100000,INDEX($AC$1005:$AS$1005,1,MATCH(COLUMNS($AC$1006:AM1006),$AC$1006:$AS$1006,0))&gt;=100000), " ",IF(INDEX($AC$2:$AS$1001,MATCH(ROWS($V$2:V654),$V$2:$V$1001,0),MATCH(COLUMNS($AC$1006:AM1006),$AC$1006:$AS$1006,0)), HYPERLINK("#",""), HYPERLINK(CONCATENATE("#Metadata!", ADDRESS(INDEX($X$2:$X$1001,MATCH(ROWS($V$2:V654),$V$2:$V$1001,0),0), INDEX($AC$1004:$AS$1004,1,MATCH(COLUMNS($AC$1006:AM1006),$AC$1006:$AS$1006,0)))),"Fix")))</f>
        <v>0</v>
      </c>
      <c r="M654" s="5">
        <f>IF(OR(INDEX($W$2:$W$1001,MATCH(ROWS($V$2:V654),$V$2:$V$1001,0),1)&gt;=100000,INDEX($AC$1005:$AS$1005,1,MATCH(COLUMNS($AC$1006:AN1006),$AC$1006:$AS$1006,0))&gt;=100000), " ",IF(INDEX($AC$2:$AS$1001,MATCH(ROWS($V$2:V654),$V$2:$V$1001,0),MATCH(COLUMNS($AC$1006:AN1006),$AC$1006:$AS$1006,0)), HYPERLINK("#",""), HYPERLINK(CONCATENATE("#Metadata!", ADDRESS(INDEX($X$2:$X$1001,MATCH(ROWS($V$2:V654),$V$2:$V$1001,0),0), INDEX($AC$1004:$AS$1004,1,MATCH(COLUMNS($AC$1006:AN1006),$AC$1006:$AS$1006,0)))),"Fix")))</f>
        <v>0</v>
      </c>
      <c r="N654" s="5">
        <f>IF(OR(INDEX($W$2:$W$1001,MATCH(ROWS($V$2:V654),$V$2:$V$1001,0),1)&gt;=100000,INDEX($AC$1005:$AS$1005,1,MATCH(COLUMNS($AC$1006:AO1006),$AC$1006:$AS$1006,0))&gt;=100000), " ",IF(INDEX($AC$2:$AS$1001,MATCH(ROWS($V$2:V654),$V$2:$V$1001,0),MATCH(COLUMNS($AC$1006:AO1006),$AC$1006:$AS$1006,0)), HYPERLINK("#",""), HYPERLINK(CONCATENATE("#Metadata!", ADDRESS(INDEX($X$2:$X$1001,MATCH(ROWS($V$2:V654),$V$2:$V$1001,0),0), INDEX($AC$1004:$AS$1004,1,MATCH(COLUMNS($AC$1006:AO1006),$AC$1006:$AS$1006,0)))),"Fix")))</f>
        <v>0</v>
      </c>
      <c r="O654" s="5">
        <f>IF(OR(INDEX($W$2:$W$1001,MATCH(ROWS($V$2:V654),$V$2:$V$1001,0),1)&gt;=100000,INDEX($AC$1005:$AS$1005,1,MATCH(COLUMNS($AC$1006:AP1006),$AC$1006:$AS$1006,0))&gt;=100000), " ",IF(INDEX($AC$2:$AS$1001,MATCH(ROWS($V$2:V654),$V$2:$V$1001,0),MATCH(COLUMNS($AC$1006:AP1006),$AC$1006:$AS$1006,0)), HYPERLINK("#",""), HYPERLINK(CONCATENATE("#Metadata!", ADDRESS(INDEX($X$2:$X$1001,MATCH(ROWS($V$2:V654),$V$2:$V$1001,0),0), INDEX($AC$1004:$AS$1004,1,MATCH(COLUMNS($AC$1006:AP1006),$AC$1006:$AS$1006,0)))),"Fix")))</f>
        <v>0</v>
      </c>
      <c r="P654" s="5">
        <f>IF(OR(INDEX($W$2:$W$1001,MATCH(ROWS($V$2:V654),$V$2:$V$1001,0),1)&gt;=100000,INDEX($AC$1005:$AS$1005,1,MATCH(COLUMNS($AC$1006:AQ1006),$AC$1006:$AS$1006,0))&gt;=100000), " ",IF(INDEX($AC$2:$AS$1001,MATCH(ROWS($V$2:V654),$V$2:$V$1001,0),MATCH(COLUMNS($AC$1006:AQ1006),$AC$1006:$AS$1006,0)), HYPERLINK("#",""), HYPERLINK(CONCATENATE("#Metadata!", ADDRESS(INDEX($X$2:$X$1001,MATCH(ROWS($V$2:V654),$V$2:$V$1001,0),0), INDEX($AC$1004:$AS$1004,1,MATCH(COLUMNS($AC$1006:AQ1006),$AC$1006:$AS$1006,0)))),"Fix")))</f>
        <v>0</v>
      </c>
      <c r="Q654" s="5">
        <f>IF(OR(INDEX($W$2:$W$1001,MATCH(ROWS($V$2:V654),$V$2:$V$1001,0),1)&gt;=100000,INDEX($AC$1005:$AS$1005,1,MATCH(COLUMNS($AC$1006:AR1006),$AC$1006:$AS$1006,0))&gt;=100000), " ",IF(INDEX($AC$2:$AS$1001,MATCH(ROWS($V$2:V654),$V$2:$V$1001,0),MATCH(COLUMNS($AC$1006:AR1006),$AC$1006:$AS$1006,0)), HYPERLINK("#",""), HYPERLINK(CONCATENATE("#Metadata!", ADDRESS(INDEX($X$2:$X$1001,MATCH(ROWS($V$2:V654),$V$2:$V$1001,0),0), INDEX($AC$1004:$AS$1004,1,MATCH(COLUMNS($AC$1006:AR1006),$AC$1006:$AS$1006,0)))),"Fix")))</f>
        <v>0</v>
      </c>
      <c r="R654" s="5">
        <f>IF(OR(INDEX($W$2:$W$1001,MATCH(ROWS($V$2:V654),$V$2:$V$1001,0),1)&gt;=100000,INDEX($AC$1005:$AS$1005,1,MATCH(COLUMNS($AC$1006:AS1006),$AC$1006:$AS$1006,0))&gt;=100000), " ",IF(INDEX($AC$2:$AS$1001,MATCH(ROWS($V$2:V654),$V$2:$V$1001,0),MATCH(COLUMNS($AC$1006:AS1006),$AC$1006:$AS$1006,0)), HYPERLINK("#",""), HYPERLINK(CONCATENATE("#Metadata!", ADDRESS(INDEX($X$2:$X$1001,MATCH(ROWS($V$2:V654),$V$2:$V$1001,0),0), INDEX($AC$1004:$AS$1004,1,MATCH(COLUMNS($AC$1006:AS1006),$AC$1006:$AS$1006,0)))),"Fix")))</f>
        <v>0</v>
      </c>
      <c r="V654">
        <v>0</v>
      </c>
      <c r="W654">
        <v>0</v>
      </c>
      <c r="X654">
        <v>0</v>
      </c>
      <c r="Y654">
        <f>IF(Z654,TRUE,AND(AC654:AS654))</f>
        <v>0</v>
      </c>
      <c r="Z654">
        <f>COUNTBLANK(Metadata!B654:R654)=COLUMNS(Metadata!B654:R654)</f>
        <v>0</v>
      </c>
      <c r="AA654">
        <v>0</v>
      </c>
      <c r="AC654">
        <f>AND(IF(Metadata!B654="",FALSE,TRUE),COUNTIF(Metadata!B:B, Metadata!B654) = 1,NOT(ISERROR(SUMPRODUCT(SEARCH(MID(Metadata!B654,ROW(INDIRECT("1:"&amp;LEN(Metadata!B654))), 1),"0123456789abcdefghijklmnopqrstuvwxyzABCDEFGHIJKLMNOPQRSTUVWXYZ.")))))</f>
        <v>0</v>
      </c>
      <c r="AD654">
        <f>AND(IF(Metadata!C654="",FALSE,TRUE),exact(Metadata!C654,"Host-associated"))</f>
        <v>0</v>
      </c>
      <c r="AE654">
        <f>AND(IF(Metadata!D654="",FALSE,TRUE),OR(exact(Metadata!D654,"Animal"),exact(Metadata!D654,"Fungus"),exact(Metadata!D654,"Plant")))</f>
        <v>0</v>
      </c>
      <c r="AF654">
        <f>AND(IF(Metadata!E654="",FALSE,TRUE),OR(exact(Metadata!E654,"Plant secretion"),exact(Metadata!E654,"Plant rhizosphere"),exact(Metadata!E654,"Plant surface"),exact(Metadata!E654,"Plant corpus"),exact(Metadata!E654,"Fungus surface"),exact(Metadata!E654,"Fungus corpus"),exact(Metadata!E654,"Animal surface"),exact(Metadata!E654,"Animal proximal gut"),exact(Metadata!E654,"Animal corpus"),exact(Metadata!E654,"Animal distal gut"),exact(Metadata!E654,"Animal secretion")))</f>
        <v>0</v>
      </c>
      <c r="AG654">
        <f>OR(AND(IF(Metadata!F654="",FALSE,TRUE),OR(exact(Metadata!F654,"not collected"),exact(Metadata!F654,"not provided"),exact(Metadata!F654,"restricted access"))),AND(IF(Metadata!F654="",FALSE,TRUE),OR(exact(Metadata!F654,"organism-associated habitat"),exact(Metadata!F654,"plant-associated habitat"),exact(Metadata!F654,"animal-associated habitat"),exact(Metadata!F654,"insecta-associated habitat"),exact(Metadata!F654,"mammalia-associated habitat"),exact(Metadata!F654,"human-associated habitat"),exact(Metadata!F654,"livestock-associated habitat"))))</f>
        <v>0</v>
      </c>
      <c r="AH654">
        <f>AND(IF(Metadata!G654="",FALSE,TRUE),exact(Metadata!G654,"host-associated"))</f>
        <v>0</v>
      </c>
      <c r="AI654">
        <f>OR(AND(IF(Metadata!H654="",FALSE,TRUE),OR(exact(Metadata!H654,"not collected"),exact(Metadata!H654,"not provided"))),AND(IF(Metadata!H654="",FALSE,ISNUMBER(VALUE(Metadata!H654))),Metadata!H654&gt;0))</f>
        <v>0</v>
      </c>
      <c r="AJ654">
        <f>AND(IF(Metadata!I654="",FALSE,TRUE),exact(Metadata!I654,"years"))</f>
        <v>0</v>
      </c>
      <c r="AK654">
        <f>IF(Metadata!J654="",FALSE,TRUE)</f>
        <v>0</v>
      </c>
      <c r="AL654">
        <f>OR(AND(IF(Metadata!K654="",FALSE,TRUE),OR(exact(Metadata!K654,"not collected"),exact(Metadata!K654,"not provided"))),AND(IF(Metadata!K654="",FALSE,ISNUMBER(VALUE(Metadata!K654))),Metadata!K654&gt;0))</f>
        <v>0</v>
      </c>
      <c r="AM654">
        <f>AND(IF(Metadata!L654="",FALSE,TRUE),exact(Metadata!L654,"cm"))</f>
        <v>0</v>
      </c>
      <c r="AN654">
        <f>IF(Metadata!M654="",FALSE,TRUE)</f>
        <v>0</v>
      </c>
      <c r="AO654">
        <f>OR(AND(IF(Metadata!N654="",FALSE,TRUE),OR(exact(Metadata!N654,"not applicable"),exact(Metadata!N654,"not collected"),exact(Metadata!N654,"not provided"))),AND(IF(Metadata!N654="",FALSE,IF(ISERROR(INT(Metadata!N654)),FALSE,INT(Metadata!N654)=Metadata!N654)),Metadata!N654&gt;0))</f>
        <v>0</v>
      </c>
      <c r="AP654">
        <f>OR(AND(IF(Metadata!O654="",FALSE,TRUE),OR(exact(Metadata!O654,"not collected"),exact(Metadata!O654,"not provided"))),AND(IF(Metadata!O654="",FALSE,ISNUMBER(VALUE(Metadata!O654))),Metadata!O654&gt;0))</f>
        <v>0</v>
      </c>
      <c r="AQ654">
        <f>AND(IF(Metadata!P654="",FALSE,TRUE),exact(Metadata!P654,"kg"))</f>
        <v>0</v>
      </c>
      <c r="AR654">
        <f>OR(AND(IF(Metadata!Q654="",FALSE,TRUE),OR(exact(Metadata!Q654,"not applicable"),exact(Metadata!Q654,"not collected"),exact(Metadata!Q654,"not provided"),exact(Metadata!Q654,"restricted access"))),IF(Metadata!Q654="",FALSE,IF(ISERROR(INT(Metadata!Q654)),FALSE,INT(Metadata!Q654)=Metadata!Q654)))</f>
        <v>0</v>
      </c>
      <c r="AS654">
        <f>AND(IF(Metadata!R654="",FALSE,TRUE),exact(Metadata!R654,"Not applicable"))</f>
        <v>0</v>
      </c>
    </row>
    <row r="655" spans="1:45">
      <c r="A655" s="4">
        <f>IF(B655=" "," ",HYPERLINK(CONCATENATE("#metadata!",ADDRESS(INDEX($X$2:$X$1001,MATCH(ROWS($V$2:V655),$V$2:$V$1001,0),0),2)),INDEX($AA$2:$AA$1001,MATCH(ROWS($V$2:V655),$V$2:$V$1001,0),0)))</f>
        <v>0</v>
      </c>
      <c r="B655" s="5">
        <f>IF(OR(INDEX($W$2:$W$1001,MATCH(ROWS($V$2:V655),$V$2:$V$1001,0),1)&gt;=100000,INDEX($AC$1005:$AS$1005,1,MATCH(COLUMNS($AC$1006:AC1006),$AC$1006:$AS$1006,0))&gt;=100000), " ",IF(INDEX($AC$2:$AS$1001,MATCH(ROWS($V$2:V655),$V$2:$V$1001,0),MATCH(COLUMNS($AC$1006:AC1006),$AC$1006:$AS$1006,0)), HYPERLINK("#",""), HYPERLINK(CONCATENATE("#Metadata!", ADDRESS(INDEX($X$2:$X$1001,MATCH(ROWS($V$2:V655),$V$2:$V$1001,0),0), INDEX($AC$1004:$AS$1004,1,MATCH(COLUMNS($AC$1006:AC1006),$AC$1006:$AS$1006,0)))),"Fix")))</f>
        <v>0</v>
      </c>
      <c r="C655" s="5">
        <f>IF(OR(INDEX($W$2:$W$1001,MATCH(ROWS($V$2:V655),$V$2:$V$1001,0),1)&gt;=100000,INDEX($AC$1005:$AS$1005,1,MATCH(COLUMNS($AC$1006:AD1006),$AC$1006:$AS$1006,0))&gt;=100000), " ",IF(INDEX($AC$2:$AS$1001,MATCH(ROWS($V$2:V655),$V$2:$V$1001,0),MATCH(COLUMNS($AC$1006:AD1006),$AC$1006:$AS$1006,0)), HYPERLINK("#",""), HYPERLINK(CONCATENATE("#Metadata!", ADDRESS(INDEX($X$2:$X$1001,MATCH(ROWS($V$2:V655),$V$2:$V$1001,0),0), INDEX($AC$1004:$AS$1004,1,MATCH(COLUMNS($AC$1006:AD1006),$AC$1006:$AS$1006,0)))),"Fix")))</f>
        <v>0</v>
      </c>
      <c r="D655" s="5">
        <f>IF(OR(INDEX($W$2:$W$1001,MATCH(ROWS($V$2:V655),$V$2:$V$1001,0),1)&gt;=100000,INDEX($AC$1005:$AS$1005,1,MATCH(COLUMNS($AC$1006:AE1006),$AC$1006:$AS$1006,0))&gt;=100000), " ",IF(INDEX($AC$2:$AS$1001,MATCH(ROWS($V$2:V655),$V$2:$V$1001,0),MATCH(COLUMNS($AC$1006:AE1006),$AC$1006:$AS$1006,0)), HYPERLINK("#",""), HYPERLINK(CONCATENATE("#Metadata!", ADDRESS(INDEX($X$2:$X$1001,MATCH(ROWS($V$2:V655),$V$2:$V$1001,0),0), INDEX($AC$1004:$AS$1004,1,MATCH(COLUMNS($AC$1006:AE1006),$AC$1006:$AS$1006,0)))),"Fix")))</f>
        <v>0</v>
      </c>
      <c r="E655" s="5">
        <f>IF(OR(INDEX($W$2:$W$1001,MATCH(ROWS($V$2:V655),$V$2:$V$1001,0),1)&gt;=100000,INDEX($AC$1005:$AS$1005,1,MATCH(COLUMNS($AC$1006:AF1006),$AC$1006:$AS$1006,0))&gt;=100000), " ",IF(INDEX($AC$2:$AS$1001,MATCH(ROWS($V$2:V655),$V$2:$V$1001,0),MATCH(COLUMNS($AC$1006:AF1006),$AC$1006:$AS$1006,0)), HYPERLINK("#",""), HYPERLINK(CONCATENATE("#Metadata!", ADDRESS(INDEX($X$2:$X$1001,MATCH(ROWS($V$2:V655),$V$2:$V$1001,0),0), INDEX($AC$1004:$AS$1004,1,MATCH(COLUMNS($AC$1006:AF1006),$AC$1006:$AS$1006,0)))),"Fix")))</f>
        <v>0</v>
      </c>
      <c r="F655" s="5">
        <f>IF(OR(INDEX($W$2:$W$1001,MATCH(ROWS($V$2:V655),$V$2:$V$1001,0),1)&gt;=100000,INDEX($AC$1005:$AS$1005,1,MATCH(COLUMNS($AC$1006:AG1006),$AC$1006:$AS$1006,0))&gt;=100000), " ",IF(INDEX($AC$2:$AS$1001,MATCH(ROWS($V$2:V655),$V$2:$V$1001,0),MATCH(COLUMNS($AC$1006:AG1006),$AC$1006:$AS$1006,0)), HYPERLINK("#",""), HYPERLINK(CONCATENATE("#Metadata!", ADDRESS(INDEX($X$2:$X$1001,MATCH(ROWS($V$2:V655),$V$2:$V$1001,0),0), INDEX($AC$1004:$AS$1004,1,MATCH(COLUMNS($AC$1006:AG1006),$AC$1006:$AS$1006,0)))),"Fix")))</f>
        <v>0</v>
      </c>
      <c r="G655" s="5">
        <f>IF(OR(INDEX($W$2:$W$1001,MATCH(ROWS($V$2:V655),$V$2:$V$1001,0),1)&gt;=100000,INDEX($AC$1005:$AS$1005,1,MATCH(COLUMNS($AC$1006:AH1006),$AC$1006:$AS$1006,0))&gt;=100000), " ",IF(INDEX($AC$2:$AS$1001,MATCH(ROWS($V$2:V655),$V$2:$V$1001,0),MATCH(COLUMNS($AC$1006:AH1006),$AC$1006:$AS$1006,0)), HYPERLINK("#",""), HYPERLINK(CONCATENATE("#Metadata!", ADDRESS(INDEX($X$2:$X$1001,MATCH(ROWS($V$2:V655),$V$2:$V$1001,0),0), INDEX($AC$1004:$AS$1004,1,MATCH(COLUMNS($AC$1006:AH1006),$AC$1006:$AS$1006,0)))),"Fix")))</f>
        <v>0</v>
      </c>
      <c r="H655" s="5">
        <f>IF(OR(INDEX($W$2:$W$1001,MATCH(ROWS($V$2:V655),$V$2:$V$1001,0),1)&gt;=100000,INDEX($AC$1005:$AS$1005,1,MATCH(COLUMNS($AC$1006:AI1006),$AC$1006:$AS$1006,0))&gt;=100000), " ",IF(INDEX($AC$2:$AS$1001,MATCH(ROWS($V$2:V655),$V$2:$V$1001,0),MATCH(COLUMNS($AC$1006:AI1006),$AC$1006:$AS$1006,0)), HYPERLINK("#",""), HYPERLINK(CONCATENATE("#Metadata!", ADDRESS(INDEX($X$2:$X$1001,MATCH(ROWS($V$2:V655),$V$2:$V$1001,0),0), INDEX($AC$1004:$AS$1004,1,MATCH(COLUMNS($AC$1006:AI1006),$AC$1006:$AS$1006,0)))),"Fix")))</f>
        <v>0</v>
      </c>
      <c r="I655" s="5">
        <f>IF(OR(INDEX($W$2:$W$1001,MATCH(ROWS($V$2:V655),$V$2:$V$1001,0),1)&gt;=100000,INDEX($AC$1005:$AS$1005,1,MATCH(COLUMNS($AC$1006:AJ1006),$AC$1006:$AS$1006,0))&gt;=100000), " ",IF(INDEX($AC$2:$AS$1001,MATCH(ROWS($V$2:V655),$V$2:$V$1001,0),MATCH(COLUMNS($AC$1006:AJ1006),$AC$1006:$AS$1006,0)), HYPERLINK("#",""), HYPERLINK(CONCATENATE("#Metadata!", ADDRESS(INDEX($X$2:$X$1001,MATCH(ROWS($V$2:V655),$V$2:$V$1001,0),0), INDEX($AC$1004:$AS$1004,1,MATCH(COLUMNS($AC$1006:AJ1006),$AC$1006:$AS$1006,0)))),"Fix")))</f>
        <v>0</v>
      </c>
      <c r="J655" s="5">
        <f>IF(OR(INDEX($W$2:$W$1001,MATCH(ROWS($V$2:V655),$V$2:$V$1001,0),1)&gt;=100000,INDEX($AC$1005:$AS$1005,1,MATCH(COLUMNS($AC$1006:AK1006),$AC$1006:$AS$1006,0))&gt;=100000), " ",IF(INDEX($AC$2:$AS$1001,MATCH(ROWS($V$2:V655),$V$2:$V$1001,0),MATCH(COLUMNS($AC$1006:AK1006),$AC$1006:$AS$1006,0)), HYPERLINK("#",""), HYPERLINK(CONCATENATE("#Metadata!", ADDRESS(INDEX($X$2:$X$1001,MATCH(ROWS($V$2:V655),$V$2:$V$1001,0),0), INDEX($AC$1004:$AS$1004,1,MATCH(COLUMNS($AC$1006:AK1006),$AC$1006:$AS$1006,0)))),"Fix")))</f>
        <v>0</v>
      </c>
      <c r="K655" s="5">
        <f>IF(OR(INDEX($W$2:$W$1001,MATCH(ROWS($V$2:V655),$V$2:$V$1001,0),1)&gt;=100000,INDEX($AC$1005:$AS$1005,1,MATCH(COLUMNS($AC$1006:AL1006),$AC$1006:$AS$1006,0))&gt;=100000), " ",IF(INDEX($AC$2:$AS$1001,MATCH(ROWS($V$2:V655),$V$2:$V$1001,0),MATCH(COLUMNS($AC$1006:AL1006),$AC$1006:$AS$1006,0)), HYPERLINK("#",""), HYPERLINK(CONCATENATE("#Metadata!", ADDRESS(INDEX($X$2:$X$1001,MATCH(ROWS($V$2:V655),$V$2:$V$1001,0),0), INDEX($AC$1004:$AS$1004,1,MATCH(COLUMNS($AC$1006:AL1006),$AC$1006:$AS$1006,0)))),"Fix")))</f>
        <v>0</v>
      </c>
      <c r="L655" s="5">
        <f>IF(OR(INDEX($W$2:$W$1001,MATCH(ROWS($V$2:V655),$V$2:$V$1001,0),1)&gt;=100000,INDEX($AC$1005:$AS$1005,1,MATCH(COLUMNS($AC$1006:AM1006),$AC$1006:$AS$1006,0))&gt;=100000), " ",IF(INDEX($AC$2:$AS$1001,MATCH(ROWS($V$2:V655),$V$2:$V$1001,0),MATCH(COLUMNS($AC$1006:AM1006),$AC$1006:$AS$1006,0)), HYPERLINK("#",""), HYPERLINK(CONCATENATE("#Metadata!", ADDRESS(INDEX($X$2:$X$1001,MATCH(ROWS($V$2:V655),$V$2:$V$1001,0),0), INDEX($AC$1004:$AS$1004,1,MATCH(COLUMNS($AC$1006:AM1006),$AC$1006:$AS$1006,0)))),"Fix")))</f>
        <v>0</v>
      </c>
      <c r="M655" s="5">
        <f>IF(OR(INDEX($W$2:$W$1001,MATCH(ROWS($V$2:V655),$V$2:$V$1001,0),1)&gt;=100000,INDEX($AC$1005:$AS$1005,1,MATCH(COLUMNS($AC$1006:AN1006),$AC$1006:$AS$1006,0))&gt;=100000), " ",IF(INDEX($AC$2:$AS$1001,MATCH(ROWS($V$2:V655),$V$2:$V$1001,0),MATCH(COLUMNS($AC$1006:AN1006),$AC$1006:$AS$1006,0)), HYPERLINK("#",""), HYPERLINK(CONCATENATE("#Metadata!", ADDRESS(INDEX($X$2:$X$1001,MATCH(ROWS($V$2:V655),$V$2:$V$1001,0),0), INDEX($AC$1004:$AS$1004,1,MATCH(COLUMNS($AC$1006:AN1006),$AC$1006:$AS$1006,0)))),"Fix")))</f>
        <v>0</v>
      </c>
      <c r="N655" s="5">
        <f>IF(OR(INDEX($W$2:$W$1001,MATCH(ROWS($V$2:V655),$V$2:$V$1001,0),1)&gt;=100000,INDEX($AC$1005:$AS$1005,1,MATCH(COLUMNS($AC$1006:AO1006),$AC$1006:$AS$1006,0))&gt;=100000), " ",IF(INDEX($AC$2:$AS$1001,MATCH(ROWS($V$2:V655),$V$2:$V$1001,0),MATCH(COLUMNS($AC$1006:AO1006),$AC$1006:$AS$1006,0)), HYPERLINK("#",""), HYPERLINK(CONCATENATE("#Metadata!", ADDRESS(INDEX($X$2:$X$1001,MATCH(ROWS($V$2:V655),$V$2:$V$1001,0),0), INDEX($AC$1004:$AS$1004,1,MATCH(COLUMNS($AC$1006:AO1006),$AC$1006:$AS$1006,0)))),"Fix")))</f>
        <v>0</v>
      </c>
      <c r="O655" s="5">
        <f>IF(OR(INDEX($W$2:$W$1001,MATCH(ROWS($V$2:V655),$V$2:$V$1001,0),1)&gt;=100000,INDEX($AC$1005:$AS$1005,1,MATCH(COLUMNS($AC$1006:AP1006),$AC$1006:$AS$1006,0))&gt;=100000), " ",IF(INDEX($AC$2:$AS$1001,MATCH(ROWS($V$2:V655),$V$2:$V$1001,0),MATCH(COLUMNS($AC$1006:AP1006),$AC$1006:$AS$1006,0)), HYPERLINK("#",""), HYPERLINK(CONCATENATE("#Metadata!", ADDRESS(INDEX($X$2:$X$1001,MATCH(ROWS($V$2:V655),$V$2:$V$1001,0),0), INDEX($AC$1004:$AS$1004,1,MATCH(COLUMNS($AC$1006:AP1006),$AC$1006:$AS$1006,0)))),"Fix")))</f>
        <v>0</v>
      </c>
      <c r="P655" s="5">
        <f>IF(OR(INDEX($W$2:$W$1001,MATCH(ROWS($V$2:V655),$V$2:$V$1001,0),1)&gt;=100000,INDEX($AC$1005:$AS$1005,1,MATCH(COLUMNS($AC$1006:AQ1006),$AC$1006:$AS$1006,0))&gt;=100000), " ",IF(INDEX($AC$2:$AS$1001,MATCH(ROWS($V$2:V655),$V$2:$V$1001,0),MATCH(COLUMNS($AC$1006:AQ1006),$AC$1006:$AS$1006,0)), HYPERLINK("#",""), HYPERLINK(CONCATENATE("#Metadata!", ADDRESS(INDEX($X$2:$X$1001,MATCH(ROWS($V$2:V655),$V$2:$V$1001,0),0), INDEX($AC$1004:$AS$1004,1,MATCH(COLUMNS($AC$1006:AQ1006),$AC$1006:$AS$1006,0)))),"Fix")))</f>
        <v>0</v>
      </c>
      <c r="Q655" s="5">
        <f>IF(OR(INDEX($W$2:$W$1001,MATCH(ROWS($V$2:V655),$V$2:$V$1001,0),1)&gt;=100000,INDEX($AC$1005:$AS$1005,1,MATCH(COLUMNS($AC$1006:AR1006),$AC$1006:$AS$1006,0))&gt;=100000), " ",IF(INDEX($AC$2:$AS$1001,MATCH(ROWS($V$2:V655),$V$2:$V$1001,0),MATCH(COLUMNS($AC$1006:AR1006),$AC$1006:$AS$1006,0)), HYPERLINK("#",""), HYPERLINK(CONCATENATE("#Metadata!", ADDRESS(INDEX($X$2:$X$1001,MATCH(ROWS($V$2:V655),$V$2:$V$1001,0),0), INDEX($AC$1004:$AS$1004,1,MATCH(COLUMNS($AC$1006:AR1006),$AC$1006:$AS$1006,0)))),"Fix")))</f>
        <v>0</v>
      </c>
      <c r="R655" s="5">
        <f>IF(OR(INDEX($W$2:$W$1001,MATCH(ROWS($V$2:V655),$V$2:$V$1001,0),1)&gt;=100000,INDEX($AC$1005:$AS$1005,1,MATCH(COLUMNS($AC$1006:AS1006),$AC$1006:$AS$1006,0))&gt;=100000), " ",IF(INDEX($AC$2:$AS$1001,MATCH(ROWS($V$2:V655),$V$2:$V$1001,0),MATCH(COLUMNS($AC$1006:AS1006),$AC$1006:$AS$1006,0)), HYPERLINK("#",""), HYPERLINK(CONCATENATE("#Metadata!", ADDRESS(INDEX($X$2:$X$1001,MATCH(ROWS($V$2:V655),$V$2:$V$1001,0),0), INDEX($AC$1004:$AS$1004,1,MATCH(COLUMNS($AC$1006:AS1006),$AC$1006:$AS$1006,0)))),"Fix")))</f>
        <v>0</v>
      </c>
      <c r="V655">
        <v>0</v>
      </c>
      <c r="W655">
        <v>0</v>
      </c>
      <c r="X655">
        <v>0</v>
      </c>
      <c r="Y655">
        <f>IF(Z655,TRUE,AND(AC655:AS655))</f>
        <v>0</v>
      </c>
      <c r="Z655">
        <f>COUNTBLANK(Metadata!B655:R655)=COLUMNS(Metadata!B655:R655)</f>
        <v>0</v>
      </c>
      <c r="AA655">
        <v>0</v>
      </c>
      <c r="AC655">
        <f>AND(IF(Metadata!B655="",FALSE,TRUE),COUNTIF(Metadata!B:B, Metadata!B655) = 1,NOT(ISERROR(SUMPRODUCT(SEARCH(MID(Metadata!B655,ROW(INDIRECT("1:"&amp;LEN(Metadata!B655))), 1),"0123456789abcdefghijklmnopqrstuvwxyzABCDEFGHIJKLMNOPQRSTUVWXYZ.")))))</f>
        <v>0</v>
      </c>
      <c r="AD655">
        <f>AND(IF(Metadata!C655="",FALSE,TRUE),exact(Metadata!C655,"Host-associated"))</f>
        <v>0</v>
      </c>
      <c r="AE655">
        <f>AND(IF(Metadata!D655="",FALSE,TRUE),OR(exact(Metadata!D655,"Animal"),exact(Metadata!D655,"Fungus"),exact(Metadata!D655,"Plant")))</f>
        <v>0</v>
      </c>
      <c r="AF655">
        <f>AND(IF(Metadata!E655="",FALSE,TRUE),OR(exact(Metadata!E655,"Plant secretion"),exact(Metadata!E655,"Plant rhizosphere"),exact(Metadata!E655,"Plant surface"),exact(Metadata!E655,"Plant corpus"),exact(Metadata!E655,"Fungus surface"),exact(Metadata!E655,"Fungus corpus"),exact(Metadata!E655,"Animal surface"),exact(Metadata!E655,"Animal proximal gut"),exact(Metadata!E655,"Animal corpus"),exact(Metadata!E655,"Animal distal gut"),exact(Metadata!E655,"Animal secretion")))</f>
        <v>0</v>
      </c>
      <c r="AG655">
        <f>OR(AND(IF(Metadata!F655="",FALSE,TRUE),OR(exact(Metadata!F655,"not collected"),exact(Metadata!F655,"not provided"),exact(Metadata!F655,"restricted access"))),AND(IF(Metadata!F655="",FALSE,TRUE),OR(exact(Metadata!F655,"organism-associated habitat"),exact(Metadata!F655,"plant-associated habitat"),exact(Metadata!F655,"animal-associated habitat"),exact(Metadata!F655,"insecta-associated habitat"),exact(Metadata!F655,"mammalia-associated habitat"),exact(Metadata!F655,"human-associated habitat"),exact(Metadata!F655,"livestock-associated habitat"))))</f>
        <v>0</v>
      </c>
      <c r="AH655">
        <f>AND(IF(Metadata!G655="",FALSE,TRUE),exact(Metadata!G655,"host-associated"))</f>
        <v>0</v>
      </c>
      <c r="AI655">
        <f>OR(AND(IF(Metadata!H655="",FALSE,TRUE),OR(exact(Metadata!H655,"not collected"),exact(Metadata!H655,"not provided"))),AND(IF(Metadata!H655="",FALSE,ISNUMBER(VALUE(Metadata!H655))),Metadata!H655&gt;0))</f>
        <v>0</v>
      </c>
      <c r="AJ655">
        <f>AND(IF(Metadata!I655="",FALSE,TRUE),exact(Metadata!I655,"years"))</f>
        <v>0</v>
      </c>
      <c r="AK655">
        <f>IF(Metadata!J655="",FALSE,TRUE)</f>
        <v>0</v>
      </c>
      <c r="AL655">
        <f>OR(AND(IF(Metadata!K655="",FALSE,TRUE),OR(exact(Metadata!K655,"not collected"),exact(Metadata!K655,"not provided"))),AND(IF(Metadata!K655="",FALSE,ISNUMBER(VALUE(Metadata!K655))),Metadata!K655&gt;0))</f>
        <v>0</v>
      </c>
      <c r="AM655">
        <f>AND(IF(Metadata!L655="",FALSE,TRUE),exact(Metadata!L655,"cm"))</f>
        <v>0</v>
      </c>
      <c r="AN655">
        <f>IF(Metadata!M655="",FALSE,TRUE)</f>
        <v>0</v>
      </c>
      <c r="AO655">
        <f>OR(AND(IF(Metadata!N655="",FALSE,TRUE),OR(exact(Metadata!N655,"not applicable"),exact(Metadata!N655,"not collected"),exact(Metadata!N655,"not provided"))),AND(IF(Metadata!N655="",FALSE,IF(ISERROR(INT(Metadata!N655)),FALSE,INT(Metadata!N655)=Metadata!N655)),Metadata!N655&gt;0))</f>
        <v>0</v>
      </c>
      <c r="AP655">
        <f>OR(AND(IF(Metadata!O655="",FALSE,TRUE),OR(exact(Metadata!O655,"not collected"),exact(Metadata!O655,"not provided"))),AND(IF(Metadata!O655="",FALSE,ISNUMBER(VALUE(Metadata!O655))),Metadata!O655&gt;0))</f>
        <v>0</v>
      </c>
      <c r="AQ655">
        <f>AND(IF(Metadata!P655="",FALSE,TRUE),exact(Metadata!P655,"kg"))</f>
        <v>0</v>
      </c>
      <c r="AR655">
        <f>OR(AND(IF(Metadata!Q655="",FALSE,TRUE),OR(exact(Metadata!Q655,"not applicable"),exact(Metadata!Q655,"not collected"),exact(Metadata!Q655,"not provided"),exact(Metadata!Q655,"restricted access"))),IF(Metadata!Q655="",FALSE,IF(ISERROR(INT(Metadata!Q655)),FALSE,INT(Metadata!Q655)=Metadata!Q655)))</f>
        <v>0</v>
      </c>
      <c r="AS655">
        <f>AND(IF(Metadata!R655="",FALSE,TRUE),exact(Metadata!R655,"Not applicable"))</f>
        <v>0</v>
      </c>
    </row>
    <row r="656" spans="1:45">
      <c r="A656" s="4">
        <f>IF(B656=" "," ",HYPERLINK(CONCATENATE("#metadata!",ADDRESS(INDEX($X$2:$X$1001,MATCH(ROWS($V$2:V656),$V$2:$V$1001,0),0),2)),INDEX($AA$2:$AA$1001,MATCH(ROWS($V$2:V656),$V$2:$V$1001,0),0)))</f>
        <v>0</v>
      </c>
      <c r="B656" s="5">
        <f>IF(OR(INDEX($W$2:$W$1001,MATCH(ROWS($V$2:V656),$V$2:$V$1001,0),1)&gt;=100000,INDEX($AC$1005:$AS$1005,1,MATCH(COLUMNS($AC$1006:AC1006),$AC$1006:$AS$1006,0))&gt;=100000), " ",IF(INDEX($AC$2:$AS$1001,MATCH(ROWS($V$2:V656),$V$2:$V$1001,0),MATCH(COLUMNS($AC$1006:AC1006),$AC$1006:$AS$1006,0)), HYPERLINK("#",""), HYPERLINK(CONCATENATE("#Metadata!", ADDRESS(INDEX($X$2:$X$1001,MATCH(ROWS($V$2:V656),$V$2:$V$1001,0),0), INDEX($AC$1004:$AS$1004,1,MATCH(COLUMNS($AC$1006:AC1006),$AC$1006:$AS$1006,0)))),"Fix")))</f>
        <v>0</v>
      </c>
      <c r="C656" s="5">
        <f>IF(OR(INDEX($W$2:$W$1001,MATCH(ROWS($V$2:V656),$V$2:$V$1001,0),1)&gt;=100000,INDEX($AC$1005:$AS$1005,1,MATCH(COLUMNS($AC$1006:AD1006),$AC$1006:$AS$1006,0))&gt;=100000), " ",IF(INDEX($AC$2:$AS$1001,MATCH(ROWS($V$2:V656),$V$2:$V$1001,0),MATCH(COLUMNS($AC$1006:AD1006),$AC$1006:$AS$1006,0)), HYPERLINK("#",""), HYPERLINK(CONCATENATE("#Metadata!", ADDRESS(INDEX($X$2:$X$1001,MATCH(ROWS($V$2:V656),$V$2:$V$1001,0),0), INDEX($AC$1004:$AS$1004,1,MATCH(COLUMNS($AC$1006:AD1006),$AC$1006:$AS$1006,0)))),"Fix")))</f>
        <v>0</v>
      </c>
      <c r="D656" s="5">
        <f>IF(OR(INDEX($W$2:$W$1001,MATCH(ROWS($V$2:V656),$V$2:$V$1001,0),1)&gt;=100000,INDEX($AC$1005:$AS$1005,1,MATCH(COLUMNS($AC$1006:AE1006),$AC$1006:$AS$1006,0))&gt;=100000), " ",IF(INDEX($AC$2:$AS$1001,MATCH(ROWS($V$2:V656),$V$2:$V$1001,0),MATCH(COLUMNS($AC$1006:AE1006),$AC$1006:$AS$1006,0)), HYPERLINK("#",""), HYPERLINK(CONCATENATE("#Metadata!", ADDRESS(INDEX($X$2:$X$1001,MATCH(ROWS($V$2:V656),$V$2:$V$1001,0),0), INDEX($AC$1004:$AS$1004,1,MATCH(COLUMNS($AC$1006:AE1006),$AC$1006:$AS$1006,0)))),"Fix")))</f>
        <v>0</v>
      </c>
      <c r="E656" s="5">
        <f>IF(OR(INDEX($W$2:$W$1001,MATCH(ROWS($V$2:V656),$V$2:$V$1001,0),1)&gt;=100000,INDEX($AC$1005:$AS$1005,1,MATCH(COLUMNS($AC$1006:AF1006),$AC$1006:$AS$1006,0))&gt;=100000), " ",IF(INDEX($AC$2:$AS$1001,MATCH(ROWS($V$2:V656),$V$2:$V$1001,0),MATCH(COLUMNS($AC$1006:AF1006),$AC$1006:$AS$1006,0)), HYPERLINK("#",""), HYPERLINK(CONCATENATE("#Metadata!", ADDRESS(INDEX($X$2:$X$1001,MATCH(ROWS($V$2:V656),$V$2:$V$1001,0),0), INDEX($AC$1004:$AS$1004,1,MATCH(COLUMNS($AC$1006:AF1006),$AC$1006:$AS$1006,0)))),"Fix")))</f>
        <v>0</v>
      </c>
      <c r="F656" s="5">
        <f>IF(OR(INDEX($W$2:$W$1001,MATCH(ROWS($V$2:V656),$V$2:$V$1001,0),1)&gt;=100000,INDEX($AC$1005:$AS$1005,1,MATCH(COLUMNS($AC$1006:AG1006),$AC$1006:$AS$1006,0))&gt;=100000), " ",IF(INDEX($AC$2:$AS$1001,MATCH(ROWS($V$2:V656),$V$2:$V$1001,0),MATCH(COLUMNS($AC$1006:AG1006),$AC$1006:$AS$1006,0)), HYPERLINK("#",""), HYPERLINK(CONCATENATE("#Metadata!", ADDRESS(INDEX($X$2:$X$1001,MATCH(ROWS($V$2:V656),$V$2:$V$1001,0),0), INDEX($AC$1004:$AS$1004,1,MATCH(COLUMNS($AC$1006:AG1006),$AC$1006:$AS$1006,0)))),"Fix")))</f>
        <v>0</v>
      </c>
      <c r="G656" s="5">
        <f>IF(OR(INDEX($W$2:$W$1001,MATCH(ROWS($V$2:V656),$V$2:$V$1001,0),1)&gt;=100000,INDEX($AC$1005:$AS$1005,1,MATCH(COLUMNS($AC$1006:AH1006),$AC$1006:$AS$1006,0))&gt;=100000), " ",IF(INDEX($AC$2:$AS$1001,MATCH(ROWS($V$2:V656),$V$2:$V$1001,0),MATCH(COLUMNS($AC$1006:AH1006),$AC$1006:$AS$1006,0)), HYPERLINK("#",""), HYPERLINK(CONCATENATE("#Metadata!", ADDRESS(INDEX($X$2:$X$1001,MATCH(ROWS($V$2:V656),$V$2:$V$1001,0),0), INDEX($AC$1004:$AS$1004,1,MATCH(COLUMNS($AC$1006:AH1006),$AC$1006:$AS$1006,0)))),"Fix")))</f>
        <v>0</v>
      </c>
      <c r="H656" s="5">
        <f>IF(OR(INDEX($W$2:$W$1001,MATCH(ROWS($V$2:V656),$V$2:$V$1001,0),1)&gt;=100000,INDEX($AC$1005:$AS$1005,1,MATCH(COLUMNS($AC$1006:AI1006),$AC$1006:$AS$1006,0))&gt;=100000), " ",IF(INDEX($AC$2:$AS$1001,MATCH(ROWS($V$2:V656),$V$2:$V$1001,0),MATCH(COLUMNS($AC$1006:AI1006),$AC$1006:$AS$1006,0)), HYPERLINK("#",""), HYPERLINK(CONCATENATE("#Metadata!", ADDRESS(INDEX($X$2:$X$1001,MATCH(ROWS($V$2:V656),$V$2:$V$1001,0),0), INDEX($AC$1004:$AS$1004,1,MATCH(COLUMNS($AC$1006:AI1006),$AC$1006:$AS$1006,0)))),"Fix")))</f>
        <v>0</v>
      </c>
      <c r="I656" s="5">
        <f>IF(OR(INDEX($W$2:$W$1001,MATCH(ROWS($V$2:V656),$V$2:$V$1001,0),1)&gt;=100000,INDEX($AC$1005:$AS$1005,1,MATCH(COLUMNS($AC$1006:AJ1006),$AC$1006:$AS$1006,0))&gt;=100000), " ",IF(INDEX($AC$2:$AS$1001,MATCH(ROWS($V$2:V656),$V$2:$V$1001,0),MATCH(COLUMNS($AC$1006:AJ1006),$AC$1006:$AS$1006,0)), HYPERLINK("#",""), HYPERLINK(CONCATENATE("#Metadata!", ADDRESS(INDEX($X$2:$X$1001,MATCH(ROWS($V$2:V656),$V$2:$V$1001,0),0), INDEX($AC$1004:$AS$1004,1,MATCH(COLUMNS($AC$1006:AJ1006),$AC$1006:$AS$1006,0)))),"Fix")))</f>
        <v>0</v>
      </c>
      <c r="J656" s="5">
        <f>IF(OR(INDEX($W$2:$W$1001,MATCH(ROWS($V$2:V656),$V$2:$V$1001,0),1)&gt;=100000,INDEX($AC$1005:$AS$1005,1,MATCH(COLUMNS($AC$1006:AK1006),$AC$1006:$AS$1006,0))&gt;=100000), " ",IF(INDEX($AC$2:$AS$1001,MATCH(ROWS($V$2:V656),$V$2:$V$1001,0),MATCH(COLUMNS($AC$1006:AK1006),$AC$1006:$AS$1006,0)), HYPERLINK("#",""), HYPERLINK(CONCATENATE("#Metadata!", ADDRESS(INDEX($X$2:$X$1001,MATCH(ROWS($V$2:V656),$V$2:$V$1001,0),0), INDEX($AC$1004:$AS$1004,1,MATCH(COLUMNS($AC$1006:AK1006),$AC$1006:$AS$1006,0)))),"Fix")))</f>
        <v>0</v>
      </c>
      <c r="K656" s="5">
        <f>IF(OR(INDEX($W$2:$W$1001,MATCH(ROWS($V$2:V656),$V$2:$V$1001,0),1)&gt;=100000,INDEX($AC$1005:$AS$1005,1,MATCH(COLUMNS($AC$1006:AL1006),$AC$1006:$AS$1006,0))&gt;=100000), " ",IF(INDEX($AC$2:$AS$1001,MATCH(ROWS($V$2:V656),$V$2:$V$1001,0),MATCH(COLUMNS($AC$1006:AL1006),$AC$1006:$AS$1006,0)), HYPERLINK("#",""), HYPERLINK(CONCATENATE("#Metadata!", ADDRESS(INDEX($X$2:$X$1001,MATCH(ROWS($V$2:V656),$V$2:$V$1001,0),0), INDEX($AC$1004:$AS$1004,1,MATCH(COLUMNS($AC$1006:AL1006),$AC$1006:$AS$1006,0)))),"Fix")))</f>
        <v>0</v>
      </c>
      <c r="L656" s="5">
        <f>IF(OR(INDEX($W$2:$W$1001,MATCH(ROWS($V$2:V656),$V$2:$V$1001,0),1)&gt;=100000,INDEX($AC$1005:$AS$1005,1,MATCH(COLUMNS($AC$1006:AM1006),$AC$1006:$AS$1006,0))&gt;=100000), " ",IF(INDEX($AC$2:$AS$1001,MATCH(ROWS($V$2:V656),$V$2:$V$1001,0),MATCH(COLUMNS($AC$1006:AM1006),$AC$1006:$AS$1006,0)), HYPERLINK("#",""), HYPERLINK(CONCATENATE("#Metadata!", ADDRESS(INDEX($X$2:$X$1001,MATCH(ROWS($V$2:V656),$V$2:$V$1001,0),0), INDEX($AC$1004:$AS$1004,1,MATCH(COLUMNS($AC$1006:AM1006),$AC$1006:$AS$1006,0)))),"Fix")))</f>
        <v>0</v>
      </c>
      <c r="M656" s="5">
        <f>IF(OR(INDEX($W$2:$W$1001,MATCH(ROWS($V$2:V656),$V$2:$V$1001,0),1)&gt;=100000,INDEX($AC$1005:$AS$1005,1,MATCH(COLUMNS($AC$1006:AN1006),$AC$1006:$AS$1006,0))&gt;=100000), " ",IF(INDEX($AC$2:$AS$1001,MATCH(ROWS($V$2:V656),$V$2:$V$1001,0),MATCH(COLUMNS($AC$1006:AN1006),$AC$1006:$AS$1006,0)), HYPERLINK("#",""), HYPERLINK(CONCATENATE("#Metadata!", ADDRESS(INDEX($X$2:$X$1001,MATCH(ROWS($V$2:V656),$V$2:$V$1001,0),0), INDEX($AC$1004:$AS$1004,1,MATCH(COLUMNS($AC$1006:AN1006),$AC$1006:$AS$1006,0)))),"Fix")))</f>
        <v>0</v>
      </c>
      <c r="N656" s="5">
        <f>IF(OR(INDEX($W$2:$W$1001,MATCH(ROWS($V$2:V656),$V$2:$V$1001,0),1)&gt;=100000,INDEX($AC$1005:$AS$1005,1,MATCH(COLUMNS($AC$1006:AO1006),$AC$1006:$AS$1006,0))&gt;=100000), " ",IF(INDEX($AC$2:$AS$1001,MATCH(ROWS($V$2:V656),$V$2:$V$1001,0),MATCH(COLUMNS($AC$1006:AO1006),$AC$1006:$AS$1006,0)), HYPERLINK("#",""), HYPERLINK(CONCATENATE("#Metadata!", ADDRESS(INDEX($X$2:$X$1001,MATCH(ROWS($V$2:V656),$V$2:$V$1001,0),0), INDEX($AC$1004:$AS$1004,1,MATCH(COLUMNS($AC$1006:AO1006),$AC$1006:$AS$1006,0)))),"Fix")))</f>
        <v>0</v>
      </c>
      <c r="O656" s="5">
        <f>IF(OR(INDEX($W$2:$W$1001,MATCH(ROWS($V$2:V656),$V$2:$V$1001,0),1)&gt;=100000,INDEX($AC$1005:$AS$1005,1,MATCH(COLUMNS($AC$1006:AP1006),$AC$1006:$AS$1006,0))&gt;=100000), " ",IF(INDEX($AC$2:$AS$1001,MATCH(ROWS($V$2:V656),$V$2:$V$1001,0),MATCH(COLUMNS($AC$1006:AP1006),$AC$1006:$AS$1006,0)), HYPERLINK("#",""), HYPERLINK(CONCATENATE("#Metadata!", ADDRESS(INDEX($X$2:$X$1001,MATCH(ROWS($V$2:V656),$V$2:$V$1001,0),0), INDEX($AC$1004:$AS$1004,1,MATCH(COLUMNS($AC$1006:AP1006),$AC$1006:$AS$1006,0)))),"Fix")))</f>
        <v>0</v>
      </c>
      <c r="P656" s="5">
        <f>IF(OR(INDEX($W$2:$W$1001,MATCH(ROWS($V$2:V656),$V$2:$V$1001,0),1)&gt;=100000,INDEX($AC$1005:$AS$1005,1,MATCH(COLUMNS($AC$1006:AQ1006),$AC$1006:$AS$1006,0))&gt;=100000), " ",IF(INDEX($AC$2:$AS$1001,MATCH(ROWS($V$2:V656),$V$2:$V$1001,0),MATCH(COLUMNS($AC$1006:AQ1006),$AC$1006:$AS$1006,0)), HYPERLINK("#",""), HYPERLINK(CONCATENATE("#Metadata!", ADDRESS(INDEX($X$2:$X$1001,MATCH(ROWS($V$2:V656),$V$2:$V$1001,0),0), INDEX($AC$1004:$AS$1004,1,MATCH(COLUMNS($AC$1006:AQ1006),$AC$1006:$AS$1006,0)))),"Fix")))</f>
        <v>0</v>
      </c>
      <c r="Q656" s="5">
        <f>IF(OR(INDEX($W$2:$W$1001,MATCH(ROWS($V$2:V656),$V$2:$V$1001,0),1)&gt;=100000,INDEX($AC$1005:$AS$1005,1,MATCH(COLUMNS($AC$1006:AR1006),$AC$1006:$AS$1006,0))&gt;=100000), " ",IF(INDEX($AC$2:$AS$1001,MATCH(ROWS($V$2:V656),$V$2:$V$1001,0),MATCH(COLUMNS($AC$1006:AR1006),$AC$1006:$AS$1006,0)), HYPERLINK("#",""), HYPERLINK(CONCATENATE("#Metadata!", ADDRESS(INDEX($X$2:$X$1001,MATCH(ROWS($V$2:V656),$V$2:$V$1001,0),0), INDEX($AC$1004:$AS$1004,1,MATCH(COLUMNS($AC$1006:AR1006),$AC$1006:$AS$1006,0)))),"Fix")))</f>
        <v>0</v>
      </c>
      <c r="R656" s="5">
        <f>IF(OR(INDEX($W$2:$W$1001,MATCH(ROWS($V$2:V656),$V$2:$V$1001,0),1)&gt;=100000,INDEX($AC$1005:$AS$1005,1,MATCH(COLUMNS($AC$1006:AS1006),$AC$1006:$AS$1006,0))&gt;=100000), " ",IF(INDEX($AC$2:$AS$1001,MATCH(ROWS($V$2:V656),$V$2:$V$1001,0),MATCH(COLUMNS($AC$1006:AS1006),$AC$1006:$AS$1006,0)), HYPERLINK("#",""), HYPERLINK(CONCATENATE("#Metadata!", ADDRESS(INDEX($X$2:$X$1001,MATCH(ROWS($V$2:V656),$V$2:$V$1001,0),0), INDEX($AC$1004:$AS$1004,1,MATCH(COLUMNS($AC$1006:AS1006),$AC$1006:$AS$1006,0)))),"Fix")))</f>
        <v>0</v>
      </c>
      <c r="V656">
        <v>0</v>
      </c>
      <c r="W656">
        <v>0</v>
      </c>
      <c r="X656">
        <v>0</v>
      </c>
      <c r="Y656">
        <f>IF(Z656,TRUE,AND(AC656:AS656))</f>
        <v>0</v>
      </c>
      <c r="Z656">
        <f>COUNTBLANK(Metadata!B656:R656)=COLUMNS(Metadata!B656:R656)</f>
        <v>0</v>
      </c>
      <c r="AA656">
        <v>0</v>
      </c>
      <c r="AC656">
        <f>AND(IF(Metadata!B656="",FALSE,TRUE),COUNTIF(Metadata!B:B, Metadata!B656) = 1,NOT(ISERROR(SUMPRODUCT(SEARCH(MID(Metadata!B656,ROW(INDIRECT("1:"&amp;LEN(Metadata!B656))), 1),"0123456789abcdefghijklmnopqrstuvwxyzABCDEFGHIJKLMNOPQRSTUVWXYZ.")))))</f>
        <v>0</v>
      </c>
      <c r="AD656">
        <f>AND(IF(Metadata!C656="",FALSE,TRUE),exact(Metadata!C656,"Host-associated"))</f>
        <v>0</v>
      </c>
      <c r="AE656">
        <f>AND(IF(Metadata!D656="",FALSE,TRUE),OR(exact(Metadata!D656,"Animal"),exact(Metadata!D656,"Fungus"),exact(Metadata!D656,"Plant")))</f>
        <v>0</v>
      </c>
      <c r="AF656">
        <f>AND(IF(Metadata!E656="",FALSE,TRUE),OR(exact(Metadata!E656,"Plant secretion"),exact(Metadata!E656,"Plant rhizosphere"),exact(Metadata!E656,"Plant surface"),exact(Metadata!E656,"Plant corpus"),exact(Metadata!E656,"Fungus surface"),exact(Metadata!E656,"Fungus corpus"),exact(Metadata!E656,"Animal surface"),exact(Metadata!E656,"Animal proximal gut"),exact(Metadata!E656,"Animal corpus"),exact(Metadata!E656,"Animal distal gut"),exact(Metadata!E656,"Animal secretion")))</f>
        <v>0</v>
      </c>
      <c r="AG656">
        <f>OR(AND(IF(Metadata!F656="",FALSE,TRUE),OR(exact(Metadata!F656,"not collected"),exact(Metadata!F656,"not provided"),exact(Metadata!F656,"restricted access"))),AND(IF(Metadata!F656="",FALSE,TRUE),OR(exact(Metadata!F656,"organism-associated habitat"),exact(Metadata!F656,"plant-associated habitat"),exact(Metadata!F656,"animal-associated habitat"),exact(Metadata!F656,"insecta-associated habitat"),exact(Metadata!F656,"mammalia-associated habitat"),exact(Metadata!F656,"human-associated habitat"),exact(Metadata!F656,"livestock-associated habitat"))))</f>
        <v>0</v>
      </c>
      <c r="AH656">
        <f>AND(IF(Metadata!G656="",FALSE,TRUE),exact(Metadata!G656,"host-associated"))</f>
        <v>0</v>
      </c>
      <c r="AI656">
        <f>OR(AND(IF(Metadata!H656="",FALSE,TRUE),OR(exact(Metadata!H656,"not collected"),exact(Metadata!H656,"not provided"))),AND(IF(Metadata!H656="",FALSE,ISNUMBER(VALUE(Metadata!H656))),Metadata!H656&gt;0))</f>
        <v>0</v>
      </c>
      <c r="AJ656">
        <f>AND(IF(Metadata!I656="",FALSE,TRUE),exact(Metadata!I656,"years"))</f>
        <v>0</v>
      </c>
      <c r="AK656">
        <f>IF(Metadata!J656="",FALSE,TRUE)</f>
        <v>0</v>
      </c>
      <c r="AL656">
        <f>OR(AND(IF(Metadata!K656="",FALSE,TRUE),OR(exact(Metadata!K656,"not collected"),exact(Metadata!K656,"not provided"))),AND(IF(Metadata!K656="",FALSE,ISNUMBER(VALUE(Metadata!K656))),Metadata!K656&gt;0))</f>
        <v>0</v>
      </c>
      <c r="AM656">
        <f>AND(IF(Metadata!L656="",FALSE,TRUE),exact(Metadata!L656,"cm"))</f>
        <v>0</v>
      </c>
      <c r="AN656">
        <f>IF(Metadata!M656="",FALSE,TRUE)</f>
        <v>0</v>
      </c>
      <c r="AO656">
        <f>OR(AND(IF(Metadata!N656="",FALSE,TRUE),OR(exact(Metadata!N656,"not applicable"),exact(Metadata!N656,"not collected"),exact(Metadata!N656,"not provided"))),AND(IF(Metadata!N656="",FALSE,IF(ISERROR(INT(Metadata!N656)),FALSE,INT(Metadata!N656)=Metadata!N656)),Metadata!N656&gt;0))</f>
        <v>0</v>
      </c>
      <c r="AP656">
        <f>OR(AND(IF(Metadata!O656="",FALSE,TRUE),OR(exact(Metadata!O656,"not collected"),exact(Metadata!O656,"not provided"))),AND(IF(Metadata!O656="",FALSE,ISNUMBER(VALUE(Metadata!O656))),Metadata!O656&gt;0))</f>
        <v>0</v>
      </c>
      <c r="AQ656">
        <f>AND(IF(Metadata!P656="",FALSE,TRUE),exact(Metadata!P656,"kg"))</f>
        <v>0</v>
      </c>
      <c r="AR656">
        <f>OR(AND(IF(Metadata!Q656="",FALSE,TRUE),OR(exact(Metadata!Q656,"not applicable"),exact(Metadata!Q656,"not collected"),exact(Metadata!Q656,"not provided"),exact(Metadata!Q656,"restricted access"))),IF(Metadata!Q656="",FALSE,IF(ISERROR(INT(Metadata!Q656)),FALSE,INT(Metadata!Q656)=Metadata!Q656)))</f>
        <v>0</v>
      </c>
      <c r="AS656">
        <f>AND(IF(Metadata!R656="",FALSE,TRUE),exact(Metadata!R656,"Not applicable"))</f>
        <v>0</v>
      </c>
    </row>
    <row r="657" spans="1:45">
      <c r="A657" s="4">
        <f>IF(B657=" "," ",HYPERLINK(CONCATENATE("#metadata!",ADDRESS(INDEX($X$2:$X$1001,MATCH(ROWS($V$2:V657),$V$2:$V$1001,0),0),2)),INDEX($AA$2:$AA$1001,MATCH(ROWS($V$2:V657),$V$2:$V$1001,0),0)))</f>
        <v>0</v>
      </c>
      <c r="B657" s="5">
        <f>IF(OR(INDEX($W$2:$W$1001,MATCH(ROWS($V$2:V657),$V$2:$V$1001,0),1)&gt;=100000,INDEX($AC$1005:$AS$1005,1,MATCH(COLUMNS($AC$1006:AC1006),$AC$1006:$AS$1006,0))&gt;=100000), " ",IF(INDEX($AC$2:$AS$1001,MATCH(ROWS($V$2:V657),$V$2:$V$1001,0),MATCH(COLUMNS($AC$1006:AC1006),$AC$1006:$AS$1006,0)), HYPERLINK("#",""), HYPERLINK(CONCATENATE("#Metadata!", ADDRESS(INDEX($X$2:$X$1001,MATCH(ROWS($V$2:V657),$V$2:$V$1001,0),0), INDEX($AC$1004:$AS$1004,1,MATCH(COLUMNS($AC$1006:AC1006),$AC$1006:$AS$1006,0)))),"Fix")))</f>
        <v>0</v>
      </c>
      <c r="C657" s="5">
        <f>IF(OR(INDEX($W$2:$W$1001,MATCH(ROWS($V$2:V657),$V$2:$V$1001,0),1)&gt;=100000,INDEX($AC$1005:$AS$1005,1,MATCH(COLUMNS($AC$1006:AD1006),$AC$1006:$AS$1006,0))&gt;=100000), " ",IF(INDEX($AC$2:$AS$1001,MATCH(ROWS($V$2:V657),$V$2:$V$1001,0),MATCH(COLUMNS($AC$1006:AD1006),$AC$1006:$AS$1006,0)), HYPERLINK("#",""), HYPERLINK(CONCATENATE("#Metadata!", ADDRESS(INDEX($X$2:$X$1001,MATCH(ROWS($V$2:V657),$V$2:$V$1001,0),0), INDEX($AC$1004:$AS$1004,1,MATCH(COLUMNS($AC$1006:AD1006),$AC$1006:$AS$1006,0)))),"Fix")))</f>
        <v>0</v>
      </c>
      <c r="D657" s="5">
        <f>IF(OR(INDEX($W$2:$W$1001,MATCH(ROWS($V$2:V657),$V$2:$V$1001,0),1)&gt;=100000,INDEX($AC$1005:$AS$1005,1,MATCH(COLUMNS($AC$1006:AE1006),$AC$1006:$AS$1006,0))&gt;=100000), " ",IF(INDEX($AC$2:$AS$1001,MATCH(ROWS($V$2:V657),$V$2:$V$1001,0),MATCH(COLUMNS($AC$1006:AE1006),$AC$1006:$AS$1006,0)), HYPERLINK("#",""), HYPERLINK(CONCATENATE("#Metadata!", ADDRESS(INDEX($X$2:$X$1001,MATCH(ROWS($V$2:V657),$V$2:$V$1001,0),0), INDEX($AC$1004:$AS$1004,1,MATCH(COLUMNS($AC$1006:AE1006),$AC$1006:$AS$1006,0)))),"Fix")))</f>
        <v>0</v>
      </c>
      <c r="E657" s="5">
        <f>IF(OR(INDEX($W$2:$W$1001,MATCH(ROWS($V$2:V657),$V$2:$V$1001,0),1)&gt;=100000,INDEX($AC$1005:$AS$1005,1,MATCH(COLUMNS($AC$1006:AF1006),$AC$1006:$AS$1006,0))&gt;=100000), " ",IF(INDEX($AC$2:$AS$1001,MATCH(ROWS($V$2:V657),$V$2:$V$1001,0),MATCH(COLUMNS($AC$1006:AF1006),$AC$1006:$AS$1006,0)), HYPERLINK("#",""), HYPERLINK(CONCATENATE("#Metadata!", ADDRESS(INDEX($X$2:$X$1001,MATCH(ROWS($V$2:V657),$V$2:$V$1001,0),0), INDEX($AC$1004:$AS$1004,1,MATCH(COLUMNS($AC$1006:AF1006),$AC$1006:$AS$1006,0)))),"Fix")))</f>
        <v>0</v>
      </c>
      <c r="F657" s="5">
        <f>IF(OR(INDEX($W$2:$W$1001,MATCH(ROWS($V$2:V657),$V$2:$V$1001,0),1)&gt;=100000,INDEX($AC$1005:$AS$1005,1,MATCH(COLUMNS($AC$1006:AG1006),$AC$1006:$AS$1006,0))&gt;=100000), " ",IF(INDEX($AC$2:$AS$1001,MATCH(ROWS($V$2:V657),$V$2:$V$1001,0),MATCH(COLUMNS($AC$1006:AG1006),$AC$1006:$AS$1006,0)), HYPERLINK("#",""), HYPERLINK(CONCATENATE("#Metadata!", ADDRESS(INDEX($X$2:$X$1001,MATCH(ROWS($V$2:V657),$V$2:$V$1001,0),0), INDEX($AC$1004:$AS$1004,1,MATCH(COLUMNS($AC$1006:AG1006),$AC$1006:$AS$1006,0)))),"Fix")))</f>
        <v>0</v>
      </c>
      <c r="G657" s="5">
        <f>IF(OR(INDEX($W$2:$W$1001,MATCH(ROWS($V$2:V657),$V$2:$V$1001,0),1)&gt;=100000,INDEX($AC$1005:$AS$1005,1,MATCH(COLUMNS($AC$1006:AH1006),$AC$1006:$AS$1006,0))&gt;=100000), " ",IF(INDEX($AC$2:$AS$1001,MATCH(ROWS($V$2:V657),$V$2:$V$1001,0),MATCH(COLUMNS($AC$1006:AH1006),$AC$1006:$AS$1006,0)), HYPERLINK("#",""), HYPERLINK(CONCATENATE("#Metadata!", ADDRESS(INDEX($X$2:$X$1001,MATCH(ROWS($V$2:V657),$V$2:$V$1001,0),0), INDEX($AC$1004:$AS$1004,1,MATCH(COLUMNS($AC$1006:AH1006),$AC$1006:$AS$1006,0)))),"Fix")))</f>
        <v>0</v>
      </c>
      <c r="H657" s="5">
        <f>IF(OR(INDEX($W$2:$W$1001,MATCH(ROWS($V$2:V657),$V$2:$V$1001,0),1)&gt;=100000,INDEX($AC$1005:$AS$1005,1,MATCH(COLUMNS($AC$1006:AI1006),$AC$1006:$AS$1006,0))&gt;=100000), " ",IF(INDEX($AC$2:$AS$1001,MATCH(ROWS($V$2:V657),$V$2:$V$1001,0),MATCH(COLUMNS($AC$1006:AI1006),$AC$1006:$AS$1006,0)), HYPERLINK("#",""), HYPERLINK(CONCATENATE("#Metadata!", ADDRESS(INDEX($X$2:$X$1001,MATCH(ROWS($V$2:V657),$V$2:$V$1001,0),0), INDEX($AC$1004:$AS$1004,1,MATCH(COLUMNS($AC$1006:AI1006),$AC$1006:$AS$1006,0)))),"Fix")))</f>
        <v>0</v>
      </c>
      <c r="I657" s="5">
        <f>IF(OR(INDEX($W$2:$W$1001,MATCH(ROWS($V$2:V657),$V$2:$V$1001,0),1)&gt;=100000,INDEX($AC$1005:$AS$1005,1,MATCH(COLUMNS($AC$1006:AJ1006),$AC$1006:$AS$1006,0))&gt;=100000), " ",IF(INDEX($AC$2:$AS$1001,MATCH(ROWS($V$2:V657),$V$2:$V$1001,0),MATCH(COLUMNS($AC$1006:AJ1006),$AC$1006:$AS$1006,0)), HYPERLINK("#",""), HYPERLINK(CONCATENATE("#Metadata!", ADDRESS(INDEX($X$2:$X$1001,MATCH(ROWS($V$2:V657),$V$2:$V$1001,0),0), INDEX($AC$1004:$AS$1004,1,MATCH(COLUMNS($AC$1006:AJ1006),$AC$1006:$AS$1006,0)))),"Fix")))</f>
        <v>0</v>
      </c>
      <c r="J657" s="5">
        <f>IF(OR(INDEX($W$2:$W$1001,MATCH(ROWS($V$2:V657),$V$2:$V$1001,0),1)&gt;=100000,INDEX($AC$1005:$AS$1005,1,MATCH(COLUMNS($AC$1006:AK1006),$AC$1006:$AS$1006,0))&gt;=100000), " ",IF(INDEX($AC$2:$AS$1001,MATCH(ROWS($V$2:V657),$V$2:$V$1001,0),MATCH(COLUMNS($AC$1006:AK1006),$AC$1006:$AS$1006,0)), HYPERLINK("#",""), HYPERLINK(CONCATENATE("#Metadata!", ADDRESS(INDEX($X$2:$X$1001,MATCH(ROWS($V$2:V657),$V$2:$V$1001,0),0), INDEX($AC$1004:$AS$1004,1,MATCH(COLUMNS($AC$1006:AK1006),$AC$1006:$AS$1006,0)))),"Fix")))</f>
        <v>0</v>
      </c>
      <c r="K657" s="5">
        <f>IF(OR(INDEX($W$2:$W$1001,MATCH(ROWS($V$2:V657),$V$2:$V$1001,0),1)&gt;=100000,INDEX($AC$1005:$AS$1005,1,MATCH(COLUMNS($AC$1006:AL1006),$AC$1006:$AS$1006,0))&gt;=100000), " ",IF(INDEX($AC$2:$AS$1001,MATCH(ROWS($V$2:V657),$V$2:$V$1001,0),MATCH(COLUMNS($AC$1006:AL1006),$AC$1006:$AS$1006,0)), HYPERLINK("#",""), HYPERLINK(CONCATENATE("#Metadata!", ADDRESS(INDEX($X$2:$X$1001,MATCH(ROWS($V$2:V657),$V$2:$V$1001,0),0), INDEX($AC$1004:$AS$1004,1,MATCH(COLUMNS($AC$1006:AL1006),$AC$1006:$AS$1006,0)))),"Fix")))</f>
        <v>0</v>
      </c>
      <c r="L657" s="5">
        <f>IF(OR(INDEX($W$2:$W$1001,MATCH(ROWS($V$2:V657),$V$2:$V$1001,0),1)&gt;=100000,INDEX($AC$1005:$AS$1005,1,MATCH(COLUMNS($AC$1006:AM1006),$AC$1006:$AS$1006,0))&gt;=100000), " ",IF(INDEX($AC$2:$AS$1001,MATCH(ROWS($V$2:V657),$V$2:$V$1001,0),MATCH(COLUMNS($AC$1006:AM1006),$AC$1006:$AS$1006,0)), HYPERLINK("#",""), HYPERLINK(CONCATENATE("#Metadata!", ADDRESS(INDEX($X$2:$X$1001,MATCH(ROWS($V$2:V657),$V$2:$V$1001,0),0), INDEX($AC$1004:$AS$1004,1,MATCH(COLUMNS($AC$1006:AM1006),$AC$1006:$AS$1006,0)))),"Fix")))</f>
        <v>0</v>
      </c>
      <c r="M657" s="5">
        <f>IF(OR(INDEX($W$2:$W$1001,MATCH(ROWS($V$2:V657),$V$2:$V$1001,0),1)&gt;=100000,INDEX($AC$1005:$AS$1005,1,MATCH(COLUMNS($AC$1006:AN1006),$AC$1006:$AS$1006,0))&gt;=100000), " ",IF(INDEX($AC$2:$AS$1001,MATCH(ROWS($V$2:V657),$V$2:$V$1001,0),MATCH(COLUMNS($AC$1006:AN1006),$AC$1006:$AS$1006,0)), HYPERLINK("#",""), HYPERLINK(CONCATENATE("#Metadata!", ADDRESS(INDEX($X$2:$X$1001,MATCH(ROWS($V$2:V657),$V$2:$V$1001,0),0), INDEX($AC$1004:$AS$1004,1,MATCH(COLUMNS($AC$1006:AN1006),$AC$1006:$AS$1006,0)))),"Fix")))</f>
        <v>0</v>
      </c>
      <c r="N657" s="5">
        <f>IF(OR(INDEX($W$2:$W$1001,MATCH(ROWS($V$2:V657),$V$2:$V$1001,0),1)&gt;=100000,INDEX($AC$1005:$AS$1005,1,MATCH(COLUMNS($AC$1006:AO1006),$AC$1006:$AS$1006,0))&gt;=100000), " ",IF(INDEX($AC$2:$AS$1001,MATCH(ROWS($V$2:V657),$V$2:$V$1001,0),MATCH(COLUMNS($AC$1006:AO1006),$AC$1006:$AS$1006,0)), HYPERLINK("#",""), HYPERLINK(CONCATENATE("#Metadata!", ADDRESS(INDEX($X$2:$X$1001,MATCH(ROWS($V$2:V657),$V$2:$V$1001,0),0), INDEX($AC$1004:$AS$1004,1,MATCH(COLUMNS($AC$1006:AO1006),$AC$1006:$AS$1006,0)))),"Fix")))</f>
        <v>0</v>
      </c>
      <c r="O657" s="5">
        <f>IF(OR(INDEX($W$2:$W$1001,MATCH(ROWS($V$2:V657),$V$2:$V$1001,0),1)&gt;=100000,INDEX($AC$1005:$AS$1005,1,MATCH(COLUMNS($AC$1006:AP1006),$AC$1006:$AS$1006,0))&gt;=100000), " ",IF(INDEX($AC$2:$AS$1001,MATCH(ROWS($V$2:V657),$V$2:$V$1001,0),MATCH(COLUMNS($AC$1006:AP1006),$AC$1006:$AS$1006,0)), HYPERLINK("#",""), HYPERLINK(CONCATENATE("#Metadata!", ADDRESS(INDEX($X$2:$X$1001,MATCH(ROWS($V$2:V657),$V$2:$V$1001,0),0), INDEX($AC$1004:$AS$1004,1,MATCH(COLUMNS($AC$1006:AP1006),$AC$1006:$AS$1006,0)))),"Fix")))</f>
        <v>0</v>
      </c>
      <c r="P657" s="5">
        <f>IF(OR(INDEX($W$2:$W$1001,MATCH(ROWS($V$2:V657),$V$2:$V$1001,0),1)&gt;=100000,INDEX($AC$1005:$AS$1005,1,MATCH(COLUMNS($AC$1006:AQ1006),$AC$1006:$AS$1006,0))&gt;=100000), " ",IF(INDEX($AC$2:$AS$1001,MATCH(ROWS($V$2:V657),$V$2:$V$1001,0),MATCH(COLUMNS($AC$1006:AQ1006),$AC$1006:$AS$1006,0)), HYPERLINK("#",""), HYPERLINK(CONCATENATE("#Metadata!", ADDRESS(INDEX($X$2:$X$1001,MATCH(ROWS($V$2:V657),$V$2:$V$1001,0),0), INDEX($AC$1004:$AS$1004,1,MATCH(COLUMNS($AC$1006:AQ1006),$AC$1006:$AS$1006,0)))),"Fix")))</f>
        <v>0</v>
      </c>
      <c r="Q657" s="5">
        <f>IF(OR(INDEX($W$2:$W$1001,MATCH(ROWS($V$2:V657),$V$2:$V$1001,0),1)&gt;=100000,INDEX($AC$1005:$AS$1005,1,MATCH(COLUMNS($AC$1006:AR1006),$AC$1006:$AS$1006,0))&gt;=100000), " ",IF(INDEX($AC$2:$AS$1001,MATCH(ROWS($V$2:V657),$V$2:$V$1001,0),MATCH(COLUMNS($AC$1006:AR1006),$AC$1006:$AS$1006,0)), HYPERLINK("#",""), HYPERLINK(CONCATENATE("#Metadata!", ADDRESS(INDEX($X$2:$X$1001,MATCH(ROWS($V$2:V657),$V$2:$V$1001,0),0), INDEX($AC$1004:$AS$1004,1,MATCH(COLUMNS($AC$1006:AR1006),$AC$1006:$AS$1006,0)))),"Fix")))</f>
        <v>0</v>
      </c>
      <c r="R657" s="5">
        <f>IF(OR(INDEX($W$2:$W$1001,MATCH(ROWS($V$2:V657),$V$2:$V$1001,0),1)&gt;=100000,INDEX($AC$1005:$AS$1005,1,MATCH(COLUMNS($AC$1006:AS1006),$AC$1006:$AS$1006,0))&gt;=100000), " ",IF(INDEX($AC$2:$AS$1001,MATCH(ROWS($V$2:V657),$V$2:$V$1001,0),MATCH(COLUMNS($AC$1006:AS1006),$AC$1006:$AS$1006,0)), HYPERLINK("#",""), HYPERLINK(CONCATENATE("#Metadata!", ADDRESS(INDEX($X$2:$X$1001,MATCH(ROWS($V$2:V657),$V$2:$V$1001,0),0), INDEX($AC$1004:$AS$1004,1,MATCH(COLUMNS($AC$1006:AS1006),$AC$1006:$AS$1006,0)))),"Fix")))</f>
        <v>0</v>
      </c>
      <c r="V657">
        <v>0</v>
      </c>
      <c r="W657">
        <v>0</v>
      </c>
      <c r="X657">
        <v>0</v>
      </c>
      <c r="Y657">
        <f>IF(Z657,TRUE,AND(AC657:AS657))</f>
        <v>0</v>
      </c>
      <c r="Z657">
        <f>COUNTBLANK(Metadata!B657:R657)=COLUMNS(Metadata!B657:R657)</f>
        <v>0</v>
      </c>
      <c r="AA657">
        <v>0</v>
      </c>
      <c r="AC657">
        <f>AND(IF(Metadata!B657="",FALSE,TRUE),COUNTIF(Metadata!B:B, Metadata!B657) = 1,NOT(ISERROR(SUMPRODUCT(SEARCH(MID(Metadata!B657,ROW(INDIRECT("1:"&amp;LEN(Metadata!B657))), 1),"0123456789abcdefghijklmnopqrstuvwxyzABCDEFGHIJKLMNOPQRSTUVWXYZ.")))))</f>
        <v>0</v>
      </c>
      <c r="AD657">
        <f>AND(IF(Metadata!C657="",FALSE,TRUE),exact(Metadata!C657,"Host-associated"))</f>
        <v>0</v>
      </c>
      <c r="AE657">
        <f>AND(IF(Metadata!D657="",FALSE,TRUE),OR(exact(Metadata!D657,"Animal"),exact(Metadata!D657,"Fungus"),exact(Metadata!D657,"Plant")))</f>
        <v>0</v>
      </c>
      <c r="AF657">
        <f>AND(IF(Metadata!E657="",FALSE,TRUE),OR(exact(Metadata!E657,"Plant secretion"),exact(Metadata!E657,"Plant rhizosphere"),exact(Metadata!E657,"Plant surface"),exact(Metadata!E657,"Plant corpus"),exact(Metadata!E657,"Fungus surface"),exact(Metadata!E657,"Fungus corpus"),exact(Metadata!E657,"Animal surface"),exact(Metadata!E657,"Animal proximal gut"),exact(Metadata!E657,"Animal corpus"),exact(Metadata!E657,"Animal distal gut"),exact(Metadata!E657,"Animal secretion")))</f>
        <v>0</v>
      </c>
      <c r="AG657">
        <f>OR(AND(IF(Metadata!F657="",FALSE,TRUE),OR(exact(Metadata!F657,"not collected"),exact(Metadata!F657,"not provided"),exact(Metadata!F657,"restricted access"))),AND(IF(Metadata!F657="",FALSE,TRUE),OR(exact(Metadata!F657,"organism-associated habitat"),exact(Metadata!F657,"plant-associated habitat"),exact(Metadata!F657,"animal-associated habitat"),exact(Metadata!F657,"insecta-associated habitat"),exact(Metadata!F657,"mammalia-associated habitat"),exact(Metadata!F657,"human-associated habitat"),exact(Metadata!F657,"livestock-associated habitat"))))</f>
        <v>0</v>
      </c>
      <c r="AH657">
        <f>AND(IF(Metadata!G657="",FALSE,TRUE),exact(Metadata!G657,"host-associated"))</f>
        <v>0</v>
      </c>
      <c r="AI657">
        <f>OR(AND(IF(Metadata!H657="",FALSE,TRUE),OR(exact(Metadata!H657,"not collected"),exact(Metadata!H657,"not provided"))),AND(IF(Metadata!H657="",FALSE,ISNUMBER(VALUE(Metadata!H657))),Metadata!H657&gt;0))</f>
        <v>0</v>
      </c>
      <c r="AJ657">
        <f>AND(IF(Metadata!I657="",FALSE,TRUE),exact(Metadata!I657,"years"))</f>
        <v>0</v>
      </c>
      <c r="AK657">
        <f>IF(Metadata!J657="",FALSE,TRUE)</f>
        <v>0</v>
      </c>
      <c r="AL657">
        <f>OR(AND(IF(Metadata!K657="",FALSE,TRUE),OR(exact(Metadata!K657,"not collected"),exact(Metadata!K657,"not provided"))),AND(IF(Metadata!K657="",FALSE,ISNUMBER(VALUE(Metadata!K657))),Metadata!K657&gt;0))</f>
        <v>0</v>
      </c>
      <c r="AM657">
        <f>AND(IF(Metadata!L657="",FALSE,TRUE),exact(Metadata!L657,"cm"))</f>
        <v>0</v>
      </c>
      <c r="AN657">
        <f>IF(Metadata!M657="",FALSE,TRUE)</f>
        <v>0</v>
      </c>
      <c r="AO657">
        <f>OR(AND(IF(Metadata!N657="",FALSE,TRUE),OR(exact(Metadata!N657,"not applicable"),exact(Metadata!N657,"not collected"),exact(Metadata!N657,"not provided"))),AND(IF(Metadata!N657="",FALSE,IF(ISERROR(INT(Metadata!N657)),FALSE,INT(Metadata!N657)=Metadata!N657)),Metadata!N657&gt;0))</f>
        <v>0</v>
      </c>
      <c r="AP657">
        <f>OR(AND(IF(Metadata!O657="",FALSE,TRUE),OR(exact(Metadata!O657,"not collected"),exact(Metadata!O657,"not provided"))),AND(IF(Metadata!O657="",FALSE,ISNUMBER(VALUE(Metadata!O657))),Metadata!O657&gt;0))</f>
        <v>0</v>
      </c>
      <c r="AQ657">
        <f>AND(IF(Metadata!P657="",FALSE,TRUE),exact(Metadata!P657,"kg"))</f>
        <v>0</v>
      </c>
      <c r="AR657">
        <f>OR(AND(IF(Metadata!Q657="",FALSE,TRUE),OR(exact(Metadata!Q657,"not applicable"),exact(Metadata!Q657,"not collected"),exact(Metadata!Q657,"not provided"),exact(Metadata!Q657,"restricted access"))),IF(Metadata!Q657="",FALSE,IF(ISERROR(INT(Metadata!Q657)),FALSE,INT(Metadata!Q657)=Metadata!Q657)))</f>
        <v>0</v>
      </c>
      <c r="AS657">
        <f>AND(IF(Metadata!R657="",FALSE,TRUE),exact(Metadata!R657,"Not applicable"))</f>
        <v>0</v>
      </c>
    </row>
    <row r="658" spans="1:45">
      <c r="A658" s="4">
        <f>IF(B658=" "," ",HYPERLINK(CONCATENATE("#metadata!",ADDRESS(INDEX($X$2:$X$1001,MATCH(ROWS($V$2:V658),$V$2:$V$1001,0),0),2)),INDEX($AA$2:$AA$1001,MATCH(ROWS($V$2:V658),$V$2:$V$1001,0),0)))</f>
        <v>0</v>
      </c>
      <c r="B658" s="5">
        <f>IF(OR(INDEX($W$2:$W$1001,MATCH(ROWS($V$2:V658),$V$2:$V$1001,0),1)&gt;=100000,INDEX($AC$1005:$AS$1005,1,MATCH(COLUMNS($AC$1006:AC1006),$AC$1006:$AS$1006,0))&gt;=100000), " ",IF(INDEX($AC$2:$AS$1001,MATCH(ROWS($V$2:V658),$V$2:$V$1001,0),MATCH(COLUMNS($AC$1006:AC1006),$AC$1006:$AS$1006,0)), HYPERLINK("#",""), HYPERLINK(CONCATENATE("#Metadata!", ADDRESS(INDEX($X$2:$X$1001,MATCH(ROWS($V$2:V658),$V$2:$V$1001,0),0), INDEX($AC$1004:$AS$1004,1,MATCH(COLUMNS($AC$1006:AC1006),$AC$1006:$AS$1006,0)))),"Fix")))</f>
        <v>0</v>
      </c>
      <c r="C658" s="5">
        <f>IF(OR(INDEX($W$2:$W$1001,MATCH(ROWS($V$2:V658),$V$2:$V$1001,0),1)&gt;=100000,INDEX($AC$1005:$AS$1005,1,MATCH(COLUMNS($AC$1006:AD1006),$AC$1006:$AS$1006,0))&gt;=100000), " ",IF(INDEX($AC$2:$AS$1001,MATCH(ROWS($V$2:V658),$V$2:$V$1001,0),MATCH(COLUMNS($AC$1006:AD1006),$AC$1006:$AS$1006,0)), HYPERLINK("#",""), HYPERLINK(CONCATENATE("#Metadata!", ADDRESS(INDEX($X$2:$X$1001,MATCH(ROWS($V$2:V658),$V$2:$V$1001,0),0), INDEX($AC$1004:$AS$1004,1,MATCH(COLUMNS($AC$1006:AD1006),$AC$1006:$AS$1006,0)))),"Fix")))</f>
        <v>0</v>
      </c>
      <c r="D658" s="5">
        <f>IF(OR(INDEX($W$2:$W$1001,MATCH(ROWS($V$2:V658),$V$2:$V$1001,0),1)&gt;=100000,INDEX($AC$1005:$AS$1005,1,MATCH(COLUMNS($AC$1006:AE1006),$AC$1006:$AS$1006,0))&gt;=100000), " ",IF(INDEX($AC$2:$AS$1001,MATCH(ROWS($V$2:V658),$V$2:$V$1001,0),MATCH(COLUMNS($AC$1006:AE1006),$AC$1006:$AS$1006,0)), HYPERLINK("#",""), HYPERLINK(CONCATENATE("#Metadata!", ADDRESS(INDEX($X$2:$X$1001,MATCH(ROWS($V$2:V658),$V$2:$V$1001,0),0), INDEX($AC$1004:$AS$1004,1,MATCH(COLUMNS($AC$1006:AE1006),$AC$1006:$AS$1006,0)))),"Fix")))</f>
        <v>0</v>
      </c>
      <c r="E658" s="5">
        <f>IF(OR(INDEX($W$2:$W$1001,MATCH(ROWS($V$2:V658),$V$2:$V$1001,0),1)&gt;=100000,INDEX($AC$1005:$AS$1005,1,MATCH(COLUMNS($AC$1006:AF1006),$AC$1006:$AS$1006,0))&gt;=100000), " ",IF(INDEX($AC$2:$AS$1001,MATCH(ROWS($V$2:V658),$V$2:$V$1001,0),MATCH(COLUMNS($AC$1006:AF1006),$AC$1006:$AS$1006,0)), HYPERLINK("#",""), HYPERLINK(CONCATENATE("#Metadata!", ADDRESS(INDEX($X$2:$X$1001,MATCH(ROWS($V$2:V658),$V$2:$V$1001,0),0), INDEX($AC$1004:$AS$1004,1,MATCH(COLUMNS($AC$1006:AF1006),$AC$1006:$AS$1006,0)))),"Fix")))</f>
        <v>0</v>
      </c>
      <c r="F658" s="5">
        <f>IF(OR(INDEX($W$2:$W$1001,MATCH(ROWS($V$2:V658),$V$2:$V$1001,0),1)&gt;=100000,INDEX($AC$1005:$AS$1005,1,MATCH(COLUMNS($AC$1006:AG1006),$AC$1006:$AS$1006,0))&gt;=100000), " ",IF(INDEX($AC$2:$AS$1001,MATCH(ROWS($V$2:V658),$V$2:$V$1001,0),MATCH(COLUMNS($AC$1006:AG1006),$AC$1006:$AS$1006,0)), HYPERLINK("#",""), HYPERLINK(CONCATENATE("#Metadata!", ADDRESS(INDEX($X$2:$X$1001,MATCH(ROWS($V$2:V658),$V$2:$V$1001,0),0), INDEX($AC$1004:$AS$1004,1,MATCH(COLUMNS($AC$1006:AG1006),$AC$1006:$AS$1006,0)))),"Fix")))</f>
        <v>0</v>
      </c>
      <c r="G658" s="5">
        <f>IF(OR(INDEX($W$2:$W$1001,MATCH(ROWS($V$2:V658),$V$2:$V$1001,0),1)&gt;=100000,INDEX($AC$1005:$AS$1005,1,MATCH(COLUMNS($AC$1006:AH1006),$AC$1006:$AS$1006,0))&gt;=100000), " ",IF(INDEX($AC$2:$AS$1001,MATCH(ROWS($V$2:V658),$V$2:$V$1001,0),MATCH(COLUMNS($AC$1006:AH1006),$AC$1006:$AS$1006,0)), HYPERLINK("#",""), HYPERLINK(CONCATENATE("#Metadata!", ADDRESS(INDEX($X$2:$X$1001,MATCH(ROWS($V$2:V658),$V$2:$V$1001,0),0), INDEX($AC$1004:$AS$1004,1,MATCH(COLUMNS($AC$1006:AH1006),$AC$1006:$AS$1006,0)))),"Fix")))</f>
        <v>0</v>
      </c>
      <c r="H658" s="5">
        <f>IF(OR(INDEX($W$2:$W$1001,MATCH(ROWS($V$2:V658),$V$2:$V$1001,0),1)&gt;=100000,INDEX($AC$1005:$AS$1005,1,MATCH(COLUMNS($AC$1006:AI1006),$AC$1006:$AS$1006,0))&gt;=100000), " ",IF(INDEX($AC$2:$AS$1001,MATCH(ROWS($V$2:V658),$V$2:$V$1001,0),MATCH(COLUMNS($AC$1006:AI1006),$AC$1006:$AS$1006,0)), HYPERLINK("#",""), HYPERLINK(CONCATENATE("#Metadata!", ADDRESS(INDEX($X$2:$X$1001,MATCH(ROWS($V$2:V658),$V$2:$V$1001,0),0), INDEX($AC$1004:$AS$1004,1,MATCH(COLUMNS($AC$1006:AI1006),$AC$1006:$AS$1006,0)))),"Fix")))</f>
        <v>0</v>
      </c>
      <c r="I658" s="5">
        <f>IF(OR(INDEX($W$2:$W$1001,MATCH(ROWS($V$2:V658),$V$2:$V$1001,0),1)&gt;=100000,INDEX($AC$1005:$AS$1005,1,MATCH(COLUMNS($AC$1006:AJ1006),$AC$1006:$AS$1006,0))&gt;=100000), " ",IF(INDEX($AC$2:$AS$1001,MATCH(ROWS($V$2:V658),$V$2:$V$1001,0),MATCH(COLUMNS($AC$1006:AJ1006),$AC$1006:$AS$1006,0)), HYPERLINK("#",""), HYPERLINK(CONCATENATE("#Metadata!", ADDRESS(INDEX($X$2:$X$1001,MATCH(ROWS($V$2:V658),$V$2:$V$1001,0),0), INDEX($AC$1004:$AS$1004,1,MATCH(COLUMNS($AC$1006:AJ1006),$AC$1006:$AS$1006,0)))),"Fix")))</f>
        <v>0</v>
      </c>
      <c r="J658" s="5">
        <f>IF(OR(INDEX($W$2:$W$1001,MATCH(ROWS($V$2:V658),$V$2:$V$1001,0),1)&gt;=100000,INDEX($AC$1005:$AS$1005,1,MATCH(COLUMNS($AC$1006:AK1006),$AC$1006:$AS$1006,0))&gt;=100000), " ",IF(INDEX($AC$2:$AS$1001,MATCH(ROWS($V$2:V658),$V$2:$V$1001,0),MATCH(COLUMNS($AC$1006:AK1006),$AC$1006:$AS$1006,0)), HYPERLINK("#",""), HYPERLINK(CONCATENATE("#Metadata!", ADDRESS(INDEX($X$2:$X$1001,MATCH(ROWS($V$2:V658),$V$2:$V$1001,0),0), INDEX($AC$1004:$AS$1004,1,MATCH(COLUMNS($AC$1006:AK1006),$AC$1006:$AS$1006,0)))),"Fix")))</f>
        <v>0</v>
      </c>
      <c r="K658" s="5">
        <f>IF(OR(INDEX($W$2:$W$1001,MATCH(ROWS($V$2:V658),$V$2:$V$1001,0),1)&gt;=100000,INDEX($AC$1005:$AS$1005,1,MATCH(COLUMNS($AC$1006:AL1006),$AC$1006:$AS$1006,0))&gt;=100000), " ",IF(INDEX($AC$2:$AS$1001,MATCH(ROWS($V$2:V658),$V$2:$V$1001,0),MATCH(COLUMNS($AC$1006:AL1006),$AC$1006:$AS$1006,0)), HYPERLINK("#",""), HYPERLINK(CONCATENATE("#Metadata!", ADDRESS(INDEX($X$2:$X$1001,MATCH(ROWS($V$2:V658),$V$2:$V$1001,0),0), INDEX($AC$1004:$AS$1004,1,MATCH(COLUMNS($AC$1006:AL1006),$AC$1006:$AS$1006,0)))),"Fix")))</f>
        <v>0</v>
      </c>
      <c r="L658" s="5">
        <f>IF(OR(INDEX($W$2:$W$1001,MATCH(ROWS($V$2:V658),$V$2:$V$1001,0),1)&gt;=100000,INDEX($AC$1005:$AS$1005,1,MATCH(COLUMNS($AC$1006:AM1006),$AC$1006:$AS$1006,0))&gt;=100000), " ",IF(INDEX($AC$2:$AS$1001,MATCH(ROWS($V$2:V658),$V$2:$V$1001,0),MATCH(COLUMNS($AC$1006:AM1006),$AC$1006:$AS$1006,0)), HYPERLINK("#",""), HYPERLINK(CONCATENATE("#Metadata!", ADDRESS(INDEX($X$2:$X$1001,MATCH(ROWS($V$2:V658),$V$2:$V$1001,0),0), INDEX($AC$1004:$AS$1004,1,MATCH(COLUMNS($AC$1006:AM1006),$AC$1006:$AS$1006,0)))),"Fix")))</f>
        <v>0</v>
      </c>
      <c r="M658" s="5">
        <f>IF(OR(INDEX($W$2:$W$1001,MATCH(ROWS($V$2:V658),$V$2:$V$1001,0),1)&gt;=100000,INDEX($AC$1005:$AS$1005,1,MATCH(COLUMNS($AC$1006:AN1006),$AC$1006:$AS$1006,0))&gt;=100000), " ",IF(INDEX($AC$2:$AS$1001,MATCH(ROWS($V$2:V658),$V$2:$V$1001,0),MATCH(COLUMNS($AC$1006:AN1006),$AC$1006:$AS$1006,0)), HYPERLINK("#",""), HYPERLINK(CONCATENATE("#Metadata!", ADDRESS(INDEX($X$2:$X$1001,MATCH(ROWS($V$2:V658),$V$2:$V$1001,0),0), INDEX($AC$1004:$AS$1004,1,MATCH(COLUMNS($AC$1006:AN1006),$AC$1006:$AS$1006,0)))),"Fix")))</f>
        <v>0</v>
      </c>
      <c r="N658" s="5">
        <f>IF(OR(INDEX($W$2:$W$1001,MATCH(ROWS($V$2:V658),$V$2:$V$1001,0),1)&gt;=100000,INDEX($AC$1005:$AS$1005,1,MATCH(COLUMNS($AC$1006:AO1006),$AC$1006:$AS$1006,0))&gt;=100000), " ",IF(INDEX($AC$2:$AS$1001,MATCH(ROWS($V$2:V658),$V$2:$V$1001,0),MATCH(COLUMNS($AC$1006:AO1006),$AC$1006:$AS$1006,0)), HYPERLINK("#",""), HYPERLINK(CONCATENATE("#Metadata!", ADDRESS(INDEX($X$2:$X$1001,MATCH(ROWS($V$2:V658),$V$2:$V$1001,0),0), INDEX($AC$1004:$AS$1004,1,MATCH(COLUMNS($AC$1006:AO1006),$AC$1006:$AS$1006,0)))),"Fix")))</f>
        <v>0</v>
      </c>
      <c r="O658" s="5">
        <f>IF(OR(INDEX($W$2:$W$1001,MATCH(ROWS($V$2:V658),$V$2:$V$1001,0),1)&gt;=100000,INDEX($AC$1005:$AS$1005,1,MATCH(COLUMNS($AC$1006:AP1006),$AC$1006:$AS$1006,0))&gt;=100000), " ",IF(INDEX($AC$2:$AS$1001,MATCH(ROWS($V$2:V658),$V$2:$V$1001,0),MATCH(COLUMNS($AC$1006:AP1006),$AC$1006:$AS$1006,0)), HYPERLINK("#",""), HYPERLINK(CONCATENATE("#Metadata!", ADDRESS(INDEX($X$2:$X$1001,MATCH(ROWS($V$2:V658),$V$2:$V$1001,0),0), INDEX($AC$1004:$AS$1004,1,MATCH(COLUMNS($AC$1006:AP1006),$AC$1006:$AS$1006,0)))),"Fix")))</f>
        <v>0</v>
      </c>
      <c r="P658" s="5">
        <f>IF(OR(INDEX($W$2:$W$1001,MATCH(ROWS($V$2:V658),$V$2:$V$1001,0),1)&gt;=100000,INDEX($AC$1005:$AS$1005,1,MATCH(COLUMNS($AC$1006:AQ1006),$AC$1006:$AS$1006,0))&gt;=100000), " ",IF(INDEX($AC$2:$AS$1001,MATCH(ROWS($V$2:V658),$V$2:$V$1001,0),MATCH(COLUMNS($AC$1006:AQ1006),$AC$1006:$AS$1006,0)), HYPERLINK("#",""), HYPERLINK(CONCATENATE("#Metadata!", ADDRESS(INDEX($X$2:$X$1001,MATCH(ROWS($V$2:V658),$V$2:$V$1001,0),0), INDEX($AC$1004:$AS$1004,1,MATCH(COLUMNS($AC$1006:AQ1006),$AC$1006:$AS$1006,0)))),"Fix")))</f>
        <v>0</v>
      </c>
      <c r="Q658" s="5">
        <f>IF(OR(INDEX($W$2:$W$1001,MATCH(ROWS($V$2:V658),$V$2:$V$1001,0),1)&gt;=100000,INDEX($AC$1005:$AS$1005,1,MATCH(COLUMNS($AC$1006:AR1006),$AC$1006:$AS$1006,0))&gt;=100000), " ",IF(INDEX($AC$2:$AS$1001,MATCH(ROWS($V$2:V658),$V$2:$V$1001,0),MATCH(COLUMNS($AC$1006:AR1006),$AC$1006:$AS$1006,0)), HYPERLINK("#",""), HYPERLINK(CONCATENATE("#Metadata!", ADDRESS(INDEX($X$2:$X$1001,MATCH(ROWS($V$2:V658),$V$2:$V$1001,0),0), INDEX($AC$1004:$AS$1004,1,MATCH(COLUMNS($AC$1006:AR1006),$AC$1006:$AS$1006,0)))),"Fix")))</f>
        <v>0</v>
      </c>
      <c r="R658" s="5">
        <f>IF(OR(INDEX($W$2:$W$1001,MATCH(ROWS($V$2:V658),$V$2:$V$1001,0),1)&gt;=100000,INDEX($AC$1005:$AS$1005,1,MATCH(COLUMNS($AC$1006:AS1006),$AC$1006:$AS$1006,0))&gt;=100000), " ",IF(INDEX($AC$2:$AS$1001,MATCH(ROWS($V$2:V658),$V$2:$V$1001,0),MATCH(COLUMNS($AC$1006:AS1006),$AC$1006:$AS$1006,0)), HYPERLINK("#",""), HYPERLINK(CONCATENATE("#Metadata!", ADDRESS(INDEX($X$2:$X$1001,MATCH(ROWS($V$2:V658),$V$2:$V$1001,0),0), INDEX($AC$1004:$AS$1004,1,MATCH(COLUMNS($AC$1006:AS1006),$AC$1006:$AS$1006,0)))),"Fix")))</f>
        <v>0</v>
      </c>
      <c r="V658">
        <v>0</v>
      </c>
      <c r="W658">
        <v>0</v>
      </c>
      <c r="X658">
        <v>0</v>
      </c>
      <c r="Y658">
        <f>IF(Z658,TRUE,AND(AC658:AS658))</f>
        <v>0</v>
      </c>
      <c r="Z658">
        <f>COUNTBLANK(Metadata!B658:R658)=COLUMNS(Metadata!B658:R658)</f>
        <v>0</v>
      </c>
      <c r="AA658">
        <v>0</v>
      </c>
      <c r="AC658">
        <f>AND(IF(Metadata!B658="",FALSE,TRUE),COUNTIF(Metadata!B:B, Metadata!B658) = 1,NOT(ISERROR(SUMPRODUCT(SEARCH(MID(Metadata!B658,ROW(INDIRECT("1:"&amp;LEN(Metadata!B658))), 1),"0123456789abcdefghijklmnopqrstuvwxyzABCDEFGHIJKLMNOPQRSTUVWXYZ.")))))</f>
        <v>0</v>
      </c>
      <c r="AD658">
        <f>AND(IF(Metadata!C658="",FALSE,TRUE),exact(Metadata!C658,"Host-associated"))</f>
        <v>0</v>
      </c>
      <c r="AE658">
        <f>AND(IF(Metadata!D658="",FALSE,TRUE),OR(exact(Metadata!D658,"Animal"),exact(Metadata!D658,"Fungus"),exact(Metadata!D658,"Plant")))</f>
        <v>0</v>
      </c>
      <c r="AF658">
        <f>AND(IF(Metadata!E658="",FALSE,TRUE),OR(exact(Metadata!E658,"Plant secretion"),exact(Metadata!E658,"Plant rhizosphere"),exact(Metadata!E658,"Plant surface"),exact(Metadata!E658,"Plant corpus"),exact(Metadata!E658,"Fungus surface"),exact(Metadata!E658,"Fungus corpus"),exact(Metadata!E658,"Animal surface"),exact(Metadata!E658,"Animal proximal gut"),exact(Metadata!E658,"Animal corpus"),exact(Metadata!E658,"Animal distal gut"),exact(Metadata!E658,"Animal secretion")))</f>
        <v>0</v>
      </c>
      <c r="AG658">
        <f>OR(AND(IF(Metadata!F658="",FALSE,TRUE),OR(exact(Metadata!F658,"not collected"),exact(Metadata!F658,"not provided"),exact(Metadata!F658,"restricted access"))),AND(IF(Metadata!F658="",FALSE,TRUE),OR(exact(Metadata!F658,"organism-associated habitat"),exact(Metadata!F658,"plant-associated habitat"),exact(Metadata!F658,"animal-associated habitat"),exact(Metadata!F658,"insecta-associated habitat"),exact(Metadata!F658,"mammalia-associated habitat"),exact(Metadata!F658,"human-associated habitat"),exact(Metadata!F658,"livestock-associated habitat"))))</f>
        <v>0</v>
      </c>
      <c r="AH658">
        <f>AND(IF(Metadata!G658="",FALSE,TRUE),exact(Metadata!G658,"host-associated"))</f>
        <v>0</v>
      </c>
      <c r="AI658">
        <f>OR(AND(IF(Metadata!H658="",FALSE,TRUE),OR(exact(Metadata!H658,"not collected"),exact(Metadata!H658,"not provided"))),AND(IF(Metadata!H658="",FALSE,ISNUMBER(VALUE(Metadata!H658))),Metadata!H658&gt;0))</f>
        <v>0</v>
      </c>
      <c r="AJ658">
        <f>AND(IF(Metadata!I658="",FALSE,TRUE),exact(Metadata!I658,"years"))</f>
        <v>0</v>
      </c>
      <c r="AK658">
        <f>IF(Metadata!J658="",FALSE,TRUE)</f>
        <v>0</v>
      </c>
      <c r="AL658">
        <f>OR(AND(IF(Metadata!K658="",FALSE,TRUE),OR(exact(Metadata!K658,"not collected"),exact(Metadata!K658,"not provided"))),AND(IF(Metadata!K658="",FALSE,ISNUMBER(VALUE(Metadata!K658))),Metadata!K658&gt;0))</f>
        <v>0</v>
      </c>
      <c r="AM658">
        <f>AND(IF(Metadata!L658="",FALSE,TRUE),exact(Metadata!L658,"cm"))</f>
        <v>0</v>
      </c>
      <c r="AN658">
        <f>IF(Metadata!M658="",FALSE,TRUE)</f>
        <v>0</v>
      </c>
      <c r="AO658">
        <f>OR(AND(IF(Metadata!N658="",FALSE,TRUE),OR(exact(Metadata!N658,"not applicable"),exact(Metadata!N658,"not collected"),exact(Metadata!N658,"not provided"))),AND(IF(Metadata!N658="",FALSE,IF(ISERROR(INT(Metadata!N658)),FALSE,INT(Metadata!N658)=Metadata!N658)),Metadata!N658&gt;0))</f>
        <v>0</v>
      </c>
      <c r="AP658">
        <f>OR(AND(IF(Metadata!O658="",FALSE,TRUE),OR(exact(Metadata!O658,"not collected"),exact(Metadata!O658,"not provided"))),AND(IF(Metadata!O658="",FALSE,ISNUMBER(VALUE(Metadata!O658))),Metadata!O658&gt;0))</f>
        <v>0</v>
      </c>
      <c r="AQ658">
        <f>AND(IF(Metadata!P658="",FALSE,TRUE),exact(Metadata!P658,"kg"))</f>
        <v>0</v>
      </c>
      <c r="AR658">
        <f>OR(AND(IF(Metadata!Q658="",FALSE,TRUE),OR(exact(Metadata!Q658,"not applicable"),exact(Metadata!Q658,"not collected"),exact(Metadata!Q658,"not provided"),exact(Metadata!Q658,"restricted access"))),IF(Metadata!Q658="",FALSE,IF(ISERROR(INT(Metadata!Q658)),FALSE,INT(Metadata!Q658)=Metadata!Q658)))</f>
        <v>0</v>
      </c>
      <c r="AS658">
        <f>AND(IF(Metadata!R658="",FALSE,TRUE),exact(Metadata!R658,"Not applicable"))</f>
        <v>0</v>
      </c>
    </row>
    <row r="659" spans="1:45">
      <c r="A659" s="4">
        <f>IF(B659=" "," ",HYPERLINK(CONCATENATE("#metadata!",ADDRESS(INDEX($X$2:$X$1001,MATCH(ROWS($V$2:V659),$V$2:$V$1001,0),0),2)),INDEX($AA$2:$AA$1001,MATCH(ROWS($V$2:V659),$V$2:$V$1001,0),0)))</f>
        <v>0</v>
      </c>
      <c r="B659" s="5">
        <f>IF(OR(INDEX($W$2:$W$1001,MATCH(ROWS($V$2:V659),$V$2:$V$1001,0),1)&gt;=100000,INDEX($AC$1005:$AS$1005,1,MATCH(COLUMNS($AC$1006:AC1006),$AC$1006:$AS$1006,0))&gt;=100000), " ",IF(INDEX($AC$2:$AS$1001,MATCH(ROWS($V$2:V659),$V$2:$V$1001,0),MATCH(COLUMNS($AC$1006:AC1006),$AC$1006:$AS$1006,0)), HYPERLINK("#",""), HYPERLINK(CONCATENATE("#Metadata!", ADDRESS(INDEX($X$2:$X$1001,MATCH(ROWS($V$2:V659),$V$2:$V$1001,0),0), INDEX($AC$1004:$AS$1004,1,MATCH(COLUMNS($AC$1006:AC1006),$AC$1006:$AS$1006,0)))),"Fix")))</f>
        <v>0</v>
      </c>
      <c r="C659" s="5">
        <f>IF(OR(INDEX($W$2:$W$1001,MATCH(ROWS($V$2:V659),$V$2:$V$1001,0),1)&gt;=100000,INDEX($AC$1005:$AS$1005,1,MATCH(COLUMNS($AC$1006:AD1006),$AC$1006:$AS$1006,0))&gt;=100000), " ",IF(INDEX($AC$2:$AS$1001,MATCH(ROWS($V$2:V659),$V$2:$V$1001,0),MATCH(COLUMNS($AC$1006:AD1006),$AC$1006:$AS$1006,0)), HYPERLINK("#",""), HYPERLINK(CONCATENATE("#Metadata!", ADDRESS(INDEX($X$2:$X$1001,MATCH(ROWS($V$2:V659),$V$2:$V$1001,0),0), INDEX($AC$1004:$AS$1004,1,MATCH(COLUMNS($AC$1006:AD1006),$AC$1006:$AS$1006,0)))),"Fix")))</f>
        <v>0</v>
      </c>
      <c r="D659" s="5">
        <f>IF(OR(INDEX($W$2:$W$1001,MATCH(ROWS($V$2:V659),$V$2:$V$1001,0),1)&gt;=100000,INDEX($AC$1005:$AS$1005,1,MATCH(COLUMNS($AC$1006:AE1006),$AC$1006:$AS$1006,0))&gt;=100000), " ",IF(INDEX($AC$2:$AS$1001,MATCH(ROWS($V$2:V659),$V$2:$V$1001,0),MATCH(COLUMNS($AC$1006:AE1006),$AC$1006:$AS$1006,0)), HYPERLINK("#",""), HYPERLINK(CONCATENATE("#Metadata!", ADDRESS(INDEX($X$2:$X$1001,MATCH(ROWS($V$2:V659),$V$2:$V$1001,0),0), INDEX($AC$1004:$AS$1004,1,MATCH(COLUMNS($AC$1006:AE1006),$AC$1006:$AS$1006,0)))),"Fix")))</f>
        <v>0</v>
      </c>
      <c r="E659" s="5">
        <f>IF(OR(INDEX($W$2:$W$1001,MATCH(ROWS($V$2:V659),$V$2:$V$1001,0),1)&gt;=100000,INDEX($AC$1005:$AS$1005,1,MATCH(COLUMNS($AC$1006:AF1006),$AC$1006:$AS$1006,0))&gt;=100000), " ",IF(INDEX($AC$2:$AS$1001,MATCH(ROWS($V$2:V659),$V$2:$V$1001,0),MATCH(COLUMNS($AC$1006:AF1006),$AC$1006:$AS$1006,0)), HYPERLINK("#",""), HYPERLINK(CONCATENATE("#Metadata!", ADDRESS(INDEX($X$2:$X$1001,MATCH(ROWS($V$2:V659),$V$2:$V$1001,0),0), INDEX($AC$1004:$AS$1004,1,MATCH(COLUMNS($AC$1006:AF1006),$AC$1006:$AS$1006,0)))),"Fix")))</f>
        <v>0</v>
      </c>
      <c r="F659" s="5">
        <f>IF(OR(INDEX($W$2:$W$1001,MATCH(ROWS($V$2:V659),$V$2:$V$1001,0),1)&gt;=100000,INDEX($AC$1005:$AS$1005,1,MATCH(COLUMNS($AC$1006:AG1006),$AC$1006:$AS$1006,0))&gt;=100000), " ",IF(INDEX($AC$2:$AS$1001,MATCH(ROWS($V$2:V659),$V$2:$V$1001,0),MATCH(COLUMNS($AC$1006:AG1006),$AC$1006:$AS$1006,0)), HYPERLINK("#",""), HYPERLINK(CONCATENATE("#Metadata!", ADDRESS(INDEX($X$2:$X$1001,MATCH(ROWS($V$2:V659),$V$2:$V$1001,0),0), INDEX($AC$1004:$AS$1004,1,MATCH(COLUMNS($AC$1006:AG1006),$AC$1006:$AS$1006,0)))),"Fix")))</f>
        <v>0</v>
      </c>
      <c r="G659" s="5">
        <f>IF(OR(INDEX($W$2:$W$1001,MATCH(ROWS($V$2:V659),$V$2:$V$1001,0),1)&gt;=100000,INDEX($AC$1005:$AS$1005,1,MATCH(COLUMNS($AC$1006:AH1006),$AC$1006:$AS$1006,0))&gt;=100000), " ",IF(INDEX($AC$2:$AS$1001,MATCH(ROWS($V$2:V659),$V$2:$V$1001,0),MATCH(COLUMNS($AC$1006:AH1006),$AC$1006:$AS$1006,0)), HYPERLINK("#",""), HYPERLINK(CONCATENATE("#Metadata!", ADDRESS(INDEX($X$2:$X$1001,MATCH(ROWS($V$2:V659),$V$2:$V$1001,0),0), INDEX($AC$1004:$AS$1004,1,MATCH(COLUMNS($AC$1006:AH1006),$AC$1006:$AS$1006,0)))),"Fix")))</f>
        <v>0</v>
      </c>
      <c r="H659" s="5">
        <f>IF(OR(INDEX($W$2:$W$1001,MATCH(ROWS($V$2:V659),$V$2:$V$1001,0),1)&gt;=100000,INDEX($AC$1005:$AS$1005,1,MATCH(COLUMNS($AC$1006:AI1006),$AC$1006:$AS$1006,0))&gt;=100000), " ",IF(INDEX($AC$2:$AS$1001,MATCH(ROWS($V$2:V659),$V$2:$V$1001,0),MATCH(COLUMNS($AC$1006:AI1006),$AC$1006:$AS$1006,0)), HYPERLINK("#",""), HYPERLINK(CONCATENATE("#Metadata!", ADDRESS(INDEX($X$2:$X$1001,MATCH(ROWS($V$2:V659),$V$2:$V$1001,0),0), INDEX($AC$1004:$AS$1004,1,MATCH(COLUMNS($AC$1006:AI1006),$AC$1006:$AS$1006,0)))),"Fix")))</f>
        <v>0</v>
      </c>
      <c r="I659" s="5">
        <f>IF(OR(INDEX($W$2:$W$1001,MATCH(ROWS($V$2:V659),$V$2:$V$1001,0),1)&gt;=100000,INDEX($AC$1005:$AS$1005,1,MATCH(COLUMNS($AC$1006:AJ1006),$AC$1006:$AS$1006,0))&gt;=100000), " ",IF(INDEX($AC$2:$AS$1001,MATCH(ROWS($V$2:V659),$V$2:$V$1001,0),MATCH(COLUMNS($AC$1006:AJ1006),$AC$1006:$AS$1006,0)), HYPERLINK("#",""), HYPERLINK(CONCATENATE("#Metadata!", ADDRESS(INDEX($X$2:$X$1001,MATCH(ROWS($V$2:V659),$V$2:$V$1001,0),0), INDEX($AC$1004:$AS$1004,1,MATCH(COLUMNS($AC$1006:AJ1006),$AC$1006:$AS$1006,0)))),"Fix")))</f>
        <v>0</v>
      </c>
      <c r="J659" s="5">
        <f>IF(OR(INDEX($W$2:$W$1001,MATCH(ROWS($V$2:V659),$V$2:$V$1001,0),1)&gt;=100000,INDEX($AC$1005:$AS$1005,1,MATCH(COLUMNS($AC$1006:AK1006),$AC$1006:$AS$1006,0))&gt;=100000), " ",IF(INDEX($AC$2:$AS$1001,MATCH(ROWS($V$2:V659),$V$2:$V$1001,0),MATCH(COLUMNS($AC$1006:AK1006),$AC$1006:$AS$1006,0)), HYPERLINK("#",""), HYPERLINK(CONCATENATE("#Metadata!", ADDRESS(INDEX($X$2:$X$1001,MATCH(ROWS($V$2:V659),$V$2:$V$1001,0),0), INDEX($AC$1004:$AS$1004,1,MATCH(COLUMNS($AC$1006:AK1006),$AC$1006:$AS$1006,0)))),"Fix")))</f>
        <v>0</v>
      </c>
      <c r="K659" s="5">
        <f>IF(OR(INDEX($W$2:$W$1001,MATCH(ROWS($V$2:V659),$V$2:$V$1001,0),1)&gt;=100000,INDEX($AC$1005:$AS$1005,1,MATCH(COLUMNS($AC$1006:AL1006),$AC$1006:$AS$1006,0))&gt;=100000), " ",IF(INDEX($AC$2:$AS$1001,MATCH(ROWS($V$2:V659),$V$2:$V$1001,0),MATCH(COLUMNS($AC$1006:AL1006),$AC$1006:$AS$1006,0)), HYPERLINK("#",""), HYPERLINK(CONCATENATE("#Metadata!", ADDRESS(INDEX($X$2:$X$1001,MATCH(ROWS($V$2:V659),$V$2:$V$1001,0),0), INDEX($AC$1004:$AS$1004,1,MATCH(COLUMNS($AC$1006:AL1006),$AC$1006:$AS$1006,0)))),"Fix")))</f>
        <v>0</v>
      </c>
      <c r="L659" s="5">
        <f>IF(OR(INDEX($W$2:$W$1001,MATCH(ROWS($V$2:V659),$V$2:$V$1001,0),1)&gt;=100000,INDEX($AC$1005:$AS$1005,1,MATCH(COLUMNS($AC$1006:AM1006),$AC$1006:$AS$1006,0))&gt;=100000), " ",IF(INDEX($AC$2:$AS$1001,MATCH(ROWS($V$2:V659),$V$2:$V$1001,0),MATCH(COLUMNS($AC$1006:AM1006),$AC$1006:$AS$1006,0)), HYPERLINK("#",""), HYPERLINK(CONCATENATE("#Metadata!", ADDRESS(INDEX($X$2:$X$1001,MATCH(ROWS($V$2:V659),$V$2:$V$1001,0),0), INDEX($AC$1004:$AS$1004,1,MATCH(COLUMNS($AC$1006:AM1006),$AC$1006:$AS$1006,0)))),"Fix")))</f>
        <v>0</v>
      </c>
      <c r="M659" s="5">
        <f>IF(OR(INDEX($W$2:$W$1001,MATCH(ROWS($V$2:V659),$V$2:$V$1001,0),1)&gt;=100000,INDEX($AC$1005:$AS$1005,1,MATCH(COLUMNS($AC$1006:AN1006),$AC$1006:$AS$1006,0))&gt;=100000), " ",IF(INDEX($AC$2:$AS$1001,MATCH(ROWS($V$2:V659),$V$2:$V$1001,0),MATCH(COLUMNS($AC$1006:AN1006),$AC$1006:$AS$1006,0)), HYPERLINK("#",""), HYPERLINK(CONCATENATE("#Metadata!", ADDRESS(INDEX($X$2:$X$1001,MATCH(ROWS($V$2:V659),$V$2:$V$1001,0),0), INDEX($AC$1004:$AS$1004,1,MATCH(COLUMNS($AC$1006:AN1006),$AC$1006:$AS$1006,0)))),"Fix")))</f>
        <v>0</v>
      </c>
      <c r="N659" s="5">
        <f>IF(OR(INDEX($W$2:$W$1001,MATCH(ROWS($V$2:V659),$V$2:$V$1001,0),1)&gt;=100000,INDEX($AC$1005:$AS$1005,1,MATCH(COLUMNS($AC$1006:AO1006),$AC$1006:$AS$1006,0))&gt;=100000), " ",IF(INDEX($AC$2:$AS$1001,MATCH(ROWS($V$2:V659),$V$2:$V$1001,0),MATCH(COLUMNS($AC$1006:AO1006),$AC$1006:$AS$1006,0)), HYPERLINK("#",""), HYPERLINK(CONCATENATE("#Metadata!", ADDRESS(INDEX($X$2:$X$1001,MATCH(ROWS($V$2:V659),$V$2:$V$1001,0),0), INDEX($AC$1004:$AS$1004,1,MATCH(COLUMNS($AC$1006:AO1006),$AC$1006:$AS$1006,0)))),"Fix")))</f>
        <v>0</v>
      </c>
      <c r="O659" s="5">
        <f>IF(OR(INDEX($W$2:$W$1001,MATCH(ROWS($V$2:V659),$V$2:$V$1001,0),1)&gt;=100000,INDEX($AC$1005:$AS$1005,1,MATCH(COLUMNS($AC$1006:AP1006),$AC$1006:$AS$1006,0))&gt;=100000), " ",IF(INDEX($AC$2:$AS$1001,MATCH(ROWS($V$2:V659),$V$2:$V$1001,0),MATCH(COLUMNS($AC$1006:AP1006),$AC$1006:$AS$1006,0)), HYPERLINK("#",""), HYPERLINK(CONCATENATE("#Metadata!", ADDRESS(INDEX($X$2:$X$1001,MATCH(ROWS($V$2:V659),$V$2:$V$1001,0),0), INDEX($AC$1004:$AS$1004,1,MATCH(COLUMNS($AC$1006:AP1006),$AC$1006:$AS$1006,0)))),"Fix")))</f>
        <v>0</v>
      </c>
      <c r="P659" s="5">
        <f>IF(OR(INDEX($W$2:$W$1001,MATCH(ROWS($V$2:V659),$V$2:$V$1001,0),1)&gt;=100000,INDEX($AC$1005:$AS$1005,1,MATCH(COLUMNS($AC$1006:AQ1006),$AC$1006:$AS$1006,0))&gt;=100000), " ",IF(INDEX($AC$2:$AS$1001,MATCH(ROWS($V$2:V659),$V$2:$V$1001,0),MATCH(COLUMNS($AC$1006:AQ1006),$AC$1006:$AS$1006,0)), HYPERLINK("#",""), HYPERLINK(CONCATENATE("#Metadata!", ADDRESS(INDEX($X$2:$X$1001,MATCH(ROWS($V$2:V659),$V$2:$V$1001,0),0), INDEX($AC$1004:$AS$1004,1,MATCH(COLUMNS($AC$1006:AQ1006),$AC$1006:$AS$1006,0)))),"Fix")))</f>
        <v>0</v>
      </c>
      <c r="Q659" s="5">
        <f>IF(OR(INDEX($W$2:$W$1001,MATCH(ROWS($V$2:V659),$V$2:$V$1001,0),1)&gt;=100000,INDEX($AC$1005:$AS$1005,1,MATCH(COLUMNS($AC$1006:AR1006),$AC$1006:$AS$1006,0))&gt;=100000), " ",IF(INDEX($AC$2:$AS$1001,MATCH(ROWS($V$2:V659),$V$2:$V$1001,0),MATCH(COLUMNS($AC$1006:AR1006),$AC$1006:$AS$1006,0)), HYPERLINK("#",""), HYPERLINK(CONCATENATE("#Metadata!", ADDRESS(INDEX($X$2:$X$1001,MATCH(ROWS($V$2:V659),$V$2:$V$1001,0),0), INDEX($AC$1004:$AS$1004,1,MATCH(COLUMNS($AC$1006:AR1006),$AC$1006:$AS$1006,0)))),"Fix")))</f>
        <v>0</v>
      </c>
      <c r="R659" s="5">
        <f>IF(OR(INDEX($W$2:$W$1001,MATCH(ROWS($V$2:V659),$V$2:$V$1001,0),1)&gt;=100000,INDEX($AC$1005:$AS$1005,1,MATCH(COLUMNS($AC$1006:AS1006),$AC$1006:$AS$1006,0))&gt;=100000), " ",IF(INDEX($AC$2:$AS$1001,MATCH(ROWS($V$2:V659),$V$2:$V$1001,0),MATCH(COLUMNS($AC$1006:AS1006),$AC$1006:$AS$1006,0)), HYPERLINK("#",""), HYPERLINK(CONCATENATE("#Metadata!", ADDRESS(INDEX($X$2:$X$1001,MATCH(ROWS($V$2:V659),$V$2:$V$1001,0),0), INDEX($AC$1004:$AS$1004,1,MATCH(COLUMNS($AC$1006:AS1006),$AC$1006:$AS$1006,0)))),"Fix")))</f>
        <v>0</v>
      </c>
      <c r="V659">
        <v>0</v>
      </c>
      <c r="W659">
        <v>0</v>
      </c>
      <c r="X659">
        <v>0</v>
      </c>
      <c r="Y659">
        <f>IF(Z659,TRUE,AND(AC659:AS659))</f>
        <v>0</v>
      </c>
      <c r="Z659">
        <f>COUNTBLANK(Metadata!B659:R659)=COLUMNS(Metadata!B659:R659)</f>
        <v>0</v>
      </c>
      <c r="AA659">
        <v>0</v>
      </c>
      <c r="AC659">
        <f>AND(IF(Metadata!B659="",FALSE,TRUE),COUNTIF(Metadata!B:B, Metadata!B659) = 1,NOT(ISERROR(SUMPRODUCT(SEARCH(MID(Metadata!B659,ROW(INDIRECT("1:"&amp;LEN(Metadata!B659))), 1),"0123456789abcdefghijklmnopqrstuvwxyzABCDEFGHIJKLMNOPQRSTUVWXYZ.")))))</f>
        <v>0</v>
      </c>
      <c r="AD659">
        <f>AND(IF(Metadata!C659="",FALSE,TRUE),exact(Metadata!C659,"Host-associated"))</f>
        <v>0</v>
      </c>
      <c r="AE659">
        <f>AND(IF(Metadata!D659="",FALSE,TRUE),OR(exact(Metadata!D659,"Animal"),exact(Metadata!D659,"Fungus"),exact(Metadata!D659,"Plant")))</f>
        <v>0</v>
      </c>
      <c r="AF659">
        <f>AND(IF(Metadata!E659="",FALSE,TRUE),OR(exact(Metadata!E659,"Plant secretion"),exact(Metadata!E659,"Plant rhizosphere"),exact(Metadata!E659,"Plant surface"),exact(Metadata!E659,"Plant corpus"),exact(Metadata!E659,"Fungus surface"),exact(Metadata!E659,"Fungus corpus"),exact(Metadata!E659,"Animal surface"),exact(Metadata!E659,"Animal proximal gut"),exact(Metadata!E659,"Animal corpus"),exact(Metadata!E659,"Animal distal gut"),exact(Metadata!E659,"Animal secretion")))</f>
        <v>0</v>
      </c>
      <c r="AG659">
        <f>OR(AND(IF(Metadata!F659="",FALSE,TRUE),OR(exact(Metadata!F659,"not collected"),exact(Metadata!F659,"not provided"),exact(Metadata!F659,"restricted access"))),AND(IF(Metadata!F659="",FALSE,TRUE),OR(exact(Metadata!F659,"organism-associated habitat"),exact(Metadata!F659,"plant-associated habitat"),exact(Metadata!F659,"animal-associated habitat"),exact(Metadata!F659,"insecta-associated habitat"),exact(Metadata!F659,"mammalia-associated habitat"),exact(Metadata!F659,"human-associated habitat"),exact(Metadata!F659,"livestock-associated habitat"))))</f>
        <v>0</v>
      </c>
      <c r="AH659">
        <f>AND(IF(Metadata!G659="",FALSE,TRUE),exact(Metadata!G659,"host-associated"))</f>
        <v>0</v>
      </c>
      <c r="AI659">
        <f>OR(AND(IF(Metadata!H659="",FALSE,TRUE),OR(exact(Metadata!H659,"not collected"),exact(Metadata!H659,"not provided"))),AND(IF(Metadata!H659="",FALSE,ISNUMBER(VALUE(Metadata!H659))),Metadata!H659&gt;0))</f>
        <v>0</v>
      </c>
      <c r="AJ659">
        <f>AND(IF(Metadata!I659="",FALSE,TRUE),exact(Metadata!I659,"years"))</f>
        <v>0</v>
      </c>
      <c r="AK659">
        <f>IF(Metadata!J659="",FALSE,TRUE)</f>
        <v>0</v>
      </c>
      <c r="AL659">
        <f>OR(AND(IF(Metadata!K659="",FALSE,TRUE),OR(exact(Metadata!K659,"not collected"),exact(Metadata!K659,"not provided"))),AND(IF(Metadata!K659="",FALSE,ISNUMBER(VALUE(Metadata!K659))),Metadata!K659&gt;0))</f>
        <v>0</v>
      </c>
      <c r="AM659">
        <f>AND(IF(Metadata!L659="",FALSE,TRUE),exact(Metadata!L659,"cm"))</f>
        <v>0</v>
      </c>
      <c r="AN659">
        <f>IF(Metadata!M659="",FALSE,TRUE)</f>
        <v>0</v>
      </c>
      <c r="AO659">
        <f>OR(AND(IF(Metadata!N659="",FALSE,TRUE),OR(exact(Metadata!N659,"not applicable"),exact(Metadata!N659,"not collected"),exact(Metadata!N659,"not provided"))),AND(IF(Metadata!N659="",FALSE,IF(ISERROR(INT(Metadata!N659)),FALSE,INT(Metadata!N659)=Metadata!N659)),Metadata!N659&gt;0))</f>
        <v>0</v>
      </c>
      <c r="AP659">
        <f>OR(AND(IF(Metadata!O659="",FALSE,TRUE),OR(exact(Metadata!O659,"not collected"),exact(Metadata!O659,"not provided"))),AND(IF(Metadata!O659="",FALSE,ISNUMBER(VALUE(Metadata!O659))),Metadata!O659&gt;0))</f>
        <v>0</v>
      </c>
      <c r="AQ659">
        <f>AND(IF(Metadata!P659="",FALSE,TRUE),exact(Metadata!P659,"kg"))</f>
        <v>0</v>
      </c>
      <c r="AR659">
        <f>OR(AND(IF(Metadata!Q659="",FALSE,TRUE),OR(exact(Metadata!Q659,"not applicable"),exact(Metadata!Q659,"not collected"),exact(Metadata!Q659,"not provided"),exact(Metadata!Q659,"restricted access"))),IF(Metadata!Q659="",FALSE,IF(ISERROR(INT(Metadata!Q659)),FALSE,INT(Metadata!Q659)=Metadata!Q659)))</f>
        <v>0</v>
      </c>
      <c r="AS659">
        <f>AND(IF(Metadata!R659="",FALSE,TRUE),exact(Metadata!R659,"Not applicable"))</f>
        <v>0</v>
      </c>
    </row>
    <row r="660" spans="1:45">
      <c r="A660" s="4">
        <f>IF(B660=" "," ",HYPERLINK(CONCATENATE("#metadata!",ADDRESS(INDEX($X$2:$X$1001,MATCH(ROWS($V$2:V660),$V$2:$V$1001,0),0),2)),INDEX($AA$2:$AA$1001,MATCH(ROWS($V$2:V660),$V$2:$V$1001,0),0)))</f>
        <v>0</v>
      </c>
      <c r="B660" s="5">
        <f>IF(OR(INDEX($W$2:$W$1001,MATCH(ROWS($V$2:V660),$V$2:$V$1001,0),1)&gt;=100000,INDEX($AC$1005:$AS$1005,1,MATCH(COLUMNS($AC$1006:AC1006),$AC$1006:$AS$1006,0))&gt;=100000), " ",IF(INDEX($AC$2:$AS$1001,MATCH(ROWS($V$2:V660),$V$2:$V$1001,0),MATCH(COLUMNS($AC$1006:AC1006),$AC$1006:$AS$1006,0)), HYPERLINK("#",""), HYPERLINK(CONCATENATE("#Metadata!", ADDRESS(INDEX($X$2:$X$1001,MATCH(ROWS($V$2:V660),$V$2:$V$1001,0),0), INDEX($AC$1004:$AS$1004,1,MATCH(COLUMNS($AC$1006:AC1006),$AC$1006:$AS$1006,0)))),"Fix")))</f>
        <v>0</v>
      </c>
      <c r="C660" s="5">
        <f>IF(OR(INDEX($W$2:$W$1001,MATCH(ROWS($V$2:V660),$V$2:$V$1001,0),1)&gt;=100000,INDEX($AC$1005:$AS$1005,1,MATCH(COLUMNS($AC$1006:AD1006),$AC$1006:$AS$1006,0))&gt;=100000), " ",IF(INDEX($AC$2:$AS$1001,MATCH(ROWS($V$2:V660),$V$2:$V$1001,0),MATCH(COLUMNS($AC$1006:AD1006),$AC$1006:$AS$1006,0)), HYPERLINK("#",""), HYPERLINK(CONCATENATE("#Metadata!", ADDRESS(INDEX($X$2:$X$1001,MATCH(ROWS($V$2:V660),$V$2:$V$1001,0),0), INDEX($AC$1004:$AS$1004,1,MATCH(COLUMNS($AC$1006:AD1006),$AC$1006:$AS$1006,0)))),"Fix")))</f>
        <v>0</v>
      </c>
      <c r="D660" s="5">
        <f>IF(OR(INDEX($W$2:$W$1001,MATCH(ROWS($V$2:V660),$V$2:$V$1001,0),1)&gt;=100000,INDEX($AC$1005:$AS$1005,1,MATCH(COLUMNS($AC$1006:AE1006),$AC$1006:$AS$1006,0))&gt;=100000), " ",IF(INDEX($AC$2:$AS$1001,MATCH(ROWS($V$2:V660),$V$2:$V$1001,0),MATCH(COLUMNS($AC$1006:AE1006),$AC$1006:$AS$1006,0)), HYPERLINK("#",""), HYPERLINK(CONCATENATE("#Metadata!", ADDRESS(INDEX($X$2:$X$1001,MATCH(ROWS($V$2:V660),$V$2:$V$1001,0),0), INDEX($AC$1004:$AS$1004,1,MATCH(COLUMNS($AC$1006:AE1006),$AC$1006:$AS$1006,0)))),"Fix")))</f>
        <v>0</v>
      </c>
      <c r="E660" s="5">
        <f>IF(OR(INDEX($W$2:$W$1001,MATCH(ROWS($V$2:V660),$V$2:$V$1001,0),1)&gt;=100000,INDEX($AC$1005:$AS$1005,1,MATCH(COLUMNS($AC$1006:AF1006),$AC$1006:$AS$1006,0))&gt;=100000), " ",IF(INDEX($AC$2:$AS$1001,MATCH(ROWS($V$2:V660),$V$2:$V$1001,0),MATCH(COLUMNS($AC$1006:AF1006),$AC$1006:$AS$1006,0)), HYPERLINK("#",""), HYPERLINK(CONCATENATE("#Metadata!", ADDRESS(INDEX($X$2:$X$1001,MATCH(ROWS($V$2:V660),$V$2:$V$1001,0),0), INDEX($AC$1004:$AS$1004,1,MATCH(COLUMNS($AC$1006:AF1006),$AC$1006:$AS$1006,0)))),"Fix")))</f>
        <v>0</v>
      </c>
      <c r="F660" s="5">
        <f>IF(OR(INDEX($W$2:$W$1001,MATCH(ROWS($V$2:V660),$V$2:$V$1001,0),1)&gt;=100000,INDEX($AC$1005:$AS$1005,1,MATCH(COLUMNS($AC$1006:AG1006),$AC$1006:$AS$1006,0))&gt;=100000), " ",IF(INDEX($AC$2:$AS$1001,MATCH(ROWS($V$2:V660),$V$2:$V$1001,0),MATCH(COLUMNS($AC$1006:AG1006),$AC$1006:$AS$1006,0)), HYPERLINK("#",""), HYPERLINK(CONCATENATE("#Metadata!", ADDRESS(INDEX($X$2:$X$1001,MATCH(ROWS($V$2:V660),$V$2:$V$1001,0),0), INDEX($AC$1004:$AS$1004,1,MATCH(COLUMNS($AC$1006:AG1006),$AC$1006:$AS$1006,0)))),"Fix")))</f>
        <v>0</v>
      </c>
      <c r="G660" s="5">
        <f>IF(OR(INDEX($W$2:$W$1001,MATCH(ROWS($V$2:V660),$V$2:$V$1001,0),1)&gt;=100000,INDEX($AC$1005:$AS$1005,1,MATCH(COLUMNS($AC$1006:AH1006),$AC$1006:$AS$1006,0))&gt;=100000), " ",IF(INDEX($AC$2:$AS$1001,MATCH(ROWS($V$2:V660),$V$2:$V$1001,0),MATCH(COLUMNS($AC$1006:AH1006),$AC$1006:$AS$1006,0)), HYPERLINK("#",""), HYPERLINK(CONCATENATE("#Metadata!", ADDRESS(INDEX($X$2:$X$1001,MATCH(ROWS($V$2:V660),$V$2:$V$1001,0),0), INDEX($AC$1004:$AS$1004,1,MATCH(COLUMNS($AC$1006:AH1006),$AC$1006:$AS$1006,0)))),"Fix")))</f>
        <v>0</v>
      </c>
      <c r="H660" s="5">
        <f>IF(OR(INDEX($W$2:$W$1001,MATCH(ROWS($V$2:V660),$V$2:$V$1001,0),1)&gt;=100000,INDEX($AC$1005:$AS$1005,1,MATCH(COLUMNS($AC$1006:AI1006),$AC$1006:$AS$1006,0))&gt;=100000), " ",IF(INDEX($AC$2:$AS$1001,MATCH(ROWS($V$2:V660),$V$2:$V$1001,0),MATCH(COLUMNS($AC$1006:AI1006),$AC$1006:$AS$1006,0)), HYPERLINK("#",""), HYPERLINK(CONCATENATE("#Metadata!", ADDRESS(INDEX($X$2:$X$1001,MATCH(ROWS($V$2:V660),$V$2:$V$1001,0),0), INDEX($AC$1004:$AS$1004,1,MATCH(COLUMNS($AC$1006:AI1006),$AC$1006:$AS$1006,0)))),"Fix")))</f>
        <v>0</v>
      </c>
      <c r="I660" s="5">
        <f>IF(OR(INDEX($W$2:$W$1001,MATCH(ROWS($V$2:V660),$V$2:$V$1001,0),1)&gt;=100000,INDEX($AC$1005:$AS$1005,1,MATCH(COLUMNS($AC$1006:AJ1006),$AC$1006:$AS$1006,0))&gt;=100000), " ",IF(INDEX($AC$2:$AS$1001,MATCH(ROWS($V$2:V660),$V$2:$V$1001,0),MATCH(COLUMNS($AC$1006:AJ1006),$AC$1006:$AS$1006,0)), HYPERLINK("#",""), HYPERLINK(CONCATENATE("#Metadata!", ADDRESS(INDEX($X$2:$X$1001,MATCH(ROWS($V$2:V660),$V$2:$V$1001,0),0), INDEX($AC$1004:$AS$1004,1,MATCH(COLUMNS($AC$1006:AJ1006),$AC$1006:$AS$1006,0)))),"Fix")))</f>
        <v>0</v>
      </c>
      <c r="J660" s="5">
        <f>IF(OR(INDEX($W$2:$W$1001,MATCH(ROWS($V$2:V660),$V$2:$V$1001,0),1)&gt;=100000,INDEX($AC$1005:$AS$1005,1,MATCH(COLUMNS($AC$1006:AK1006),$AC$1006:$AS$1006,0))&gt;=100000), " ",IF(INDEX($AC$2:$AS$1001,MATCH(ROWS($V$2:V660),$V$2:$V$1001,0),MATCH(COLUMNS($AC$1006:AK1006),$AC$1006:$AS$1006,0)), HYPERLINK("#",""), HYPERLINK(CONCATENATE("#Metadata!", ADDRESS(INDEX($X$2:$X$1001,MATCH(ROWS($V$2:V660),$V$2:$V$1001,0),0), INDEX($AC$1004:$AS$1004,1,MATCH(COLUMNS($AC$1006:AK1006),$AC$1006:$AS$1006,0)))),"Fix")))</f>
        <v>0</v>
      </c>
      <c r="K660" s="5">
        <f>IF(OR(INDEX($W$2:$W$1001,MATCH(ROWS($V$2:V660),$V$2:$V$1001,0),1)&gt;=100000,INDEX($AC$1005:$AS$1005,1,MATCH(COLUMNS($AC$1006:AL1006),$AC$1006:$AS$1006,0))&gt;=100000), " ",IF(INDEX($AC$2:$AS$1001,MATCH(ROWS($V$2:V660),$V$2:$V$1001,0),MATCH(COLUMNS($AC$1006:AL1006),$AC$1006:$AS$1006,0)), HYPERLINK("#",""), HYPERLINK(CONCATENATE("#Metadata!", ADDRESS(INDEX($X$2:$X$1001,MATCH(ROWS($V$2:V660),$V$2:$V$1001,0),0), INDEX($AC$1004:$AS$1004,1,MATCH(COLUMNS($AC$1006:AL1006),$AC$1006:$AS$1006,0)))),"Fix")))</f>
        <v>0</v>
      </c>
      <c r="L660" s="5">
        <f>IF(OR(INDEX($W$2:$W$1001,MATCH(ROWS($V$2:V660),$V$2:$V$1001,0),1)&gt;=100000,INDEX($AC$1005:$AS$1005,1,MATCH(COLUMNS($AC$1006:AM1006),$AC$1006:$AS$1006,0))&gt;=100000), " ",IF(INDEX($AC$2:$AS$1001,MATCH(ROWS($V$2:V660),$V$2:$V$1001,0),MATCH(COLUMNS($AC$1006:AM1006),$AC$1006:$AS$1006,0)), HYPERLINK("#",""), HYPERLINK(CONCATENATE("#Metadata!", ADDRESS(INDEX($X$2:$X$1001,MATCH(ROWS($V$2:V660),$V$2:$V$1001,0),0), INDEX($AC$1004:$AS$1004,1,MATCH(COLUMNS($AC$1006:AM1006),$AC$1006:$AS$1006,0)))),"Fix")))</f>
        <v>0</v>
      </c>
      <c r="M660" s="5">
        <f>IF(OR(INDEX($W$2:$W$1001,MATCH(ROWS($V$2:V660),$V$2:$V$1001,0),1)&gt;=100000,INDEX($AC$1005:$AS$1005,1,MATCH(COLUMNS($AC$1006:AN1006),$AC$1006:$AS$1006,0))&gt;=100000), " ",IF(INDEX($AC$2:$AS$1001,MATCH(ROWS($V$2:V660),$V$2:$V$1001,0),MATCH(COLUMNS($AC$1006:AN1006),$AC$1006:$AS$1006,0)), HYPERLINK("#",""), HYPERLINK(CONCATENATE("#Metadata!", ADDRESS(INDEX($X$2:$X$1001,MATCH(ROWS($V$2:V660),$V$2:$V$1001,0),0), INDEX($AC$1004:$AS$1004,1,MATCH(COLUMNS($AC$1006:AN1006),$AC$1006:$AS$1006,0)))),"Fix")))</f>
        <v>0</v>
      </c>
      <c r="N660" s="5">
        <f>IF(OR(INDEX($W$2:$W$1001,MATCH(ROWS($V$2:V660),$V$2:$V$1001,0),1)&gt;=100000,INDEX($AC$1005:$AS$1005,1,MATCH(COLUMNS($AC$1006:AO1006),$AC$1006:$AS$1006,0))&gt;=100000), " ",IF(INDEX($AC$2:$AS$1001,MATCH(ROWS($V$2:V660),$V$2:$V$1001,0),MATCH(COLUMNS($AC$1006:AO1006),$AC$1006:$AS$1006,0)), HYPERLINK("#",""), HYPERLINK(CONCATENATE("#Metadata!", ADDRESS(INDEX($X$2:$X$1001,MATCH(ROWS($V$2:V660),$V$2:$V$1001,0),0), INDEX($AC$1004:$AS$1004,1,MATCH(COLUMNS($AC$1006:AO1006),$AC$1006:$AS$1006,0)))),"Fix")))</f>
        <v>0</v>
      </c>
      <c r="O660" s="5">
        <f>IF(OR(INDEX($W$2:$W$1001,MATCH(ROWS($V$2:V660),$V$2:$V$1001,0),1)&gt;=100000,INDEX($AC$1005:$AS$1005,1,MATCH(COLUMNS($AC$1006:AP1006),$AC$1006:$AS$1006,0))&gt;=100000), " ",IF(INDEX($AC$2:$AS$1001,MATCH(ROWS($V$2:V660),$V$2:$V$1001,0),MATCH(COLUMNS($AC$1006:AP1006),$AC$1006:$AS$1006,0)), HYPERLINK("#",""), HYPERLINK(CONCATENATE("#Metadata!", ADDRESS(INDEX($X$2:$X$1001,MATCH(ROWS($V$2:V660),$V$2:$V$1001,0),0), INDEX($AC$1004:$AS$1004,1,MATCH(COLUMNS($AC$1006:AP1006),$AC$1006:$AS$1006,0)))),"Fix")))</f>
        <v>0</v>
      </c>
      <c r="P660" s="5">
        <f>IF(OR(INDEX($W$2:$W$1001,MATCH(ROWS($V$2:V660),$V$2:$V$1001,0),1)&gt;=100000,INDEX($AC$1005:$AS$1005,1,MATCH(COLUMNS($AC$1006:AQ1006),$AC$1006:$AS$1006,0))&gt;=100000), " ",IF(INDEX($AC$2:$AS$1001,MATCH(ROWS($V$2:V660),$V$2:$V$1001,0),MATCH(COLUMNS($AC$1006:AQ1006),$AC$1006:$AS$1006,0)), HYPERLINK("#",""), HYPERLINK(CONCATENATE("#Metadata!", ADDRESS(INDEX($X$2:$X$1001,MATCH(ROWS($V$2:V660),$V$2:$V$1001,0),0), INDEX($AC$1004:$AS$1004,1,MATCH(COLUMNS($AC$1006:AQ1006),$AC$1006:$AS$1006,0)))),"Fix")))</f>
        <v>0</v>
      </c>
      <c r="Q660" s="5">
        <f>IF(OR(INDEX($W$2:$W$1001,MATCH(ROWS($V$2:V660),$V$2:$V$1001,0),1)&gt;=100000,INDEX($AC$1005:$AS$1005,1,MATCH(COLUMNS($AC$1006:AR1006),$AC$1006:$AS$1006,0))&gt;=100000), " ",IF(INDEX($AC$2:$AS$1001,MATCH(ROWS($V$2:V660),$V$2:$V$1001,0),MATCH(COLUMNS($AC$1006:AR1006),$AC$1006:$AS$1006,0)), HYPERLINK("#",""), HYPERLINK(CONCATENATE("#Metadata!", ADDRESS(INDEX($X$2:$X$1001,MATCH(ROWS($V$2:V660),$V$2:$V$1001,0),0), INDEX($AC$1004:$AS$1004,1,MATCH(COLUMNS($AC$1006:AR1006),$AC$1006:$AS$1006,0)))),"Fix")))</f>
        <v>0</v>
      </c>
      <c r="R660" s="5">
        <f>IF(OR(INDEX($W$2:$W$1001,MATCH(ROWS($V$2:V660),$V$2:$V$1001,0),1)&gt;=100000,INDEX($AC$1005:$AS$1005,1,MATCH(COLUMNS($AC$1006:AS1006),$AC$1006:$AS$1006,0))&gt;=100000), " ",IF(INDEX($AC$2:$AS$1001,MATCH(ROWS($V$2:V660),$V$2:$V$1001,0),MATCH(COLUMNS($AC$1006:AS1006),$AC$1006:$AS$1006,0)), HYPERLINK("#",""), HYPERLINK(CONCATENATE("#Metadata!", ADDRESS(INDEX($X$2:$X$1001,MATCH(ROWS($V$2:V660),$V$2:$V$1001,0),0), INDEX($AC$1004:$AS$1004,1,MATCH(COLUMNS($AC$1006:AS1006),$AC$1006:$AS$1006,0)))),"Fix")))</f>
        <v>0</v>
      </c>
      <c r="V660">
        <v>0</v>
      </c>
      <c r="W660">
        <v>0</v>
      </c>
      <c r="X660">
        <v>0</v>
      </c>
      <c r="Y660">
        <f>IF(Z660,TRUE,AND(AC660:AS660))</f>
        <v>0</v>
      </c>
      <c r="Z660">
        <f>COUNTBLANK(Metadata!B660:R660)=COLUMNS(Metadata!B660:R660)</f>
        <v>0</v>
      </c>
      <c r="AA660">
        <v>0</v>
      </c>
      <c r="AC660">
        <f>AND(IF(Metadata!B660="",FALSE,TRUE),COUNTIF(Metadata!B:B, Metadata!B660) = 1,NOT(ISERROR(SUMPRODUCT(SEARCH(MID(Metadata!B660,ROW(INDIRECT("1:"&amp;LEN(Metadata!B660))), 1),"0123456789abcdefghijklmnopqrstuvwxyzABCDEFGHIJKLMNOPQRSTUVWXYZ.")))))</f>
        <v>0</v>
      </c>
      <c r="AD660">
        <f>AND(IF(Metadata!C660="",FALSE,TRUE),exact(Metadata!C660,"Host-associated"))</f>
        <v>0</v>
      </c>
      <c r="AE660">
        <f>AND(IF(Metadata!D660="",FALSE,TRUE),OR(exact(Metadata!D660,"Animal"),exact(Metadata!D660,"Fungus"),exact(Metadata!D660,"Plant")))</f>
        <v>0</v>
      </c>
      <c r="AF660">
        <f>AND(IF(Metadata!E660="",FALSE,TRUE),OR(exact(Metadata!E660,"Plant secretion"),exact(Metadata!E660,"Plant rhizosphere"),exact(Metadata!E660,"Plant surface"),exact(Metadata!E660,"Plant corpus"),exact(Metadata!E660,"Fungus surface"),exact(Metadata!E660,"Fungus corpus"),exact(Metadata!E660,"Animal surface"),exact(Metadata!E660,"Animal proximal gut"),exact(Metadata!E660,"Animal corpus"),exact(Metadata!E660,"Animal distal gut"),exact(Metadata!E660,"Animal secretion")))</f>
        <v>0</v>
      </c>
      <c r="AG660">
        <f>OR(AND(IF(Metadata!F660="",FALSE,TRUE),OR(exact(Metadata!F660,"not collected"),exact(Metadata!F660,"not provided"),exact(Metadata!F660,"restricted access"))),AND(IF(Metadata!F660="",FALSE,TRUE),OR(exact(Metadata!F660,"organism-associated habitat"),exact(Metadata!F660,"plant-associated habitat"),exact(Metadata!F660,"animal-associated habitat"),exact(Metadata!F660,"insecta-associated habitat"),exact(Metadata!F660,"mammalia-associated habitat"),exact(Metadata!F660,"human-associated habitat"),exact(Metadata!F660,"livestock-associated habitat"))))</f>
        <v>0</v>
      </c>
      <c r="AH660">
        <f>AND(IF(Metadata!G660="",FALSE,TRUE),exact(Metadata!G660,"host-associated"))</f>
        <v>0</v>
      </c>
      <c r="AI660">
        <f>OR(AND(IF(Metadata!H660="",FALSE,TRUE),OR(exact(Metadata!H660,"not collected"),exact(Metadata!H660,"not provided"))),AND(IF(Metadata!H660="",FALSE,ISNUMBER(VALUE(Metadata!H660))),Metadata!H660&gt;0))</f>
        <v>0</v>
      </c>
      <c r="AJ660">
        <f>AND(IF(Metadata!I660="",FALSE,TRUE),exact(Metadata!I660,"years"))</f>
        <v>0</v>
      </c>
      <c r="AK660">
        <f>IF(Metadata!J660="",FALSE,TRUE)</f>
        <v>0</v>
      </c>
      <c r="AL660">
        <f>OR(AND(IF(Metadata!K660="",FALSE,TRUE),OR(exact(Metadata!K660,"not collected"),exact(Metadata!K660,"not provided"))),AND(IF(Metadata!K660="",FALSE,ISNUMBER(VALUE(Metadata!K660))),Metadata!K660&gt;0))</f>
        <v>0</v>
      </c>
      <c r="AM660">
        <f>AND(IF(Metadata!L660="",FALSE,TRUE),exact(Metadata!L660,"cm"))</f>
        <v>0</v>
      </c>
      <c r="AN660">
        <f>IF(Metadata!M660="",FALSE,TRUE)</f>
        <v>0</v>
      </c>
      <c r="AO660">
        <f>OR(AND(IF(Metadata!N660="",FALSE,TRUE),OR(exact(Metadata!N660,"not applicable"),exact(Metadata!N660,"not collected"),exact(Metadata!N660,"not provided"))),AND(IF(Metadata!N660="",FALSE,IF(ISERROR(INT(Metadata!N660)),FALSE,INT(Metadata!N660)=Metadata!N660)),Metadata!N660&gt;0))</f>
        <v>0</v>
      </c>
      <c r="AP660">
        <f>OR(AND(IF(Metadata!O660="",FALSE,TRUE),OR(exact(Metadata!O660,"not collected"),exact(Metadata!O660,"not provided"))),AND(IF(Metadata!O660="",FALSE,ISNUMBER(VALUE(Metadata!O660))),Metadata!O660&gt;0))</f>
        <v>0</v>
      </c>
      <c r="AQ660">
        <f>AND(IF(Metadata!P660="",FALSE,TRUE),exact(Metadata!P660,"kg"))</f>
        <v>0</v>
      </c>
      <c r="AR660">
        <f>OR(AND(IF(Metadata!Q660="",FALSE,TRUE),OR(exact(Metadata!Q660,"not applicable"),exact(Metadata!Q660,"not collected"),exact(Metadata!Q660,"not provided"),exact(Metadata!Q660,"restricted access"))),IF(Metadata!Q660="",FALSE,IF(ISERROR(INT(Metadata!Q660)),FALSE,INT(Metadata!Q660)=Metadata!Q660)))</f>
        <v>0</v>
      </c>
      <c r="AS660">
        <f>AND(IF(Metadata!R660="",FALSE,TRUE),exact(Metadata!R660,"Not applicable"))</f>
        <v>0</v>
      </c>
    </row>
    <row r="661" spans="1:45">
      <c r="A661" s="4">
        <f>IF(B661=" "," ",HYPERLINK(CONCATENATE("#metadata!",ADDRESS(INDEX($X$2:$X$1001,MATCH(ROWS($V$2:V661),$V$2:$V$1001,0),0),2)),INDEX($AA$2:$AA$1001,MATCH(ROWS($V$2:V661),$V$2:$V$1001,0),0)))</f>
        <v>0</v>
      </c>
      <c r="B661" s="5">
        <f>IF(OR(INDEX($W$2:$W$1001,MATCH(ROWS($V$2:V661),$V$2:$V$1001,0),1)&gt;=100000,INDEX($AC$1005:$AS$1005,1,MATCH(COLUMNS($AC$1006:AC1006),$AC$1006:$AS$1006,0))&gt;=100000), " ",IF(INDEX($AC$2:$AS$1001,MATCH(ROWS($V$2:V661),$V$2:$V$1001,0),MATCH(COLUMNS($AC$1006:AC1006),$AC$1006:$AS$1006,0)), HYPERLINK("#",""), HYPERLINK(CONCATENATE("#Metadata!", ADDRESS(INDEX($X$2:$X$1001,MATCH(ROWS($V$2:V661),$V$2:$V$1001,0),0), INDEX($AC$1004:$AS$1004,1,MATCH(COLUMNS($AC$1006:AC1006),$AC$1006:$AS$1006,0)))),"Fix")))</f>
        <v>0</v>
      </c>
      <c r="C661" s="5">
        <f>IF(OR(INDEX($W$2:$W$1001,MATCH(ROWS($V$2:V661),$V$2:$V$1001,0),1)&gt;=100000,INDEX($AC$1005:$AS$1005,1,MATCH(COLUMNS($AC$1006:AD1006),$AC$1006:$AS$1006,0))&gt;=100000), " ",IF(INDEX($AC$2:$AS$1001,MATCH(ROWS($V$2:V661),$V$2:$V$1001,0),MATCH(COLUMNS($AC$1006:AD1006),$AC$1006:$AS$1006,0)), HYPERLINK("#",""), HYPERLINK(CONCATENATE("#Metadata!", ADDRESS(INDEX($X$2:$X$1001,MATCH(ROWS($V$2:V661),$V$2:$V$1001,0),0), INDEX($AC$1004:$AS$1004,1,MATCH(COLUMNS($AC$1006:AD1006),$AC$1006:$AS$1006,0)))),"Fix")))</f>
        <v>0</v>
      </c>
      <c r="D661" s="5">
        <f>IF(OR(INDEX($W$2:$W$1001,MATCH(ROWS($V$2:V661),$V$2:$V$1001,0),1)&gt;=100000,INDEX($AC$1005:$AS$1005,1,MATCH(COLUMNS($AC$1006:AE1006),$AC$1006:$AS$1006,0))&gt;=100000), " ",IF(INDEX($AC$2:$AS$1001,MATCH(ROWS($V$2:V661),$V$2:$V$1001,0),MATCH(COLUMNS($AC$1006:AE1006),$AC$1006:$AS$1006,0)), HYPERLINK("#",""), HYPERLINK(CONCATENATE("#Metadata!", ADDRESS(INDEX($X$2:$X$1001,MATCH(ROWS($V$2:V661),$V$2:$V$1001,0),0), INDEX($AC$1004:$AS$1004,1,MATCH(COLUMNS($AC$1006:AE1006),$AC$1006:$AS$1006,0)))),"Fix")))</f>
        <v>0</v>
      </c>
      <c r="E661" s="5">
        <f>IF(OR(INDEX($W$2:$W$1001,MATCH(ROWS($V$2:V661),$V$2:$V$1001,0),1)&gt;=100000,INDEX($AC$1005:$AS$1005,1,MATCH(COLUMNS($AC$1006:AF1006),$AC$1006:$AS$1006,0))&gt;=100000), " ",IF(INDEX($AC$2:$AS$1001,MATCH(ROWS($V$2:V661),$V$2:$V$1001,0),MATCH(COLUMNS($AC$1006:AF1006),$AC$1006:$AS$1006,0)), HYPERLINK("#",""), HYPERLINK(CONCATENATE("#Metadata!", ADDRESS(INDEX($X$2:$X$1001,MATCH(ROWS($V$2:V661),$V$2:$V$1001,0),0), INDEX($AC$1004:$AS$1004,1,MATCH(COLUMNS($AC$1006:AF1006),$AC$1006:$AS$1006,0)))),"Fix")))</f>
        <v>0</v>
      </c>
      <c r="F661" s="5">
        <f>IF(OR(INDEX($W$2:$W$1001,MATCH(ROWS($V$2:V661),$V$2:$V$1001,0),1)&gt;=100000,INDEX($AC$1005:$AS$1005,1,MATCH(COLUMNS($AC$1006:AG1006),$AC$1006:$AS$1006,0))&gt;=100000), " ",IF(INDEX($AC$2:$AS$1001,MATCH(ROWS($V$2:V661),$V$2:$V$1001,0),MATCH(COLUMNS($AC$1006:AG1006),$AC$1006:$AS$1006,0)), HYPERLINK("#",""), HYPERLINK(CONCATENATE("#Metadata!", ADDRESS(INDEX($X$2:$X$1001,MATCH(ROWS($V$2:V661),$V$2:$V$1001,0),0), INDEX($AC$1004:$AS$1004,1,MATCH(COLUMNS($AC$1006:AG1006),$AC$1006:$AS$1006,0)))),"Fix")))</f>
        <v>0</v>
      </c>
      <c r="G661" s="5">
        <f>IF(OR(INDEX($W$2:$W$1001,MATCH(ROWS($V$2:V661),$V$2:$V$1001,0),1)&gt;=100000,INDEX($AC$1005:$AS$1005,1,MATCH(COLUMNS($AC$1006:AH1006),$AC$1006:$AS$1006,0))&gt;=100000), " ",IF(INDEX($AC$2:$AS$1001,MATCH(ROWS($V$2:V661),$V$2:$V$1001,0),MATCH(COLUMNS($AC$1006:AH1006),$AC$1006:$AS$1006,0)), HYPERLINK("#",""), HYPERLINK(CONCATENATE("#Metadata!", ADDRESS(INDEX($X$2:$X$1001,MATCH(ROWS($V$2:V661),$V$2:$V$1001,0),0), INDEX($AC$1004:$AS$1004,1,MATCH(COLUMNS($AC$1006:AH1006),$AC$1006:$AS$1006,0)))),"Fix")))</f>
        <v>0</v>
      </c>
      <c r="H661" s="5">
        <f>IF(OR(INDEX($W$2:$W$1001,MATCH(ROWS($V$2:V661),$V$2:$V$1001,0),1)&gt;=100000,INDEX($AC$1005:$AS$1005,1,MATCH(COLUMNS($AC$1006:AI1006),$AC$1006:$AS$1006,0))&gt;=100000), " ",IF(INDEX($AC$2:$AS$1001,MATCH(ROWS($V$2:V661),$V$2:$V$1001,0),MATCH(COLUMNS($AC$1006:AI1006),$AC$1006:$AS$1006,0)), HYPERLINK("#",""), HYPERLINK(CONCATENATE("#Metadata!", ADDRESS(INDEX($X$2:$X$1001,MATCH(ROWS($V$2:V661),$V$2:$V$1001,0),0), INDEX($AC$1004:$AS$1004,1,MATCH(COLUMNS($AC$1006:AI1006),$AC$1006:$AS$1006,0)))),"Fix")))</f>
        <v>0</v>
      </c>
      <c r="I661" s="5">
        <f>IF(OR(INDEX($W$2:$W$1001,MATCH(ROWS($V$2:V661),$V$2:$V$1001,0),1)&gt;=100000,INDEX($AC$1005:$AS$1005,1,MATCH(COLUMNS($AC$1006:AJ1006),$AC$1006:$AS$1006,0))&gt;=100000), " ",IF(INDEX($AC$2:$AS$1001,MATCH(ROWS($V$2:V661),$V$2:$V$1001,0),MATCH(COLUMNS($AC$1006:AJ1006),$AC$1006:$AS$1006,0)), HYPERLINK("#",""), HYPERLINK(CONCATENATE("#Metadata!", ADDRESS(INDEX($X$2:$X$1001,MATCH(ROWS($V$2:V661),$V$2:$V$1001,0),0), INDEX($AC$1004:$AS$1004,1,MATCH(COLUMNS($AC$1006:AJ1006),$AC$1006:$AS$1006,0)))),"Fix")))</f>
        <v>0</v>
      </c>
      <c r="J661" s="5">
        <f>IF(OR(INDEX($W$2:$W$1001,MATCH(ROWS($V$2:V661),$V$2:$V$1001,0),1)&gt;=100000,INDEX($AC$1005:$AS$1005,1,MATCH(COLUMNS($AC$1006:AK1006),$AC$1006:$AS$1006,0))&gt;=100000), " ",IF(INDEX($AC$2:$AS$1001,MATCH(ROWS($V$2:V661),$V$2:$V$1001,0),MATCH(COLUMNS($AC$1006:AK1006),$AC$1006:$AS$1006,0)), HYPERLINK("#",""), HYPERLINK(CONCATENATE("#Metadata!", ADDRESS(INDEX($X$2:$X$1001,MATCH(ROWS($V$2:V661),$V$2:$V$1001,0),0), INDEX($AC$1004:$AS$1004,1,MATCH(COLUMNS($AC$1006:AK1006),$AC$1006:$AS$1006,0)))),"Fix")))</f>
        <v>0</v>
      </c>
      <c r="K661" s="5">
        <f>IF(OR(INDEX($W$2:$W$1001,MATCH(ROWS($V$2:V661),$V$2:$V$1001,0),1)&gt;=100000,INDEX($AC$1005:$AS$1005,1,MATCH(COLUMNS($AC$1006:AL1006),$AC$1006:$AS$1006,0))&gt;=100000), " ",IF(INDEX($AC$2:$AS$1001,MATCH(ROWS($V$2:V661),$V$2:$V$1001,0),MATCH(COLUMNS($AC$1006:AL1006),$AC$1006:$AS$1006,0)), HYPERLINK("#",""), HYPERLINK(CONCATENATE("#Metadata!", ADDRESS(INDEX($X$2:$X$1001,MATCH(ROWS($V$2:V661),$V$2:$V$1001,0),0), INDEX($AC$1004:$AS$1004,1,MATCH(COLUMNS($AC$1006:AL1006),$AC$1006:$AS$1006,0)))),"Fix")))</f>
        <v>0</v>
      </c>
      <c r="L661" s="5">
        <f>IF(OR(INDEX($W$2:$W$1001,MATCH(ROWS($V$2:V661),$V$2:$V$1001,0),1)&gt;=100000,INDEX($AC$1005:$AS$1005,1,MATCH(COLUMNS($AC$1006:AM1006),$AC$1006:$AS$1006,0))&gt;=100000), " ",IF(INDEX($AC$2:$AS$1001,MATCH(ROWS($V$2:V661),$V$2:$V$1001,0),MATCH(COLUMNS($AC$1006:AM1006),$AC$1006:$AS$1006,0)), HYPERLINK("#",""), HYPERLINK(CONCATENATE("#Metadata!", ADDRESS(INDEX($X$2:$X$1001,MATCH(ROWS($V$2:V661),$V$2:$V$1001,0),0), INDEX($AC$1004:$AS$1004,1,MATCH(COLUMNS($AC$1006:AM1006),$AC$1006:$AS$1006,0)))),"Fix")))</f>
        <v>0</v>
      </c>
      <c r="M661" s="5">
        <f>IF(OR(INDEX($W$2:$W$1001,MATCH(ROWS($V$2:V661),$V$2:$V$1001,0),1)&gt;=100000,INDEX($AC$1005:$AS$1005,1,MATCH(COLUMNS($AC$1006:AN1006),$AC$1006:$AS$1006,0))&gt;=100000), " ",IF(INDEX($AC$2:$AS$1001,MATCH(ROWS($V$2:V661),$V$2:$V$1001,0),MATCH(COLUMNS($AC$1006:AN1006),$AC$1006:$AS$1006,0)), HYPERLINK("#",""), HYPERLINK(CONCATENATE("#Metadata!", ADDRESS(INDEX($X$2:$X$1001,MATCH(ROWS($V$2:V661),$V$2:$V$1001,0),0), INDEX($AC$1004:$AS$1004,1,MATCH(COLUMNS($AC$1006:AN1006),$AC$1006:$AS$1006,0)))),"Fix")))</f>
        <v>0</v>
      </c>
      <c r="N661" s="5">
        <f>IF(OR(INDEX($W$2:$W$1001,MATCH(ROWS($V$2:V661),$V$2:$V$1001,0),1)&gt;=100000,INDEX($AC$1005:$AS$1005,1,MATCH(COLUMNS($AC$1006:AO1006),$AC$1006:$AS$1006,0))&gt;=100000), " ",IF(INDEX($AC$2:$AS$1001,MATCH(ROWS($V$2:V661),$V$2:$V$1001,0),MATCH(COLUMNS($AC$1006:AO1006),$AC$1006:$AS$1006,0)), HYPERLINK("#",""), HYPERLINK(CONCATENATE("#Metadata!", ADDRESS(INDEX($X$2:$X$1001,MATCH(ROWS($V$2:V661),$V$2:$V$1001,0),0), INDEX($AC$1004:$AS$1004,1,MATCH(COLUMNS($AC$1006:AO1006),$AC$1006:$AS$1006,0)))),"Fix")))</f>
        <v>0</v>
      </c>
      <c r="O661" s="5">
        <f>IF(OR(INDEX($W$2:$W$1001,MATCH(ROWS($V$2:V661),$V$2:$V$1001,0),1)&gt;=100000,INDEX($AC$1005:$AS$1005,1,MATCH(COLUMNS($AC$1006:AP1006),$AC$1006:$AS$1006,0))&gt;=100000), " ",IF(INDEX($AC$2:$AS$1001,MATCH(ROWS($V$2:V661),$V$2:$V$1001,0),MATCH(COLUMNS($AC$1006:AP1006),$AC$1006:$AS$1006,0)), HYPERLINK("#",""), HYPERLINK(CONCATENATE("#Metadata!", ADDRESS(INDEX($X$2:$X$1001,MATCH(ROWS($V$2:V661),$V$2:$V$1001,0),0), INDEX($AC$1004:$AS$1004,1,MATCH(COLUMNS($AC$1006:AP1006),$AC$1006:$AS$1006,0)))),"Fix")))</f>
        <v>0</v>
      </c>
      <c r="P661" s="5">
        <f>IF(OR(INDEX($W$2:$W$1001,MATCH(ROWS($V$2:V661),$V$2:$V$1001,0),1)&gt;=100000,INDEX($AC$1005:$AS$1005,1,MATCH(COLUMNS($AC$1006:AQ1006),$AC$1006:$AS$1006,0))&gt;=100000), " ",IF(INDEX($AC$2:$AS$1001,MATCH(ROWS($V$2:V661),$V$2:$V$1001,0),MATCH(COLUMNS($AC$1006:AQ1006),$AC$1006:$AS$1006,0)), HYPERLINK("#",""), HYPERLINK(CONCATENATE("#Metadata!", ADDRESS(INDEX($X$2:$X$1001,MATCH(ROWS($V$2:V661),$V$2:$V$1001,0),0), INDEX($AC$1004:$AS$1004,1,MATCH(COLUMNS($AC$1006:AQ1006),$AC$1006:$AS$1006,0)))),"Fix")))</f>
        <v>0</v>
      </c>
      <c r="Q661" s="5">
        <f>IF(OR(INDEX($W$2:$W$1001,MATCH(ROWS($V$2:V661),$V$2:$V$1001,0),1)&gt;=100000,INDEX($AC$1005:$AS$1005,1,MATCH(COLUMNS($AC$1006:AR1006),$AC$1006:$AS$1006,0))&gt;=100000), " ",IF(INDEX($AC$2:$AS$1001,MATCH(ROWS($V$2:V661),$V$2:$V$1001,0),MATCH(COLUMNS($AC$1006:AR1006),$AC$1006:$AS$1006,0)), HYPERLINK("#",""), HYPERLINK(CONCATENATE("#Metadata!", ADDRESS(INDEX($X$2:$X$1001,MATCH(ROWS($V$2:V661),$V$2:$V$1001,0),0), INDEX($AC$1004:$AS$1004,1,MATCH(COLUMNS($AC$1006:AR1006),$AC$1006:$AS$1006,0)))),"Fix")))</f>
        <v>0</v>
      </c>
      <c r="R661" s="5">
        <f>IF(OR(INDEX($W$2:$W$1001,MATCH(ROWS($V$2:V661),$V$2:$V$1001,0),1)&gt;=100000,INDEX($AC$1005:$AS$1005,1,MATCH(COLUMNS($AC$1006:AS1006),$AC$1006:$AS$1006,0))&gt;=100000), " ",IF(INDEX($AC$2:$AS$1001,MATCH(ROWS($V$2:V661),$V$2:$V$1001,0),MATCH(COLUMNS($AC$1006:AS1006),$AC$1006:$AS$1006,0)), HYPERLINK("#",""), HYPERLINK(CONCATENATE("#Metadata!", ADDRESS(INDEX($X$2:$X$1001,MATCH(ROWS($V$2:V661),$V$2:$V$1001,0),0), INDEX($AC$1004:$AS$1004,1,MATCH(COLUMNS($AC$1006:AS1006),$AC$1006:$AS$1006,0)))),"Fix")))</f>
        <v>0</v>
      </c>
      <c r="V661">
        <v>0</v>
      </c>
      <c r="W661">
        <v>0</v>
      </c>
      <c r="X661">
        <v>0</v>
      </c>
      <c r="Y661">
        <f>IF(Z661,TRUE,AND(AC661:AS661))</f>
        <v>0</v>
      </c>
      <c r="Z661">
        <f>COUNTBLANK(Metadata!B661:R661)=COLUMNS(Metadata!B661:R661)</f>
        <v>0</v>
      </c>
      <c r="AA661">
        <v>0</v>
      </c>
      <c r="AC661">
        <f>AND(IF(Metadata!B661="",FALSE,TRUE),COUNTIF(Metadata!B:B, Metadata!B661) = 1,NOT(ISERROR(SUMPRODUCT(SEARCH(MID(Metadata!B661,ROW(INDIRECT("1:"&amp;LEN(Metadata!B661))), 1),"0123456789abcdefghijklmnopqrstuvwxyzABCDEFGHIJKLMNOPQRSTUVWXYZ.")))))</f>
        <v>0</v>
      </c>
      <c r="AD661">
        <f>AND(IF(Metadata!C661="",FALSE,TRUE),exact(Metadata!C661,"Host-associated"))</f>
        <v>0</v>
      </c>
      <c r="AE661">
        <f>AND(IF(Metadata!D661="",FALSE,TRUE),OR(exact(Metadata!D661,"Animal"),exact(Metadata!D661,"Fungus"),exact(Metadata!D661,"Plant")))</f>
        <v>0</v>
      </c>
      <c r="AF661">
        <f>AND(IF(Metadata!E661="",FALSE,TRUE),OR(exact(Metadata!E661,"Plant secretion"),exact(Metadata!E661,"Plant rhizosphere"),exact(Metadata!E661,"Plant surface"),exact(Metadata!E661,"Plant corpus"),exact(Metadata!E661,"Fungus surface"),exact(Metadata!E661,"Fungus corpus"),exact(Metadata!E661,"Animal surface"),exact(Metadata!E661,"Animal proximal gut"),exact(Metadata!E661,"Animal corpus"),exact(Metadata!E661,"Animal distal gut"),exact(Metadata!E661,"Animal secretion")))</f>
        <v>0</v>
      </c>
      <c r="AG661">
        <f>OR(AND(IF(Metadata!F661="",FALSE,TRUE),OR(exact(Metadata!F661,"not collected"),exact(Metadata!F661,"not provided"),exact(Metadata!F661,"restricted access"))),AND(IF(Metadata!F661="",FALSE,TRUE),OR(exact(Metadata!F661,"organism-associated habitat"),exact(Metadata!F661,"plant-associated habitat"),exact(Metadata!F661,"animal-associated habitat"),exact(Metadata!F661,"insecta-associated habitat"),exact(Metadata!F661,"mammalia-associated habitat"),exact(Metadata!F661,"human-associated habitat"),exact(Metadata!F661,"livestock-associated habitat"))))</f>
        <v>0</v>
      </c>
      <c r="AH661">
        <f>AND(IF(Metadata!G661="",FALSE,TRUE),exact(Metadata!G661,"host-associated"))</f>
        <v>0</v>
      </c>
      <c r="AI661">
        <f>OR(AND(IF(Metadata!H661="",FALSE,TRUE),OR(exact(Metadata!H661,"not collected"),exact(Metadata!H661,"not provided"))),AND(IF(Metadata!H661="",FALSE,ISNUMBER(VALUE(Metadata!H661))),Metadata!H661&gt;0))</f>
        <v>0</v>
      </c>
      <c r="AJ661">
        <f>AND(IF(Metadata!I661="",FALSE,TRUE),exact(Metadata!I661,"years"))</f>
        <v>0</v>
      </c>
      <c r="AK661">
        <f>IF(Metadata!J661="",FALSE,TRUE)</f>
        <v>0</v>
      </c>
      <c r="AL661">
        <f>OR(AND(IF(Metadata!K661="",FALSE,TRUE),OR(exact(Metadata!K661,"not collected"),exact(Metadata!K661,"not provided"))),AND(IF(Metadata!K661="",FALSE,ISNUMBER(VALUE(Metadata!K661))),Metadata!K661&gt;0))</f>
        <v>0</v>
      </c>
      <c r="AM661">
        <f>AND(IF(Metadata!L661="",FALSE,TRUE),exact(Metadata!L661,"cm"))</f>
        <v>0</v>
      </c>
      <c r="AN661">
        <f>IF(Metadata!M661="",FALSE,TRUE)</f>
        <v>0</v>
      </c>
      <c r="AO661">
        <f>OR(AND(IF(Metadata!N661="",FALSE,TRUE),OR(exact(Metadata!N661,"not applicable"),exact(Metadata!N661,"not collected"),exact(Metadata!N661,"not provided"))),AND(IF(Metadata!N661="",FALSE,IF(ISERROR(INT(Metadata!N661)),FALSE,INT(Metadata!N661)=Metadata!N661)),Metadata!N661&gt;0))</f>
        <v>0</v>
      </c>
      <c r="AP661">
        <f>OR(AND(IF(Metadata!O661="",FALSE,TRUE),OR(exact(Metadata!O661,"not collected"),exact(Metadata!O661,"not provided"))),AND(IF(Metadata!O661="",FALSE,ISNUMBER(VALUE(Metadata!O661))),Metadata!O661&gt;0))</f>
        <v>0</v>
      </c>
      <c r="AQ661">
        <f>AND(IF(Metadata!P661="",FALSE,TRUE),exact(Metadata!P661,"kg"))</f>
        <v>0</v>
      </c>
      <c r="AR661">
        <f>OR(AND(IF(Metadata!Q661="",FALSE,TRUE),OR(exact(Metadata!Q661,"not applicable"),exact(Metadata!Q661,"not collected"),exact(Metadata!Q661,"not provided"),exact(Metadata!Q661,"restricted access"))),IF(Metadata!Q661="",FALSE,IF(ISERROR(INT(Metadata!Q661)),FALSE,INT(Metadata!Q661)=Metadata!Q661)))</f>
        <v>0</v>
      </c>
      <c r="AS661">
        <f>AND(IF(Metadata!R661="",FALSE,TRUE),exact(Metadata!R661,"Not applicable"))</f>
        <v>0</v>
      </c>
    </row>
    <row r="662" spans="1:45">
      <c r="A662" s="4">
        <f>IF(B662=" "," ",HYPERLINK(CONCATENATE("#metadata!",ADDRESS(INDEX($X$2:$X$1001,MATCH(ROWS($V$2:V662),$V$2:$V$1001,0),0),2)),INDEX($AA$2:$AA$1001,MATCH(ROWS($V$2:V662),$V$2:$V$1001,0),0)))</f>
        <v>0</v>
      </c>
      <c r="B662" s="5">
        <f>IF(OR(INDEX($W$2:$W$1001,MATCH(ROWS($V$2:V662),$V$2:$V$1001,0),1)&gt;=100000,INDEX($AC$1005:$AS$1005,1,MATCH(COLUMNS($AC$1006:AC1006),$AC$1006:$AS$1006,0))&gt;=100000), " ",IF(INDEX($AC$2:$AS$1001,MATCH(ROWS($V$2:V662),$V$2:$V$1001,0),MATCH(COLUMNS($AC$1006:AC1006),$AC$1006:$AS$1006,0)), HYPERLINK("#",""), HYPERLINK(CONCATENATE("#Metadata!", ADDRESS(INDEX($X$2:$X$1001,MATCH(ROWS($V$2:V662),$V$2:$V$1001,0),0), INDEX($AC$1004:$AS$1004,1,MATCH(COLUMNS($AC$1006:AC1006),$AC$1006:$AS$1006,0)))),"Fix")))</f>
        <v>0</v>
      </c>
      <c r="C662" s="5">
        <f>IF(OR(INDEX($W$2:$W$1001,MATCH(ROWS($V$2:V662),$V$2:$V$1001,0),1)&gt;=100000,INDEX($AC$1005:$AS$1005,1,MATCH(COLUMNS($AC$1006:AD1006),$AC$1006:$AS$1006,0))&gt;=100000), " ",IF(INDEX($AC$2:$AS$1001,MATCH(ROWS($V$2:V662),$V$2:$V$1001,0),MATCH(COLUMNS($AC$1006:AD1006),$AC$1006:$AS$1006,0)), HYPERLINK("#",""), HYPERLINK(CONCATENATE("#Metadata!", ADDRESS(INDEX($X$2:$X$1001,MATCH(ROWS($V$2:V662),$V$2:$V$1001,0),0), INDEX($AC$1004:$AS$1004,1,MATCH(COLUMNS($AC$1006:AD1006),$AC$1006:$AS$1006,0)))),"Fix")))</f>
        <v>0</v>
      </c>
      <c r="D662" s="5">
        <f>IF(OR(INDEX($W$2:$W$1001,MATCH(ROWS($V$2:V662),$V$2:$V$1001,0),1)&gt;=100000,INDEX($AC$1005:$AS$1005,1,MATCH(COLUMNS($AC$1006:AE1006),$AC$1006:$AS$1006,0))&gt;=100000), " ",IF(INDEX($AC$2:$AS$1001,MATCH(ROWS($V$2:V662),$V$2:$V$1001,0),MATCH(COLUMNS($AC$1006:AE1006),$AC$1006:$AS$1006,0)), HYPERLINK("#",""), HYPERLINK(CONCATENATE("#Metadata!", ADDRESS(INDEX($X$2:$X$1001,MATCH(ROWS($V$2:V662),$V$2:$V$1001,0),0), INDEX($AC$1004:$AS$1004,1,MATCH(COLUMNS($AC$1006:AE1006),$AC$1006:$AS$1006,0)))),"Fix")))</f>
        <v>0</v>
      </c>
      <c r="E662" s="5">
        <f>IF(OR(INDEX($W$2:$W$1001,MATCH(ROWS($V$2:V662),$V$2:$V$1001,0),1)&gt;=100000,INDEX($AC$1005:$AS$1005,1,MATCH(COLUMNS($AC$1006:AF1006),$AC$1006:$AS$1006,0))&gt;=100000), " ",IF(INDEX($AC$2:$AS$1001,MATCH(ROWS($V$2:V662),$V$2:$V$1001,0),MATCH(COLUMNS($AC$1006:AF1006),$AC$1006:$AS$1006,0)), HYPERLINK("#",""), HYPERLINK(CONCATENATE("#Metadata!", ADDRESS(INDEX($X$2:$X$1001,MATCH(ROWS($V$2:V662),$V$2:$V$1001,0),0), INDEX($AC$1004:$AS$1004,1,MATCH(COLUMNS($AC$1006:AF1006),$AC$1006:$AS$1006,0)))),"Fix")))</f>
        <v>0</v>
      </c>
      <c r="F662" s="5">
        <f>IF(OR(INDEX($W$2:$W$1001,MATCH(ROWS($V$2:V662),$V$2:$V$1001,0),1)&gt;=100000,INDEX($AC$1005:$AS$1005,1,MATCH(COLUMNS($AC$1006:AG1006),$AC$1006:$AS$1006,0))&gt;=100000), " ",IF(INDEX($AC$2:$AS$1001,MATCH(ROWS($V$2:V662),$V$2:$V$1001,0),MATCH(COLUMNS($AC$1006:AG1006),$AC$1006:$AS$1006,0)), HYPERLINK("#",""), HYPERLINK(CONCATENATE("#Metadata!", ADDRESS(INDEX($X$2:$X$1001,MATCH(ROWS($V$2:V662),$V$2:$V$1001,0),0), INDEX($AC$1004:$AS$1004,1,MATCH(COLUMNS($AC$1006:AG1006),$AC$1006:$AS$1006,0)))),"Fix")))</f>
        <v>0</v>
      </c>
      <c r="G662" s="5">
        <f>IF(OR(INDEX($W$2:$W$1001,MATCH(ROWS($V$2:V662),$V$2:$V$1001,0),1)&gt;=100000,INDEX($AC$1005:$AS$1005,1,MATCH(COLUMNS($AC$1006:AH1006),$AC$1006:$AS$1006,0))&gt;=100000), " ",IF(INDEX($AC$2:$AS$1001,MATCH(ROWS($V$2:V662),$V$2:$V$1001,0),MATCH(COLUMNS($AC$1006:AH1006),$AC$1006:$AS$1006,0)), HYPERLINK("#",""), HYPERLINK(CONCATENATE("#Metadata!", ADDRESS(INDEX($X$2:$X$1001,MATCH(ROWS($V$2:V662),$V$2:$V$1001,0),0), INDEX($AC$1004:$AS$1004,1,MATCH(COLUMNS($AC$1006:AH1006),$AC$1006:$AS$1006,0)))),"Fix")))</f>
        <v>0</v>
      </c>
      <c r="H662" s="5">
        <f>IF(OR(INDEX($W$2:$W$1001,MATCH(ROWS($V$2:V662),$V$2:$V$1001,0),1)&gt;=100000,INDEX($AC$1005:$AS$1005,1,MATCH(COLUMNS($AC$1006:AI1006),$AC$1006:$AS$1006,0))&gt;=100000), " ",IF(INDEX($AC$2:$AS$1001,MATCH(ROWS($V$2:V662),$V$2:$V$1001,0),MATCH(COLUMNS($AC$1006:AI1006),$AC$1006:$AS$1006,0)), HYPERLINK("#",""), HYPERLINK(CONCATENATE("#Metadata!", ADDRESS(INDEX($X$2:$X$1001,MATCH(ROWS($V$2:V662),$V$2:$V$1001,0),0), INDEX($AC$1004:$AS$1004,1,MATCH(COLUMNS($AC$1006:AI1006),$AC$1006:$AS$1006,0)))),"Fix")))</f>
        <v>0</v>
      </c>
      <c r="I662" s="5">
        <f>IF(OR(INDEX($W$2:$W$1001,MATCH(ROWS($V$2:V662),$V$2:$V$1001,0),1)&gt;=100000,INDEX($AC$1005:$AS$1005,1,MATCH(COLUMNS($AC$1006:AJ1006),$AC$1006:$AS$1006,0))&gt;=100000), " ",IF(INDEX($AC$2:$AS$1001,MATCH(ROWS($V$2:V662),$V$2:$V$1001,0),MATCH(COLUMNS($AC$1006:AJ1006),$AC$1006:$AS$1006,0)), HYPERLINK("#",""), HYPERLINK(CONCATENATE("#Metadata!", ADDRESS(INDEX($X$2:$X$1001,MATCH(ROWS($V$2:V662),$V$2:$V$1001,0),0), INDEX($AC$1004:$AS$1004,1,MATCH(COLUMNS($AC$1006:AJ1006),$AC$1006:$AS$1006,0)))),"Fix")))</f>
        <v>0</v>
      </c>
      <c r="J662" s="5">
        <f>IF(OR(INDEX($W$2:$W$1001,MATCH(ROWS($V$2:V662),$V$2:$V$1001,0),1)&gt;=100000,INDEX($AC$1005:$AS$1005,1,MATCH(COLUMNS($AC$1006:AK1006),$AC$1006:$AS$1006,0))&gt;=100000), " ",IF(INDEX($AC$2:$AS$1001,MATCH(ROWS($V$2:V662),$V$2:$V$1001,0),MATCH(COLUMNS($AC$1006:AK1006),$AC$1006:$AS$1006,0)), HYPERLINK("#",""), HYPERLINK(CONCATENATE("#Metadata!", ADDRESS(INDEX($X$2:$X$1001,MATCH(ROWS($V$2:V662),$V$2:$V$1001,0),0), INDEX($AC$1004:$AS$1004,1,MATCH(COLUMNS($AC$1006:AK1006),$AC$1006:$AS$1006,0)))),"Fix")))</f>
        <v>0</v>
      </c>
      <c r="K662" s="5">
        <f>IF(OR(INDEX($W$2:$W$1001,MATCH(ROWS($V$2:V662),$V$2:$V$1001,0),1)&gt;=100000,INDEX($AC$1005:$AS$1005,1,MATCH(COLUMNS($AC$1006:AL1006),$AC$1006:$AS$1006,0))&gt;=100000), " ",IF(INDEX($AC$2:$AS$1001,MATCH(ROWS($V$2:V662),$V$2:$V$1001,0),MATCH(COLUMNS($AC$1006:AL1006),$AC$1006:$AS$1006,0)), HYPERLINK("#",""), HYPERLINK(CONCATENATE("#Metadata!", ADDRESS(INDEX($X$2:$X$1001,MATCH(ROWS($V$2:V662),$V$2:$V$1001,0),0), INDEX($AC$1004:$AS$1004,1,MATCH(COLUMNS($AC$1006:AL1006),$AC$1006:$AS$1006,0)))),"Fix")))</f>
        <v>0</v>
      </c>
      <c r="L662" s="5">
        <f>IF(OR(INDEX($W$2:$W$1001,MATCH(ROWS($V$2:V662),$V$2:$V$1001,0),1)&gt;=100000,INDEX($AC$1005:$AS$1005,1,MATCH(COLUMNS($AC$1006:AM1006),$AC$1006:$AS$1006,0))&gt;=100000), " ",IF(INDEX($AC$2:$AS$1001,MATCH(ROWS($V$2:V662),$V$2:$V$1001,0),MATCH(COLUMNS($AC$1006:AM1006),$AC$1006:$AS$1006,0)), HYPERLINK("#",""), HYPERLINK(CONCATENATE("#Metadata!", ADDRESS(INDEX($X$2:$X$1001,MATCH(ROWS($V$2:V662),$V$2:$V$1001,0),0), INDEX($AC$1004:$AS$1004,1,MATCH(COLUMNS($AC$1006:AM1006),$AC$1006:$AS$1006,0)))),"Fix")))</f>
        <v>0</v>
      </c>
      <c r="M662" s="5">
        <f>IF(OR(INDEX($W$2:$W$1001,MATCH(ROWS($V$2:V662),$V$2:$V$1001,0),1)&gt;=100000,INDEX($AC$1005:$AS$1005,1,MATCH(COLUMNS($AC$1006:AN1006),$AC$1006:$AS$1006,0))&gt;=100000), " ",IF(INDEX($AC$2:$AS$1001,MATCH(ROWS($V$2:V662),$V$2:$V$1001,0),MATCH(COLUMNS($AC$1006:AN1006),$AC$1006:$AS$1006,0)), HYPERLINK("#",""), HYPERLINK(CONCATENATE("#Metadata!", ADDRESS(INDEX($X$2:$X$1001,MATCH(ROWS($V$2:V662),$V$2:$V$1001,0),0), INDEX($AC$1004:$AS$1004,1,MATCH(COLUMNS($AC$1006:AN1006),$AC$1006:$AS$1006,0)))),"Fix")))</f>
        <v>0</v>
      </c>
      <c r="N662" s="5">
        <f>IF(OR(INDEX($W$2:$W$1001,MATCH(ROWS($V$2:V662),$V$2:$V$1001,0),1)&gt;=100000,INDEX($AC$1005:$AS$1005,1,MATCH(COLUMNS($AC$1006:AO1006),$AC$1006:$AS$1006,0))&gt;=100000), " ",IF(INDEX($AC$2:$AS$1001,MATCH(ROWS($V$2:V662),$V$2:$V$1001,0),MATCH(COLUMNS($AC$1006:AO1006),$AC$1006:$AS$1006,0)), HYPERLINK("#",""), HYPERLINK(CONCATENATE("#Metadata!", ADDRESS(INDEX($X$2:$X$1001,MATCH(ROWS($V$2:V662),$V$2:$V$1001,0),0), INDEX($AC$1004:$AS$1004,1,MATCH(COLUMNS($AC$1006:AO1006),$AC$1006:$AS$1006,0)))),"Fix")))</f>
        <v>0</v>
      </c>
      <c r="O662" s="5">
        <f>IF(OR(INDEX($W$2:$W$1001,MATCH(ROWS($V$2:V662),$V$2:$V$1001,0),1)&gt;=100000,INDEX($AC$1005:$AS$1005,1,MATCH(COLUMNS($AC$1006:AP1006),$AC$1006:$AS$1006,0))&gt;=100000), " ",IF(INDEX($AC$2:$AS$1001,MATCH(ROWS($V$2:V662),$V$2:$V$1001,0),MATCH(COLUMNS($AC$1006:AP1006),$AC$1006:$AS$1006,0)), HYPERLINK("#",""), HYPERLINK(CONCATENATE("#Metadata!", ADDRESS(INDEX($X$2:$X$1001,MATCH(ROWS($V$2:V662),$V$2:$V$1001,0),0), INDEX($AC$1004:$AS$1004,1,MATCH(COLUMNS($AC$1006:AP1006),$AC$1006:$AS$1006,0)))),"Fix")))</f>
        <v>0</v>
      </c>
      <c r="P662" s="5">
        <f>IF(OR(INDEX($W$2:$W$1001,MATCH(ROWS($V$2:V662),$V$2:$V$1001,0),1)&gt;=100000,INDEX($AC$1005:$AS$1005,1,MATCH(COLUMNS($AC$1006:AQ1006),$AC$1006:$AS$1006,0))&gt;=100000), " ",IF(INDEX($AC$2:$AS$1001,MATCH(ROWS($V$2:V662),$V$2:$V$1001,0),MATCH(COLUMNS($AC$1006:AQ1006),$AC$1006:$AS$1006,0)), HYPERLINK("#",""), HYPERLINK(CONCATENATE("#Metadata!", ADDRESS(INDEX($X$2:$X$1001,MATCH(ROWS($V$2:V662),$V$2:$V$1001,0),0), INDEX($AC$1004:$AS$1004,1,MATCH(COLUMNS($AC$1006:AQ1006),$AC$1006:$AS$1006,0)))),"Fix")))</f>
        <v>0</v>
      </c>
      <c r="Q662" s="5">
        <f>IF(OR(INDEX($W$2:$W$1001,MATCH(ROWS($V$2:V662),$V$2:$V$1001,0),1)&gt;=100000,INDEX($AC$1005:$AS$1005,1,MATCH(COLUMNS($AC$1006:AR1006),$AC$1006:$AS$1006,0))&gt;=100000), " ",IF(INDEX($AC$2:$AS$1001,MATCH(ROWS($V$2:V662),$V$2:$V$1001,0),MATCH(COLUMNS($AC$1006:AR1006),$AC$1006:$AS$1006,0)), HYPERLINK("#",""), HYPERLINK(CONCATENATE("#Metadata!", ADDRESS(INDEX($X$2:$X$1001,MATCH(ROWS($V$2:V662),$V$2:$V$1001,0),0), INDEX($AC$1004:$AS$1004,1,MATCH(COLUMNS($AC$1006:AR1006),$AC$1006:$AS$1006,0)))),"Fix")))</f>
        <v>0</v>
      </c>
      <c r="R662" s="5">
        <f>IF(OR(INDEX($W$2:$W$1001,MATCH(ROWS($V$2:V662),$V$2:$V$1001,0),1)&gt;=100000,INDEX($AC$1005:$AS$1005,1,MATCH(COLUMNS($AC$1006:AS1006),$AC$1006:$AS$1006,0))&gt;=100000), " ",IF(INDEX($AC$2:$AS$1001,MATCH(ROWS($V$2:V662),$V$2:$V$1001,0),MATCH(COLUMNS($AC$1006:AS1006),$AC$1006:$AS$1006,0)), HYPERLINK("#",""), HYPERLINK(CONCATENATE("#Metadata!", ADDRESS(INDEX($X$2:$X$1001,MATCH(ROWS($V$2:V662),$V$2:$V$1001,0),0), INDEX($AC$1004:$AS$1004,1,MATCH(COLUMNS($AC$1006:AS1006),$AC$1006:$AS$1006,0)))),"Fix")))</f>
        <v>0</v>
      </c>
      <c r="V662">
        <v>0</v>
      </c>
      <c r="W662">
        <v>0</v>
      </c>
      <c r="X662">
        <v>0</v>
      </c>
      <c r="Y662">
        <f>IF(Z662,TRUE,AND(AC662:AS662))</f>
        <v>0</v>
      </c>
      <c r="Z662">
        <f>COUNTBLANK(Metadata!B662:R662)=COLUMNS(Metadata!B662:R662)</f>
        <v>0</v>
      </c>
      <c r="AA662">
        <v>0</v>
      </c>
      <c r="AC662">
        <f>AND(IF(Metadata!B662="",FALSE,TRUE),COUNTIF(Metadata!B:B, Metadata!B662) = 1,NOT(ISERROR(SUMPRODUCT(SEARCH(MID(Metadata!B662,ROW(INDIRECT("1:"&amp;LEN(Metadata!B662))), 1),"0123456789abcdefghijklmnopqrstuvwxyzABCDEFGHIJKLMNOPQRSTUVWXYZ.")))))</f>
        <v>0</v>
      </c>
      <c r="AD662">
        <f>AND(IF(Metadata!C662="",FALSE,TRUE),exact(Metadata!C662,"Host-associated"))</f>
        <v>0</v>
      </c>
      <c r="AE662">
        <f>AND(IF(Metadata!D662="",FALSE,TRUE),OR(exact(Metadata!D662,"Animal"),exact(Metadata!D662,"Fungus"),exact(Metadata!D662,"Plant")))</f>
        <v>0</v>
      </c>
      <c r="AF662">
        <f>AND(IF(Metadata!E662="",FALSE,TRUE),OR(exact(Metadata!E662,"Plant secretion"),exact(Metadata!E662,"Plant rhizosphere"),exact(Metadata!E662,"Plant surface"),exact(Metadata!E662,"Plant corpus"),exact(Metadata!E662,"Fungus surface"),exact(Metadata!E662,"Fungus corpus"),exact(Metadata!E662,"Animal surface"),exact(Metadata!E662,"Animal proximal gut"),exact(Metadata!E662,"Animal corpus"),exact(Metadata!E662,"Animal distal gut"),exact(Metadata!E662,"Animal secretion")))</f>
        <v>0</v>
      </c>
      <c r="AG662">
        <f>OR(AND(IF(Metadata!F662="",FALSE,TRUE),OR(exact(Metadata!F662,"not collected"),exact(Metadata!F662,"not provided"),exact(Metadata!F662,"restricted access"))),AND(IF(Metadata!F662="",FALSE,TRUE),OR(exact(Metadata!F662,"organism-associated habitat"),exact(Metadata!F662,"plant-associated habitat"),exact(Metadata!F662,"animal-associated habitat"),exact(Metadata!F662,"insecta-associated habitat"),exact(Metadata!F662,"mammalia-associated habitat"),exact(Metadata!F662,"human-associated habitat"),exact(Metadata!F662,"livestock-associated habitat"))))</f>
        <v>0</v>
      </c>
      <c r="AH662">
        <f>AND(IF(Metadata!G662="",FALSE,TRUE),exact(Metadata!G662,"host-associated"))</f>
        <v>0</v>
      </c>
      <c r="AI662">
        <f>OR(AND(IF(Metadata!H662="",FALSE,TRUE),OR(exact(Metadata!H662,"not collected"),exact(Metadata!H662,"not provided"))),AND(IF(Metadata!H662="",FALSE,ISNUMBER(VALUE(Metadata!H662))),Metadata!H662&gt;0))</f>
        <v>0</v>
      </c>
      <c r="AJ662">
        <f>AND(IF(Metadata!I662="",FALSE,TRUE),exact(Metadata!I662,"years"))</f>
        <v>0</v>
      </c>
      <c r="AK662">
        <f>IF(Metadata!J662="",FALSE,TRUE)</f>
        <v>0</v>
      </c>
      <c r="AL662">
        <f>OR(AND(IF(Metadata!K662="",FALSE,TRUE),OR(exact(Metadata!K662,"not collected"),exact(Metadata!K662,"not provided"))),AND(IF(Metadata!K662="",FALSE,ISNUMBER(VALUE(Metadata!K662))),Metadata!K662&gt;0))</f>
        <v>0</v>
      </c>
      <c r="AM662">
        <f>AND(IF(Metadata!L662="",FALSE,TRUE),exact(Metadata!L662,"cm"))</f>
        <v>0</v>
      </c>
      <c r="AN662">
        <f>IF(Metadata!M662="",FALSE,TRUE)</f>
        <v>0</v>
      </c>
      <c r="AO662">
        <f>OR(AND(IF(Metadata!N662="",FALSE,TRUE),OR(exact(Metadata!N662,"not applicable"),exact(Metadata!N662,"not collected"),exact(Metadata!N662,"not provided"))),AND(IF(Metadata!N662="",FALSE,IF(ISERROR(INT(Metadata!N662)),FALSE,INT(Metadata!N662)=Metadata!N662)),Metadata!N662&gt;0))</f>
        <v>0</v>
      </c>
      <c r="AP662">
        <f>OR(AND(IF(Metadata!O662="",FALSE,TRUE),OR(exact(Metadata!O662,"not collected"),exact(Metadata!O662,"not provided"))),AND(IF(Metadata!O662="",FALSE,ISNUMBER(VALUE(Metadata!O662))),Metadata!O662&gt;0))</f>
        <v>0</v>
      </c>
      <c r="AQ662">
        <f>AND(IF(Metadata!P662="",FALSE,TRUE),exact(Metadata!P662,"kg"))</f>
        <v>0</v>
      </c>
      <c r="AR662">
        <f>OR(AND(IF(Metadata!Q662="",FALSE,TRUE),OR(exact(Metadata!Q662,"not applicable"),exact(Metadata!Q662,"not collected"),exact(Metadata!Q662,"not provided"),exact(Metadata!Q662,"restricted access"))),IF(Metadata!Q662="",FALSE,IF(ISERROR(INT(Metadata!Q662)),FALSE,INT(Metadata!Q662)=Metadata!Q662)))</f>
        <v>0</v>
      </c>
      <c r="AS662">
        <f>AND(IF(Metadata!R662="",FALSE,TRUE),exact(Metadata!R662,"Not applicable"))</f>
        <v>0</v>
      </c>
    </row>
    <row r="663" spans="1:45">
      <c r="A663" s="4">
        <f>IF(B663=" "," ",HYPERLINK(CONCATENATE("#metadata!",ADDRESS(INDEX($X$2:$X$1001,MATCH(ROWS($V$2:V663),$V$2:$V$1001,0),0),2)),INDEX($AA$2:$AA$1001,MATCH(ROWS($V$2:V663),$V$2:$V$1001,0),0)))</f>
        <v>0</v>
      </c>
      <c r="B663" s="5">
        <f>IF(OR(INDEX($W$2:$W$1001,MATCH(ROWS($V$2:V663),$V$2:$V$1001,0),1)&gt;=100000,INDEX($AC$1005:$AS$1005,1,MATCH(COLUMNS($AC$1006:AC1006),$AC$1006:$AS$1006,0))&gt;=100000), " ",IF(INDEX($AC$2:$AS$1001,MATCH(ROWS($V$2:V663),$V$2:$V$1001,0),MATCH(COLUMNS($AC$1006:AC1006),$AC$1006:$AS$1006,0)), HYPERLINK("#",""), HYPERLINK(CONCATENATE("#Metadata!", ADDRESS(INDEX($X$2:$X$1001,MATCH(ROWS($V$2:V663),$V$2:$V$1001,0),0), INDEX($AC$1004:$AS$1004,1,MATCH(COLUMNS($AC$1006:AC1006),$AC$1006:$AS$1006,0)))),"Fix")))</f>
        <v>0</v>
      </c>
      <c r="C663" s="5">
        <f>IF(OR(INDEX($W$2:$W$1001,MATCH(ROWS($V$2:V663),$V$2:$V$1001,0),1)&gt;=100000,INDEX($AC$1005:$AS$1005,1,MATCH(COLUMNS($AC$1006:AD1006),$AC$1006:$AS$1006,0))&gt;=100000), " ",IF(INDEX($AC$2:$AS$1001,MATCH(ROWS($V$2:V663),$V$2:$V$1001,0),MATCH(COLUMNS($AC$1006:AD1006),$AC$1006:$AS$1006,0)), HYPERLINK("#",""), HYPERLINK(CONCATENATE("#Metadata!", ADDRESS(INDEX($X$2:$X$1001,MATCH(ROWS($V$2:V663),$V$2:$V$1001,0),0), INDEX($AC$1004:$AS$1004,1,MATCH(COLUMNS($AC$1006:AD1006),$AC$1006:$AS$1006,0)))),"Fix")))</f>
        <v>0</v>
      </c>
      <c r="D663" s="5">
        <f>IF(OR(INDEX($W$2:$W$1001,MATCH(ROWS($V$2:V663),$V$2:$V$1001,0),1)&gt;=100000,INDEX($AC$1005:$AS$1005,1,MATCH(COLUMNS($AC$1006:AE1006),$AC$1006:$AS$1006,0))&gt;=100000), " ",IF(INDEX($AC$2:$AS$1001,MATCH(ROWS($V$2:V663),$V$2:$V$1001,0),MATCH(COLUMNS($AC$1006:AE1006),$AC$1006:$AS$1006,0)), HYPERLINK("#",""), HYPERLINK(CONCATENATE("#Metadata!", ADDRESS(INDEX($X$2:$X$1001,MATCH(ROWS($V$2:V663),$V$2:$V$1001,0),0), INDEX($AC$1004:$AS$1004,1,MATCH(COLUMNS($AC$1006:AE1006),$AC$1006:$AS$1006,0)))),"Fix")))</f>
        <v>0</v>
      </c>
      <c r="E663" s="5">
        <f>IF(OR(INDEX($W$2:$W$1001,MATCH(ROWS($V$2:V663),$V$2:$V$1001,0),1)&gt;=100000,INDEX($AC$1005:$AS$1005,1,MATCH(COLUMNS($AC$1006:AF1006),$AC$1006:$AS$1006,0))&gt;=100000), " ",IF(INDEX($AC$2:$AS$1001,MATCH(ROWS($V$2:V663),$V$2:$V$1001,0),MATCH(COLUMNS($AC$1006:AF1006),$AC$1006:$AS$1006,0)), HYPERLINK("#",""), HYPERLINK(CONCATENATE("#Metadata!", ADDRESS(INDEX($X$2:$X$1001,MATCH(ROWS($V$2:V663),$V$2:$V$1001,0),0), INDEX($AC$1004:$AS$1004,1,MATCH(COLUMNS($AC$1006:AF1006),$AC$1006:$AS$1006,0)))),"Fix")))</f>
        <v>0</v>
      </c>
      <c r="F663" s="5">
        <f>IF(OR(INDEX($W$2:$W$1001,MATCH(ROWS($V$2:V663),$V$2:$V$1001,0),1)&gt;=100000,INDEX($AC$1005:$AS$1005,1,MATCH(COLUMNS($AC$1006:AG1006),$AC$1006:$AS$1006,0))&gt;=100000), " ",IF(INDEX($AC$2:$AS$1001,MATCH(ROWS($V$2:V663),$V$2:$V$1001,0),MATCH(COLUMNS($AC$1006:AG1006),$AC$1006:$AS$1006,0)), HYPERLINK("#",""), HYPERLINK(CONCATENATE("#Metadata!", ADDRESS(INDEX($X$2:$X$1001,MATCH(ROWS($V$2:V663),$V$2:$V$1001,0),0), INDEX($AC$1004:$AS$1004,1,MATCH(COLUMNS($AC$1006:AG1006),$AC$1006:$AS$1006,0)))),"Fix")))</f>
        <v>0</v>
      </c>
      <c r="G663" s="5">
        <f>IF(OR(INDEX($W$2:$W$1001,MATCH(ROWS($V$2:V663),$V$2:$V$1001,0),1)&gt;=100000,INDEX($AC$1005:$AS$1005,1,MATCH(COLUMNS($AC$1006:AH1006),$AC$1006:$AS$1006,0))&gt;=100000), " ",IF(INDEX($AC$2:$AS$1001,MATCH(ROWS($V$2:V663),$V$2:$V$1001,0),MATCH(COLUMNS($AC$1006:AH1006),$AC$1006:$AS$1006,0)), HYPERLINK("#",""), HYPERLINK(CONCATENATE("#Metadata!", ADDRESS(INDEX($X$2:$X$1001,MATCH(ROWS($V$2:V663),$V$2:$V$1001,0),0), INDEX($AC$1004:$AS$1004,1,MATCH(COLUMNS($AC$1006:AH1006),$AC$1006:$AS$1006,0)))),"Fix")))</f>
        <v>0</v>
      </c>
      <c r="H663" s="5">
        <f>IF(OR(INDEX($W$2:$W$1001,MATCH(ROWS($V$2:V663),$V$2:$V$1001,0),1)&gt;=100000,INDEX($AC$1005:$AS$1005,1,MATCH(COLUMNS($AC$1006:AI1006),$AC$1006:$AS$1006,0))&gt;=100000), " ",IF(INDEX($AC$2:$AS$1001,MATCH(ROWS($V$2:V663),$V$2:$V$1001,0),MATCH(COLUMNS($AC$1006:AI1006),$AC$1006:$AS$1006,0)), HYPERLINK("#",""), HYPERLINK(CONCATENATE("#Metadata!", ADDRESS(INDEX($X$2:$X$1001,MATCH(ROWS($V$2:V663),$V$2:$V$1001,0),0), INDEX($AC$1004:$AS$1004,1,MATCH(COLUMNS($AC$1006:AI1006),$AC$1006:$AS$1006,0)))),"Fix")))</f>
        <v>0</v>
      </c>
      <c r="I663" s="5">
        <f>IF(OR(INDEX($W$2:$W$1001,MATCH(ROWS($V$2:V663),$V$2:$V$1001,0),1)&gt;=100000,INDEX($AC$1005:$AS$1005,1,MATCH(COLUMNS($AC$1006:AJ1006),$AC$1006:$AS$1006,0))&gt;=100000), " ",IF(INDEX($AC$2:$AS$1001,MATCH(ROWS($V$2:V663),$V$2:$V$1001,0),MATCH(COLUMNS($AC$1006:AJ1006),$AC$1006:$AS$1006,0)), HYPERLINK("#",""), HYPERLINK(CONCATENATE("#Metadata!", ADDRESS(INDEX($X$2:$X$1001,MATCH(ROWS($V$2:V663),$V$2:$V$1001,0),0), INDEX($AC$1004:$AS$1004,1,MATCH(COLUMNS($AC$1006:AJ1006),$AC$1006:$AS$1006,0)))),"Fix")))</f>
        <v>0</v>
      </c>
      <c r="J663" s="5">
        <f>IF(OR(INDEX($W$2:$W$1001,MATCH(ROWS($V$2:V663),$V$2:$V$1001,0),1)&gt;=100000,INDEX($AC$1005:$AS$1005,1,MATCH(COLUMNS($AC$1006:AK1006),$AC$1006:$AS$1006,0))&gt;=100000), " ",IF(INDEX($AC$2:$AS$1001,MATCH(ROWS($V$2:V663),$V$2:$V$1001,0),MATCH(COLUMNS($AC$1006:AK1006),$AC$1006:$AS$1006,0)), HYPERLINK("#",""), HYPERLINK(CONCATENATE("#Metadata!", ADDRESS(INDEX($X$2:$X$1001,MATCH(ROWS($V$2:V663),$V$2:$V$1001,0),0), INDEX($AC$1004:$AS$1004,1,MATCH(COLUMNS($AC$1006:AK1006),$AC$1006:$AS$1006,0)))),"Fix")))</f>
        <v>0</v>
      </c>
      <c r="K663" s="5">
        <f>IF(OR(INDEX($W$2:$W$1001,MATCH(ROWS($V$2:V663),$V$2:$V$1001,0),1)&gt;=100000,INDEX($AC$1005:$AS$1005,1,MATCH(COLUMNS($AC$1006:AL1006),$AC$1006:$AS$1006,0))&gt;=100000), " ",IF(INDEX($AC$2:$AS$1001,MATCH(ROWS($V$2:V663),$V$2:$V$1001,0),MATCH(COLUMNS($AC$1006:AL1006),$AC$1006:$AS$1006,0)), HYPERLINK("#",""), HYPERLINK(CONCATENATE("#Metadata!", ADDRESS(INDEX($X$2:$X$1001,MATCH(ROWS($V$2:V663),$V$2:$V$1001,0),0), INDEX($AC$1004:$AS$1004,1,MATCH(COLUMNS($AC$1006:AL1006),$AC$1006:$AS$1006,0)))),"Fix")))</f>
        <v>0</v>
      </c>
      <c r="L663" s="5">
        <f>IF(OR(INDEX($W$2:$W$1001,MATCH(ROWS($V$2:V663),$V$2:$V$1001,0),1)&gt;=100000,INDEX($AC$1005:$AS$1005,1,MATCH(COLUMNS($AC$1006:AM1006),$AC$1006:$AS$1006,0))&gt;=100000), " ",IF(INDEX($AC$2:$AS$1001,MATCH(ROWS($V$2:V663),$V$2:$V$1001,0),MATCH(COLUMNS($AC$1006:AM1006),$AC$1006:$AS$1006,0)), HYPERLINK("#",""), HYPERLINK(CONCATENATE("#Metadata!", ADDRESS(INDEX($X$2:$X$1001,MATCH(ROWS($V$2:V663),$V$2:$V$1001,0),0), INDEX($AC$1004:$AS$1004,1,MATCH(COLUMNS($AC$1006:AM1006),$AC$1006:$AS$1006,0)))),"Fix")))</f>
        <v>0</v>
      </c>
      <c r="M663" s="5">
        <f>IF(OR(INDEX($W$2:$W$1001,MATCH(ROWS($V$2:V663),$V$2:$V$1001,0),1)&gt;=100000,INDEX($AC$1005:$AS$1005,1,MATCH(COLUMNS($AC$1006:AN1006),$AC$1006:$AS$1006,0))&gt;=100000), " ",IF(INDEX($AC$2:$AS$1001,MATCH(ROWS($V$2:V663),$V$2:$V$1001,0),MATCH(COLUMNS($AC$1006:AN1006),$AC$1006:$AS$1006,0)), HYPERLINK("#",""), HYPERLINK(CONCATENATE("#Metadata!", ADDRESS(INDEX($X$2:$X$1001,MATCH(ROWS($V$2:V663),$V$2:$V$1001,0),0), INDEX($AC$1004:$AS$1004,1,MATCH(COLUMNS($AC$1006:AN1006),$AC$1006:$AS$1006,0)))),"Fix")))</f>
        <v>0</v>
      </c>
      <c r="N663" s="5">
        <f>IF(OR(INDEX($W$2:$W$1001,MATCH(ROWS($V$2:V663),$V$2:$V$1001,0),1)&gt;=100000,INDEX($AC$1005:$AS$1005,1,MATCH(COLUMNS($AC$1006:AO1006),$AC$1006:$AS$1006,0))&gt;=100000), " ",IF(INDEX($AC$2:$AS$1001,MATCH(ROWS($V$2:V663),$V$2:$V$1001,0),MATCH(COLUMNS($AC$1006:AO1006),$AC$1006:$AS$1006,0)), HYPERLINK("#",""), HYPERLINK(CONCATENATE("#Metadata!", ADDRESS(INDEX($X$2:$X$1001,MATCH(ROWS($V$2:V663),$V$2:$V$1001,0),0), INDEX($AC$1004:$AS$1004,1,MATCH(COLUMNS($AC$1006:AO1006),$AC$1006:$AS$1006,0)))),"Fix")))</f>
        <v>0</v>
      </c>
      <c r="O663" s="5">
        <f>IF(OR(INDEX($W$2:$W$1001,MATCH(ROWS($V$2:V663),$V$2:$V$1001,0),1)&gt;=100000,INDEX($AC$1005:$AS$1005,1,MATCH(COLUMNS($AC$1006:AP1006),$AC$1006:$AS$1006,0))&gt;=100000), " ",IF(INDEX($AC$2:$AS$1001,MATCH(ROWS($V$2:V663),$V$2:$V$1001,0),MATCH(COLUMNS($AC$1006:AP1006),$AC$1006:$AS$1006,0)), HYPERLINK("#",""), HYPERLINK(CONCATENATE("#Metadata!", ADDRESS(INDEX($X$2:$X$1001,MATCH(ROWS($V$2:V663),$V$2:$V$1001,0),0), INDEX($AC$1004:$AS$1004,1,MATCH(COLUMNS($AC$1006:AP1006),$AC$1006:$AS$1006,0)))),"Fix")))</f>
        <v>0</v>
      </c>
      <c r="P663" s="5">
        <f>IF(OR(INDEX($W$2:$W$1001,MATCH(ROWS($V$2:V663),$V$2:$V$1001,0),1)&gt;=100000,INDEX($AC$1005:$AS$1005,1,MATCH(COLUMNS($AC$1006:AQ1006),$AC$1006:$AS$1006,0))&gt;=100000), " ",IF(INDEX($AC$2:$AS$1001,MATCH(ROWS($V$2:V663),$V$2:$V$1001,0),MATCH(COLUMNS($AC$1006:AQ1006),$AC$1006:$AS$1006,0)), HYPERLINK("#",""), HYPERLINK(CONCATENATE("#Metadata!", ADDRESS(INDEX($X$2:$X$1001,MATCH(ROWS($V$2:V663),$V$2:$V$1001,0),0), INDEX($AC$1004:$AS$1004,1,MATCH(COLUMNS($AC$1006:AQ1006),$AC$1006:$AS$1006,0)))),"Fix")))</f>
        <v>0</v>
      </c>
      <c r="Q663" s="5">
        <f>IF(OR(INDEX($W$2:$W$1001,MATCH(ROWS($V$2:V663),$V$2:$V$1001,0),1)&gt;=100000,INDEX($AC$1005:$AS$1005,1,MATCH(COLUMNS($AC$1006:AR1006),$AC$1006:$AS$1006,0))&gt;=100000), " ",IF(INDEX($AC$2:$AS$1001,MATCH(ROWS($V$2:V663),$V$2:$V$1001,0),MATCH(COLUMNS($AC$1006:AR1006),$AC$1006:$AS$1006,0)), HYPERLINK("#",""), HYPERLINK(CONCATENATE("#Metadata!", ADDRESS(INDEX($X$2:$X$1001,MATCH(ROWS($V$2:V663),$V$2:$V$1001,0),0), INDEX($AC$1004:$AS$1004,1,MATCH(COLUMNS($AC$1006:AR1006),$AC$1006:$AS$1006,0)))),"Fix")))</f>
        <v>0</v>
      </c>
      <c r="R663" s="5">
        <f>IF(OR(INDEX($W$2:$W$1001,MATCH(ROWS($V$2:V663),$V$2:$V$1001,0),1)&gt;=100000,INDEX($AC$1005:$AS$1005,1,MATCH(COLUMNS($AC$1006:AS1006),$AC$1006:$AS$1006,0))&gt;=100000), " ",IF(INDEX($AC$2:$AS$1001,MATCH(ROWS($V$2:V663),$V$2:$V$1001,0),MATCH(COLUMNS($AC$1006:AS1006),$AC$1006:$AS$1006,0)), HYPERLINK("#",""), HYPERLINK(CONCATENATE("#Metadata!", ADDRESS(INDEX($X$2:$X$1001,MATCH(ROWS($V$2:V663),$V$2:$V$1001,0),0), INDEX($AC$1004:$AS$1004,1,MATCH(COLUMNS($AC$1006:AS1006),$AC$1006:$AS$1006,0)))),"Fix")))</f>
        <v>0</v>
      </c>
      <c r="V663">
        <v>0</v>
      </c>
      <c r="W663">
        <v>0</v>
      </c>
      <c r="X663">
        <v>0</v>
      </c>
      <c r="Y663">
        <f>IF(Z663,TRUE,AND(AC663:AS663))</f>
        <v>0</v>
      </c>
      <c r="Z663">
        <f>COUNTBLANK(Metadata!B663:R663)=COLUMNS(Metadata!B663:R663)</f>
        <v>0</v>
      </c>
      <c r="AA663">
        <v>0</v>
      </c>
      <c r="AC663">
        <f>AND(IF(Metadata!B663="",FALSE,TRUE),COUNTIF(Metadata!B:B, Metadata!B663) = 1,NOT(ISERROR(SUMPRODUCT(SEARCH(MID(Metadata!B663,ROW(INDIRECT("1:"&amp;LEN(Metadata!B663))), 1),"0123456789abcdefghijklmnopqrstuvwxyzABCDEFGHIJKLMNOPQRSTUVWXYZ.")))))</f>
        <v>0</v>
      </c>
      <c r="AD663">
        <f>AND(IF(Metadata!C663="",FALSE,TRUE),exact(Metadata!C663,"Host-associated"))</f>
        <v>0</v>
      </c>
      <c r="AE663">
        <f>AND(IF(Metadata!D663="",FALSE,TRUE),OR(exact(Metadata!D663,"Animal"),exact(Metadata!D663,"Fungus"),exact(Metadata!D663,"Plant")))</f>
        <v>0</v>
      </c>
      <c r="AF663">
        <f>AND(IF(Metadata!E663="",FALSE,TRUE),OR(exact(Metadata!E663,"Plant secretion"),exact(Metadata!E663,"Plant rhizosphere"),exact(Metadata!E663,"Plant surface"),exact(Metadata!E663,"Plant corpus"),exact(Metadata!E663,"Fungus surface"),exact(Metadata!E663,"Fungus corpus"),exact(Metadata!E663,"Animal surface"),exact(Metadata!E663,"Animal proximal gut"),exact(Metadata!E663,"Animal corpus"),exact(Metadata!E663,"Animal distal gut"),exact(Metadata!E663,"Animal secretion")))</f>
        <v>0</v>
      </c>
      <c r="AG663">
        <f>OR(AND(IF(Metadata!F663="",FALSE,TRUE),OR(exact(Metadata!F663,"not collected"),exact(Metadata!F663,"not provided"),exact(Metadata!F663,"restricted access"))),AND(IF(Metadata!F663="",FALSE,TRUE),OR(exact(Metadata!F663,"organism-associated habitat"),exact(Metadata!F663,"plant-associated habitat"),exact(Metadata!F663,"animal-associated habitat"),exact(Metadata!F663,"insecta-associated habitat"),exact(Metadata!F663,"mammalia-associated habitat"),exact(Metadata!F663,"human-associated habitat"),exact(Metadata!F663,"livestock-associated habitat"))))</f>
        <v>0</v>
      </c>
      <c r="AH663">
        <f>AND(IF(Metadata!G663="",FALSE,TRUE),exact(Metadata!G663,"host-associated"))</f>
        <v>0</v>
      </c>
      <c r="AI663">
        <f>OR(AND(IF(Metadata!H663="",FALSE,TRUE),OR(exact(Metadata!H663,"not collected"),exact(Metadata!H663,"not provided"))),AND(IF(Metadata!H663="",FALSE,ISNUMBER(VALUE(Metadata!H663))),Metadata!H663&gt;0))</f>
        <v>0</v>
      </c>
      <c r="AJ663">
        <f>AND(IF(Metadata!I663="",FALSE,TRUE),exact(Metadata!I663,"years"))</f>
        <v>0</v>
      </c>
      <c r="AK663">
        <f>IF(Metadata!J663="",FALSE,TRUE)</f>
        <v>0</v>
      </c>
      <c r="AL663">
        <f>OR(AND(IF(Metadata!K663="",FALSE,TRUE),OR(exact(Metadata!K663,"not collected"),exact(Metadata!K663,"not provided"))),AND(IF(Metadata!K663="",FALSE,ISNUMBER(VALUE(Metadata!K663))),Metadata!K663&gt;0))</f>
        <v>0</v>
      </c>
      <c r="AM663">
        <f>AND(IF(Metadata!L663="",FALSE,TRUE),exact(Metadata!L663,"cm"))</f>
        <v>0</v>
      </c>
      <c r="AN663">
        <f>IF(Metadata!M663="",FALSE,TRUE)</f>
        <v>0</v>
      </c>
      <c r="AO663">
        <f>OR(AND(IF(Metadata!N663="",FALSE,TRUE),OR(exact(Metadata!N663,"not applicable"),exact(Metadata!N663,"not collected"),exact(Metadata!N663,"not provided"))),AND(IF(Metadata!N663="",FALSE,IF(ISERROR(INT(Metadata!N663)),FALSE,INT(Metadata!N663)=Metadata!N663)),Metadata!N663&gt;0))</f>
        <v>0</v>
      </c>
      <c r="AP663">
        <f>OR(AND(IF(Metadata!O663="",FALSE,TRUE),OR(exact(Metadata!O663,"not collected"),exact(Metadata!O663,"not provided"))),AND(IF(Metadata!O663="",FALSE,ISNUMBER(VALUE(Metadata!O663))),Metadata!O663&gt;0))</f>
        <v>0</v>
      </c>
      <c r="AQ663">
        <f>AND(IF(Metadata!P663="",FALSE,TRUE),exact(Metadata!P663,"kg"))</f>
        <v>0</v>
      </c>
      <c r="AR663">
        <f>OR(AND(IF(Metadata!Q663="",FALSE,TRUE),OR(exact(Metadata!Q663,"not applicable"),exact(Metadata!Q663,"not collected"),exact(Metadata!Q663,"not provided"),exact(Metadata!Q663,"restricted access"))),IF(Metadata!Q663="",FALSE,IF(ISERROR(INT(Metadata!Q663)),FALSE,INT(Metadata!Q663)=Metadata!Q663)))</f>
        <v>0</v>
      </c>
      <c r="AS663">
        <f>AND(IF(Metadata!R663="",FALSE,TRUE),exact(Metadata!R663,"Not applicable"))</f>
        <v>0</v>
      </c>
    </row>
    <row r="664" spans="1:45">
      <c r="A664" s="4">
        <f>IF(B664=" "," ",HYPERLINK(CONCATENATE("#metadata!",ADDRESS(INDEX($X$2:$X$1001,MATCH(ROWS($V$2:V664),$V$2:$V$1001,0),0),2)),INDEX($AA$2:$AA$1001,MATCH(ROWS($V$2:V664),$V$2:$V$1001,0),0)))</f>
        <v>0</v>
      </c>
      <c r="B664" s="5">
        <f>IF(OR(INDEX($W$2:$W$1001,MATCH(ROWS($V$2:V664),$V$2:$V$1001,0),1)&gt;=100000,INDEX($AC$1005:$AS$1005,1,MATCH(COLUMNS($AC$1006:AC1006),$AC$1006:$AS$1006,0))&gt;=100000), " ",IF(INDEX($AC$2:$AS$1001,MATCH(ROWS($V$2:V664),$V$2:$V$1001,0),MATCH(COLUMNS($AC$1006:AC1006),$AC$1006:$AS$1006,0)), HYPERLINK("#",""), HYPERLINK(CONCATENATE("#Metadata!", ADDRESS(INDEX($X$2:$X$1001,MATCH(ROWS($V$2:V664),$V$2:$V$1001,0),0), INDEX($AC$1004:$AS$1004,1,MATCH(COLUMNS($AC$1006:AC1006),$AC$1006:$AS$1006,0)))),"Fix")))</f>
        <v>0</v>
      </c>
      <c r="C664" s="5">
        <f>IF(OR(INDEX($W$2:$W$1001,MATCH(ROWS($V$2:V664),$V$2:$V$1001,0),1)&gt;=100000,INDEX($AC$1005:$AS$1005,1,MATCH(COLUMNS($AC$1006:AD1006),$AC$1006:$AS$1006,0))&gt;=100000), " ",IF(INDEX($AC$2:$AS$1001,MATCH(ROWS($V$2:V664),$V$2:$V$1001,0),MATCH(COLUMNS($AC$1006:AD1006),$AC$1006:$AS$1006,0)), HYPERLINK("#",""), HYPERLINK(CONCATENATE("#Metadata!", ADDRESS(INDEX($X$2:$X$1001,MATCH(ROWS($V$2:V664),$V$2:$V$1001,0),0), INDEX($AC$1004:$AS$1004,1,MATCH(COLUMNS($AC$1006:AD1006),$AC$1006:$AS$1006,0)))),"Fix")))</f>
        <v>0</v>
      </c>
      <c r="D664" s="5">
        <f>IF(OR(INDEX($W$2:$W$1001,MATCH(ROWS($V$2:V664),$V$2:$V$1001,0),1)&gt;=100000,INDEX($AC$1005:$AS$1005,1,MATCH(COLUMNS($AC$1006:AE1006),$AC$1006:$AS$1006,0))&gt;=100000), " ",IF(INDEX($AC$2:$AS$1001,MATCH(ROWS($V$2:V664),$V$2:$V$1001,0),MATCH(COLUMNS($AC$1006:AE1006),$AC$1006:$AS$1006,0)), HYPERLINK("#",""), HYPERLINK(CONCATENATE("#Metadata!", ADDRESS(INDEX($X$2:$X$1001,MATCH(ROWS($V$2:V664),$V$2:$V$1001,0),0), INDEX($AC$1004:$AS$1004,1,MATCH(COLUMNS($AC$1006:AE1006),$AC$1006:$AS$1006,0)))),"Fix")))</f>
        <v>0</v>
      </c>
      <c r="E664" s="5">
        <f>IF(OR(INDEX($W$2:$W$1001,MATCH(ROWS($V$2:V664),$V$2:$V$1001,0),1)&gt;=100000,INDEX($AC$1005:$AS$1005,1,MATCH(COLUMNS($AC$1006:AF1006),$AC$1006:$AS$1006,0))&gt;=100000), " ",IF(INDEX($AC$2:$AS$1001,MATCH(ROWS($V$2:V664),$V$2:$V$1001,0),MATCH(COLUMNS($AC$1006:AF1006),$AC$1006:$AS$1006,0)), HYPERLINK("#",""), HYPERLINK(CONCATENATE("#Metadata!", ADDRESS(INDEX($X$2:$X$1001,MATCH(ROWS($V$2:V664),$V$2:$V$1001,0),0), INDEX($AC$1004:$AS$1004,1,MATCH(COLUMNS($AC$1006:AF1006),$AC$1006:$AS$1006,0)))),"Fix")))</f>
        <v>0</v>
      </c>
      <c r="F664" s="5">
        <f>IF(OR(INDEX($W$2:$W$1001,MATCH(ROWS($V$2:V664),$V$2:$V$1001,0),1)&gt;=100000,INDEX($AC$1005:$AS$1005,1,MATCH(COLUMNS($AC$1006:AG1006),$AC$1006:$AS$1006,0))&gt;=100000), " ",IF(INDEX($AC$2:$AS$1001,MATCH(ROWS($V$2:V664),$V$2:$V$1001,0),MATCH(COLUMNS($AC$1006:AG1006),$AC$1006:$AS$1006,0)), HYPERLINK("#",""), HYPERLINK(CONCATENATE("#Metadata!", ADDRESS(INDEX($X$2:$X$1001,MATCH(ROWS($V$2:V664),$V$2:$V$1001,0),0), INDEX($AC$1004:$AS$1004,1,MATCH(COLUMNS($AC$1006:AG1006),$AC$1006:$AS$1006,0)))),"Fix")))</f>
        <v>0</v>
      </c>
      <c r="G664" s="5">
        <f>IF(OR(INDEX($W$2:$W$1001,MATCH(ROWS($V$2:V664),$V$2:$V$1001,0),1)&gt;=100000,INDEX($AC$1005:$AS$1005,1,MATCH(COLUMNS($AC$1006:AH1006),$AC$1006:$AS$1006,0))&gt;=100000), " ",IF(INDEX($AC$2:$AS$1001,MATCH(ROWS($V$2:V664),$V$2:$V$1001,0),MATCH(COLUMNS($AC$1006:AH1006),$AC$1006:$AS$1006,0)), HYPERLINK("#",""), HYPERLINK(CONCATENATE("#Metadata!", ADDRESS(INDEX($X$2:$X$1001,MATCH(ROWS($V$2:V664),$V$2:$V$1001,0),0), INDEX($AC$1004:$AS$1004,1,MATCH(COLUMNS($AC$1006:AH1006),$AC$1006:$AS$1006,0)))),"Fix")))</f>
        <v>0</v>
      </c>
      <c r="H664" s="5">
        <f>IF(OR(INDEX($W$2:$W$1001,MATCH(ROWS($V$2:V664),$V$2:$V$1001,0),1)&gt;=100000,INDEX($AC$1005:$AS$1005,1,MATCH(COLUMNS($AC$1006:AI1006),$AC$1006:$AS$1006,0))&gt;=100000), " ",IF(INDEX($AC$2:$AS$1001,MATCH(ROWS($V$2:V664),$V$2:$V$1001,0),MATCH(COLUMNS($AC$1006:AI1006),$AC$1006:$AS$1006,0)), HYPERLINK("#",""), HYPERLINK(CONCATENATE("#Metadata!", ADDRESS(INDEX($X$2:$X$1001,MATCH(ROWS($V$2:V664),$V$2:$V$1001,0),0), INDEX($AC$1004:$AS$1004,1,MATCH(COLUMNS($AC$1006:AI1006),$AC$1006:$AS$1006,0)))),"Fix")))</f>
        <v>0</v>
      </c>
      <c r="I664" s="5">
        <f>IF(OR(INDEX($W$2:$W$1001,MATCH(ROWS($V$2:V664),$V$2:$V$1001,0),1)&gt;=100000,INDEX($AC$1005:$AS$1005,1,MATCH(COLUMNS($AC$1006:AJ1006),$AC$1006:$AS$1006,0))&gt;=100000), " ",IF(INDEX($AC$2:$AS$1001,MATCH(ROWS($V$2:V664),$V$2:$V$1001,0),MATCH(COLUMNS($AC$1006:AJ1006),$AC$1006:$AS$1006,0)), HYPERLINK("#",""), HYPERLINK(CONCATENATE("#Metadata!", ADDRESS(INDEX($X$2:$X$1001,MATCH(ROWS($V$2:V664),$V$2:$V$1001,0),0), INDEX($AC$1004:$AS$1004,1,MATCH(COLUMNS($AC$1006:AJ1006),$AC$1006:$AS$1006,0)))),"Fix")))</f>
        <v>0</v>
      </c>
      <c r="J664" s="5">
        <f>IF(OR(INDEX($W$2:$W$1001,MATCH(ROWS($V$2:V664),$V$2:$V$1001,0),1)&gt;=100000,INDEX($AC$1005:$AS$1005,1,MATCH(COLUMNS($AC$1006:AK1006),$AC$1006:$AS$1006,0))&gt;=100000), " ",IF(INDEX($AC$2:$AS$1001,MATCH(ROWS($V$2:V664),$V$2:$V$1001,0),MATCH(COLUMNS($AC$1006:AK1006),$AC$1006:$AS$1006,0)), HYPERLINK("#",""), HYPERLINK(CONCATENATE("#Metadata!", ADDRESS(INDEX($X$2:$X$1001,MATCH(ROWS($V$2:V664),$V$2:$V$1001,0),0), INDEX($AC$1004:$AS$1004,1,MATCH(COLUMNS($AC$1006:AK1006),$AC$1006:$AS$1006,0)))),"Fix")))</f>
        <v>0</v>
      </c>
      <c r="K664" s="5">
        <f>IF(OR(INDEX($W$2:$W$1001,MATCH(ROWS($V$2:V664),$V$2:$V$1001,0),1)&gt;=100000,INDEX($AC$1005:$AS$1005,1,MATCH(COLUMNS($AC$1006:AL1006),$AC$1006:$AS$1006,0))&gt;=100000), " ",IF(INDEX($AC$2:$AS$1001,MATCH(ROWS($V$2:V664),$V$2:$V$1001,0),MATCH(COLUMNS($AC$1006:AL1006),$AC$1006:$AS$1006,0)), HYPERLINK("#",""), HYPERLINK(CONCATENATE("#Metadata!", ADDRESS(INDEX($X$2:$X$1001,MATCH(ROWS($V$2:V664),$V$2:$V$1001,0),0), INDEX($AC$1004:$AS$1004,1,MATCH(COLUMNS($AC$1006:AL1006),$AC$1006:$AS$1006,0)))),"Fix")))</f>
        <v>0</v>
      </c>
      <c r="L664" s="5">
        <f>IF(OR(INDEX($W$2:$W$1001,MATCH(ROWS($V$2:V664),$V$2:$V$1001,0),1)&gt;=100000,INDEX($AC$1005:$AS$1005,1,MATCH(COLUMNS($AC$1006:AM1006),$AC$1006:$AS$1006,0))&gt;=100000), " ",IF(INDEX($AC$2:$AS$1001,MATCH(ROWS($V$2:V664),$V$2:$V$1001,0),MATCH(COLUMNS($AC$1006:AM1006),$AC$1006:$AS$1006,0)), HYPERLINK("#",""), HYPERLINK(CONCATENATE("#Metadata!", ADDRESS(INDEX($X$2:$X$1001,MATCH(ROWS($V$2:V664),$V$2:$V$1001,0),0), INDEX($AC$1004:$AS$1004,1,MATCH(COLUMNS($AC$1006:AM1006),$AC$1006:$AS$1006,0)))),"Fix")))</f>
        <v>0</v>
      </c>
      <c r="M664" s="5">
        <f>IF(OR(INDEX($W$2:$W$1001,MATCH(ROWS($V$2:V664),$V$2:$V$1001,0),1)&gt;=100000,INDEX($AC$1005:$AS$1005,1,MATCH(COLUMNS($AC$1006:AN1006),$AC$1006:$AS$1006,0))&gt;=100000), " ",IF(INDEX($AC$2:$AS$1001,MATCH(ROWS($V$2:V664),$V$2:$V$1001,0),MATCH(COLUMNS($AC$1006:AN1006),$AC$1006:$AS$1006,0)), HYPERLINK("#",""), HYPERLINK(CONCATENATE("#Metadata!", ADDRESS(INDEX($X$2:$X$1001,MATCH(ROWS($V$2:V664),$V$2:$V$1001,0),0), INDEX($AC$1004:$AS$1004,1,MATCH(COLUMNS($AC$1006:AN1006),$AC$1006:$AS$1006,0)))),"Fix")))</f>
        <v>0</v>
      </c>
      <c r="N664" s="5">
        <f>IF(OR(INDEX($W$2:$W$1001,MATCH(ROWS($V$2:V664),$V$2:$V$1001,0),1)&gt;=100000,INDEX($AC$1005:$AS$1005,1,MATCH(COLUMNS($AC$1006:AO1006),$AC$1006:$AS$1006,0))&gt;=100000), " ",IF(INDEX($AC$2:$AS$1001,MATCH(ROWS($V$2:V664),$V$2:$V$1001,0),MATCH(COLUMNS($AC$1006:AO1006),$AC$1006:$AS$1006,0)), HYPERLINK("#",""), HYPERLINK(CONCATENATE("#Metadata!", ADDRESS(INDEX($X$2:$X$1001,MATCH(ROWS($V$2:V664),$V$2:$V$1001,0),0), INDEX($AC$1004:$AS$1004,1,MATCH(COLUMNS($AC$1006:AO1006),$AC$1006:$AS$1006,0)))),"Fix")))</f>
        <v>0</v>
      </c>
      <c r="O664" s="5">
        <f>IF(OR(INDEX($W$2:$W$1001,MATCH(ROWS($V$2:V664),$V$2:$V$1001,0),1)&gt;=100000,INDEX($AC$1005:$AS$1005,1,MATCH(COLUMNS($AC$1006:AP1006),$AC$1006:$AS$1006,0))&gt;=100000), " ",IF(INDEX($AC$2:$AS$1001,MATCH(ROWS($V$2:V664),$V$2:$V$1001,0),MATCH(COLUMNS($AC$1006:AP1006),$AC$1006:$AS$1006,0)), HYPERLINK("#",""), HYPERLINK(CONCATENATE("#Metadata!", ADDRESS(INDEX($X$2:$X$1001,MATCH(ROWS($V$2:V664),$V$2:$V$1001,0),0), INDEX($AC$1004:$AS$1004,1,MATCH(COLUMNS($AC$1006:AP1006),$AC$1006:$AS$1006,0)))),"Fix")))</f>
        <v>0</v>
      </c>
      <c r="P664" s="5">
        <f>IF(OR(INDEX($W$2:$W$1001,MATCH(ROWS($V$2:V664),$V$2:$V$1001,0),1)&gt;=100000,INDEX($AC$1005:$AS$1005,1,MATCH(COLUMNS($AC$1006:AQ1006),$AC$1006:$AS$1006,0))&gt;=100000), " ",IF(INDEX($AC$2:$AS$1001,MATCH(ROWS($V$2:V664),$V$2:$V$1001,0),MATCH(COLUMNS($AC$1006:AQ1006),$AC$1006:$AS$1006,0)), HYPERLINK("#",""), HYPERLINK(CONCATENATE("#Metadata!", ADDRESS(INDEX($X$2:$X$1001,MATCH(ROWS($V$2:V664),$V$2:$V$1001,0),0), INDEX($AC$1004:$AS$1004,1,MATCH(COLUMNS($AC$1006:AQ1006),$AC$1006:$AS$1006,0)))),"Fix")))</f>
        <v>0</v>
      </c>
      <c r="Q664" s="5">
        <f>IF(OR(INDEX($W$2:$W$1001,MATCH(ROWS($V$2:V664),$V$2:$V$1001,0),1)&gt;=100000,INDEX($AC$1005:$AS$1005,1,MATCH(COLUMNS($AC$1006:AR1006),$AC$1006:$AS$1006,0))&gt;=100000), " ",IF(INDEX($AC$2:$AS$1001,MATCH(ROWS($V$2:V664),$V$2:$V$1001,0),MATCH(COLUMNS($AC$1006:AR1006),$AC$1006:$AS$1006,0)), HYPERLINK("#",""), HYPERLINK(CONCATENATE("#Metadata!", ADDRESS(INDEX($X$2:$X$1001,MATCH(ROWS($V$2:V664),$V$2:$V$1001,0),0), INDEX($AC$1004:$AS$1004,1,MATCH(COLUMNS($AC$1006:AR1006),$AC$1006:$AS$1006,0)))),"Fix")))</f>
        <v>0</v>
      </c>
      <c r="R664" s="5">
        <f>IF(OR(INDEX($W$2:$W$1001,MATCH(ROWS($V$2:V664),$V$2:$V$1001,0),1)&gt;=100000,INDEX($AC$1005:$AS$1005,1,MATCH(COLUMNS($AC$1006:AS1006),$AC$1006:$AS$1006,0))&gt;=100000), " ",IF(INDEX($AC$2:$AS$1001,MATCH(ROWS($V$2:V664),$V$2:$V$1001,0),MATCH(COLUMNS($AC$1006:AS1006),$AC$1006:$AS$1006,0)), HYPERLINK("#",""), HYPERLINK(CONCATENATE("#Metadata!", ADDRESS(INDEX($X$2:$X$1001,MATCH(ROWS($V$2:V664),$V$2:$V$1001,0),0), INDEX($AC$1004:$AS$1004,1,MATCH(COLUMNS($AC$1006:AS1006),$AC$1006:$AS$1006,0)))),"Fix")))</f>
        <v>0</v>
      </c>
      <c r="V664">
        <v>0</v>
      </c>
      <c r="W664">
        <v>0</v>
      </c>
      <c r="X664">
        <v>0</v>
      </c>
      <c r="Y664">
        <f>IF(Z664,TRUE,AND(AC664:AS664))</f>
        <v>0</v>
      </c>
      <c r="Z664">
        <f>COUNTBLANK(Metadata!B664:R664)=COLUMNS(Metadata!B664:R664)</f>
        <v>0</v>
      </c>
      <c r="AA664">
        <v>0</v>
      </c>
      <c r="AC664">
        <f>AND(IF(Metadata!B664="",FALSE,TRUE),COUNTIF(Metadata!B:B, Metadata!B664) = 1,NOT(ISERROR(SUMPRODUCT(SEARCH(MID(Metadata!B664,ROW(INDIRECT("1:"&amp;LEN(Metadata!B664))), 1),"0123456789abcdefghijklmnopqrstuvwxyzABCDEFGHIJKLMNOPQRSTUVWXYZ.")))))</f>
        <v>0</v>
      </c>
      <c r="AD664">
        <f>AND(IF(Metadata!C664="",FALSE,TRUE),exact(Metadata!C664,"Host-associated"))</f>
        <v>0</v>
      </c>
      <c r="AE664">
        <f>AND(IF(Metadata!D664="",FALSE,TRUE),OR(exact(Metadata!D664,"Animal"),exact(Metadata!D664,"Fungus"),exact(Metadata!D664,"Plant")))</f>
        <v>0</v>
      </c>
      <c r="AF664">
        <f>AND(IF(Metadata!E664="",FALSE,TRUE),OR(exact(Metadata!E664,"Plant secretion"),exact(Metadata!E664,"Plant rhizosphere"),exact(Metadata!E664,"Plant surface"),exact(Metadata!E664,"Plant corpus"),exact(Metadata!E664,"Fungus surface"),exact(Metadata!E664,"Fungus corpus"),exact(Metadata!E664,"Animal surface"),exact(Metadata!E664,"Animal proximal gut"),exact(Metadata!E664,"Animal corpus"),exact(Metadata!E664,"Animal distal gut"),exact(Metadata!E664,"Animal secretion")))</f>
        <v>0</v>
      </c>
      <c r="AG664">
        <f>OR(AND(IF(Metadata!F664="",FALSE,TRUE),OR(exact(Metadata!F664,"not collected"),exact(Metadata!F664,"not provided"),exact(Metadata!F664,"restricted access"))),AND(IF(Metadata!F664="",FALSE,TRUE),OR(exact(Metadata!F664,"organism-associated habitat"),exact(Metadata!F664,"plant-associated habitat"),exact(Metadata!F664,"animal-associated habitat"),exact(Metadata!F664,"insecta-associated habitat"),exact(Metadata!F664,"mammalia-associated habitat"),exact(Metadata!F664,"human-associated habitat"),exact(Metadata!F664,"livestock-associated habitat"))))</f>
        <v>0</v>
      </c>
      <c r="AH664">
        <f>AND(IF(Metadata!G664="",FALSE,TRUE),exact(Metadata!G664,"host-associated"))</f>
        <v>0</v>
      </c>
      <c r="AI664">
        <f>OR(AND(IF(Metadata!H664="",FALSE,TRUE),OR(exact(Metadata!H664,"not collected"),exact(Metadata!H664,"not provided"))),AND(IF(Metadata!H664="",FALSE,ISNUMBER(VALUE(Metadata!H664))),Metadata!H664&gt;0))</f>
        <v>0</v>
      </c>
      <c r="AJ664">
        <f>AND(IF(Metadata!I664="",FALSE,TRUE),exact(Metadata!I664,"years"))</f>
        <v>0</v>
      </c>
      <c r="AK664">
        <f>IF(Metadata!J664="",FALSE,TRUE)</f>
        <v>0</v>
      </c>
      <c r="AL664">
        <f>OR(AND(IF(Metadata!K664="",FALSE,TRUE),OR(exact(Metadata!K664,"not collected"),exact(Metadata!K664,"not provided"))),AND(IF(Metadata!K664="",FALSE,ISNUMBER(VALUE(Metadata!K664))),Metadata!K664&gt;0))</f>
        <v>0</v>
      </c>
      <c r="AM664">
        <f>AND(IF(Metadata!L664="",FALSE,TRUE),exact(Metadata!L664,"cm"))</f>
        <v>0</v>
      </c>
      <c r="AN664">
        <f>IF(Metadata!M664="",FALSE,TRUE)</f>
        <v>0</v>
      </c>
      <c r="AO664">
        <f>OR(AND(IF(Metadata!N664="",FALSE,TRUE),OR(exact(Metadata!N664,"not applicable"),exact(Metadata!N664,"not collected"),exact(Metadata!N664,"not provided"))),AND(IF(Metadata!N664="",FALSE,IF(ISERROR(INT(Metadata!N664)),FALSE,INT(Metadata!N664)=Metadata!N664)),Metadata!N664&gt;0))</f>
        <v>0</v>
      </c>
      <c r="AP664">
        <f>OR(AND(IF(Metadata!O664="",FALSE,TRUE),OR(exact(Metadata!O664,"not collected"),exact(Metadata!O664,"not provided"))),AND(IF(Metadata!O664="",FALSE,ISNUMBER(VALUE(Metadata!O664))),Metadata!O664&gt;0))</f>
        <v>0</v>
      </c>
      <c r="AQ664">
        <f>AND(IF(Metadata!P664="",FALSE,TRUE),exact(Metadata!P664,"kg"))</f>
        <v>0</v>
      </c>
      <c r="AR664">
        <f>OR(AND(IF(Metadata!Q664="",FALSE,TRUE),OR(exact(Metadata!Q664,"not applicable"),exact(Metadata!Q664,"not collected"),exact(Metadata!Q664,"not provided"),exact(Metadata!Q664,"restricted access"))),IF(Metadata!Q664="",FALSE,IF(ISERROR(INT(Metadata!Q664)),FALSE,INT(Metadata!Q664)=Metadata!Q664)))</f>
        <v>0</v>
      </c>
      <c r="AS664">
        <f>AND(IF(Metadata!R664="",FALSE,TRUE),exact(Metadata!R664,"Not applicable"))</f>
        <v>0</v>
      </c>
    </row>
    <row r="665" spans="1:45">
      <c r="A665" s="4">
        <f>IF(B665=" "," ",HYPERLINK(CONCATENATE("#metadata!",ADDRESS(INDEX($X$2:$X$1001,MATCH(ROWS($V$2:V665),$V$2:$V$1001,0),0),2)),INDEX($AA$2:$AA$1001,MATCH(ROWS($V$2:V665),$V$2:$V$1001,0),0)))</f>
        <v>0</v>
      </c>
      <c r="B665" s="5">
        <f>IF(OR(INDEX($W$2:$W$1001,MATCH(ROWS($V$2:V665),$V$2:$V$1001,0),1)&gt;=100000,INDEX($AC$1005:$AS$1005,1,MATCH(COLUMNS($AC$1006:AC1006),$AC$1006:$AS$1006,0))&gt;=100000), " ",IF(INDEX($AC$2:$AS$1001,MATCH(ROWS($V$2:V665),$V$2:$V$1001,0),MATCH(COLUMNS($AC$1006:AC1006),$AC$1006:$AS$1006,0)), HYPERLINK("#",""), HYPERLINK(CONCATENATE("#Metadata!", ADDRESS(INDEX($X$2:$X$1001,MATCH(ROWS($V$2:V665),$V$2:$V$1001,0),0), INDEX($AC$1004:$AS$1004,1,MATCH(COLUMNS($AC$1006:AC1006),$AC$1006:$AS$1006,0)))),"Fix")))</f>
        <v>0</v>
      </c>
      <c r="C665" s="5">
        <f>IF(OR(INDEX($W$2:$W$1001,MATCH(ROWS($V$2:V665),$V$2:$V$1001,0),1)&gt;=100000,INDEX($AC$1005:$AS$1005,1,MATCH(COLUMNS($AC$1006:AD1006),$AC$1006:$AS$1006,0))&gt;=100000), " ",IF(INDEX($AC$2:$AS$1001,MATCH(ROWS($V$2:V665),$V$2:$V$1001,0),MATCH(COLUMNS($AC$1006:AD1006),$AC$1006:$AS$1006,0)), HYPERLINK("#",""), HYPERLINK(CONCATENATE("#Metadata!", ADDRESS(INDEX($X$2:$X$1001,MATCH(ROWS($V$2:V665),$V$2:$V$1001,0),0), INDEX($AC$1004:$AS$1004,1,MATCH(COLUMNS($AC$1006:AD1006),$AC$1006:$AS$1006,0)))),"Fix")))</f>
        <v>0</v>
      </c>
      <c r="D665" s="5">
        <f>IF(OR(INDEX($W$2:$W$1001,MATCH(ROWS($V$2:V665),$V$2:$V$1001,0),1)&gt;=100000,INDEX($AC$1005:$AS$1005,1,MATCH(COLUMNS($AC$1006:AE1006),$AC$1006:$AS$1006,0))&gt;=100000), " ",IF(INDEX($AC$2:$AS$1001,MATCH(ROWS($V$2:V665),$V$2:$V$1001,0),MATCH(COLUMNS($AC$1006:AE1006),$AC$1006:$AS$1006,0)), HYPERLINK("#",""), HYPERLINK(CONCATENATE("#Metadata!", ADDRESS(INDEX($X$2:$X$1001,MATCH(ROWS($V$2:V665),$V$2:$V$1001,0),0), INDEX($AC$1004:$AS$1004,1,MATCH(COLUMNS($AC$1006:AE1006),$AC$1006:$AS$1006,0)))),"Fix")))</f>
        <v>0</v>
      </c>
      <c r="E665" s="5">
        <f>IF(OR(INDEX($W$2:$W$1001,MATCH(ROWS($V$2:V665),$V$2:$V$1001,0),1)&gt;=100000,INDEX($AC$1005:$AS$1005,1,MATCH(COLUMNS($AC$1006:AF1006),$AC$1006:$AS$1006,0))&gt;=100000), " ",IF(INDEX($AC$2:$AS$1001,MATCH(ROWS($V$2:V665),$V$2:$V$1001,0),MATCH(COLUMNS($AC$1006:AF1006),$AC$1006:$AS$1006,0)), HYPERLINK("#",""), HYPERLINK(CONCATENATE("#Metadata!", ADDRESS(INDEX($X$2:$X$1001,MATCH(ROWS($V$2:V665),$V$2:$V$1001,0),0), INDEX($AC$1004:$AS$1004,1,MATCH(COLUMNS($AC$1006:AF1006),$AC$1006:$AS$1006,0)))),"Fix")))</f>
        <v>0</v>
      </c>
      <c r="F665" s="5">
        <f>IF(OR(INDEX($W$2:$W$1001,MATCH(ROWS($V$2:V665),$V$2:$V$1001,0),1)&gt;=100000,INDEX($AC$1005:$AS$1005,1,MATCH(COLUMNS($AC$1006:AG1006),$AC$1006:$AS$1006,0))&gt;=100000), " ",IF(INDEX($AC$2:$AS$1001,MATCH(ROWS($V$2:V665),$V$2:$V$1001,0),MATCH(COLUMNS($AC$1006:AG1006),$AC$1006:$AS$1006,0)), HYPERLINK("#",""), HYPERLINK(CONCATENATE("#Metadata!", ADDRESS(INDEX($X$2:$X$1001,MATCH(ROWS($V$2:V665),$V$2:$V$1001,0),0), INDEX($AC$1004:$AS$1004,1,MATCH(COLUMNS($AC$1006:AG1006),$AC$1006:$AS$1006,0)))),"Fix")))</f>
        <v>0</v>
      </c>
      <c r="G665" s="5">
        <f>IF(OR(INDEX($W$2:$W$1001,MATCH(ROWS($V$2:V665),$V$2:$V$1001,0),1)&gt;=100000,INDEX($AC$1005:$AS$1005,1,MATCH(COLUMNS($AC$1006:AH1006),$AC$1006:$AS$1006,0))&gt;=100000), " ",IF(INDEX($AC$2:$AS$1001,MATCH(ROWS($V$2:V665),$V$2:$V$1001,0),MATCH(COLUMNS($AC$1006:AH1006),$AC$1006:$AS$1006,0)), HYPERLINK("#",""), HYPERLINK(CONCATENATE("#Metadata!", ADDRESS(INDEX($X$2:$X$1001,MATCH(ROWS($V$2:V665),$V$2:$V$1001,0),0), INDEX($AC$1004:$AS$1004,1,MATCH(COLUMNS($AC$1006:AH1006),$AC$1006:$AS$1006,0)))),"Fix")))</f>
        <v>0</v>
      </c>
      <c r="H665" s="5">
        <f>IF(OR(INDEX($W$2:$W$1001,MATCH(ROWS($V$2:V665),$V$2:$V$1001,0),1)&gt;=100000,INDEX($AC$1005:$AS$1005,1,MATCH(COLUMNS($AC$1006:AI1006),$AC$1006:$AS$1006,0))&gt;=100000), " ",IF(INDEX($AC$2:$AS$1001,MATCH(ROWS($V$2:V665),$V$2:$V$1001,0),MATCH(COLUMNS($AC$1006:AI1006),$AC$1006:$AS$1006,0)), HYPERLINK("#",""), HYPERLINK(CONCATENATE("#Metadata!", ADDRESS(INDEX($X$2:$X$1001,MATCH(ROWS($V$2:V665),$V$2:$V$1001,0),0), INDEX($AC$1004:$AS$1004,1,MATCH(COLUMNS($AC$1006:AI1006),$AC$1006:$AS$1006,0)))),"Fix")))</f>
        <v>0</v>
      </c>
      <c r="I665" s="5">
        <f>IF(OR(INDEX($W$2:$W$1001,MATCH(ROWS($V$2:V665),$V$2:$V$1001,0),1)&gt;=100000,INDEX($AC$1005:$AS$1005,1,MATCH(COLUMNS($AC$1006:AJ1006),$AC$1006:$AS$1006,0))&gt;=100000), " ",IF(INDEX($AC$2:$AS$1001,MATCH(ROWS($V$2:V665),$V$2:$V$1001,0),MATCH(COLUMNS($AC$1006:AJ1006),$AC$1006:$AS$1006,0)), HYPERLINK("#",""), HYPERLINK(CONCATENATE("#Metadata!", ADDRESS(INDEX($X$2:$X$1001,MATCH(ROWS($V$2:V665),$V$2:$V$1001,0),0), INDEX($AC$1004:$AS$1004,1,MATCH(COLUMNS($AC$1006:AJ1006),$AC$1006:$AS$1006,0)))),"Fix")))</f>
        <v>0</v>
      </c>
      <c r="J665" s="5">
        <f>IF(OR(INDEX($W$2:$W$1001,MATCH(ROWS($V$2:V665),$V$2:$V$1001,0),1)&gt;=100000,INDEX($AC$1005:$AS$1005,1,MATCH(COLUMNS($AC$1006:AK1006),$AC$1006:$AS$1006,0))&gt;=100000), " ",IF(INDEX($AC$2:$AS$1001,MATCH(ROWS($V$2:V665),$V$2:$V$1001,0),MATCH(COLUMNS($AC$1006:AK1006),$AC$1006:$AS$1006,0)), HYPERLINK("#",""), HYPERLINK(CONCATENATE("#Metadata!", ADDRESS(INDEX($X$2:$X$1001,MATCH(ROWS($V$2:V665),$V$2:$V$1001,0),0), INDEX($AC$1004:$AS$1004,1,MATCH(COLUMNS($AC$1006:AK1006),$AC$1006:$AS$1006,0)))),"Fix")))</f>
        <v>0</v>
      </c>
      <c r="K665" s="5">
        <f>IF(OR(INDEX($W$2:$W$1001,MATCH(ROWS($V$2:V665),$V$2:$V$1001,0),1)&gt;=100000,INDEX($AC$1005:$AS$1005,1,MATCH(COLUMNS($AC$1006:AL1006),$AC$1006:$AS$1006,0))&gt;=100000), " ",IF(INDEX($AC$2:$AS$1001,MATCH(ROWS($V$2:V665),$V$2:$V$1001,0),MATCH(COLUMNS($AC$1006:AL1006),$AC$1006:$AS$1006,0)), HYPERLINK("#",""), HYPERLINK(CONCATENATE("#Metadata!", ADDRESS(INDEX($X$2:$X$1001,MATCH(ROWS($V$2:V665),$V$2:$V$1001,0),0), INDEX($AC$1004:$AS$1004,1,MATCH(COLUMNS($AC$1006:AL1006),$AC$1006:$AS$1006,0)))),"Fix")))</f>
        <v>0</v>
      </c>
      <c r="L665" s="5">
        <f>IF(OR(INDEX($W$2:$W$1001,MATCH(ROWS($V$2:V665),$V$2:$V$1001,0),1)&gt;=100000,INDEX($AC$1005:$AS$1005,1,MATCH(COLUMNS($AC$1006:AM1006),$AC$1006:$AS$1006,0))&gt;=100000), " ",IF(INDEX($AC$2:$AS$1001,MATCH(ROWS($V$2:V665),$V$2:$V$1001,0),MATCH(COLUMNS($AC$1006:AM1006),$AC$1006:$AS$1006,0)), HYPERLINK("#",""), HYPERLINK(CONCATENATE("#Metadata!", ADDRESS(INDEX($X$2:$X$1001,MATCH(ROWS($V$2:V665),$V$2:$V$1001,0),0), INDEX($AC$1004:$AS$1004,1,MATCH(COLUMNS($AC$1006:AM1006),$AC$1006:$AS$1006,0)))),"Fix")))</f>
        <v>0</v>
      </c>
      <c r="M665" s="5">
        <f>IF(OR(INDEX($W$2:$W$1001,MATCH(ROWS($V$2:V665),$V$2:$V$1001,0),1)&gt;=100000,INDEX($AC$1005:$AS$1005,1,MATCH(COLUMNS($AC$1006:AN1006),$AC$1006:$AS$1006,0))&gt;=100000), " ",IF(INDEX($AC$2:$AS$1001,MATCH(ROWS($V$2:V665),$V$2:$V$1001,0),MATCH(COLUMNS($AC$1006:AN1006),$AC$1006:$AS$1006,0)), HYPERLINK("#",""), HYPERLINK(CONCATENATE("#Metadata!", ADDRESS(INDEX($X$2:$X$1001,MATCH(ROWS($V$2:V665),$V$2:$V$1001,0),0), INDEX($AC$1004:$AS$1004,1,MATCH(COLUMNS($AC$1006:AN1006),$AC$1006:$AS$1006,0)))),"Fix")))</f>
        <v>0</v>
      </c>
      <c r="N665" s="5">
        <f>IF(OR(INDEX($W$2:$W$1001,MATCH(ROWS($V$2:V665),$V$2:$V$1001,0),1)&gt;=100000,INDEX($AC$1005:$AS$1005,1,MATCH(COLUMNS($AC$1006:AO1006),$AC$1006:$AS$1006,0))&gt;=100000), " ",IF(INDEX($AC$2:$AS$1001,MATCH(ROWS($V$2:V665),$V$2:$V$1001,0),MATCH(COLUMNS($AC$1006:AO1006),$AC$1006:$AS$1006,0)), HYPERLINK("#",""), HYPERLINK(CONCATENATE("#Metadata!", ADDRESS(INDEX($X$2:$X$1001,MATCH(ROWS($V$2:V665),$V$2:$V$1001,0),0), INDEX($AC$1004:$AS$1004,1,MATCH(COLUMNS($AC$1006:AO1006),$AC$1006:$AS$1006,0)))),"Fix")))</f>
        <v>0</v>
      </c>
      <c r="O665" s="5">
        <f>IF(OR(INDEX($W$2:$W$1001,MATCH(ROWS($V$2:V665),$V$2:$V$1001,0),1)&gt;=100000,INDEX($AC$1005:$AS$1005,1,MATCH(COLUMNS($AC$1006:AP1006),$AC$1006:$AS$1006,0))&gt;=100000), " ",IF(INDEX($AC$2:$AS$1001,MATCH(ROWS($V$2:V665),$V$2:$V$1001,0),MATCH(COLUMNS($AC$1006:AP1006),$AC$1006:$AS$1006,0)), HYPERLINK("#",""), HYPERLINK(CONCATENATE("#Metadata!", ADDRESS(INDEX($X$2:$X$1001,MATCH(ROWS($V$2:V665),$V$2:$V$1001,0),0), INDEX($AC$1004:$AS$1004,1,MATCH(COLUMNS($AC$1006:AP1006),$AC$1006:$AS$1006,0)))),"Fix")))</f>
        <v>0</v>
      </c>
      <c r="P665" s="5">
        <f>IF(OR(INDEX($W$2:$W$1001,MATCH(ROWS($V$2:V665),$V$2:$V$1001,0),1)&gt;=100000,INDEX($AC$1005:$AS$1005,1,MATCH(COLUMNS($AC$1006:AQ1006),$AC$1006:$AS$1006,0))&gt;=100000), " ",IF(INDEX($AC$2:$AS$1001,MATCH(ROWS($V$2:V665),$V$2:$V$1001,0),MATCH(COLUMNS($AC$1006:AQ1006),$AC$1006:$AS$1006,0)), HYPERLINK("#",""), HYPERLINK(CONCATENATE("#Metadata!", ADDRESS(INDEX($X$2:$X$1001,MATCH(ROWS($V$2:V665),$V$2:$V$1001,0),0), INDEX($AC$1004:$AS$1004,1,MATCH(COLUMNS($AC$1006:AQ1006),$AC$1006:$AS$1006,0)))),"Fix")))</f>
        <v>0</v>
      </c>
      <c r="Q665" s="5">
        <f>IF(OR(INDEX($W$2:$W$1001,MATCH(ROWS($V$2:V665),$V$2:$V$1001,0),1)&gt;=100000,INDEX($AC$1005:$AS$1005,1,MATCH(COLUMNS($AC$1006:AR1006),$AC$1006:$AS$1006,0))&gt;=100000), " ",IF(INDEX($AC$2:$AS$1001,MATCH(ROWS($V$2:V665),$V$2:$V$1001,0),MATCH(COLUMNS($AC$1006:AR1006),$AC$1006:$AS$1006,0)), HYPERLINK("#",""), HYPERLINK(CONCATENATE("#Metadata!", ADDRESS(INDEX($X$2:$X$1001,MATCH(ROWS($V$2:V665),$V$2:$V$1001,0),0), INDEX($AC$1004:$AS$1004,1,MATCH(COLUMNS($AC$1006:AR1006),$AC$1006:$AS$1006,0)))),"Fix")))</f>
        <v>0</v>
      </c>
      <c r="R665" s="5">
        <f>IF(OR(INDEX($W$2:$W$1001,MATCH(ROWS($V$2:V665),$V$2:$V$1001,0),1)&gt;=100000,INDEX($AC$1005:$AS$1005,1,MATCH(COLUMNS($AC$1006:AS1006),$AC$1006:$AS$1006,0))&gt;=100000), " ",IF(INDEX($AC$2:$AS$1001,MATCH(ROWS($V$2:V665),$V$2:$V$1001,0),MATCH(COLUMNS($AC$1006:AS1006),$AC$1006:$AS$1006,0)), HYPERLINK("#",""), HYPERLINK(CONCATENATE("#Metadata!", ADDRESS(INDEX($X$2:$X$1001,MATCH(ROWS($V$2:V665),$V$2:$V$1001,0),0), INDEX($AC$1004:$AS$1004,1,MATCH(COLUMNS($AC$1006:AS1006),$AC$1006:$AS$1006,0)))),"Fix")))</f>
        <v>0</v>
      </c>
      <c r="V665">
        <v>0</v>
      </c>
      <c r="W665">
        <v>0</v>
      </c>
      <c r="X665">
        <v>0</v>
      </c>
      <c r="Y665">
        <f>IF(Z665,TRUE,AND(AC665:AS665))</f>
        <v>0</v>
      </c>
      <c r="Z665">
        <f>COUNTBLANK(Metadata!B665:R665)=COLUMNS(Metadata!B665:R665)</f>
        <v>0</v>
      </c>
      <c r="AA665">
        <v>0</v>
      </c>
      <c r="AC665">
        <f>AND(IF(Metadata!B665="",FALSE,TRUE),COUNTIF(Metadata!B:B, Metadata!B665) = 1,NOT(ISERROR(SUMPRODUCT(SEARCH(MID(Metadata!B665,ROW(INDIRECT("1:"&amp;LEN(Metadata!B665))), 1),"0123456789abcdefghijklmnopqrstuvwxyzABCDEFGHIJKLMNOPQRSTUVWXYZ.")))))</f>
        <v>0</v>
      </c>
      <c r="AD665">
        <f>AND(IF(Metadata!C665="",FALSE,TRUE),exact(Metadata!C665,"Host-associated"))</f>
        <v>0</v>
      </c>
      <c r="AE665">
        <f>AND(IF(Metadata!D665="",FALSE,TRUE),OR(exact(Metadata!D665,"Animal"),exact(Metadata!D665,"Fungus"),exact(Metadata!D665,"Plant")))</f>
        <v>0</v>
      </c>
      <c r="AF665">
        <f>AND(IF(Metadata!E665="",FALSE,TRUE),OR(exact(Metadata!E665,"Plant secretion"),exact(Metadata!E665,"Plant rhizosphere"),exact(Metadata!E665,"Plant surface"),exact(Metadata!E665,"Plant corpus"),exact(Metadata!E665,"Fungus surface"),exact(Metadata!E665,"Fungus corpus"),exact(Metadata!E665,"Animal surface"),exact(Metadata!E665,"Animal proximal gut"),exact(Metadata!E665,"Animal corpus"),exact(Metadata!E665,"Animal distal gut"),exact(Metadata!E665,"Animal secretion")))</f>
        <v>0</v>
      </c>
      <c r="AG665">
        <f>OR(AND(IF(Metadata!F665="",FALSE,TRUE),OR(exact(Metadata!F665,"not collected"),exact(Metadata!F665,"not provided"),exact(Metadata!F665,"restricted access"))),AND(IF(Metadata!F665="",FALSE,TRUE),OR(exact(Metadata!F665,"organism-associated habitat"),exact(Metadata!F665,"plant-associated habitat"),exact(Metadata!F665,"animal-associated habitat"),exact(Metadata!F665,"insecta-associated habitat"),exact(Metadata!F665,"mammalia-associated habitat"),exact(Metadata!F665,"human-associated habitat"),exact(Metadata!F665,"livestock-associated habitat"))))</f>
        <v>0</v>
      </c>
      <c r="AH665">
        <f>AND(IF(Metadata!G665="",FALSE,TRUE),exact(Metadata!G665,"host-associated"))</f>
        <v>0</v>
      </c>
      <c r="AI665">
        <f>OR(AND(IF(Metadata!H665="",FALSE,TRUE),OR(exact(Metadata!H665,"not collected"),exact(Metadata!H665,"not provided"))),AND(IF(Metadata!H665="",FALSE,ISNUMBER(VALUE(Metadata!H665))),Metadata!H665&gt;0))</f>
        <v>0</v>
      </c>
      <c r="AJ665">
        <f>AND(IF(Metadata!I665="",FALSE,TRUE),exact(Metadata!I665,"years"))</f>
        <v>0</v>
      </c>
      <c r="AK665">
        <f>IF(Metadata!J665="",FALSE,TRUE)</f>
        <v>0</v>
      </c>
      <c r="AL665">
        <f>OR(AND(IF(Metadata!K665="",FALSE,TRUE),OR(exact(Metadata!K665,"not collected"),exact(Metadata!K665,"not provided"))),AND(IF(Metadata!K665="",FALSE,ISNUMBER(VALUE(Metadata!K665))),Metadata!K665&gt;0))</f>
        <v>0</v>
      </c>
      <c r="AM665">
        <f>AND(IF(Metadata!L665="",FALSE,TRUE),exact(Metadata!L665,"cm"))</f>
        <v>0</v>
      </c>
      <c r="AN665">
        <f>IF(Metadata!M665="",FALSE,TRUE)</f>
        <v>0</v>
      </c>
      <c r="AO665">
        <f>OR(AND(IF(Metadata!N665="",FALSE,TRUE),OR(exact(Metadata!N665,"not applicable"),exact(Metadata!N665,"not collected"),exact(Metadata!N665,"not provided"))),AND(IF(Metadata!N665="",FALSE,IF(ISERROR(INT(Metadata!N665)),FALSE,INT(Metadata!N665)=Metadata!N665)),Metadata!N665&gt;0))</f>
        <v>0</v>
      </c>
      <c r="AP665">
        <f>OR(AND(IF(Metadata!O665="",FALSE,TRUE),OR(exact(Metadata!O665,"not collected"),exact(Metadata!O665,"not provided"))),AND(IF(Metadata!O665="",FALSE,ISNUMBER(VALUE(Metadata!O665))),Metadata!O665&gt;0))</f>
        <v>0</v>
      </c>
      <c r="AQ665">
        <f>AND(IF(Metadata!P665="",FALSE,TRUE),exact(Metadata!P665,"kg"))</f>
        <v>0</v>
      </c>
      <c r="AR665">
        <f>OR(AND(IF(Metadata!Q665="",FALSE,TRUE),OR(exact(Metadata!Q665,"not applicable"),exact(Metadata!Q665,"not collected"),exact(Metadata!Q665,"not provided"),exact(Metadata!Q665,"restricted access"))),IF(Metadata!Q665="",FALSE,IF(ISERROR(INT(Metadata!Q665)),FALSE,INT(Metadata!Q665)=Metadata!Q665)))</f>
        <v>0</v>
      </c>
      <c r="AS665">
        <f>AND(IF(Metadata!R665="",FALSE,TRUE),exact(Metadata!R665,"Not applicable"))</f>
        <v>0</v>
      </c>
    </row>
    <row r="666" spans="1:45">
      <c r="A666" s="4">
        <f>IF(B666=" "," ",HYPERLINK(CONCATENATE("#metadata!",ADDRESS(INDEX($X$2:$X$1001,MATCH(ROWS($V$2:V666),$V$2:$V$1001,0),0),2)),INDEX($AA$2:$AA$1001,MATCH(ROWS($V$2:V666),$V$2:$V$1001,0),0)))</f>
        <v>0</v>
      </c>
      <c r="B666" s="5">
        <f>IF(OR(INDEX($W$2:$W$1001,MATCH(ROWS($V$2:V666),$V$2:$V$1001,0),1)&gt;=100000,INDEX($AC$1005:$AS$1005,1,MATCH(COLUMNS($AC$1006:AC1006),$AC$1006:$AS$1006,0))&gt;=100000), " ",IF(INDEX($AC$2:$AS$1001,MATCH(ROWS($V$2:V666),$V$2:$V$1001,0),MATCH(COLUMNS($AC$1006:AC1006),$AC$1006:$AS$1006,0)), HYPERLINK("#",""), HYPERLINK(CONCATENATE("#Metadata!", ADDRESS(INDEX($X$2:$X$1001,MATCH(ROWS($V$2:V666),$V$2:$V$1001,0),0), INDEX($AC$1004:$AS$1004,1,MATCH(COLUMNS($AC$1006:AC1006),$AC$1006:$AS$1006,0)))),"Fix")))</f>
        <v>0</v>
      </c>
      <c r="C666" s="5">
        <f>IF(OR(INDEX($W$2:$W$1001,MATCH(ROWS($V$2:V666),$V$2:$V$1001,0),1)&gt;=100000,INDEX($AC$1005:$AS$1005,1,MATCH(COLUMNS($AC$1006:AD1006),$AC$1006:$AS$1006,0))&gt;=100000), " ",IF(INDEX($AC$2:$AS$1001,MATCH(ROWS($V$2:V666),$V$2:$V$1001,0),MATCH(COLUMNS($AC$1006:AD1006),$AC$1006:$AS$1006,0)), HYPERLINK("#",""), HYPERLINK(CONCATENATE("#Metadata!", ADDRESS(INDEX($X$2:$X$1001,MATCH(ROWS($V$2:V666),$V$2:$V$1001,0),0), INDEX($AC$1004:$AS$1004,1,MATCH(COLUMNS($AC$1006:AD1006),$AC$1006:$AS$1006,0)))),"Fix")))</f>
        <v>0</v>
      </c>
      <c r="D666" s="5">
        <f>IF(OR(INDEX($W$2:$W$1001,MATCH(ROWS($V$2:V666),$V$2:$V$1001,0),1)&gt;=100000,INDEX($AC$1005:$AS$1005,1,MATCH(COLUMNS($AC$1006:AE1006),$AC$1006:$AS$1006,0))&gt;=100000), " ",IF(INDEX($AC$2:$AS$1001,MATCH(ROWS($V$2:V666),$V$2:$V$1001,0),MATCH(COLUMNS($AC$1006:AE1006),$AC$1006:$AS$1006,0)), HYPERLINK("#",""), HYPERLINK(CONCATENATE("#Metadata!", ADDRESS(INDEX($X$2:$X$1001,MATCH(ROWS($V$2:V666),$V$2:$V$1001,0),0), INDEX($AC$1004:$AS$1004,1,MATCH(COLUMNS($AC$1006:AE1006),$AC$1006:$AS$1006,0)))),"Fix")))</f>
        <v>0</v>
      </c>
      <c r="E666" s="5">
        <f>IF(OR(INDEX($W$2:$W$1001,MATCH(ROWS($V$2:V666),$V$2:$V$1001,0),1)&gt;=100000,INDEX($AC$1005:$AS$1005,1,MATCH(COLUMNS($AC$1006:AF1006),$AC$1006:$AS$1006,0))&gt;=100000), " ",IF(INDEX($AC$2:$AS$1001,MATCH(ROWS($V$2:V666),$V$2:$V$1001,0),MATCH(COLUMNS($AC$1006:AF1006),$AC$1006:$AS$1006,0)), HYPERLINK("#",""), HYPERLINK(CONCATENATE("#Metadata!", ADDRESS(INDEX($X$2:$X$1001,MATCH(ROWS($V$2:V666),$V$2:$V$1001,0),0), INDEX($AC$1004:$AS$1004,1,MATCH(COLUMNS($AC$1006:AF1006),$AC$1006:$AS$1006,0)))),"Fix")))</f>
        <v>0</v>
      </c>
      <c r="F666" s="5">
        <f>IF(OR(INDEX($W$2:$W$1001,MATCH(ROWS($V$2:V666),$V$2:$V$1001,0),1)&gt;=100000,INDEX($AC$1005:$AS$1005,1,MATCH(COLUMNS($AC$1006:AG1006),$AC$1006:$AS$1006,0))&gt;=100000), " ",IF(INDEX($AC$2:$AS$1001,MATCH(ROWS($V$2:V666),$V$2:$V$1001,0),MATCH(COLUMNS($AC$1006:AG1006),$AC$1006:$AS$1006,0)), HYPERLINK("#",""), HYPERLINK(CONCATENATE("#Metadata!", ADDRESS(INDEX($X$2:$X$1001,MATCH(ROWS($V$2:V666),$V$2:$V$1001,0),0), INDEX($AC$1004:$AS$1004,1,MATCH(COLUMNS($AC$1006:AG1006),$AC$1006:$AS$1006,0)))),"Fix")))</f>
        <v>0</v>
      </c>
      <c r="G666" s="5">
        <f>IF(OR(INDEX($W$2:$W$1001,MATCH(ROWS($V$2:V666),$V$2:$V$1001,0),1)&gt;=100000,INDEX($AC$1005:$AS$1005,1,MATCH(COLUMNS($AC$1006:AH1006),$AC$1006:$AS$1006,0))&gt;=100000), " ",IF(INDEX($AC$2:$AS$1001,MATCH(ROWS($V$2:V666),$V$2:$V$1001,0),MATCH(COLUMNS($AC$1006:AH1006),$AC$1006:$AS$1006,0)), HYPERLINK("#",""), HYPERLINK(CONCATENATE("#Metadata!", ADDRESS(INDEX($X$2:$X$1001,MATCH(ROWS($V$2:V666),$V$2:$V$1001,0),0), INDEX($AC$1004:$AS$1004,1,MATCH(COLUMNS($AC$1006:AH1006),$AC$1006:$AS$1006,0)))),"Fix")))</f>
        <v>0</v>
      </c>
      <c r="H666" s="5">
        <f>IF(OR(INDEX($W$2:$W$1001,MATCH(ROWS($V$2:V666),$V$2:$V$1001,0),1)&gt;=100000,INDEX($AC$1005:$AS$1005,1,MATCH(COLUMNS($AC$1006:AI1006),$AC$1006:$AS$1006,0))&gt;=100000), " ",IF(INDEX($AC$2:$AS$1001,MATCH(ROWS($V$2:V666),$V$2:$V$1001,0),MATCH(COLUMNS($AC$1006:AI1006),$AC$1006:$AS$1006,0)), HYPERLINK("#",""), HYPERLINK(CONCATENATE("#Metadata!", ADDRESS(INDEX($X$2:$X$1001,MATCH(ROWS($V$2:V666),$V$2:$V$1001,0),0), INDEX($AC$1004:$AS$1004,1,MATCH(COLUMNS($AC$1006:AI1006),$AC$1006:$AS$1006,0)))),"Fix")))</f>
        <v>0</v>
      </c>
      <c r="I666" s="5">
        <f>IF(OR(INDEX($W$2:$W$1001,MATCH(ROWS($V$2:V666),$V$2:$V$1001,0),1)&gt;=100000,INDEX($AC$1005:$AS$1005,1,MATCH(COLUMNS($AC$1006:AJ1006),$AC$1006:$AS$1006,0))&gt;=100000), " ",IF(INDEX($AC$2:$AS$1001,MATCH(ROWS($V$2:V666),$V$2:$V$1001,0),MATCH(COLUMNS($AC$1006:AJ1006),$AC$1006:$AS$1006,0)), HYPERLINK("#",""), HYPERLINK(CONCATENATE("#Metadata!", ADDRESS(INDEX($X$2:$X$1001,MATCH(ROWS($V$2:V666),$V$2:$V$1001,0),0), INDEX($AC$1004:$AS$1004,1,MATCH(COLUMNS($AC$1006:AJ1006),$AC$1006:$AS$1006,0)))),"Fix")))</f>
        <v>0</v>
      </c>
      <c r="J666" s="5">
        <f>IF(OR(INDEX($W$2:$W$1001,MATCH(ROWS($V$2:V666),$V$2:$V$1001,0),1)&gt;=100000,INDEX($AC$1005:$AS$1005,1,MATCH(COLUMNS($AC$1006:AK1006),$AC$1006:$AS$1006,0))&gt;=100000), " ",IF(INDEX($AC$2:$AS$1001,MATCH(ROWS($V$2:V666),$V$2:$V$1001,0),MATCH(COLUMNS($AC$1006:AK1006),$AC$1006:$AS$1006,0)), HYPERLINK("#",""), HYPERLINK(CONCATENATE("#Metadata!", ADDRESS(INDEX($X$2:$X$1001,MATCH(ROWS($V$2:V666),$V$2:$V$1001,0),0), INDEX($AC$1004:$AS$1004,1,MATCH(COLUMNS($AC$1006:AK1006),$AC$1006:$AS$1006,0)))),"Fix")))</f>
        <v>0</v>
      </c>
      <c r="K666" s="5">
        <f>IF(OR(INDEX($W$2:$W$1001,MATCH(ROWS($V$2:V666),$V$2:$V$1001,0),1)&gt;=100000,INDEX($AC$1005:$AS$1005,1,MATCH(COLUMNS($AC$1006:AL1006),$AC$1006:$AS$1006,0))&gt;=100000), " ",IF(INDEX($AC$2:$AS$1001,MATCH(ROWS($V$2:V666),$V$2:$V$1001,0),MATCH(COLUMNS($AC$1006:AL1006),$AC$1006:$AS$1006,0)), HYPERLINK("#",""), HYPERLINK(CONCATENATE("#Metadata!", ADDRESS(INDEX($X$2:$X$1001,MATCH(ROWS($V$2:V666),$V$2:$V$1001,0),0), INDEX($AC$1004:$AS$1004,1,MATCH(COLUMNS($AC$1006:AL1006),$AC$1006:$AS$1006,0)))),"Fix")))</f>
        <v>0</v>
      </c>
      <c r="L666" s="5">
        <f>IF(OR(INDEX($W$2:$W$1001,MATCH(ROWS($V$2:V666),$V$2:$V$1001,0),1)&gt;=100000,INDEX($AC$1005:$AS$1005,1,MATCH(COLUMNS($AC$1006:AM1006),$AC$1006:$AS$1006,0))&gt;=100000), " ",IF(INDEX($AC$2:$AS$1001,MATCH(ROWS($V$2:V666),$V$2:$V$1001,0),MATCH(COLUMNS($AC$1006:AM1006),$AC$1006:$AS$1006,0)), HYPERLINK("#",""), HYPERLINK(CONCATENATE("#Metadata!", ADDRESS(INDEX($X$2:$X$1001,MATCH(ROWS($V$2:V666),$V$2:$V$1001,0),0), INDEX($AC$1004:$AS$1004,1,MATCH(COLUMNS($AC$1006:AM1006),$AC$1006:$AS$1006,0)))),"Fix")))</f>
        <v>0</v>
      </c>
      <c r="M666" s="5">
        <f>IF(OR(INDEX($W$2:$W$1001,MATCH(ROWS($V$2:V666),$V$2:$V$1001,0),1)&gt;=100000,INDEX($AC$1005:$AS$1005,1,MATCH(COLUMNS($AC$1006:AN1006),$AC$1006:$AS$1006,0))&gt;=100000), " ",IF(INDEX($AC$2:$AS$1001,MATCH(ROWS($V$2:V666),$V$2:$V$1001,0),MATCH(COLUMNS($AC$1006:AN1006),$AC$1006:$AS$1006,0)), HYPERLINK("#",""), HYPERLINK(CONCATENATE("#Metadata!", ADDRESS(INDEX($X$2:$X$1001,MATCH(ROWS($V$2:V666),$V$2:$V$1001,0),0), INDEX($AC$1004:$AS$1004,1,MATCH(COLUMNS($AC$1006:AN1006),$AC$1006:$AS$1006,0)))),"Fix")))</f>
        <v>0</v>
      </c>
      <c r="N666" s="5">
        <f>IF(OR(INDEX($W$2:$W$1001,MATCH(ROWS($V$2:V666),$V$2:$V$1001,0),1)&gt;=100000,INDEX($AC$1005:$AS$1005,1,MATCH(COLUMNS($AC$1006:AO1006),$AC$1006:$AS$1006,0))&gt;=100000), " ",IF(INDEX($AC$2:$AS$1001,MATCH(ROWS($V$2:V666),$V$2:$V$1001,0),MATCH(COLUMNS($AC$1006:AO1006),$AC$1006:$AS$1006,0)), HYPERLINK("#",""), HYPERLINK(CONCATENATE("#Metadata!", ADDRESS(INDEX($X$2:$X$1001,MATCH(ROWS($V$2:V666),$V$2:$V$1001,0),0), INDEX($AC$1004:$AS$1004,1,MATCH(COLUMNS($AC$1006:AO1006),$AC$1006:$AS$1006,0)))),"Fix")))</f>
        <v>0</v>
      </c>
      <c r="O666" s="5">
        <f>IF(OR(INDEX($W$2:$W$1001,MATCH(ROWS($V$2:V666),$V$2:$V$1001,0),1)&gt;=100000,INDEX($AC$1005:$AS$1005,1,MATCH(COLUMNS($AC$1006:AP1006),$AC$1006:$AS$1006,0))&gt;=100000), " ",IF(INDEX($AC$2:$AS$1001,MATCH(ROWS($V$2:V666),$V$2:$V$1001,0),MATCH(COLUMNS($AC$1006:AP1006),$AC$1006:$AS$1006,0)), HYPERLINK("#",""), HYPERLINK(CONCATENATE("#Metadata!", ADDRESS(INDEX($X$2:$X$1001,MATCH(ROWS($V$2:V666),$V$2:$V$1001,0),0), INDEX($AC$1004:$AS$1004,1,MATCH(COLUMNS($AC$1006:AP1006),$AC$1006:$AS$1006,0)))),"Fix")))</f>
        <v>0</v>
      </c>
      <c r="P666" s="5">
        <f>IF(OR(INDEX($W$2:$W$1001,MATCH(ROWS($V$2:V666),$V$2:$V$1001,0),1)&gt;=100000,INDEX($AC$1005:$AS$1005,1,MATCH(COLUMNS($AC$1006:AQ1006),$AC$1006:$AS$1006,0))&gt;=100000), " ",IF(INDEX($AC$2:$AS$1001,MATCH(ROWS($V$2:V666),$V$2:$V$1001,0),MATCH(COLUMNS($AC$1006:AQ1006),$AC$1006:$AS$1006,0)), HYPERLINK("#",""), HYPERLINK(CONCATENATE("#Metadata!", ADDRESS(INDEX($X$2:$X$1001,MATCH(ROWS($V$2:V666),$V$2:$V$1001,0),0), INDEX($AC$1004:$AS$1004,1,MATCH(COLUMNS($AC$1006:AQ1006),$AC$1006:$AS$1006,0)))),"Fix")))</f>
        <v>0</v>
      </c>
      <c r="Q666" s="5">
        <f>IF(OR(INDEX($W$2:$W$1001,MATCH(ROWS($V$2:V666),$V$2:$V$1001,0),1)&gt;=100000,INDEX($AC$1005:$AS$1005,1,MATCH(COLUMNS($AC$1006:AR1006),$AC$1006:$AS$1006,0))&gt;=100000), " ",IF(INDEX($AC$2:$AS$1001,MATCH(ROWS($V$2:V666),$V$2:$V$1001,0),MATCH(COLUMNS($AC$1006:AR1006),$AC$1006:$AS$1006,0)), HYPERLINK("#",""), HYPERLINK(CONCATENATE("#Metadata!", ADDRESS(INDEX($X$2:$X$1001,MATCH(ROWS($V$2:V666),$V$2:$V$1001,0),0), INDEX($AC$1004:$AS$1004,1,MATCH(COLUMNS($AC$1006:AR1006),$AC$1006:$AS$1006,0)))),"Fix")))</f>
        <v>0</v>
      </c>
      <c r="R666" s="5">
        <f>IF(OR(INDEX($W$2:$W$1001,MATCH(ROWS($V$2:V666),$V$2:$V$1001,0),1)&gt;=100000,INDEX($AC$1005:$AS$1005,1,MATCH(COLUMNS($AC$1006:AS1006),$AC$1006:$AS$1006,0))&gt;=100000), " ",IF(INDEX($AC$2:$AS$1001,MATCH(ROWS($V$2:V666),$V$2:$V$1001,0),MATCH(COLUMNS($AC$1006:AS1006),$AC$1006:$AS$1006,0)), HYPERLINK("#",""), HYPERLINK(CONCATENATE("#Metadata!", ADDRESS(INDEX($X$2:$X$1001,MATCH(ROWS($V$2:V666),$V$2:$V$1001,0),0), INDEX($AC$1004:$AS$1004,1,MATCH(COLUMNS($AC$1006:AS1006),$AC$1006:$AS$1006,0)))),"Fix")))</f>
        <v>0</v>
      </c>
      <c r="V666">
        <v>0</v>
      </c>
      <c r="W666">
        <v>0</v>
      </c>
      <c r="X666">
        <v>0</v>
      </c>
      <c r="Y666">
        <f>IF(Z666,TRUE,AND(AC666:AS666))</f>
        <v>0</v>
      </c>
      <c r="Z666">
        <f>COUNTBLANK(Metadata!B666:R666)=COLUMNS(Metadata!B666:R666)</f>
        <v>0</v>
      </c>
      <c r="AA666">
        <v>0</v>
      </c>
      <c r="AC666">
        <f>AND(IF(Metadata!B666="",FALSE,TRUE),COUNTIF(Metadata!B:B, Metadata!B666) = 1,NOT(ISERROR(SUMPRODUCT(SEARCH(MID(Metadata!B666,ROW(INDIRECT("1:"&amp;LEN(Metadata!B666))), 1),"0123456789abcdefghijklmnopqrstuvwxyzABCDEFGHIJKLMNOPQRSTUVWXYZ.")))))</f>
        <v>0</v>
      </c>
      <c r="AD666">
        <f>AND(IF(Metadata!C666="",FALSE,TRUE),exact(Metadata!C666,"Host-associated"))</f>
        <v>0</v>
      </c>
      <c r="AE666">
        <f>AND(IF(Metadata!D666="",FALSE,TRUE),OR(exact(Metadata!D666,"Animal"),exact(Metadata!D666,"Fungus"),exact(Metadata!D666,"Plant")))</f>
        <v>0</v>
      </c>
      <c r="AF666">
        <f>AND(IF(Metadata!E666="",FALSE,TRUE),OR(exact(Metadata!E666,"Plant secretion"),exact(Metadata!E666,"Plant rhizosphere"),exact(Metadata!E666,"Plant surface"),exact(Metadata!E666,"Plant corpus"),exact(Metadata!E666,"Fungus surface"),exact(Metadata!E666,"Fungus corpus"),exact(Metadata!E666,"Animal surface"),exact(Metadata!E666,"Animal proximal gut"),exact(Metadata!E666,"Animal corpus"),exact(Metadata!E666,"Animal distal gut"),exact(Metadata!E666,"Animal secretion")))</f>
        <v>0</v>
      </c>
      <c r="AG666">
        <f>OR(AND(IF(Metadata!F666="",FALSE,TRUE),OR(exact(Metadata!F666,"not collected"),exact(Metadata!F666,"not provided"),exact(Metadata!F666,"restricted access"))),AND(IF(Metadata!F666="",FALSE,TRUE),OR(exact(Metadata!F666,"organism-associated habitat"),exact(Metadata!F666,"plant-associated habitat"),exact(Metadata!F666,"animal-associated habitat"),exact(Metadata!F666,"insecta-associated habitat"),exact(Metadata!F666,"mammalia-associated habitat"),exact(Metadata!F666,"human-associated habitat"),exact(Metadata!F666,"livestock-associated habitat"))))</f>
        <v>0</v>
      </c>
      <c r="AH666">
        <f>AND(IF(Metadata!G666="",FALSE,TRUE),exact(Metadata!G666,"host-associated"))</f>
        <v>0</v>
      </c>
      <c r="AI666">
        <f>OR(AND(IF(Metadata!H666="",FALSE,TRUE),OR(exact(Metadata!H666,"not collected"),exact(Metadata!H666,"not provided"))),AND(IF(Metadata!H666="",FALSE,ISNUMBER(VALUE(Metadata!H666))),Metadata!H666&gt;0))</f>
        <v>0</v>
      </c>
      <c r="AJ666">
        <f>AND(IF(Metadata!I666="",FALSE,TRUE),exact(Metadata!I666,"years"))</f>
        <v>0</v>
      </c>
      <c r="AK666">
        <f>IF(Metadata!J666="",FALSE,TRUE)</f>
        <v>0</v>
      </c>
      <c r="AL666">
        <f>OR(AND(IF(Metadata!K666="",FALSE,TRUE),OR(exact(Metadata!K666,"not collected"),exact(Metadata!K666,"not provided"))),AND(IF(Metadata!K666="",FALSE,ISNUMBER(VALUE(Metadata!K666))),Metadata!K666&gt;0))</f>
        <v>0</v>
      </c>
      <c r="AM666">
        <f>AND(IF(Metadata!L666="",FALSE,TRUE),exact(Metadata!L666,"cm"))</f>
        <v>0</v>
      </c>
      <c r="AN666">
        <f>IF(Metadata!M666="",FALSE,TRUE)</f>
        <v>0</v>
      </c>
      <c r="AO666">
        <f>OR(AND(IF(Metadata!N666="",FALSE,TRUE),OR(exact(Metadata!N666,"not applicable"),exact(Metadata!N666,"not collected"),exact(Metadata!N666,"not provided"))),AND(IF(Metadata!N666="",FALSE,IF(ISERROR(INT(Metadata!N666)),FALSE,INT(Metadata!N666)=Metadata!N666)),Metadata!N666&gt;0))</f>
        <v>0</v>
      </c>
      <c r="AP666">
        <f>OR(AND(IF(Metadata!O666="",FALSE,TRUE),OR(exact(Metadata!O666,"not collected"),exact(Metadata!O666,"not provided"))),AND(IF(Metadata!O666="",FALSE,ISNUMBER(VALUE(Metadata!O666))),Metadata!O666&gt;0))</f>
        <v>0</v>
      </c>
      <c r="AQ666">
        <f>AND(IF(Metadata!P666="",FALSE,TRUE),exact(Metadata!P666,"kg"))</f>
        <v>0</v>
      </c>
      <c r="AR666">
        <f>OR(AND(IF(Metadata!Q666="",FALSE,TRUE),OR(exact(Metadata!Q666,"not applicable"),exact(Metadata!Q666,"not collected"),exact(Metadata!Q666,"not provided"),exact(Metadata!Q666,"restricted access"))),IF(Metadata!Q666="",FALSE,IF(ISERROR(INT(Metadata!Q666)),FALSE,INT(Metadata!Q666)=Metadata!Q666)))</f>
        <v>0</v>
      </c>
      <c r="AS666">
        <f>AND(IF(Metadata!R666="",FALSE,TRUE),exact(Metadata!R666,"Not applicable"))</f>
        <v>0</v>
      </c>
    </row>
    <row r="667" spans="1:45">
      <c r="A667" s="4">
        <f>IF(B667=" "," ",HYPERLINK(CONCATENATE("#metadata!",ADDRESS(INDEX($X$2:$X$1001,MATCH(ROWS($V$2:V667),$V$2:$V$1001,0),0),2)),INDEX($AA$2:$AA$1001,MATCH(ROWS($V$2:V667),$V$2:$V$1001,0),0)))</f>
        <v>0</v>
      </c>
      <c r="B667" s="5">
        <f>IF(OR(INDEX($W$2:$W$1001,MATCH(ROWS($V$2:V667),$V$2:$V$1001,0),1)&gt;=100000,INDEX($AC$1005:$AS$1005,1,MATCH(COLUMNS($AC$1006:AC1006),$AC$1006:$AS$1006,0))&gt;=100000), " ",IF(INDEX($AC$2:$AS$1001,MATCH(ROWS($V$2:V667),$V$2:$V$1001,0),MATCH(COLUMNS($AC$1006:AC1006),$AC$1006:$AS$1006,0)), HYPERLINK("#",""), HYPERLINK(CONCATENATE("#Metadata!", ADDRESS(INDEX($X$2:$X$1001,MATCH(ROWS($V$2:V667),$V$2:$V$1001,0),0), INDEX($AC$1004:$AS$1004,1,MATCH(COLUMNS($AC$1006:AC1006),$AC$1006:$AS$1006,0)))),"Fix")))</f>
        <v>0</v>
      </c>
      <c r="C667" s="5">
        <f>IF(OR(INDEX($W$2:$W$1001,MATCH(ROWS($V$2:V667),$V$2:$V$1001,0),1)&gt;=100000,INDEX($AC$1005:$AS$1005,1,MATCH(COLUMNS($AC$1006:AD1006),$AC$1006:$AS$1006,0))&gt;=100000), " ",IF(INDEX($AC$2:$AS$1001,MATCH(ROWS($V$2:V667),$V$2:$V$1001,0),MATCH(COLUMNS($AC$1006:AD1006),$AC$1006:$AS$1006,0)), HYPERLINK("#",""), HYPERLINK(CONCATENATE("#Metadata!", ADDRESS(INDEX($X$2:$X$1001,MATCH(ROWS($V$2:V667),$V$2:$V$1001,0),0), INDEX($AC$1004:$AS$1004,1,MATCH(COLUMNS($AC$1006:AD1006),$AC$1006:$AS$1006,0)))),"Fix")))</f>
        <v>0</v>
      </c>
      <c r="D667" s="5">
        <f>IF(OR(INDEX($W$2:$W$1001,MATCH(ROWS($V$2:V667),$V$2:$V$1001,0),1)&gt;=100000,INDEX($AC$1005:$AS$1005,1,MATCH(COLUMNS($AC$1006:AE1006),$AC$1006:$AS$1006,0))&gt;=100000), " ",IF(INDEX($AC$2:$AS$1001,MATCH(ROWS($V$2:V667),$V$2:$V$1001,0),MATCH(COLUMNS($AC$1006:AE1006),$AC$1006:$AS$1006,0)), HYPERLINK("#",""), HYPERLINK(CONCATENATE("#Metadata!", ADDRESS(INDEX($X$2:$X$1001,MATCH(ROWS($V$2:V667),$V$2:$V$1001,0),0), INDEX($AC$1004:$AS$1004,1,MATCH(COLUMNS($AC$1006:AE1006),$AC$1006:$AS$1006,0)))),"Fix")))</f>
        <v>0</v>
      </c>
      <c r="E667" s="5">
        <f>IF(OR(INDEX($W$2:$W$1001,MATCH(ROWS($V$2:V667),$V$2:$V$1001,0),1)&gt;=100000,INDEX($AC$1005:$AS$1005,1,MATCH(COLUMNS($AC$1006:AF1006),$AC$1006:$AS$1006,0))&gt;=100000), " ",IF(INDEX($AC$2:$AS$1001,MATCH(ROWS($V$2:V667),$V$2:$V$1001,0),MATCH(COLUMNS($AC$1006:AF1006),$AC$1006:$AS$1006,0)), HYPERLINK("#",""), HYPERLINK(CONCATENATE("#Metadata!", ADDRESS(INDEX($X$2:$X$1001,MATCH(ROWS($V$2:V667),$V$2:$V$1001,0),0), INDEX($AC$1004:$AS$1004,1,MATCH(COLUMNS($AC$1006:AF1006),$AC$1006:$AS$1006,0)))),"Fix")))</f>
        <v>0</v>
      </c>
      <c r="F667" s="5">
        <f>IF(OR(INDEX($W$2:$W$1001,MATCH(ROWS($V$2:V667),$V$2:$V$1001,0),1)&gt;=100000,INDEX($AC$1005:$AS$1005,1,MATCH(COLUMNS($AC$1006:AG1006),$AC$1006:$AS$1006,0))&gt;=100000), " ",IF(INDEX($AC$2:$AS$1001,MATCH(ROWS($V$2:V667),$V$2:$V$1001,0),MATCH(COLUMNS($AC$1006:AG1006),$AC$1006:$AS$1006,0)), HYPERLINK("#",""), HYPERLINK(CONCATENATE("#Metadata!", ADDRESS(INDEX($X$2:$X$1001,MATCH(ROWS($V$2:V667),$V$2:$V$1001,0),0), INDEX($AC$1004:$AS$1004,1,MATCH(COLUMNS($AC$1006:AG1006),$AC$1006:$AS$1006,0)))),"Fix")))</f>
        <v>0</v>
      </c>
      <c r="G667" s="5">
        <f>IF(OR(INDEX($W$2:$W$1001,MATCH(ROWS($V$2:V667),$V$2:$V$1001,0),1)&gt;=100000,INDEX($AC$1005:$AS$1005,1,MATCH(COLUMNS($AC$1006:AH1006),$AC$1006:$AS$1006,0))&gt;=100000), " ",IF(INDEX($AC$2:$AS$1001,MATCH(ROWS($V$2:V667),$V$2:$V$1001,0),MATCH(COLUMNS($AC$1006:AH1006),$AC$1006:$AS$1006,0)), HYPERLINK("#",""), HYPERLINK(CONCATENATE("#Metadata!", ADDRESS(INDEX($X$2:$X$1001,MATCH(ROWS($V$2:V667),$V$2:$V$1001,0),0), INDEX($AC$1004:$AS$1004,1,MATCH(COLUMNS($AC$1006:AH1006),$AC$1006:$AS$1006,0)))),"Fix")))</f>
        <v>0</v>
      </c>
      <c r="H667" s="5">
        <f>IF(OR(INDEX($W$2:$W$1001,MATCH(ROWS($V$2:V667),$V$2:$V$1001,0),1)&gt;=100000,INDEX($AC$1005:$AS$1005,1,MATCH(COLUMNS($AC$1006:AI1006),$AC$1006:$AS$1006,0))&gt;=100000), " ",IF(INDEX($AC$2:$AS$1001,MATCH(ROWS($V$2:V667),$V$2:$V$1001,0),MATCH(COLUMNS($AC$1006:AI1006),$AC$1006:$AS$1006,0)), HYPERLINK("#",""), HYPERLINK(CONCATENATE("#Metadata!", ADDRESS(INDEX($X$2:$X$1001,MATCH(ROWS($V$2:V667),$V$2:$V$1001,0),0), INDEX($AC$1004:$AS$1004,1,MATCH(COLUMNS($AC$1006:AI1006),$AC$1006:$AS$1006,0)))),"Fix")))</f>
        <v>0</v>
      </c>
      <c r="I667" s="5">
        <f>IF(OR(INDEX($W$2:$W$1001,MATCH(ROWS($V$2:V667),$V$2:$V$1001,0),1)&gt;=100000,INDEX($AC$1005:$AS$1005,1,MATCH(COLUMNS($AC$1006:AJ1006),$AC$1006:$AS$1006,0))&gt;=100000), " ",IF(INDEX($AC$2:$AS$1001,MATCH(ROWS($V$2:V667),$V$2:$V$1001,0),MATCH(COLUMNS($AC$1006:AJ1006),$AC$1006:$AS$1006,0)), HYPERLINK("#",""), HYPERLINK(CONCATENATE("#Metadata!", ADDRESS(INDEX($X$2:$X$1001,MATCH(ROWS($V$2:V667),$V$2:$V$1001,0),0), INDEX($AC$1004:$AS$1004,1,MATCH(COLUMNS($AC$1006:AJ1006),$AC$1006:$AS$1006,0)))),"Fix")))</f>
        <v>0</v>
      </c>
      <c r="J667" s="5">
        <f>IF(OR(INDEX($W$2:$W$1001,MATCH(ROWS($V$2:V667),$V$2:$V$1001,0),1)&gt;=100000,INDEX($AC$1005:$AS$1005,1,MATCH(COLUMNS($AC$1006:AK1006),$AC$1006:$AS$1006,0))&gt;=100000), " ",IF(INDEX($AC$2:$AS$1001,MATCH(ROWS($V$2:V667),$V$2:$V$1001,0),MATCH(COLUMNS($AC$1006:AK1006),$AC$1006:$AS$1006,0)), HYPERLINK("#",""), HYPERLINK(CONCATENATE("#Metadata!", ADDRESS(INDEX($X$2:$X$1001,MATCH(ROWS($V$2:V667),$V$2:$V$1001,0),0), INDEX($AC$1004:$AS$1004,1,MATCH(COLUMNS($AC$1006:AK1006),$AC$1006:$AS$1006,0)))),"Fix")))</f>
        <v>0</v>
      </c>
      <c r="K667" s="5">
        <f>IF(OR(INDEX($W$2:$W$1001,MATCH(ROWS($V$2:V667),$V$2:$V$1001,0),1)&gt;=100000,INDEX($AC$1005:$AS$1005,1,MATCH(COLUMNS($AC$1006:AL1006),$AC$1006:$AS$1006,0))&gt;=100000), " ",IF(INDEX($AC$2:$AS$1001,MATCH(ROWS($V$2:V667),$V$2:$V$1001,0),MATCH(COLUMNS($AC$1006:AL1006),$AC$1006:$AS$1006,0)), HYPERLINK("#",""), HYPERLINK(CONCATENATE("#Metadata!", ADDRESS(INDEX($X$2:$X$1001,MATCH(ROWS($V$2:V667),$V$2:$V$1001,0),0), INDEX($AC$1004:$AS$1004,1,MATCH(COLUMNS($AC$1006:AL1006),$AC$1006:$AS$1006,0)))),"Fix")))</f>
        <v>0</v>
      </c>
      <c r="L667" s="5">
        <f>IF(OR(INDEX($W$2:$W$1001,MATCH(ROWS($V$2:V667),$V$2:$V$1001,0),1)&gt;=100000,INDEX($AC$1005:$AS$1005,1,MATCH(COLUMNS($AC$1006:AM1006),$AC$1006:$AS$1006,0))&gt;=100000), " ",IF(INDEX($AC$2:$AS$1001,MATCH(ROWS($V$2:V667),$V$2:$V$1001,0),MATCH(COLUMNS($AC$1006:AM1006),$AC$1006:$AS$1006,0)), HYPERLINK("#",""), HYPERLINK(CONCATENATE("#Metadata!", ADDRESS(INDEX($X$2:$X$1001,MATCH(ROWS($V$2:V667),$V$2:$V$1001,0),0), INDEX($AC$1004:$AS$1004,1,MATCH(COLUMNS($AC$1006:AM1006),$AC$1006:$AS$1006,0)))),"Fix")))</f>
        <v>0</v>
      </c>
      <c r="M667" s="5">
        <f>IF(OR(INDEX($W$2:$W$1001,MATCH(ROWS($V$2:V667),$V$2:$V$1001,0),1)&gt;=100000,INDEX($AC$1005:$AS$1005,1,MATCH(COLUMNS($AC$1006:AN1006),$AC$1006:$AS$1006,0))&gt;=100000), " ",IF(INDEX($AC$2:$AS$1001,MATCH(ROWS($V$2:V667),$V$2:$V$1001,0),MATCH(COLUMNS($AC$1006:AN1006),$AC$1006:$AS$1006,0)), HYPERLINK("#",""), HYPERLINK(CONCATENATE("#Metadata!", ADDRESS(INDEX($X$2:$X$1001,MATCH(ROWS($V$2:V667),$V$2:$V$1001,0),0), INDEX($AC$1004:$AS$1004,1,MATCH(COLUMNS($AC$1006:AN1006),$AC$1006:$AS$1006,0)))),"Fix")))</f>
        <v>0</v>
      </c>
      <c r="N667" s="5">
        <f>IF(OR(INDEX($W$2:$W$1001,MATCH(ROWS($V$2:V667),$V$2:$V$1001,0),1)&gt;=100000,INDEX($AC$1005:$AS$1005,1,MATCH(COLUMNS($AC$1006:AO1006),$AC$1006:$AS$1006,0))&gt;=100000), " ",IF(INDEX($AC$2:$AS$1001,MATCH(ROWS($V$2:V667),$V$2:$V$1001,0),MATCH(COLUMNS($AC$1006:AO1006),$AC$1006:$AS$1006,0)), HYPERLINK("#",""), HYPERLINK(CONCATENATE("#Metadata!", ADDRESS(INDEX($X$2:$X$1001,MATCH(ROWS($V$2:V667),$V$2:$V$1001,0),0), INDEX($AC$1004:$AS$1004,1,MATCH(COLUMNS($AC$1006:AO1006),$AC$1006:$AS$1006,0)))),"Fix")))</f>
        <v>0</v>
      </c>
      <c r="O667" s="5">
        <f>IF(OR(INDEX($W$2:$W$1001,MATCH(ROWS($V$2:V667),$V$2:$V$1001,0),1)&gt;=100000,INDEX($AC$1005:$AS$1005,1,MATCH(COLUMNS($AC$1006:AP1006),$AC$1006:$AS$1006,0))&gt;=100000), " ",IF(INDEX($AC$2:$AS$1001,MATCH(ROWS($V$2:V667),$V$2:$V$1001,0),MATCH(COLUMNS($AC$1006:AP1006),$AC$1006:$AS$1006,0)), HYPERLINK("#",""), HYPERLINK(CONCATENATE("#Metadata!", ADDRESS(INDEX($X$2:$X$1001,MATCH(ROWS($V$2:V667),$V$2:$V$1001,0),0), INDEX($AC$1004:$AS$1004,1,MATCH(COLUMNS($AC$1006:AP1006),$AC$1006:$AS$1006,0)))),"Fix")))</f>
        <v>0</v>
      </c>
      <c r="P667" s="5">
        <f>IF(OR(INDEX($W$2:$W$1001,MATCH(ROWS($V$2:V667),$V$2:$V$1001,0),1)&gt;=100000,INDEX($AC$1005:$AS$1005,1,MATCH(COLUMNS($AC$1006:AQ1006),$AC$1006:$AS$1006,0))&gt;=100000), " ",IF(INDEX($AC$2:$AS$1001,MATCH(ROWS($V$2:V667),$V$2:$V$1001,0),MATCH(COLUMNS($AC$1006:AQ1006),$AC$1006:$AS$1006,0)), HYPERLINK("#",""), HYPERLINK(CONCATENATE("#Metadata!", ADDRESS(INDEX($X$2:$X$1001,MATCH(ROWS($V$2:V667),$V$2:$V$1001,0),0), INDEX($AC$1004:$AS$1004,1,MATCH(COLUMNS($AC$1006:AQ1006),$AC$1006:$AS$1006,0)))),"Fix")))</f>
        <v>0</v>
      </c>
      <c r="Q667" s="5">
        <f>IF(OR(INDEX($W$2:$W$1001,MATCH(ROWS($V$2:V667),$V$2:$V$1001,0),1)&gt;=100000,INDEX($AC$1005:$AS$1005,1,MATCH(COLUMNS($AC$1006:AR1006),$AC$1006:$AS$1006,0))&gt;=100000), " ",IF(INDEX($AC$2:$AS$1001,MATCH(ROWS($V$2:V667),$V$2:$V$1001,0),MATCH(COLUMNS($AC$1006:AR1006),$AC$1006:$AS$1006,0)), HYPERLINK("#",""), HYPERLINK(CONCATENATE("#Metadata!", ADDRESS(INDEX($X$2:$X$1001,MATCH(ROWS($V$2:V667),$V$2:$V$1001,0),0), INDEX($AC$1004:$AS$1004,1,MATCH(COLUMNS($AC$1006:AR1006),$AC$1006:$AS$1006,0)))),"Fix")))</f>
        <v>0</v>
      </c>
      <c r="R667" s="5">
        <f>IF(OR(INDEX($W$2:$W$1001,MATCH(ROWS($V$2:V667),$V$2:$V$1001,0),1)&gt;=100000,INDEX($AC$1005:$AS$1005,1,MATCH(COLUMNS($AC$1006:AS1006),$AC$1006:$AS$1006,0))&gt;=100000), " ",IF(INDEX($AC$2:$AS$1001,MATCH(ROWS($V$2:V667),$V$2:$V$1001,0),MATCH(COLUMNS($AC$1006:AS1006),$AC$1006:$AS$1006,0)), HYPERLINK("#",""), HYPERLINK(CONCATENATE("#Metadata!", ADDRESS(INDEX($X$2:$X$1001,MATCH(ROWS($V$2:V667),$V$2:$V$1001,0),0), INDEX($AC$1004:$AS$1004,1,MATCH(COLUMNS($AC$1006:AS1006),$AC$1006:$AS$1006,0)))),"Fix")))</f>
        <v>0</v>
      </c>
      <c r="V667">
        <v>0</v>
      </c>
      <c r="W667">
        <v>0</v>
      </c>
      <c r="X667">
        <v>0</v>
      </c>
      <c r="Y667">
        <f>IF(Z667,TRUE,AND(AC667:AS667))</f>
        <v>0</v>
      </c>
      <c r="Z667">
        <f>COUNTBLANK(Metadata!B667:R667)=COLUMNS(Metadata!B667:R667)</f>
        <v>0</v>
      </c>
      <c r="AA667">
        <v>0</v>
      </c>
      <c r="AC667">
        <f>AND(IF(Metadata!B667="",FALSE,TRUE),COUNTIF(Metadata!B:B, Metadata!B667) = 1,NOT(ISERROR(SUMPRODUCT(SEARCH(MID(Metadata!B667,ROW(INDIRECT("1:"&amp;LEN(Metadata!B667))), 1),"0123456789abcdefghijklmnopqrstuvwxyzABCDEFGHIJKLMNOPQRSTUVWXYZ.")))))</f>
        <v>0</v>
      </c>
      <c r="AD667">
        <f>AND(IF(Metadata!C667="",FALSE,TRUE),exact(Metadata!C667,"Host-associated"))</f>
        <v>0</v>
      </c>
      <c r="AE667">
        <f>AND(IF(Metadata!D667="",FALSE,TRUE),OR(exact(Metadata!D667,"Animal"),exact(Metadata!D667,"Fungus"),exact(Metadata!D667,"Plant")))</f>
        <v>0</v>
      </c>
      <c r="AF667">
        <f>AND(IF(Metadata!E667="",FALSE,TRUE),OR(exact(Metadata!E667,"Plant secretion"),exact(Metadata!E667,"Plant rhizosphere"),exact(Metadata!E667,"Plant surface"),exact(Metadata!E667,"Plant corpus"),exact(Metadata!E667,"Fungus surface"),exact(Metadata!E667,"Fungus corpus"),exact(Metadata!E667,"Animal surface"),exact(Metadata!E667,"Animal proximal gut"),exact(Metadata!E667,"Animal corpus"),exact(Metadata!E667,"Animal distal gut"),exact(Metadata!E667,"Animal secretion")))</f>
        <v>0</v>
      </c>
      <c r="AG667">
        <f>OR(AND(IF(Metadata!F667="",FALSE,TRUE),OR(exact(Metadata!F667,"not collected"),exact(Metadata!F667,"not provided"),exact(Metadata!F667,"restricted access"))),AND(IF(Metadata!F667="",FALSE,TRUE),OR(exact(Metadata!F667,"organism-associated habitat"),exact(Metadata!F667,"plant-associated habitat"),exact(Metadata!F667,"animal-associated habitat"),exact(Metadata!F667,"insecta-associated habitat"),exact(Metadata!F667,"mammalia-associated habitat"),exact(Metadata!F667,"human-associated habitat"),exact(Metadata!F667,"livestock-associated habitat"))))</f>
        <v>0</v>
      </c>
      <c r="AH667">
        <f>AND(IF(Metadata!G667="",FALSE,TRUE),exact(Metadata!G667,"host-associated"))</f>
        <v>0</v>
      </c>
      <c r="AI667">
        <f>OR(AND(IF(Metadata!H667="",FALSE,TRUE),OR(exact(Metadata!H667,"not collected"),exact(Metadata!H667,"not provided"))),AND(IF(Metadata!H667="",FALSE,ISNUMBER(VALUE(Metadata!H667))),Metadata!H667&gt;0))</f>
        <v>0</v>
      </c>
      <c r="AJ667">
        <f>AND(IF(Metadata!I667="",FALSE,TRUE),exact(Metadata!I667,"years"))</f>
        <v>0</v>
      </c>
      <c r="AK667">
        <f>IF(Metadata!J667="",FALSE,TRUE)</f>
        <v>0</v>
      </c>
      <c r="AL667">
        <f>OR(AND(IF(Metadata!K667="",FALSE,TRUE),OR(exact(Metadata!K667,"not collected"),exact(Metadata!K667,"not provided"))),AND(IF(Metadata!K667="",FALSE,ISNUMBER(VALUE(Metadata!K667))),Metadata!K667&gt;0))</f>
        <v>0</v>
      </c>
      <c r="AM667">
        <f>AND(IF(Metadata!L667="",FALSE,TRUE),exact(Metadata!L667,"cm"))</f>
        <v>0</v>
      </c>
      <c r="AN667">
        <f>IF(Metadata!M667="",FALSE,TRUE)</f>
        <v>0</v>
      </c>
      <c r="AO667">
        <f>OR(AND(IF(Metadata!N667="",FALSE,TRUE),OR(exact(Metadata!N667,"not applicable"),exact(Metadata!N667,"not collected"),exact(Metadata!N667,"not provided"))),AND(IF(Metadata!N667="",FALSE,IF(ISERROR(INT(Metadata!N667)),FALSE,INT(Metadata!N667)=Metadata!N667)),Metadata!N667&gt;0))</f>
        <v>0</v>
      </c>
      <c r="AP667">
        <f>OR(AND(IF(Metadata!O667="",FALSE,TRUE),OR(exact(Metadata!O667,"not collected"),exact(Metadata!O667,"not provided"))),AND(IF(Metadata!O667="",FALSE,ISNUMBER(VALUE(Metadata!O667))),Metadata!O667&gt;0))</f>
        <v>0</v>
      </c>
      <c r="AQ667">
        <f>AND(IF(Metadata!P667="",FALSE,TRUE),exact(Metadata!P667,"kg"))</f>
        <v>0</v>
      </c>
      <c r="AR667">
        <f>OR(AND(IF(Metadata!Q667="",FALSE,TRUE),OR(exact(Metadata!Q667,"not applicable"),exact(Metadata!Q667,"not collected"),exact(Metadata!Q667,"not provided"),exact(Metadata!Q667,"restricted access"))),IF(Metadata!Q667="",FALSE,IF(ISERROR(INT(Metadata!Q667)),FALSE,INT(Metadata!Q667)=Metadata!Q667)))</f>
        <v>0</v>
      </c>
      <c r="AS667">
        <f>AND(IF(Metadata!R667="",FALSE,TRUE),exact(Metadata!R667,"Not applicable"))</f>
        <v>0</v>
      </c>
    </row>
    <row r="668" spans="1:45">
      <c r="A668" s="4">
        <f>IF(B668=" "," ",HYPERLINK(CONCATENATE("#metadata!",ADDRESS(INDEX($X$2:$X$1001,MATCH(ROWS($V$2:V668),$V$2:$V$1001,0),0),2)),INDEX($AA$2:$AA$1001,MATCH(ROWS($V$2:V668),$V$2:$V$1001,0),0)))</f>
        <v>0</v>
      </c>
      <c r="B668" s="5">
        <f>IF(OR(INDEX($W$2:$W$1001,MATCH(ROWS($V$2:V668),$V$2:$V$1001,0),1)&gt;=100000,INDEX($AC$1005:$AS$1005,1,MATCH(COLUMNS($AC$1006:AC1006),$AC$1006:$AS$1006,0))&gt;=100000), " ",IF(INDEX($AC$2:$AS$1001,MATCH(ROWS($V$2:V668),$V$2:$V$1001,0),MATCH(COLUMNS($AC$1006:AC1006),$AC$1006:$AS$1006,0)), HYPERLINK("#",""), HYPERLINK(CONCATENATE("#Metadata!", ADDRESS(INDEX($X$2:$X$1001,MATCH(ROWS($V$2:V668),$V$2:$V$1001,0),0), INDEX($AC$1004:$AS$1004,1,MATCH(COLUMNS($AC$1006:AC1006),$AC$1006:$AS$1006,0)))),"Fix")))</f>
        <v>0</v>
      </c>
      <c r="C668" s="5">
        <f>IF(OR(INDEX($W$2:$W$1001,MATCH(ROWS($V$2:V668),$V$2:$V$1001,0),1)&gt;=100000,INDEX($AC$1005:$AS$1005,1,MATCH(COLUMNS($AC$1006:AD1006),$AC$1006:$AS$1006,0))&gt;=100000), " ",IF(INDEX($AC$2:$AS$1001,MATCH(ROWS($V$2:V668),$V$2:$V$1001,0),MATCH(COLUMNS($AC$1006:AD1006),$AC$1006:$AS$1006,0)), HYPERLINK("#",""), HYPERLINK(CONCATENATE("#Metadata!", ADDRESS(INDEX($X$2:$X$1001,MATCH(ROWS($V$2:V668),$V$2:$V$1001,0),0), INDEX($AC$1004:$AS$1004,1,MATCH(COLUMNS($AC$1006:AD1006),$AC$1006:$AS$1006,0)))),"Fix")))</f>
        <v>0</v>
      </c>
      <c r="D668" s="5">
        <f>IF(OR(INDEX($W$2:$W$1001,MATCH(ROWS($V$2:V668),$V$2:$V$1001,0),1)&gt;=100000,INDEX($AC$1005:$AS$1005,1,MATCH(COLUMNS($AC$1006:AE1006),$AC$1006:$AS$1006,0))&gt;=100000), " ",IF(INDEX($AC$2:$AS$1001,MATCH(ROWS($V$2:V668),$V$2:$V$1001,0),MATCH(COLUMNS($AC$1006:AE1006),$AC$1006:$AS$1006,0)), HYPERLINK("#",""), HYPERLINK(CONCATENATE("#Metadata!", ADDRESS(INDEX($X$2:$X$1001,MATCH(ROWS($V$2:V668),$V$2:$V$1001,0),0), INDEX($AC$1004:$AS$1004,1,MATCH(COLUMNS($AC$1006:AE1006),$AC$1006:$AS$1006,0)))),"Fix")))</f>
        <v>0</v>
      </c>
      <c r="E668" s="5">
        <f>IF(OR(INDEX($W$2:$W$1001,MATCH(ROWS($V$2:V668),$V$2:$V$1001,0),1)&gt;=100000,INDEX($AC$1005:$AS$1005,1,MATCH(COLUMNS($AC$1006:AF1006),$AC$1006:$AS$1006,0))&gt;=100000), " ",IF(INDEX($AC$2:$AS$1001,MATCH(ROWS($V$2:V668),$V$2:$V$1001,0),MATCH(COLUMNS($AC$1006:AF1006),$AC$1006:$AS$1006,0)), HYPERLINK("#",""), HYPERLINK(CONCATENATE("#Metadata!", ADDRESS(INDEX($X$2:$X$1001,MATCH(ROWS($V$2:V668),$V$2:$V$1001,0),0), INDEX($AC$1004:$AS$1004,1,MATCH(COLUMNS($AC$1006:AF1006),$AC$1006:$AS$1006,0)))),"Fix")))</f>
        <v>0</v>
      </c>
      <c r="F668" s="5">
        <f>IF(OR(INDEX($W$2:$W$1001,MATCH(ROWS($V$2:V668),$V$2:$V$1001,0),1)&gt;=100000,INDEX($AC$1005:$AS$1005,1,MATCH(COLUMNS($AC$1006:AG1006),$AC$1006:$AS$1006,0))&gt;=100000), " ",IF(INDEX($AC$2:$AS$1001,MATCH(ROWS($V$2:V668),$V$2:$V$1001,0),MATCH(COLUMNS($AC$1006:AG1006),$AC$1006:$AS$1006,0)), HYPERLINK("#",""), HYPERLINK(CONCATENATE("#Metadata!", ADDRESS(INDEX($X$2:$X$1001,MATCH(ROWS($V$2:V668),$V$2:$V$1001,0),0), INDEX($AC$1004:$AS$1004,1,MATCH(COLUMNS($AC$1006:AG1006),$AC$1006:$AS$1006,0)))),"Fix")))</f>
        <v>0</v>
      </c>
      <c r="G668" s="5">
        <f>IF(OR(INDEX($W$2:$W$1001,MATCH(ROWS($V$2:V668),$V$2:$V$1001,0),1)&gt;=100000,INDEX($AC$1005:$AS$1005,1,MATCH(COLUMNS($AC$1006:AH1006),$AC$1006:$AS$1006,0))&gt;=100000), " ",IF(INDEX($AC$2:$AS$1001,MATCH(ROWS($V$2:V668),$V$2:$V$1001,0),MATCH(COLUMNS($AC$1006:AH1006),$AC$1006:$AS$1006,0)), HYPERLINK("#",""), HYPERLINK(CONCATENATE("#Metadata!", ADDRESS(INDEX($X$2:$X$1001,MATCH(ROWS($V$2:V668),$V$2:$V$1001,0),0), INDEX($AC$1004:$AS$1004,1,MATCH(COLUMNS($AC$1006:AH1006),$AC$1006:$AS$1006,0)))),"Fix")))</f>
        <v>0</v>
      </c>
      <c r="H668" s="5">
        <f>IF(OR(INDEX($W$2:$W$1001,MATCH(ROWS($V$2:V668),$V$2:$V$1001,0),1)&gt;=100000,INDEX($AC$1005:$AS$1005,1,MATCH(COLUMNS($AC$1006:AI1006),$AC$1006:$AS$1006,0))&gt;=100000), " ",IF(INDEX($AC$2:$AS$1001,MATCH(ROWS($V$2:V668),$V$2:$V$1001,0),MATCH(COLUMNS($AC$1006:AI1006),$AC$1006:$AS$1006,0)), HYPERLINK("#",""), HYPERLINK(CONCATENATE("#Metadata!", ADDRESS(INDEX($X$2:$X$1001,MATCH(ROWS($V$2:V668),$V$2:$V$1001,0),0), INDEX($AC$1004:$AS$1004,1,MATCH(COLUMNS($AC$1006:AI1006),$AC$1006:$AS$1006,0)))),"Fix")))</f>
        <v>0</v>
      </c>
      <c r="I668" s="5">
        <f>IF(OR(INDEX($W$2:$W$1001,MATCH(ROWS($V$2:V668),$V$2:$V$1001,0),1)&gt;=100000,INDEX($AC$1005:$AS$1005,1,MATCH(COLUMNS($AC$1006:AJ1006),$AC$1006:$AS$1006,0))&gt;=100000), " ",IF(INDEX($AC$2:$AS$1001,MATCH(ROWS($V$2:V668),$V$2:$V$1001,0),MATCH(COLUMNS($AC$1006:AJ1006),$AC$1006:$AS$1006,0)), HYPERLINK("#",""), HYPERLINK(CONCATENATE("#Metadata!", ADDRESS(INDEX($X$2:$X$1001,MATCH(ROWS($V$2:V668),$V$2:$V$1001,0),0), INDEX($AC$1004:$AS$1004,1,MATCH(COLUMNS($AC$1006:AJ1006),$AC$1006:$AS$1006,0)))),"Fix")))</f>
        <v>0</v>
      </c>
      <c r="J668" s="5">
        <f>IF(OR(INDEX($W$2:$W$1001,MATCH(ROWS($V$2:V668),$V$2:$V$1001,0),1)&gt;=100000,INDEX($AC$1005:$AS$1005,1,MATCH(COLUMNS($AC$1006:AK1006),$AC$1006:$AS$1006,0))&gt;=100000), " ",IF(INDEX($AC$2:$AS$1001,MATCH(ROWS($V$2:V668),$V$2:$V$1001,0),MATCH(COLUMNS($AC$1006:AK1006),$AC$1006:$AS$1006,0)), HYPERLINK("#",""), HYPERLINK(CONCATENATE("#Metadata!", ADDRESS(INDEX($X$2:$X$1001,MATCH(ROWS($V$2:V668),$V$2:$V$1001,0),0), INDEX($AC$1004:$AS$1004,1,MATCH(COLUMNS($AC$1006:AK1006),$AC$1006:$AS$1006,0)))),"Fix")))</f>
        <v>0</v>
      </c>
      <c r="K668" s="5">
        <f>IF(OR(INDEX($W$2:$W$1001,MATCH(ROWS($V$2:V668),$V$2:$V$1001,0),1)&gt;=100000,INDEX($AC$1005:$AS$1005,1,MATCH(COLUMNS($AC$1006:AL1006),$AC$1006:$AS$1006,0))&gt;=100000), " ",IF(INDEX($AC$2:$AS$1001,MATCH(ROWS($V$2:V668),$V$2:$V$1001,0),MATCH(COLUMNS($AC$1006:AL1006),$AC$1006:$AS$1006,0)), HYPERLINK("#",""), HYPERLINK(CONCATENATE("#Metadata!", ADDRESS(INDEX($X$2:$X$1001,MATCH(ROWS($V$2:V668),$V$2:$V$1001,0),0), INDEX($AC$1004:$AS$1004,1,MATCH(COLUMNS($AC$1006:AL1006),$AC$1006:$AS$1006,0)))),"Fix")))</f>
        <v>0</v>
      </c>
      <c r="L668" s="5">
        <f>IF(OR(INDEX($W$2:$W$1001,MATCH(ROWS($V$2:V668),$V$2:$V$1001,0),1)&gt;=100000,INDEX($AC$1005:$AS$1005,1,MATCH(COLUMNS($AC$1006:AM1006),$AC$1006:$AS$1006,0))&gt;=100000), " ",IF(INDEX($AC$2:$AS$1001,MATCH(ROWS($V$2:V668),$V$2:$V$1001,0),MATCH(COLUMNS($AC$1006:AM1006),$AC$1006:$AS$1006,0)), HYPERLINK("#",""), HYPERLINK(CONCATENATE("#Metadata!", ADDRESS(INDEX($X$2:$X$1001,MATCH(ROWS($V$2:V668),$V$2:$V$1001,0),0), INDEX($AC$1004:$AS$1004,1,MATCH(COLUMNS($AC$1006:AM1006),$AC$1006:$AS$1006,0)))),"Fix")))</f>
        <v>0</v>
      </c>
      <c r="M668" s="5">
        <f>IF(OR(INDEX($W$2:$W$1001,MATCH(ROWS($V$2:V668),$V$2:$V$1001,0),1)&gt;=100000,INDEX($AC$1005:$AS$1005,1,MATCH(COLUMNS($AC$1006:AN1006),$AC$1006:$AS$1006,0))&gt;=100000), " ",IF(INDEX($AC$2:$AS$1001,MATCH(ROWS($V$2:V668),$V$2:$V$1001,0),MATCH(COLUMNS($AC$1006:AN1006),$AC$1006:$AS$1006,0)), HYPERLINK("#",""), HYPERLINK(CONCATENATE("#Metadata!", ADDRESS(INDEX($X$2:$X$1001,MATCH(ROWS($V$2:V668),$V$2:$V$1001,0),0), INDEX($AC$1004:$AS$1004,1,MATCH(COLUMNS($AC$1006:AN1006),$AC$1006:$AS$1006,0)))),"Fix")))</f>
        <v>0</v>
      </c>
      <c r="N668" s="5">
        <f>IF(OR(INDEX($W$2:$W$1001,MATCH(ROWS($V$2:V668),$V$2:$V$1001,0),1)&gt;=100000,INDEX($AC$1005:$AS$1005,1,MATCH(COLUMNS($AC$1006:AO1006),$AC$1006:$AS$1006,0))&gt;=100000), " ",IF(INDEX($AC$2:$AS$1001,MATCH(ROWS($V$2:V668),$V$2:$V$1001,0),MATCH(COLUMNS($AC$1006:AO1006),$AC$1006:$AS$1006,0)), HYPERLINK("#",""), HYPERLINK(CONCATENATE("#Metadata!", ADDRESS(INDEX($X$2:$X$1001,MATCH(ROWS($V$2:V668),$V$2:$V$1001,0),0), INDEX($AC$1004:$AS$1004,1,MATCH(COLUMNS($AC$1006:AO1006),$AC$1006:$AS$1006,0)))),"Fix")))</f>
        <v>0</v>
      </c>
      <c r="O668" s="5">
        <f>IF(OR(INDEX($W$2:$W$1001,MATCH(ROWS($V$2:V668),$V$2:$V$1001,0),1)&gt;=100000,INDEX($AC$1005:$AS$1005,1,MATCH(COLUMNS($AC$1006:AP1006),$AC$1006:$AS$1006,0))&gt;=100000), " ",IF(INDEX($AC$2:$AS$1001,MATCH(ROWS($V$2:V668),$V$2:$V$1001,0),MATCH(COLUMNS($AC$1006:AP1006),$AC$1006:$AS$1006,0)), HYPERLINK("#",""), HYPERLINK(CONCATENATE("#Metadata!", ADDRESS(INDEX($X$2:$X$1001,MATCH(ROWS($V$2:V668),$V$2:$V$1001,0),0), INDEX($AC$1004:$AS$1004,1,MATCH(COLUMNS($AC$1006:AP1006),$AC$1006:$AS$1006,0)))),"Fix")))</f>
        <v>0</v>
      </c>
      <c r="P668" s="5">
        <f>IF(OR(INDEX($W$2:$W$1001,MATCH(ROWS($V$2:V668),$V$2:$V$1001,0),1)&gt;=100000,INDEX($AC$1005:$AS$1005,1,MATCH(COLUMNS($AC$1006:AQ1006),$AC$1006:$AS$1006,0))&gt;=100000), " ",IF(INDEX($AC$2:$AS$1001,MATCH(ROWS($V$2:V668),$V$2:$V$1001,0),MATCH(COLUMNS($AC$1006:AQ1006),$AC$1006:$AS$1006,0)), HYPERLINK("#",""), HYPERLINK(CONCATENATE("#Metadata!", ADDRESS(INDEX($X$2:$X$1001,MATCH(ROWS($V$2:V668),$V$2:$V$1001,0),0), INDEX($AC$1004:$AS$1004,1,MATCH(COLUMNS($AC$1006:AQ1006),$AC$1006:$AS$1006,0)))),"Fix")))</f>
        <v>0</v>
      </c>
      <c r="Q668" s="5">
        <f>IF(OR(INDEX($W$2:$W$1001,MATCH(ROWS($V$2:V668),$V$2:$V$1001,0),1)&gt;=100000,INDEX($AC$1005:$AS$1005,1,MATCH(COLUMNS($AC$1006:AR1006),$AC$1006:$AS$1006,0))&gt;=100000), " ",IF(INDEX($AC$2:$AS$1001,MATCH(ROWS($V$2:V668),$V$2:$V$1001,0),MATCH(COLUMNS($AC$1006:AR1006),$AC$1006:$AS$1006,0)), HYPERLINK("#",""), HYPERLINK(CONCATENATE("#Metadata!", ADDRESS(INDEX($X$2:$X$1001,MATCH(ROWS($V$2:V668),$V$2:$V$1001,0),0), INDEX($AC$1004:$AS$1004,1,MATCH(COLUMNS($AC$1006:AR1006),$AC$1006:$AS$1006,0)))),"Fix")))</f>
        <v>0</v>
      </c>
      <c r="R668" s="5">
        <f>IF(OR(INDEX($W$2:$W$1001,MATCH(ROWS($V$2:V668),$V$2:$V$1001,0),1)&gt;=100000,INDEX($AC$1005:$AS$1005,1,MATCH(COLUMNS($AC$1006:AS1006),$AC$1006:$AS$1006,0))&gt;=100000), " ",IF(INDEX($AC$2:$AS$1001,MATCH(ROWS($V$2:V668),$V$2:$V$1001,0),MATCH(COLUMNS($AC$1006:AS1006),$AC$1006:$AS$1006,0)), HYPERLINK("#",""), HYPERLINK(CONCATENATE("#Metadata!", ADDRESS(INDEX($X$2:$X$1001,MATCH(ROWS($V$2:V668),$V$2:$V$1001,0),0), INDEX($AC$1004:$AS$1004,1,MATCH(COLUMNS($AC$1006:AS1006),$AC$1006:$AS$1006,0)))),"Fix")))</f>
        <v>0</v>
      </c>
      <c r="V668">
        <v>0</v>
      </c>
      <c r="W668">
        <v>0</v>
      </c>
      <c r="X668">
        <v>0</v>
      </c>
      <c r="Y668">
        <f>IF(Z668,TRUE,AND(AC668:AS668))</f>
        <v>0</v>
      </c>
      <c r="Z668">
        <f>COUNTBLANK(Metadata!B668:R668)=COLUMNS(Metadata!B668:R668)</f>
        <v>0</v>
      </c>
      <c r="AA668">
        <v>0</v>
      </c>
      <c r="AC668">
        <f>AND(IF(Metadata!B668="",FALSE,TRUE),COUNTIF(Metadata!B:B, Metadata!B668) = 1,NOT(ISERROR(SUMPRODUCT(SEARCH(MID(Metadata!B668,ROW(INDIRECT("1:"&amp;LEN(Metadata!B668))), 1),"0123456789abcdefghijklmnopqrstuvwxyzABCDEFGHIJKLMNOPQRSTUVWXYZ.")))))</f>
        <v>0</v>
      </c>
      <c r="AD668">
        <f>AND(IF(Metadata!C668="",FALSE,TRUE),exact(Metadata!C668,"Host-associated"))</f>
        <v>0</v>
      </c>
      <c r="AE668">
        <f>AND(IF(Metadata!D668="",FALSE,TRUE),OR(exact(Metadata!D668,"Animal"),exact(Metadata!D668,"Fungus"),exact(Metadata!D668,"Plant")))</f>
        <v>0</v>
      </c>
      <c r="AF668">
        <f>AND(IF(Metadata!E668="",FALSE,TRUE),OR(exact(Metadata!E668,"Plant secretion"),exact(Metadata!E668,"Plant rhizosphere"),exact(Metadata!E668,"Plant surface"),exact(Metadata!E668,"Plant corpus"),exact(Metadata!E668,"Fungus surface"),exact(Metadata!E668,"Fungus corpus"),exact(Metadata!E668,"Animal surface"),exact(Metadata!E668,"Animal proximal gut"),exact(Metadata!E668,"Animal corpus"),exact(Metadata!E668,"Animal distal gut"),exact(Metadata!E668,"Animal secretion")))</f>
        <v>0</v>
      </c>
      <c r="AG668">
        <f>OR(AND(IF(Metadata!F668="",FALSE,TRUE),OR(exact(Metadata!F668,"not collected"),exact(Metadata!F668,"not provided"),exact(Metadata!F668,"restricted access"))),AND(IF(Metadata!F668="",FALSE,TRUE),OR(exact(Metadata!F668,"organism-associated habitat"),exact(Metadata!F668,"plant-associated habitat"),exact(Metadata!F668,"animal-associated habitat"),exact(Metadata!F668,"insecta-associated habitat"),exact(Metadata!F668,"mammalia-associated habitat"),exact(Metadata!F668,"human-associated habitat"),exact(Metadata!F668,"livestock-associated habitat"))))</f>
        <v>0</v>
      </c>
      <c r="AH668">
        <f>AND(IF(Metadata!G668="",FALSE,TRUE),exact(Metadata!G668,"host-associated"))</f>
        <v>0</v>
      </c>
      <c r="AI668">
        <f>OR(AND(IF(Metadata!H668="",FALSE,TRUE),OR(exact(Metadata!H668,"not collected"),exact(Metadata!H668,"not provided"))),AND(IF(Metadata!H668="",FALSE,ISNUMBER(VALUE(Metadata!H668))),Metadata!H668&gt;0))</f>
        <v>0</v>
      </c>
      <c r="AJ668">
        <f>AND(IF(Metadata!I668="",FALSE,TRUE),exact(Metadata!I668,"years"))</f>
        <v>0</v>
      </c>
      <c r="AK668">
        <f>IF(Metadata!J668="",FALSE,TRUE)</f>
        <v>0</v>
      </c>
      <c r="AL668">
        <f>OR(AND(IF(Metadata!K668="",FALSE,TRUE),OR(exact(Metadata!K668,"not collected"),exact(Metadata!K668,"not provided"))),AND(IF(Metadata!K668="",FALSE,ISNUMBER(VALUE(Metadata!K668))),Metadata!K668&gt;0))</f>
        <v>0</v>
      </c>
      <c r="AM668">
        <f>AND(IF(Metadata!L668="",FALSE,TRUE),exact(Metadata!L668,"cm"))</f>
        <v>0</v>
      </c>
      <c r="AN668">
        <f>IF(Metadata!M668="",FALSE,TRUE)</f>
        <v>0</v>
      </c>
      <c r="AO668">
        <f>OR(AND(IF(Metadata!N668="",FALSE,TRUE),OR(exact(Metadata!N668,"not applicable"),exact(Metadata!N668,"not collected"),exact(Metadata!N668,"not provided"))),AND(IF(Metadata!N668="",FALSE,IF(ISERROR(INT(Metadata!N668)),FALSE,INT(Metadata!N668)=Metadata!N668)),Metadata!N668&gt;0))</f>
        <v>0</v>
      </c>
      <c r="AP668">
        <f>OR(AND(IF(Metadata!O668="",FALSE,TRUE),OR(exact(Metadata!O668,"not collected"),exact(Metadata!O668,"not provided"))),AND(IF(Metadata!O668="",FALSE,ISNUMBER(VALUE(Metadata!O668))),Metadata!O668&gt;0))</f>
        <v>0</v>
      </c>
      <c r="AQ668">
        <f>AND(IF(Metadata!P668="",FALSE,TRUE),exact(Metadata!P668,"kg"))</f>
        <v>0</v>
      </c>
      <c r="AR668">
        <f>OR(AND(IF(Metadata!Q668="",FALSE,TRUE),OR(exact(Metadata!Q668,"not applicable"),exact(Metadata!Q668,"not collected"),exact(Metadata!Q668,"not provided"),exact(Metadata!Q668,"restricted access"))),IF(Metadata!Q668="",FALSE,IF(ISERROR(INT(Metadata!Q668)),FALSE,INT(Metadata!Q668)=Metadata!Q668)))</f>
        <v>0</v>
      </c>
      <c r="AS668">
        <f>AND(IF(Metadata!R668="",FALSE,TRUE),exact(Metadata!R668,"Not applicable"))</f>
        <v>0</v>
      </c>
    </row>
    <row r="669" spans="1:45">
      <c r="A669" s="4">
        <f>IF(B669=" "," ",HYPERLINK(CONCATENATE("#metadata!",ADDRESS(INDEX($X$2:$X$1001,MATCH(ROWS($V$2:V669),$V$2:$V$1001,0),0),2)),INDEX($AA$2:$AA$1001,MATCH(ROWS($V$2:V669),$V$2:$V$1001,0),0)))</f>
        <v>0</v>
      </c>
      <c r="B669" s="5">
        <f>IF(OR(INDEX($W$2:$W$1001,MATCH(ROWS($V$2:V669),$V$2:$V$1001,0),1)&gt;=100000,INDEX($AC$1005:$AS$1005,1,MATCH(COLUMNS($AC$1006:AC1006),$AC$1006:$AS$1006,0))&gt;=100000), " ",IF(INDEX($AC$2:$AS$1001,MATCH(ROWS($V$2:V669),$V$2:$V$1001,0),MATCH(COLUMNS($AC$1006:AC1006),$AC$1006:$AS$1006,0)), HYPERLINK("#",""), HYPERLINK(CONCATENATE("#Metadata!", ADDRESS(INDEX($X$2:$X$1001,MATCH(ROWS($V$2:V669),$V$2:$V$1001,0),0), INDEX($AC$1004:$AS$1004,1,MATCH(COLUMNS($AC$1006:AC1006),$AC$1006:$AS$1006,0)))),"Fix")))</f>
        <v>0</v>
      </c>
      <c r="C669" s="5">
        <f>IF(OR(INDEX($W$2:$W$1001,MATCH(ROWS($V$2:V669),$V$2:$V$1001,0),1)&gt;=100000,INDEX($AC$1005:$AS$1005,1,MATCH(COLUMNS($AC$1006:AD1006),$AC$1006:$AS$1006,0))&gt;=100000), " ",IF(INDEX($AC$2:$AS$1001,MATCH(ROWS($V$2:V669),$V$2:$V$1001,0),MATCH(COLUMNS($AC$1006:AD1006),$AC$1006:$AS$1006,0)), HYPERLINK("#",""), HYPERLINK(CONCATENATE("#Metadata!", ADDRESS(INDEX($X$2:$X$1001,MATCH(ROWS($V$2:V669),$V$2:$V$1001,0),0), INDEX($AC$1004:$AS$1004,1,MATCH(COLUMNS($AC$1006:AD1006),$AC$1006:$AS$1006,0)))),"Fix")))</f>
        <v>0</v>
      </c>
      <c r="D669" s="5">
        <f>IF(OR(INDEX($W$2:$W$1001,MATCH(ROWS($V$2:V669),$V$2:$V$1001,0),1)&gt;=100000,INDEX($AC$1005:$AS$1005,1,MATCH(COLUMNS($AC$1006:AE1006),$AC$1006:$AS$1006,0))&gt;=100000), " ",IF(INDEX($AC$2:$AS$1001,MATCH(ROWS($V$2:V669),$V$2:$V$1001,0),MATCH(COLUMNS($AC$1006:AE1006),$AC$1006:$AS$1006,0)), HYPERLINK("#",""), HYPERLINK(CONCATENATE("#Metadata!", ADDRESS(INDEX($X$2:$X$1001,MATCH(ROWS($V$2:V669),$V$2:$V$1001,0),0), INDEX($AC$1004:$AS$1004,1,MATCH(COLUMNS($AC$1006:AE1006),$AC$1006:$AS$1006,0)))),"Fix")))</f>
        <v>0</v>
      </c>
      <c r="E669" s="5">
        <f>IF(OR(INDEX($W$2:$W$1001,MATCH(ROWS($V$2:V669),$V$2:$V$1001,0),1)&gt;=100000,INDEX($AC$1005:$AS$1005,1,MATCH(COLUMNS($AC$1006:AF1006),$AC$1006:$AS$1006,0))&gt;=100000), " ",IF(INDEX($AC$2:$AS$1001,MATCH(ROWS($V$2:V669),$V$2:$V$1001,0),MATCH(COLUMNS($AC$1006:AF1006),$AC$1006:$AS$1006,0)), HYPERLINK("#",""), HYPERLINK(CONCATENATE("#Metadata!", ADDRESS(INDEX($X$2:$X$1001,MATCH(ROWS($V$2:V669),$V$2:$V$1001,0),0), INDEX($AC$1004:$AS$1004,1,MATCH(COLUMNS($AC$1006:AF1006),$AC$1006:$AS$1006,0)))),"Fix")))</f>
        <v>0</v>
      </c>
      <c r="F669" s="5">
        <f>IF(OR(INDEX($W$2:$W$1001,MATCH(ROWS($V$2:V669),$V$2:$V$1001,0),1)&gt;=100000,INDEX($AC$1005:$AS$1005,1,MATCH(COLUMNS($AC$1006:AG1006),$AC$1006:$AS$1006,0))&gt;=100000), " ",IF(INDEX($AC$2:$AS$1001,MATCH(ROWS($V$2:V669),$V$2:$V$1001,0),MATCH(COLUMNS($AC$1006:AG1006),$AC$1006:$AS$1006,0)), HYPERLINK("#",""), HYPERLINK(CONCATENATE("#Metadata!", ADDRESS(INDEX($X$2:$X$1001,MATCH(ROWS($V$2:V669),$V$2:$V$1001,0),0), INDEX($AC$1004:$AS$1004,1,MATCH(COLUMNS($AC$1006:AG1006),$AC$1006:$AS$1006,0)))),"Fix")))</f>
        <v>0</v>
      </c>
      <c r="G669" s="5">
        <f>IF(OR(INDEX($W$2:$W$1001,MATCH(ROWS($V$2:V669),$V$2:$V$1001,0),1)&gt;=100000,INDEX($AC$1005:$AS$1005,1,MATCH(COLUMNS($AC$1006:AH1006),$AC$1006:$AS$1006,0))&gt;=100000), " ",IF(INDEX($AC$2:$AS$1001,MATCH(ROWS($V$2:V669),$V$2:$V$1001,0),MATCH(COLUMNS($AC$1006:AH1006),$AC$1006:$AS$1006,0)), HYPERLINK("#",""), HYPERLINK(CONCATENATE("#Metadata!", ADDRESS(INDEX($X$2:$X$1001,MATCH(ROWS($V$2:V669),$V$2:$V$1001,0),0), INDEX($AC$1004:$AS$1004,1,MATCH(COLUMNS($AC$1006:AH1006),$AC$1006:$AS$1006,0)))),"Fix")))</f>
        <v>0</v>
      </c>
      <c r="H669" s="5">
        <f>IF(OR(INDEX($W$2:$W$1001,MATCH(ROWS($V$2:V669),$V$2:$V$1001,0),1)&gt;=100000,INDEX($AC$1005:$AS$1005,1,MATCH(COLUMNS($AC$1006:AI1006),$AC$1006:$AS$1006,0))&gt;=100000), " ",IF(INDEX($AC$2:$AS$1001,MATCH(ROWS($V$2:V669),$V$2:$V$1001,0),MATCH(COLUMNS($AC$1006:AI1006),$AC$1006:$AS$1006,0)), HYPERLINK("#",""), HYPERLINK(CONCATENATE("#Metadata!", ADDRESS(INDEX($X$2:$X$1001,MATCH(ROWS($V$2:V669),$V$2:$V$1001,0),0), INDEX($AC$1004:$AS$1004,1,MATCH(COLUMNS($AC$1006:AI1006),$AC$1006:$AS$1006,0)))),"Fix")))</f>
        <v>0</v>
      </c>
      <c r="I669" s="5">
        <f>IF(OR(INDEX($W$2:$W$1001,MATCH(ROWS($V$2:V669),$V$2:$V$1001,0),1)&gt;=100000,INDEX($AC$1005:$AS$1005,1,MATCH(COLUMNS($AC$1006:AJ1006),$AC$1006:$AS$1006,0))&gt;=100000), " ",IF(INDEX($AC$2:$AS$1001,MATCH(ROWS($V$2:V669),$V$2:$V$1001,0),MATCH(COLUMNS($AC$1006:AJ1006),$AC$1006:$AS$1006,0)), HYPERLINK("#",""), HYPERLINK(CONCATENATE("#Metadata!", ADDRESS(INDEX($X$2:$X$1001,MATCH(ROWS($V$2:V669),$V$2:$V$1001,0),0), INDEX($AC$1004:$AS$1004,1,MATCH(COLUMNS($AC$1006:AJ1006),$AC$1006:$AS$1006,0)))),"Fix")))</f>
        <v>0</v>
      </c>
      <c r="J669" s="5">
        <f>IF(OR(INDEX($W$2:$W$1001,MATCH(ROWS($V$2:V669),$V$2:$V$1001,0),1)&gt;=100000,INDEX($AC$1005:$AS$1005,1,MATCH(COLUMNS($AC$1006:AK1006),$AC$1006:$AS$1006,0))&gt;=100000), " ",IF(INDEX($AC$2:$AS$1001,MATCH(ROWS($V$2:V669),$V$2:$V$1001,0),MATCH(COLUMNS($AC$1006:AK1006),$AC$1006:$AS$1006,0)), HYPERLINK("#",""), HYPERLINK(CONCATENATE("#Metadata!", ADDRESS(INDEX($X$2:$X$1001,MATCH(ROWS($V$2:V669),$V$2:$V$1001,0),0), INDEX($AC$1004:$AS$1004,1,MATCH(COLUMNS($AC$1006:AK1006),$AC$1006:$AS$1006,0)))),"Fix")))</f>
        <v>0</v>
      </c>
      <c r="K669" s="5">
        <f>IF(OR(INDEX($W$2:$W$1001,MATCH(ROWS($V$2:V669),$V$2:$V$1001,0),1)&gt;=100000,INDEX($AC$1005:$AS$1005,1,MATCH(COLUMNS($AC$1006:AL1006),$AC$1006:$AS$1006,0))&gt;=100000), " ",IF(INDEX($AC$2:$AS$1001,MATCH(ROWS($V$2:V669),$V$2:$V$1001,0),MATCH(COLUMNS($AC$1006:AL1006),$AC$1006:$AS$1006,0)), HYPERLINK("#",""), HYPERLINK(CONCATENATE("#Metadata!", ADDRESS(INDEX($X$2:$X$1001,MATCH(ROWS($V$2:V669),$V$2:$V$1001,0),0), INDEX($AC$1004:$AS$1004,1,MATCH(COLUMNS($AC$1006:AL1006),$AC$1006:$AS$1006,0)))),"Fix")))</f>
        <v>0</v>
      </c>
      <c r="L669" s="5">
        <f>IF(OR(INDEX($W$2:$W$1001,MATCH(ROWS($V$2:V669),$V$2:$V$1001,0),1)&gt;=100000,INDEX($AC$1005:$AS$1005,1,MATCH(COLUMNS($AC$1006:AM1006),$AC$1006:$AS$1006,0))&gt;=100000), " ",IF(INDEX($AC$2:$AS$1001,MATCH(ROWS($V$2:V669),$V$2:$V$1001,0),MATCH(COLUMNS($AC$1006:AM1006),$AC$1006:$AS$1006,0)), HYPERLINK("#",""), HYPERLINK(CONCATENATE("#Metadata!", ADDRESS(INDEX($X$2:$X$1001,MATCH(ROWS($V$2:V669),$V$2:$V$1001,0),0), INDEX($AC$1004:$AS$1004,1,MATCH(COLUMNS($AC$1006:AM1006),$AC$1006:$AS$1006,0)))),"Fix")))</f>
        <v>0</v>
      </c>
      <c r="M669" s="5">
        <f>IF(OR(INDEX($W$2:$W$1001,MATCH(ROWS($V$2:V669),$V$2:$V$1001,0),1)&gt;=100000,INDEX($AC$1005:$AS$1005,1,MATCH(COLUMNS($AC$1006:AN1006),$AC$1006:$AS$1006,0))&gt;=100000), " ",IF(INDEX($AC$2:$AS$1001,MATCH(ROWS($V$2:V669),$V$2:$V$1001,0),MATCH(COLUMNS($AC$1006:AN1006),$AC$1006:$AS$1006,0)), HYPERLINK("#",""), HYPERLINK(CONCATENATE("#Metadata!", ADDRESS(INDEX($X$2:$X$1001,MATCH(ROWS($V$2:V669),$V$2:$V$1001,0),0), INDEX($AC$1004:$AS$1004,1,MATCH(COLUMNS($AC$1006:AN1006),$AC$1006:$AS$1006,0)))),"Fix")))</f>
        <v>0</v>
      </c>
      <c r="N669" s="5">
        <f>IF(OR(INDEX($W$2:$W$1001,MATCH(ROWS($V$2:V669),$V$2:$V$1001,0),1)&gt;=100000,INDEX($AC$1005:$AS$1005,1,MATCH(COLUMNS($AC$1006:AO1006),$AC$1006:$AS$1006,0))&gt;=100000), " ",IF(INDEX($AC$2:$AS$1001,MATCH(ROWS($V$2:V669),$V$2:$V$1001,0),MATCH(COLUMNS($AC$1006:AO1006),$AC$1006:$AS$1006,0)), HYPERLINK("#",""), HYPERLINK(CONCATENATE("#Metadata!", ADDRESS(INDEX($X$2:$X$1001,MATCH(ROWS($V$2:V669),$V$2:$V$1001,0),0), INDEX($AC$1004:$AS$1004,1,MATCH(COLUMNS($AC$1006:AO1006),$AC$1006:$AS$1006,0)))),"Fix")))</f>
        <v>0</v>
      </c>
      <c r="O669" s="5">
        <f>IF(OR(INDEX($W$2:$W$1001,MATCH(ROWS($V$2:V669),$V$2:$V$1001,0),1)&gt;=100000,INDEX($AC$1005:$AS$1005,1,MATCH(COLUMNS($AC$1006:AP1006),$AC$1006:$AS$1006,0))&gt;=100000), " ",IF(INDEX($AC$2:$AS$1001,MATCH(ROWS($V$2:V669),$V$2:$V$1001,0),MATCH(COLUMNS($AC$1006:AP1006),$AC$1006:$AS$1006,0)), HYPERLINK("#",""), HYPERLINK(CONCATENATE("#Metadata!", ADDRESS(INDEX($X$2:$X$1001,MATCH(ROWS($V$2:V669),$V$2:$V$1001,0),0), INDEX($AC$1004:$AS$1004,1,MATCH(COLUMNS($AC$1006:AP1006),$AC$1006:$AS$1006,0)))),"Fix")))</f>
        <v>0</v>
      </c>
      <c r="P669" s="5">
        <f>IF(OR(INDEX($W$2:$W$1001,MATCH(ROWS($V$2:V669),$V$2:$V$1001,0),1)&gt;=100000,INDEX($AC$1005:$AS$1005,1,MATCH(COLUMNS($AC$1006:AQ1006),$AC$1006:$AS$1006,0))&gt;=100000), " ",IF(INDEX($AC$2:$AS$1001,MATCH(ROWS($V$2:V669),$V$2:$V$1001,0),MATCH(COLUMNS($AC$1006:AQ1006),$AC$1006:$AS$1006,0)), HYPERLINK("#",""), HYPERLINK(CONCATENATE("#Metadata!", ADDRESS(INDEX($X$2:$X$1001,MATCH(ROWS($V$2:V669),$V$2:$V$1001,0),0), INDEX($AC$1004:$AS$1004,1,MATCH(COLUMNS($AC$1006:AQ1006),$AC$1006:$AS$1006,0)))),"Fix")))</f>
        <v>0</v>
      </c>
      <c r="Q669" s="5">
        <f>IF(OR(INDEX($W$2:$W$1001,MATCH(ROWS($V$2:V669),$V$2:$V$1001,0),1)&gt;=100000,INDEX($AC$1005:$AS$1005,1,MATCH(COLUMNS($AC$1006:AR1006),$AC$1006:$AS$1006,0))&gt;=100000), " ",IF(INDEX($AC$2:$AS$1001,MATCH(ROWS($V$2:V669),$V$2:$V$1001,0),MATCH(COLUMNS($AC$1006:AR1006),$AC$1006:$AS$1006,0)), HYPERLINK("#",""), HYPERLINK(CONCATENATE("#Metadata!", ADDRESS(INDEX($X$2:$X$1001,MATCH(ROWS($V$2:V669),$V$2:$V$1001,0),0), INDEX($AC$1004:$AS$1004,1,MATCH(COLUMNS($AC$1006:AR1006),$AC$1006:$AS$1006,0)))),"Fix")))</f>
        <v>0</v>
      </c>
      <c r="R669" s="5">
        <f>IF(OR(INDEX($W$2:$W$1001,MATCH(ROWS($V$2:V669),$V$2:$V$1001,0),1)&gt;=100000,INDEX($AC$1005:$AS$1005,1,MATCH(COLUMNS($AC$1006:AS1006),$AC$1006:$AS$1006,0))&gt;=100000), " ",IF(INDEX($AC$2:$AS$1001,MATCH(ROWS($V$2:V669),$V$2:$V$1001,0),MATCH(COLUMNS($AC$1006:AS1006),$AC$1006:$AS$1006,0)), HYPERLINK("#",""), HYPERLINK(CONCATENATE("#Metadata!", ADDRESS(INDEX($X$2:$X$1001,MATCH(ROWS($V$2:V669),$V$2:$V$1001,0),0), INDEX($AC$1004:$AS$1004,1,MATCH(COLUMNS($AC$1006:AS1006),$AC$1006:$AS$1006,0)))),"Fix")))</f>
        <v>0</v>
      </c>
      <c r="V669">
        <v>0</v>
      </c>
      <c r="W669">
        <v>0</v>
      </c>
      <c r="X669">
        <v>0</v>
      </c>
      <c r="Y669">
        <f>IF(Z669,TRUE,AND(AC669:AS669))</f>
        <v>0</v>
      </c>
      <c r="Z669">
        <f>COUNTBLANK(Metadata!B669:R669)=COLUMNS(Metadata!B669:R669)</f>
        <v>0</v>
      </c>
      <c r="AA669">
        <v>0</v>
      </c>
      <c r="AC669">
        <f>AND(IF(Metadata!B669="",FALSE,TRUE),COUNTIF(Metadata!B:B, Metadata!B669) = 1,NOT(ISERROR(SUMPRODUCT(SEARCH(MID(Metadata!B669,ROW(INDIRECT("1:"&amp;LEN(Metadata!B669))), 1),"0123456789abcdefghijklmnopqrstuvwxyzABCDEFGHIJKLMNOPQRSTUVWXYZ.")))))</f>
        <v>0</v>
      </c>
      <c r="AD669">
        <f>AND(IF(Metadata!C669="",FALSE,TRUE),exact(Metadata!C669,"Host-associated"))</f>
        <v>0</v>
      </c>
      <c r="AE669">
        <f>AND(IF(Metadata!D669="",FALSE,TRUE),OR(exact(Metadata!D669,"Animal"),exact(Metadata!D669,"Fungus"),exact(Metadata!D669,"Plant")))</f>
        <v>0</v>
      </c>
      <c r="AF669">
        <f>AND(IF(Metadata!E669="",FALSE,TRUE),OR(exact(Metadata!E669,"Plant secretion"),exact(Metadata!E669,"Plant rhizosphere"),exact(Metadata!E669,"Plant surface"),exact(Metadata!E669,"Plant corpus"),exact(Metadata!E669,"Fungus surface"),exact(Metadata!E669,"Fungus corpus"),exact(Metadata!E669,"Animal surface"),exact(Metadata!E669,"Animal proximal gut"),exact(Metadata!E669,"Animal corpus"),exact(Metadata!E669,"Animal distal gut"),exact(Metadata!E669,"Animal secretion")))</f>
        <v>0</v>
      </c>
      <c r="AG669">
        <f>OR(AND(IF(Metadata!F669="",FALSE,TRUE),OR(exact(Metadata!F669,"not collected"),exact(Metadata!F669,"not provided"),exact(Metadata!F669,"restricted access"))),AND(IF(Metadata!F669="",FALSE,TRUE),OR(exact(Metadata!F669,"organism-associated habitat"),exact(Metadata!F669,"plant-associated habitat"),exact(Metadata!F669,"animal-associated habitat"),exact(Metadata!F669,"insecta-associated habitat"),exact(Metadata!F669,"mammalia-associated habitat"),exact(Metadata!F669,"human-associated habitat"),exact(Metadata!F669,"livestock-associated habitat"))))</f>
        <v>0</v>
      </c>
      <c r="AH669">
        <f>AND(IF(Metadata!G669="",FALSE,TRUE),exact(Metadata!G669,"host-associated"))</f>
        <v>0</v>
      </c>
      <c r="AI669">
        <f>OR(AND(IF(Metadata!H669="",FALSE,TRUE),OR(exact(Metadata!H669,"not collected"),exact(Metadata!H669,"not provided"))),AND(IF(Metadata!H669="",FALSE,ISNUMBER(VALUE(Metadata!H669))),Metadata!H669&gt;0))</f>
        <v>0</v>
      </c>
      <c r="AJ669">
        <f>AND(IF(Metadata!I669="",FALSE,TRUE),exact(Metadata!I669,"years"))</f>
        <v>0</v>
      </c>
      <c r="AK669">
        <f>IF(Metadata!J669="",FALSE,TRUE)</f>
        <v>0</v>
      </c>
      <c r="AL669">
        <f>OR(AND(IF(Metadata!K669="",FALSE,TRUE),OR(exact(Metadata!K669,"not collected"),exact(Metadata!K669,"not provided"))),AND(IF(Metadata!K669="",FALSE,ISNUMBER(VALUE(Metadata!K669))),Metadata!K669&gt;0))</f>
        <v>0</v>
      </c>
      <c r="AM669">
        <f>AND(IF(Metadata!L669="",FALSE,TRUE),exact(Metadata!L669,"cm"))</f>
        <v>0</v>
      </c>
      <c r="AN669">
        <f>IF(Metadata!M669="",FALSE,TRUE)</f>
        <v>0</v>
      </c>
      <c r="AO669">
        <f>OR(AND(IF(Metadata!N669="",FALSE,TRUE),OR(exact(Metadata!N669,"not applicable"),exact(Metadata!N669,"not collected"),exact(Metadata!N669,"not provided"))),AND(IF(Metadata!N669="",FALSE,IF(ISERROR(INT(Metadata!N669)),FALSE,INT(Metadata!N669)=Metadata!N669)),Metadata!N669&gt;0))</f>
        <v>0</v>
      </c>
      <c r="AP669">
        <f>OR(AND(IF(Metadata!O669="",FALSE,TRUE),OR(exact(Metadata!O669,"not collected"),exact(Metadata!O669,"not provided"))),AND(IF(Metadata!O669="",FALSE,ISNUMBER(VALUE(Metadata!O669))),Metadata!O669&gt;0))</f>
        <v>0</v>
      </c>
      <c r="AQ669">
        <f>AND(IF(Metadata!P669="",FALSE,TRUE),exact(Metadata!P669,"kg"))</f>
        <v>0</v>
      </c>
      <c r="AR669">
        <f>OR(AND(IF(Metadata!Q669="",FALSE,TRUE),OR(exact(Metadata!Q669,"not applicable"),exact(Metadata!Q669,"not collected"),exact(Metadata!Q669,"not provided"),exact(Metadata!Q669,"restricted access"))),IF(Metadata!Q669="",FALSE,IF(ISERROR(INT(Metadata!Q669)),FALSE,INT(Metadata!Q669)=Metadata!Q669)))</f>
        <v>0</v>
      </c>
      <c r="AS669">
        <f>AND(IF(Metadata!R669="",FALSE,TRUE),exact(Metadata!R669,"Not applicable"))</f>
        <v>0</v>
      </c>
    </row>
    <row r="670" spans="1:45">
      <c r="A670" s="4">
        <f>IF(B670=" "," ",HYPERLINK(CONCATENATE("#metadata!",ADDRESS(INDEX($X$2:$X$1001,MATCH(ROWS($V$2:V670),$V$2:$V$1001,0),0),2)),INDEX($AA$2:$AA$1001,MATCH(ROWS($V$2:V670),$V$2:$V$1001,0),0)))</f>
        <v>0</v>
      </c>
      <c r="B670" s="5">
        <f>IF(OR(INDEX($W$2:$W$1001,MATCH(ROWS($V$2:V670),$V$2:$V$1001,0),1)&gt;=100000,INDEX($AC$1005:$AS$1005,1,MATCH(COLUMNS($AC$1006:AC1006),$AC$1006:$AS$1006,0))&gt;=100000), " ",IF(INDEX($AC$2:$AS$1001,MATCH(ROWS($V$2:V670),$V$2:$V$1001,0),MATCH(COLUMNS($AC$1006:AC1006),$AC$1006:$AS$1006,0)), HYPERLINK("#",""), HYPERLINK(CONCATENATE("#Metadata!", ADDRESS(INDEX($X$2:$X$1001,MATCH(ROWS($V$2:V670),$V$2:$V$1001,0),0), INDEX($AC$1004:$AS$1004,1,MATCH(COLUMNS($AC$1006:AC1006),$AC$1006:$AS$1006,0)))),"Fix")))</f>
        <v>0</v>
      </c>
      <c r="C670" s="5">
        <f>IF(OR(INDEX($W$2:$W$1001,MATCH(ROWS($V$2:V670),$V$2:$V$1001,0),1)&gt;=100000,INDEX($AC$1005:$AS$1005,1,MATCH(COLUMNS($AC$1006:AD1006),$AC$1006:$AS$1006,0))&gt;=100000), " ",IF(INDEX($AC$2:$AS$1001,MATCH(ROWS($V$2:V670),$V$2:$V$1001,0),MATCH(COLUMNS($AC$1006:AD1006),$AC$1006:$AS$1006,0)), HYPERLINK("#",""), HYPERLINK(CONCATENATE("#Metadata!", ADDRESS(INDEX($X$2:$X$1001,MATCH(ROWS($V$2:V670),$V$2:$V$1001,0),0), INDEX($AC$1004:$AS$1004,1,MATCH(COLUMNS($AC$1006:AD1006),$AC$1006:$AS$1006,0)))),"Fix")))</f>
        <v>0</v>
      </c>
      <c r="D670" s="5">
        <f>IF(OR(INDEX($W$2:$W$1001,MATCH(ROWS($V$2:V670),$V$2:$V$1001,0),1)&gt;=100000,INDEX($AC$1005:$AS$1005,1,MATCH(COLUMNS($AC$1006:AE1006),$AC$1006:$AS$1006,0))&gt;=100000), " ",IF(INDEX($AC$2:$AS$1001,MATCH(ROWS($V$2:V670),$V$2:$V$1001,0),MATCH(COLUMNS($AC$1006:AE1006),$AC$1006:$AS$1006,0)), HYPERLINK("#",""), HYPERLINK(CONCATENATE("#Metadata!", ADDRESS(INDEX($X$2:$X$1001,MATCH(ROWS($V$2:V670),$V$2:$V$1001,0),0), INDEX($AC$1004:$AS$1004,1,MATCH(COLUMNS($AC$1006:AE1006),$AC$1006:$AS$1006,0)))),"Fix")))</f>
        <v>0</v>
      </c>
      <c r="E670" s="5">
        <f>IF(OR(INDEX($W$2:$W$1001,MATCH(ROWS($V$2:V670),$V$2:$V$1001,0),1)&gt;=100000,INDEX($AC$1005:$AS$1005,1,MATCH(COLUMNS($AC$1006:AF1006),$AC$1006:$AS$1006,0))&gt;=100000), " ",IF(INDEX($AC$2:$AS$1001,MATCH(ROWS($V$2:V670),$V$2:$V$1001,0),MATCH(COLUMNS($AC$1006:AF1006),$AC$1006:$AS$1006,0)), HYPERLINK("#",""), HYPERLINK(CONCATENATE("#Metadata!", ADDRESS(INDEX($X$2:$X$1001,MATCH(ROWS($V$2:V670),$V$2:$V$1001,0),0), INDEX($AC$1004:$AS$1004,1,MATCH(COLUMNS($AC$1006:AF1006),$AC$1006:$AS$1006,0)))),"Fix")))</f>
        <v>0</v>
      </c>
      <c r="F670" s="5">
        <f>IF(OR(INDEX($W$2:$W$1001,MATCH(ROWS($V$2:V670),$V$2:$V$1001,0),1)&gt;=100000,INDEX($AC$1005:$AS$1005,1,MATCH(COLUMNS($AC$1006:AG1006),$AC$1006:$AS$1006,0))&gt;=100000), " ",IF(INDEX($AC$2:$AS$1001,MATCH(ROWS($V$2:V670),$V$2:$V$1001,0),MATCH(COLUMNS($AC$1006:AG1006),$AC$1006:$AS$1006,0)), HYPERLINK("#",""), HYPERLINK(CONCATENATE("#Metadata!", ADDRESS(INDEX($X$2:$X$1001,MATCH(ROWS($V$2:V670),$V$2:$V$1001,0),0), INDEX($AC$1004:$AS$1004,1,MATCH(COLUMNS($AC$1006:AG1006),$AC$1006:$AS$1006,0)))),"Fix")))</f>
        <v>0</v>
      </c>
      <c r="G670" s="5">
        <f>IF(OR(INDEX($W$2:$W$1001,MATCH(ROWS($V$2:V670),$V$2:$V$1001,0),1)&gt;=100000,INDEX($AC$1005:$AS$1005,1,MATCH(COLUMNS($AC$1006:AH1006),$AC$1006:$AS$1006,0))&gt;=100000), " ",IF(INDEX($AC$2:$AS$1001,MATCH(ROWS($V$2:V670),$V$2:$V$1001,0),MATCH(COLUMNS($AC$1006:AH1006),$AC$1006:$AS$1006,0)), HYPERLINK("#",""), HYPERLINK(CONCATENATE("#Metadata!", ADDRESS(INDEX($X$2:$X$1001,MATCH(ROWS($V$2:V670),$V$2:$V$1001,0),0), INDEX($AC$1004:$AS$1004,1,MATCH(COLUMNS($AC$1006:AH1006),$AC$1006:$AS$1006,0)))),"Fix")))</f>
        <v>0</v>
      </c>
      <c r="H670" s="5">
        <f>IF(OR(INDEX($W$2:$W$1001,MATCH(ROWS($V$2:V670),$V$2:$V$1001,0),1)&gt;=100000,INDEX($AC$1005:$AS$1005,1,MATCH(COLUMNS($AC$1006:AI1006),$AC$1006:$AS$1006,0))&gt;=100000), " ",IF(INDEX($AC$2:$AS$1001,MATCH(ROWS($V$2:V670),$V$2:$V$1001,0),MATCH(COLUMNS($AC$1006:AI1006),$AC$1006:$AS$1006,0)), HYPERLINK("#",""), HYPERLINK(CONCATENATE("#Metadata!", ADDRESS(INDEX($X$2:$X$1001,MATCH(ROWS($V$2:V670),$V$2:$V$1001,0),0), INDEX($AC$1004:$AS$1004,1,MATCH(COLUMNS($AC$1006:AI1006),$AC$1006:$AS$1006,0)))),"Fix")))</f>
        <v>0</v>
      </c>
      <c r="I670" s="5">
        <f>IF(OR(INDEX($W$2:$W$1001,MATCH(ROWS($V$2:V670),$V$2:$V$1001,0),1)&gt;=100000,INDEX($AC$1005:$AS$1005,1,MATCH(COLUMNS($AC$1006:AJ1006),$AC$1006:$AS$1006,0))&gt;=100000), " ",IF(INDEX($AC$2:$AS$1001,MATCH(ROWS($V$2:V670),$V$2:$V$1001,0),MATCH(COLUMNS($AC$1006:AJ1006),$AC$1006:$AS$1006,0)), HYPERLINK("#",""), HYPERLINK(CONCATENATE("#Metadata!", ADDRESS(INDEX($X$2:$X$1001,MATCH(ROWS($V$2:V670),$V$2:$V$1001,0),0), INDEX($AC$1004:$AS$1004,1,MATCH(COLUMNS($AC$1006:AJ1006),$AC$1006:$AS$1006,0)))),"Fix")))</f>
        <v>0</v>
      </c>
      <c r="J670" s="5">
        <f>IF(OR(INDEX($W$2:$W$1001,MATCH(ROWS($V$2:V670),$V$2:$V$1001,0),1)&gt;=100000,INDEX($AC$1005:$AS$1005,1,MATCH(COLUMNS($AC$1006:AK1006),$AC$1006:$AS$1006,0))&gt;=100000), " ",IF(INDEX($AC$2:$AS$1001,MATCH(ROWS($V$2:V670),$V$2:$V$1001,0),MATCH(COLUMNS($AC$1006:AK1006),$AC$1006:$AS$1006,0)), HYPERLINK("#",""), HYPERLINK(CONCATENATE("#Metadata!", ADDRESS(INDEX($X$2:$X$1001,MATCH(ROWS($V$2:V670),$V$2:$V$1001,0),0), INDEX($AC$1004:$AS$1004,1,MATCH(COLUMNS($AC$1006:AK1006),$AC$1006:$AS$1006,0)))),"Fix")))</f>
        <v>0</v>
      </c>
      <c r="K670" s="5">
        <f>IF(OR(INDEX($W$2:$W$1001,MATCH(ROWS($V$2:V670),$V$2:$V$1001,0),1)&gt;=100000,INDEX($AC$1005:$AS$1005,1,MATCH(COLUMNS($AC$1006:AL1006),$AC$1006:$AS$1006,0))&gt;=100000), " ",IF(INDEX($AC$2:$AS$1001,MATCH(ROWS($V$2:V670),$V$2:$V$1001,0),MATCH(COLUMNS($AC$1006:AL1006),$AC$1006:$AS$1006,0)), HYPERLINK("#",""), HYPERLINK(CONCATENATE("#Metadata!", ADDRESS(INDEX($X$2:$X$1001,MATCH(ROWS($V$2:V670),$V$2:$V$1001,0),0), INDEX($AC$1004:$AS$1004,1,MATCH(COLUMNS($AC$1006:AL1006),$AC$1006:$AS$1006,0)))),"Fix")))</f>
        <v>0</v>
      </c>
      <c r="L670" s="5">
        <f>IF(OR(INDEX($W$2:$W$1001,MATCH(ROWS($V$2:V670),$V$2:$V$1001,0),1)&gt;=100000,INDEX($AC$1005:$AS$1005,1,MATCH(COLUMNS($AC$1006:AM1006),$AC$1006:$AS$1006,0))&gt;=100000), " ",IF(INDEX($AC$2:$AS$1001,MATCH(ROWS($V$2:V670),$V$2:$V$1001,0),MATCH(COLUMNS($AC$1006:AM1006),$AC$1006:$AS$1006,0)), HYPERLINK("#",""), HYPERLINK(CONCATENATE("#Metadata!", ADDRESS(INDEX($X$2:$X$1001,MATCH(ROWS($V$2:V670),$V$2:$V$1001,0),0), INDEX($AC$1004:$AS$1004,1,MATCH(COLUMNS($AC$1006:AM1006),$AC$1006:$AS$1006,0)))),"Fix")))</f>
        <v>0</v>
      </c>
      <c r="M670" s="5">
        <f>IF(OR(INDEX($W$2:$W$1001,MATCH(ROWS($V$2:V670),$V$2:$V$1001,0),1)&gt;=100000,INDEX($AC$1005:$AS$1005,1,MATCH(COLUMNS($AC$1006:AN1006),$AC$1006:$AS$1006,0))&gt;=100000), " ",IF(INDEX($AC$2:$AS$1001,MATCH(ROWS($V$2:V670),$V$2:$V$1001,0),MATCH(COLUMNS($AC$1006:AN1006),$AC$1006:$AS$1006,0)), HYPERLINK("#",""), HYPERLINK(CONCATENATE("#Metadata!", ADDRESS(INDEX($X$2:$X$1001,MATCH(ROWS($V$2:V670),$V$2:$V$1001,0),0), INDEX($AC$1004:$AS$1004,1,MATCH(COLUMNS($AC$1006:AN1006),$AC$1006:$AS$1006,0)))),"Fix")))</f>
        <v>0</v>
      </c>
      <c r="N670" s="5">
        <f>IF(OR(INDEX($W$2:$W$1001,MATCH(ROWS($V$2:V670),$V$2:$V$1001,0),1)&gt;=100000,INDEX($AC$1005:$AS$1005,1,MATCH(COLUMNS($AC$1006:AO1006),$AC$1006:$AS$1006,0))&gt;=100000), " ",IF(INDEX($AC$2:$AS$1001,MATCH(ROWS($V$2:V670),$V$2:$V$1001,0),MATCH(COLUMNS($AC$1006:AO1006),$AC$1006:$AS$1006,0)), HYPERLINK("#",""), HYPERLINK(CONCATENATE("#Metadata!", ADDRESS(INDEX($X$2:$X$1001,MATCH(ROWS($V$2:V670),$V$2:$V$1001,0),0), INDEX($AC$1004:$AS$1004,1,MATCH(COLUMNS($AC$1006:AO1006),$AC$1006:$AS$1006,0)))),"Fix")))</f>
        <v>0</v>
      </c>
      <c r="O670" s="5">
        <f>IF(OR(INDEX($W$2:$W$1001,MATCH(ROWS($V$2:V670),$V$2:$V$1001,0),1)&gt;=100000,INDEX($AC$1005:$AS$1005,1,MATCH(COLUMNS($AC$1006:AP1006),$AC$1006:$AS$1006,0))&gt;=100000), " ",IF(INDEX($AC$2:$AS$1001,MATCH(ROWS($V$2:V670),$V$2:$V$1001,0),MATCH(COLUMNS($AC$1006:AP1006),$AC$1006:$AS$1006,0)), HYPERLINK("#",""), HYPERLINK(CONCATENATE("#Metadata!", ADDRESS(INDEX($X$2:$X$1001,MATCH(ROWS($V$2:V670),$V$2:$V$1001,0),0), INDEX($AC$1004:$AS$1004,1,MATCH(COLUMNS($AC$1006:AP1006),$AC$1006:$AS$1006,0)))),"Fix")))</f>
        <v>0</v>
      </c>
      <c r="P670" s="5">
        <f>IF(OR(INDEX($W$2:$W$1001,MATCH(ROWS($V$2:V670),$V$2:$V$1001,0),1)&gt;=100000,INDEX($AC$1005:$AS$1005,1,MATCH(COLUMNS($AC$1006:AQ1006),$AC$1006:$AS$1006,0))&gt;=100000), " ",IF(INDEX($AC$2:$AS$1001,MATCH(ROWS($V$2:V670),$V$2:$V$1001,0),MATCH(COLUMNS($AC$1006:AQ1006),$AC$1006:$AS$1006,0)), HYPERLINK("#",""), HYPERLINK(CONCATENATE("#Metadata!", ADDRESS(INDEX($X$2:$X$1001,MATCH(ROWS($V$2:V670),$V$2:$V$1001,0),0), INDEX($AC$1004:$AS$1004,1,MATCH(COLUMNS($AC$1006:AQ1006),$AC$1006:$AS$1006,0)))),"Fix")))</f>
        <v>0</v>
      </c>
      <c r="Q670" s="5">
        <f>IF(OR(INDEX($W$2:$W$1001,MATCH(ROWS($V$2:V670),$V$2:$V$1001,0),1)&gt;=100000,INDEX($AC$1005:$AS$1005,1,MATCH(COLUMNS($AC$1006:AR1006),$AC$1006:$AS$1006,0))&gt;=100000), " ",IF(INDEX($AC$2:$AS$1001,MATCH(ROWS($V$2:V670),$V$2:$V$1001,0),MATCH(COLUMNS($AC$1006:AR1006),$AC$1006:$AS$1006,0)), HYPERLINK("#",""), HYPERLINK(CONCATENATE("#Metadata!", ADDRESS(INDEX($X$2:$X$1001,MATCH(ROWS($V$2:V670),$V$2:$V$1001,0),0), INDEX($AC$1004:$AS$1004,1,MATCH(COLUMNS($AC$1006:AR1006),$AC$1006:$AS$1006,0)))),"Fix")))</f>
        <v>0</v>
      </c>
      <c r="R670" s="5">
        <f>IF(OR(INDEX($W$2:$W$1001,MATCH(ROWS($V$2:V670),$V$2:$V$1001,0),1)&gt;=100000,INDEX($AC$1005:$AS$1005,1,MATCH(COLUMNS($AC$1006:AS1006),$AC$1006:$AS$1006,0))&gt;=100000), " ",IF(INDEX($AC$2:$AS$1001,MATCH(ROWS($V$2:V670),$V$2:$V$1001,0),MATCH(COLUMNS($AC$1006:AS1006),$AC$1006:$AS$1006,0)), HYPERLINK("#",""), HYPERLINK(CONCATENATE("#Metadata!", ADDRESS(INDEX($X$2:$X$1001,MATCH(ROWS($V$2:V670),$V$2:$V$1001,0),0), INDEX($AC$1004:$AS$1004,1,MATCH(COLUMNS($AC$1006:AS1006),$AC$1006:$AS$1006,0)))),"Fix")))</f>
        <v>0</v>
      </c>
      <c r="V670">
        <v>0</v>
      </c>
      <c r="W670">
        <v>0</v>
      </c>
      <c r="X670">
        <v>0</v>
      </c>
      <c r="Y670">
        <f>IF(Z670,TRUE,AND(AC670:AS670))</f>
        <v>0</v>
      </c>
      <c r="Z670">
        <f>COUNTBLANK(Metadata!B670:R670)=COLUMNS(Metadata!B670:R670)</f>
        <v>0</v>
      </c>
      <c r="AA670">
        <v>0</v>
      </c>
      <c r="AC670">
        <f>AND(IF(Metadata!B670="",FALSE,TRUE),COUNTIF(Metadata!B:B, Metadata!B670) = 1,NOT(ISERROR(SUMPRODUCT(SEARCH(MID(Metadata!B670,ROW(INDIRECT("1:"&amp;LEN(Metadata!B670))), 1),"0123456789abcdefghijklmnopqrstuvwxyzABCDEFGHIJKLMNOPQRSTUVWXYZ.")))))</f>
        <v>0</v>
      </c>
      <c r="AD670">
        <f>AND(IF(Metadata!C670="",FALSE,TRUE),exact(Metadata!C670,"Host-associated"))</f>
        <v>0</v>
      </c>
      <c r="AE670">
        <f>AND(IF(Metadata!D670="",FALSE,TRUE),OR(exact(Metadata!D670,"Animal"),exact(Metadata!D670,"Fungus"),exact(Metadata!D670,"Plant")))</f>
        <v>0</v>
      </c>
      <c r="AF670">
        <f>AND(IF(Metadata!E670="",FALSE,TRUE),OR(exact(Metadata!E670,"Plant secretion"),exact(Metadata!E670,"Plant rhizosphere"),exact(Metadata!E670,"Plant surface"),exact(Metadata!E670,"Plant corpus"),exact(Metadata!E670,"Fungus surface"),exact(Metadata!E670,"Fungus corpus"),exact(Metadata!E670,"Animal surface"),exact(Metadata!E670,"Animal proximal gut"),exact(Metadata!E670,"Animal corpus"),exact(Metadata!E670,"Animal distal gut"),exact(Metadata!E670,"Animal secretion")))</f>
        <v>0</v>
      </c>
      <c r="AG670">
        <f>OR(AND(IF(Metadata!F670="",FALSE,TRUE),OR(exact(Metadata!F670,"not collected"),exact(Metadata!F670,"not provided"),exact(Metadata!F670,"restricted access"))),AND(IF(Metadata!F670="",FALSE,TRUE),OR(exact(Metadata!F670,"organism-associated habitat"),exact(Metadata!F670,"plant-associated habitat"),exact(Metadata!F670,"animal-associated habitat"),exact(Metadata!F670,"insecta-associated habitat"),exact(Metadata!F670,"mammalia-associated habitat"),exact(Metadata!F670,"human-associated habitat"),exact(Metadata!F670,"livestock-associated habitat"))))</f>
        <v>0</v>
      </c>
      <c r="AH670">
        <f>AND(IF(Metadata!G670="",FALSE,TRUE),exact(Metadata!G670,"host-associated"))</f>
        <v>0</v>
      </c>
      <c r="AI670">
        <f>OR(AND(IF(Metadata!H670="",FALSE,TRUE),OR(exact(Metadata!H670,"not collected"),exact(Metadata!H670,"not provided"))),AND(IF(Metadata!H670="",FALSE,ISNUMBER(VALUE(Metadata!H670))),Metadata!H670&gt;0))</f>
        <v>0</v>
      </c>
      <c r="AJ670">
        <f>AND(IF(Metadata!I670="",FALSE,TRUE),exact(Metadata!I670,"years"))</f>
        <v>0</v>
      </c>
      <c r="AK670">
        <f>IF(Metadata!J670="",FALSE,TRUE)</f>
        <v>0</v>
      </c>
      <c r="AL670">
        <f>OR(AND(IF(Metadata!K670="",FALSE,TRUE),OR(exact(Metadata!K670,"not collected"),exact(Metadata!K670,"not provided"))),AND(IF(Metadata!K670="",FALSE,ISNUMBER(VALUE(Metadata!K670))),Metadata!K670&gt;0))</f>
        <v>0</v>
      </c>
      <c r="AM670">
        <f>AND(IF(Metadata!L670="",FALSE,TRUE),exact(Metadata!L670,"cm"))</f>
        <v>0</v>
      </c>
      <c r="AN670">
        <f>IF(Metadata!M670="",FALSE,TRUE)</f>
        <v>0</v>
      </c>
      <c r="AO670">
        <f>OR(AND(IF(Metadata!N670="",FALSE,TRUE),OR(exact(Metadata!N670,"not applicable"),exact(Metadata!N670,"not collected"),exact(Metadata!N670,"not provided"))),AND(IF(Metadata!N670="",FALSE,IF(ISERROR(INT(Metadata!N670)),FALSE,INT(Metadata!N670)=Metadata!N670)),Metadata!N670&gt;0))</f>
        <v>0</v>
      </c>
      <c r="AP670">
        <f>OR(AND(IF(Metadata!O670="",FALSE,TRUE),OR(exact(Metadata!O670,"not collected"),exact(Metadata!O670,"not provided"))),AND(IF(Metadata!O670="",FALSE,ISNUMBER(VALUE(Metadata!O670))),Metadata!O670&gt;0))</f>
        <v>0</v>
      </c>
      <c r="AQ670">
        <f>AND(IF(Metadata!P670="",FALSE,TRUE),exact(Metadata!P670,"kg"))</f>
        <v>0</v>
      </c>
      <c r="AR670">
        <f>OR(AND(IF(Metadata!Q670="",FALSE,TRUE),OR(exact(Metadata!Q670,"not applicable"),exact(Metadata!Q670,"not collected"),exact(Metadata!Q670,"not provided"),exact(Metadata!Q670,"restricted access"))),IF(Metadata!Q670="",FALSE,IF(ISERROR(INT(Metadata!Q670)),FALSE,INT(Metadata!Q670)=Metadata!Q670)))</f>
        <v>0</v>
      </c>
      <c r="AS670">
        <f>AND(IF(Metadata!R670="",FALSE,TRUE),exact(Metadata!R670,"Not applicable"))</f>
        <v>0</v>
      </c>
    </row>
    <row r="671" spans="1:45">
      <c r="A671" s="4">
        <f>IF(B671=" "," ",HYPERLINK(CONCATENATE("#metadata!",ADDRESS(INDEX($X$2:$X$1001,MATCH(ROWS($V$2:V671),$V$2:$V$1001,0),0),2)),INDEX($AA$2:$AA$1001,MATCH(ROWS($V$2:V671),$V$2:$V$1001,0),0)))</f>
        <v>0</v>
      </c>
      <c r="B671" s="5">
        <f>IF(OR(INDEX($W$2:$W$1001,MATCH(ROWS($V$2:V671),$V$2:$V$1001,0),1)&gt;=100000,INDEX($AC$1005:$AS$1005,1,MATCH(COLUMNS($AC$1006:AC1006),$AC$1006:$AS$1006,0))&gt;=100000), " ",IF(INDEX($AC$2:$AS$1001,MATCH(ROWS($V$2:V671),$V$2:$V$1001,0),MATCH(COLUMNS($AC$1006:AC1006),$AC$1006:$AS$1006,0)), HYPERLINK("#",""), HYPERLINK(CONCATENATE("#Metadata!", ADDRESS(INDEX($X$2:$X$1001,MATCH(ROWS($V$2:V671),$V$2:$V$1001,0),0), INDEX($AC$1004:$AS$1004,1,MATCH(COLUMNS($AC$1006:AC1006),$AC$1006:$AS$1006,0)))),"Fix")))</f>
        <v>0</v>
      </c>
      <c r="C671" s="5">
        <f>IF(OR(INDEX($W$2:$W$1001,MATCH(ROWS($V$2:V671),$V$2:$V$1001,0),1)&gt;=100000,INDEX($AC$1005:$AS$1005,1,MATCH(COLUMNS($AC$1006:AD1006),$AC$1006:$AS$1006,0))&gt;=100000), " ",IF(INDEX($AC$2:$AS$1001,MATCH(ROWS($V$2:V671),$V$2:$V$1001,0),MATCH(COLUMNS($AC$1006:AD1006),$AC$1006:$AS$1006,0)), HYPERLINK("#",""), HYPERLINK(CONCATENATE("#Metadata!", ADDRESS(INDEX($X$2:$X$1001,MATCH(ROWS($V$2:V671),$V$2:$V$1001,0),0), INDEX($AC$1004:$AS$1004,1,MATCH(COLUMNS($AC$1006:AD1006),$AC$1006:$AS$1006,0)))),"Fix")))</f>
        <v>0</v>
      </c>
      <c r="D671" s="5">
        <f>IF(OR(INDEX($W$2:$W$1001,MATCH(ROWS($V$2:V671),$V$2:$V$1001,0),1)&gt;=100000,INDEX($AC$1005:$AS$1005,1,MATCH(COLUMNS($AC$1006:AE1006),$AC$1006:$AS$1006,0))&gt;=100000), " ",IF(INDEX($AC$2:$AS$1001,MATCH(ROWS($V$2:V671),$V$2:$V$1001,0),MATCH(COLUMNS($AC$1006:AE1006),$AC$1006:$AS$1006,0)), HYPERLINK("#",""), HYPERLINK(CONCATENATE("#Metadata!", ADDRESS(INDEX($X$2:$X$1001,MATCH(ROWS($V$2:V671),$V$2:$V$1001,0),0), INDEX($AC$1004:$AS$1004,1,MATCH(COLUMNS($AC$1006:AE1006),$AC$1006:$AS$1006,0)))),"Fix")))</f>
        <v>0</v>
      </c>
      <c r="E671" s="5">
        <f>IF(OR(INDEX($W$2:$W$1001,MATCH(ROWS($V$2:V671),$V$2:$V$1001,0),1)&gt;=100000,INDEX($AC$1005:$AS$1005,1,MATCH(COLUMNS($AC$1006:AF1006),$AC$1006:$AS$1006,0))&gt;=100000), " ",IF(INDEX($AC$2:$AS$1001,MATCH(ROWS($V$2:V671),$V$2:$V$1001,0),MATCH(COLUMNS($AC$1006:AF1006),$AC$1006:$AS$1006,0)), HYPERLINK("#",""), HYPERLINK(CONCATENATE("#Metadata!", ADDRESS(INDEX($X$2:$X$1001,MATCH(ROWS($V$2:V671),$V$2:$V$1001,0),0), INDEX($AC$1004:$AS$1004,1,MATCH(COLUMNS($AC$1006:AF1006),$AC$1006:$AS$1006,0)))),"Fix")))</f>
        <v>0</v>
      </c>
      <c r="F671" s="5">
        <f>IF(OR(INDEX($W$2:$W$1001,MATCH(ROWS($V$2:V671),$V$2:$V$1001,0),1)&gt;=100000,INDEX($AC$1005:$AS$1005,1,MATCH(COLUMNS($AC$1006:AG1006),$AC$1006:$AS$1006,0))&gt;=100000), " ",IF(INDEX($AC$2:$AS$1001,MATCH(ROWS($V$2:V671),$V$2:$V$1001,0),MATCH(COLUMNS($AC$1006:AG1006),$AC$1006:$AS$1006,0)), HYPERLINK("#",""), HYPERLINK(CONCATENATE("#Metadata!", ADDRESS(INDEX($X$2:$X$1001,MATCH(ROWS($V$2:V671),$V$2:$V$1001,0),0), INDEX($AC$1004:$AS$1004,1,MATCH(COLUMNS($AC$1006:AG1006),$AC$1006:$AS$1006,0)))),"Fix")))</f>
        <v>0</v>
      </c>
      <c r="G671" s="5">
        <f>IF(OR(INDEX($W$2:$W$1001,MATCH(ROWS($V$2:V671),$V$2:$V$1001,0),1)&gt;=100000,INDEX($AC$1005:$AS$1005,1,MATCH(COLUMNS($AC$1006:AH1006),$AC$1006:$AS$1006,0))&gt;=100000), " ",IF(INDEX($AC$2:$AS$1001,MATCH(ROWS($V$2:V671),$V$2:$V$1001,0),MATCH(COLUMNS($AC$1006:AH1006),$AC$1006:$AS$1006,0)), HYPERLINK("#",""), HYPERLINK(CONCATENATE("#Metadata!", ADDRESS(INDEX($X$2:$X$1001,MATCH(ROWS($V$2:V671),$V$2:$V$1001,0),0), INDEX($AC$1004:$AS$1004,1,MATCH(COLUMNS($AC$1006:AH1006),$AC$1006:$AS$1006,0)))),"Fix")))</f>
        <v>0</v>
      </c>
      <c r="H671" s="5">
        <f>IF(OR(INDEX($W$2:$W$1001,MATCH(ROWS($V$2:V671),$V$2:$V$1001,0),1)&gt;=100000,INDEX($AC$1005:$AS$1005,1,MATCH(COLUMNS($AC$1006:AI1006),$AC$1006:$AS$1006,0))&gt;=100000), " ",IF(INDEX($AC$2:$AS$1001,MATCH(ROWS($V$2:V671),$V$2:$V$1001,0),MATCH(COLUMNS($AC$1006:AI1006),$AC$1006:$AS$1006,0)), HYPERLINK("#",""), HYPERLINK(CONCATENATE("#Metadata!", ADDRESS(INDEX($X$2:$X$1001,MATCH(ROWS($V$2:V671),$V$2:$V$1001,0),0), INDEX($AC$1004:$AS$1004,1,MATCH(COLUMNS($AC$1006:AI1006),$AC$1006:$AS$1006,0)))),"Fix")))</f>
        <v>0</v>
      </c>
      <c r="I671" s="5">
        <f>IF(OR(INDEX($W$2:$W$1001,MATCH(ROWS($V$2:V671),$V$2:$V$1001,0),1)&gt;=100000,INDEX($AC$1005:$AS$1005,1,MATCH(COLUMNS($AC$1006:AJ1006),$AC$1006:$AS$1006,0))&gt;=100000), " ",IF(INDEX($AC$2:$AS$1001,MATCH(ROWS($V$2:V671),$V$2:$V$1001,0),MATCH(COLUMNS($AC$1006:AJ1006),$AC$1006:$AS$1006,0)), HYPERLINK("#",""), HYPERLINK(CONCATENATE("#Metadata!", ADDRESS(INDEX($X$2:$X$1001,MATCH(ROWS($V$2:V671),$V$2:$V$1001,0),0), INDEX($AC$1004:$AS$1004,1,MATCH(COLUMNS($AC$1006:AJ1006),$AC$1006:$AS$1006,0)))),"Fix")))</f>
        <v>0</v>
      </c>
      <c r="J671" s="5">
        <f>IF(OR(INDEX($W$2:$W$1001,MATCH(ROWS($V$2:V671),$V$2:$V$1001,0),1)&gt;=100000,INDEX($AC$1005:$AS$1005,1,MATCH(COLUMNS($AC$1006:AK1006),$AC$1006:$AS$1006,0))&gt;=100000), " ",IF(INDEX($AC$2:$AS$1001,MATCH(ROWS($V$2:V671),$V$2:$V$1001,0),MATCH(COLUMNS($AC$1006:AK1006),$AC$1006:$AS$1006,0)), HYPERLINK("#",""), HYPERLINK(CONCATENATE("#Metadata!", ADDRESS(INDEX($X$2:$X$1001,MATCH(ROWS($V$2:V671),$V$2:$V$1001,0),0), INDEX($AC$1004:$AS$1004,1,MATCH(COLUMNS($AC$1006:AK1006),$AC$1006:$AS$1006,0)))),"Fix")))</f>
        <v>0</v>
      </c>
      <c r="K671" s="5">
        <f>IF(OR(INDEX($W$2:$W$1001,MATCH(ROWS($V$2:V671),$V$2:$V$1001,0),1)&gt;=100000,INDEX($AC$1005:$AS$1005,1,MATCH(COLUMNS($AC$1006:AL1006),$AC$1006:$AS$1006,0))&gt;=100000), " ",IF(INDEX($AC$2:$AS$1001,MATCH(ROWS($V$2:V671),$V$2:$V$1001,0),MATCH(COLUMNS($AC$1006:AL1006),$AC$1006:$AS$1006,0)), HYPERLINK("#",""), HYPERLINK(CONCATENATE("#Metadata!", ADDRESS(INDEX($X$2:$X$1001,MATCH(ROWS($V$2:V671),$V$2:$V$1001,0),0), INDEX($AC$1004:$AS$1004,1,MATCH(COLUMNS($AC$1006:AL1006),$AC$1006:$AS$1006,0)))),"Fix")))</f>
        <v>0</v>
      </c>
      <c r="L671" s="5">
        <f>IF(OR(INDEX($W$2:$W$1001,MATCH(ROWS($V$2:V671),$V$2:$V$1001,0),1)&gt;=100000,INDEX($AC$1005:$AS$1005,1,MATCH(COLUMNS($AC$1006:AM1006),$AC$1006:$AS$1006,0))&gt;=100000), " ",IF(INDEX($AC$2:$AS$1001,MATCH(ROWS($V$2:V671),$V$2:$V$1001,0),MATCH(COLUMNS($AC$1006:AM1006),$AC$1006:$AS$1006,0)), HYPERLINK("#",""), HYPERLINK(CONCATENATE("#Metadata!", ADDRESS(INDEX($X$2:$X$1001,MATCH(ROWS($V$2:V671),$V$2:$V$1001,0),0), INDEX($AC$1004:$AS$1004,1,MATCH(COLUMNS($AC$1006:AM1006),$AC$1006:$AS$1006,0)))),"Fix")))</f>
        <v>0</v>
      </c>
      <c r="M671" s="5">
        <f>IF(OR(INDEX($W$2:$W$1001,MATCH(ROWS($V$2:V671),$V$2:$V$1001,0),1)&gt;=100000,INDEX($AC$1005:$AS$1005,1,MATCH(COLUMNS($AC$1006:AN1006),$AC$1006:$AS$1006,0))&gt;=100000), " ",IF(INDEX($AC$2:$AS$1001,MATCH(ROWS($V$2:V671),$V$2:$V$1001,0),MATCH(COLUMNS($AC$1006:AN1006),$AC$1006:$AS$1006,0)), HYPERLINK("#",""), HYPERLINK(CONCATENATE("#Metadata!", ADDRESS(INDEX($X$2:$X$1001,MATCH(ROWS($V$2:V671),$V$2:$V$1001,0),0), INDEX($AC$1004:$AS$1004,1,MATCH(COLUMNS($AC$1006:AN1006),$AC$1006:$AS$1006,0)))),"Fix")))</f>
        <v>0</v>
      </c>
      <c r="N671" s="5">
        <f>IF(OR(INDEX($W$2:$W$1001,MATCH(ROWS($V$2:V671),$V$2:$V$1001,0),1)&gt;=100000,INDEX($AC$1005:$AS$1005,1,MATCH(COLUMNS($AC$1006:AO1006),$AC$1006:$AS$1006,0))&gt;=100000), " ",IF(INDEX($AC$2:$AS$1001,MATCH(ROWS($V$2:V671),$V$2:$V$1001,0),MATCH(COLUMNS($AC$1006:AO1006),$AC$1006:$AS$1006,0)), HYPERLINK("#",""), HYPERLINK(CONCATENATE("#Metadata!", ADDRESS(INDEX($X$2:$X$1001,MATCH(ROWS($V$2:V671),$V$2:$V$1001,0),0), INDEX($AC$1004:$AS$1004,1,MATCH(COLUMNS($AC$1006:AO1006),$AC$1006:$AS$1006,0)))),"Fix")))</f>
        <v>0</v>
      </c>
      <c r="O671" s="5">
        <f>IF(OR(INDEX($W$2:$W$1001,MATCH(ROWS($V$2:V671),$V$2:$V$1001,0),1)&gt;=100000,INDEX($AC$1005:$AS$1005,1,MATCH(COLUMNS($AC$1006:AP1006),$AC$1006:$AS$1006,0))&gt;=100000), " ",IF(INDEX($AC$2:$AS$1001,MATCH(ROWS($V$2:V671),$V$2:$V$1001,0),MATCH(COLUMNS($AC$1006:AP1006),$AC$1006:$AS$1006,0)), HYPERLINK("#",""), HYPERLINK(CONCATENATE("#Metadata!", ADDRESS(INDEX($X$2:$X$1001,MATCH(ROWS($V$2:V671),$V$2:$V$1001,0),0), INDEX($AC$1004:$AS$1004,1,MATCH(COLUMNS($AC$1006:AP1006),$AC$1006:$AS$1006,0)))),"Fix")))</f>
        <v>0</v>
      </c>
      <c r="P671" s="5">
        <f>IF(OR(INDEX($W$2:$W$1001,MATCH(ROWS($V$2:V671),$V$2:$V$1001,0),1)&gt;=100000,INDEX($AC$1005:$AS$1005,1,MATCH(COLUMNS($AC$1006:AQ1006),$AC$1006:$AS$1006,0))&gt;=100000), " ",IF(INDEX($AC$2:$AS$1001,MATCH(ROWS($V$2:V671),$V$2:$V$1001,0),MATCH(COLUMNS($AC$1006:AQ1006),$AC$1006:$AS$1006,0)), HYPERLINK("#",""), HYPERLINK(CONCATENATE("#Metadata!", ADDRESS(INDEX($X$2:$X$1001,MATCH(ROWS($V$2:V671),$V$2:$V$1001,0),0), INDEX($AC$1004:$AS$1004,1,MATCH(COLUMNS($AC$1006:AQ1006),$AC$1006:$AS$1006,0)))),"Fix")))</f>
        <v>0</v>
      </c>
      <c r="Q671" s="5">
        <f>IF(OR(INDEX($W$2:$W$1001,MATCH(ROWS($V$2:V671),$V$2:$V$1001,0),1)&gt;=100000,INDEX($AC$1005:$AS$1005,1,MATCH(COLUMNS($AC$1006:AR1006),$AC$1006:$AS$1006,0))&gt;=100000), " ",IF(INDEX($AC$2:$AS$1001,MATCH(ROWS($V$2:V671),$V$2:$V$1001,0),MATCH(COLUMNS($AC$1006:AR1006),$AC$1006:$AS$1006,0)), HYPERLINK("#",""), HYPERLINK(CONCATENATE("#Metadata!", ADDRESS(INDEX($X$2:$X$1001,MATCH(ROWS($V$2:V671),$V$2:$V$1001,0),0), INDEX($AC$1004:$AS$1004,1,MATCH(COLUMNS($AC$1006:AR1006),$AC$1006:$AS$1006,0)))),"Fix")))</f>
        <v>0</v>
      </c>
      <c r="R671" s="5">
        <f>IF(OR(INDEX($W$2:$W$1001,MATCH(ROWS($V$2:V671),$V$2:$V$1001,0),1)&gt;=100000,INDEX($AC$1005:$AS$1005,1,MATCH(COLUMNS($AC$1006:AS1006),$AC$1006:$AS$1006,0))&gt;=100000), " ",IF(INDEX($AC$2:$AS$1001,MATCH(ROWS($V$2:V671),$V$2:$V$1001,0),MATCH(COLUMNS($AC$1006:AS1006),$AC$1006:$AS$1006,0)), HYPERLINK("#",""), HYPERLINK(CONCATENATE("#Metadata!", ADDRESS(INDEX($X$2:$X$1001,MATCH(ROWS($V$2:V671),$V$2:$V$1001,0),0), INDEX($AC$1004:$AS$1004,1,MATCH(COLUMNS($AC$1006:AS1006),$AC$1006:$AS$1006,0)))),"Fix")))</f>
        <v>0</v>
      </c>
      <c r="V671">
        <v>0</v>
      </c>
      <c r="W671">
        <v>0</v>
      </c>
      <c r="X671">
        <v>0</v>
      </c>
      <c r="Y671">
        <f>IF(Z671,TRUE,AND(AC671:AS671))</f>
        <v>0</v>
      </c>
      <c r="Z671">
        <f>COUNTBLANK(Metadata!B671:R671)=COLUMNS(Metadata!B671:R671)</f>
        <v>0</v>
      </c>
      <c r="AA671">
        <v>0</v>
      </c>
      <c r="AC671">
        <f>AND(IF(Metadata!B671="",FALSE,TRUE),COUNTIF(Metadata!B:B, Metadata!B671) = 1,NOT(ISERROR(SUMPRODUCT(SEARCH(MID(Metadata!B671,ROW(INDIRECT("1:"&amp;LEN(Metadata!B671))), 1),"0123456789abcdefghijklmnopqrstuvwxyzABCDEFGHIJKLMNOPQRSTUVWXYZ.")))))</f>
        <v>0</v>
      </c>
      <c r="AD671">
        <f>AND(IF(Metadata!C671="",FALSE,TRUE),exact(Metadata!C671,"Host-associated"))</f>
        <v>0</v>
      </c>
      <c r="AE671">
        <f>AND(IF(Metadata!D671="",FALSE,TRUE),OR(exact(Metadata!D671,"Animal"),exact(Metadata!D671,"Fungus"),exact(Metadata!D671,"Plant")))</f>
        <v>0</v>
      </c>
      <c r="AF671">
        <f>AND(IF(Metadata!E671="",FALSE,TRUE),OR(exact(Metadata!E671,"Plant secretion"),exact(Metadata!E671,"Plant rhizosphere"),exact(Metadata!E671,"Plant surface"),exact(Metadata!E671,"Plant corpus"),exact(Metadata!E671,"Fungus surface"),exact(Metadata!E671,"Fungus corpus"),exact(Metadata!E671,"Animal surface"),exact(Metadata!E671,"Animal proximal gut"),exact(Metadata!E671,"Animal corpus"),exact(Metadata!E671,"Animal distal gut"),exact(Metadata!E671,"Animal secretion")))</f>
        <v>0</v>
      </c>
      <c r="AG671">
        <f>OR(AND(IF(Metadata!F671="",FALSE,TRUE),OR(exact(Metadata!F671,"not collected"),exact(Metadata!F671,"not provided"),exact(Metadata!F671,"restricted access"))),AND(IF(Metadata!F671="",FALSE,TRUE),OR(exact(Metadata!F671,"organism-associated habitat"),exact(Metadata!F671,"plant-associated habitat"),exact(Metadata!F671,"animal-associated habitat"),exact(Metadata!F671,"insecta-associated habitat"),exact(Metadata!F671,"mammalia-associated habitat"),exact(Metadata!F671,"human-associated habitat"),exact(Metadata!F671,"livestock-associated habitat"))))</f>
        <v>0</v>
      </c>
      <c r="AH671">
        <f>AND(IF(Metadata!G671="",FALSE,TRUE),exact(Metadata!G671,"host-associated"))</f>
        <v>0</v>
      </c>
      <c r="AI671">
        <f>OR(AND(IF(Metadata!H671="",FALSE,TRUE),OR(exact(Metadata!H671,"not collected"),exact(Metadata!H671,"not provided"))),AND(IF(Metadata!H671="",FALSE,ISNUMBER(VALUE(Metadata!H671))),Metadata!H671&gt;0))</f>
        <v>0</v>
      </c>
      <c r="AJ671">
        <f>AND(IF(Metadata!I671="",FALSE,TRUE),exact(Metadata!I671,"years"))</f>
        <v>0</v>
      </c>
      <c r="AK671">
        <f>IF(Metadata!J671="",FALSE,TRUE)</f>
        <v>0</v>
      </c>
      <c r="AL671">
        <f>OR(AND(IF(Metadata!K671="",FALSE,TRUE),OR(exact(Metadata!K671,"not collected"),exact(Metadata!K671,"not provided"))),AND(IF(Metadata!K671="",FALSE,ISNUMBER(VALUE(Metadata!K671))),Metadata!K671&gt;0))</f>
        <v>0</v>
      </c>
      <c r="AM671">
        <f>AND(IF(Metadata!L671="",FALSE,TRUE),exact(Metadata!L671,"cm"))</f>
        <v>0</v>
      </c>
      <c r="AN671">
        <f>IF(Metadata!M671="",FALSE,TRUE)</f>
        <v>0</v>
      </c>
      <c r="AO671">
        <f>OR(AND(IF(Metadata!N671="",FALSE,TRUE),OR(exact(Metadata!N671,"not applicable"),exact(Metadata!N671,"not collected"),exact(Metadata!N671,"not provided"))),AND(IF(Metadata!N671="",FALSE,IF(ISERROR(INT(Metadata!N671)),FALSE,INT(Metadata!N671)=Metadata!N671)),Metadata!N671&gt;0))</f>
        <v>0</v>
      </c>
      <c r="AP671">
        <f>OR(AND(IF(Metadata!O671="",FALSE,TRUE),OR(exact(Metadata!O671,"not collected"),exact(Metadata!O671,"not provided"))),AND(IF(Metadata!O671="",FALSE,ISNUMBER(VALUE(Metadata!O671))),Metadata!O671&gt;0))</f>
        <v>0</v>
      </c>
      <c r="AQ671">
        <f>AND(IF(Metadata!P671="",FALSE,TRUE),exact(Metadata!P671,"kg"))</f>
        <v>0</v>
      </c>
      <c r="AR671">
        <f>OR(AND(IF(Metadata!Q671="",FALSE,TRUE),OR(exact(Metadata!Q671,"not applicable"),exact(Metadata!Q671,"not collected"),exact(Metadata!Q671,"not provided"),exact(Metadata!Q671,"restricted access"))),IF(Metadata!Q671="",FALSE,IF(ISERROR(INT(Metadata!Q671)),FALSE,INT(Metadata!Q671)=Metadata!Q671)))</f>
        <v>0</v>
      </c>
      <c r="AS671">
        <f>AND(IF(Metadata!R671="",FALSE,TRUE),exact(Metadata!R671,"Not applicable"))</f>
        <v>0</v>
      </c>
    </row>
    <row r="672" spans="1:45">
      <c r="A672" s="4">
        <f>IF(B672=" "," ",HYPERLINK(CONCATENATE("#metadata!",ADDRESS(INDEX($X$2:$X$1001,MATCH(ROWS($V$2:V672),$V$2:$V$1001,0),0),2)),INDEX($AA$2:$AA$1001,MATCH(ROWS($V$2:V672),$V$2:$V$1001,0),0)))</f>
        <v>0</v>
      </c>
      <c r="B672" s="5">
        <f>IF(OR(INDEX($W$2:$W$1001,MATCH(ROWS($V$2:V672),$V$2:$V$1001,0),1)&gt;=100000,INDEX($AC$1005:$AS$1005,1,MATCH(COLUMNS($AC$1006:AC1006),$AC$1006:$AS$1006,0))&gt;=100000), " ",IF(INDEX($AC$2:$AS$1001,MATCH(ROWS($V$2:V672),$V$2:$V$1001,0),MATCH(COLUMNS($AC$1006:AC1006),$AC$1006:$AS$1006,0)), HYPERLINK("#",""), HYPERLINK(CONCATENATE("#Metadata!", ADDRESS(INDEX($X$2:$X$1001,MATCH(ROWS($V$2:V672),$V$2:$V$1001,0),0), INDEX($AC$1004:$AS$1004,1,MATCH(COLUMNS($AC$1006:AC1006),$AC$1006:$AS$1006,0)))),"Fix")))</f>
        <v>0</v>
      </c>
      <c r="C672" s="5">
        <f>IF(OR(INDEX($W$2:$W$1001,MATCH(ROWS($V$2:V672),$V$2:$V$1001,0),1)&gt;=100000,INDEX($AC$1005:$AS$1005,1,MATCH(COLUMNS($AC$1006:AD1006),$AC$1006:$AS$1006,0))&gt;=100000), " ",IF(INDEX($AC$2:$AS$1001,MATCH(ROWS($V$2:V672),$V$2:$V$1001,0),MATCH(COLUMNS($AC$1006:AD1006),$AC$1006:$AS$1006,0)), HYPERLINK("#",""), HYPERLINK(CONCATENATE("#Metadata!", ADDRESS(INDEX($X$2:$X$1001,MATCH(ROWS($V$2:V672),$V$2:$V$1001,0),0), INDEX($AC$1004:$AS$1004,1,MATCH(COLUMNS($AC$1006:AD1006),$AC$1006:$AS$1006,0)))),"Fix")))</f>
        <v>0</v>
      </c>
      <c r="D672" s="5">
        <f>IF(OR(INDEX($W$2:$W$1001,MATCH(ROWS($V$2:V672),$V$2:$V$1001,0),1)&gt;=100000,INDEX($AC$1005:$AS$1005,1,MATCH(COLUMNS($AC$1006:AE1006),$AC$1006:$AS$1006,0))&gt;=100000), " ",IF(INDEX($AC$2:$AS$1001,MATCH(ROWS($V$2:V672),$V$2:$V$1001,0),MATCH(COLUMNS($AC$1006:AE1006),$AC$1006:$AS$1006,0)), HYPERLINK("#",""), HYPERLINK(CONCATENATE("#Metadata!", ADDRESS(INDEX($X$2:$X$1001,MATCH(ROWS($V$2:V672),$V$2:$V$1001,0),0), INDEX($AC$1004:$AS$1004,1,MATCH(COLUMNS($AC$1006:AE1006),$AC$1006:$AS$1006,0)))),"Fix")))</f>
        <v>0</v>
      </c>
      <c r="E672" s="5">
        <f>IF(OR(INDEX($W$2:$W$1001,MATCH(ROWS($V$2:V672),$V$2:$V$1001,0),1)&gt;=100000,INDEX($AC$1005:$AS$1005,1,MATCH(COLUMNS($AC$1006:AF1006),$AC$1006:$AS$1006,0))&gt;=100000), " ",IF(INDEX($AC$2:$AS$1001,MATCH(ROWS($V$2:V672),$V$2:$V$1001,0),MATCH(COLUMNS($AC$1006:AF1006),$AC$1006:$AS$1006,0)), HYPERLINK("#",""), HYPERLINK(CONCATENATE("#Metadata!", ADDRESS(INDEX($X$2:$X$1001,MATCH(ROWS($V$2:V672),$V$2:$V$1001,0),0), INDEX($AC$1004:$AS$1004,1,MATCH(COLUMNS($AC$1006:AF1006),$AC$1006:$AS$1006,0)))),"Fix")))</f>
        <v>0</v>
      </c>
      <c r="F672" s="5">
        <f>IF(OR(INDEX($W$2:$W$1001,MATCH(ROWS($V$2:V672),$V$2:$V$1001,0),1)&gt;=100000,INDEX($AC$1005:$AS$1005,1,MATCH(COLUMNS($AC$1006:AG1006),$AC$1006:$AS$1006,0))&gt;=100000), " ",IF(INDEX($AC$2:$AS$1001,MATCH(ROWS($V$2:V672),$V$2:$V$1001,0),MATCH(COLUMNS($AC$1006:AG1006),$AC$1006:$AS$1006,0)), HYPERLINK("#",""), HYPERLINK(CONCATENATE("#Metadata!", ADDRESS(INDEX($X$2:$X$1001,MATCH(ROWS($V$2:V672),$V$2:$V$1001,0),0), INDEX($AC$1004:$AS$1004,1,MATCH(COLUMNS($AC$1006:AG1006),$AC$1006:$AS$1006,0)))),"Fix")))</f>
        <v>0</v>
      </c>
      <c r="G672" s="5">
        <f>IF(OR(INDEX($W$2:$W$1001,MATCH(ROWS($V$2:V672),$V$2:$V$1001,0),1)&gt;=100000,INDEX($AC$1005:$AS$1005,1,MATCH(COLUMNS($AC$1006:AH1006),$AC$1006:$AS$1006,0))&gt;=100000), " ",IF(INDEX($AC$2:$AS$1001,MATCH(ROWS($V$2:V672),$V$2:$V$1001,0),MATCH(COLUMNS($AC$1006:AH1006),$AC$1006:$AS$1006,0)), HYPERLINK("#",""), HYPERLINK(CONCATENATE("#Metadata!", ADDRESS(INDEX($X$2:$X$1001,MATCH(ROWS($V$2:V672),$V$2:$V$1001,0),0), INDEX($AC$1004:$AS$1004,1,MATCH(COLUMNS($AC$1006:AH1006),$AC$1006:$AS$1006,0)))),"Fix")))</f>
        <v>0</v>
      </c>
      <c r="H672" s="5">
        <f>IF(OR(INDEX($W$2:$W$1001,MATCH(ROWS($V$2:V672),$V$2:$V$1001,0),1)&gt;=100000,INDEX($AC$1005:$AS$1005,1,MATCH(COLUMNS($AC$1006:AI1006),$AC$1006:$AS$1006,0))&gt;=100000), " ",IF(INDEX($AC$2:$AS$1001,MATCH(ROWS($V$2:V672),$V$2:$V$1001,0),MATCH(COLUMNS($AC$1006:AI1006),$AC$1006:$AS$1006,0)), HYPERLINK("#",""), HYPERLINK(CONCATENATE("#Metadata!", ADDRESS(INDEX($X$2:$X$1001,MATCH(ROWS($V$2:V672),$V$2:$V$1001,0),0), INDEX($AC$1004:$AS$1004,1,MATCH(COLUMNS($AC$1006:AI1006),$AC$1006:$AS$1006,0)))),"Fix")))</f>
        <v>0</v>
      </c>
      <c r="I672" s="5">
        <f>IF(OR(INDEX($W$2:$W$1001,MATCH(ROWS($V$2:V672),$V$2:$V$1001,0),1)&gt;=100000,INDEX($AC$1005:$AS$1005,1,MATCH(COLUMNS($AC$1006:AJ1006),$AC$1006:$AS$1006,0))&gt;=100000), " ",IF(INDEX($AC$2:$AS$1001,MATCH(ROWS($V$2:V672),$V$2:$V$1001,0),MATCH(COLUMNS($AC$1006:AJ1006),$AC$1006:$AS$1006,0)), HYPERLINK("#",""), HYPERLINK(CONCATENATE("#Metadata!", ADDRESS(INDEX($X$2:$X$1001,MATCH(ROWS($V$2:V672),$V$2:$V$1001,0),0), INDEX($AC$1004:$AS$1004,1,MATCH(COLUMNS($AC$1006:AJ1006),$AC$1006:$AS$1006,0)))),"Fix")))</f>
        <v>0</v>
      </c>
      <c r="J672" s="5">
        <f>IF(OR(INDEX($W$2:$W$1001,MATCH(ROWS($V$2:V672),$V$2:$V$1001,0),1)&gt;=100000,INDEX($AC$1005:$AS$1005,1,MATCH(COLUMNS($AC$1006:AK1006),$AC$1006:$AS$1006,0))&gt;=100000), " ",IF(INDEX($AC$2:$AS$1001,MATCH(ROWS($V$2:V672),$V$2:$V$1001,0),MATCH(COLUMNS($AC$1006:AK1006),$AC$1006:$AS$1006,0)), HYPERLINK("#",""), HYPERLINK(CONCATENATE("#Metadata!", ADDRESS(INDEX($X$2:$X$1001,MATCH(ROWS($V$2:V672),$V$2:$V$1001,0),0), INDEX($AC$1004:$AS$1004,1,MATCH(COLUMNS($AC$1006:AK1006),$AC$1006:$AS$1006,0)))),"Fix")))</f>
        <v>0</v>
      </c>
      <c r="K672" s="5">
        <f>IF(OR(INDEX($W$2:$W$1001,MATCH(ROWS($V$2:V672),$V$2:$V$1001,0),1)&gt;=100000,INDEX($AC$1005:$AS$1005,1,MATCH(COLUMNS($AC$1006:AL1006),$AC$1006:$AS$1006,0))&gt;=100000), " ",IF(INDEX($AC$2:$AS$1001,MATCH(ROWS($V$2:V672),$V$2:$V$1001,0),MATCH(COLUMNS($AC$1006:AL1006),$AC$1006:$AS$1006,0)), HYPERLINK("#",""), HYPERLINK(CONCATENATE("#Metadata!", ADDRESS(INDEX($X$2:$X$1001,MATCH(ROWS($V$2:V672),$V$2:$V$1001,0),0), INDEX($AC$1004:$AS$1004,1,MATCH(COLUMNS($AC$1006:AL1006),$AC$1006:$AS$1006,0)))),"Fix")))</f>
        <v>0</v>
      </c>
      <c r="L672" s="5">
        <f>IF(OR(INDEX($W$2:$W$1001,MATCH(ROWS($V$2:V672),$V$2:$V$1001,0),1)&gt;=100000,INDEX($AC$1005:$AS$1005,1,MATCH(COLUMNS($AC$1006:AM1006),$AC$1006:$AS$1006,0))&gt;=100000), " ",IF(INDEX($AC$2:$AS$1001,MATCH(ROWS($V$2:V672),$V$2:$V$1001,0),MATCH(COLUMNS($AC$1006:AM1006),$AC$1006:$AS$1006,0)), HYPERLINK("#",""), HYPERLINK(CONCATENATE("#Metadata!", ADDRESS(INDEX($X$2:$X$1001,MATCH(ROWS($V$2:V672),$V$2:$V$1001,0),0), INDEX($AC$1004:$AS$1004,1,MATCH(COLUMNS($AC$1006:AM1006),$AC$1006:$AS$1006,0)))),"Fix")))</f>
        <v>0</v>
      </c>
      <c r="M672" s="5">
        <f>IF(OR(INDEX($W$2:$W$1001,MATCH(ROWS($V$2:V672),$V$2:$V$1001,0),1)&gt;=100000,INDEX($AC$1005:$AS$1005,1,MATCH(COLUMNS($AC$1006:AN1006),$AC$1006:$AS$1006,0))&gt;=100000), " ",IF(INDEX($AC$2:$AS$1001,MATCH(ROWS($V$2:V672),$V$2:$V$1001,0),MATCH(COLUMNS($AC$1006:AN1006),$AC$1006:$AS$1006,0)), HYPERLINK("#",""), HYPERLINK(CONCATENATE("#Metadata!", ADDRESS(INDEX($X$2:$X$1001,MATCH(ROWS($V$2:V672),$V$2:$V$1001,0),0), INDEX($AC$1004:$AS$1004,1,MATCH(COLUMNS($AC$1006:AN1006),$AC$1006:$AS$1006,0)))),"Fix")))</f>
        <v>0</v>
      </c>
      <c r="N672" s="5">
        <f>IF(OR(INDEX($W$2:$W$1001,MATCH(ROWS($V$2:V672),$V$2:$V$1001,0),1)&gt;=100000,INDEX($AC$1005:$AS$1005,1,MATCH(COLUMNS($AC$1006:AO1006),$AC$1006:$AS$1006,0))&gt;=100000), " ",IF(INDEX($AC$2:$AS$1001,MATCH(ROWS($V$2:V672),$V$2:$V$1001,0),MATCH(COLUMNS($AC$1006:AO1006),$AC$1006:$AS$1006,0)), HYPERLINK("#",""), HYPERLINK(CONCATENATE("#Metadata!", ADDRESS(INDEX($X$2:$X$1001,MATCH(ROWS($V$2:V672),$V$2:$V$1001,0),0), INDEX($AC$1004:$AS$1004,1,MATCH(COLUMNS($AC$1006:AO1006),$AC$1006:$AS$1006,0)))),"Fix")))</f>
        <v>0</v>
      </c>
      <c r="O672" s="5">
        <f>IF(OR(INDEX($W$2:$W$1001,MATCH(ROWS($V$2:V672),$V$2:$V$1001,0),1)&gt;=100000,INDEX($AC$1005:$AS$1005,1,MATCH(COLUMNS($AC$1006:AP1006),$AC$1006:$AS$1006,0))&gt;=100000), " ",IF(INDEX($AC$2:$AS$1001,MATCH(ROWS($V$2:V672),$V$2:$V$1001,0),MATCH(COLUMNS($AC$1006:AP1006),$AC$1006:$AS$1006,0)), HYPERLINK("#",""), HYPERLINK(CONCATENATE("#Metadata!", ADDRESS(INDEX($X$2:$X$1001,MATCH(ROWS($V$2:V672),$V$2:$V$1001,0),0), INDEX($AC$1004:$AS$1004,1,MATCH(COLUMNS($AC$1006:AP1006),$AC$1006:$AS$1006,0)))),"Fix")))</f>
        <v>0</v>
      </c>
      <c r="P672" s="5">
        <f>IF(OR(INDEX($W$2:$W$1001,MATCH(ROWS($V$2:V672),$V$2:$V$1001,0),1)&gt;=100000,INDEX($AC$1005:$AS$1005,1,MATCH(COLUMNS($AC$1006:AQ1006),$AC$1006:$AS$1006,0))&gt;=100000), " ",IF(INDEX($AC$2:$AS$1001,MATCH(ROWS($V$2:V672),$V$2:$V$1001,0),MATCH(COLUMNS($AC$1006:AQ1006),$AC$1006:$AS$1006,0)), HYPERLINK("#",""), HYPERLINK(CONCATENATE("#Metadata!", ADDRESS(INDEX($X$2:$X$1001,MATCH(ROWS($V$2:V672),$V$2:$V$1001,0),0), INDEX($AC$1004:$AS$1004,1,MATCH(COLUMNS($AC$1006:AQ1006),$AC$1006:$AS$1006,0)))),"Fix")))</f>
        <v>0</v>
      </c>
      <c r="Q672" s="5">
        <f>IF(OR(INDEX($W$2:$W$1001,MATCH(ROWS($V$2:V672),$V$2:$V$1001,0),1)&gt;=100000,INDEX($AC$1005:$AS$1005,1,MATCH(COLUMNS($AC$1006:AR1006),$AC$1006:$AS$1006,0))&gt;=100000), " ",IF(INDEX($AC$2:$AS$1001,MATCH(ROWS($V$2:V672),$V$2:$V$1001,0),MATCH(COLUMNS($AC$1006:AR1006),$AC$1006:$AS$1006,0)), HYPERLINK("#",""), HYPERLINK(CONCATENATE("#Metadata!", ADDRESS(INDEX($X$2:$X$1001,MATCH(ROWS($V$2:V672),$V$2:$V$1001,0),0), INDEX($AC$1004:$AS$1004,1,MATCH(COLUMNS($AC$1006:AR1006),$AC$1006:$AS$1006,0)))),"Fix")))</f>
        <v>0</v>
      </c>
      <c r="R672" s="5">
        <f>IF(OR(INDEX($W$2:$W$1001,MATCH(ROWS($V$2:V672),$V$2:$V$1001,0),1)&gt;=100000,INDEX($AC$1005:$AS$1005,1,MATCH(COLUMNS($AC$1006:AS1006),$AC$1006:$AS$1006,0))&gt;=100000), " ",IF(INDEX($AC$2:$AS$1001,MATCH(ROWS($V$2:V672),$V$2:$V$1001,0),MATCH(COLUMNS($AC$1006:AS1006),$AC$1006:$AS$1006,0)), HYPERLINK("#",""), HYPERLINK(CONCATENATE("#Metadata!", ADDRESS(INDEX($X$2:$X$1001,MATCH(ROWS($V$2:V672),$V$2:$V$1001,0),0), INDEX($AC$1004:$AS$1004,1,MATCH(COLUMNS($AC$1006:AS1006),$AC$1006:$AS$1006,0)))),"Fix")))</f>
        <v>0</v>
      </c>
      <c r="V672">
        <v>0</v>
      </c>
      <c r="W672">
        <v>0</v>
      </c>
      <c r="X672">
        <v>0</v>
      </c>
      <c r="Y672">
        <f>IF(Z672,TRUE,AND(AC672:AS672))</f>
        <v>0</v>
      </c>
      <c r="Z672">
        <f>COUNTBLANK(Metadata!B672:R672)=COLUMNS(Metadata!B672:R672)</f>
        <v>0</v>
      </c>
      <c r="AA672">
        <v>0</v>
      </c>
      <c r="AC672">
        <f>AND(IF(Metadata!B672="",FALSE,TRUE),COUNTIF(Metadata!B:B, Metadata!B672) = 1,NOT(ISERROR(SUMPRODUCT(SEARCH(MID(Metadata!B672,ROW(INDIRECT("1:"&amp;LEN(Metadata!B672))), 1),"0123456789abcdefghijklmnopqrstuvwxyzABCDEFGHIJKLMNOPQRSTUVWXYZ.")))))</f>
        <v>0</v>
      </c>
      <c r="AD672">
        <f>AND(IF(Metadata!C672="",FALSE,TRUE),exact(Metadata!C672,"Host-associated"))</f>
        <v>0</v>
      </c>
      <c r="AE672">
        <f>AND(IF(Metadata!D672="",FALSE,TRUE),OR(exact(Metadata!D672,"Animal"),exact(Metadata!D672,"Fungus"),exact(Metadata!D672,"Plant")))</f>
        <v>0</v>
      </c>
      <c r="AF672">
        <f>AND(IF(Metadata!E672="",FALSE,TRUE),OR(exact(Metadata!E672,"Plant secretion"),exact(Metadata!E672,"Plant rhizosphere"),exact(Metadata!E672,"Plant surface"),exact(Metadata!E672,"Plant corpus"),exact(Metadata!E672,"Fungus surface"),exact(Metadata!E672,"Fungus corpus"),exact(Metadata!E672,"Animal surface"),exact(Metadata!E672,"Animal proximal gut"),exact(Metadata!E672,"Animal corpus"),exact(Metadata!E672,"Animal distal gut"),exact(Metadata!E672,"Animal secretion")))</f>
        <v>0</v>
      </c>
      <c r="AG672">
        <f>OR(AND(IF(Metadata!F672="",FALSE,TRUE),OR(exact(Metadata!F672,"not collected"),exact(Metadata!F672,"not provided"),exact(Metadata!F672,"restricted access"))),AND(IF(Metadata!F672="",FALSE,TRUE),OR(exact(Metadata!F672,"organism-associated habitat"),exact(Metadata!F672,"plant-associated habitat"),exact(Metadata!F672,"animal-associated habitat"),exact(Metadata!F672,"insecta-associated habitat"),exact(Metadata!F672,"mammalia-associated habitat"),exact(Metadata!F672,"human-associated habitat"),exact(Metadata!F672,"livestock-associated habitat"))))</f>
        <v>0</v>
      </c>
      <c r="AH672">
        <f>AND(IF(Metadata!G672="",FALSE,TRUE),exact(Metadata!G672,"host-associated"))</f>
        <v>0</v>
      </c>
      <c r="AI672">
        <f>OR(AND(IF(Metadata!H672="",FALSE,TRUE),OR(exact(Metadata!H672,"not collected"),exact(Metadata!H672,"not provided"))),AND(IF(Metadata!H672="",FALSE,ISNUMBER(VALUE(Metadata!H672))),Metadata!H672&gt;0))</f>
        <v>0</v>
      </c>
      <c r="AJ672">
        <f>AND(IF(Metadata!I672="",FALSE,TRUE),exact(Metadata!I672,"years"))</f>
        <v>0</v>
      </c>
      <c r="AK672">
        <f>IF(Metadata!J672="",FALSE,TRUE)</f>
        <v>0</v>
      </c>
      <c r="AL672">
        <f>OR(AND(IF(Metadata!K672="",FALSE,TRUE),OR(exact(Metadata!K672,"not collected"),exact(Metadata!K672,"not provided"))),AND(IF(Metadata!K672="",FALSE,ISNUMBER(VALUE(Metadata!K672))),Metadata!K672&gt;0))</f>
        <v>0</v>
      </c>
      <c r="AM672">
        <f>AND(IF(Metadata!L672="",FALSE,TRUE),exact(Metadata!L672,"cm"))</f>
        <v>0</v>
      </c>
      <c r="AN672">
        <f>IF(Metadata!M672="",FALSE,TRUE)</f>
        <v>0</v>
      </c>
      <c r="AO672">
        <f>OR(AND(IF(Metadata!N672="",FALSE,TRUE),OR(exact(Metadata!N672,"not applicable"),exact(Metadata!N672,"not collected"),exact(Metadata!N672,"not provided"))),AND(IF(Metadata!N672="",FALSE,IF(ISERROR(INT(Metadata!N672)),FALSE,INT(Metadata!N672)=Metadata!N672)),Metadata!N672&gt;0))</f>
        <v>0</v>
      </c>
      <c r="AP672">
        <f>OR(AND(IF(Metadata!O672="",FALSE,TRUE),OR(exact(Metadata!O672,"not collected"),exact(Metadata!O672,"not provided"))),AND(IF(Metadata!O672="",FALSE,ISNUMBER(VALUE(Metadata!O672))),Metadata!O672&gt;0))</f>
        <v>0</v>
      </c>
      <c r="AQ672">
        <f>AND(IF(Metadata!P672="",FALSE,TRUE),exact(Metadata!P672,"kg"))</f>
        <v>0</v>
      </c>
      <c r="AR672">
        <f>OR(AND(IF(Metadata!Q672="",FALSE,TRUE),OR(exact(Metadata!Q672,"not applicable"),exact(Metadata!Q672,"not collected"),exact(Metadata!Q672,"not provided"),exact(Metadata!Q672,"restricted access"))),IF(Metadata!Q672="",FALSE,IF(ISERROR(INT(Metadata!Q672)),FALSE,INT(Metadata!Q672)=Metadata!Q672)))</f>
        <v>0</v>
      </c>
      <c r="AS672">
        <f>AND(IF(Metadata!R672="",FALSE,TRUE),exact(Metadata!R672,"Not applicable"))</f>
        <v>0</v>
      </c>
    </row>
    <row r="673" spans="1:45">
      <c r="A673" s="4">
        <f>IF(B673=" "," ",HYPERLINK(CONCATENATE("#metadata!",ADDRESS(INDEX($X$2:$X$1001,MATCH(ROWS($V$2:V673),$V$2:$V$1001,0),0),2)),INDEX($AA$2:$AA$1001,MATCH(ROWS($V$2:V673),$V$2:$V$1001,0),0)))</f>
        <v>0</v>
      </c>
      <c r="B673" s="5">
        <f>IF(OR(INDEX($W$2:$W$1001,MATCH(ROWS($V$2:V673),$V$2:$V$1001,0),1)&gt;=100000,INDEX($AC$1005:$AS$1005,1,MATCH(COLUMNS($AC$1006:AC1006),$AC$1006:$AS$1006,0))&gt;=100000), " ",IF(INDEX($AC$2:$AS$1001,MATCH(ROWS($V$2:V673),$V$2:$V$1001,0),MATCH(COLUMNS($AC$1006:AC1006),$AC$1006:$AS$1006,0)), HYPERLINK("#",""), HYPERLINK(CONCATENATE("#Metadata!", ADDRESS(INDEX($X$2:$X$1001,MATCH(ROWS($V$2:V673),$V$2:$V$1001,0),0), INDEX($AC$1004:$AS$1004,1,MATCH(COLUMNS($AC$1006:AC1006),$AC$1006:$AS$1006,0)))),"Fix")))</f>
        <v>0</v>
      </c>
      <c r="C673" s="5">
        <f>IF(OR(INDEX($W$2:$W$1001,MATCH(ROWS($V$2:V673),$V$2:$V$1001,0),1)&gt;=100000,INDEX($AC$1005:$AS$1005,1,MATCH(COLUMNS($AC$1006:AD1006),$AC$1006:$AS$1006,0))&gt;=100000), " ",IF(INDEX($AC$2:$AS$1001,MATCH(ROWS($V$2:V673),$V$2:$V$1001,0),MATCH(COLUMNS($AC$1006:AD1006),$AC$1006:$AS$1006,0)), HYPERLINK("#",""), HYPERLINK(CONCATENATE("#Metadata!", ADDRESS(INDEX($X$2:$X$1001,MATCH(ROWS($V$2:V673),$V$2:$V$1001,0),0), INDEX($AC$1004:$AS$1004,1,MATCH(COLUMNS($AC$1006:AD1006),$AC$1006:$AS$1006,0)))),"Fix")))</f>
        <v>0</v>
      </c>
      <c r="D673" s="5">
        <f>IF(OR(INDEX($W$2:$W$1001,MATCH(ROWS($V$2:V673),$V$2:$V$1001,0),1)&gt;=100000,INDEX($AC$1005:$AS$1005,1,MATCH(COLUMNS($AC$1006:AE1006),$AC$1006:$AS$1006,0))&gt;=100000), " ",IF(INDEX($AC$2:$AS$1001,MATCH(ROWS($V$2:V673),$V$2:$V$1001,0),MATCH(COLUMNS($AC$1006:AE1006),$AC$1006:$AS$1006,0)), HYPERLINK("#",""), HYPERLINK(CONCATENATE("#Metadata!", ADDRESS(INDEX($X$2:$X$1001,MATCH(ROWS($V$2:V673),$V$2:$V$1001,0),0), INDEX($AC$1004:$AS$1004,1,MATCH(COLUMNS($AC$1006:AE1006),$AC$1006:$AS$1006,0)))),"Fix")))</f>
        <v>0</v>
      </c>
      <c r="E673" s="5">
        <f>IF(OR(INDEX($W$2:$W$1001,MATCH(ROWS($V$2:V673),$V$2:$V$1001,0),1)&gt;=100000,INDEX($AC$1005:$AS$1005,1,MATCH(COLUMNS($AC$1006:AF1006),$AC$1006:$AS$1006,0))&gt;=100000), " ",IF(INDEX($AC$2:$AS$1001,MATCH(ROWS($V$2:V673),$V$2:$V$1001,0),MATCH(COLUMNS($AC$1006:AF1006),$AC$1006:$AS$1006,0)), HYPERLINK("#",""), HYPERLINK(CONCATENATE("#Metadata!", ADDRESS(INDEX($X$2:$X$1001,MATCH(ROWS($V$2:V673),$V$2:$V$1001,0),0), INDEX($AC$1004:$AS$1004,1,MATCH(COLUMNS($AC$1006:AF1006),$AC$1006:$AS$1006,0)))),"Fix")))</f>
        <v>0</v>
      </c>
      <c r="F673" s="5">
        <f>IF(OR(INDEX($W$2:$W$1001,MATCH(ROWS($V$2:V673),$V$2:$V$1001,0),1)&gt;=100000,INDEX($AC$1005:$AS$1005,1,MATCH(COLUMNS($AC$1006:AG1006),$AC$1006:$AS$1006,0))&gt;=100000), " ",IF(INDEX($AC$2:$AS$1001,MATCH(ROWS($V$2:V673),$V$2:$V$1001,0),MATCH(COLUMNS($AC$1006:AG1006),$AC$1006:$AS$1006,0)), HYPERLINK("#",""), HYPERLINK(CONCATENATE("#Metadata!", ADDRESS(INDEX($X$2:$X$1001,MATCH(ROWS($V$2:V673),$V$2:$V$1001,0),0), INDEX($AC$1004:$AS$1004,1,MATCH(COLUMNS($AC$1006:AG1006),$AC$1006:$AS$1006,0)))),"Fix")))</f>
        <v>0</v>
      </c>
      <c r="G673" s="5">
        <f>IF(OR(INDEX($W$2:$W$1001,MATCH(ROWS($V$2:V673),$V$2:$V$1001,0),1)&gt;=100000,INDEX($AC$1005:$AS$1005,1,MATCH(COLUMNS($AC$1006:AH1006),$AC$1006:$AS$1006,0))&gt;=100000), " ",IF(INDEX($AC$2:$AS$1001,MATCH(ROWS($V$2:V673),$V$2:$V$1001,0),MATCH(COLUMNS($AC$1006:AH1006),$AC$1006:$AS$1006,0)), HYPERLINK("#",""), HYPERLINK(CONCATENATE("#Metadata!", ADDRESS(INDEX($X$2:$X$1001,MATCH(ROWS($V$2:V673),$V$2:$V$1001,0),0), INDEX($AC$1004:$AS$1004,1,MATCH(COLUMNS($AC$1006:AH1006),$AC$1006:$AS$1006,0)))),"Fix")))</f>
        <v>0</v>
      </c>
      <c r="H673" s="5">
        <f>IF(OR(INDEX($W$2:$W$1001,MATCH(ROWS($V$2:V673),$V$2:$V$1001,0),1)&gt;=100000,INDEX($AC$1005:$AS$1005,1,MATCH(COLUMNS($AC$1006:AI1006),$AC$1006:$AS$1006,0))&gt;=100000), " ",IF(INDEX($AC$2:$AS$1001,MATCH(ROWS($V$2:V673),$V$2:$V$1001,0),MATCH(COLUMNS($AC$1006:AI1006),$AC$1006:$AS$1006,0)), HYPERLINK("#",""), HYPERLINK(CONCATENATE("#Metadata!", ADDRESS(INDEX($X$2:$X$1001,MATCH(ROWS($V$2:V673),$V$2:$V$1001,0),0), INDEX($AC$1004:$AS$1004,1,MATCH(COLUMNS($AC$1006:AI1006),$AC$1006:$AS$1006,0)))),"Fix")))</f>
        <v>0</v>
      </c>
      <c r="I673" s="5">
        <f>IF(OR(INDEX($W$2:$W$1001,MATCH(ROWS($V$2:V673),$V$2:$V$1001,0),1)&gt;=100000,INDEX($AC$1005:$AS$1005,1,MATCH(COLUMNS($AC$1006:AJ1006),$AC$1006:$AS$1006,0))&gt;=100000), " ",IF(INDEX($AC$2:$AS$1001,MATCH(ROWS($V$2:V673),$V$2:$V$1001,0),MATCH(COLUMNS($AC$1006:AJ1006),$AC$1006:$AS$1006,0)), HYPERLINK("#",""), HYPERLINK(CONCATENATE("#Metadata!", ADDRESS(INDEX($X$2:$X$1001,MATCH(ROWS($V$2:V673),$V$2:$V$1001,0),0), INDEX($AC$1004:$AS$1004,1,MATCH(COLUMNS($AC$1006:AJ1006),$AC$1006:$AS$1006,0)))),"Fix")))</f>
        <v>0</v>
      </c>
      <c r="J673" s="5">
        <f>IF(OR(INDEX($W$2:$W$1001,MATCH(ROWS($V$2:V673),$V$2:$V$1001,0),1)&gt;=100000,INDEX($AC$1005:$AS$1005,1,MATCH(COLUMNS($AC$1006:AK1006),$AC$1006:$AS$1006,0))&gt;=100000), " ",IF(INDEX($AC$2:$AS$1001,MATCH(ROWS($V$2:V673),$V$2:$V$1001,0),MATCH(COLUMNS($AC$1006:AK1006),$AC$1006:$AS$1006,0)), HYPERLINK("#",""), HYPERLINK(CONCATENATE("#Metadata!", ADDRESS(INDEX($X$2:$X$1001,MATCH(ROWS($V$2:V673),$V$2:$V$1001,0),0), INDEX($AC$1004:$AS$1004,1,MATCH(COLUMNS($AC$1006:AK1006),$AC$1006:$AS$1006,0)))),"Fix")))</f>
        <v>0</v>
      </c>
      <c r="K673" s="5">
        <f>IF(OR(INDEX($W$2:$W$1001,MATCH(ROWS($V$2:V673),$V$2:$V$1001,0),1)&gt;=100000,INDEX($AC$1005:$AS$1005,1,MATCH(COLUMNS($AC$1006:AL1006),$AC$1006:$AS$1006,0))&gt;=100000), " ",IF(INDEX($AC$2:$AS$1001,MATCH(ROWS($V$2:V673),$V$2:$V$1001,0),MATCH(COLUMNS($AC$1006:AL1006),$AC$1006:$AS$1006,0)), HYPERLINK("#",""), HYPERLINK(CONCATENATE("#Metadata!", ADDRESS(INDEX($X$2:$X$1001,MATCH(ROWS($V$2:V673),$V$2:$V$1001,0),0), INDEX($AC$1004:$AS$1004,1,MATCH(COLUMNS($AC$1006:AL1006),$AC$1006:$AS$1006,0)))),"Fix")))</f>
        <v>0</v>
      </c>
      <c r="L673" s="5">
        <f>IF(OR(INDEX($W$2:$W$1001,MATCH(ROWS($V$2:V673),$V$2:$V$1001,0),1)&gt;=100000,INDEX($AC$1005:$AS$1005,1,MATCH(COLUMNS($AC$1006:AM1006),$AC$1006:$AS$1006,0))&gt;=100000), " ",IF(INDEX($AC$2:$AS$1001,MATCH(ROWS($V$2:V673),$V$2:$V$1001,0),MATCH(COLUMNS($AC$1006:AM1006),$AC$1006:$AS$1006,0)), HYPERLINK("#",""), HYPERLINK(CONCATENATE("#Metadata!", ADDRESS(INDEX($X$2:$X$1001,MATCH(ROWS($V$2:V673),$V$2:$V$1001,0),0), INDEX($AC$1004:$AS$1004,1,MATCH(COLUMNS($AC$1006:AM1006),$AC$1006:$AS$1006,0)))),"Fix")))</f>
        <v>0</v>
      </c>
      <c r="M673" s="5">
        <f>IF(OR(INDEX($W$2:$W$1001,MATCH(ROWS($V$2:V673),$V$2:$V$1001,0),1)&gt;=100000,INDEX($AC$1005:$AS$1005,1,MATCH(COLUMNS($AC$1006:AN1006),$AC$1006:$AS$1006,0))&gt;=100000), " ",IF(INDEX($AC$2:$AS$1001,MATCH(ROWS($V$2:V673),$V$2:$V$1001,0),MATCH(COLUMNS($AC$1006:AN1006),$AC$1006:$AS$1006,0)), HYPERLINK("#",""), HYPERLINK(CONCATENATE("#Metadata!", ADDRESS(INDEX($X$2:$X$1001,MATCH(ROWS($V$2:V673),$V$2:$V$1001,0),0), INDEX($AC$1004:$AS$1004,1,MATCH(COLUMNS($AC$1006:AN1006),$AC$1006:$AS$1006,0)))),"Fix")))</f>
        <v>0</v>
      </c>
      <c r="N673" s="5">
        <f>IF(OR(INDEX($W$2:$W$1001,MATCH(ROWS($V$2:V673),$V$2:$V$1001,0),1)&gt;=100000,INDEX($AC$1005:$AS$1005,1,MATCH(COLUMNS($AC$1006:AO1006),$AC$1006:$AS$1006,0))&gt;=100000), " ",IF(INDEX($AC$2:$AS$1001,MATCH(ROWS($V$2:V673),$V$2:$V$1001,0),MATCH(COLUMNS($AC$1006:AO1006),$AC$1006:$AS$1006,0)), HYPERLINK("#",""), HYPERLINK(CONCATENATE("#Metadata!", ADDRESS(INDEX($X$2:$X$1001,MATCH(ROWS($V$2:V673),$V$2:$V$1001,0),0), INDEX($AC$1004:$AS$1004,1,MATCH(COLUMNS($AC$1006:AO1006),$AC$1006:$AS$1006,0)))),"Fix")))</f>
        <v>0</v>
      </c>
      <c r="O673" s="5">
        <f>IF(OR(INDEX($W$2:$W$1001,MATCH(ROWS($V$2:V673),$V$2:$V$1001,0),1)&gt;=100000,INDEX($AC$1005:$AS$1005,1,MATCH(COLUMNS($AC$1006:AP1006),$AC$1006:$AS$1006,0))&gt;=100000), " ",IF(INDEX($AC$2:$AS$1001,MATCH(ROWS($V$2:V673),$V$2:$V$1001,0),MATCH(COLUMNS($AC$1006:AP1006),$AC$1006:$AS$1006,0)), HYPERLINK("#",""), HYPERLINK(CONCATENATE("#Metadata!", ADDRESS(INDEX($X$2:$X$1001,MATCH(ROWS($V$2:V673),$V$2:$V$1001,0),0), INDEX($AC$1004:$AS$1004,1,MATCH(COLUMNS($AC$1006:AP1006),$AC$1006:$AS$1006,0)))),"Fix")))</f>
        <v>0</v>
      </c>
      <c r="P673" s="5">
        <f>IF(OR(INDEX($W$2:$W$1001,MATCH(ROWS($V$2:V673),$V$2:$V$1001,0),1)&gt;=100000,INDEX($AC$1005:$AS$1005,1,MATCH(COLUMNS($AC$1006:AQ1006),$AC$1006:$AS$1006,0))&gt;=100000), " ",IF(INDEX($AC$2:$AS$1001,MATCH(ROWS($V$2:V673),$V$2:$V$1001,0),MATCH(COLUMNS($AC$1006:AQ1006),$AC$1006:$AS$1006,0)), HYPERLINK("#",""), HYPERLINK(CONCATENATE("#Metadata!", ADDRESS(INDEX($X$2:$X$1001,MATCH(ROWS($V$2:V673),$V$2:$V$1001,0),0), INDEX($AC$1004:$AS$1004,1,MATCH(COLUMNS($AC$1006:AQ1006),$AC$1006:$AS$1006,0)))),"Fix")))</f>
        <v>0</v>
      </c>
      <c r="Q673" s="5">
        <f>IF(OR(INDEX($W$2:$W$1001,MATCH(ROWS($V$2:V673),$V$2:$V$1001,0),1)&gt;=100000,INDEX($AC$1005:$AS$1005,1,MATCH(COLUMNS($AC$1006:AR1006),$AC$1006:$AS$1006,0))&gt;=100000), " ",IF(INDEX($AC$2:$AS$1001,MATCH(ROWS($V$2:V673),$V$2:$V$1001,0),MATCH(COLUMNS($AC$1006:AR1006),$AC$1006:$AS$1006,0)), HYPERLINK("#",""), HYPERLINK(CONCATENATE("#Metadata!", ADDRESS(INDEX($X$2:$X$1001,MATCH(ROWS($V$2:V673),$V$2:$V$1001,0),0), INDEX($AC$1004:$AS$1004,1,MATCH(COLUMNS($AC$1006:AR1006),$AC$1006:$AS$1006,0)))),"Fix")))</f>
        <v>0</v>
      </c>
      <c r="R673" s="5">
        <f>IF(OR(INDEX($W$2:$W$1001,MATCH(ROWS($V$2:V673),$V$2:$V$1001,0),1)&gt;=100000,INDEX($AC$1005:$AS$1005,1,MATCH(COLUMNS($AC$1006:AS1006),$AC$1006:$AS$1006,0))&gt;=100000), " ",IF(INDEX($AC$2:$AS$1001,MATCH(ROWS($V$2:V673),$V$2:$V$1001,0),MATCH(COLUMNS($AC$1006:AS1006),$AC$1006:$AS$1006,0)), HYPERLINK("#",""), HYPERLINK(CONCATENATE("#Metadata!", ADDRESS(INDEX($X$2:$X$1001,MATCH(ROWS($V$2:V673),$V$2:$V$1001,0),0), INDEX($AC$1004:$AS$1004,1,MATCH(COLUMNS($AC$1006:AS1006),$AC$1006:$AS$1006,0)))),"Fix")))</f>
        <v>0</v>
      </c>
      <c r="V673">
        <v>0</v>
      </c>
      <c r="W673">
        <v>0</v>
      </c>
      <c r="X673">
        <v>0</v>
      </c>
      <c r="Y673">
        <f>IF(Z673,TRUE,AND(AC673:AS673))</f>
        <v>0</v>
      </c>
      <c r="Z673">
        <f>COUNTBLANK(Metadata!B673:R673)=COLUMNS(Metadata!B673:R673)</f>
        <v>0</v>
      </c>
      <c r="AA673">
        <v>0</v>
      </c>
      <c r="AC673">
        <f>AND(IF(Metadata!B673="",FALSE,TRUE),COUNTIF(Metadata!B:B, Metadata!B673) = 1,NOT(ISERROR(SUMPRODUCT(SEARCH(MID(Metadata!B673,ROW(INDIRECT("1:"&amp;LEN(Metadata!B673))), 1),"0123456789abcdefghijklmnopqrstuvwxyzABCDEFGHIJKLMNOPQRSTUVWXYZ.")))))</f>
        <v>0</v>
      </c>
      <c r="AD673">
        <f>AND(IF(Metadata!C673="",FALSE,TRUE),exact(Metadata!C673,"Host-associated"))</f>
        <v>0</v>
      </c>
      <c r="AE673">
        <f>AND(IF(Metadata!D673="",FALSE,TRUE),OR(exact(Metadata!D673,"Animal"),exact(Metadata!D673,"Fungus"),exact(Metadata!D673,"Plant")))</f>
        <v>0</v>
      </c>
      <c r="AF673">
        <f>AND(IF(Metadata!E673="",FALSE,TRUE),OR(exact(Metadata!E673,"Plant secretion"),exact(Metadata!E673,"Plant rhizosphere"),exact(Metadata!E673,"Plant surface"),exact(Metadata!E673,"Plant corpus"),exact(Metadata!E673,"Fungus surface"),exact(Metadata!E673,"Fungus corpus"),exact(Metadata!E673,"Animal surface"),exact(Metadata!E673,"Animal proximal gut"),exact(Metadata!E673,"Animal corpus"),exact(Metadata!E673,"Animal distal gut"),exact(Metadata!E673,"Animal secretion")))</f>
        <v>0</v>
      </c>
      <c r="AG673">
        <f>OR(AND(IF(Metadata!F673="",FALSE,TRUE),OR(exact(Metadata!F673,"not collected"),exact(Metadata!F673,"not provided"),exact(Metadata!F673,"restricted access"))),AND(IF(Metadata!F673="",FALSE,TRUE),OR(exact(Metadata!F673,"organism-associated habitat"),exact(Metadata!F673,"plant-associated habitat"),exact(Metadata!F673,"animal-associated habitat"),exact(Metadata!F673,"insecta-associated habitat"),exact(Metadata!F673,"mammalia-associated habitat"),exact(Metadata!F673,"human-associated habitat"),exact(Metadata!F673,"livestock-associated habitat"))))</f>
        <v>0</v>
      </c>
      <c r="AH673">
        <f>AND(IF(Metadata!G673="",FALSE,TRUE),exact(Metadata!G673,"host-associated"))</f>
        <v>0</v>
      </c>
      <c r="AI673">
        <f>OR(AND(IF(Metadata!H673="",FALSE,TRUE),OR(exact(Metadata!H673,"not collected"),exact(Metadata!H673,"not provided"))),AND(IF(Metadata!H673="",FALSE,ISNUMBER(VALUE(Metadata!H673))),Metadata!H673&gt;0))</f>
        <v>0</v>
      </c>
      <c r="AJ673">
        <f>AND(IF(Metadata!I673="",FALSE,TRUE),exact(Metadata!I673,"years"))</f>
        <v>0</v>
      </c>
      <c r="AK673">
        <f>IF(Metadata!J673="",FALSE,TRUE)</f>
        <v>0</v>
      </c>
      <c r="AL673">
        <f>OR(AND(IF(Metadata!K673="",FALSE,TRUE),OR(exact(Metadata!K673,"not collected"),exact(Metadata!K673,"not provided"))),AND(IF(Metadata!K673="",FALSE,ISNUMBER(VALUE(Metadata!K673))),Metadata!K673&gt;0))</f>
        <v>0</v>
      </c>
      <c r="AM673">
        <f>AND(IF(Metadata!L673="",FALSE,TRUE),exact(Metadata!L673,"cm"))</f>
        <v>0</v>
      </c>
      <c r="AN673">
        <f>IF(Metadata!M673="",FALSE,TRUE)</f>
        <v>0</v>
      </c>
      <c r="AO673">
        <f>OR(AND(IF(Metadata!N673="",FALSE,TRUE),OR(exact(Metadata!N673,"not applicable"),exact(Metadata!N673,"not collected"),exact(Metadata!N673,"not provided"))),AND(IF(Metadata!N673="",FALSE,IF(ISERROR(INT(Metadata!N673)),FALSE,INT(Metadata!N673)=Metadata!N673)),Metadata!N673&gt;0))</f>
        <v>0</v>
      </c>
      <c r="AP673">
        <f>OR(AND(IF(Metadata!O673="",FALSE,TRUE),OR(exact(Metadata!O673,"not collected"),exact(Metadata!O673,"not provided"))),AND(IF(Metadata!O673="",FALSE,ISNUMBER(VALUE(Metadata!O673))),Metadata!O673&gt;0))</f>
        <v>0</v>
      </c>
      <c r="AQ673">
        <f>AND(IF(Metadata!P673="",FALSE,TRUE),exact(Metadata!P673,"kg"))</f>
        <v>0</v>
      </c>
      <c r="AR673">
        <f>OR(AND(IF(Metadata!Q673="",FALSE,TRUE),OR(exact(Metadata!Q673,"not applicable"),exact(Metadata!Q673,"not collected"),exact(Metadata!Q673,"not provided"),exact(Metadata!Q673,"restricted access"))),IF(Metadata!Q673="",FALSE,IF(ISERROR(INT(Metadata!Q673)),FALSE,INT(Metadata!Q673)=Metadata!Q673)))</f>
        <v>0</v>
      </c>
      <c r="AS673">
        <f>AND(IF(Metadata!R673="",FALSE,TRUE),exact(Metadata!R673,"Not applicable"))</f>
        <v>0</v>
      </c>
    </row>
    <row r="674" spans="1:45">
      <c r="A674" s="4">
        <f>IF(B674=" "," ",HYPERLINK(CONCATENATE("#metadata!",ADDRESS(INDEX($X$2:$X$1001,MATCH(ROWS($V$2:V674),$V$2:$V$1001,0),0),2)),INDEX($AA$2:$AA$1001,MATCH(ROWS($V$2:V674),$V$2:$V$1001,0),0)))</f>
        <v>0</v>
      </c>
      <c r="B674" s="5">
        <f>IF(OR(INDEX($W$2:$W$1001,MATCH(ROWS($V$2:V674),$V$2:$V$1001,0),1)&gt;=100000,INDEX($AC$1005:$AS$1005,1,MATCH(COLUMNS($AC$1006:AC1006),$AC$1006:$AS$1006,0))&gt;=100000), " ",IF(INDEX($AC$2:$AS$1001,MATCH(ROWS($V$2:V674),$V$2:$V$1001,0),MATCH(COLUMNS($AC$1006:AC1006),$AC$1006:$AS$1006,0)), HYPERLINK("#",""), HYPERLINK(CONCATENATE("#Metadata!", ADDRESS(INDEX($X$2:$X$1001,MATCH(ROWS($V$2:V674),$V$2:$V$1001,0),0), INDEX($AC$1004:$AS$1004,1,MATCH(COLUMNS($AC$1006:AC1006),$AC$1006:$AS$1006,0)))),"Fix")))</f>
        <v>0</v>
      </c>
      <c r="C674" s="5">
        <f>IF(OR(INDEX($W$2:$W$1001,MATCH(ROWS($V$2:V674),$V$2:$V$1001,0),1)&gt;=100000,INDEX($AC$1005:$AS$1005,1,MATCH(COLUMNS($AC$1006:AD1006),$AC$1006:$AS$1006,0))&gt;=100000), " ",IF(INDEX($AC$2:$AS$1001,MATCH(ROWS($V$2:V674),$V$2:$V$1001,0),MATCH(COLUMNS($AC$1006:AD1006),$AC$1006:$AS$1006,0)), HYPERLINK("#",""), HYPERLINK(CONCATENATE("#Metadata!", ADDRESS(INDEX($X$2:$X$1001,MATCH(ROWS($V$2:V674),$V$2:$V$1001,0),0), INDEX($AC$1004:$AS$1004,1,MATCH(COLUMNS($AC$1006:AD1006),$AC$1006:$AS$1006,0)))),"Fix")))</f>
        <v>0</v>
      </c>
      <c r="D674" s="5">
        <f>IF(OR(INDEX($W$2:$W$1001,MATCH(ROWS($V$2:V674),$V$2:$V$1001,0),1)&gt;=100000,INDEX($AC$1005:$AS$1005,1,MATCH(COLUMNS($AC$1006:AE1006),$AC$1006:$AS$1006,0))&gt;=100000), " ",IF(INDEX($AC$2:$AS$1001,MATCH(ROWS($V$2:V674),$V$2:$V$1001,0),MATCH(COLUMNS($AC$1006:AE1006),$AC$1006:$AS$1006,0)), HYPERLINK("#",""), HYPERLINK(CONCATENATE("#Metadata!", ADDRESS(INDEX($X$2:$X$1001,MATCH(ROWS($V$2:V674),$V$2:$V$1001,0),0), INDEX($AC$1004:$AS$1004,1,MATCH(COLUMNS($AC$1006:AE1006),$AC$1006:$AS$1006,0)))),"Fix")))</f>
        <v>0</v>
      </c>
      <c r="E674" s="5">
        <f>IF(OR(INDEX($W$2:$W$1001,MATCH(ROWS($V$2:V674),$V$2:$V$1001,0),1)&gt;=100000,INDEX($AC$1005:$AS$1005,1,MATCH(COLUMNS($AC$1006:AF1006),$AC$1006:$AS$1006,0))&gt;=100000), " ",IF(INDEX($AC$2:$AS$1001,MATCH(ROWS($V$2:V674),$V$2:$V$1001,0),MATCH(COLUMNS($AC$1006:AF1006),$AC$1006:$AS$1006,0)), HYPERLINK("#",""), HYPERLINK(CONCATENATE("#Metadata!", ADDRESS(INDEX($X$2:$X$1001,MATCH(ROWS($V$2:V674),$V$2:$V$1001,0),0), INDEX($AC$1004:$AS$1004,1,MATCH(COLUMNS($AC$1006:AF1006),$AC$1006:$AS$1006,0)))),"Fix")))</f>
        <v>0</v>
      </c>
      <c r="F674" s="5">
        <f>IF(OR(INDEX($W$2:$W$1001,MATCH(ROWS($V$2:V674),$V$2:$V$1001,0),1)&gt;=100000,INDEX($AC$1005:$AS$1005,1,MATCH(COLUMNS($AC$1006:AG1006),$AC$1006:$AS$1006,0))&gt;=100000), " ",IF(INDEX($AC$2:$AS$1001,MATCH(ROWS($V$2:V674),$V$2:$V$1001,0),MATCH(COLUMNS($AC$1006:AG1006),$AC$1006:$AS$1006,0)), HYPERLINK("#",""), HYPERLINK(CONCATENATE("#Metadata!", ADDRESS(INDEX($X$2:$X$1001,MATCH(ROWS($V$2:V674),$V$2:$V$1001,0),0), INDEX($AC$1004:$AS$1004,1,MATCH(COLUMNS($AC$1006:AG1006),$AC$1006:$AS$1006,0)))),"Fix")))</f>
        <v>0</v>
      </c>
      <c r="G674" s="5">
        <f>IF(OR(INDEX($W$2:$W$1001,MATCH(ROWS($V$2:V674),$V$2:$V$1001,0),1)&gt;=100000,INDEX($AC$1005:$AS$1005,1,MATCH(COLUMNS($AC$1006:AH1006),$AC$1006:$AS$1006,0))&gt;=100000), " ",IF(INDEX($AC$2:$AS$1001,MATCH(ROWS($V$2:V674),$V$2:$V$1001,0),MATCH(COLUMNS($AC$1006:AH1006),$AC$1006:$AS$1006,0)), HYPERLINK("#",""), HYPERLINK(CONCATENATE("#Metadata!", ADDRESS(INDEX($X$2:$X$1001,MATCH(ROWS($V$2:V674),$V$2:$V$1001,0),0), INDEX($AC$1004:$AS$1004,1,MATCH(COLUMNS($AC$1006:AH1006),$AC$1006:$AS$1006,0)))),"Fix")))</f>
        <v>0</v>
      </c>
      <c r="H674" s="5">
        <f>IF(OR(INDEX($W$2:$W$1001,MATCH(ROWS($V$2:V674),$V$2:$V$1001,0),1)&gt;=100000,INDEX($AC$1005:$AS$1005,1,MATCH(COLUMNS($AC$1006:AI1006),$AC$1006:$AS$1006,0))&gt;=100000), " ",IF(INDEX($AC$2:$AS$1001,MATCH(ROWS($V$2:V674),$V$2:$V$1001,0),MATCH(COLUMNS($AC$1006:AI1006),$AC$1006:$AS$1006,0)), HYPERLINK("#",""), HYPERLINK(CONCATENATE("#Metadata!", ADDRESS(INDEX($X$2:$X$1001,MATCH(ROWS($V$2:V674),$V$2:$V$1001,0),0), INDEX($AC$1004:$AS$1004,1,MATCH(COLUMNS($AC$1006:AI1006),$AC$1006:$AS$1006,0)))),"Fix")))</f>
        <v>0</v>
      </c>
      <c r="I674" s="5">
        <f>IF(OR(INDEX($W$2:$W$1001,MATCH(ROWS($V$2:V674),$V$2:$V$1001,0),1)&gt;=100000,INDEX($AC$1005:$AS$1005,1,MATCH(COLUMNS($AC$1006:AJ1006),$AC$1006:$AS$1006,0))&gt;=100000), " ",IF(INDEX($AC$2:$AS$1001,MATCH(ROWS($V$2:V674),$V$2:$V$1001,0),MATCH(COLUMNS($AC$1006:AJ1006),$AC$1006:$AS$1006,0)), HYPERLINK("#",""), HYPERLINK(CONCATENATE("#Metadata!", ADDRESS(INDEX($X$2:$X$1001,MATCH(ROWS($V$2:V674),$V$2:$V$1001,0),0), INDEX($AC$1004:$AS$1004,1,MATCH(COLUMNS($AC$1006:AJ1006),$AC$1006:$AS$1006,0)))),"Fix")))</f>
        <v>0</v>
      </c>
      <c r="J674" s="5">
        <f>IF(OR(INDEX($W$2:$W$1001,MATCH(ROWS($V$2:V674),$V$2:$V$1001,0),1)&gt;=100000,INDEX($AC$1005:$AS$1005,1,MATCH(COLUMNS($AC$1006:AK1006),$AC$1006:$AS$1006,0))&gt;=100000), " ",IF(INDEX($AC$2:$AS$1001,MATCH(ROWS($V$2:V674),$V$2:$V$1001,0),MATCH(COLUMNS($AC$1006:AK1006),$AC$1006:$AS$1006,0)), HYPERLINK("#",""), HYPERLINK(CONCATENATE("#Metadata!", ADDRESS(INDEX($X$2:$X$1001,MATCH(ROWS($V$2:V674),$V$2:$V$1001,0),0), INDEX($AC$1004:$AS$1004,1,MATCH(COLUMNS($AC$1006:AK1006),$AC$1006:$AS$1006,0)))),"Fix")))</f>
        <v>0</v>
      </c>
      <c r="K674" s="5">
        <f>IF(OR(INDEX($W$2:$W$1001,MATCH(ROWS($V$2:V674),$V$2:$V$1001,0),1)&gt;=100000,INDEX($AC$1005:$AS$1005,1,MATCH(COLUMNS($AC$1006:AL1006),$AC$1006:$AS$1006,0))&gt;=100000), " ",IF(INDEX($AC$2:$AS$1001,MATCH(ROWS($V$2:V674),$V$2:$V$1001,0),MATCH(COLUMNS($AC$1006:AL1006),$AC$1006:$AS$1006,0)), HYPERLINK("#",""), HYPERLINK(CONCATENATE("#Metadata!", ADDRESS(INDEX($X$2:$X$1001,MATCH(ROWS($V$2:V674),$V$2:$V$1001,0),0), INDEX($AC$1004:$AS$1004,1,MATCH(COLUMNS($AC$1006:AL1006),$AC$1006:$AS$1006,0)))),"Fix")))</f>
        <v>0</v>
      </c>
      <c r="L674" s="5">
        <f>IF(OR(INDEX($W$2:$W$1001,MATCH(ROWS($V$2:V674),$V$2:$V$1001,0),1)&gt;=100000,INDEX($AC$1005:$AS$1005,1,MATCH(COLUMNS($AC$1006:AM1006),$AC$1006:$AS$1006,0))&gt;=100000), " ",IF(INDEX($AC$2:$AS$1001,MATCH(ROWS($V$2:V674),$V$2:$V$1001,0),MATCH(COLUMNS($AC$1006:AM1006),$AC$1006:$AS$1006,0)), HYPERLINK("#",""), HYPERLINK(CONCATENATE("#Metadata!", ADDRESS(INDEX($X$2:$X$1001,MATCH(ROWS($V$2:V674),$V$2:$V$1001,0),0), INDEX($AC$1004:$AS$1004,1,MATCH(COLUMNS($AC$1006:AM1006),$AC$1006:$AS$1006,0)))),"Fix")))</f>
        <v>0</v>
      </c>
      <c r="M674" s="5">
        <f>IF(OR(INDEX($W$2:$W$1001,MATCH(ROWS($V$2:V674),$V$2:$V$1001,0),1)&gt;=100000,INDEX($AC$1005:$AS$1005,1,MATCH(COLUMNS($AC$1006:AN1006),$AC$1006:$AS$1006,0))&gt;=100000), " ",IF(INDEX($AC$2:$AS$1001,MATCH(ROWS($V$2:V674),$V$2:$V$1001,0),MATCH(COLUMNS($AC$1006:AN1006),$AC$1006:$AS$1006,0)), HYPERLINK("#",""), HYPERLINK(CONCATENATE("#Metadata!", ADDRESS(INDEX($X$2:$X$1001,MATCH(ROWS($V$2:V674),$V$2:$V$1001,0),0), INDEX($AC$1004:$AS$1004,1,MATCH(COLUMNS($AC$1006:AN1006),$AC$1006:$AS$1006,0)))),"Fix")))</f>
        <v>0</v>
      </c>
      <c r="N674" s="5">
        <f>IF(OR(INDEX($W$2:$W$1001,MATCH(ROWS($V$2:V674),$V$2:$V$1001,0),1)&gt;=100000,INDEX($AC$1005:$AS$1005,1,MATCH(COLUMNS($AC$1006:AO1006),$AC$1006:$AS$1006,0))&gt;=100000), " ",IF(INDEX($AC$2:$AS$1001,MATCH(ROWS($V$2:V674),$V$2:$V$1001,0),MATCH(COLUMNS($AC$1006:AO1006),$AC$1006:$AS$1006,0)), HYPERLINK("#",""), HYPERLINK(CONCATENATE("#Metadata!", ADDRESS(INDEX($X$2:$X$1001,MATCH(ROWS($V$2:V674),$V$2:$V$1001,0),0), INDEX($AC$1004:$AS$1004,1,MATCH(COLUMNS($AC$1006:AO1006),$AC$1006:$AS$1006,0)))),"Fix")))</f>
        <v>0</v>
      </c>
      <c r="O674" s="5">
        <f>IF(OR(INDEX($W$2:$W$1001,MATCH(ROWS($V$2:V674),$V$2:$V$1001,0),1)&gt;=100000,INDEX($AC$1005:$AS$1005,1,MATCH(COLUMNS($AC$1006:AP1006),$AC$1006:$AS$1006,0))&gt;=100000), " ",IF(INDEX($AC$2:$AS$1001,MATCH(ROWS($V$2:V674),$V$2:$V$1001,0),MATCH(COLUMNS($AC$1006:AP1006),$AC$1006:$AS$1006,0)), HYPERLINK("#",""), HYPERLINK(CONCATENATE("#Metadata!", ADDRESS(INDEX($X$2:$X$1001,MATCH(ROWS($V$2:V674),$V$2:$V$1001,0),0), INDEX($AC$1004:$AS$1004,1,MATCH(COLUMNS($AC$1006:AP1006),$AC$1006:$AS$1006,0)))),"Fix")))</f>
        <v>0</v>
      </c>
      <c r="P674" s="5">
        <f>IF(OR(INDEX($W$2:$W$1001,MATCH(ROWS($V$2:V674),$V$2:$V$1001,0),1)&gt;=100000,INDEX($AC$1005:$AS$1005,1,MATCH(COLUMNS($AC$1006:AQ1006),$AC$1006:$AS$1006,0))&gt;=100000), " ",IF(INDEX($AC$2:$AS$1001,MATCH(ROWS($V$2:V674),$V$2:$V$1001,0),MATCH(COLUMNS($AC$1006:AQ1006),$AC$1006:$AS$1006,0)), HYPERLINK("#",""), HYPERLINK(CONCATENATE("#Metadata!", ADDRESS(INDEX($X$2:$X$1001,MATCH(ROWS($V$2:V674),$V$2:$V$1001,0),0), INDEX($AC$1004:$AS$1004,1,MATCH(COLUMNS($AC$1006:AQ1006),$AC$1006:$AS$1006,0)))),"Fix")))</f>
        <v>0</v>
      </c>
      <c r="Q674" s="5">
        <f>IF(OR(INDEX($W$2:$W$1001,MATCH(ROWS($V$2:V674),$V$2:$V$1001,0),1)&gt;=100000,INDEX($AC$1005:$AS$1005,1,MATCH(COLUMNS($AC$1006:AR1006),$AC$1006:$AS$1006,0))&gt;=100000), " ",IF(INDEX($AC$2:$AS$1001,MATCH(ROWS($V$2:V674),$V$2:$V$1001,0),MATCH(COLUMNS($AC$1006:AR1006),$AC$1006:$AS$1006,0)), HYPERLINK("#",""), HYPERLINK(CONCATENATE("#Metadata!", ADDRESS(INDEX($X$2:$X$1001,MATCH(ROWS($V$2:V674),$V$2:$V$1001,0),0), INDEX($AC$1004:$AS$1004,1,MATCH(COLUMNS($AC$1006:AR1006),$AC$1006:$AS$1006,0)))),"Fix")))</f>
        <v>0</v>
      </c>
      <c r="R674" s="5">
        <f>IF(OR(INDEX($W$2:$W$1001,MATCH(ROWS($V$2:V674),$V$2:$V$1001,0),1)&gt;=100000,INDEX($AC$1005:$AS$1005,1,MATCH(COLUMNS($AC$1006:AS1006),$AC$1006:$AS$1006,0))&gt;=100000), " ",IF(INDEX($AC$2:$AS$1001,MATCH(ROWS($V$2:V674),$V$2:$V$1001,0),MATCH(COLUMNS($AC$1006:AS1006),$AC$1006:$AS$1006,0)), HYPERLINK("#",""), HYPERLINK(CONCATENATE("#Metadata!", ADDRESS(INDEX($X$2:$X$1001,MATCH(ROWS($V$2:V674),$V$2:$V$1001,0),0), INDEX($AC$1004:$AS$1004,1,MATCH(COLUMNS($AC$1006:AS1006),$AC$1006:$AS$1006,0)))),"Fix")))</f>
        <v>0</v>
      </c>
      <c r="V674">
        <v>0</v>
      </c>
      <c r="W674">
        <v>0</v>
      </c>
      <c r="X674">
        <v>0</v>
      </c>
      <c r="Y674">
        <f>IF(Z674,TRUE,AND(AC674:AS674))</f>
        <v>0</v>
      </c>
      <c r="Z674">
        <f>COUNTBLANK(Metadata!B674:R674)=COLUMNS(Metadata!B674:R674)</f>
        <v>0</v>
      </c>
      <c r="AA674">
        <v>0</v>
      </c>
      <c r="AC674">
        <f>AND(IF(Metadata!B674="",FALSE,TRUE),COUNTIF(Metadata!B:B, Metadata!B674) = 1,NOT(ISERROR(SUMPRODUCT(SEARCH(MID(Metadata!B674,ROW(INDIRECT("1:"&amp;LEN(Metadata!B674))), 1),"0123456789abcdefghijklmnopqrstuvwxyzABCDEFGHIJKLMNOPQRSTUVWXYZ.")))))</f>
        <v>0</v>
      </c>
      <c r="AD674">
        <f>AND(IF(Metadata!C674="",FALSE,TRUE),exact(Metadata!C674,"Host-associated"))</f>
        <v>0</v>
      </c>
      <c r="AE674">
        <f>AND(IF(Metadata!D674="",FALSE,TRUE),OR(exact(Metadata!D674,"Animal"),exact(Metadata!D674,"Fungus"),exact(Metadata!D674,"Plant")))</f>
        <v>0</v>
      </c>
      <c r="AF674">
        <f>AND(IF(Metadata!E674="",FALSE,TRUE),OR(exact(Metadata!E674,"Plant secretion"),exact(Metadata!E674,"Plant rhizosphere"),exact(Metadata!E674,"Plant surface"),exact(Metadata!E674,"Plant corpus"),exact(Metadata!E674,"Fungus surface"),exact(Metadata!E674,"Fungus corpus"),exact(Metadata!E674,"Animal surface"),exact(Metadata!E674,"Animal proximal gut"),exact(Metadata!E674,"Animal corpus"),exact(Metadata!E674,"Animal distal gut"),exact(Metadata!E674,"Animal secretion")))</f>
        <v>0</v>
      </c>
      <c r="AG674">
        <f>OR(AND(IF(Metadata!F674="",FALSE,TRUE),OR(exact(Metadata!F674,"not collected"),exact(Metadata!F674,"not provided"),exact(Metadata!F674,"restricted access"))),AND(IF(Metadata!F674="",FALSE,TRUE),OR(exact(Metadata!F674,"organism-associated habitat"),exact(Metadata!F674,"plant-associated habitat"),exact(Metadata!F674,"animal-associated habitat"),exact(Metadata!F674,"insecta-associated habitat"),exact(Metadata!F674,"mammalia-associated habitat"),exact(Metadata!F674,"human-associated habitat"),exact(Metadata!F674,"livestock-associated habitat"))))</f>
        <v>0</v>
      </c>
      <c r="AH674">
        <f>AND(IF(Metadata!G674="",FALSE,TRUE),exact(Metadata!G674,"host-associated"))</f>
        <v>0</v>
      </c>
      <c r="AI674">
        <f>OR(AND(IF(Metadata!H674="",FALSE,TRUE),OR(exact(Metadata!H674,"not collected"),exact(Metadata!H674,"not provided"))),AND(IF(Metadata!H674="",FALSE,ISNUMBER(VALUE(Metadata!H674))),Metadata!H674&gt;0))</f>
        <v>0</v>
      </c>
      <c r="AJ674">
        <f>AND(IF(Metadata!I674="",FALSE,TRUE),exact(Metadata!I674,"years"))</f>
        <v>0</v>
      </c>
      <c r="AK674">
        <f>IF(Metadata!J674="",FALSE,TRUE)</f>
        <v>0</v>
      </c>
      <c r="AL674">
        <f>OR(AND(IF(Metadata!K674="",FALSE,TRUE),OR(exact(Metadata!K674,"not collected"),exact(Metadata!K674,"not provided"))),AND(IF(Metadata!K674="",FALSE,ISNUMBER(VALUE(Metadata!K674))),Metadata!K674&gt;0))</f>
        <v>0</v>
      </c>
      <c r="AM674">
        <f>AND(IF(Metadata!L674="",FALSE,TRUE),exact(Metadata!L674,"cm"))</f>
        <v>0</v>
      </c>
      <c r="AN674">
        <f>IF(Metadata!M674="",FALSE,TRUE)</f>
        <v>0</v>
      </c>
      <c r="AO674">
        <f>OR(AND(IF(Metadata!N674="",FALSE,TRUE),OR(exact(Metadata!N674,"not applicable"),exact(Metadata!N674,"not collected"),exact(Metadata!N674,"not provided"))),AND(IF(Metadata!N674="",FALSE,IF(ISERROR(INT(Metadata!N674)),FALSE,INT(Metadata!N674)=Metadata!N674)),Metadata!N674&gt;0))</f>
        <v>0</v>
      </c>
      <c r="AP674">
        <f>OR(AND(IF(Metadata!O674="",FALSE,TRUE),OR(exact(Metadata!O674,"not collected"),exact(Metadata!O674,"not provided"))),AND(IF(Metadata!O674="",FALSE,ISNUMBER(VALUE(Metadata!O674))),Metadata!O674&gt;0))</f>
        <v>0</v>
      </c>
      <c r="AQ674">
        <f>AND(IF(Metadata!P674="",FALSE,TRUE),exact(Metadata!P674,"kg"))</f>
        <v>0</v>
      </c>
      <c r="AR674">
        <f>OR(AND(IF(Metadata!Q674="",FALSE,TRUE),OR(exact(Metadata!Q674,"not applicable"),exact(Metadata!Q674,"not collected"),exact(Metadata!Q674,"not provided"),exact(Metadata!Q674,"restricted access"))),IF(Metadata!Q674="",FALSE,IF(ISERROR(INT(Metadata!Q674)),FALSE,INT(Metadata!Q674)=Metadata!Q674)))</f>
        <v>0</v>
      </c>
      <c r="AS674">
        <f>AND(IF(Metadata!R674="",FALSE,TRUE),exact(Metadata!R674,"Not applicable"))</f>
        <v>0</v>
      </c>
    </row>
    <row r="675" spans="1:45">
      <c r="A675" s="4">
        <f>IF(B675=" "," ",HYPERLINK(CONCATENATE("#metadata!",ADDRESS(INDEX($X$2:$X$1001,MATCH(ROWS($V$2:V675),$V$2:$V$1001,0),0),2)),INDEX($AA$2:$AA$1001,MATCH(ROWS($V$2:V675),$V$2:$V$1001,0),0)))</f>
        <v>0</v>
      </c>
      <c r="B675" s="5">
        <f>IF(OR(INDEX($W$2:$W$1001,MATCH(ROWS($V$2:V675),$V$2:$V$1001,0),1)&gt;=100000,INDEX($AC$1005:$AS$1005,1,MATCH(COLUMNS($AC$1006:AC1006),$AC$1006:$AS$1006,0))&gt;=100000), " ",IF(INDEX($AC$2:$AS$1001,MATCH(ROWS($V$2:V675),$V$2:$V$1001,0),MATCH(COLUMNS($AC$1006:AC1006),$AC$1006:$AS$1006,0)), HYPERLINK("#",""), HYPERLINK(CONCATENATE("#Metadata!", ADDRESS(INDEX($X$2:$X$1001,MATCH(ROWS($V$2:V675),$V$2:$V$1001,0),0), INDEX($AC$1004:$AS$1004,1,MATCH(COLUMNS($AC$1006:AC1006),$AC$1006:$AS$1006,0)))),"Fix")))</f>
        <v>0</v>
      </c>
      <c r="C675" s="5">
        <f>IF(OR(INDEX($W$2:$W$1001,MATCH(ROWS($V$2:V675),$V$2:$V$1001,0),1)&gt;=100000,INDEX($AC$1005:$AS$1005,1,MATCH(COLUMNS($AC$1006:AD1006),$AC$1006:$AS$1006,0))&gt;=100000), " ",IF(INDEX($AC$2:$AS$1001,MATCH(ROWS($V$2:V675),$V$2:$V$1001,0),MATCH(COLUMNS($AC$1006:AD1006),$AC$1006:$AS$1006,0)), HYPERLINK("#",""), HYPERLINK(CONCATENATE("#Metadata!", ADDRESS(INDEX($X$2:$X$1001,MATCH(ROWS($V$2:V675),$V$2:$V$1001,0),0), INDEX($AC$1004:$AS$1004,1,MATCH(COLUMNS($AC$1006:AD1006),$AC$1006:$AS$1006,0)))),"Fix")))</f>
        <v>0</v>
      </c>
      <c r="D675" s="5">
        <f>IF(OR(INDEX($W$2:$W$1001,MATCH(ROWS($V$2:V675),$V$2:$V$1001,0),1)&gt;=100000,INDEX($AC$1005:$AS$1005,1,MATCH(COLUMNS($AC$1006:AE1006),$AC$1006:$AS$1006,0))&gt;=100000), " ",IF(INDEX($AC$2:$AS$1001,MATCH(ROWS($V$2:V675),$V$2:$V$1001,0),MATCH(COLUMNS($AC$1006:AE1006),$AC$1006:$AS$1006,0)), HYPERLINK("#",""), HYPERLINK(CONCATENATE("#Metadata!", ADDRESS(INDEX($X$2:$X$1001,MATCH(ROWS($V$2:V675),$V$2:$V$1001,0),0), INDEX($AC$1004:$AS$1004,1,MATCH(COLUMNS($AC$1006:AE1006),$AC$1006:$AS$1006,0)))),"Fix")))</f>
        <v>0</v>
      </c>
      <c r="E675" s="5">
        <f>IF(OR(INDEX($W$2:$W$1001,MATCH(ROWS($V$2:V675),$V$2:$V$1001,0),1)&gt;=100000,INDEX($AC$1005:$AS$1005,1,MATCH(COLUMNS($AC$1006:AF1006),$AC$1006:$AS$1006,0))&gt;=100000), " ",IF(INDEX($AC$2:$AS$1001,MATCH(ROWS($V$2:V675),$V$2:$V$1001,0),MATCH(COLUMNS($AC$1006:AF1006),$AC$1006:$AS$1006,0)), HYPERLINK("#",""), HYPERLINK(CONCATENATE("#Metadata!", ADDRESS(INDEX($X$2:$X$1001,MATCH(ROWS($V$2:V675),$V$2:$V$1001,0),0), INDEX($AC$1004:$AS$1004,1,MATCH(COLUMNS($AC$1006:AF1006),$AC$1006:$AS$1006,0)))),"Fix")))</f>
        <v>0</v>
      </c>
      <c r="F675" s="5">
        <f>IF(OR(INDEX($W$2:$W$1001,MATCH(ROWS($V$2:V675),$V$2:$V$1001,0),1)&gt;=100000,INDEX($AC$1005:$AS$1005,1,MATCH(COLUMNS($AC$1006:AG1006),$AC$1006:$AS$1006,0))&gt;=100000), " ",IF(INDEX($AC$2:$AS$1001,MATCH(ROWS($V$2:V675),$V$2:$V$1001,0),MATCH(COLUMNS($AC$1006:AG1006),$AC$1006:$AS$1006,0)), HYPERLINK("#",""), HYPERLINK(CONCATENATE("#Metadata!", ADDRESS(INDEX($X$2:$X$1001,MATCH(ROWS($V$2:V675),$V$2:$V$1001,0),0), INDEX($AC$1004:$AS$1004,1,MATCH(COLUMNS($AC$1006:AG1006),$AC$1006:$AS$1006,0)))),"Fix")))</f>
        <v>0</v>
      </c>
      <c r="G675" s="5">
        <f>IF(OR(INDEX($W$2:$W$1001,MATCH(ROWS($V$2:V675),$V$2:$V$1001,0),1)&gt;=100000,INDEX($AC$1005:$AS$1005,1,MATCH(COLUMNS($AC$1006:AH1006),$AC$1006:$AS$1006,0))&gt;=100000), " ",IF(INDEX($AC$2:$AS$1001,MATCH(ROWS($V$2:V675),$V$2:$V$1001,0),MATCH(COLUMNS($AC$1006:AH1006),$AC$1006:$AS$1006,0)), HYPERLINK("#",""), HYPERLINK(CONCATENATE("#Metadata!", ADDRESS(INDEX($X$2:$X$1001,MATCH(ROWS($V$2:V675),$V$2:$V$1001,0),0), INDEX($AC$1004:$AS$1004,1,MATCH(COLUMNS($AC$1006:AH1006),$AC$1006:$AS$1006,0)))),"Fix")))</f>
        <v>0</v>
      </c>
      <c r="H675" s="5">
        <f>IF(OR(INDEX($W$2:$W$1001,MATCH(ROWS($V$2:V675),$V$2:$V$1001,0),1)&gt;=100000,INDEX($AC$1005:$AS$1005,1,MATCH(COLUMNS($AC$1006:AI1006),$AC$1006:$AS$1006,0))&gt;=100000), " ",IF(INDEX($AC$2:$AS$1001,MATCH(ROWS($V$2:V675),$V$2:$V$1001,0),MATCH(COLUMNS($AC$1006:AI1006),$AC$1006:$AS$1006,0)), HYPERLINK("#",""), HYPERLINK(CONCATENATE("#Metadata!", ADDRESS(INDEX($X$2:$X$1001,MATCH(ROWS($V$2:V675),$V$2:$V$1001,0),0), INDEX($AC$1004:$AS$1004,1,MATCH(COLUMNS($AC$1006:AI1006),$AC$1006:$AS$1006,0)))),"Fix")))</f>
        <v>0</v>
      </c>
      <c r="I675" s="5">
        <f>IF(OR(INDEX($W$2:$W$1001,MATCH(ROWS($V$2:V675),$V$2:$V$1001,0),1)&gt;=100000,INDEX($AC$1005:$AS$1005,1,MATCH(COLUMNS($AC$1006:AJ1006),$AC$1006:$AS$1006,0))&gt;=100000), " ",IF(INDEX($AC$2:$AS$1001,MATCH(ROWS($V$2:V675),$V$2:$V$1001,0),MATCH(COLUMNS($AC$1006:AJ1006),$AC$1006:$AS$1006,0)), HYPERLINK("#",""), HYPERLINK(CONCATENATE("#Metadata!", ADDRESS(INDEX($X$2:$X$1001,MATCH(ROWS($V$2:V675),$V$2:$V$1001,0),0), INDEX($AC$1004:$AS$1004,1,MATCH(COLUMNS($AC$1006:AJ1006),$AC$1006:$AS$1006,0)))),"Fix")))</f>
        <v>0</v>
      </c>
      <c r="J675" s="5">
        <f>IF(OR(INDEX($W$2:$W$1001,MATCH(ROWS($V$2:V675),$V$2:$V$1001,0),1)&gt;=100000,INDEX($AC$1005:$AS$1005,1,MATCH(COLUMNS($AC$1006:AK1006),$AC$1006:$AS$1006,0))&gt;=100000), " ",IF(INDEX($AC$2:$AS$1001,MATCH(ROWS($V$2:V675),$V$2:$V$1001,0),MATCH(COLUMNS($AC$1006:AK1006),$AC$1006:$AS$1006,0)), HYPERLINK("#",""), HYPERLINK(CONCATENATE("#Metadata!", ADDRESS(INDEX($X$2:$X$1001,MATCH(ROWS($V$2:V675),$V$2:$V$1001,0),0), INDEX($AC$1004:$AS$1004,1,MATCH(COLUMNS($AC$1006:AK1006),$AC$1006:$AS$1006,0)))),"Fix")))</f>
        <v>0</v>
      </c>
      <c r="K675" s="5">
        <f>IF(OR(INDEX($W$2:$W$1001,MATCH(ROWS($V$2:V675),$V$2:$V$1001,0),1)&gt;=100000,INDEX($AC$1005:$AS$1005,1,MATCH(COLUMNS($AC$1006:AL1006),$AC$1006:$AS$1006,0))&gt;=100000), " ",IF(INDEX($AC$2:$AS$1001,MATCH(ROWS($V$2:V675),$V$2:$V$1001,0),MATCH(COLUMNS($AC$1006:AL1006),$AC$1006:$AS$1006,0)), HYPERLINK("#",""), HYPERLINK(CONCATENATE("#Metadata!", ADDRESS(INDEX($X$2:$X$1001,MATCH(ROWS($V$2:V675),$V$2:$V$1001,0),0), INDEX($AC$1004:$AS$1004,1,MATCH(COLUMNS($AC$1006:AL1006),$AC$1006:$AS$1006,0)))),"Fix")))</f>
        <v>0</v>
      </c>
      <c r="L675" s="5">
        <f>IF(OR(INDEX($W$2:$W$1001,MATCH(ROWS($V$2:V675),$V$2:$V$1001,0),1)&gt;=100000,INDEX($AC$1005:$AS$1005,1,MATCH(COLUMNS($AC$1006:AM1006),$AC$1006:$AS$1006,0))&gt;=100000), " ",IF(INDEX($AC$2:$AS$1001,MATCH(ROWS($V$2:V675),$V$2:$V$1001,0),MATCH(COLUMNS($AC$1006:AM1006),$AC$1006:$AS$1006,0)), HYPERLINK("#",""), HYPERLINK(CONCATENATE("#Metadata!", ADDRESS(INDEX($X$2:$X$1001,MATCH(ROWS($V$2:V675),$V$2:$V$1001,0),0), INDEX($AC$1004:$AS$1004,1,MATCH(COLUMNS($AC$1006:AM1006),$AC$1006:$AS$1006,0)))),"Fix")))</f>
        <v>0</v>
      </c>
      <c r="M675" s="5">
        <f>IF(OR(INDEX($W$2:$W$1001,MATCH(ROWS($V$2:V675),$V$2:$V$1001,0),1)&gt;=100000,INDEX($AC$1005:$AS$1005,1,MATCH(COLUMNS($AC$1006:AN1006),$AC$1006:$AS$1006,0))&gt;=100000), " ",IF(INDEX($AC$2:$AS$1001,MATCH(ROWS($V$2:V675),$V$2:$V$1001,0),MATCH(COLUMNS($AC$1006:AN1006),$AC$1006:$AS$1006,0)), HYPERLINK("#",""), HYPERLINK(CONCATENATE("#Metadata!", ADDRESS(INDEX($X$2:$X$1001,MATCH(ROWS($V$2:V675),$V$2:$V$1001,0),0), INDEX($AC$1004:$AS$1004,1,MATCH(COLUMNS($AC$1006:AN1006),$AC$1006:$AS$1006,0)))),"Fix")))</f>
        <v>0</v>
      </c>
      <c r="N675" s="5">
        <f>IF(OR(INDEX($W$2:$W$1001,MATCH(ROWS($V$2:V675),$V$2:$V$1001,0),1)&gt;=100000,INDEX($AC$1005:$AS$1005,1,MATCH(COLUMNS($AC$1006:AO1006),$AC$1006:$AS$1006,0))&gt;=100000), " ",IF(INDEX($AC$2:$AS$1001,MATCH(ROWS($V$2:V675),$V$2:$V$1001,0),MATCH(COLUMNS($AC$1006:AO1006),$AC$1006:$AS$1006,0)), HYPERLINK("#",""), HYPERLINK(CONCATENATE("#Metadata!", ADDRESS(INDEX($X$2:$X$1001,MATCH(ROWS($V$2:V675),$V$2:$V$1001,0),0), INDEX($AC$1004:$AS$1004,1,MATCH(COLUMNS($AC$1006:AO1006),$AC$1006:$AS$1006,0)))),"Fix")))</f>
        <v>0</v>
      </c>
      <c r="O675" s="5">
        <f>IF(OR(INDEX($W$2:$W$1001,MATCH(ROWS($V$2:V675),$V$2:$V$1001,0),1)&gt;=100000,INDEX($AC$1005:$AS$1005,1,MATCH(COLUMNS($AC$1006:AP1006),$AC$1006:$AS$1006,0))&gt;=100000), " ",IF(INDEX($AC$2:$AS$1001,MATCH(ROWS($V$2:V675),$V$2:$V$1001,0),MATCH(COLUMNS($AC$1006:AP1006),$AC$1006:$AS$1006,0)), HYPERLINK("#",""), HYPERLINK(CONCATENATE("#Metadata!", ADDRESS(INDEX($X$2:$X$1001,MATCH(ROWS($V$2:V675),$V$2:$V$1001,0),0), INDEX($AC$1004:$AS$1004,1,MATCH(COLUMNS($AC$1006:AP1006),$AC$1006:$AS$1006,0)))),"Fix")))</f>
        <v>0</v>
      </c>
      <c r="P675" s="5">
        <f>IF(OR(INDEX($W$2:$W$1001,MATCH(ROWS($V$2:V675),$V$2:$V$1001,0),1)&gt;=100000,INDEX($AC$1005:$AS$1005,1,MATCH(COLUMNS($AC$1006:AQ1006),$AC$1006:$AS$1006,0))&gt;=100000), " ",IF(INDEX($AC$2:$AS$1001,MATCH(ROWS($V$2:V675),$V$2:$V$1001,0),MATCH(COLUMNS($AC$1006:AQ1006),$AC$1006:$AS$1006,0)), HYPERLINK("#",""), HYPERLINK(CONCATENATE("#Metadata!", ADDRESS(INDEX($X$2:$X$1001,MATCH(ROWS($V$2:V675),$V$2:$V$1001,0),0), INDEX($AC$1004:$AS$1004,1,MATCH(COLUMNS($AC$1006:AQ1006),$AC$1006:$AS$1006,0)))),"Fix")))</f>
        <v>0</v>
      </c>
      <c r="Q675" s="5">
        <f>IF(OR(INDEX($W$2:$W$1001,MATCH(ROWS($V$2:V675),$V$2:$V$1001,0),1)&gt;=100000,INDEX($AC$1005:$AS$1005,1,MATCH(COLUMNS($AC$1006:AR1006),$AC$1006:$AS$1006,0))&gt;=100000), " ",IF(INDEX($AC$2:$AS$1001,MATCH(ROWS($V$2:V675),$V$2:$V$1001,0),MATCH(COLUMNS($AC$1006:AR1006),$AC$1006:$AS$1006,0)), HYPERLINK("#",""), HYPERLINK(CONCATENATE("#Metadata!", ADDRESS(INDEX($X$2:$X$1001,MATCH(ROWS($V$2:V675),$V$2:$V$1001,0),0), INDEX($AC$1004:$AS$1004,1,MATCH(COLUMNS($AC$1006:AR1006),$AC$1006:$AS$1006,0)))),"Fix")))</f>
        <v>0</v>
      </c>
      <c r="R675" s="5">
        <f>IF(OR(INDEX($W$2:$W$1001,MATCH(ROWS($V$2:V675),$V$2:$V$1001,0),1)&gt;=100000,INDEX($AC$1005:$AS$1005,1,MATCH(COLUMNS($AC$1006:AS1006),$AC$1006:$AS$1006,0))&gt;=100000), " ",IF(INDEX($AC$2:$AS$1001,MATCH(ROWS($V$2:V675),$V$2:$V$1001,0),MATCH(COLUMNS($AC$1006:AS1006),$AC$1006:$AS$1006,0)), HYPERLINK("#",""), HYPERLINK(CONCATENATE("#Metadata!", ADDRESS(INDEX($X$2:$X$1001,MATCH(ROWS($V$2:V675),$V$2:$V$1001,0),0), INDEX($AC$1004:$AS$1004,1,MATCH(COLUMNS($AC$1006:AS1006),$AC$1006:$AS$1006,0)))),"Fix")))</f>
        <v>0</v>
      </c>
      <c r="V675">
        <v>0</v>
      </c>
      <c r="W675">
        <v>0</v>
      </c>
      <c r="X675">
        <v>0</v>
      </c>
      <c r="Y675">
        <f>IF(Z675,TRUE,AND(AC675:AS675))</f>
        <v>0</v>
      </c>
      <c r="Z675">
        <f>COUNTBLANK(Metadata!B675:R675)=COLUMNS(Metadata!B675:R675)</f>
        <v>0</v>
      </c>
      <c r="AA675">
        <v>0</v>
      </c>
      <c r="AC675">
        <f>AND(IF(Metadata!B675="",FALSE,TRUE),COUNTIF(Metadata!B:B, Metadata!B675) = 1,NOT(ISERROR(SUMPRODUCT(SEARCH(MID(Metadata!B675,ROW(INDIRECT("1:"&amp;LEN(Metadata!B675))), 1),"0123456789abcdefghijklmnopqrstuvwxyzABCDEFGHIJKLMNOPQRSTUVWXYZ.")))))</f>
        <v>0</v>
      </c>
      <c r="AD675">
        <f>AND(IF(Metadata!C675="",FALSE,TRUE),exact(Metadata!C675,"Host-associated"))</f>
        <v>0</v>
      </c>
      <c r="AE675">
        <f>AND(IF(Metadata!D675="",FALSE,TRUE),OR(exact(Metadata!D675,"Animal"),exact(Metadata!D675,"Fungus"),exact(Metadata!D675,"Plant")))</f>
        <v>0</v>
      </c>
      <c r="AF675">
        <f>AND(IF(Metadata!E675="",FALSE,TRUE),OR(exact(Metadata!E675,"Plant secretion"),exact(Metadata!E675,"Plant rhizosphere"),exact(Metadata!E675,"Plant surface"),exact(Metadata!E675,"Plant corpus"),exact(Metadata!E675,"Fungus surface"),exact(Metadata!E675,"Fungus corpus"),exact(Metadata!E675,"Animal surface"),exact(Metadata!E675,"Animal proximal gut"),exact(Metadata!E675,"Animal corpus"),exact(Metadata!E675,"Animal distal gut"),exact(Metadata!E675,"Animal secretion")))</f>
        <v>0</v>
      </c>
      <c r="AG675">
        <f>OR(AND(IF(Metadata!F675="",FALSE,TRUE),OR(exact(Metadata!F675,"not collected"),exact(Metadata!F675,"not provided"),exact(Metadata!F675,"restricted access"))),AND(IF(Metadata!F675="",FALSE,TRUE),OR(exact(Metadata!F675,"organism-associated habitat"),exact(Metadata!F675,"plant-associated habitat"),exact(Metadata!F675,"animal-associated habitat"),exact(Metadata!F675,"insecta-associated habitat"),exact(Metadata!F675,"mammalia-associated habitat"),exact(Metadata!F675,"human-associated habitat"),exact(Metadata!F675,"livestock-associated habitat"))))</f>
        <v>0</v>
      </c>
      <c r="AH675">
        <f>AND(IF(Metadata!G675="",FALSE,TRUE),exact(Metadata!G675,"host-associated"))</f>
        <v>0</v>
      </c>
      <c r="AI675">
        <f>OR(AND(IF(Metadata!H675="",FALSE,TRUE),OR(exact(Metadata!H675,"not collected"),exact(Metadata!H675,"not provided"))),AND(IF(Metadata!H675="",FALSE,ISNUMBER(VALUE(Metadata!H675))),Metadata!H675&gt;0))</f>
        <v>0</v>
      </c>
      <c r="AJ675">
        <f>AND(IF(Metadata!I675="",FALSE,TRUE),exact(Metadata!I675,"years"))</f>
        <v>0</v>
      </c>
      <c r="AK675">
        <f>IF(Metadata!J675="",FALSE,TRUE)</f>
        <v>0</v>
      </c>
      <c r="AL675">
        <f>OR(AND(IF(Metadata!K675="",FALSE,TRUE),OR(exact(Metadata!K675,"not collected"),exact(Metadata!K675,"not provided"))),AND(IF(Metadata!K675="",FALSE,ISNUMBER(VALUE(Metadata!K675))),Metadata!K675&gt;0))</f>
        <v>0</v>
      </c>
      <c r="AM675">
        <f>AND(IF(Metadata!L675="",FALSE,TRUE),exact(Metadata!L675,"cm"))</f>
        <v>0</v>
      </c>
      <c r="AN675">
        <f>IF(Metadata!M675="",FALSE,TRUE)</f>
        <v>0</v>
      </c>
      <c r="AO675">
        <f>OR(AND(IF(Metadata!N675="",FALSE,TRUE),OR(exact(Metadata!N675,"not applicable"),exact(Metadata!N675,"not collected"),exact(Metadata!N675,"not provided"))),AND(IF(Metadata!N675="",FALSE,IF(ISERROR(INT(Metadata!N675)),FALSE,INT(Metadata!N675)=Metadata!N675)),Metadata!N675&gt;0))</f>
        <v>0</v>
      </c>
      <c r="AP675">
        <f>OR(AND(IF(Metadata!O675="",FALSE,TRUE),OR(exact(Metadata!O675,"not collected"),exact(Metadata!O675,"not provided"))),AND(IF(Metadata!O675="",FALSE,ISNUMBER(VALUE(Metadata!O675))),Metadata!O675&gt;0))</f>
        <v>0</v>
      </c>
      <c r="AQ675">
        <f>AND(IF(Metadata!P675="",FALSE,TRUE),exact(Metadata!P675,"kg"))</f>
        <v>0</v>
      </c>
      <c r="AR675">
        <f>OR(AND(IF(Metadata!Q675="",FALSE,TRUE),OR(exact(Metadata!Q675,"not applicable"),exact(Metadata!Q675,"not collected"),exact(Metadata!Q675,"not provided"),exact(Metadata!Q675,"restricted access"))),IF(Metadata!Q675="",FALSE,IF(ISERROR(INT(Metadata!Q675)),FALSE,INT(Metadata!Q675)=Metadata!Q675)))</f>
        <v>0</v>
      </c>
      <c r="AS675">
        <f>AND(IF(Metadata!R675="",FALSE,TRUE),exact(Metadata!R675,"Not applicable"))</f>
        <v>0</v>
      </c>
    </row>
    <row r="676" spans="1:45">
      <c r="A676" s="4">
        <f>IF(B676=" "," ",HYPERLINK(CONCATENATE("#metadata!",ADDRESS(INDEX($X$2:$X$1001,MATCH(ROWS($V$2:V676),$V$2:$V$1001,0),0),2)),INDEX($AA$2:$AA$1001,MATCH(ROWS($V$2:V676),$V$2:$V$1001,0),0)))</f>
        <v>0</v>
      </c>
      <c r="B676" s="5">
        <f>IF(OR(INDEX($W$2:$W$1001,MATCH(ROWS($V$2:V676),$V$2:$V$1001,0),1)&gt;=100000,INDEX($AC$1005:$AS$1005,1,MATCH(COLUMNS($AC$1006:AC1006),$AC$1006:$AS$1006,0))&gt;=100000), " ",IF(INDEX($AC$2:$AS$1001,MATCH(ROWS($V$2:V676),$V$2:$V$1001,0),MATCH(COLUMNS($AC$1006:AC1006),$AC$1006:$AS$1006,0)), HYPERLINK("#",""), HYPERLINK(CONCATENATE("#Metadata!", ADDRESS(INDEX($X$2:$X$1001,MATCH(ROWS($V$2:V676),$V$2:$V$1001,0),0), INDEX($AC$1004:$AS$1004,1,MATCH(COLUMNS($AC$1006:AC1006),$AC$1006:$AS$1006,0)))),"Fix")))</f>
        <v>0</v>
      </c>
      <c r="C676" s="5">
        <f>IF(OR(INDEX($W$2:$W$1001,MATCH(ROWS($V$2:V676),$V$2:$V$1001,0),1)&gt;=100000,INDEX($AC$1005:$AS$1005,1,MATCH(COLUMNS($AC$1006:AD1006),$AC$1006:$AS$1006,0))&gt;=100000), " ",IF(INDEX($AC$2:$AS$1001,MATCH(ROWS($V$2:V676),$V$2:$V$1001,0),MATCH(COLUMNS($AC$1006:AD1006),$AC$1006:$AS$1006,0)), HYPERLINK("#",""), HYPERLINK(CONCATENATE("#Metadata!", ADDRESS(INDEX($X$2:$X$1001,MATCH(ROWS($V$2:V676),$V$2:$V$1001,0),0), INDEX($AC$1004:$AS$1004,1,MATCH(COLUMNS($AC$1006:AD1006),$AC$1006:$AS$1006,0)))),"Fix")))</f>
        <v>0</v>
      </c>
      <c r="D676" s="5">
        <f>IF(OR(INDEX($W$2:$W$1001,MATCH(ROWS($V$2:V676),$V$2:$V$1001,0),1)&gt;=100000,INDEX($AC$1005:$AS$1005,1,MATCH(COLUMNS($AC$1006:AE1006),$AC$1006:$AS$1006,0))&gt;=100000), " ",IF(INDEX($AC$2:$AS$1001,MATCH(ROWS($V$2:V676),$V$2:$V$1001,0),MATCH(COLUMNS($AC$1006:AE1006),$AC$1006:$AS$1006,0)), HYPERLINK("#",""), HYPERLINK(CONCATENATE("#Metadata!", ADDRESS(INDEX($X$2:$X$1001,MATCH(ROWS($V$2:V676),$V$2:$V$1001,0),0), INDEX($AC$1004:$AS$1004,1,MATCH(COLUMNS($AC$1006:AE1006),$AC$1006:$AS$1006,0)))),"Fix")))</f>
        <v>0</v>
      </c>
      <c r="E676" s="5">
        <f>IF(OR(INDEX($W$2:$W$1001,MATCH(ROWS($V$2:V676),$V$2:$V$1001,0),1)&gt;=100000,INDEX($AC$1005:$AS$1005,1,MATCH(COLUMNS($AC$1006:AF1006),$AC$1006:$AS$1006,0))&gt;=100000), " ",IF(INDEX($AC$2:$AS$1001,MATCH(ROWS($V$2:V676),$V$2:$V$1001,0),MATCH(COLUMNS($AC$1006:AF1006),$AC$1006:$AS$1006,0)), HYPERLINK("#",""), HYPERLINK(CONCATENATE("#Metadata!", ADDRESS(INDEX($X$2:$X$1001,MATCH(ROWS($V$2:V676),$V$2:$V$1001,0),0), INDEX($AC$1004:$AS$1004,1,MATCH(COLUMNS($AC$1006:AF1006),$AC$1006:$AS$1006,0)))),"Fix")))</f>
        <v>0</v>
      </c>
      <c r="F676" s="5">
        <f>IF(OR(INDEX($W$2:$W$1001,MATCH(ROWS($V$2:V676),$V$2:$V$1001,0),1)&gt;=100000,INDEX($AC$1005:$AS$1005,1,MATCH(COLUMNS($AC$1006:AG1006),$AC$1006:$AS$1006,0))&gt;=100000), " ",IF(INDEX($AC$2:$AS$1001,MATCH(ROWS($V$2:V676),$V$2:$V$1001,0),MATCH(COLUMNS($AC$1006:AG1006),$AC$1006:$AS$1006,0)), HYPERLINK("#",""), HYPERLINK(CONCATENATE("#Metadata!", ADDRESS(INDEX($X$2:$X$1001,MATCH(ROWS($V$2:V676),$V$2:$V$1001,0),0), INDEX($AC$1004:$AS$1004,1,MATCH(COLUMNS($AC$1006:AG1006),$AC$1006:$AS$1006,0)))),"Fix")))</f>
        <v>0</v>
      </c>
      <c r="G676" s="5">
        <f>IF(OR(INDEX($W$2:$W$1001,MATCH(ROWS($V$2:V676),$V$2:$V$1001,0),1)&gt;=100000,INDEX($AC$1005:$AS$1005,1,MATCH(COLUMNS($AC$1006:AH1006),$AC$1006:$AS$1006,0))&gt;=100000), " ",IF(INDEX($AC$2:$AS$1001,MATCH(ROWS($V$2:V676),$V$2:$V$1001,0),MATCH(COLUMNS($AC$1006:AH1006),$AC$1006:$AS$1006,0)), HYPERLINK("#",""), HYPERLINK(CONCATENATE("#Metadata!", ADDRESS(INDEX($X$2:$X$1001,MATCH(ROWS($V$2:V676),$V$2:$V$1001,0),0), INDEX($AC$1004:$AS$1004,1,MATCH(COLUMNS($AC$1006:AH1006),$AC$1006:$AS$1006,0)))),"Fix")))</f>
        <v>0</v>
      </c>
      <c r="H676" s="5">
        <f>IF(OR(INDEX($W$2:$W$1001,MATCH(ROWS($V$2:V676),$V$2:$V$1001,0),1)&gt;=100000,INDEX($AC$1005:$AS$1005,1,MATCH(COLUMNS($AC$1006:AI1006),$AC$1006:$AS$1006,0))&gt;=100000), " ",IF(INDEX($AC$2:$AS$1001,MATCH(ROWS($V$2:V676),$V$2:$V$1001,0),MATCH(COLUMNS($AC$1006:AI1006),$AC$1006:$AS$1006,0)), HYPERLINK("#",""), HYPERLINK(CONCATENATE("#Metadata!", ADDRESS(INDEX($X$2:$X$1001,MATCH(ROWS($V$2:V676),$V$2:$V$1001,0),0), INDEX($AC$1004:$AS$1004,1,MATCH(COLUMNS($AC$1006:AI1006),$AC$1006:$AS$1006,0)))),"Fix")))</f>
        <v>0</v>
      </c>
      <c r="I676" s="5">
        <f>IF(OR(INDEX($W$2:$W$1001,MATCH(ROWS($V$2:V676),$V$2:$V$1001,0),1)&gt;=100000,INDEX($AC$1005:$AS$1005,1,MATCH(COLUMNS($AC$1006:AJ1006),$AC$1006:$AS$1006,0))&gt;=100000), " ",IF(INDEX($AC$2:$AS$1001,MATCH(ROWS($V$2:V676),$V$2:$V$1001,0),MATCH(COLUMNS($AC$1006:AJ1006),$AC$1006:$AS$1006,0)), HYPERLINK("#",""), HYPERLINK(CONCATENATE("#Metadata!", ADDRESS(INDEX($X$2:$X$1001,MATCH(ROWS($V$2:V676),$V$2:$V$1001,0),0), INDEX($AC$1004:$AS$1004,1,MATCH(COLUMNS($AC$1006:AJ1006),$AC$1006:$AS$1006,0)))),"Fix")))</f>
        <v>0</v>
      </c>
      <c r="J676" s="5">
        <f>IF(OR(INDEX($W$2:$W$1001,MATCH(ROWS($V$2:V676),$V$2:$V$1001,0),1)&gt;=100000,INDEX($AC$1005:$AS$1005,1,MATCH(COLUMNS($AC$1006:AK1006),$AC$1006:$AS$1006,0))&gt;=100000), " ",IF(INDEX($AC$2:$AS$1001,MATCH(ROWS($V$2:V676),$V$2:$V$1001,0),MATCH(COLUMNS($AC$1006:AK1006),$AC$1006:$AS$1006,0)), HYPERLINK("#",""), HYPERLINK(CONCATENATE("#Metadata!", ADDRESS(INDEX($X$2:$X$1001,MATCH(ROWS($V$2:V676),$V$2:$V$1001,0),0), INDEX($AC$1004:$AS$1004,1,MATCH(COLUMNS($AC$1006:AK1006),$AC$1006:$AS$1006,0)))),"Fix")))</f>
        <v>0</v>
      </c>
      <c r="K676" s="5">
        <f>IF(OR(INDEX($W$2:$W$1001,MATCH(ROWS($V$2:V676),$V$2:$V$1001,0),1)&gt;=100000,INDEX($AC$1005:$AS$1005,1,MATCH(COLUMNS($AC$1006:AL1006),$AC$1006:$AS$1006,0))&gt;=100000), " ",IF(INDEX($AC$2:$AS$1001,MATCH(ROWS($V$2:V676),$V$2:$V$1001,0),MATCH(COLUMNS($AC$1006:AL1006),$AC$1006:$AS$1006,0)), HYPERLINK("#",""), HYPERLINK(CONCATENATE("#Metadata!", ADDRESS(INDEX($X$2:$X$1001,MATCH(ROWS($V$2:V676),$V$2:$V$1001,0),0), INDEX($AC$1004:$AS$1004,1,MATCH(COLUMNS($AC$1006:AL1006),$AC$1006:$AS$1006,0)))),"Fix")))</f>
        <v>0</v>
      </c>
      <c r="L676" s="5">
        <f>IF(OR(INDEX($W$2:$W$1001,MATCH(ROWS($V$2:V676),$V$2:$V$1001,0),1)&gt;=100000,INDEX($AC$1005:$AS$1005,1,MATCH(COLUMNS($AC$1006:AM1006),$AC$1006:$AS$1006,0))&gt;=100000), " ",IF(INDEX($AC$2:$AS$1001,MATCH(ROWS($V$2:V676),$V$2:$V$1001,0),MATCH(COLUMNS($AC$1006:AM1006),$AC$1006:$AS$1006,0)), HYPERLINK("#",""), HYPERLINK(CONCATENATE("#Metadata!", ADDRESS(INDEX($X$2:$X$1001,MATCH(ROWS($V$2:V676),$V$2:$V$1001,0),0), INDEX($AC$1004:$AS$1004,1,MATCH(COLUMNS($AC$1006:AM1006),$AC$1006:$AS$1006,0)))),"Fix")))</f>
        <v>0</v>
      </c>
      <c r="M676" s="5">
        <f>IF(OR(INDEX($W$2:$W$1001,MATCH(ROWS($V$2:V676),$V$2:$V$1001,0),1)&gt;=100000,INDEX($AC$1005:$AS$1005,1,MATCH(COLUMNS($AC$1006:AN1006),$AC$1006:$AS$1006,0))&gt;=100000), " ",IF(INDEX($AC$2:$AS$1001,MATCH(ROWS($V$2:V676),$V$2:$V$1001,0),MATCH(COLUMNS($AC$1006:AN1006),$AC$1006:$AS$1006,0)), HYPERLINK("#",""), HYPERLINK(CONCATENATE("#Metadata!", ADDRESS(INDEX($X$2:$X$1001,MATCH(ROWS($V$2:V676),$V$2:$V$1001,0),0), INDEX($AC$1004:$AS$1004,1,MATCH(COLUMNS($AC$1006:AN1006),$AC$1006:$AS$1006,0)))),"Fix")))</f>
        <v>0</v>
      </c>
      <c r="N676" s="5">
        <f>IF(OR(INDEX($W$2:$W$1001,MATCH(ROWS($V$2:V676),$V$2:$V$1001,0),1)&gt;=100000,INDEX($AC$1005:$AS$1005,1,MATCH(COLUMNS($AC$1006:AO1006),$AC$1006:$AS$1006,0))&gt;=100000), " ",IF(INDEX($AC$2:$AS$1001,MATCH(ROWS($V$2:V676),$V$2:$V$1001,0),MATCH(COLUMNS($AC$1006:AO1006),$AC$1006:$AS$1006,0)), HYPERLINK("#",""), HYPERLINK(CONCATENATE("#Metadata!", ADDRESS(INDEX($X$2:$X$1001,MATCH(ROWS($V$2:V676),$V$2:$V$1001,0),0), INDEX($AC$1004:$AS$1004,1,MATCH(COLUMNS($AC$1006:AO1006),$AC$1006:$AS$1006,0)))),"Fix")))</f>
        <v>0</v>
      </c>
      <c r="O676" s="5">
        <f>IF(OR(INDEX($W$2:$W$1001,MATCH(ROWS($V$2:V676),$V$2:$V$1001,0),1)&gt;=100000,INDEX($AC$1005:$AS$1005,1,MATCH(COLUMNS($AC$1006:AP1006),$AC$1006:$AS$1006,0))&gt;=100000), " ",IF(INDEX($AC$2:$AS$1001,MATCH(ROWS($V$2:V676),$V$2:$V$1001,0),MATCH(COLUMNS($AC$1006:AP1006),$AC$1006:$AS$1006,0)), HYPERLINK("#",""), HYPERLINK(CONCATENATE("#Metadata!", ADDRESS(INDEX($X$2:$X$1001,MATCH(ROWS($V$2:V676),$V$2:$V$1001,0),0), INDEX($AC$1004:$AS$1004,1,MATCH(COLUMNS($AC$1006:AP1006),$AC$1006:$AS$1006,0)))),"Fix")))</f>
        <v>0</v>
      </c>
      <c r="P676" s="5">
        <f>IF(OR(INDEX($W$2:$W$1001,MATCH(ROWS($V$2:V676),$V$2:$V$1001,0),1)&gt;=100000,INDEX($AC$1005:$AS$1005,1,MATCH(COLUMNS($AC$1006:AQ1006),$AC$1006:$AS$1006,0))&gt;=100000), " ",IF(INDEX($AC$2:$AS$1001,MATCH(ROWS($V$2:V676),$V$2:$V$1001,0),MATCH(COLUMNS($AC$1006:AQ1006),$AC$1006:$AS$1006,0)), HYPERLINK("#",""), HYPERLINK(CONCATENATE("#Metadata!", ADDRESS(INDEX($X$2:$X$1001,MATCH(ROWS($V$2:V676),$V$2:$V$1001,0),0), INDEX($AC$1004:$AS$1004,1,MATCH(COLUMNS($AC$1006:AQ1006),$AC$1006:$AS$1006,0)))),"Fix")))</f>
        <v>0</v>
      </c>
      <c r="Q676" s="5">
        <f>IF(OR(INDEX($W$2:$W$1001,MATCH(ROWS($V$2:V676),$V$2:$V$1001,0),1)&gt;=100000,INDEX($AC$1005:$AS$1005,1,MATCH(COLUMNS($AC$1006:AR1006),$AC$1006:$AS$1006,0))&gt;=100000), " ",IF(INDEX($AC$2:$AS$1001,MATCH(ROWS($V$2:V676),$V$2:$V$1001,0),MATCH(COLUMNS($AC$1006:AR1006),$AC$1006:$AS$1006,0)), HYPERLINK("#",""), HYPERLINK(CONCATENATE("#Metadata!", ADDRESS(INDEX($X$2:$X$1001,MATCH(ROWS($V$2:V676),$V$2:$V$1001,0),0), INDEX($AC$1004:$AS$1004,1,MATCH(COLUMNS($AC$1006:AR1006),$AC$1006:$AS$1006,0)))),"Fix")))</f>
        <v>0</v>
      </c>
      <c r="R676" s="5">
        <f>IF(OR(INDEX($W$2:$W$1001,MATCH(ROWS($V$2:V676),$V$2:$V$1001,0),1)&gt;=100000,INDEX($AC$1005:$AS$1005,1,MATCH(COLUMNS($AC$1006:AS1006),$AC$1006:$AS$1006,0))&gt;=100000), " ",IF(INDEX($AC$2:$AS$1001,MATCH(ROWS($V$2:V676),$V$2:$V$1001,0),MATCH(COLUMNS($AC$1006:AS1006),$AC$1006:$AS$1006,0)), HYPERLINK("#",""), HYPERLINK(CONCATENATE("#Metadata!", ADDRESS(INDEX($X$2:$X$1001,MATCH(ROWS($V$2:V676),$V$2:$V$1001,0),0), INDEX($AC$1004:$AS$1004,1,MATCH(COLUMNS($AC$1006:AS1006),$AC$1006:$AS$1006,0)))),"Fix")))</f>
        <v>0</v>
      </c>
      <c r="V676">
        <v>0</v>
      </c>
      <c r="W676">
        <v>0</v>
      </c>
      <c r="X676">
        <v>0</v>
      </c>
      <c r="Y676">
        <f>IF(Z676,TRUE,AND(AC676:AS676))</f>
        <v>0</v>
      </c>
      <c r="Z676">
        <f>COUNTBLANK(Metadata!B676:R676)=COLUMNS(Metadata!B676:R676)</f>
        <v>0</v>
      </c>
      <c r="AA676">
        <v>0</v>
      </c>
      <c r="AC676">
        <f>AND(IF(Metadata!B676="",FALSE,TRUE),COUNTIF(Metadata!B:B, Metadata!B676) = 1,NOT(ISERROR(SUMPRODUCT(SEARCH(MID(Metadata!B676,ROW(INDIRECT("1:"&amp;LEN(Metadata!B676))), 1),"0123456789abcdefghijklmnopqrstuvwxyzABCDEFGHIJKLMNOPQRSTUVWXYZ.")))))</f>
        <v>0</v>
      </c>
      <c r="AD676">
        <f>AND(IF(Metadata!C676="",FALSE,TRUE),exact(Metadata!C676,"Host-associated"))</f>
        <v>0</v>
      </c>
      <c r="AE676">
        <f>AND(IF(Metadata!D676="",FALSE,TRUE),OR(exact(Metadata!D676,"Animal"),exact(Metadata!D676,"Fungus"),exact(Metadata!D676,"Plant")))</f>
        <v>0</v>
      </c>
      <c r="AF676">
        <f>AND(IF(Metadata!E676="",FALSE,TRUE),OR(exact(Metadata!E676,"Plant secretion"),exact(Metadata!E676,"Plant rhizosphere"),exact(Metadata!E676,"Plant surface"),exact(Metadata!E676,"Plant corpus"),exact(Metadata!E676,"Fungus surface"),exact(Metadata!E676,"Fungus corpus"),exact(Metadata!E676,"Animal surface"),exact(Metadata!E676,"Animal proximal gut"),exact(Metadata!E676,"Animal corpus"),exact(Metadata!E676,"Animal distal gut"),exact(Metadata!E676,"Animal secretion")))</f>
        <v>0</v>
      </c>
      <c r="AG676">
        <f>OR(AND(IF(Metadata!F676="",FALSE,TRUE),OR(exact(Metadata!F676,"not collected"),exact(Metadata!F676,"not provided"),exact(Metadata!F676,"restricted access"))),AND(IF(Metadata!F676="",FALSE,TRUE),OR(exact(Metadata!F676,"organism-associated habitat"),exact(Metadata!F676,"plant-associated habitat"),exact(Metadata!F676,"animal-associated habitat"),exact(Metadata!F676,"insecta-associated habitat"),exact(Metadata!F676,"mammalia-associated habitat"),exact(Metadata!F676,"human-associated habitat"),exact(Metadata!F676,"livestock-associated habitat"))))</f>
        <v>0</v>
      </c>
      <c r="AH676">
        <f>AND(IF(Metadata!G676="",FALSE,TRUE),exact(Metadata!G676,"host-associated"))</f>
        <v>0</v>
      </c>
      <c r="AI676">
        <f>OR(AND(IF(Metadata!H676="",FALSE,TRUE),OR(exact(Metadata!H676,"not collected"),exact(Metadata!H676,"not provided"))),AND(IF(Metadata!H676="",FALSE,ISNUMBER(VALUE(Metadata!H676))),Metadata!H676&gt;0))</f>
        <v>0</v>
      </c>
      <c r="AJ676">
        <f>AND(IF(Metadata!I676="",FALSE,TRUE),exact(Metadata!I676,"years"))</f>
        <v>0</v>
      </c>
      <c r="AK676">
        <f>IF(Metadata!J676="",FALSE,TRUE)</f>
        <v>0</v>
      </c>
      <c r="AL676">
        <f>OR(AND(IF(Metadata!K676="",FALSE,TRUE),OR(exact(Metadata!K676,"not collected"),exact(Metadata!K676,"not provided"))),AND(IF(Metadata!K676="",FALSE,ISNUMBER(VALUE(Metadata!K676))),Metadata!K676&gt;0))</f>
        <v>0</v>
      </c>
      <c r="AM676">
        <f>AND(IF(Metadata!L676="",FALSE,TRUE),exact(Metadata!L676,"cm"))</f>
        <v>0</v>
      </c>
      <c r="AN676">
        <f>IF(Metadata!M676="",FALSE,TRUE)</f>
        <v>0</v>
      </c>
      <c r="AO676">
        <f>OR(AND(IF(Metadata!N676="",FALSE,TRUE),OR(exact(Metadata!N676,"not applicable"),exact(Metadata!N676,"not collected"),exact(Metadata!N676,"not provided"))),AND(IF(Metadata!N676="",FALSE,IF(ISERROR(INT(Metadata!N676)),FALSE,INT(Metadata!N676)=Metadata!N676)),Metadata!N676&gt;0))</f>
        <v>0</v>
      </c>
      <c r="AP676">
        <f>OR(AND(IF(Metadata!O676="",FALSE,TRUE),OR(exact(Metadata!O676,"not collected"),exact(Metadata!O676,"not provided"))),AND(IF(Metadata!O676="",FALSE,ISNUMBER(VALUE(Metadata!O676))),Metadata!O676&gt;0))</f>
        <v>0</v>
      </c>
      <c r="AQ676">
        <f>AND(IF(Metadata!P676="",FALSE,TRUE),exact(Metadata!P676,"kg"))</f>
        <v>0</v>
      </c>
      <c r="AR676">
        <f>OR(AND(IF(Metadata!Q676="",FALSE,TRUE),OR(exact(Metadata!Q676,"not applicable"),exact(Metadata!Q676,"not collected"),exact(Metadata!Q676,"not provided"),exact(Metadata!Q676,"restricted access"))),IF(Metadata!Q676="",FALSE,IF(ISERROR(INT(Metadata!Q676)),FALSE,INT(Metadata!Q676)=Metadata!Q676)))</f>
        <v>0</v>
      </c>
      <c r="AS676">
        <f>AND(IF(Metadata!R676="",FALSE,TRUE),exact(Metadata!R676,"Not applicable"))</f>
        <v>0</v>
      </c>
    </row>
    <row r="677" spans="1:45">
      <c r="A677" s="4">
        <f>IF(B677=" "," ",HYPERLINK(CONCATENATE("#metadata!",ADDRESS(INDEX($X$2:$X$1001,MATCH(ROWS($V$2:V677),$V$2:$V$1001,0),0),2)),INDEX($AA$2:$AA$1001,MATCH(ROWS($V$2:V677),$V$2:$V$1001,0),0)))</f>
        <v>0</v>
      </c>
      <c r="B677" s="5">
        <f>IF(OR(INDEX($W$2:$W$1001,MATCH(ROWS($V$2:V677),$V$2:$V$1001,0),1)&gt;=100000,INDEX($AC$1005:$AS$1005,1,MATCH(COLUMNS($AC$1006:AC1006),$AC$1006:$AS$1006,0))&gt;=100000), " ",IF(INDEX($AC$2:$AS$1001,MATCH(ROWS($V$2:V677),$V$2:$V$1001,0),MATCH(COLUMNS($AC$1006:AC1006),$AC$1006:$AS$1006,0)), HYPERLINK("#",""), HYPERLINK(CONCATENATE("#Metadata!", ADDRESS(INDEX($X$2:$X$1001,MATCH(ROWS($V$2:V677),$V$2:$V$1001,0),0), INDEX($AC$1004:$AS$1004,1,MATCH(COLUMNS($AC$1006:AC1006),$AC$1006:$AS$1006,0)))),"Fix")))</f>
        <v>0</v>
      </c>
      <c r="C677" s="5">
        <f>IF(OR(INDEX($W$2:$W$1001,MATCH(ROWS($V$2:V677),$V$2:$V$1001,0),1)&gt;=100000,INDEX($AC$1005:$AS$1005,1,MATCH(COLUMNS($AC$1006:AD1006),$AC$1006:$AS$1006,0))&gt;=100000), " ",IF(INDEX($AC$2:$AS$1001,MATCH(ROWS($V$2:V677),$V$2:$V$1001,0),MATCH(COLUMNS($AC$1006:AD1006),$AC$1006:$AS$1006,0)), HYPERLINK("#",""), HYPERLINK(CONCATENATE("#Metadata!", ADDRESS(INDEX($X$2:$X$1001,MATCH(ROWS($V$2:V677),$V$2:$V$1001,0),0), INDEX($AC$1004:$AS$1004,1,MATCH(COLUMNS($AC$1006:AD1006),$AC$1006:$AS$1006,0)))),"Fix")))</f>
        <v>0</v>
      </c>
      <c r="D677" s="5">
        <f>IF(OR(INDEX($W$2:$W$1001,MATCH(ROWS($V$2:V677),$V$2:$V$1001,0),1)&gt;=100000,INDEX($AC$1005:$AS$1005,1,MATCH(COLUMNS($AC$1006:AE1006),$AC$1006:$AS$1006,0))&gt;=100000), " ",IF(INDEX($AC$2:$AS$1001,MATCH(ROWS($V$2:V677),$V$2:$V$1001,0),MATCH(COLUMNS($AC$1006:AE1006),$AC$1006:$AS$1006,0)), HYPERLINK("#",""), HYPERLINK(CONCATENATE("#Metadata!", ADDRESS(INDEX($X$2:$X$1001,MATCH(ROWS($V$2:V677),$V$2:$V$1001,0),0), INDEX($AC$1004:$AS$1004,1,MATCH(COLUMNS($AC$1006:AE1006),$AC$1006:$AS$1006,0)))),"Fix")))</f>
        <v>0</v>
      </c>
      <c r="E677" s="5">
        <f>IF(OR(INDEX($W$2:$W$1001,MATCH(ROWS($V$2:V677),$V$2:$V$1001,0),1)&gt;=100000,INDEX($AC$1005:$AS$1005,1,MATCH(COLUMNS($AC$1006:AF1006),$AC$1006:$AS$1006,0))&gt;=100000), " ",IF(INDEX($AC$2:$AS$1001,MATCH(ROWS($V$2:V677),$V$2:$V$1001,0),MATCH(COLUMNS($AC$1006:AF1006),$AC$1006:$AS$1006,0)), HYPERLINK("#",""), HYPERLINK(CONCATENATE("#Metadata!", ADDRESS(INDEX($X$2:$X$1001,MATCH(ROWS($V$2:V677),$V$2:$V$1001,0),0), INDEX($AC$1004:$AS$1004,1,MATCH(COLUMNS($AC$1006:AF1006),$AC$1006:$AS$1006,0)))),"Fix")))</f>
        <v>0</v>
      </c>
      <c r="F677" s="5">
        <f>IF(OR(INDEX($W$2:$W$1001,MATCH(ROWS($V$2:V677),$V$2:$V$1001,0),1)&gt;=100000,INDEX($AC$1005:$AS$1005,1,MATCH(COLUMNS($AC$1006:AG1006),$AC$1006:$AS$1006,0))&gt;=100000), " ",IF(INDEX($AC$2:$AS$1001,MATCH(ROWS($V$2:V677),$V$2:$V$1001,0),MATCH(COLUMNS($AC$1006:AG1006),$AC$1006:$AS$1006,0)), HYPERLINK("#",""), HYPERLINK(CONCATENATE("#Metadata!", ADDRESS(INDEX($X$2:$X$1001,MATCH(ROWS($V$2:V677),$V$2:$V$1001,0),0), INDEX($AC$1004:$AS$1004,1,MATCH(COLUMNS($AC$1006:AG1006),$AC$1006:$AS$1006,0)))),"Fix")))</f>
        <v>0</v>
      </c>
      <c r="G677" s="5">
        <f>IF(OR(INDEX($W$2:$W$1001,MATCH(ROWS($V$2:V677),$V$2:$V$1001,0),1)&gt;=100000,INDEX($AC$1005:$AS$1005,1,MATCH(COLUMNS($AC$1006:AH1006),$AC$1006:$AS$1006,0))&gt;=100000), " ",IF(INDEX($AC$2:$AS$1001,MATCH(ROWS($V$2:V677),$V$2:$V$1001,0),MATCH(COLUMNS($AC$1006:AH1006),$AC$1006:$AS$1006,0)), HYPERLINK("#",""), HYPERLINK(CONCATENATE("#Metadata!", ADDRESS(INDEX($X$2:$X$1001,MATCH(ROWS($V$2:V677),$V$2:$V$1001,0),0), INDEX($AC$1004:$AS$1004,1,MATCH(COLUMNS($AC$1006:AH1006),$AC$1006:$AS$1006,0)))),"Fix")))</f>
        <v>0</v>
      </c>
      <c r="H677" s="5">
        <f>IF(OR(INDEX($W$2:$W$1001,MATCH(ROWS($V$2:V677),$V$2:$V$1001,0),1)&gt;=100000,INDEX($AC$1005:$AS$1005,1,MATCH(COLUMNS($AC$1006:AI1006),$AC$1006:$AS$1006,0))&gt;=100000), " ",IF(INDEX($AC$2:$AS$1001,MATCH(ROWS($V$2:V677),$V$2:$V$1001,0),MATCH(COLUMNS($AC$1006:AI1006),$AC$1006:$AS$1006,0)), HYPERLINK("#",""), HYPERLINK(CONCATENATE("#Metadata!", ADDRESS(INDEX($X$2:$X$1001,MATCH(ROWS($V$2:V677),$V$2:$V$1001,0),0), INDEX($AC$1004:$AS$1004,1,MATCH(COLUMNS($AC$1006:AI1006),$AC$1006:$AS$1006,0)))),"Fix")))</f>
        <v>0</v>
      </c>
      <c r="I677" s="5">
        <f>IF(OR(INDEX($W$2:$W$1001,MATCH(ROWS($V$2:V677),$V$2:$V$1001,0),1)&gt;=100000,INDEX($AC$1005:$AS$1005,1,MATCH(COLUMNS($AC$1006:AJ1006),$AC$1006:$AS$1006,0))&gt;=100000), " ",IF(INDEX($AC$2:$AS$1001,MATCH(ROWS($V$2:V677),$V$2:$V$1001,0),MATCH(COLUMNS($AC$1006:AJ1006),$AC$1006:$AS$1006,0)), HYPERLINK("#",""), HYPERLINK(CONCATENATE("#Metadata!", ADDRESS(INDEX($X$2:$X$1001,MATCH(ROWS($V$2:V677),$V$2:$V$1001,0),0), INDEX($AC$1004:$AS$1004,1,MATCH(COLUMNS($AC$1006:AJ1006),$AC$1006:$AS$1006,0)))),"Fix")))</f>
        <v>0</v>
      </c>
      <c r="J677" s="5">
        <f>IF(OR(INDEX($W$2:$W$1001,MATCH(ROWS($V$2:V677),$V$2:$V$1001,0),1)&gt;=100000,INDEX($AC$1005:$AS$1005,1,MATCH(COLUMNS($AC$1006:AK1006),$AC$1006:$AS$1006,0))&gt;=100000), " ",IF(INDEX($AC$2:$AS$1001,MATCH(ROWS($V$2:V677),$V$2:$V$1001,0),MATCH(COLUMNS($AC$1006:AK1006),$AC$1006:$AS$1006,0)), HYPERLINK("#",""), HYPERLINK(CONCATENATE("#Metadata!", ADDRESS(INDEX($X$2:$X$1001,MATCH(ROWS($V$2:V677),$V$2:$V$1001,0),0), INDEX($AC$1004:$AS$1004,1,MATCH(COLUMNS($AC$1006:AK1006),$AC$1006:$AS$1006,0)))),"Fix")))</f>
        <v>0</v>
      </c>
      <c r="K677" s="5">
        <f>IF(OR(INDEX($W$2:$W$1001,MATCH(ROWS($V$2:V677),$V$2:$V$1001,0),1)&gt;=100000,INDEX($AC$1005:$AS$1005,1,MATCH(COLUMNS($AC$1006:AL1006),$AC$1006:$AS$1006,0))&gt;=100000), " ",IF(INDEX($AC$2:$AS$1001,MATCH(ROWS($V$2:V677),$V$2:$V$1001,0),MATCH(COLUMNS($AC$1006:AL1006),$AC$1006:$AS$1006,0)), HYPERLINK("#",""), HYPERLINK(CONCATENATE("#Metadata!", ADDRESS(INDEX($X$2:$X$1001,MATCH(ROWS($V$2:V677),$V$2:$V$1001,0),0), INDEX($AC$1004:$AS$1004,1,MATCH(COLUMNS($AC$1006:AL1006),$AC$1006:$AS$1006,0)))),"Fix")))</f>
        <v>0</v>
      </c>
      <c r="L677" s="5">
        <f>IF(OR(INDEX($W$2:$W$1001,MATCH(ROWS($V$2:V677),$V$2:$V$1001,0),1)&gt;=100000,INDEX($AC$1005:$AS$1005,1,MATCH(COLUMNS($AC$1006:AM1006),$AC$1006:$AS$1006,0))&gt;=100000), " ",IF(INDEX($AC$2:$AS$1001,MATCH(ROWS($V$2:V677),$V$2:$V$1001,0),MATCH(COLUMNS($AC$1006:AM1006),$AC$1006:$AS$1006,0)), HYPERLINK("#",""), HYPERLINK(CONCATENATE("#Metadata!", ADDRESS(INDEX($X$2:$X$1001,MATCH(ROWS($V$2:V677),$V$2:$V$1001,0),0), INDEX($AC$1004:$AS$1004,1,MATCH(COLUMNS($AC$1006:AM1006),$AC$1006:$AS$1006,0)))),"Fix")))</f>
        <v>0</v>
      </c>
      <c r="M677" s="5">
        <f>IF(OR(INDEX($W$2:$W$1001,MATCH(ROWS($V$2:V677),$V$2:$V$1001,0),1)&gt;=100000,INDEX($AC$1005:$AS$1005,1,MATCH(COLUMNS($AC$1006:AN1006),$AC$1006:$AS$1006,0))&gt;=100000), " ",IF(INDEX($AC$2:$AS$1001,MATCH(ROWS($V$2:V677),$V$2:$V$1001,0),MATCH(COLUMNS($AC$1006:AN1006),$AC$1006:$AS$1006,0)), HYPERLINK("#",""), HYPERLINK(CONCATENATE("#Metadata!", ADDRESS(INDEX($X$2:$X$1001,MATCH(ROWS($V$2:V677),$V$2:$V$1001,0),0), INDEX($AC$1004:$AS$1004,1,MATCH(COLUMNS($AC$1006:AN1006),$AC$1006:$AS$1006,0)))),"Fix")))</f>
        <v>0</v>
      </c>
      <c r="N677" s="5">
        <f>IF(OR(INDEX($W$2:$W$1001,MATCH(ROWS($V$2:V677),$V$2:$V$1001,0),1)&gt;=100000,INDEX($AC$1005:$AS$1005,1,MATCH(COLUMNS($AC$1006:AO1006),$AC$1006:$AS$1006,0))&gt;=100000), " ",IF(INDEX($AC$2:$AS$1001,MATCH(ROWS($V$2:V677),$V$2:$V$1001,0),MATCH(COLUMNS($AC$1006:AO1006),$AC$1006:$AS$1006,0)), HYPERLINK("#",""), HYPERLINK(CONCATENATE("#Metadata!", ADDRESS(INDEX($X$2:$X$1001,MATCH(ROWS($V$2:V677),$V$2:$V$1001,0),0), INDEX($AC$1004:$AS$1004,1,MATCH(COLUMNS($AC$1006:AO1006),$AC$1006:$AS$1006,0)))),"Fix")))</f>
        <v>0</v>
      </c>
      <c r="O677" s="5">
        <f>IF(OR(INDEX($W$2:$W$1001,MATCH(ROWS($V$2:V677),$V$2:$V$1001,0),1)&gt;=100000,INDEX($AC$1005:$AS$1005,1,MATCH(COLUMNS($AC$1006:AP1006),$AC$1006:$AS$1006,0))&gt;=100000), " ",IF(INDEX($AC$2:$AS$1001,MATCH(ROWS($V$2:V677),$V$2:$V$1001,0),MATCH(COLUMNS($AC$1006:AP1006),$AC$1006:$AS$1006,0)), HYPERLINK("#",""), HYPERLINK(CONCATENATE("#Metadata!", ADDRESS(INDEX($X$2:$X$1001,MATCH(ROWS($V$2:V677),$V$2:$V$1001,0),0), INDEX($AC$1004:$AS$1004,1,MATCH(COLUMNS($AC$1006:AP1006),$AC$1006:$AS$1006,0)))),"Fix")))</f>
        <v>0</v>
      </c>
      <c r="P677" s="5">
        <f>IF(OR(INDEX($W$2:$W$1001,MATCH(ROWS($V$2:V677),$V$2:$V$1001,0),1)&gt;=100000,INDEX($AC$1005:$AS$1005,1,MATCH(COLUMNS($AC$1006:AQ1006),$AC$1006:$AS$1006,0))&gt;=100000), " ",IF(INDEX($AC$2:$AS$1001,MATCH(ROWS($V$2:V677),$V$2:$V$1001,0),MATCH(COLUMNS($AC$1006:AQ1006),$AC$1006:$AS$1006,0)), HYPERLINK("#",""), HYPERLINK(CONCATENATE("#Metadata!", ADDRESS(INDEX($X$2:$X$1001,MATCH(ROWS($V$2:V677),$V$2:$V$1001,0),0), INDEX($AC$1004:$AS$1004,1,MATCH(COLUMNS($AC$1006:AQ1006),$AC$1006:$AS$1006,0)))),"Fix")))</f>
        <v>0</v>
      </c>
      <c r="Q677" s="5">
        <f>IF(OR(INDEX($W$2:$W$1001,MATCH(ROWS($V$2:V677),$V$2:$V$1001,0),1)&gt;=100000,INDEX($AC$1005:$AS$1005,1,MATCH(COLUMNS($AC$1006:AR1006),$AC$1006:$AS$1006,0))&gt;=100000), " ",IF(INDEX($AC$2:$AS$1001,MATCH(ROWS($V$2:V677),$V$2:$V$1001,0),MATCH(COLUMNS($AC$1006:AR1006),$AC$1006:$AS$1006,0)), HYPERLINK("#",""), HYPERLINK(CONCATENATE("#Metadata!", ADDRESS(INDEX($X$2:$X$1001,MATCH(ROWS($V$2:V677),$V$2:$V$1001,0),0), INDEX($AC$1004:$AS$1004,1,MATCH(COLUMNS($AC$1006:AR1006),$AC$1006:$AS$1006,0)))),"Fix")))</f>
        <v>0</v>
      </c>
      <c r="R677" s="5">
        <f>IF(OR(INDEX($W$2:$W$1001,MATCH(ROWS($V$2:V677),$V$2:$V$1001,0),1)&gt;=100000,INDEX($AC$1005:$AS$1005,1,MATCH(COLUMNS($AC$1006:AS1006),$AC$1006:$AS$1006,0))&gt;=100000), " ",IF(INDEX($AC$2:$AS$1001,MATCH(ROWS($V$2:V677),$V$2:$V$1001,0),MATCH(COLUMNS($AC$1006:AS1006),$AC$1006:$AS$1006,0)), HYPERLINK("#",""), HYPERLINK(CONCATENATE("#Metadata!", ADDRESS(INDEX($X$2:$X$1001,MATCH(ROWS($V$2:V677),$V$2:$V$1001,0),0), INDEX($AC$1004:$AS$1004,1,MATCH(COLUMNS($AC$1006:AS1006),$AC$1006:$AS$1006,0)))),"Fix")))</f>
        <v>0</v>
      </c>
      <c r="V677">
        <v>0</v>
      </c>
      <c r="W677">
        <v>0</v>
      </c>
      <c r="X677">
        <v>0</v>
      </c>
      <c r="Y677">
        <f>IF(Z677,TRUE,AND(AC677:AS677))</f>
        <v>0</v>
      </c>
      <c r="Z677">
        <f>COUNTBLANK(Metadata!B677:R677)=COLUMNS(Metadata!B677:R677)</f>
        <v>0</v>
      </c>
      <c r="AA677">
        <v>0</v>
      </c>
      <c r="AC677">
        <f>AND(IF(Metadata!B677="",FALSE,TRUE),COUNTIF(Metadata!B:B, Metadata!B677) = 1,NOT(ISERROR(SUMPRODUCT(SEARCH(MID(Metadata!B677,ROW(INDIRECT("1:"&amp;LEN(Metadata!B677))), 1),"0123456789abcdefghijklmnopqrstuvwxyzABCDEFGHIJKLMNOPQRSTUVWXYZ.")))))</f>
        <v>0</v>
      </c>
      <c r="AD677">
        <f>AND(IF(Metadata!C677="",FALSE,TRUE),exact(Metadata!C677,"Host-associated"))</f>
        <v>0</v>
      </c>
      <c r="AE677">
        <f>AND(IF(Metadata!D677="",FALSE,TRUE),OR(exact(Metadata!D677,"Animal"),exact(Metadata!D677,"Fungus"),exact(Metadata!D677,"Plant")))</f>
        <v>0</v>
      </c>
      <c r="AF677">
        <f>AND(IF(Metadata!E677="",FALSE,TRUE),OR(exact(Metadata!E677,"Plant secretion"),exact(Metadata!E677,"Plant rhizosphere"),exact(Metadata!E677,"Plant surface"),exact(Metadata!E677,"Plant corpus"),exact(Metadata!E677,"Fungus surface"),exact(Metadata!E677,"Fungus corpus"),exact(Metadata!E677,"Animal surface"),exact(Metadata!E677,"Animal proximal gut"),exact(Metadata!E677,"Animal corpus"),exact(Metadata!E677,"Animal distal gut"),exact(Metadata!E677,"Animal secretion")))</f>
        <v>0</v>
      </c>
      <c r="AG677">
        <f>OR(AND(IF(Metadata!F677="",FALSE,TRUE),OR(exact(Metadata!F677,"not collected"),exact(Metadata!F677,"not provided"),exact(Metadata!F677,"restricted access"))),AND(IF(Metadata!F677="",FALSE,TRUE),OR(exact(Metadata!F677,"organism-associated habitat"),exact(Metadata!F677,"plant-associated habitat"),exact(Metadata!F677,"animal-associated habitat"),exact(Metadata!F677,"insecta-associated habitat"),exact(Metadata!F677,"mammalia-associated habitat"),exact(Metadata!F677,"human-associated habitat"),exact(Metadata!F677,"livestock-associated habitat"))))</f>
        <v>0</v>
      </c>
      <c r="AH677">
        <f>AND(IF(Metadata!G677="",FALSE,TRUE),exact(Metadata!G677,"host-associated"))</f>
        <v>0</v>
      </c>
      <c r="AI677">
        <f>OR(AND(IF(Metadata!H677="",FALSE,TRUE),OR(exact(Metadata!H677,"not collected"),exact(Metadata!H677,"not provided"))),AND(IF(Metadata!H677="",FALSE,ISNUMBER(VALUE(Metadata!H677))),Metadata!H677&gt;0))</f>
        <v>0</v>
      </c>
      <c r="AJ677">
        <f>AND(IF(Metadata!I677="",FALSE,TRUE),exact(Metadata!I677,"years"))</f>
        <v>0</v>
      </c>
      <c r="AK677">
        <f>IF(Metadata!J677="",FALSE,TRUE)</f>
        <v>0</v>
      </c>
      <c r="AL677">
        <f>OR(AND(IF(Metadata!K677="",FALSE,TRUE),OR(exact(Metadata!K677,"not collected"),exact(Metadata!K677,"not provided"))),AND(IF(Metadata!K677="",FALSE,ISNUMBER(VALUE(Metadata!K677))),Metadata!K677&gt;0))</f>
        <v>0</v>
      </c>
      <c r="AM677">
        <f>AND(IF(Metadata!L677="",FALSE,TRUE),exact(Metadata!L677,"cm"))</f>
        <v>0</v>
      </c>
      <c r="AN677">
        <f>IF(Metadata!M677="",FALSE,TRUE)</f>
        <v>0</v>
      </c>
      <c r="AO677">
        <f>OR(AND(IF(Metadata!N677="",FALSE,TRUE),OR(exact(Metadata!N677,"not applicable"),exact(Metadata!N677,"not collected"),exact(Metadata!N677,"not provided"))),AND(IF(Metadata!N677="",FALSE,IF(ISERROR(INT(Metadata!N677)),FALSE,INT(Metadata!N677)=Metadata!N677)),Metadata!N677&gt;0))</f>
        <v>0</v>
      </c>
      <c r="AP677">
        <f>OR(AND(IF(Metadata!O677="",FALSE,TRUE),OR(exact(Metadata!O677,"not collected"),exact(Metadata!O677,"not provided"))),AND(IF(Metadata!O677="",FALSE,ISNUMBER(VALUE(Metadata!O677))),Metadata!O677&gt;0))</f>
        <v>0</v>
      </c>
      <c r="AQ677">
        <f>AND(IF(Metadata!P677="",FALSE,TRUE),exact(Metadata!P677,"kg"))</f>
        <v>0</v>
      </c>
      <c r="AR677">
        <f>OR(AND(IF(Metadata!Q677="",FALSE,TRUE),OR(exact(Metadata!Q677,"not applicable"),exact(Metadata!Q677,"not collected"),exact(Metadata!Q677,"not provided"),exact(Metadata!Q677,"restricted access"))),IF(Metadata!Q677="",FALSE,IF(ISERROR(INT(Metadata!Q677)),FALSE,INT(Metadata!Q677)=Metadata!Q677)))</f>
        <v>0</v>
      </c>
      <c r="AS677">
        <f>AND(IF(Metadata!R677="",FALSE,TRUE),exact(Metadata!R677,"Not applicable"))</f>
        <v>0</v>
      </c>
    </row>
    <row r="678" spans="1:45">
      <c r="A678" s="4">
        <f>IF(B678=" "," ",HYPERLINK(CONCATENATE("#metadata!",ADDRESS(INDEX($X$2:$X$1001,MATCH(ROWS($V$2:V678),$V$2:$V$1001,0),0),2)),INDEX($AA$2:$AA$1001,MATCH(ROWS($V$2:V678),$V$2:$V$1001,0),0)))</f>
        <v>0</v>
      </c>
      <c r="B678" s="5">
        <f>IF(OR(INDEX($W$2:$W$1001,MATCH(ROWS($V$2:V678),$V$2:$V$1001,0),1)&gt;=100000,INDEX($AC$1005:$AS$1005,1,MATCH(COLUMNS($AC$1006:AC1006),$AC$1006:$AS$1006,0))&gt;=100000), " ",IF(INDEX($AC$2:$AS$1001,MATCH(ROWS($V$2:V678),$V$2:$V$1001,0),MATCH(COLUMNS($AC$1006:AC1006),$AC$1006:$AS$1006,0)), HYPERLINK("#",""), HYPERLINK(CONCATENATE("#Metadata!", ADDRESS(INDEX($X$2:$X$1001,MATCH(ROWS($V$2:V678),$V$2:$V$1001,0),0), INDEX($AC$1004:$AS$1004,1,MATCH(COLUMNS($AC$1006:AC1006),$AC$1006:$AS$1006,0)))),"Fix")))</f>
        <v>0</v>
      </c>
      <c r="C678" s="5">
        <f>IF(OR(INDEX($W$2:$W$1001,MATCH(ROWS($V$2:V678),$V$2:$V$1001,0),1)&gt;=100000,INDEX($AC$1005:$AS$1005,1,MATCH(COLUMNS($AC$1006:AD1006),$AC$1006:$AS$1006,0))&gt;=100000), " ",IF(INDEX($AC$2:$AS$1001,MATCH(ROWS($V$2:V678),$V$2:$V$1001,0),MATCH(COLUMNS($AC$1006:AD1006),$AC$1006:$AS$1006,0)), HYPERLINK("#",""), HYPERLINK(CONCATENATE("#Metadata!", ADDRESS(INDEX($X$2:$X$1001,MATCH(ROWS($V$2:V678),$V$2:$V$1001,0),0), INDEX($AC$1004:$AS$1004,1,MATCH(COLUMNS($AC$1006:AD1006),$AC$1006:$AS$1006,0)))),"Fix")))</f>
        <v>0</v>
      </c>
      <c r="D678" s="5">
        <f>IF(OR(INDEX($W$2:$W$1001,MATCH(ROWS($V$2:V678),$V$2:$V$1001,0),1)&gt;=100000,INDEX($AC$1005:$AS$1005,1,MATCH(COLUMNS($AC$1006:AE1006),$AC$1006:$AS$1006,0))&gt;=100000), " ",IF(INDEX($AC$2:$AS$1001,MATCH(ROWS($V$2:V678),$V$2:$V$1001,0),MATCH(COLUMNS($AC$1006:AE1006),$AC$1006:$AS$1006,0)), HYPERLINK("#",""), HYPERLINK(CONCATENATE("#Metadata!", ADDRESS(INDEX($X$2:$X$1001,MATCH(ROWS($V$2:V678),$V$2:$V$1001,0),0), INDEX($AC$1004:$AS$1004,1,MATCH(COLUMNS($AC$1006:AE1006),$AC$1006:$AS$1006,0)))),"Fix")))</f>
        <v>0</v>
      </c>
      <c r="E678" s="5">
        <f>IF(OR(INDEX($W$2:$W$1001,MATCH(ROWS($V$2:V678),$V$2:$V$1001,0),1)&gt;=100000,INDEX($AC$1005:$AS$1005,1,MATCH(COLUMNS($AC$1006:AF1006),$AC$1006:$AS$1006,0))&gt;=100000), " ",IF(INDEX($AC$2:$AS$1001,MATCH(ROWS($V$2:V678),$V$2:$V$1001,0),MATCH(COLUMNS($AC$1006:AF1006),$AC$1006:$AS$1006,0)), HYPERLINK("#",""), HYPERLINK(CONCATENATE("#Metadata!", ADDRESS(INDEX($X$2:$X$1001,MATCH(ROWS($V$2:V678),$V$2:$V$1001,0),0), INDEX($AC$1004:$AS$1004,1,MATCH(COLUMNS($AC$1006:AF1006),$AC$1006:$AS$1006,0)))),"Fix")))</f>
        <v>0</v>
      </c>
      <c r="F678" s="5">
        <f>IF(OR(INDEX($W$2:$W$1001,MATCH(ROWS($V$2:V678),$V$2:$V$1001,0),1)&gt;=100000,INDEX($AC$1005:$AS$1005,1,MATCH(COLUMNS($AC$1006:AG1006),$AC$1006:$AS$1006,0))&gt;=100000), " ",IF(INDEX($AC$2:$AS$1001,MATCH(ROWS($V$2:V678),$V$2:$V$1001,0),MATCH(COLUMNS($AC$1006:AG1006),$AC$1006:$AS$1006,0)), HYPERLINK("#",""), HYPERLINK(CONCATENATE("#Metadata!", ADDRESS(INDEX($X$2:$X$1001,MATCH(ROWS($V$2:V678),$V$2:$V$1001,0),0), INDEX($AC$1004:$AS$1004,1,MATCH(COLUMNS($AC$1006:AG1006),$AC$1006:$AS$1006,0)))),"Fix")))</f>
        <v>0</v>
      </c>
      <c r="G678" s="5">
        <f>IF(OR(INDEX($W$2:$W$1001,MATCH(ROWS($V$2:V678),$V$2:$V$1001,0),1)&gt;=100000,INDEX($AC$1005:$AS$1005,1,MATCH(COLUMNS($AC$1006:AH1006),$AC$1006:$AS$1006,0))&gt;=100000), " ",IF(INDEX($AC$2:$AS$1001,MATCH(ROWS($V$2:V678),$V$2:$V$1001,0),MATCH(COLUMNS($AC$1006:AH1006),$AC$1006:$AS$1006,0)), HYPERLINK("#",""), HYPERLINK(CONCATENATE("#Metadata!", ADDRESS(INDEX($X$2:$X$1001,MATCH(ROWS($V$2:V678),$V$2:$V$1001,0),0), INDEX($AC$1004:$AS$1004,1,MATCH(COLUMNS($AC$1006:AH1006),$AC$1006:$AS$1006,0)))),"Fix")))</f>
        <v>0</v>
      </c>
      <c r="H678" s="5">
        <f>IF(OR(INDEX($W$2:$W$1001,MATCH(ROWS($V$2:V678),$V$2:$V$1001,0),1)&gt;=100000,INDEX($AC$1005:$AS$1005,1,MATCH(COLUMNS($AC$1006:AI1006),$AC$1006:$AS$1006,0))&gt;=100000), " ",IF(INDEX($AC$2:$AS$1001,MATCH(ROWS($V$2:V678),$V$2:$V$1001,0),MATCH(COLUMNS($AC$1006:AI1006),$AC$1006:$AS$1006,0)), HYPERLINK("#",""), HYPERLINK(CONCATENATE("#Metadata!", ADDRESS(INDEX($X$2:$X$1001,MATCH(ROWS($V$2:V678),$V$2:$V$1001,0),0), INDEX($AC$1004:$AS$1004,1,MATCH(COLUMNS($AC$1006:AI1006),$AC$1006:$AS$1006,0)))),"Fix")))</f>
        <v>0</v>
      </c>
      <c r="I678" s="5">
        <f>IF(OR(INDEX($W$2:$W$1001,MATCH(ROWS($V$2:V678),$V$2:$V$1001,0),1)&gt;=100000,INDEX($AC$1005:$AS$1005,1,MATCH(COLUMNS($AC$1006:AJ1006),$AC$1006:$AS$1006,0))&gt;=100000), " ",IF(INDEX($AC$2:$AS$1001,MATCH(ROWS($V$2:V678),$V$2:$V$1001,0),MATCH(COLUMNS($AC$1006:AJ1006),$AC$1006:$AS$1006,0)), HYPERLINK("#",""), HYPERLINK(CONCATENATE("#Metadata!", ADDRESS(INDEX($X$2:$X$1001,MATCH(ROWS($V$2:V678),$V$2:$V$1001,0),0), INDEX($AC$1004:$AS$1004,1,MATCH(COLUMNS($AC$1006:AJ1006),$AC$1006:$AS$1006,0)))),"Fix")))</f>
        <v>0</v>
      </c>
      <c r="J678" s="5">
        <f>IF(OR(INDEX($W$2:$W$1001,MATCH(ROWS($V$2:V678),$V$2:$V$1001,0),1)&gt;=100000,INDEX($AC$1005:$AS$1005,1,MATCH(COLUMNS($AC$1006:AK1006),$AC$1006:$AS$1006,0))&gt;=100000), " ",IF(INDEX($AC$2:$AS$1001,MATCH(ROWS($V$2:V678),$V$2:$V$1001,0),MATCH(COLUMNS($AC$1006:AK1006),$AC$1006:$AS$1006,0)), HYPERLINK("#",""), HYPERLINK(CONCATENATE("#Metadata!", ADDRESS(INDEX($X$2:$X$1001,MATCH(ROWS($V$2:V678),$V$2:$V$1001,0),0), INDEX($AC$1004:$AS$1004,1,MATCH(COLUMNS($AC$1006:AK1006),$AC$1006:$AS$1006,0)))),"Fix")))</f>
        <v>0</v>
      </c>
      <c r="K678" s="5">
        <f>IF(OR(INDEX($W$2:$W$1001,MATCH(ROWS($V$2:V678),$V$2:$V$1001,0),1)&gt;=100000,INDEX($AC$1005:$AS$1005,1,MATCH(COLUMNS($AC$1006:AL1006),$AC$1006:$AS$1006,0))&gt;=100000), " ",IF(INDEX($AC$2:$AS$1001,MATCH(ROWS($V$2:V678),$V$2:$V$1001,0),MATCH(COLUMNS($AC$1006:AL1006),$AC$1006:$AS$1006,0)), HYPERLINK("#",""), HYPERLINK(CONCATENATE("#Metadata!", ADDRESS(INDEX($X$2:$X$1001,MATCH(ROWS($V$2:V678),$V$2:$V$1001,0),0), INDEX($AC$1004:$AS$1004,1,MATCH(COLUMNS($AC$1006:AL1006),$AC$1006:$AS$1006,0)))),"Fix")))</f>
        <v>0</v>
      </c>
      <c r="L678" s="5">
        <f>IF(OR(INDEX($W$2:$W$1001,MATCH(ROWS($V$2:V678),$V$2:$V$1001,0),1)&gt;=100000,INDEX($AC$1005:$AS$1005,1,MATCH(COLUMNS($AC$1006:AM1006),$AC$1006:$AS$1006,0))&gt;=100000), " ",IF(INDEX($AC$2:$AS$1001,MATCH(ROWS($V$2:V678),$V$2:$V$1001,0),MATCH(COLUMNS($AC$1006:AM1006),$AC$1006:$AS$1006,0)), HYPERLINK("#",""), HYPERLINK(CONCATENATE("#Metadata!", ADDRESS(INDEX($X$2:$X$1001,MATCH(ROWS($V$2:V678),$V$2:$V$1001,0),0), INDEX($AC$1004:$AS$1004,1,MATCH(COLUMNS($AC$1006:AM1006),$AC$1006:$AS$1006,0)))),"Fix")))</f>
        <v>0</v>
      </c>
      <c r="M678" s="5">
        <f>IF(OR(INDEX($W$2:$W$1001,MATCH(ROWS($V$2:V678),$V$2:$V$1001,0),1)&gt;=100000,INDEX($AC$1005:$AS$1005,1,MATCH(COLUMNS($AC$1006:AN1006),$AC$1006:$AS$1006,0))&gt;=100000), " ",IF(INDEX($AC$2:$AS$1001,MATCH(ROWS($V$2:V678),$V$2:$V$1001,0),MATCH(COLUMNS($AC$1006:AN1006),$AC$1006:$AS$1006,0)), HYPERLINK("#",""), HYPERLINK(CONCATENATE("#Metadata!", ADDRESS(INDEX($X$2:$X$1001,MATCH(ROWS($V$2:V678),$V$2:$V$1001,0),0), INDEX($AC$1004:$AS$1004,1,MATCH(COLUMNS($AC$1006:AN1006),$AC$1006:$AS$1006,0)))),"Fix")))</f>
        <v>0</v>
      </c>
      <c r="N678" s="5">
        <f>IF(OR(INDEX($W$2:$W$1001,MATCH(ROWS($V$2:V678),$V$2:$V$1001,0),1)&gt;=100000,INDEX($AC$1005:$AS$1005,1,MATCH(COLUMNS($AC$1006:AO1006),$AC$1006:$AS$1006,0))&gt;=100000), " ",IF(INDEX($AC$2:$AS$1001,MATCH(ROWS($V$2:V678),$V$2:$V$1001,0),MATCH(COLUMNS($AC$1006:AO1006),$AC$1006:$AS$1006,0)), HYPERLINK("#",""), HYPERLINK(CONCATENATE("#Metadata!", ADDRESS(INDEX($X$2:$X$1001,MATCH(ROWS($V$2:V678),$V$2:$V$1001,0),0), INDEX($AC$1004:$AS$1004,1,MATCH(COLUMNS($AC$1006:AO1006),$AC$1006:$AS$1006,0)))),"Fix")))</f>
        <v>0</v>
      </c>
      <c r="O678" s="5">
        <f>IF(OR(INDEX($W$2:$W$1001,MATCH(ROWS($V$2:V678),$V$2:$V$1001,0),1)&gt;=100000,INDEX($AC$1005:$AS$1005,1,MATCH(COLUMNS($AC$1006:AP1006),$AC$1006:$AS$1006,0))&gt;=100000), " ",IF(INDEX($AC$2:$AS$1001,MATCH(ROWS($V$2:V678),$V$2:$V$1001,0),MATCH(COLUMNS($AC$1006:AP1006),$AC$1006:$AS$1006,0)), HYPERLINK("#",""), HYPERLINK(CONCATENATE("#Metadata!", ADDRESS(INDEX($X$2:$X$1001,MATCH(ROWS($V$2:V678),$V$2:$V$1001,0),0), INDEX($AC$1004:$AS$1004,1,MATCH(COLUMNS($AC$1006:AP1006),$AC$1006:$AS$1006,0)))),"Fix")))</f>
        <v>0</v>
      </c>
      <c r="P678" s="5">
        <f>IF(OR(INDEX($W$2:$W$1001,MATCH(ROWS($V$2:V678),$V$2:$V$1001,0),1)&gt;=100000,INDEX($AC$1005:$AS$1005,1,MATCH(COLUMNS($AC$1006:AQ1006),$AC$1006:$AS$1006,0))&gt;=100000), " ",IF(INDEX($AC$2:$AS$1001,MATCH(ROWS($V$2:V678),$V$2:$V$1001,0),MATCH(COLUMNS($AC$1006:AQ1006),$AC$1006:$AS$1006,0)), HYPERLINK("#",""), HYPERLINK(CONCATENATE("#Metadata!", ADDRESS(INDEX($X$2:$X$1001,MATCH(ROWS($V$2:V678),$V$2:$V$1001,0),0), INDEX($AC$1004:$AS$1004,1,MATCH(COLUMNS($AC$1006:AQ1006),$AC$1006:$AS$1006,0)))),"Fix")))</f>
        <v>0</v>
      </c>
      <c r="Q678" s="5">
        <f>IF(OR(INDEX($W$2:$W$1001,MATCH(ROWS($V$2:V678),$V$2:$V$1001,0),1)&gt;=100000,INDEX($AC$1005:$AS$1005,1,MATCH(COLUMNS($AC$1006:AR1006),$AC$1006:$AS$1006,0))&gt;=100000), " ",IF(INDEX($AC$2:$AS$1001,MATCH(ROWS($V$2:V678),$V$2:$V$1001,0),MATCH(COLUMNS($AC$1006:AR1006),$AC$1006:$AS$1006,0)), HYPERLINK("#",""), HYPERLINK(CONCATENATE("#Metadata!", ADDRESS(INDEX($X$2:$X$1001,MATCH(ROWS($V$2:V678),$V$2:$V$1001,0),0), INDEX($AC$1004:$AS$1004,1,MATCH(COLUMNS($AC$1006:AR1006),$AC$1006:$AS$1006,0)))),"Fix")))</f>
        <v>0</v>
      </c>
      <c r="R678" s="5">
        <f>IF(OR(INDEX($W$2:$W$1001,MATCH(ROWS($V$2:V678),$V$2:$V$1001,0),1)&gt;=100000,INDEX($AC$1005:$AS$1005,1,MATCH(COLUMNS($AC$1006:AS1006),$AC$1006:$AS$1006,0))&gt;=100000), " ",IF(INDEX($AC$2:$AS$1001,MATCH(ROWS($V$2:V678),$V$2:$V$1001,0),MATCH(COLUMNS($AC$1006:AS1006),$AC$1006:$AS$1006,0)), HYPERLINK("#",""), HYPERLINK(CONCATENATE("#Metadata!", ADDRESS(INDEX($X$2:$X$1001,MATCH(ROWS($V$2:V678),$V$2:$V$1001,0),0), INDEX($AC$1004:$AS$1004,1,MATCH(COLUMNS($AC$1006:AS1006),$AC$1006:$AS$1006,0)))),"Fix")))</f>
        <v>0</v>
      </c>
      <c r="V678">
        <v>0</v>
      </c>
      <c r="W678">
        <v>0</v>
      </c>
      <c r="X678">
        <v>0</v>
      </c>
      <c r="Y678">
        <f>IF(Z678,TRUE,AND(AC678:AS678))</f>
        <v>0</v>
      </c>
      <c r="Z678">
        <f>COUNTBLANK(Metadata!B678:R678)=COLUMNS(Metadata!B678:R678)</f>
        <v>0</v>
      </c>
      <c r="AA678">
        <v>0</v>
      </c>
      <c r="AC678">
        <f>AND(IF(Metadata!B678="",FALSE,TRUE),COUNTIF(Metadata!B:B, Metadata!B678) = 1,NOT(ISERROR(SUMPRODUCT(SEARCH(MID(Metadata!B678,ROW(INDIRECT("1:"&amp;LEN(Metadata!B678))), 1),"0123456789abcdefghijklmnopqrstuvwxyzABCDEFGHIJKLMNOPQRSTUVWXYZ.")))))</f>
        <v>0</v>
      </c>
      <c r="AD678">
        <f>AND(IF(Metadata!C678="",FALSE,TRUE),exact(Metadata!C678,"Host-associated"))</f>
        <v>0</v>
      </c>
      <c r="AE678">
        <f>AND(IF(Metadata!D678="",FALSE,TRUE),OR(exact(Metadata!D678,"Animal"),exact(Metadata!D678,"Fungus"),exact(Metadata!D678,"Plant")))</f>
        <v>0</v>
      </c>
      <c r="AF678">
        <f>AND(IF(Metadata!E678="",FALSE,TRUE),OR(exact(Metadata!E678,"Plant secretion"),exact(Metadata!E678,"Plant rhizosphere"),exact(Metadata!E678,"Plant surface"),exact(Metadata!E678,"Plant corpus"),exact(Metadata!E678,"Fungus surface"),exact(Metadata!E678,"Fungus corpus"),exact(Metadata!E678,"Animal surface"),exact(Metadata!E678,"Animal proximal gut"),exact(Metadata!E678,"Animal corpus"),exact(Metadata!E678,"Animal distal gut"),exact(Metadata!E678,"Animal secretion")))</f>
        <v>0</v>
      </c>
      <c r="AG678">
        <f>OR(AND(IF(Metadata!F678="",FALSE,TRUE),OR(exact(Metadata!F678,"not collected"),exact(Metadata!F678,"not provided"),exact(Metadata!F678,"restricted access"))),AND(IF(Metadata!F678="",FALSE,TRUE),OR(exact(Metadata!F678,"organism-associated habitat"),exact(Metadata!F678,"plant-associated habitat"),exact(Metadata!F678,"animal-associated habitat"),exact(Metadata!F678,"insecta-associated habitat"),exact(Metadata!F678,"mammalia-associated habitat"),exact(Metadata!F678,"human-associated habitat"),exact(Metadata!F678,"livestock-associated habitat"))))</f>
        <v>0</v>
      </c>
      <c r="AH678">
        <f>AND(IF(Metadata!G678="",FALSE,TRUE),exact(Metadata!G678,"host-associated"))</f>
        <v>0</v>
      </c>
      <c r="AI678">
        <f>OR(AND(IF(Metadata!H678="",FALSE,TRUE),OR(exact(Metadata!H678,"not collected"),exact(Metadata!H678,"not provided"))),AND(IF(Metadata!H678="",FALSE,ISNUMBER(VALUE(Metadata!H678))),Metadata!H678&gt;0))</f>
        <v>0</v>
      </c>
      <c r="AJ678">
        <f>AND(IF(Metadata!I678="",FALSE,TRUE),exact(Metadata!I678,"years"))</f>
        <v>0</v>
      </c>
      <c r="AK678">
        <f>IF(Metadata!J678="",FALSE,TRUE)</f>
        <v>0</v>
      </c>
      <c r="AL678">
        <f>OR(AND(IF(Metadata!K678="",FALSE,TRUE),OR(exact(Metadata!K678,"not collected"),exact(Metadata!K678,"not provided"))),AND(IF(Metadata!K678="",FALSE,ISNUMBER(VALUE(Metadata!K678))),Metadata!K678&gt;0))</f>
        <v>0</v>
      </c>
      <c r="AM678">
        <f>AND(IF(Metadata!L678="",FALSE,TRUE),exact(Metadata!L678,"cm"))</f>
        <v>0</v>
      </c>
      <c r="AN678">
        <f>IF(Metadata!M678="",FALSE,TRUE)</f>
        <v>0</v>
      </c>
      <c r="AO678">
        <f>OR(AND(IF(Metadata!N678="",FALSE,TRUE),OR(exact(Metadata!N678,"not applicable"),exact(Metadata!N678,"not collected"),exact(Metadata!N678,"not provided"))),AND(IF(Metadata!N678="",FALSE,IF(ISERROR(INT(Metadata!N678)),FALSE,INT(Metadata!N678)=Metadata!N678)),Metadata!N678&gt;0))</f>
        <v>0</v>
      </c>
      <c r="AP678">
        <f>OR(AND(IF(Metadata!O678="",FALSE,TRUE),OR(exact(Metadata!O678,"not collected"),exact(Metadata!O678,"not provided"))),AND(IF(Metadata!O678="",FALSE,ISNUMBER(VALUE(Metadata!O678))),Metadata!O678&gt;0))</f>
        <v>0</v>
      </c>
      <c r="AQ678">
        <f>AND(IF(Metadata!P678="",FALSE,TRUE),exact(Metadata!P678,"kg"))</f>
        <v>0</v>
      </c>
      <c r="AR678">
        <f>OR(AND(IF(Metadata!Q678="",FALSE,TRUE),OR(exact(Metadata!Q678,"not applicable"),exact(Metadata!Q678,"not collected"),exact(Metadata!Q678,"not provided"),exact(Metadata!Q678,"restricted access"))),IF(Metadata!Q678="",FALSE,IF(ISERROR(INT(Metadata!Q678)),FALSE,INT(Metadata!Q678)=Metadata!Q678)))</f>
        <v>0</v>
      </c>
      <c r="AS678">
        <f>AND(IF(Metadata!R678="",FALSE,TRUE),exact(Metadata!R678,"Not applicable"))</f>
        <v>0</v>
      </c>
    </row>
    <row r="679" spans="1:45">
      <c r="A679" s="4">
        <f>IF(B679=" "," ",HYPERLINK(CONCATENATE("#metadata!",ADDRESS(INDEX($X$2:$X$1001,MATCH(ROWS($V$2:V679),$V$2:$V$1001,0),0),2)),INDEX($AA$2:$AA$1001,MATCH(ROWS($V$2:V679),$V$2:$V$1001,0),0)))</f>
        <v>0</v>
      </c>
      <c r="B679" s="5">
        <f>IF(OR(INDEX($W$2:$W$1001,MATCH(ROWS($V$2:V679),$V$2:$V$1001,0),1)&gt;=100000,INDEX($AC$1005:$AS$1005,1,MATCH(COLUMNS($AC$1006:AC1006),$AC$1006:$AS$1006,0))&gt;=100000), " ",IF(INDEX($AC$2:$AS$1001,MATCH(ROWS($V$2:V679),$V$2:$V$1001,0),MATCH(COLUMNS($AC$1006:AC1006),$AC$1006:$AS$1006,0)), HYPERLINK("#",""), HYPERLINK(CONCATENATE("#Metadata!", ADDRESS(INDEX($X$2:$X$1001,MATCH(ROWS($V$2:V679),$V$2:$V$1001,0),0), INDEX($AC$1004:$AS$1004,1,MATCH(COLUMNS($AC$1006:AC1006),$AC$1006:$AS$1006,0)))),"Fix")))</f>
        <v>0</v>
      </c>
      <c r="C679" s="5">
        <f>IF(OR(INDEX($W$2:$W$1001,MATCH(ROWS($V$2:V679),$V$2:$V$1001,0),1)&gt;=100000,INDEX($AC$1005:$AS$1005,1,MATCH(COLUMNS($AC$1006:AD1006),$AC$1006:$AS$1006,0))&gt;=100000), " ",IF(INDEX($AC$2:$AS$1001,MATCH(ROWS($V$2:V679),$V$2:$V$1001,0),MATCH(COLUMNS($AC$1006:AD1006),$AC$1006:$AS$1006,0)), HYPERLINK("#",""), HYPERLINK(CONCATENATE("#Metadata!", ADDRESS(INDEX($X$2:$X$1001,MATCH(ROWS($V$2:V679),$V$2:$V$1001,0),0), INDEX($AC$1004:$AS$1004,1,MATCH(COLUMNS($AC$1006:AD1006),$AC$1006:$AS$1006,0)))),"Fix")))</f>
        <v>0</v>
      </c>
      <c r="D679" s="5">
        <f>IF(OR(INDEX($W$2:$W$1001,MATCH(ROWS($V$2:V679),$V$2:$V$1001,0),1)&gt;=100000,INDEX($AC$1005:$AS$1005,1,MATCH(COLUMNS($AC$1006:AE1006),$AC$1006:$AS$1006,0))&gt;=100000), " ",IF(INDEX($AC$2:$AS$1001,MATCH(ROWS($V$2:V679),$V$2:$V$1001,0),MATCH(COLUMNS($AC$1006:AE1006),$AC$1006:$AS$1006,0)), HYPERLINK("#",""), HYPERLINK(CONCATENATE("#Metadata!", ADDRESS(INDEX($X$2:$X$1001,MATCH(ROWS($V$2:V679),$V$2:$V$1001,0),0), INDEX($AC$1004:$AS$1004,1,MATCH(COLUMNS($AC$1006:AE1006),$AC$1006:$AS$1006,0)))),"Fix")))</f>
        <v>0</v>
      </c>
      <c r="E679" s="5">
        <f>IF(OR(INDEX($W$2:$W$1001,MATCH(ROWS($V$2:V679),$V$2:$V$1001,0),1)&gt;=100000,INDEX($AC$1005:$AS$1005,1,MATCH(COLUMNS($AC$1006:AF1006),$AC$1006:$AS$1006,0))&gt;=100000), " ",IF(INDEX($AC$2:$AS$1001,MATCH(ROWS($V$2:V679),$V$2:$V$1001,0),MATCH(COLUMNS($AC$1006:AF1006),$AC$1006:$AS$1006,0)), HYPERLINK("#",""), HYPERLINK(CONCATENATE("#Metadata!", ADDRESS(INDEX($X$2:$X$1001,MATCH(ROWS($V$2:V679),$V$2:$V$1001,0),0), INDEX($AC$1004:$AS$1004,1,MATCH(COLUMNS($AC$1006:AF1006),$AC$1006:$AS$1006,0)))),"Fix")))</f>
        <v>0</v>
      </c>
      <c r="F679" s="5">
        <f>IF(OR(INDEX($W$2:$W$1001,MATCH(ROWS($V$2:V679),$V$2:$V$1001,0),1)&gt;=100000,INDEX($AC$1005:$AS$1005,1,MATCH(COLUMNS($AC$1006:AG1006),$AC$1006:$AS$1006,0))&gt;=100000), " ",IF(INDEX($AC$2:$AS$1001,MATCH(ROWS($V$2:V679),$V$2:$V$1001,0),MATCH(COLUMNS($AC$1006:AG1006),$AC$1006:$AS$1006,0)), HYPERLINK("#",""), HYPERLINK(CONCATENATE("#Metadata!", ADDRESS(INDEX($X$2:$X$1001,MATCH(ROWS($V$2:V679),$V$2:$V$1001,0),0), INDEX($AC$1004:$AS$1004,1,MATCH(COLUMNS($AC$1006:AG1006),$AC$1006:$AS$1006,0)))),"Fix")))</f>
        <v>0</v>
      </c>
      <c r="G679" s="5">
        <f>IF(OR(INDEX($W$2:$W$1001,MATCH(ROWS($V$2:V679),$V$2:$V$1001,0),1)&gt;=100000,INDEX($AC$1005:$AS$1005,1,MATCH(COLUMNS($AC$1006:AH1006),$AC$1006:$AS$1006,0))&gt;=100000), " ",IF(INDEX($AC$2:$AS$1001,MATCH(ROWS($V$2:V679),$V$2:$V$1001,0),MATCH(COLUMNS($AC$1006:AH1006),$AC$1006:$AS$1006,0)), HYPERLINK("#",""), HYPERLINK(CONCATENATE("#Metadata!", ADDRESS(INDEX($X$2:$X$1001,MATCH(ROWS($V$2:V679),$V$2:$V$1001,0),0), INDEX($AC$1004:$AS$1004,1,MATCH(COLUMNS($AC$1006:AH1006),$AC$1006:$AS$1006,0)))),"Fix")))</f>
        <v>0</v>
      </c>
      <c r="H679" s="5">
        <f>IF(OR(INDEX($W$2:$W$1001,MATCH(ROWS($V$2:V679),$V$2:$V$1001,0),1)&gt;=100000,INDEX($AC$1005:$AS$1005,1,MATCH(COLUMNS($AC$1006:AI1006),$AC$1006:$AS$1006,0))&gt;=100000), " ",IF(INDEX($AC$2:$AS$1001,MATCH(ROWS($V$2:V679),$V$2:$V$1001,0),MATCH(COLUMNS($AC$1006:AI1006),$AC$1006:$AS$1006,0)), HYPERLINK("#",""), HYPERLINK(CONCATENATE("#Metadata!", ADDRESS(INDEX($X$2:$X$1001,MATCH(ROWS($V$2:V679),$V$2:$V$1001,0),0), INDEX($AC$1004:$AS$1004,1,MATCH(COLUMNS($AC$1006:AI1006),$AC$1006:$AS$1006,0)))),"Fix")))</f>
        <v>0</v>
      </c>
      <c r="I679" s="5">
        <f>IF(OR(INDEX($W$2:$W$1001,MATCH(ROWS($V$2:V679),$V$2:$V$1001,0),1)&gt;=100000,INDEX($AC$1005:$AS$1005,1,MATCH(COLUMNS($AC$1006:AJ1006),$AC$1006:$AS$1006,0))&gt;=100000), " ",IF(INDEX($AC$2:$AS$1001,MATCH(ROWS($V$2:V679),$V$2:$V$1001,0),MATCH(COLUMNS($AC$1006:AJ1006),$AC$1006:$AS$1006,0)), HYPERLINK("#",""), HYPERLINK(CONCATENATE("#Metadata!", ADDRESS(INDEX($X$2:$X$1001,MATCH(ROWS($V$2:V679),$V$2:$V$1001,0),0), INDEX($AC$1004:$AS$1004,1,MATCH(COLUMNS($AC$1006:AJ1006),$AC$1006:$AS$1006,0)))),"Fix")))</f>
        <v>0</v>
      </c>
      <c r="J679" s="5">
        <f>IF(OR(INDEX($W$2:$W$1001,MATCH(ROWS($V$2:V679),$V$2:$V$1001,0),1)&gt;=100000,INDEX($AC$1005:$AS$1005,1,MATCH(COLUMNS($AC$1006:AK1006),$AC$1006:$AS$1006,0))&gt;=100000), " ",IF(INDEX($AC$2:$AS$1001,MATCH(ROWS($V$2:V679),$V$2:$V$1001,0),MATCH(COLUMNS($AC$1006:AK1006),$AC$1006:$AS$1006,0)), HYPERLINK("#",""), HYPERLINK(CONCATENATE("#Metadata!", ADDRESS(INDEX($X$2:$X$1001,MATCH(ROWS($V$2:V679),$V$2:$V$1001,0),0), INDEX($AC$1004:$AS$1004,1,MATCH(COLUMNS($AC$1006:AK1006),$AC$1006:$AS$1006,0)))),"Fix")))</f>
        <v>0</v>
      </c>
      <c r="K679" s="5">
        <f>IF(OR(INDEX($W$2:$W$1001,MATCH(ROWS($V$2:V679),$V$2:$V$1001,0),1)&gt;=100000,INDEX($AC$1005:$AS$1005,1,MATCH(COLUMNS($AC$1006:AL1006),$AC$1006:$AS$1006,0))&gt;=100000), " ",IF(INDEX($AC$2:$AS$1001,MATCH(ROWS($V$2:V679),$V$2:$V$1001,0),MATCH(COLUMNS($AC$1006:AL1006),$AC$1006:$AS$1006,0)), HYPERLINK("#",""), HYPERLINK(CONCATENATE("#Metadata!", ADDRESS(INDEX($X$2:$X$1001,MATCH(ROWS($V$2:V679),$V$2:$V$1001,0),0), INDEX($AC$1004:$AS$1004,1,MATCH(COLUMNS($AC$1006:AL1006),$AC$1006:$AS$1006,0)))),"Fix")))</f>
        <v>0</v>
      </c>
      <c r="L679" s="5">
        <f>IF(OR(INDEX($W$2:$W$1001,MATCH(ROWS($V$2:V679),$V$2:$V$1001,0),1)&gt;=100000,INDEX($AC$1005:$AS$1005,1,MATCH(COLUMNS($AC$1006:AM1006),$AC$1006:$AS$1006,0))&gt;=100000), " ",IF(INDEX($AC$2:$AS$1001,MATCH(ROWS($V$2:V679),$V$2:$V$1001,0),MATCH(COLUMNS($AC$1006:AM1006),$AC$1006:$AS$1006,0)), HYPERLINK("#",""), HYPERLINK(CONCATENATE("#Metadata!", ADDRESS(INDEX($X$2:$X$1001,MATCH(ROWS($V$2:V679),$V$2:$V$1001,0),0), INDEX($AC$1004:$AS$1004,1,MATCH(COLUMNS($AC$1006:AM1006),$AC$1006:$AS$1006,0)))),"Fix")))</f>
        <v>0</v>
      </c>
      <c r="M679" s="5">
        <f>IF(OR(INDEX($W$2:$W$1001,MATCH(ROWS($V$2:V679),$V$2:$V$1001,0),1)&gt;=100000,INDEX($AC$1005:$AS$1005,1,MATCH(COLUMNS($AC$1006:AN1006),$AC$1006:$AS$1006,0))&gt;=100000), " ",IF(INDEX($AC$2:$AS$1001,MATCH(ROWS($V$2:V679),$V$2:$V$1001,0),MATCH(COLUMNS($AC$1006:AN1006),$AC$1006:$AS$1006,0)), HYPERLINK("#",""), HYPERLINK(CONCATENATE("#Metadata!", ADDRESS(INDEX($X$2:$X$1001,MATCH(ROWS($V$2:V679),$V$2:$V$1001,0),0), INDEX($AC$1004:$AS$1004,1,MATCH(COLUMNS($AC$1006:AN1006),$AC$1006:$AS$1006,0)))),"Fix")))</f>
        <v>0</v>
      </c>
      <c r="N679" s="5">
        <f>IF(OR(INDEX($W$2:$W$1001,MATCH(ROWS($V$2:V679),$V$2:$V$1001,0),1)&gt;=100000,INDEX($AC$1005:$AS$1005,1,MATCH(COLUMNS($AC$1006:AO1006),$AC$1006:$AS$1006,0))&gt;=100000), " ",IF(INDEX($AC$2:$AS$1001,MATCH(ROWS($V$2:V679),$V$2:$V$1001,0),MATCH(COLUMNS($AC$1006:AO1006),$AC$1006:$AS$1006,0)), HYPERLINK("#",""), HYPERLINK(CONCATENATE("#Metadata!", ADDRESS(INDEX($X$2:$X$1001,MATCH(ROWS($V$2:V679),$V$2:$V$1001,0),0), INDEX($AC$1004:$AS$1004,1,MATCH(COLUMNS($AC$1006:AO1006),$AC$1006:$AS$1006,0)))),"Fix")))</f>
        <v>0</v>
      </c>
      <c r="O679" s="5">
        <f>IF(OR(INDEX($W$2:$W$1001,MATCH(ROWS($V$2:V679),$V$2:$V$1001,0),1)&gt;=100000,INDEX($AC$1005:$AS$1005,1,MATCH(COLUMNS($AC$1006:AP1006),$AC$1006:$AS$1006,0))&gt;=100000), " ",IF(INDEX($AC$2:$AS$1001,MATCH(ROWS($V$2:V679),$V$2:$V$1001,0),MATCH(COLUMNS($AC$1006:AP1006),$AC$1006:$AS$1006,0)), HYPERLINK("#",""), HYPERLINK(CONCATENATE("#Metadata!", ADDRESS(INDEX($X$2:$X$1001,MATCH(ROWS($V$2:V679),$V$2:$V$1001,0),0), INDEX($AC$1004:$AS$1004,1,MATCH(COLUMNS($AC$1006:AP1006),$AC$1006:$AS$1006,0)))),"Fix")))</f>
        <v>0</v>
      </c>
      <c r="P679" s="5">
        <f>IF(OR(INDEX($W$2:$W$1001,MATCH(ROWS($V$2:V679),$V$2:$V$1001,0),1)&gt;=100000,INDEX($AC$1005:$AS$1005,1,MATCH(COLUMNS($AC$1006:AQ1006),$AC$1006:$AS$1006,0))&gt;=100000), " ",IF(INDEX($AC$2:$AS$1001,MATCH(ROWS($V$2:V679),$V$2:$V$1001,0),MATCH(COLUMNS($AC$1006:AQ1006),$AC$1006:$AS$1006,0)), HYPERLINK("#",""), HYPERLINK(CONCATENATE("#Metadata!", ADDRESS(INDEX($X$2:$X$1001,MATCH(ROWS($V$2:V679),$V$2:$V$1001,0),0), INDEX($AC$1004:$AS$1004,1,MATCH(COLUMNS($AC$1006:AQ1006),$AC$1006:$AS$1006,0)))),"Fix")))</f>
        <v>0</v>
      </c>
      <c r="Q679" s="5">
        <f>IF(OR(INDEX($W$2:$W$1001,MATCH(ROWS($V$2:V679),$V$2:$V$1001,0),1)&gt;=100000,INDEX($AC$1005:$AS$1005,1,MATCH(COLUMNS($AC$1006:AR1006),$AC$1006:$AS$1006,0))&gt;=100000), " ",IF(INDEX($AC$2:$AS$1001,MATCH(ROWS($V$2:V679),$V$2:$V$1001,0),MATCH(COLUMNS($AC$1006:AR1006),$AC$1006:$AS$1006,0)), HYPERLINK("#",""), HYPERLINK(CONCATENATE("#Metadata!", ADDRESS(INDEX($X$2:$X$1001,MATCH(ROWS($V$2:V679),$V$2:$V$1001,0),0), INDEX($AC$1004:$AS$1004,1,MATCH(COLUMNS($AC$1006:AR1006),$AC$1006:$AS$1006,0)))),"Fix")))</f>
        <v>0</v>
      </c>
      <c r="R679" s="5">
        <f>IF(OR(INDEX($W$2:$W$1001,MATCH(ROWS($V$2:V679),$V$2:$V$1001,0),1)&gt;=100000,INDEX($AC$1005:$AS$1005,1,MATCH(COLUMNS($AC$1006:AS1006),$AC$1006:$AS$1006,0))&gt;=100000), " ",IF(INDEX($AC$2:$AS$1001,MATCH(ROWS($V$2:V679),$V$2:$V$1001,0),MATCH(COLUMNS($AC$1006:AS1006),$AC$1006:$AS$1006,0)), HYPERLINK("#",""), HYPERLINK(CONCATENATE("#Metadata!", ADDRESS(INDEX($X$2:$X$1001,MATCH(ROWS($V$2:V679),$V$2:$V$1001,0),0), INDEX($AC$1004:$AS$1004,1,MATCH(COLUMNS($AC$1006:AS1006),$AC$1006:$AS$1006,0)))),"Fix")))</f>
        <v>0</v>
      </c>
      <c r="V679">
        <v>0</v>
      </c>
      <c r="W679">
        <v>0</v>
      </c>
      <c r="X679">
        <v>0</v>
      </c>
      <c r="Y679">
        <f>IF(Z679,TRUE,AND(AC679:AS679))</f>
        <v>0</v>
      </c>
      <c r="Z679">
        <f>COUNTBLANK(Metadata!B679:R679)=COLUMNS(Metadata!B679:R679)</f>
        <v>0</v>
      </c>
      <c r="AA679">
        <v>0</v>
      </c>
      <c r="AC679">
        <f>AND(IF(Metadata!B679="",FALSE,TRUE),COUNTIF(Metadata!B:B, Metadata!B679) = 1,NOT(ISERROR(SUMPRODUCT(SEARCH(MID(Metadata!B679,ROW(INDIRECT("1:"&amp;LEN(Metadata!B679))), 1),"0123456789abcdefghijklmnopqrstuvwxyzABCDEFGHIJKLMNOPQRSTUVWXYZ.")))))</f>
        <v>0</v>
      </c>
      <c r="AD679">
        <f>AND(IF(Metadata!C679="",FALSE,TRUE),exact(Metadata!C679,"Host-associated"))</f>
        <v>0</v>
      </c>
      <c r="AE679">
        <f>AND(IF(Metadata!D679="",FALSE,TRUE),OR(exact(Metadata!D679,"Animal"),exact(Metadata!D679,"Fungus"),exact(Metadata!D679,"Plant")))</f>
        <v>0</v>
      </c>
      <c r="AF679">
        <f>AND(IF(Metadata!E679="",FALSE,TRUE),OR(exact(Metadata!E679,"Plant secretion"),exact(Metadata!E679,"Plant rhizosphere"),exact(Metadata!E679,"Plant surface"),exact(Metadata!E679,"Plant corpus"),exact(Metadata!E679,"Fungus surface"),exact(Metadata!E679,"Fungus corpus"),exact(Metadata!E679,"Animal surface"),exact(Metadata!E679,"Animal proximal gut"),exact(Metadata!E679,"Animal corpus"),exact(Metadata!E679,"Animal distal gut"),exact(Metadata!E679,"Animal secretion")))</f>
        <v>0</v>
      </c>
      <c r="AG679">
        <f>OR(AND(IF(Metadata!F679="",FALSE,TRUE),OR(exact(Metadata!F679,"not collected"),exact(Metadata!F679,"not provided"),exact(Metadata!F679,"restricted access"))),AND(IF(Metadata!F679="",FALSE,TRUE),OR(exact(Metadata!F679,"organism-associated habitat"),exact(Metadata!F679,"plant-associated habitat"),exact(Metadata!F679,"animal-associated habitat"),exact(Metadata!F679,"insecta-associated habitat"),exact(Metadata!F679,"mammalia-associated habitat"),exact(Metadata!F679,"human-associated habitat"),exact(Metadata!F679,"livestock-associated habitat"))))</f>
        <v>0</v>
      </c>
      <c r="AH679">
        <f>AND(IF(Metadata!G679="",FALSE,TRUE),exact(Metadata!G679,"host-associated"))</f>
        <v>0</v>
      </c>
      <c r="AI679">
        <f>OR(AND(IF(Metadata!H679="",FALSE,TRUE),OR(exact(Metadata!H679,"not collected"),exact(Metadata!H679,"not provided"))),AND(IF(Metadata!H679="",FALSE,ISNUMBER(VALUE(Metadata!H679))),Metadata!H679&gt;0))</f>
        <v>0</v>
      </c>
      <c r="AJ679">
        <f>AND(IF(Metadata!I679="",FALSE,TRUE),exact(Metadata!I679,"years"))</f>
        <v>0</v>
      </c>
      <c r="AK679">
        <f>IF(Metadata!J679="",FALSE,TRUE)</f>
        <v>0</v>
      </c>
      <c r="AL679">
        <f>OR(AND(IF(Metadata!K679="",FALSE,TRUE),OR(exact(Metadata!K679,"not collected"),exact(Metadata!K679,"not provided"))),AND(IF(Metadata!K679="",FALSE,ISNUMBER(VALUE(Metadata!K679))),Metadata!K679&gt;0))</f>
        <v>0</v>
      </c>
      <c r="AM679">
        <f>AND(IF(Metadata!L679="",FALSE,TRUE),exact(Metadata!L679,"cm"))</f>
        <v>0</v>
      </c>
      <c r="AN679">
        <f>IF(Metadata!M679="",FALSE,TRUE)</f>
        <v>0</v>
      </c>
      <c r="AO679">
        <f>OR(AND(IF(Metadata!N679="",FALSE,TRUE),OR(exact(Metadata!N679,"not applicable"),exact(Metadata!N679,"not collected"),exact(Metadata!N679,"not provided"))),AND(IF(Metadata!N679="",FALSE,IF(ISERROR(INT(Metadata!N679)),FALSE,INT(Metadata!N679)=Metadata!N679)),Metadata!N679&gt;0))</f>
        <v>0</v>
      </c>
      <c r="AP679">
        <f>OR(AND(IF(Metadata!O679="",FALSE,TRUE),OR(exact(Metadata!O679,"not collected"),exact(Metadata!O679,"not provided"))),AND(IF(Metadata!O679="",FALSE,ISNUMBER(VALUE(Metadata!O679))),Metadata!O679&gt;0))</f>
        <v>0</v>
      </c>
      <c r="AQ679">
        <f>AND(IF(Metadata!P679="",FALSE,TRUE),exact(Metadata!P679,"kg"))</f>
        <v>0</v>
      </c>
      <c r="AR679">
        <f>OR(AND(IF(Metadata!Q679="",FALSE,TRUE),OR(exact(Metadata!Q679,"not applicable"),exact(Metadata!Q679,"not collected"),exact(Metadata!Q679,"not provided"),exact(Metadata!Q679,"restricted access"))),IF(Metadata!Q679="",FALSE,IF(ISERROR(INT(Metadata!Q679)),FALSE,INT(Metadata!Q679)=Metadata!Q679)))</f>
        <v>0</v>
      </c>
      <c r="AS679">
        <f>AND(IF(Metadata!R679="",FALSE,TRUE),exact(Metadata!R679,"Not applicable"))</f>
        <v>0</v>
      </c>
    </row>
    <row r="680" spans="1:45">
      <c r="A680" s="4">
        <f>IF(B680=" "," ",HYPERLINK(CONCATENATE("#metadata!",ADDRESS(INDEX($X$2:$X$1001,MATCH(ROWS($V$2:V680),$V$2:$V$1001,0),0),2)),INDEX($AA$2:$AA$1001,MATCH(ROWS($V$2:V680),$V$2:$V$1001,0),0)))</f>
        <v>0</v>
      </c>
      <c r="B680" s="5">
        <f>IF(OR(INDEX($W$2:$W$1001,MATCH(ROWS($V$2:V680),$V$2:$V$1001,0),1)&gt;=100000,INDEX($AC$1005:$AS$1005,1,MATCH(COLUMNS($AC$1006:AC1006),$AC$1006:$AS$1006,0))&gt;=100000), " ",IF(INDEX($AC$2:$AS$1001,MATCH(ROWS($V$2:V680),$V$2:$V$1001,0),MATCH(COLUMNS($AC$1006:AC1006),$AC$1006:$AS$1006,0)), HYPERLINK("#",""), HYPERLINK(CONCATENATE("#Metadata!", ADDRESS(INDEX($X$2:$X$1001,MATCH(ROWS($V$2:V680),$V$2:$V$1001,0),0), INDEX($AC$1004:$AS$1004,1,MATCH(COLUMNS($AC$1006:AC1006),$AC$1006:$AS$1006,0)))),"Fix")))</f>
        <v>0</v>
      </c>
      <c r="C680" s="5">
        <f>IF(OR(INDEX($W$2:$W$1001,MATCH(ROWS($V$2:V680),$V$2:$V$1001,0),1)&gt;=100000,INDEX($AC$1005:$AS$1005,1,MATCH(COLUMNS($AC$1006:AD1006),$AC$1006:$AS$1006,0))&gt;=100000), " ",IF(INDEX($AC$2:$AS$1001,MATCH(ROWS($V$2:V680),$V$2:$V$1001,0),MATCH(COLUMNS($AC$1006:AD1006),$AC$1006:$AS$1006,0)), HYPERLINK("#",""), HYPERLINK(CONCATENATE("#Metadata!", ADDRESS(INDEX($X$2:$X$1001,MATCH(ROWS($V$2:V680),$V$2:$V$1001,0),0), INDEX($AC$1004:$AS$1004,1,MATCH(COLUMNS($AC$1006:AD1006),$AC$1006:$AS$1006,0)))),"Fix")))</f>
        <v>0</v>
      </c>
      <c r="D680" s="5">
        <f>IF(OR(INDEX($W$2:$W$1001,MATCH(ROWS($V$2:V680),$V$2:$V$1001,0),1)&gt;=100000,INDEX($AC$1005:$AS$1005,1,MATCH(COLUMNS($AC$1006:AE1006),$AC$1006:$AS$1006,0))&gt;=100000), " ",IF(INDEX($AC$2:$AS$1001,MATCH(ROWS($V$2:V680),$V$2:$V$1001,0),MATCH(COLUMNS($AC$1006:AE1006),$AC$1006:$AS$1006,0)), HYPERLINK("#",""), HYPERLINK(CONCATENATE("#Metadata!", ADDRESS(INDEX($X$2:$X$1001,MATCH(ROWS($V$2:V680),$V$2:$V$1001,0),0), INDEX($AC$1004:$AS$1004,1,MATCH(COLUMNS($AC$1006:AE1006),$AC$1006:$AS$1006,0)))),"Fix")))</f>
        <v>0</v>
      </c>
      <c r="E680" s="5">
        <f>IF(OR(INDEX($W$2:$W$1001,MATCH(ROWS($V$2:V680),$V$2:$V$1001,0),1)&gt;=100000,INDEX($AC$1005:$AS$1005,1,MATCH(COLUMNS($AC$1006:AF1006),$AC$1006:$AS$1006,0))&gt;=100000), " ",IF(INDEX($AC$2:$AS$1001,MATCH(ROWS($V$2:V680),$V$2:$V$1001,0),MATCH(COLUMNS($AC$1006:AF1006),$AC$1006:$AS$1006,0)), HYPERLINK("#",""), HYPERLINK(CONCATENATE("#Metadata!", ADDRESS(INDEX($X$2:$X$1001,MATCH(ROWS($V$2:V680),$V$2:$V$1001,0),0), INDEX($AC$1004:$AS$1004,1,MATCH(COLUMNS($AC$1006:AF1006),$AC$1006:$AS$1006,0)))),"Fix")))</f>
        <v>0</v>
      </c>
      <c r="F680" s="5">
        <f>IF(OR(INDEX($W$2:$W$1001,MATCH(ROWS($V$2:V680),$V$2:$V$1001,0),1)&gt;=100000,INDEX($AC$1005:$AS$1005,1,MATCH(COLUMNS($AC$1006:AG1006),$AC$1006:$AS$1006,0))&gt;=100000), " ",IF(INDEX($AC$2:$AS$1001,MATCH(ROWS($V$2:V680),$V$2:$V$1001,0),MATCH(COLUMNS($AC$1006:AG1006),$AC$1006:$AS$1006,0)), HYPERLINK("#",""), HYPERLINK(CONCATENATE("#Metadata!", ADDRESS(INDEX($X$2:$X$1001,MATCH(ROWS($V$2:V680),$V$2:$V$1001,0),0), INDEX($AC$1004:$AS$1004,1,MATCH(COLUMNS($AC$1006:AG1006),$AC$1006:$AS$1006,0)))),"Fix")))</f>
        <v>0</v>
      </c>
      <c r="G680" s="5">
        <f>IF(OR(INDEX($W$2:$W$1001,MATCH(ROWS($V$2:V680),$V$2:$V$1001,0),1)&gt;=100000,INDEX($AC$1005:$AS$1005,1,MATCH(COLUMNS($AC$1006:AH1006),$AC$1006:$AS$1006,0))&gt;=100000), " ",IF(INDEX($AC$2:$AS$1001,MATCH(ROWS($V$2:V680),$V$2:$V$1001,0),MATCH(COLUMNS($AC$1006:AH1006),$AC$1006:$AS$1006,0)), HYPERLINK("#",""), HYPERLINK(CONCATENATE("#Metadata!", ADDRESS(INDEX($X$2:$X$1001,MATCH(ROWS($V$2:V680),$V$2:$V$1001,0),0), INDEX($AC$1004:$AS$1004,1,MATCH(COLUMNS($AC$1006:AH1006),$AC$1006:$AS$1006,0)))),"Fix")))</f>
        <v>0</v>
      </c>
      <c r="H680" s="5">
        <f>IF(OR(INDEX($W$2:$W$1001,MATCH(ROWS($V$2:V680),$V$2:$V$1001,0),1)&gt;=100000,INDEX($AC$1005:$AS$1005,1,MATCH(COLUMNS($AC$1006:AI1006),$AC$1006:$AS$1006,0))&gt;=100000), " ",IF(INDEX($AC$2:$AS$1001,MATCH(ROWS($V$2:V680),$V$2:$V$1001,0),MATCH(COLUMNS($AC$1006:AI1006),$AC$1006:$AS$1006,0)), HYPERLINK("#",""), HYPERLINK(CONCATENATE("#Metadata!", ADDRESS(INDEX($X$2:$X$1001,MATCH(ROWS($V$2:V680),$V$2:$V$1001,0),0), INDEX($AC$1004:$AS$1004,1,MATCH(COLUMNS($AC$1006:AI1006),$AC$1006:$AS$1006,0)))),"Fix")))</f>
        <v>0</v>
      </c>
      <c r="I680" s="5">
        <f>IF(OR(INDEX($W$2:$W$1001,MATCH(ROWS($V$2:V680),$V$2:$V$1001,0),1)&gt;=100000,INDEX($AC$1005:$AS$1005,1,MATCH(COLUMNS($AC$1006:AJ1006),$AC$1006:$AS$1006,0))&gt;=100000), " ",IF(INDEX($AC$2:$AS$1001,MATCH(ROWS($V$2:V680),$V$2:$V$1001,0),MATCH(COLUMNS($AC$1006:AJ1006),$AC$1006:$AS$1006,0)), HYPERLINK("#",""), HYPERLINK(CONCATENATE("#Metadata!", ADDRESS(INDEX($X$2:$X$1001,MATCH(ROWS($V$2:V680),$V$2:$V$1001,0),0), INDEX($AC$1004:$AS$1004,1,MATCH(COLUMNS($AC$1006:AJ1006),$AC$1006:$AS$1006,0)))),"Fix")))</f>
        <v>0</v>
      </c>
      <c r="J680" s="5">
        <f>IF(OR(INDEX($W$2:$W$1001,MATCH(ROWS($V$2:V680),$V$2:$V$1001,0),1)&gt;=100000,INDEX($AC$1005:$AS$1005,1,MATCH(COLUMNS($AC$1006:AK1006),$AC$1006:$AS$1006,0))&gt;=100000), " ",IF(INDEX($AC$2:$AS$1001,MATCH(ROWS($V$2:V680),$V$2:$V$1001,0),MATCH(COLUMNS($AC$1006:AK1006),$AC$1006:$AS$1006,0)), HYPERLINK("#",""), HYPERLINK(CONCATENATE("#Metadata!", ADDRESS(INDEX($X$2:$X$1001,MATCH(ROWS($V$2:V680),$V$2:$V$1001,0),0), INDEX($AC$1004:$AS$1004,1,MATCH(COLUMNS($AC$1006:AK1006),$AC$1006:$AS$1006,0)))),"Fix")))</f>
        <v>0</v>
      </c>
      <c r="K680" s="5">
        <f>IF(OR(INDEX($W$2:$W$1001,MATCH(ROWS($V$2:V680),$V$2:$V$1001,0),1)&gt;=100000,INDEX($AC$1005:$AS$1005,1,MATCH(COLUMNS($AC$1006:AL1006),$AC$1006:$AS$1006,0))&gt;=100000), " ",IF(INDEX($AC$2:$AS$1001,MATCH(ROWS($V$2:V680),$V$2:$V$1001,0),MATCH(COLUMNS($AC$1006:AL1006),$AC$1006:$AS$1006,0)), HYPERLINK("#",""), HYPERLINK(CONCATENATE("#Metadata!", ADDRESS(INDEX($X$2:$X$1001,MATCH(ROWS($V$2:V680),$V$2:$V$1001,0),0), INDEX($AC$1004:$AS$1004,1,MATCH(COLUMNS($AC$1006:AL1006),$AC$1006:$AS$1006,0)))),"Fix")))</f>
        <v>0</v>
      </c>
      <c r="L680" s="5">
        <f>IF(OR(INDEX($W$2:$W$1001,MATCH(ROWS($V$2:V680),$V$2:$V$1001,0),1)&gt;=100000,INDEX($AC$1005:$AS$1005,1,MATCH(COLUMNS($AC$1006:AM1006),$AC$1006:$AS$1006,0))&gt;=100000), " ",IF(INDEX($AC$2:$AS$1001,MATCH(ROWS($V$2:V680),$V$2:$V$1001,0),MATCH(COLUMNS($AC$1006:AM1006),$AC$1006:$AS$1006,0)), HYPERLINK("#",""), HYPERLINK(CONCATENATE("#Metadata!", ADDRESS(INDEX($X$2:$X$1001,MATCH(ROWS($V$2:V680),$V$2:$V$1001,0),0), INDEX($AC$1004:$AS$1004,1,MATCH(COLUMNS($AC$1006:AM1006),$AC$1006:$AS$1006,0)))),"Fix")))</f>
        <v>0</v>
      </c>
      <c r="M680" s="5">
        <f>IF(OR(INDEX($W$2:$W$1001,MATCH(ROWS($V$2:V680),$V$2:$V$1001,0),1)&gt;=100000,INDEX($AC$1005:$AS$1005,1,MATCH(COLUMNS($AC$1006:AN1006),$AC$1006:$AS$1006,0))&gt;=100000), " ",IF(INDEX($AC$2:$AS$1001,MATCH(ROWS($V$2:V680),$V$2:$V$1001,0),MATCH(COLUMNS($AC$1006:AN1006),$AC$1006:$AS$1006,0)), HYPERLINK("#",""), HYPERLINK(CONCATENATE("#Metadata!", ADDRESS(INDEX($X$2:$X$1001,MATCH(ROWS($V$2:V680),$V$2:$V$1001,0),0), INDEX($AC$1004:$AS$1004,1,MATCH(COLUMNS($AC$1006:AN1006),$AC$1006:$AS$1006,0)))),"Fix")))</f>
        <v>0</v>
      </c>
      <c r="N680" s="5">
        <f>IF(OR(INDEX($W$2:$W$1001,MATCH(ROWS($V$2:V680),$V$2:$V$1001,0),1)&gt;=100000,INDEX($AC$1005:$AS$1005,1,MATCH(COLUMNS($AC$1006:AO1006),$AC$1006:$AS$1006,0))&gt;=100000), " ",IF(INDEX($AC$2:$AS$1001,MATCH(ROWS($V$2:V680),$V$2:$V$1001,0),MATCH(COLUMNS($AC$1006:AO1006),$AC$1006:$AS$1006,0)), HYPERLINK("#",""), HYPERLINK(CONCATENATE("#Metadata!", ADDRESS(INDEX($X$2:$X$1001,MATCH(ROWS($V$2:V680),$V$2:$V$1001,0),0), INDEX($AC$1004:$AS$1004,1,MATCH(COLUMNS($AC$1006:AO1006),$AC$1006:$AS$1006,0)))),"Fix")))</f>
        <v>0</v>
      </c>
      <c r="O680" s="5">
        <f>IF(OR(INDEX($W$2:$W$1001,MATCH(ROWS($V$2:V680),$V$2:$V$1001,0),1)&gt;=100000,INDEX($AC$1005:$AS$1005,1,MATCH(COLUMNS($AC$1006:AP1006),$AC$1006:$AS$1006,0))&gt;=100000), " ",IF(INDEX($AC$2:$AS$1001,MATCH(ROWS($V$2:V680),$V$2:$V$1001,0),MATCH(COLUMNS($AC$1006:AP1006),$AC$1006:$AS$1006,0)), HYPERLINK("#",""), HYPERLINK(CONCATENATE("#Metadata!", ADDRESS(INDEX($X$2:$X$1001,MATCH(ROWS($V$2:V680),$V$2:$V$1001,0),0), INDEX($AC$1004:$AS$1004,1,MATCH(COLUMNS($AC$1006:AP1006),$AC$1006:$AS$1006,0)))),"Fix")))</f>
        <v>0</v>
      </c>
      <c r="P680" s="5">
        <f>IF(OR(INDEX($W$2:$W$1001,MATCH(ROWS($V$2:V680),$V$2:$V$1001,0),1)&gt;=100000,INDEX($AC$1005:$AS$1005,1,MATCH(COLUMNS($AC$1006:AQ1006),$AC$1006:$AS$1006,0))&gt;=100000), " ",IF(INDEX($AC$2:$AS$1001,MATCH(ROWS($V$2:V680),$V$2:$V$1001,0),MATCH(COLUMNS($AC$1006:AQ1006),$AC$1006:$AS$1006,0)), HYPERLINK("#",""), HYPERLINK(CONCATENATE("#Metadata!", ADDRESS(INDEX($X$2:$X$1001,MATCH(ROWS($V$2:V680),$V$2:$V$1001,0),0), INDEX($AC$1004:$AS$1004,1,MATCH(COLUMNS($AC$1006:AQ1006),$AC$1006:$AS$1006,0)))),"Fix")))</f>
        <v>0</v>
      </c>
      <c r="Q680" s="5">
        <f>IF(OR(INDEX($W$2:$W$1001,MATCH(ROWS($V$2:V680),$V$2:$V$1001,0),1)&gt;=100000,INDEX($AC$1005:$AS$1005,1,MATCH(COLUMNS($AC$1006:AR1006),$AC$1006:$AS$1006,0))&gt;=100000), " ",IF(INDEX($AC$2:$AS$1001,MATCH(ROWS($V$2:V680),$V$2:$V$1001,0),MATCH(COLUMNS($AC$1006:AR1006),$AC$1006:$AS$1006,0)), HYPERLINK("#",""), HYPERLINK(CONCATENATE("#Metadata!", ADDRESS(INDEX($X$2:$X$1001,MATCH(ROWS($V$2:V680),$V$2:$V$1001,0),0), INDEX($AC$1004:$AS$1004,1,MATCH(COLUMNS($AC$1006:AR1006),$AC$1006:$AS$1006,0)))),"Fix")))</f>
        <v>0</v>
      </c>
      <c r="R680" s="5">
        <f>IF(OR(INDEX($W$2:$W$1001,MATCH(ROWS($V$2:V680),$V$2:$V$1001,0),1)&gt;=100000,INDEX($AC$1005:$AS$1005,1,MATCH(COLUMNS($AC$1006:AS1006),$AC$1006:$AS$1006,0))&gt;=100000), " ",IF(INDEX($AC$2:$AS$1001,MATCH(ROWS($V$2:V680),$V$2:$V$1001,0),MATCH(COLUMNS($AC$1006:AS1006),$AC$1006:$AS$1006,0)), HYPERLINK("#",""), HYPERLINK(CONCATENATE("#Metadata!", ADDRESS(INDEX($X$2:$X$1001,MATCH(ROWS($V$2:V680),$V$2:$V$1001,0),0), INDEX($AC$1004:$AS$1004,1,MATCH(COLUMNS($AC$1006:AS1006),$AC$1006:$AS$1006,0)))),"Fix")))</f>
        <v>0</v>
      </c>
      <c r="V680">
        <v>0</v>
      </c>
      <c r="W680">
        <v>0</v>
      </c>
      <c r="X680">
        <v>0</v>
      </c>
      <c r="Y680">
        <f>IF(Z680,TRUE,AND(AC680:AS680))</f>
        <v>0</v>
      </c>
      <c r="Z680">
        <f>COUNTBLANK(Metadata!B680:R680)=COLUMNS(Metadata!B680:R680)</f>
        <v>0</v>
      </c>
      <c r="AA680">
        <v>0</v>
      </c>
      <c r="AC680">
        <f>AND(IF(Metadata!B680="",FALSE,TRUE),COUNTIF(Metadata!B:B, Metadata!B680) = 1,NOT(ISERROR(SUMPRODUCT(SEARCH(MID(Metadata!B680,ROW(INDIRECT("1:"&amp;LEN(Metadata!B680))), 1),"0123456789abcdefghijklmnopqrstuvwxyzABCDEFGHIJKLMNOPQRSTUVWXYZ.")))))</f>
        <v>0</v>
      </c>
      <c r="AD680">
        <f>AND(IF(Metadata!C680="",FALSE,TRUE),exact(Metadata!C680,"Host-associated"))</f>
        <v>0</v>
      </c>
      <c r="AE680">
        <f>AND(IF(Metadata!D680="",FALSE,TRUE),OR(exact(Metadata!D680,"Animal"),exact(Metadata!D680,"Fungus"),exact(Metadata!D680,"Plant")))</f>
        <v>0</v>
      </c>
      <c r="AF680">
        <f>AND(IF(Metadata!E680="",FALSE,TRUE),OR(exact(Metadata!E680,"Plant secretion"),exact(Metadata!E680,"Plant rhizosphere"),exact(Metadata!E680,"Plant surface"),exact(Metadata!E680,"Plant corpus"),exact(Metadata!E680,"Fungus surface"),exact(Metadata!E680,"Fungus corpus"),exact(Metadata!E680,"Animal surface"),exact(Metadata!E680,"Animal proximal gut"),exact(Metadata!E680,"Animal corpus"),exact(Metadata!E680,"Animal distal gut"),exact(Metadata!E680,"Animal secretion")))</f>
        <v>0</v>
      </c>
      <c r="AG680">
        <f>OR(AND(IF(Metadata!F680="",FALSE,TRUE),OR(exact(Metadata!F680,"not collected"),exact(Metadata!F680,"not provided"),exact(Metadata!F680,"restricted access"))),AND(IF(Metadata!F680="",FALSE,TRUE),OR(exact(Metadata!F680,"organism-associated habitat"),exact(Metadata!F680,"plant-associated habitat"),exact(Metadata!F680,"animal-associated habitat"),exact(Metadata!F680,"insecta-associated habitat"),exact(Metadata!F680,"mammalia-associated habitat"),exact(Metadata!F680,"human-associated habitat"),exact(Metadata!F680,"livestock-associated habitat"))))</f>
        <v>0</v>
      </c>
      <c r="AH680">
        <f>AND(IF(Metadata!G680="",FALSE,TRUE),exact(Metadata!G680,"host-associated"))</f>
        <v>0</v>
      </c>
      <c r="AI680">
        <f>OR(AND(IF(Metadata!H680="",FALSE,TRUE),OR(exact(Metadata!H680,"not collected"),exact(Metadata!H680,"not provided"))),AND(IF(Metadata!H680="",FALSE,ISNUMBER(VALUE(Metadata!H680))),Metadata!H680&gt;0))</f>
        <v>0</v>
      </c>
      <c r="AJ680">
        <f>AND(IF(Metadata!I680="",FALSE,TRUE),exact(Metadata!I680,"years"))</f>
        <v>0</v>
      </c>
      <c r="AK680">
        <f>IF(Metadata!J680="",FALSE,TRUE)</f>
        <v>0</v>
      </c>
      <c r="AL680">
        <f>OR(AND(IF(Metadata!K680="",FALSE,TRUE),OR(exact(Metadata!K680,"not collected"),exact(Metadata!K680,"not provided"))),AND(IF(Metadata!K680="",FALSE,ISNUMBER(VALUE(Metadata!K680))),Metadata!K680&gt;0))</f>
        <v>0</v>
      </c>
      <c r="AM680">
        <f>AND(IF(Metadata!L680="",FALSE,TRUE),exact(Metadata!L680,"cm"))</f>
        <v>0</v>
      </c>
      <c r="AN680">
        <f>IF(Metadata!M680="",FALSE,TRUE)</f>
        <v>0</v>
      </c>
      <c r="AO680">
        <f>OR(AND(IF(Metadata!N680="",FALSE,TRUE),OR(exact(Metadata!N680,"not applicable"),exact(Metadata!N680,"not collected"),exact(Metadata!N680,"not provided"))),AND(IF(Metadata!N680="",FALSE,IF(ISERROR(INT(Metadata!N680)),FALSE,INT(Metadata!N680)=Metadata!N680)),Metadata!N680&gt;0))</f>
        <v>0</v>
      </c>
      <c r="AP680">
        <f>OR(AND(IF(Metadata!O680="",FALSE,TRUE),OR(exact(Metadata!O680,"not collected"),exact(Metadata!O680,"not provided"))),AND(IF(Metadata!O680="",FALSE,ISNUMBER(VALUE(Metadata!O680))),Metadata!O680&gt;0))</f>
        <v>0</v>
      </c>
      <c r="AQ680">
        <f>AND(IF(Metadata!P680="",FALSE,TRUE),exact(Metadata!P680,"kg"))</f>
        <v>0</v>
      </c>
      <c r="AR680">
        <f>OR(AND(IF(Metadata!Q680="",FALSE,TRUE),OR(exact(Metadata!Q680,"not applicable"),exact(Metadata!Q680,"not collected"),exact(Metadata!Q680,"not provided"),exact(Metadata!Q680,"restricted access"))),IF(Metadata!Q680="",FALSE,IF(ISERROR(INT(Metadata!Q680)),FALSE,INT(Metadata!Q680)=Metadata!Q680)))</f>
        <v>0</v>
      </c>
      <c r="AS680">
        <f>AND(IF(Metadata!R680="",FALSE,TRUE),exact(Metadata!R680,"Not applicable"))</f>
        <v>0</v>
      </c>
    </row>
    <row r="681" spans="1:45">
      <c r="A681" s="4">
        <f>IF(B681=" "," ",HYPERLINK(CONCATENATE("#metadata!",ADDRESS(INDEX($X$2:$X$1001,MATCH(ROWS($V$2:V681),$V$2:$V$1001,0),0),2)),INDEX($AA$2:$AA$1001,MATCH(ROWS($V$2:V681),$V$2:$V$1001,0),0)))</f>
        <v>0</v>
      </c>
      <c r="B681" s="5">
        <f>IF(OR(INDEX($W$2:$W$1001,MATCH(ROWS($V$2:V681),$V$2:$V$1001,0),1)&gt;=100000,INDEX($AC$1005:$AS$1005,1,MATCH(COLUMNS($AC$1006:AC1006),$AC$1006:$AS$1006,0))&gt;=100000), " ",IF(INDEX($AC$2:$AS$1001,MATCH(ROWS($V$2:V681),$V$2:$V$1001,0),MATCH(COLUMNS($AC$1006:AC1006),$AC$1006:$AS$1006,0)), HYPERLINK("#",""), HYPERLINK(CONCATENATE("#Metadata!", ADDRESS(INDEX($X$2:$X$1001,MATCH(ROWS($V$2:V681),$V$2:$V$1001,0),0), INDEX($AC$1004:$AS$1004,1,MATCH(COLUMNS($AC$1006:AC1006),$AC$1006:$AS$1006,0)))),"Fix")))</f>
        <v>0</v>
      </c>
      <c r="C681" s="5">
        <f>IF(OR(INDEX($W$2:$W$1001,MATCH(ROWS($V$2:V681),$V$2:$V$1001,0),1)&gt;=100000,INDEX($AC$1005:$AS$1005,1,MATCH(COLUMNS($AC$1006:AD1006),$AC$1006:$AS$1006,0))&gt;=100000), " ",IF(INDEX($AC$2:$AS$1001,MATCH(ROWS($V$2:V681),$V$2:$V$1001,0),MATCH(COLUMNS($AC$1006:AD1006),$AC$1006:$AS$1006,0)), HYPERLINK("#",""), HYPERLINK(CONCATENATE("#Metadata!", ADDRESS(INDEX($X$2:$X$1001,MATCH(ROWS($V$2:V681),$V$2:$V$1001,0),0), INDEX($AC$1004:$AS$1004,1,MATCH(COLUMNS($AC$1006:AD1006),$AC$1006:$AS$1006,0)))),"Fix")))</f>
        <v>0</v>
      </c>
      <c r="D681" s="5">
        <f>IF(OR(INDEX($W$2:$W$1001,MATCH(ROWS($V$2:V681),$V$2:$V$1001,0),1)&gt;=100000,INDEX($AC$1005:$AS$1005,1,MATCH(COLUMNS($AC$1006:AE1006),$AC$1006:$AS$1006,0))&gt;=100000), " ",IF(INDEX($AC$2:$AS$1001,MATCH(ROWS($V$2:V681),$V$2:$V$1001,0),MATCH(COLUMNS($AC$1006:AE1006),$AC$1006:$AS$1006,0)), HYPERLINK("#",""), HYPERLINK(CONCATENATE("#Metadata!", ADDRESS(INDEX($X$2:$X$1001,MATCH(ROWS($V$2:V681),$V$2:$V$1001,0),0), INDEX($AC$1004:$AS$1004,1,MATCH(COLUMNS($AC$1006:AE1006),$AC$1006:$AS$1006,0)))),"Fix")))</f>
        <v>0</v>
      </c>
      <c r="E681" s="5">
        <f>IF(OR(INDEX($W$2:$W$1001,MATCH(ROWS($V$2:V681),$V$2:$V$1001,0),1)&gt;=100000,INDEX($AC$1005:$AS$1005,1,MATCH(COLUMNS($AC$1006:AF1006),$AC$1006:$AS$1006,0))&gt;=100000), " ",IF(INDEX($AC$2:$AS$1001,MATCH(ROWS($V$2:V681),$V$2:$V$1001,0),MATCH(COLUMNS($AC$1006:AF1006),$AC$1006:$AS$1006,0)), HYPERLINK("#",""), HYPERLINK(CONCATENATE("#Metadata!", ADDRESS(INDEX($X$2:$X$1001,MATCH(ROWS($V$2:V681),$V$2:$V$1001,0),0), INDEX($AC$1004:$AS$1004,1,MATCH(COLUMNS($AC$1006:AF1006),$AC$1006:$AS$1006,0)))),"Fix")))</f>
        <v>0</v>
      </c>
      <c r="F681" s="5">
        <f>IF(OR(INDEX($W$2:$W$1001,MATCH(ROWS($V$2:V681),$V$2:$V$1001,0),1)&gt;=100000,INDEX($AC$1005:$AS$1005,1,MATCH(COLUMNS($AC$1006:AG1006),$AC$1006:$AS$1006,0))&gt;=100000), " ",IF(INDEX($AC$2:$AS$1001,MATCH(ROWS($V$2:V681),$V$2:$V$1001,0),MATCH(COLUMNS($AC$1006:AG1006),$AC$1006:$AS$1006,0)), HYPERLINK("#",""), HYPERLINK(CONCATENATE("#Metadata!", ADDRESS(INDEX($X$2:$X$1001,MATCH(ROWS($V$2:V681),$V$2:$V$1001,0),0), INDEX($AC$1004:$AS$1004,1,MATCH(COLUMNS($AC$1006:AG1006),$AC$1006:$AS$1006,0)))),"Fix")))</f>
        <v>0</v>
      </c>
      <c r="G681" s="5">
        <f>IF(OR(INDEX($W$2:$W$1001,MATCH(ROWS($V$2:V681),$V$2:$V$1001,0),1)&gt;=100000,INDEX($AC$1005:$AS$1005,1,MATCH(COLUMNS($AC$1006:AH1006),$AC$1006:$AS$1006,0))&gt;=100000), " ",IF(INDEX($AC$2:$AS$1001,MATCH(ROWS($V$2:V681),$V$2:$V$1001,0),MATCH(COLUMNS($AC$1006:AH1006),$AC$1006:$AS$1006,0)), HYPERLINK("#",""), HYPERLINK(CONCATENATE("#Metadata!", ADDRESS(INDEX($X$2:$X$1001,MATCH(ROWS($V$2:V681),$V$2:$V$1001,0),0), INDEX($AC$1004:$AS$1004,1,MATCH(COLUMNS($AC$1006:AH1006),$AC$1006:$AS$1006,0)))),"Fix")))</f>
        <v>0</v>
      </c>
      <c r="H681" s="5">
        <f>IF(OR(INDEX($W$2:$W$1001,MATCH(ROWS($V$2:V681),$V$2:$V$1001,0),1)&gt;=100000,INDEX($AC$1005:$AS$1005,1,MATCH(COLUMNS($AC$1006:AI1006),$AC$1006:$AS$1006,0))&gt;=100000), " ",IF(INDEX($AC$2:$AS$1001,MATCH(ROWS($V$2:V681),$V$2:$V$1001,0),MATCH(COLUMNS($AC$1006:AI1006),$AC$1006:$AS$1006,0)), HYPERLINK("#",""), HYPERLINK(CONCATENATE("#Metadata!", ADDRESS(INDEX($X$2:$X$1001,MATCH(ROWS($V$2:V681),$V$2:$V$1001,0),0), INDEX($AC$1004:$AS$1004,1,MATCH(COLUMNS($AC$1006:AI1006),$AC$1006:$AS$1006,0)))),"Fix")))</f>
        <v>0</v>
      </c>
      <c r="I681" s="5">
        <f>IF(OR(INDEX($W$2:$W$1001,MATCH(ROWS($V$2:V681),$V$2:$V$1001,0),1)&gt;=100000,INDEX($AC$1005:$AS$1005,1,MATCH(COLUMNS($AC$1006:AJ1006),$AC$1006:$AS$1006,0))&gt;=100000), " ",IF(INDEX($AC$2:$AS$1001,MATCH(ROWS($V$2:V681),$V$2:$V$1001,0),MATCH(COLUMNS($AC$1006:AJ1006),$AC$1006:$AS$1006,0)), HYPERLINK("#",""), HYPERLINK(CONCATENATE("#Metadata!", ADDRESS(INDEX($X$2:$X$1001,MATCH(ROWS($V$2:V681),$V$2:$V$1001,0),0), INDEX($AC$1004:$AS$1004,1,MATCH(COLUMNS($AC$1006:AJ1006),$AC$1006:$AS$1006,0)))),"Fix")))</f>
        <v>0</v>
      </c>
      <c r="J681" s="5">
        <f>IF(OR(INDEX($W$2:$W$1001,MATCH(ROWS($V$2:V681),$V$2:$V$1001,0),1)&gt;=100000,INDEX($AC$1005:$AS$1005,1,MATCH(COLUMNS($AC$1006:AK1006),$AC$1006:$AS$1006,0))&gt;=100000), " ",IF(INDEX($AC$2:$AS$1001,MATCH(ROWS($V$2:V681),$V$2:$V$1001,0),MATCH(COLUMNS($AC$1006:AK1006),$AC$1006:$AS$1006,0)), HYPERLINK("#",""), HYPERLINK(CONCATENATE("#Metadata!", ADDRESS(INDEX($X$2:$X$1001,MATCH(ROWS($V$2:V681),$V$2:$V$1001,0),0), INDEX($AC$1004:$AS$1004,1,MATCH(COLUMNS($AC$1006:AK1006),$AC$1006:$AS$1006,0)))),"Fix")))</f>
        <v>0</v>
      </c>
      <c r="K681" s="5">
        <f>IF(OR(INDEX($W$2:$W$1001,MATCH(ROWS($V$2:V681),$V$2:$V$1001,0),1)&gt;=100000,INDEX($AC$1005:$AS$1005,1,MATCH(COLUMNS($AC$1006:AL1006),$AC$1006:$AS$1006,0))&gt;=100000), " ",IF(INDEX($AC$2:$AS$1001,MATCH(ROWS($V$2:V681),$V$2:$V$1001,0),MATCH(COLUMNS($AC$1006:AL1006),$AC$1006:$AS$1006,0)), HYPERLINK("#",""), HYPERLINK(CONCATENATE("#Metadata!", ADDRESS(INDEX($X$2:$X$1001,MATCH(ROWS($V$2:V681),$V$2:$V$1001,0),0), INDEX($AC$1004:$AS$1004,1,MATCH(COLUMNS($AC$1006:AL1006),$AC$1006:$AS$1006,0)))),"Fix")))</f>
        <v>0</v>
      </c>
      <c r="L681" s="5">
        <f>IF(OR(INDEX($W$2:$W$1001,MATCH(ROWS($V$2:V681),$V$2:$V$1001,0),1)&gt;=100000,INDEX($AC$1005:$AS$1005,1,MATCH(COLUMNS($AC$1006:AM1006),$AC$1006:$AS$1006,0))&gt;=100000), " ",IF(INDEX($AC$2:$AS$1001,MATCH(ROWS($V$2:V681),$V$2:$V$1001,0),MATCH(COLUMNS($AC$1006:AM1006),$AC$1006:$AS$1006,0)), HYPERLINK("#",""), HYPERLINK(CONCATENATE("#Metadata!", ADDRESS(INDEX($X$2:$X$1001,MATCH(ROWS($V$2:V681),$V$2:$V$1001,0),0), INDEX($AC$1004:$AS$1004,1,MATCH(COLUMNS($AC$1006:AM1006),$AC$1006:$AS$1006,0)))),"Fix")))</f>
        <v>0</v>
      </c>
      <c r="M681" s="5">
        <f>IF(OR(INDEX($W$2:$W$1001,MATCH(ROWS($V$2:V681),$V$2:$V$1001,0),1)&gt;=100000,INDEX($AC$1005:$AS$1005,1,MATCH(COLUMNS($AC$1006:AN1006),$AC$1006:$AS$1006,0))&gt;=100000), " ",IF(INDEX($AC$2:$AS$1001,MATCH(ROWS($V$2:V681),$V$2:$V$1001,0),MATCH(COLUMNS($AC$1006:AN1006),$AC$1006:$AS$1006,0)), HYPERLINK("#",""), HYPERLINK(CONCATENATE("#Metadata!", ADDRESS(INDEX($X$2:$X$1001,MATCH(ROWS($V$2:V681),$V$2:$V$1001,0),0), INDEX($AC$1004:$AS$1004,1,MATCH(COLUMNS($AC$1006:AN1006),$AC$1006:$AS$1006,0)))),"Fix")))</f>
        <v>0</v>
      </c>
      <c r="N681" s="5">
        <f>IF(OR(INDEX($W$2:$W$1001,MATCH(ROWS($V$2:V681),$V$2:$V$1001,0),1)&gt;=100000,INDEX($AC$1005:$AS$1005,1,MATCH(COLUMNS($AC$1006:AO1006),$AC$1006:$AS$1006,0))&gt;=100000), " ",IF(INDEX($AC$2:$AS$1001,MATCH(ROWS($V$2:V681),$V$2:$V$1001,0),MATCH(COLUMNS($AC$1006:AO1006),$AC$1006:$AS$1006,0)), HYPERLINK("#",""), HYPERLINK(CONCATENATE("#Metadata!", ADDRESS(INDEX($X$2:$X$1001,MATCH(ROWS($V$2:V681),$V$2:$V$1001,0),0), INDEX($AC$1004:$AS$1004,1,MATCH(COLUMNS($AC$1006:AO1006),$AC$1006:$AS$1006,0)))),"Fix")))</f>
        <v>0</v>
      </c>
      <c r="O681" s="5">
        <f>IF(OR(INDEX($W$2:$W$1001,MATCH(ROWS($V$2:V681),$V$2:$V$1001,0),1)&gt;=100000,INDEX($AC$1005:$AS$1005,1,MATCH(COLUMNS($AC$1006:AP1006),$AC$1006:$AS$1006,0))&gt;=100000), " ",IF(INDEX($AC$2:$AS$1001,MATCH(ROWS($V$2:V681),$V$2:$V$1001,0),MATCH(COLUMNS($AC$1006:AP1006),$AC$1006:$AS$1006,0)), HYPERLINK("#",""), HYPERLINK(CONCATENATE("#Metadata!", ADDRESS(INDEX($X$2:$X$1001,MATCH(ROWS($V$2:V681),$V$2:$V$1001,0),0), INDEX($AC$1004:$AS$1004,1,MATCH(COLUMNS($AC$1006:AP1006),$AC$1006:$AS$1006,0)))),"Fix")))</f>
        <v>0</v>
      </c>
      <c r="P681" s="5">
        <f>IF(OR(INDEX($W$2:$W$1001,MATCH(ROWS($V$2:V681),$V$2:$V$1001,0),1)&gt;=100000,INDEX($AC$1005:$AS$1005,1,MATCH(COLUMNS($AC$1006:AQ1006),$AC$1006:$AS$1006,0))&gt;=100000), " ",IF(INDEX($AC$2:$AS$1001,MATCH(ROWS($V$2:V681),$V$2:$V$1001,0),MATCH(COLUMNS($AC$1006:AQ1006),$AC$1006:$AS$1006,0)), HYPERLINK("#",""), HYPERLINK(CONCATENATE("#Metadata!", ADDRESS(INDEX($X$2:$X$1001,MATCH(ROWS($V$2:V681),$V$2:$V$1001,0),0), INDEX($AC$1004:$AS$1004,1,MATCH(COLUMNS($AC$1006:AQ1006),$AC$1006:$AS$1006,0)))),"Fix")))</f>
        <v>0</v>
      </c>
      <c r="Q681" s="5">
        <f>IF(OR(INDEX($W$2:$W$1001,MATCH(ROWS($V$2:V681),$V$2:$V$1001,0),1)&gt;=100000,INDEX($AC$1005:$AS$1005,1,MATCH(COLUMNS($AC$1006:AR1006),$AC$1006:$AS$1006,0))&gt;=100000), " ",IF(INDEX($AC$2:$AS$1001,MATCH(ROWS($V$2:V681),$V$2:$V$1001,0),MATCH(COLUMNS($AC$1006:AR1006),$AC$1006:$AS$1006,0)), HYPERLINK("#",""), HYPERLINK(CONCATENATE("#Metadata!", ADDRESS(INDEX($X$2:$X$1001,MATCH(ROWS($V$2:V681),$V$2:$V$1001,0),0), INDEX($AC$1004:$AS$1004,1,MATCH(COLUMNS($AC$1006:AR1006),$AC$1006:$AS$1006,0)))),"Fix")))</f>
        <v>0</v>
      </c>
      <c r="R681" s="5">
        <f>IF(OR(INDEX($W$2:$W$1001,MATCH(ROWS($V$2:V681),$V$2:$V$1001,0),1)&gt;=100000,INDEX($AC$1005:$AS$1005,1,MATCH(COLUMNS($AC$1006:AS1006),$AC$1006:$AS$1006,0))&gt;=100000), " ",IF(INDEX($AC$2:$AS$1001,MATCH(ROWS($V$2:V681),$V$2:$V$1001,0),MATCH(COLUMNS($AC$1006:AS1006),$AC$1006:$AS$1006,0)), HYPERLINK("#",""), HYPERLINK(CONCATENATE("#Metadata!", ADDRESS(INDEX($X$2:$X$1001,MATCH(ROWS($V$2:V681),$V$2:$V$1001,0),0), INDEX($AC$1004:$AS$1004,1,MATCH(COLUMNS($AC$1006:AS1006),$AC$1006:$AS$1006,0)))),"Fix")))</f>
        <v>0</v>
      </c>
      <c r="V681">
        <v>0</v>
      </c>
      <c r="W681">
        <v>0</v>
      </c>
      <c r="X681">
        <v>0</v>
      </c>
      <c r="Y681">
        <f>IF(Z681,TRUE,AND(AC681:AS681))</f>
        <v>0</v>
      </c>
      <c r="Z681">
        <f>COUNTBLANK(Metadata!B681:R681)=COLUMNS(Metadata!B681:R681)</f>
        <v>0</v>
      </c>
      <c r="AA681">
        <v>0</v>
      </c>
      <c r="AC681">
        <f>AND(IF(Metadata!B681="",FALSE,TRUE),COUNTIF(Metadata!B:B, Metadata!B681) = 1,NOT(ISERROR(SUMPRODUCT(SEARCH(MID(Metadata!B681,ROW(INDIRECT("1:"&amp;LEN(Metadata!B681))), 1),"0123456789abcdefghijklmnopqrstuvwxyzABCDEFGHIJKLMNOPQRSTUVWXYZ.")))))</f>
        <v>0</v>
      </c>
      <c r="AD681">
        <f>AND(IF(Metadata!C681="",FALSE,TRUE),exact(Metadata!C681,"Host-associated"))</f>
        <v>0</v>
      </c>
      <c r="AE681">
        <f>AND(IF(Metadata!D681="",FALSE,TRUE),OR(exact(Metadata!D681,"Animal"),exact(Metadata!D681,"Fungus"),exact(Metadata!D681,"Plant")))</f>
        <v>0</v>
      </c>
      <c r="AF681">
        <f>AND(IF(Metadata!E681="",FALSE,TRUE),OR(exact(Metadata!E681,"Plant secretion"),exact(Metadata!E681,"Plant rhizosphere"),exact(Metadata!E681,"Plant surface"),exact(Metadata!E681,"Plant corpus"),exact(Metadata!E681,"Fungus surface"),exact(Metadata!E681,"Fungus corpus"),exact(Metadata!E681,"Animal surface"),exact(Metadata!E681,"Animal proximal gut"),exact(Metadata!E681,"Animal corpus"),exact(Metadata!E681,"Animal distal gut"),exact(Metadata!E681,"Animal secretion")))</f>
        <v>0</v>
      </c>
      <c r="AG681">
        <f>OR(AND(IF(Metadata!F681="",FALSE,TRUE),OR(exact(Metadata!F681,"not collected"),exact(Metadata!F681,"not provided"),exact(Metadata!F681,"restricted access"))),AND(IF(Metadata!F681="",FALSE,TRUE),OR(exact(Metadata!F681,"organism-associated habitat"),exact(Metadata!F681,"plant-associated habitat"),exact(Metadata!F681,"animal-associated habitat"),exact(Metadata!F681,"insecta-associated habitat"),exact(Metadata!F681,"mammalia-associated habitat"),exact(Metadata!F681,"human-associated habitat"),exact(Metadata!F681,"livestock-associated habitat"))))</f>
        <v>0</v>
      </c>
      <c r="AH681">
        <f>AND(IF(Metadata!G681="",FALSE,TRUE),exact(Metadata!G681,"host-associated"))</f>
        <v>0</v>
      </c>
      <c r="AI681">
        <f>OR(AND(IF(Metadata!H681="",FALSE,TRUE),OR(exact(Metadata!H681,"not collected"),exact(Metadata!H681,"not provided"))),AND(IF(Metadata!H681="",FALSE,ISNUMBER(VALUE(Metadata!H681))),Metadata!H681&gt;0))</f>
        <v>0</v>
      </c>
      <c r="AJ681">
        <f>AND(IF(Metadata!I681="",FALSE,TRUE),exact(Metadata!I681,"years"))</f>
        <v>0</v>
      </c>
      <c r="AK681">
        <f>IF(Metadata!J681="",FALSE,TRUE)</f>
        <v>0</v>
      </c>
      <c r="AL681">
        <f>OR(AND(IF(Metadata!K681="",FALSE,TRUE),OR(exact(Metadata!K681,"not collected"),exact(Metadata!K681,"not provided"))),AND(IF(Metadata!K681="",FALSE,ISNUMBER(VALUE(Metadata!K681))),Metadata!K681&gt;0))</f>
        <v>0</v>
      </c>
      <c r="AM681">
        <f>AND(IF(Metadata!L681="",FALSE,TRUE),exact(Metadata!L681,"cm"))</f>
        <v>0</v>
      </c>
      <c r="AN681">
        <f>IF(Metadata!M681="",FALSE,TRUE)</f>
        <v>0</v>
      </c>
      <c r="AO681">
        <f>OR(AND(IF(Metadata!N681="",FALSE,TRUE),OR(exact(Metadata!N681,"not applicable"),exact(Metadata!N681,"not collected"),exact(Metadata!N681,"not provided"))),AND(IF(Metadata!N681="",FALSE,IF(ISERROR(INT(Metadata!N681)),FALSE,INT(Metadata!N681)=Metadata!N681)),Metadata!N681&gt;0))</f>
        <v>0</v>
      </c>
      <c r="AP681">
        <f>OR(AND(IF(Metadata!O681="",FALSE,TRUE),OR(exact(Metadata!O681,"not collected"),exact(Metadata!O681,"not provided"))),AND(IF(Metadata!O681="",FALSE,ISNUMBER(VALUE(Metadata!O681))),Metadata!O681&gt;0))</f>
        <v>0</v>
      </c>
      <c r="AQ681">
        <f>AND(IF(Metadata!P681="",FALSE,TRUE),exact(Metadata!P681,"kg"))</f>
        <v>0</v>
      </c>
      <c r="AR681">
        <f>OR(AND(IF(Metadata!Q681="",FALSE,TRUE),OR(exact(Metadata!Q681,"not applicable"),exact(Metadata!Q681,"not collected"),exact(Metadata!Q681,"not provided"),exact(Metadata!Q681,"restricted access"))),IF(Metadata!Q681="",FALSE,IF(ISERROR(INT(Metadata!Q681)),FALSE,INT(Metadata!Q681)=Metadata!Q681)))</f>
        <v>0</v>
      </c>
      <c r="AS681">
        <f>AND(IF(Metadata!R681="",FALSE,TRUE),exact(Metadata!R681,"Not applicable"))</f>
        <v>0</v>
      </c>
    </row>
    <row r="682" spans="1:45">
      <c r="A682" s="4">
        <f>IF(B682=" "," ",HYPERLINK(CONCATENATE("#metadata!",ADDRESS(INDEX($X$2:$X$1001,MATCH(ROWS($V$2:V682),$V$2:$V$1001,0),0),2)),INDEX($AA$2:$AA$1001,MATCH(ROWS($V$2:V682),$V$2:$V$1001,0),0)))</f>
        <v>0</v>
      </c>
      <c r="B682" s="5">
        <f>IF(OR(INDEX($W$2:$W$1001,MATCH(ROWS($V$2:V682),$V$2:$V$1001,0),1)&gt;=100000,INDEX($AC$1005:$AS$1005,1,MATCH(COLUMNS($AC$1006:AC1006),$AC$1006:$AS$1006,0))&gt;=100000), " ",IF(INDEX($AC$2:$AS$1001,MATCH(ROWS($V$2:V682),$V$2:$V$1001,0),MATCH(COLUMNS($AC$1006:AC1006),$AC$1006:$AS$1006,0)), HYPERLINK("#",""), HYPERLINK(CONCATENATE("#Metadata!", ADDRESS(INDEX($X$2:$X$1001,MATCH(ROWS($V$2:V682),$V$2:$V$1001,0),0), INDEX($AC$1004:$AS$1004,1,MATCH(COLUMNS($AC$1006:AC1006),$AC$1006:$AS$1006,0)))),"Fix")))</f>
        <v>0</v>
      </c>
      <c r="C682" s="5">
        <f>IF(OR(INDEX($W$2:$W$1001,MATCH(ROWS($V$2:V682),$V$2:$V$1001,0),1)&gt;=100000,INDEX($AC$1005:$AS$1005,1,MATCH(COLUMNS($AC$1006:AD1006),$AC$1006:$AS$1006,0))&gt;=100000), " ",IF(INDEX($AC$2:$AS$1001,MATCH(ROWS($V$2:V682),$V$2:$V$1001,0),MATCH(COLUMNS($AC$1006:AD1006),$AC$1006:$AS$1006,0)), HYPERLINK("#",""), HYPERLINK(CONCATENATE("#Metadata!", ADDRESS(INDEX($X$2:$X$1001,MATCH(ROWS($V$2:V682),$V$2:$V$1001,0),0), INDEX($AC$1004:$AS$1004,1,MATCH(COLUMNS($AC$1006:AD1006),$AC$1006:$AS$1006,0)))),"Fix")))</f>
        <v>0</v>
      </c>
      <c r="D682" s="5">
        <f>IF(OR(INDEX($W$2:$W$1001,MATCH(ROWS($V$2:V682),$V$2:$V$1001,0),1)&gt;=100000,INDEX($AC$1005:$AS$1005,1,MATCH(COLUMNS($AC$1006:AE1006),$AC$1006:$AS$1006,0))&gt;=100000), " ",IF(INDEX($AC$2:$AS$1001,MATCH(ROWS($V$2:V682),$V$2:$V$1001,0),MATCH(COLUMNS($AC$1006:AE1006),$AC$1006:$AS$1006,0)), HYPERLINK("#",""), HYPERLINK(CONCATENATE("#Metadata!", ADDRESS(INDEX($X$2:$X$1001,MATCH(ROWS($V$2:V682),$V$2:$V$1001,0),0), INDEX($AC$1004:$AS$1004,1,MATCH(COLUMNS($AC$1006:AE1006),$AC$1006:$AS$1006,0)))),"Fix")))</f>
        <v>0</v>
      </c>
      <c r="E682" s="5">
        <f>IF(OR(INDEX($W$2:$W$1001,MATCH(ROWS($V$2:V682),$V$2:$V$1001,0),1)&gt;=100000,INDEX($AC$1005:$AS$1005,1,MATCH(COLUMNS($AC$1006:AF1006),$AC$1006:$AS$1006,0))&gt;=100000), " ",IF(INDEX($AC$2:$AS$1001,MATCH(ROWS($V$2:V682),$V$2:$V$1001,0),MATCH(COLUMNS($AC$1006:AF1006),$AC$1006:$AS$1006,0)), HYPERLINK("#",""), HYPERLINK(CONCATENATE("#Metadata!", ADDRESS(INDEX($X$2:$X$1001,MATCH(ROWS($V$2:V682),$V$2:$V$1001,0),0), INDEX($AC$1004:$AS$1004,1,MATCH(COLUMNS($AC$1006:AF1006),$AC$1006:$AS$1006,0)))),"Fix")))</f>
        <v>0</v>
      </c>
      <c r="F682" s="5">
        <f>IF(OR(INDEX($W$2:$W$1001,MATCH(ROWS($V$2:V682),$V$2:$V$1001,0),1)&gt;=100000,INDEX($AC$1005:$AS$1005,1,MATCH(COLUMNS($AC$1006:AG1006),$AC$1006:$AS$1006,0))&gt;=100000), " ",IF(INDEX($AC$2:$AS$1001,MATCH(ROWS($V$2:V682),$V$2:$V$1001,0),MATCH(COLUMNS($AC$1006:AG1006),$AC$1006:$AS$1006,0)), HYPERLINK("#",""), HYPERLINK(CONCATENATE("#Metadata!", ADDRESS(INDEX($X$2:$X$1001,MATCH(ROWS($V$2:V682),$V$2:$V$1001,0),0), INDEX($AC$1004:$AS$1004,1,MATCH(COLUMNS($AC$1006:AG1006),$AC$1006:$AS$1006,0)))),"Fix")))</f>
        <v>0</v>
      </c>
      <c r="G682" s="5">
        <f>IF(OR(INDEX($W$2:$W$1001,MATCH(ROWS($V$2:V682),$V$2:$V$1001,0),1)&gt;=100000,INDEX($AC$1005:$AS$1005,1,MATCH(COLUMNS($AC$1006:AH1006),$AC$1006:$AS$1006,0))&gt;=100000), " ",IF(INDEX($AC$2:$AS$1001,MATCH(ROWS($V$2:V682),$V$2:$V$1001,0),MATCH(COLUMNS($AC$1006:AH1006),$AC$1006:$AS$1006,0)), HYPERLINK("#",""), HYPERLINK(CONCATENATE("#Metadata!", ADDRESS(INDEX($X$2:$X$1001,MATCH(ROWS($V$2:V682),$V$2:$V$1001,0),0), INDEX($AC$1004:$AS$1004,1,MATCH(COLUMNS($AC$1006:AH1006),$AC$1006:$AS$1006,0)))),"Fix")))</f>
        <v>0</v>
      </c>
      <c r="H682" s="5">
        <f>IF(OR(INDEX($W$2:$W$1001,MATCH(ROWS($V$2:V682),$V$2:$V$1001,0),1)&gt;=100000,INDEX($AC$1005:$AS$1005,1,MATCH(COLUMNS($AC$1006:AI1006),$AC$1006:$AS$1006,0))&gt;=100000), " ",IF(INDEX($AC$2:$AS$1001,MATCH(ROWS($V$2:V682),$V$2:$V$1001,0),MATCH(COLUMNS($AC$1006:AI1006),$AC$1006:$AS$1006,0)), HYPERLINK("#",""), HYPERLINK(CONCATENATE("#Metadata!", ADDRESS(INDEX($X$2:$X$1001,MATCH(ROWS($V$2:V682),$V$2:$V$1001,0),0), INDEX($AC$1004:$AS$1004,1,MATCH(COLUMNS($AC$1006:AI1006),$AC$1006:$AS$1006,0)))),"Fix")))</f>
        <v>0</v>
      </c>
      <c r="I682" s="5">
        <f>IF(OR(INDEX($W$2:$W$1001,MATCH(ROWS($V$2:V682),$V$2:$V$1001,0),1)&gt;=100000,INDEX($AC$1005:$AS$1005,1,MATCH(COLUMNS($AC$1006:AJ1006),$AC$1006:$AS$1006,0))&gt;=100000), " ",IF(INDEX($AC$2:$AS$1001,MATCH(ROWS($V$2:V682),$V$2:$V$1001,0),MATCH(COLUMNS($AC$1006:AJ1006),$AC$1006:$AS$1006,0)), HYPERLINK("#",""), HYPERLINK(CONCATENATE("#Metadata!", ADDRESS(INDEX($X$2:$X$1001,MATCH(ROWS($V$2:V682),$V$2:$V$1001,0),0), INDEX($AC$1004:$AS$1004,1,MATCH(COLUMNS($AC$1006:AJ1006),$AC$1006:$AS$1006,0)))),"Fix")))</f>
        <v>0</v>
      </c>
      <c r="J682" s="5">
        <f>IF(OR(INDEX($W$2:$W$1001,MATCH(ROWS($V$2:V682),$V$2:$V$1001,0),1)&gt;=100000,INDEX($AC$1005:$AS$1005,1,MATCH(COLUMNS($AC$1006:AK1006),$AC$1006:$AS$1006,0))&gt;=100000), " ",IF(INDEX($AC$2:$AS$1001,MATCH(ROWS($V$2:V682),$V$2:$V$1001,0),MATCH(COLUMNS($AC$1006:AK1006),$AC$1006:$AS$1006,0)), HYPERLINK("#",""), HYPERLINK(CONCATENATE("#Metadata!", ADDRESS(INDEX($X$2:$X$1001,MATCH(ROWS($V$2:V682),$V$2:$V$1001,0),0), INDEX($AC$1004:$AS$1004,1,MATCH(COLUMNS($AC$1006:AK1006),$AC$1006:$AS$1006,0)))),"Fix")))</f>
        <v>0</v>
      </c>
      <c r="K682" s="5">
        <f>IF(OR(INDEX($W$2:$W$1001,MATCH(ROWS($V$2:V682),$V$2:$V$1001,0),1)&gt;=100000,INDEX($AC$1005:$AS$1005,1,MATCH(COLUMNS($AC$1006:AL1006),$AC$1006:$AS$1006,0))&gt;=100000), " ",IF(INDEX($AC$2:$AS$1001,MATCH(ROWS($V$2:V682),$V$2:$V$1001,0),MATCH(COLUMNS($AC$1006:AL1006),$AC$1006:$AS$1006,0)), HYPERLINK("#",""), HYPERLINK(CONCATENATE("#Metadata!", ADDRESS(INDEX($X$2:$X$1001,MATCH(ROWS($V$2:V682),$V$2:$V$1001,0),0), INDEX($AC$1004:$AS$1004,1,MATCH(COLUMNS($AC$1006:AL1006),$AC$1006:$AS$1006,0)))),"Fix")))</f>
        <v>0</v>
      </c>
      <c r="L682" s="5">
        <f>IF(OR(INDEX($W$2:$W$1001,MATCH(ROWS($V$2:V682),$V$2:$V$1001,0),1)&gt;=100000,INDEX($AC$1005:$AS$1005,1,MATCH(COLUMNS($AC$1006:AM1006),$AC$1006:$AS$1006,0))&gt;=100000), " ",IF(INDEX($AC$2:$AS$1001,MATCH(ROWS($V$2:V682),$V$2:$V$1001,0),MATCH(COLUMNS($AC$1006:AM1006),$AC$1006:$AS$1006,0)), HYPERLINK("#",""), HYPERLINK(CONCATENATE("#Metadata!", ADDRESS(INDEX($X$2:$X$1001,MATCH(ROWS($V$2:V682),$V$2:$V$1001,0),0), INDEX($AC$1004:$AS$1004,1,MATCH(COLUMNS($AC$1006:AM1006),$AC$1006:$AS$1006,0)))),"Fix")))</f>
        <v>0</v>
      </c>
      <c r="M682" s="5">
        <f>IF(OR(INDEX($W$2:$W$1001,MATCH(ROWS($V$2:V682),$V$2:$V$1001,0),1)&gt;=100000,INDEX($AC$1005:$AS$1005,1,MATCH(COLUMNS($AC$1006:AN1006),$AC$1006:$AS$1006,0))&gt;=100000), " ",IF(INDEX($AC$2:$AS$1001,MATCH(ROWS($V$2:V682),$V$2:$V$1001,0),MATCH(COLUMNS($AC$1006:AN1006),$AC$1006:$AS$1006,0)), HYPERLINK("#",""), HYPERLINK(CONCATENATE("#Metadata!", ADDRESS(INDEX($X$2:$X$1001,MATCH(ROWS($V$2:V682),$V$2:$V$1001,0),0), INDEX($AC$1004:$AS$1004,1,MATCH(COLUMNS($AC$1006:AN1006),$AC$1006:$AS$1006,0)))),"Fix")))</f>
        <v>0</v>
      </c>
      <c r="N682" s="5">
        <f>IF(OR(INDEX($W$2:$W$1001,MATCH(ROWS($V$2:V682),$V$2:$V$1001,0),1)&gt;=100000,INDEX($AC$1005:$AS$1005,1,MATCH(COLUMNS($AC$1006:AO1006),$AC$1006:$AS$1006,0))&gt;=100000), " ",IF(INDEX($AC$2:$AS$1001,MATCH(ROWS($V$2:V682),$V$2:$V$1001,0),MATCH(COLUMNS($AC$1006:AO1006),$AC$1006:$AS$1006,0)), HYPERLINK("#",""), HYPERLINK(CONCATENATE("#Metadata!", ADDRESS(INDEX($X$2:$X$1001,MATCH(ROWS($V$2:V682),$V$2:$V$1001,0),0), INDEX($AC$1004:$AS$1004,1,MATCH(COLUMNS($AC$1006:AO1006),$AC$1006:$AS$1006,0)))),"Fix")))</f>
        <v>0</v>
      </c>
      <c r="O682" s="5">
        <f>IF(OR(INDEX($W$2:$W$1001,MATCH(ROWS($V$2:V682),$V$2:$V$1001,0),1)&gt;=100000,INDEX($AC$1005:$AS$1005,1,MATCH(COLUMNS($AC$1006:AP1006),$AC$1006:$AS$1006,0))&gt;=100000), " ",IF(INDEX($AC$2:$AS$1001,MATCH(ROWS($V$2:V682),$V$2:$V$1001,0),MATCH(COLUMNS($AC$1006:AP1006),$AC$1006:$AS$1006,0)), HYPERLINK("#",""), HYPERLINK(CONCATENATE("#Metadata!", ADDRESS(INDEX($X$2:$X$1001,MATCH(ROWS($V$2:V682),$V$2:$V$1001,0),0), INDEX($AC$1004:$AS$1004,1,MATCH(COLUMNS($AC$1006:AP1006),$AC$1006:$AS$1006,0)))),"Fix")))</f>
        <v>0</v>
      </c>
      <c r="P682" s="5">
        <f>IF(OR(INDEX($W$2:$W$1001,MATCH(ROWS($V$2:V682),$V$2:$V$1001,0),1)&gt;=100000,INDEX($AC$1005:$AS$1005,1,MATCH(COLUMNS($AC$1006:AQ1006),$AC$1006:$AS$1006,0))&gt;=100000), " ",IF(INDEX($AC$2:$AS$1001,MATCH(ROWS($V$2:V682),$V$2:$V$1001,0),MATCH(COLUMNS($AC$1006:AQ1006),$AC$1006:$AS$1006,0)), HYPERLINK("#",""), HYPERLINK(CONCATENATE("#Metadata!", ADDRESS(INDEX($X$2:$X$1001,MATCH(ROWS($V$2:V682),$V$2:$V$1001,0),0), INDEX($AC$1004:$AS$1004,1,MATCH(COLUMNS($AC$1006:AQ1006),$AC$1006:$AS$1006,0)))),"Fix")))</f>
        <v>0</v>
      </c>
      <c r="Q682" s="5">
        <f>IF(OR(INDEX($W$2:$W$1001,MATCH(ROWS($V$2:V682),$V$2:$V$1001,0),1)&gt;=100000,INDEX($AC$1005:$AS$1005,1,MATCH(COLUMNS($AC$1006:AR1006),$AC$1006:$AS$1006,0))&gt;=100000), " ",IF(INDEX($AC$2:$AS$1001,MATCH(ROWS($V$2:V682),$V$2:$V$1001,0),MATCH(COLUMNS($AC$1006:AR1006),$AC$1006:$AS$1006,0)), HYPERLINK("#",""), HYPERLINK(CONCATENATE("#Metadata!", ADDRESS(INDEX($X$2:$X$1001,MATCH(ROWS($V$2:V682),$V$2:$V$1001,0),0), INDEX($AC$1004:$AS$1004,1,MATCH(COLUMNS($AC$1006:AR1006),$AC$1006:$AS$1006,0)))),"Fix")))</f>
        <v>0</v>
      </c>
      <c r="R682" s="5">
        <f>IF(OR(INDEX($W$2:$W$1001,MATCH(ROWS($V$2:V682),$V$2:$V$1001,0),1)&gt;=100000,INDEX($AC$1005:$AS$1005,1,MATCH(COLUMNS($AC$1006:AS1006),$AC$1006:$AS$1006,0))&gt;=100000), " ",IF(INDEX($AC$2:$AS$1001,MATCH(ROWS($V$2:V682),$V$2:$V$1001,0),MATCH(COLUMNS($AC$1006:AS1006),$AC$1006:$AS$1006,0)), HYPERLINK("#",""), HYPERLINK(CONCATENATE("#Metadata!", ADDRESS(INDEX($X$2:$X$1001,MATCH(ROWS($V$2:V682),$V$2:$V$1001,0),0), INDEX($AC$1004:$AS$1004,1,MATCH(COLUMNS($AC$1006:AS1006),$AC$1006:$AS$1006,0)))),"Fix")))</f>
        <v>0</v>
      </c>
      <c r="V682">
        <v>0</v>
      </c>
      <c r="W682">
        <v>0</v>
      </c>
      <c r="X682">
        <v>0</v>
      </c>
      <c r="Y682">
        <f>IF(Z682,TRUE,AND(AC682:AS682))</f>
        <v>0</v>
      </c>
      <c r="Z682">
        <f>COUNTBLANK(Metadata!B682:R682)=COLUMNS(Metadata!B682:R682)</f>
        <v>0</v>
      </c>
      <c r="AA682">
        <v>0</v>
      </c>
      <c r="AC682">
        <f>AND(IF(Metadata!B682="",FALSE,TRUE),COUNTIF(Metadata!B:B, Metadata!B682) = 1,NOT(ISERROR(SUMPRODUCT(SEARCH(MID(Metadata!B682,ROW(INDIRECT("1:"&amp;LEN(Metadata!B682))), 1),"0123456789abcdefghijklmnopqrstuvwxyzABCDEFGHIJKLMNOPQRSTUVWXYZ.")))))</f>
        <v>0</v>
      </c>
      <c r="AD682">
        <f>AND(IF(Metadata!C682="",FALSE,TRUE),exact(Metadata!C682,"Host-associated"))</f>
        <v>0</v>
      </c>
      <c r="AE682">
        <f>AND(IF(Metadata!D682="",FALSE,TRUE),OR(exact(Metadata!D682,"Animal"),exact(Metadata!D682,"Fungus"),exact(Metadata!D682,"Plant")))</f>
        <v>0</v>
      </c>
      <c r="AF682">
        <f>AND(IF(Metadata!E682="",FALSE,TRUE),OR(exact(Metadata!E682,"Plant secretion"),exact(Metadata!E682,"Plant rhizosphere"),exact(Metadata!E682,"Plant surface"),exact(Metadata!E682,"Plant corpus"),exact(Metadata!E682,"Fungus surface"),exact(Metadata!E682,"Fungus corpus"),exact(Metadata!E682,"Animal surface"),exact(Metadata!E682,"Animal proximal gut"),exact(Metadata!E682,"Animal corpus"),exact(Metadata!E682,"Animal distal gut"),exact(Metadata!E682,"Animal secretion")))</f>
        <v>0</v>
      </c>
      <c r="AG682">
        <f>OR(AND(IF(Metadata!F682="",FALSE,TRUE),OR(exact(Metadata!F682,"not collected"),exact(Metadata!F682,"not provided"),exact(Metadata!F682,"restricted access"))),AND(IF(Metadata!F682="",FALSE,TRUE),OR(exact(Metadata!F682,"organism-associated habitat"),exact(Metadata!F682,"plant-associated habitat"),exact(Metadata!F682,"animal-associated habitat"),exact(Metadata!F682,"insecta-associated habitat"),exact(Metadata!F682,"mammalia-associated habitat"),exact(Metadata!F682,"human-associated habitat"),exact(Metadata!F682,"livestock-associated habitat"))))</f>
        <v>0</v>
      </c>
      <c r="AH682">
        <f>AND(IF(Metadata!G682="",FALSE,TRUE),exact(Metadata!G682,"host-associated"))</f>
        <v>0</v>
      </c>
      <c r="AI682">
        <f>OR(AND(IF(Metadata!H682="",FALSE,TRUE),OR(exact(Metadata!H682,"not collected"),exact(Metadata!H682,"not provided"))),AND(IF(Metadata!H682="",FALSE,ISNUMBER(VALUE(Metadata!H682))),Metadata!H682&gt;0))</f>
        <v>0</v>
      </c>
      <c r="AJ682">
        <f>AND(IF(Metadata!I682="",FALSE,TRUE),exact(Metadata!I682,"years"))</f>
        <v>0</v>
      </c>
      <c r="AK682">
        <f>IF(Metadata!J682="",FALSE,TRUE)</f>
        <v>0</v>
      </c>
      <c r="AL682">
        <f>OR(AND(IF(Metadata!K682="",FALSE,TRUE),OR(exact(Metadata!K682,"not collected"),exact(Metadata!K682,"not provided"))),AND(IF(Metadata!K682="",FALSE,ISNUMBER(VALUE(Metadata!K682))),Metadata!K682&gt;0))</f>
        <v>0</v>
      </c>
      <c r="AM682">
        <f>AND(IF(Metadata!L682="",FALSE,TRUE),exact(Metadata!L682,"cm"))</f>
        <v>0</v>
      </c>
      <c r="AN682">
        <f>IF(Metadata!M682="",FALSE,TRUE)</f>
        <v>0</v>
      </c>
      <c r="AO682">
        <f>OR(AND(IF(Metadata!N682="",FALSE,TRUE),OR(exact(Metadata!N682,"not applicable"),exact(Metadata!N682,"not collected"),exact(Metadata!N682,"not provided"))),AND(IF(Metadata!N682="",FALSE,IF(ISERROR(INT(Metadata!N682)),FALSE,INT(Metadata!N682)=Metadata!N682)),Metadata!N682&gt;0))</f>
        <v>0</v>
      </c>
      <c r="AP682">
        <f>OR(AND(IF(Metadata!O682="",FALSE,TRUE),OR(exact(Metadata!O682,"not collected"),exact(Metadata!O682,"not provided"))),AND(IF(Metadata!O682="",FALSE,ISNUMBER(VALUE(Metadata!O682))),Metadata!O682&gt;0))</f>
        <v>0</v>
      </c>
      <c r="AQ682">
        <f>AND(IF(Metadata!P682="",FALSE,TRUE),exact(Metadata!P682,"kg"))</f>
        <v>0</v>
      </c>
      <c r="AR682">
        <f>OR(AND(IF(Metadata!Q682="",FALSE,TRUE),OR(exact(Metadata!Q682,"not applicable"),exact(Metadata!Q682,"not collected"),exact(Metadata!Q682,"not provided"),exact(Metadata!Q682,"restricted access"))),IF(Metadata!Q682="",FALSE,IF(ISERROR(INT(Metadata!Q682)),FALSE,INT(Metadata!Q682)=Metadata!Q682)))</f>
        <v>0</v>
      </c>
      <c r="AS682">
        <f>AND(IF(Metadata!R682="",FALSE,TRUE),exact(Metadata!R682,"Not applicable"))</f>
        <v>0</v>
      </c>
    </row>
    <row r="683" spans="1:45">
      <c r="A683" s="4">
        <f>IF(B683=" "," ",HYPERLINK(CONCATENATE("#metadata!",ADDRESS(INDEX($X$2:$X$1001,MATCH(ROWS($V$2:V683),$V$2:$V$1001,0),0),2)),INDEX($AA$2:$AA$1001,MATCH(ROWS($V$2:V683),$V$2:$V$1001,0),0)))</f>
        <v>0</v>
      </c>
      <c r="B683" s="5">
        <f>IF(OR(INDEX($W$2:$W$1001,MATCH(ROWS($V$2:V683),$V$2:$V$1001,0),1)&gt;=100000,INDEX($AC$1005:$AS$1005,1,MATCH(COLUMNS($AC$1006:AC1006),$AC$1006:$AS$1006,0))&gt;=100000), " ",IF(INDEX($AC$2:$AS$1001,MATCH(ROWS($V$2:V683),$V$2:$V$1001,0),MATCH(COLUMNS($AC$1006:AC1006),$AC$1006:$AS$1006,0)), HYPERLINK("#",""), HYPERLINK(CONCATENATE("#Metadata!", ADDRESS(INDEX($X$2:$X$1001,MATCH(ROWS($V$2:V683),$V$2:$V$1001,0),0), INDEX($AC$1004:$AS$1004,1,MATCH(COLUMNS($AC$1006:AC1006),$AC$1006:$AS$1006,0)))),"Fix")))</f>
        <v>0</v>
      </c>
      <c r="C683" s="5">
        <f>IF(OR(INDEX($W$2:$W$1001,MATCH(ROWS($V$2:V683),$V$2:$V$1001,0),1)&gt;=100000,INDEX($AC$1005:$AS$1005,1,MATCH(COLUMNS($AC$1006:AD1006),$AC$1006:$AS$1006,0))&gt;=100000), " ",IF(INDEX($AC$2:$AS$1001,MATCH(ROWS($V$2:V683),$V$2:$V$1001,0),MATCH(COLUMNS($AC$1006:AD1006),$AC$1006:$AS$1006,0)), HYPERLINK("#",""), HYPERLINK(CONCATENATE("#Metadata!", ADDRESS(INDEX($X$2:$X$1001,MATCH(ROWS($V$2:V683),$V$2:$V$1001,0),0), INDEX($AC$1004:$AS$1004,1,MATCH(COLUMNS($AC$1006:AD1006),$AC$1006:$AS$1006,0)))),"Fix")))</f>
        <v>0</v>
      </c>
      <c r="D683" s="5">
        <f>IF(OR(INDEX($W$2:$W$1001,MATCH(ROWS($V$2:V683),$V$2:$V$1001,0),1)&gt;=100000,INDEX($AC$1005:$AS$1005,1,MATCH(COLUMNS($AC$1006:AE1006),$AC$1006:$AS$1006,0))&gt;=100000), " ",IF(INDEX($AC$2:$AS$1001,MATCH(ROWS($V$2:V683),$V$2:$V$1001,0),MATCH(COLUMNS($AC$1006:AE1006),$AC$1006:$AS$1006,0)), HYPERLINK("#",""), HYPERLINK(CONCATENATE("#Metadata!", ADDRESS(INDEX($X$2:$X$1001,MATCH(ROWS($V$2:V683),$V$2:$V$1001,0),0), INDEX($AC$1004:$AS$1004,1,MATCH(COLUMNS($AC$1006:AE1006),$AC$1006:$AS$1006,0)))),"Fix")))</f>
        <v>0</v>
      </c>
      <c r="E683" s="5">
        <f>IF(OR(INDEX($W$2:$W$1001,MATCH(ROWS($V$2:V683),$V$2:$V$1001,0),1)&gt;=100000,INDEX($AC$1005:$AS$1005,1,MATCH(COLUMNS($AC$1006:AF1006),$AC$1006:$AS$1006,0))&gt;=100000), " ",IF(INDEX($AC$2:$AS$1001,MATCH(ROWS($V$2:V683),$V$2:$V$1001,0),MATCH(COLUMNS($AC$1006:AF1006),$AC$1006:$AS$1006,0)), HYPERLINK("#",""), HYPERLINK(CONCATENATE("#Metadata!", ADDRESS(INDEX($X$2:$X$1001,MATCH(ROWS($V$2:V683),$V$2:$V$1001,0),0), INDEX($AC$1004:$AS$1004,1,MATCH(COLUMNS($AC$1006:AF1006),$AC$1006:$AS$1006,0)))),"Fix")))</f>
        <v>0</v>
      </c>
      <c r="F683" s="5">
        <f>IF(OR(INDEX($W$2:$W$1001,MATCH(ROWS($V$2:V683),$V$2:$V$1001,0),1)&gt;=100000,INDEX($AC$1005:$AS$1005,1,MATCH(COLUMNS($AC$1006:AG1006),$AC$1006:$AS$1006,0))&gt;=100000), " ",IF(INDEX($AC$2:$AS$1001,MATCH(ROWS($V$2:V683),$V$2:$V$1001,0),MATCH(COLUMNS($AC$1006:AG1006),$AC$1006:$AS$1006,0)), HYPERLINK("#",""), HYPERLINK(CONCATENATE("#Metadata!", ADDRESS(INDEX($X$2:$X$1001,MATCH(ROWS($V$2:V683),$V$2:$V$1001,0),0), INDEX($AC$1004:$AS$1004,1,MATCH(COLUMNS($AC$1006:AG1006),$AC$1006:$AS$1006,0)))),"Fix")))</f>
        <v>0</v>
      </c>
      <c r="G683" s="5">
        <f>IF(OR(INDEX($W$2:$W$1001,MATCH(ROWS($V$2:V683),$V$2:$V$1001,0),1)&gt;=100000,INDEX($AC$1005:$AS$1005,1,MATCH(COLUMNS($AC$1006:AH1006),$AC$1006:$AS$1006,0))&gt;=100000), " ",IF(INDEX($AC$2:$AS$1001,MATCH(ROWS($V$2:V683),$V$2:$V$1001,0),MATCH(COLUMNS($AC$1006:AH1006),$AC$1006:$AS$1006,0)), HYPERLINK("#",""), HYPERLINK(CONCATENATE("#Metadata!", ADDRESS(INDEX($X$2:$X$1001,MATCH(ROWS($V$2:V683),$V$2:$V$1001,0),0), INDEX($AC$1004:$AS$1004,1,MATCH(COLUMNS($AC$1006:AH1006),$AC$1006:$AS$1006,0)))),"Fix")))</f>
        <v>0</v>
      </c>
      <c r="H683" s="5">
        <f>IF(OR(INDEX($W$2:$W$1001,MATCH(ROWS($V$2:V683),$V$2:$V$1001,0),1)&gt;=100000,INDEX($AC$1005:$AS$1005,1,MATCH(COLUMNS($AC$1006:AI1006),$AC$1006:$AS$1006,0))&gt;=100000), " ",IF(INDEX($AC$2:$AS$1001,MATCH(ROWS($V$2:V683),$V$2:$V$1001,0),MATCH(COLUMNS($AC$1006:AI1006),$AC$1006:$AS$1006,0)), HYPERLINK("#",""), HYPERLINK(CONCATENATE("#Metadata!", ADDRESS(INDEX($X$2:$X$1001,MATCH(ROWS($V$2:V683),$V$2:$V$1001,0),0), INDEX($AC$1004:$AS$1004,1,MATCH(COLUMNS($AC$1006:AI1006),$AC$1006:$AS$1006,0)))),"Fix")))</f>
        <v>0</v>
      </c>
      <c r="I683" s="5">
        <f>IF(OR(INDEX($W$2:$W$1001,MATCH(ROWS($V$2:V683),$V$2:$V$1001,0),1)&gt;=100000,INDEX($AC$1005:$AS$1005,1,MATCH(COLUMNS($AC$1006:AJ1006),$AC$1006:$AS$1006,0))&gt;=100000), " ",IF(INDEX($AC$2:$AS$1001,MATCH(ROWS($V$2:V683),$V$2:$V$1001,0),MATCH(COLUMNS($AC$1006:AJ1006),$AC$1006:$AS$1006,0)), HYPERLINK("#",""), HYPERLINK(CONCATENATE("#Metadata!", ADDRESS(INDEX($X$2:$X$1001,MATCH(ROWS($V$2:V683),$V$2:$V$1001,0),0), INDEX($AC$1004:$AS$1004,1,MATCH(COLUMNS($AC$1006:AJ1006),$AC$1006:$AS$1006,0)))),"Fix")))</f>
        <v>0</v>
      </c>
      <c r="J683" s="5">
        <f>IF(OR(INDEX($W$2:$W$1001,MATCH(ROWS($V$2:V683),$V$2:$V$1001,0),1)&gt;=100000,INDEX($AC$1005:$AS$1005,1,MATCH(COLUMNS($AC$1006:AK1006),$AC$1006:$AS$1006,0))&gt;=100000), " ",IF(INDEX($AC$2:$AS$1001,MATCH(ROWS($V$2:V683),$V$2:$V$1001,0),MATCH(COLUMNS($AC$1006:AK1006),$AC$1006:$AS$1006,0)), HYPERLINK("#",""), HYPERLINK(CONCATENATE("#Metadata!", ADDRESS(INDEX($X$2:$X$1001,MATCH(ROWS($V$2:V683),$V$2:$V$1001,0),0), INDEX($AC$1004:$AS$1004,1,MATCH(COLUMNS($AC$1006:AK1006),$AC$1006:$AS$1006,0)))),"Fix")))</f>
        <v>0</v>
      </c>
      <c r="K683" s="5">
        <f>IF(OR(INDEX($W$2:$W$1001,MATCH(ROWS($V$2:V683),$V$2:$V$1001,0),1)&gt;=100000,INDEX($AC$1005:$AS$1005,1,MATCH(COLUMNS($AC$1006:AL1006),$AC$1006:$AS$1006,0))&gt;=100000), " ",IF(INDEX($AC$2:$AS$1001,MATCH(ROWS($V$2:V683),$V$2:$V$1001,0),MATCH(COLUMNS($AC$1006:AL1006),$AC$1006:$AS$1006,0)), HYPERLINK("#",""), HYPERLINK(CONCATENATE("#Metadata!", ADDRESS(INDEX($X$2:$X$1001,MATCH(ROWS($V$2:V683),$V$2:$V$1001,0),0), INDEX($AC$1004:$AS$1004,1,MATCH(COLUMNS($AC$1006:AL1006),$AC$1006:$AS$1006,0)))),"Fix")))</f>
        <v>0</v>
      </c>
      <c r="L683" s="5">
        <f>IF(OR(INDEX($W$2:$W$1001,MATCH(ROWS($V$2:V683),$V$2:$V$1001,0),1)&gt;=100000,INDEX($AC$1005:$AS$1005,1,MATCH(COLUMNS($AC$1006:AM1006),$AC$1006:$AS$1006,0))&gt;=100000), " ",IF(INDEX($AC$2:$AS$1001,MATCH(ROWS($V$2:V683),$V$2:$V$1001,0),MATCH(COLUMNS($AC$1006:AM1006),$AC$1006:$AS$1006,0)), HYPERLINK("#",""), HYPERLINK(CONCATENATE("#Metadata!", ADDRESS(INDEX($X$2:$X$1001,MATCH(ROWS($V$2:V683),$V$2:$V$1001,0),0), INDEX($AC$1004:$AS$1004,1,MATCH(COLUMNS($AC$1006:AM1006),$AC$1006:$AS$1006,0)))),"Fix")))</f>
        <v>0</v>
      </c>
      <c r="M683" s="5">
        <f>IF(OR(INDEX($W$2:$W$1001,MATCH(ROWS($V$2:V683),$V$2:$V$1001,0),1)&gt;=100000,INDEX($AC$1005:$AS$1005,1,MATCH(COLUMNS($AC$1006:AN1006),$AC$1006:$AS$1006,0))&gt;=100000), " ",IF(INDEX($AC$2:$AS$1001,MATCH(ROWS($V$2:V683),$V$2:$V$1001,0),MATCH(COLUMNS($AC$1006:AN1006),$AC$1006:$AS$1006,0)), HYPERLINK("#",""), HYPERLINK(CONCATENATE("#Metadata!", ADDRESS(INDEX($X$2:$X$1001,MATCH(ROWS($V$2:V683),$V$2:$V$1001,0),0), INDEX($AC$1004:$AS$1004,1,MATCH(COLUMNS($AC$1006:AN1006),$AC$1006:$AS$1006,0)))),"Fix")))</f>
        <v>0</v>
      </c>
      <c r="N683" s="5">
        <f>IF(OR(INDEX($W$2:$W$1001,MATCH(ROWS($V$2:V683),$V$2:$V$1001,0),1)&gt;=100000,INDEX($AC$1005:$AS$1005,1,MATCH(COLUMNS($AC$1006:AO1006),$AC$1006:$AS$1006,0))&gt;=100000), " ",IF(INDEX($AC$2:$AS$1001,MATCH(ROWS($V$2:V683),$V$2:$V$1001,0),MATCH(COLUMNS($AC$1006:AO1006),$AC$1006:$AS$1006,0)), HYPERLINK("#",""), HYPERLINK(CONCATENATE("#Metadata!", ADDRESS(INDEX($X$2:$X$1001,MATCH(ROWS($V$2:V683),$V$2:$V$1001,0),0), INDEX($AC$1004:$AS$1004,1,MATCH(COLUMNS($AC$1006:AO1006),$AC$1006:$AS$1006,0)))),"Fix")))</f>
        <v>0</v>
      </c>
      <c r="O683" s="5">
        <f>IF(OR(INDEX($W$2:$W$1001,MATCH(ROWS($V$2:V683),$V$2:$V$1001,0),1)&gt;=100000,INDEX($AC$1005:$AS$1005,1,MATCH(COLUMNS($AC$1006:AP1006),$AC$1006:$AS$1006,0))&gt;=100000), " ",IF(INDEX($AC$2:$AS$1001,MATCH(ROWS($V$2:V683),$V$2:$V$1001,0),MATCH(COLUMNS($AC$1006:AP1006),$AC$1006:$AS$1006,0)), HYPERLINK("#",""), HYPERLINK(CONCATENATE("#Metadata!", ADDRESS(INDEX($X$2:$X$1001,MATCH(ROWS($V$2:V683),$V$2:$V$1001,0),0), INDEX($AC$1004:$AS$1004,1,MATCH(COLUMNS($AC$1006:AP1006),$AC$1006:$AS$1006,0)))),"Fix")))</f>
        <v>0</v>
      </c>
      <c r="P683" s="5">
        <f>IF(OR(INDEX($W$2:$W$1001,MATCH(ROWS($V$2:V683),$V$2:$V$1001,0),1)&gt;=100000,INDEX($AC$1005:$AS$1005,1,MATCH(COLUMNS($AC$1006:AQ1006),$AC$1006:$AS$1006,0))&gt;=100000), " ",IF(INDEX($AC$2:$AS$1001,MATCH(ROWS($V$2:V683),$V$2:$V$1001,0),MATCH(COLUMNS($AC$1006:AQ1006),$AC$1006:$AS$1006,0)), HYPERLINK("#",""), HYPERLINK(CONCATENATE("#Metadata!", ADDRESS(INDEX($X$2:$X$1001,MATCH(ROWS($V$2:V683),$V$2:$V$1001,0),0), INDEX($AC$1004:$AS$1004,1,MATCH(COLUMNS($AC$1006:AQ1006),$AC$1006:$AS$1006,0)))),"Fix")))</f>
        <v>0</v>
      </c>
      <c r="Q683" s="5">
        <f>IF(OR(INDEX($W$2:$W$1001,MATCH(ROWS($V$2:V683),$V$2:$V$1001,0),1)&gt;=100000,INDEX($AC$1005:$AS$1005,1,MATCH(COLUMNS($AC$1006:AR1006),$AC$1006:$AS$1006,0))&gt;=100000), " ",IF(INDEX($AC$2:$AS$1001,MATCH(ROWS($V$2:V683),$V$2:$V$1001,0),MATCH(COLUMNS($AC$1006:AR1006),$AC$1006:$AS$1006,0)), HYPERLINK("#",""), HYPERLINK(CONCATENATE("#Metadata!", ADDRESS(INDEX($X$2:$X$1001,MATCH(ROWS($V$2:V683),$V$2:$V$1001,0),0), INDEX($AC$1004:$AS$1004,1,MATCH(COLUMNS($AC$1006:AR1006),$AC$1006:$AS$1006,0)))),"Fix")))</f>
        <v>0</v>
      </c>
      <c r="R683" s="5">
        <f>IF(OR(INDEX($W$2:$W$1001,MATCH(ROWS($V$2:V683),$V$2:$V$1001,0),1)&gt;=100000,INDEX($AC$1005:$AS$1005,1,MATCH(COLUMNS($AC$1006:AS1006),$AC$1006:$AS$1006,0))&gt;=100000), " ",IF(INDEX($AC$2:$AS$1001,MATCH(ROWS($V$2:V683),$V$2:$V$1001,0),MATCH(COLUMNS($AC$1006:AS1006),$AC$1006:$AS$1006,0)), HYPERLINK("#",""), HYPERLINK(CONCATENATE("#Metadata!", ADDRESS(INDEX($X$2:$X$1001,MATCH(ROWS($V$2:V683),$V$2:$V$1001,0),0), INDEX($AC$1004:$AS$1004,1,MATCH(COLUMNS($AC$1006:AS1006),$AC$1006:$AS$1006,0)))),"Fix")))</f>
        <v>0</v>
      </c>
      <c r="V683">
        <v>0</v>
      </c>
      <c r="W683">
        <v>0</v>
      </c>
      <c r="X683">
        <v>0</v>
      </c>
      <c r="Y683">
        <f>IF(Z683,TRUE,AND(AC683:AS683))</f>
        <v>0</v>
      </c>
      <c r="Z683">
        <f>COUNTBLANK(Metadata!B683:R683)=COLUMNS(Metadata!B683:R683)</f>
        <v>0</v>
      </c>
      <c r="AA683">
        <v>0</v>
      </c>
      <c r="AC683">
        <f>AND(IF(Metadata!B683="",FALSE,TRUE),COUNTIF(Metadata!B:B, Metadata!B683) = 1,NOT(ISERROR(SUMPRODUCT(SEARCH(MID(Metadata!B683,ROW(INDIRECT("1:"&amp;LEN(Metadata!B683))), 1),"0123456789abcdefghijklmnopqrstuvwxyzABCDEFGHIJKLMNOPQRSTUVWXYZ.")))))</f>
        <v>0</v>
      </c>
      <c r="AD683">
        <f>AND(IF(Metadata!C683="",FALSE,TRUE),exact(Metadata!C683,"Host-associated"))</f>
        <v>0</v>
      </c>
      <c r="AE683">
        <f>AND(IF(Metadata!D683="",FALSE,TRUE),OR(exact(Metadata!D683,"Animal"),exact(Metadata!D683,"Fungus"),exact(Metadata!D683,"Plant")))</f>
        <v>0</v>
      </c>
      <c r="AF683">
        <f>AND(IF(Metadata!E683="",FALSE,TRUE),OR(exact(Metadata!E683,"Plant secretion"),exact(Metadata!E683,"Plant rhizosphere"),exact(Metadata!E683,"Plant surface"),exact(Metadata!E683,"Plant corpus"),exact(Metadata!E683,"Fungus surface"),exact(Metadata!E683,"Fungus corpus"),exact(Metadata!E683,"Animal surface"),exact(Metadata!E683,"Animal proximal gut"),exact(Metadata!E683,"Animal corpus"),exact(Metadata!E683,"Animal distal gut"),exact(Metadata!E683,"Animal secretion")))</f>
        <v>0</v>
      </c>
      <c r="AG683">
        <f>OR(AND(IF(Metadata!F683="",FALSE,TRUE),OR(exact(Metadata!F683,"not collected"),exact(Metadata!F683,"not provided"),exact(Metadata!F683,"restricted access"))),AND(IF(Metadata!F683="",FALSE,TRUE),OR(exact(Metadata!F683,"organism-associated habitat"),exact(Metadata!F683,"plant-associated habitat"),exact(Metadata!F683,"animal-associated habitat"),exact(Metadata!F683,"insecta-associated habitat"),exact(Metadata!F683,"mammalia-associated habitat"),exact(Metadata!F683,"human-associated habitat"),exact(Metadata!F683,"livestock-associated habitat"))))</f>
        <v>0</v>
      </c>
      <c r="AH683">
        <f>AND(IF(Metadata!G683="",FALSE,TRUE),exact(Metadata!G683,"host-associated"))</f>
        <v>0</v>
      </c>
      <c r="AI683">
        <f>OR(AND(IF(Metadata!H683="",FALSE,TRUE),OR(exact(Metadata!H683,"not collected"),exact(Metadata!H683,"not provided"))),AND(IF(Metadata!H683="",FALSE,ISNUMBER(VALUE(Metadata!H683))),Metadata!H683&gt;0))</f>
        <v>0</v>
      </c>
      <c r="AJ683">
        <f>AND(IF(Metadata!I683="",FALSE,TRUE),exact(Metadata!I683,"years"))</f>
        <v>0</v>
      </c>
      <c r="AK683">
        <f>IF(Metadata!J683="",FALSE,TRUE)</f>
        <v>0</v>
      </c>
      <c r="AL683">
        <f>OR(AND(IF(Metadata!K683="",FALSE,TRUE),OR(exact(Metadata!K683,"not collected"),exact(Metadata!K683,"not provided"))),AND(IF(Metadata!K683="",FALSE,ISNUMBER(VALUE(Metadata!K683))),Metadata!K683&gt;0))</f>
        <v>0</v>
      </c>
      <c r="AM683">
        <f>AND(IF(Metadata!L683="",FALSE,TRUE),exact(Metadata!L683,"cm"))</f>
        <v>0</v>
      </c>
      <c r="AN683">
        <f>IF(Metadata!M683="",FALSE,TRUE)</f>
        <v>0</v>
      </c>
      <c r="AO683">
        <f>OR(AND(IF(Metadata!N683="",FALSE,TRUE),OR(exact(Metadata!N683,"not applicable"),exact(Metadata!N683,"not collected"),exact(Metadata!N683,"not provided"))),AND(IF(Metadata!N683="",FALSE,IF(ISERROR(INT(Metadata!N683)),FALSE,INT(Metadata!N683)=Metadata!N683)),Metadata!N683&gt;0))</f>
        <v>0</v>
      </c>
      <c r="AP683">
        <f>OR(AND(IF(Metadata!O683="",FALSE,TRUE),OR(exact(Metadata!O683,"not collected"),exact(Metadata!O683,"not provided"))),AND(IF(Metadata!O683="",FALSE,ISNUMBER(VALUE(Metadata!O683))),Metadata!O683&gt;0))</f>
        <v>0</v>
      </c>
      <c r="AQ683">
        <f>AND(IF(Metadata!P683="",FALSE,TRUE),exact(Metadata!P683,"kg"))</f>
        <v>0</v>
      </c>
      <c r="AR683">
        <f>OR(AND(IF(Metadata!Q683="",FALSE,TRUE),OR(exact(Metadata!Q683,"not applicable"),exact(Metadata!Q683,"not collected"),exact(Metadata!Q683,"not provided"),exact(Metadata!Q683,"restricted access"))),IF(Metadata!Q683="",FALSE,IF(ISERROR(INT(Metadata!Q683)),FALSE,INT(Metadata!Q683)=Metadata!Q683)))</f>
        <v>0</v>
      </c>
      <c r="AS683">
        <f>AND(IF(Metadata!R683="",FALSE,TRUE),exact(Metadata!R683,"Not applicable"))</f>
        <v>0</v>
      </c>
    </row>
    <row r="684" spans="1:45">
      <c r="A684" s="4">
        <f>IF(B684=" "," ",HYPERLINK(CONCATENATE("#metadata!",ADDRESS(INDEX($X$2:$X$1001,MATCH(ROWS($V$2:V684),$V$2:$V$1001,0),0),2)),INDEX($AA$2:$AA$1001,MATCH(ROWS($V$2:V684),$V$2:$V$1001,0),0)))</f>
        <v>0</v>
      </c>
      <c r="B684" s="5">
        <f>IF(OR(INDEX($W$2:$W$1001,MATCH(ROWS($V$2:V684),$V$2:$V$1001,0),1)&gt;=100000,INDEX($AC$1005:$AS$1005,1,MATCH(COLUMNS($AC$1006:AC1006),$AC$1006:$AS$1006,0))&gt;=100000), " ",IF(INDEX($AC$2:$AS$1001,MATCH(ROWS($V$2:V684),$V$2:$V$1001,0),MATCH(COLUMNS($AC$1006:AC1006),$AC$1006:$AS$1006,0)), HYPERLINK("#",""), HYPERLINK(CONCATENATE("#Metadata!", ADDRESS(INDEX($X$2:$X$1001,MATCH(ROWS($V$2:V684),$V$2:$V$1001,0),0), INDEX($AC$1004:$AS$1004,1,MATCH(COLUMNS($AC$1006:AC1006),$AC$1006:$AS$1006,0)))),"Fix")))</f>
        <v>0</v>
      </c>
      <c r="C684" s="5">
        <f>IF(OR(INDEX($W$2:$W$1001,MATCH(ROWS($V$2:V684),$V$2:$V$1001,0),1)&gt;=100000,INDEX($AC$1005:$AS$1005,1,MATCH(COLUMNS($AC$1006:AD1006),$AC$1006:$AS$1006,0))&gt;=100000), " ",IF(INDEX($AC$2:$AS$1001,MATCH(ROWS($V$2:V684),$V$2:$V$1001,0),MATCH(COLUMNS($AC$1006:AD1006),$AC$1006:$AS$1006,0)), HYPERLINK("#",""), HYPERLINK(CONCATENATE("#Metadata!", ADDRESS(INDEX($X$2:$X$1001,MATCH(ROWS($V$2:V684),$V$2:$V$1001,0),0), INDEX($AC$1004:$AS$1004,1,MATCH(COLUMNS($AC$1006:AD1006),$AC$1006:$AS$1006,0)))),"Fix")))</f>
        <v>0</v>
      </c>
      <c r="D684" s="5">
        <f>IF(OR(INDEX($W$2:$W$1001,MATCH(ROWS($V$2:V684),$V$2:$V$1001,0),1)&gt;=100000,INDEX($AC$1005:$AS$1005,1,MATCH(COLUMNS($AC$1006:AE1006),$AC$1006:$AS$1006,0))&gt;=100000), " ",IF(INDEX($AC$2:$AS$1001,MATCH(ROWS($V$2:V684),$V$2:$V$1001,0),MATCH(COLUMNS($AC$1006:AE1006),$AC$1006:$AS$1006,0)), HYPERLINK("#",""), HYPERLINK(CONCATENATE("#Metadata!", ADDRESS(INDEX($X$2:$X$1001,MATCH(ROWS($V$2:V684),$V$2:$V$1001,0),0), INDEX($AC$1004:$AS$1004,1,MATCH(COLUMNS($AC$1006:AE1006),$AC$1006:$AS$1006,0)))),"Fix")))</f>
        <v>0</v>
      </c>
      <c r="E684" s="5">
        <f>IF(OR(INDEX($W$2:$W$1001,MATCH(ROWS($V$2:V684),$V$2:$V$1001,0),1)&gt;=100000,INDEX($AC$1005:$AS$1005,1,MATCH(COLUMNS($AC$1006:AF1006),$AC$1006:$AS$1006,0))&gt;=100000), " ",IF(INDEX($AC$2:$AS$1001,MATCH(ROWS($V$2:V684),$V$2:$V$1001,0),MATCH(COLUMNS($AC$1006:AF1006),$AC$1006:$AS$1006,0)), HYPERLINK("#",""), HYPERLINK(CONCATENATE("#Metadata!", ADDRESS(INDEX($X$2:$X$1001,MATCH(ROWS($V$2:V684),$V$2:$V$1001,0),0), INDEX($AC$1004:$AS$1004,1,MATCH(COLUMNS($AC$1006:AF1006),$AC$1006:$AS$1006,0)))),"Fix")))</f>
        <v>0</v>
      </c>
      <c r="F684" s="5">
        <f>IF(OR(INDEX($W$2:$W$1001,MATCH(ROWS($V$2:V684),$V$2:$V$1001,0),1)&gt;=100000,INDEX($AC$1005:$AS$1005,1,MATCH(COLUMNS($AC$1006:AG1006),$AC$1006:$AS$1006,0))&gt;=100000), " ",IF(INDEX($AC$2:$AS$1001,MATCH(ROWS($V$2:V684),$V$2:$V$1001,0),MATCH(COLUMNS($AC$1006:AG1006),$AC$1006:$AS$1006,0)), HYPERLINK("#",""), HYPERLINK(CONCATENATE("#Metadata!", ADDRESS(INDEX($X$2:$X$1001,MATCH(ROWS($V$2:V684),$V$2:$V$1001,0),0), INDEX($AC$1004:$AS$1004,1,MATCH(COLUMNS($AC$1006:AG1006),$AC$1006:$AS$1006,0)))),"Fix")))</f>
        <v>0</v>
      </c>
      <c r="G684" s="5">
        <f>IF(OR(INDEX($W$2:$W$1001,MATCH(ROWS($V$2:V684),$V$2:$V$1001,0),1)&gt;=100000,INDEX($AC$1005:$AS$1005,1,MATCH(COLUMNS($AC$1006:AH1006),$AC$1006:$AS$1006,0))&gt;=100000), " ",IF(INDEX($AC$2:$AS$1001,MATCH(ROWS($V$2:V684),$V$2:$V$1001,0),MATCH(COLUMNS($AC$1006:AH1006),$AC$1006:$AS$1006,0)), HYPERLINK("#",""), HYPERLINK(CONCATENATE("#Metadata!", ADDRESS(INDEX($X$2:$X$1001,MATCH(ROWS($V$2:V684),$V$2:$V$1001,0),0), INDEX($AC$1004:$AS$1004,1,MATCH(COLUMNS($AC$1006:AH1006),$AC$1006:$AS$1006,0)))),"Fix")))</f>
        <v>0</v>
      </c>
      <c r="H684" s="5">
        <f>IF(OR(INDEX($W$2:$W$1001,MATCH(ROWS($V$2:V684),$V$2:$V$1001,0),1)&gt;=100000,INDEX($AC$1005:$AS$1005,1,MATCH(COLUMNS($AC$1006:AI1006),$AC$1006:$AS$1006,0))&gt;=100000), " ",IF(INDEX($AC$2:$AS$1001,MATCH(ROWS($V$2:V684),$V$2:$V$1001,0),MATCH(COLUMNS($AC$1006:AI1006),$AC$1006:$AS$1006,0)), HYPERLINK("#",""), HYPERLINK(CONCATENATE("#Metadata!", ADDRESS(INDEX($X$2:$X$1001,MATCH(ROWS($V$2:V684),$V$2:$V$1001,0),0), INDEX($AC$1004:$AS$1004,1,MATCH(COLUMNS($AC$1006:AI1006),$AC$1006:$AS$1006,0)))),"Fix")))</f>
        <v>0</v>
      </c>
      <c r="I684" s="5">
        <f>IF(OR(INDEX($W$2:$W$1001,MATCH(ROWS($V$2:V684),$V$2:$V$1001,0),1)&gt;=100000,INDEX($AC$1005:$AS$1005,1,MATCH(COLUMNS($AC$1006:AJ1006),$AC$1006:$AS$1006,0))&gt;=100000), " ",IF(INDEX($AC$2:$AS$1001,MATCH(ROWS($V$2:V684),$V$2:$V$1001,0),MATCH(COLUMNS($AC$1006:AJ1006),$AC$1006:$AS$1006,0)), HYPERLINK("#",""), HYPERLINK(CONCATENATE("#Metadata!", ADDRESS(INDEX($X$2:$X$1001,MATCH(ROWS($V$2:V684),$V$2:$V$1001,0),0), INDEX($AC$1004:$AS$1004,1,MATCH(COLUMNS($AC$1006:AJ1006),$AC$1006:$AS$1006,0)))),"Fix")))</f>
        <v>0</v>
      </c>
      <c r="J684" s="5">
        <f>IF(OR(INDEX($W$2:$W$1001,MATCH(ROWS($V$2:V684),$V$2:$V$1001,0),1)&gt;=100000,INDEX($AC$1005:$AS$1005,1,MATCH(COLUMNS($AC$1006:AK1006),$AC$1006:$AS$1006,0))&gt;=100000), " ",IF(INDEX($AC$2:$AS$1001,MATCH(ROWS($V$2:V684),$V$2:$V$1001,0),MATCH(COLUMNS($AC$1006:AK1006),$AC$1006:$AS$1006,0)), HYPERLINK("#",""), HYPERLINK(CONCATENATE("#Metadata!", ADDRESS(INDEX($X$2:$X$1001,MATCH(ROWS($V$2:V684),$V$2:$V$1001,0),0), INDEX($AC$1004:$AS$1004,1,MATCH(COLUMNS($AC$1006:AK1006),$AC$1006:$AS$1006,0)))),"Fix")))</f>
        <v>0</v>
      </c>
      <c r="K684" s="5">
        <f>IF(OR(INDEX($W$2:$W$1001,MATCH(ROWS($V$2:V684),$V$2:$V$1001,0),1)&gt;=100000,INDEX($AC$1005:$AS$1005,1,MATCH(COLUMNS($AC$1006:AL1006),$AC$1006:$AS$1006,0))&gt;=100000), " ",IF(INDEX($AC$2:$AS$1001,MATCH(ROWS($V$2:V684),$V$2:$V$1001,0),MATCH(COLUMNS($AC$1006:AL1006),$AC$1006:$AS$1006,0)), HYPERLINK("#",""), HYPERLINK(CONCATENATE("#Metadata!", ADDRESS(INDEX($X$2:$X$1001,MATCH(ROWS($V$2:V684),$V$2:$V$1001,0),0), INDEX($AC$1004:$AS$1004,1,MATCH(COLUMNS($AC$1006:AL1006),$AC$1006:$AS$1006,0)))),"Fix")))</f>
        <v>0</v>
      </c>
      <c r="L684" s="5">
        <f>IF(OR(INDEX($W$2:$W$1001,MATCH(ROWS($V$2:V684),$V$2:$V$1001,0),1)&gt;=100000,INDEX($AC$1005:$AS$1005,1,MATCH(COLUMNS($AC$1006:AM1006),$AC$1006:$AS$1006,0))&gt;=100000), " ",IF(INDEX($AC$2:$AS$1001,MATCH(ROWS($V$2:V684),$V$2:$V$1001,0),MATCH(COLUMNS($AC$1006:AM1006),$AC$1006:$AS$1006,0)), HYPERLINK("#",""), HYPERLINK(CONCATENATE("#Metadata!", ADDRESS(INDEX($X$2:$X$1001,MATCH(ROWS($V$2:V684),$V$2:$V$1001,0),0), INDEX($AC$1004:$AS$1004,1,MATCH(COLUMNS($AC$1006:AM1006),$AC$1006:$AS$1006,0)))),"Fix")))</f>
        <v>0</v>
      </c>
      <c r="M684" s="5">
        <f>IF(OR(INDEX($W$2:$W$1001,MATCH(ROWS($V$2:V684),$V$2:$V$1001,0),1)&gt;=100000,INDEX($AC$1005:$AS$1005,1,MATCH(COLUMNS($AC$1006:AN1006),$AC$1006:$AS$1006,0))&gt;=100000), " ",IF(INDEX($AC$2:$AS$1001,MATCH(ROWS($V$2:V684),$V$2:$V$1001,0),MATCH(COLUMNS($AC$1006:AN1006),$AC$1006:$AS$1006,0)), HYPERLINK("#",""), HYPERLINK(CONCATENATE("#Metadata!", ADDRESS(INDEX($X$2:$X$1001,MATCH(ROWS($V$2:V684),$V$2:$V$1001,0),0), INDEX($AC$1004:$AS$1004,1,MATCH(COLUMNS($AC$1006:AN1006),$AC$1006:$AS$1006,0)))),"Fix")))</f>
        <v>0</v>
      </c>
      <c r="N684" s="5">
        <f>IF(OR(INDEX($W$2:$W$1001,MATCH(ROWS($V$2:V684),$V$2:$V$1001,0),1)&gt;=100000,INDEX($AC$1005:$AS$1005,1,MATCH(COLUMNS($AC$1006:AO1006),$AC$1006:$AS$1006,0))&gt;=100000), " ",IF(INDEX($AC$2:$AS$1001,MATCH(ROWS($V$2:V684),$V$2:$V$1001,0),MATCH(COLUMNS($AC$1006:AO1006),$AC$1006:$AS$1006,0)), HYPERLINK("#",""), HYPERLINK(CONCATENATE("#Metadata!", ADDRESS(INDEX($X$2:$X$1001,MATCH(ROWS($V$2:V684),$V$2:$V$1001,0),0), INDEX($AC$1004:$AS$1004,1,MATCH(COLUMNS($AC$1006:AO1006),$AC$1006:$AS$1006,0)))),"Fix")))</f>
        <v>0</v>
      </c>
      <c r="O684" s="5">
        <f>IF(OR(INDEX($W$2:$W$1001,MATCH(ROWS($V$2:V684),$V$2:$V$1001,0),1)&gt;=100000,INDEX($AC$1005:$AS$1005,1,MATCH(COLUMNS($AC$1006:AP1006),$AC$1006:$AS$1006,0))&gt;=100000), " ",IF(INDEX($AC$2:$AS$1001,MATCH(ROWS($V$2:V684),$V$2:$V$1001,0),MATCH(COLUMNS($AC$1006:AP1006),$AC$1006:$AS$1006,0)), HYPERLINK("#",""), HYPERLINK(CONCATENATE("#Metadata!", ADDRESS(INDEX($X$2:$X$1001,MATCH(ROWS($V$2:V684),$V$2:$V$1001,0),0), INDEX($AC$1004:$AS$1004,1,MATCH(COLUMNS($AC$1006:AP1006),$AC$1006:$AS$1006,0)))),"Fix")))</f>
        <v>0</v>
      </c>
      <c r="P684" s="5">
        <f>IF(OR(INDEX($W$2:$W$1001,MATCH(ROWS($V$2:V684),$V$2:$V$1001,0),1)&gt;=100000,INDEX($AC$1005:$AS$1005,1,MATCH(COLUMNS($AC$1006:AQ1006),$AC$1006:$AS$1006,0))&gt;=100000), " ",IF(INDEX($AC$2:$AS$1001,MATCH(ROWS($V$2:V684),$V$2:$V$1001,0),MATCH(COLUMNS($AC$1006:AQ1006),$AC$1006:$AS$1006,0)), HYPERLINK("#",""), HYPERLINK(CONCATENATE("#Metadata!", ADDRESS(INDEX($X$2:$X$1001,MATCH(ROWS($V$2:V684),$V$2:$V$1001,0),0), INDEX($AC$1004:$AS$1004,1,MATCH(COLUMNS($AC$1006:AQ1006),$AC$1006:$AS$1006,0)))),"Fix")))</f>
        <v>0</v>
      </c>
      <c r="Q684" s="5">
        <f>IF(OR(INDEX($W$2:$W$1001,MATCH(ROWS($V$2:V684),$V$2:$V$1001,0),1)&gt;=100000,INDEX($AC$1005:$AS$1005,1,MATCH(COLUMNS($AC$1006:AR1006),$AC$1006:$AS$1006,0))&gt;=100000), " ",IF(INDEX($AC$2:$AS$1001,MATCH(ROWS($V$2:V684),$V$2:$V$1001,0),MATCH(COLUMNS($AC$1006:AR1006),$AC$1006:$AS$1006,0)), HYPERLINK("#",""), HYPERLINK(CONCATENATE("#Metadata!", ADDRESS(INDEX($X$2:$X$1001,MATCH(ROWS($V$2:V684),$V$2:$V$1001,0),0), INDEX($AC$1004:$AS$1004,1,MATCH(COLUMNS($AC$1006:AR1006),$AC$1006:$AS$1006,0)))),"Fix")))</f>
        <v>0</v>
      </c>
      <c r="R684" s="5">
        <f>IF(OR(INDEX($W$2:$W$1001,MATCH(ROWS($V$2:V684),$V$2:$V$1001,0),1)&gt;=100000,INDEX($AC$1005:$AS$1005,1,MATCH(COLUMNS($AC$1006:AS1006),$AC$1006:$AS$1006,0))&gt;=100000), " ",IF(INDEX($AC$2:$AS$1001,MATCH(ROWS($V$2:V684),$V$2:$V$1001,0),MATCH(COLUMNS($AC$1006:AS1006),$AC$1006:$AS$1006,0)), HYPERLINK("#",""), HYPERLINK(CONCATENATE("#Metadata!", ADDRESS(INDEX($X$2:$X$1001,MATCH(ROWS($V$2:V684),$V$2:$V$1001,0),0), INDEX($AC$1004:$AS$1004,1,MATCH(COLUMNS($AC$1006:AS1006),$AC$1006:$AS$1006,0)))),"Fix")))</f>
        <v>0</v>
      </c>
      <c r="V684">
        <v>0</v>
      </c>
      <c r="W684">
        <v>0</v>
      </c>
      <c r="X684">
        <v>0</v>
      </c>
      <c r="Y684">
        <f>IF(Z684,TRUE,AND(AC684:AS684))</f>
        <v>0</v>
      </c>
      <c r="Z684">
        <f>COUNTBLANK(Metadata!B684:R684)=COLUMNS(Metadata!B684:R684)</f>
        <v>0</v>
      </c>
      <c r="AA684">
        <v>0</v>
      </c>
      <c r="AC684">
        <f>AND(IF(Metadata!B684="",FALSE,TRUE),COUNTIF(Metadata!B:B, Metadata!B684) = 1,NOT(ISERROR(SUMPRODUCT(SEARCH(MID(Metadata!B684,ROW(INDIRECT("1:"&amp;LEN(Metadata!B684))), 1),"0123456789abcdefghijklmnopqrstuvwxyzABCDEFGHIJKLMNOPQRSTUVWXYZ.")))))</f>
        <v>0</v>
      </c>
      <c r="AD684">
        <f>AND(IF(Metadata!C684="",FALSE,TRUE),exact(Metadata!C684,"Host-associated"))</f>
        <v>0</v>
      </c>
      <c r="AE684">
        <f>AND(IF(Metadata!D684="",FALSE,TRUE),OR(exact(Metadata!D684,"Animal"),exact(Metadata!D684,"Fungus"),exact(Metadata!D684,"Plant")))</f>
        <v>0</v>
      </c>
      <c r="AF684">
        <f>AND(IF(Metadata!E684="",FALSE,TRUE),OR(exact(Metadata!E684,"Plant secretion"),exact(Metadata!E684,"Plant rhizosphere"),exact(Metadata!E684,"Plant surface"),exact(Metadata!E684,"Plant corpus"),exact(Metadata!E684,"Fungus surface"),exact(Metadata!E684,"Fungus corpus"),exact(Metadata!E684,"Animal surface"),exact(Metadata!E684,"Animal proximal gut"),exact(Metadata!E684,"Animal corpus"),exact(Metadata!E684,"Animal distal gut"),exact(Metadata!E684,"Animal secretion")))</f>
        <v>0</v>
      </c>
      <c r="AG684">
        <f>OR(AND(IF(Metadata!F684="",FALSE,TRUE),OR(exact(Metadata!F684,"not collected"),exact(Metadata!F684,"not provided"),exact(Metadata!F684,"restricted access"))),AND(IF(Metadata!F684="",FALSE,TRUE),OR(exact(Metadata!F684,"organism-associated habitat"),exact(Metadata!F684,"plant-associated habitat"),exact(Metadata!F684,"animal-associated habitat"),exact(Metadata!F684,"insecta-associated habitat"),exact(Metadata!F684,"mammalia-associated habitat"),exact(Metadata!F684,"human-associated habitat"),exact(Metadata!F684,"livestock-associated habitat"))))</f>
        <v>0</v>
      </c>
      <c r="AH684">
        <f>AND(IF(Metadata!G684="",FALSE,TRUE),exact(Metadata!G684,"host-associated"))</f>
        <v>0</v>
      </c>
      <c r="AI684">
        <f>OR(AND(IF(Metadata!H684="",FALSE,TRUE),OR(exact(Metadata!H684,"not collected"),exact(Metadata!H684,"not provided"))),AND(IF(Metadata!H684="",FALSE,ISNUMBER(VALUE(Metadata!H684))),Metadata!H684&gt;0))</f>
        <v>0</v>
      </c>
      <c r="AJ684">
        <f>AND(IF(Metadata!I684="",FALSE,TRUE),exact(Metadata!I684,"years"))</f>
        <v>0</v>
      </c>
      <c r="AK684">
        <f>IF(Metadata!J684="",FALSE,TRUE)</f>
        <v>0</v>
      </c>
      <c r="AL684">
        <f>OR(AND(IF(Metadata!K684="",FALSE,TRUE),OR(exact(Metadata!K684,"not collected"),exact(Metadata!K684,"not provided"))),AND(IF(Metadata!K684="",FALSE,ISNUMBER(VALUE(Metadata!K684))),Metadata!K684&gt;0))</f>
        <v>0</v>
      </c>
      <c r="AM684">
        <f>AND(IF(Metadata!L684="",FALSE,TRUE),exact(Metadata!L684,"cm"))</f>
        <v>0</v>
      </c>
      <c r="AN684">
        <f>IF(Metadata!M684="",FALSE,TRUE)</f>
        <v>0</v>
      </c>
      <c r="AO684">
        <f>OR(AND(IF(Metadata!N684="",FALSE,TRUE),OR(exact(Metadata!N684,"not applicable"),exact(Metadata!N684,"not collected"),exact(Metadata!N684,"not provided"))),AND(IF(Metadata!N684="",FALSE,IF(ISERROR(INT(Metadata!N684)),FALSE,INT(Metadata!N684)=Metadata!N684)),Metadata!N684&gt;0))</f>
        <v>0</v>
      </c>
      <c r="AP684">
        <f>OR(AND(IF(Metadata!O684="",FALSE,TRUE),OR(exact(Metadata!O684,"not collected"),exact(Metadata!O684,"not provided"))),AND(IF(Metadata!O684="",FALSE,ISNUMBER(VALUE(Metadata!O684))),Metadata!O684&gt;0))</f>
        <v>0</v>
      </c>
      <c r="AQ684">
        <f>AND(IF(Metadata!P684="",FALSE,TRUE),exact(Metadata!P684,"kg"))</f>
        <v>0</v>
      </c>
      <c r="AR684">
        <f>OR(AND(IF(Metadata!Q684="",FALSE,TRUE),OR(exact(Metadata!Q684,"not applicable"),exact(Metadata!Q684,"not collected"),exact(Metadata!Q684,"not provided"),exact(Metadata!Q684,"restricted access"))),IF(Metadata!Q684="",FALSE,IF(ISERROR(INT(Metadata!Q684)),FALSE,INT(Metadata!Q684)=Metadata!Q684)))</f>
        <v>0</v>
      </c>
      <c r="AS684">
        <f>AND(IF(Metadata!R684="",FALSE,TRUE),exact(Metadata!R684,"Not applicable"))</f>
        <v>0</v>
      </c>
    </row>
    <row r="685" spans="1:45">
      <c r="A685" s="4">
        <f>IF(B685=" "," ",HYPERLINK(CONCATENATE("#metadata!",ADDRESS(INDEX($X$2:$X$1001,MATCH(ROWS($V$2:V685),$V$2:$V$1001,0),0),2)),INDEX($AA$2:$AA$1001,MATCH(ROWS($V$2:V685),$V$2:$V$1001,0),0)))</f>
        <v>0</v>
      </c>
      <c r="B685" s="5">
        <f>IF(OR(INDEX($W$2:$W$1001,MATCH(ROWS($V$2:V685),$V$2:$V$1001,0),1)&gt;=100000,INDEX($AC$1005:$AS$1005,1,MATCH(COLUMNS($AC$1006:AC1006),$AC$1006:$AS$1006,0))&gt;=100000), " ",IF(INDEX($AC$2:$AS$1001,MATCH(ROWS($V$2:V685),$V$2:$V$1001,0),MATCH(COLUMNS($AC$1006:AC1006),$AC$1006:$AS$1006,0)), HYPERLINK("#",""), HYPERLINK(CONCATENATE("#Metadata!", ADDRESS(INDEX($X$2:$X$1001,MATCH(ROWS($V$2:V685),$V$2:$V$1001,0),0), INDEX($AC$1004:$AS$1004,1,MATCH(COLUMNS($AC$1006:AC1006),$AC$1006:$AS$1006,0)))),"Fix")))</f>
        <v>0</v>
      </c>
      <c r="C685" s="5">
        <f>IF(OR(INDEX($W$2:$W$1001,MATCH(ROWS($V$2:V685),$V$2:$V$1001,0),1)&gt;=100000,INDEX($AC$1005:$AS$1005,1,MATCH(COLUMNS($AC$1006:AD1006),$AC$1006:$AS$1006,0))&gt;=100000), " ",IF(INDEX($AC$2:$AS$1001,MATCH(ROWS($V$2:V685),$V$2:$V$1001,0),MATCH(COLUMNS($AC$1006:AD1006),$AC$1006:$AS$1006,0)), HYPERLINK("#",""), HYPERLINK(CONCATENATE("#Metadata!", ADDRESS(INDEX($X$2:$X$1001,MATCH(ROWS($V$2:V685),$V$2:$V$1001,0),0), INDEX($AC$1004:$AS$1004,1,MATCH(COLUMNS($AC$1006:AD1006),$AC$1006:$AS$1006,0)))),"Fix")))</f>
        <v>0</v>
      </c>
      <c r="D685" s="5">
        <f>IF(OR(INDEX($W$2:$W$1001,MATCH(ROWS($V$2:V685),$V$2:$V$1001,0),1)&gt;=100000,INDEX($AC$1005:$AS$1005,1,MATCH(COLUMNS($AC$1006:AE1006),$AC$1006:$AS$1006,0))&gt;=100000), " ",IF(INDEX($AC$2:$AS$1001,MATCH(ROWS($V$2:V685),$V$2:$V$1001,0),MATCH(COLUMNS($AC$1006:AE1006),$AC$1006:$AS$1006,0)), HYPERLINK("#",""), HYPERLINK(CONCATENATE("#Metadata!", ADDRESS(INDEX($X$2:$X$1001,MATCH(ROWS($V$2:V685),$V$2:$V$1001,0),0), INDEX($AC$1004:$AS$1004,1,MATCH(COLUMNS($AC$1006:AE1006),$AC$1006:$AS$1006,0)))),"Fix")))</f>
        <v>0</v>
      </c>
      <c r="E685" s="5">
        <f>IF(OR(INDEX($W$2:$W$1001,MATCH(ROWS($V$2:V685),$V$2:$V$1001,0),1)&gt;=100000,INDEX($AC$1005:$AS$1005,1,MATCH(COLUMNS($AC$1006:AF1006),$AC$1006:$AS$1006,0))&gt;=100000), " ",IF(INDEX($AC$2:$AS$1001,MATCH(ROWS($V$2:V685),$V$2:$V$1001,0),MATCH(COLUMNS($AC$1006:AF1006),$AC$1006:$AS$1006,0)), HYPERLINK("#",""), HYPERLINK(CONCATENATE("#Metadata!", ADDRESS(INDEX($X$2:$X$1001,MATCH(ROWS($V$2:V685),$V$2:$V$1001,0),0), INDEX($AC$1004:$AS$1004,1,MATCH(COLUMNS($AC$1006:AF1006),$AC$1006:$AS$1006,0)))),"Fix")))</f>
        <v>0</v>
      </c>
      <c r="F685" s="5">
        <f>IF(OR(INDEX($W$2:$W$1001,MATCH(ROWS($V$2:V685),$V$2:$V$1001,0),1)&gt;=100000,INDEX($AC$1005:$AS$1005,1,MATCH(COLUMNS($AC$1006:AG1006),$AC$1006:$AS$1006,0))&gt;=100000), " ",IF(INDEX($AC$2:$AS$1001,MATCH(ROWS($V$2:V685),$V$2:$V$1001,0),MATCH(COLUMNS($AC$1006:AG1006),$AC$1006:$AS$1006,0)), HYPERLINK("#",""), HYPERLINK(CONCATENATE("#Metadata!", ADDRESS(INDEX($X$2:$X$1001,MATCH(ROWS($V$2:V685),$V$2:$V$1001,0),0), INDEX($AC$1004:$AS$1004,1,MATCH(COLUMNS($AC$1006:AG1006),$AC$1006:$AS$1006,0)))),"Fix")))</f>
        <v>0</v>
      </c>
      <c r="G685" s="5">
        <f>IF(OR(INDEX($W$2:$W$1001,MATCH(ROWS($V$2:V685),$V$2:$V$1001,0),1)&gt;=100000,INDEX($AC$1005:$AS$1005,1,MATCH(COLUMNS($AC$1006:AH1006),$AC$1006:$AS$1006,0))&gt;=100000), " ",IF(INDEX($AC$2:$AS$1001,MATCH(ROWS($V$2:V685),$V$2:$V$1001,0),MATCH(COLUMNS($AC$1006:AH1006),$AC$1006:$AS$1006,0)), HYPERLINK("#",""), HYPERLINK(CONCATENATE("#Metadata!", ADDRESS(INDEX($X$2:$X$1001,MATCH(ROWS($V$2:V685),$V$2:$V$1001,0),0), INDEX($AC$1004:$AS$1004,1,MATCH(COLUMNS($AC$1006:AH1006),$AC$1006:$AS$1006,0)))),"Fix")))</f>
        <v>0</v>
      </c>
      <c r="H685" s="5">
        <f>IF(OR(INDEX($W$2:$W$1001,MATCH(ROWS($V$2:V685),$V$2:$V$1001,0),1)&gt;=100000,INDEX($AC$1005:$AS$1005,1,MATCH(COLUMNS($AC$1006:AI1006),$AC$1006:$AS$1006,0))&gt;=100000), " ",IF(INDEX($AC$2:$AS$1001,MATCH(ROWS($V$2:V685),$V$2:$V$1001,0),MATCH(COLUMNS($AC$1006:AI1006),$AC$1006:$AS$1006,0)), HYPERLINK("#",""), HYPERLINK(CONCATENATE("#Metadata!", ADDRESS(INDEX($X$2:$X$1001,MATCH(ROWS($V$2:V685),$V$2:$V$1001,0),0), INDEX($AC$1004:$AS$1004,1,MATCH(COLUMNS($AC$1006:AI1006),$AC$1006:$AS$1006,0)))),"Fix")))</f>
        <v>0</v>
      </c>
      <c r="I685" s="5">
        <f>IF(OR(INDEX($W$2:$W$1001,MATCH(ROWS($V$2:V685),$V$2:$V$1001,0),1)&gt;=100000,INDEX($AC$1005:$AS$1005,1,MATCH(COLUMNS($AC$1006:AJ1006),$AC$1006:$AS$1006,0))&gt;=100000), " ",IF(INDEX($AC$2:$AS$1001,MATCH(ROWS($V$2:V685),$V$2:$V$1001,0),MATCH(COLUMNS($AC$1006:AJ1006),$AC$1006:$AS$1006,0)), HYPERLINK("#",""), HYPERLINK(CONCATENATE("#Metadata!", ADDRESS(INDEX($X$2:$X$1001,MATCH(ROWS($V$2:V685),$V$2:$V$1001,0),0), INDEX($AC$1004:$AS$1004,1,MATCH(COLUMNS($AC$1006:AJ1006),$AC$1006:$AS$1006,0)))),"Fix")))</f>
        <v>0</v>
      </c>
      <c r="J685" s="5">
        <f>IF(OR(INDEX($W$2:$W$1001,MATCH(ROWS($V$2:V685),$V$2:$V$1001,0),1)&gt;=100000,INDEX($AC$1005:$AS$1005,1,MATCH(COLUMNS($AC$1006:AK1006),$AC$1006:$AS$1006,0))&gt;=100000), " ",IF(INDEX($AC$2:$AS$1001,MATCH(ROWS($V$2:V685),$V$2:$V$1001,0),MATCH(COLUMNS($AC$1006:AK1006),$AC$1006:$AS$1006,0)), HYPERLINK("#",""), HYPERLINK(CONCATENATE("#Metadata!", ADDRESS(INDEX($X$2:$X$1001,MATCH(ROWS($V$2:V685),$V$2:$V$1001,0),0), INDEX($AC$1004:$AS$1004,1,MATCH(COLUMNS($AC$1006:AK1006),$AC$1006:$AS$1006,0)))),"Fix")))</f>
        <v>0</v>
      </c>
      <c r="K685" s="5">
        <f>IF(OR(INDEX($W$2:$W$1001,MATCH(ROWS($V$2:V685),$V$2:$V$1001,0),1)&gt;=100000,INDEX($AC$1005:$AS$1005,1,MATCH(COLUMNS($AC$1006:AL1006),$AC$1006:$AS$1006,0))&gt;=100000), " ",IF(INDEX($AC$2:$AS$1001,MATCH(ROWS($V$2:V685),$V$2:$V$1001,0),MATCH(COLUMNS($AC$1006:AL1006),$AC$1006:$AS$1006,0)), HYPERLINK("#",""), HYPERLINK(CONCATENATE("#Metadata!", ADDRESS(INDEX($X$2:$X$1001,MATCH(ROWS($V$2:V685),$V$2:$V$1001,0),0), INDEX($AC$1004:$AS$1004,1,MATCH(COLUMNS($AC$1006:AL1006),$AC$1006:$AS$1006,0)))),"Fix")))</f>
        <v>0</v>
      </c>
      <c r="L685" s="5">
        <f>IF(OR(INDEX($W$2:$W$1001,MATCH(ROWS($V$2:V685),$V$2:$V$1001,0),1)&gt;=100000,INDEX($AC$1005:$AS$1005,1,MATCH(COLUMNS($AC$1006:AM1006),$AC$1006:$AS$1006,0))&gt;=100000), " ",IF(INDEX($AC$2:$AS$1001,MATCH(ROWS($V$2:V685),$V$2:$V$1001,0),MATCH(COLUMNS($AC$1006:AM1006),$AC$1006:$AS$1006,0)), HYPERLINK("#",""), HYPERLINK(CONCATENATE("#Metadata!", ADDRESS(INDEX($X$2:$X$1001,MATCH(ROWS($V$2:V685),$V$2:$V$1001,0),0), INDEX($AC$1004:$AS$1004,1,MATCH(COLUMNS($AC$1006:AM1006),$AC$1006:$AS$1006,0)))),"Fix")))</f>
        <v>0</v>
      </c>
      <c r="M685" s="5">
        <f>IF(OR(INDEX($W$2:$W$1001,MATCH(ROWS($V$2:V685),$V$2:$V$1001,0),1)&gt;=100000,INDEX($AC$1005:$AS$1005,1,MATCH(COLUMNS($AC$1006:AN1006),$AC$1006:$AS$1006,0))&gt;=100000), " ",IF(INDEX($AC$2:$AS$1001,MATCH(ROWS($V$2:V685),$V$2:$V$1001,0),MATCH(COLUMNS($AC$1006:AN1006),$AC$1006:$AS$1006,0)), HYPERLINK("#",""), HYPERLINK(CONCATENATE("#Metadata!", ADDRESS(INDEX($X$2:$X$1001,MATCH(ROWS($V$2:V685),$V$2:$V$1001,0),0), INDEX($AC$1004:$AS$1004,1,MATCH(COLUMNS($AC$1006:AN1006),$AC$1006:$AS$1006,0)))),"Fix")))</f>
        <v>0</v>
      </c>
      <c r="N685" s="5">
        <f>IF(OR(INDEX($W$2:$W$1001,MATCH(ROWS($V$2:V685),$V$2:$V$1001,0),1)&gt;=100000,INDEX($AC$1005:$AS$1005,1,MATCH(COLUMNS($AC$1006:AO1006),$AC$1006:$AS$1006,0))&gt;=100000), " ",IF(INDEX($AC$2:$AS$1001,MATCH(ROWS($V$2:V685),$V$2:$V$1001,0),MATCH(COLUMNS($AC$1006:AO1006),$AC$1006:$AS$1006,0)), HYPERLINK("#",""), HYPERLINK(CONCATENATE("#Metadata!", ADDRESS(INDEX($X$2:$X$1001,MATCH(ROWS($V$2:V685),$V$2:$V$1001,0),0), INDEX($AC$1004:$AS$1004,1,MATCH(COLUMNS($AC$1006:AO1006),$AC$1006:$AS$1006,0)))),"Fix")))</f>
        <v>0</v>
      </c>
      <c r="O685" s="5">
        <f>IF(OR(INDEX($W$2:$W$1001,MATCH(ROWS($V$2:V685),$V$2:$V$1001,0),1)&gt;=100000,INDEX($AC$1005:$AS$1005,1,MATCH(COLUMNS($AC$1006:AP1006),$AC$1006:$AS$1006,0))&gt;=100000), " ",IF(INDEX($AC$2:$AS$1001,MATCH(ROWS($V$2:V685),$V$2:$V$1001,0),MATCH(COLUMNS($AC$1006:AP1006),$AC$1006:$AS$1006,0)), HYPERLINK("#",""), HYPERLINK(CONCATENATE("#Metadata!", ADDRESS(INDEX($X$2:$X$1001,MATCH(ROWS($V$2:V685),$V$2:$V$1001,0),0), INDEX($AC$1004:$AS$1004,1,MATCH(COLUMNS($AC$1006:AP1006),$AC$1006:$AS$1006,0)))),"Fix")))</f>
        <v>0</v>
      </c>
      <c r="P685" s="5">
        <f>IF(OR(INDEX($W$2:$W$1001,MATCH(ROWS($V$2:V685),$V$2:$V$1001,0),1)&gt;=100000,INDEX($AC$1005:$AS$1005,1,MATCH(COLUMNS($AC$1006:AQ1006),$AC$1006:$AS$1006,0))&gt;=100000), " ",IF(INDEX($AC$2:$AS$1001,MATCH(ROWS($V$2:V685),$V$2:$V$1001,0),MATCH(COLUMNS($AC$1006:AQ1006),$AC$1006:$AS$1006,0)), HYPERLINK("#",""), HYPERLINK(CONCATENATE("#Metadata!", ADDRESS(INDEX($X$2:$X$1001,MATCH(ROWS($V$2:V685),$V$2:$V$1001,0),0), INDEX($AC$1004:$AS$1004,1,MATCH(COLUMNS($AC$1006:AQ1006),$AC$1006:$AS$1006,0)))),"Fix")))</f>
        <v>0</v>
      </c>
      <c r="Q685" s="5">
        <f>IF(OR(INDEX($W$2:$W$1001,MATCH(ROWS($V$2:V685),$V$2:$V$1001,0),1)&gt;=100000,INDEX($AC$1005:$AS$1005,1,MATCH(COLUMNS($AC$1006:AR1006),$AC$1006:$AS$1006,0))&gt;=100000), " ",IF(INDEX($AC$2:$AS$1001,MATCH(ROWS($V$2:V685),$V$2:$V$1001,0),MATCH(COLUMNS($AC$1006:AR1006),$AC$1006:$AS$1006,0)), HYPERLINK("#",""), HYPERLINK(CONCATENATE("#Metadata!", ADDRESS(INDEX($X$2:$X$1001,MATCH(ROWS($V$2:V685),$V$2:$V$1001,0),0), INDEX($AC$1004:$AS$1004,1,MATCH(COLUMNS($AC$1006:AR1006),$AC$1006:$AS$1006,0)))),"Fix")))</f>
        <v>0</v>
      </c>
      <c r="R685" s="5">
        <f>IF(OR(INDEX($W$2:$W$1001,MATCH(ROWS($V$2:V685),$V$2:$V$1001,0),1)&gt;=100000,INDEX($AC$1005:$AS$1005,1,MATCH(COLUMNS($AC$1006:AS1006),$AC$1006:$AS$1006,0))&gt;=100000), " ",IF(INDEX($AC$2:$AS$1001,MATCH(ROWS($V$2:V685),$V$2:$V$1001,0),MATCH(COLUMNS($AC$1006:AS1006),$AC$1006:$AS$1006,0)), HYPERLINK("#",""), HYPERLINK(CONCATENATE("#Metadata!", ADDRESS(INDEX($X$2:$X$1001,MATCH(ROWS($V$2:V685),$V$2:$V$1001,0),0), INDEX($AC$1004:$AS$1004,1,MATCH(COLUMNS($AC$1006:AS1006),$AC$1006:$AS$1006,0)))),"Fix")))</f>
        <v>0</v>
      </c>
      <c r="V685">
        <v>0</v>
      </c>
      <c r="W685">
        <v>0</v>
      </c>
      <c r="X685">
        <v>0</v>
      </c>
      <c r="Y685">
        <f>IF(Z685,TRUE,AND(AC685:AS685))</f>
        <v>0</v>
      </c>
      <c r="Z685">
        <f>COUNTBLANK(Metadata!B685:R685)=COLUMNS(Metadata!B685:R685)</f>
        <v>0</v>
      </c>
      <c r="AA685">
        <v>0</v>
      </c>
      <c r="AC685">
        <f>AND(IF(Metadata!B685="",FALSE,TRUE),COUNTIF(Metadata!B:B, Metadata!B685) = 1,NOT(ISERROR(SUMPRODUCT(SEARCH(MID(Metadata!B685,ROW(INDIRECT("1:"&amp;LEN(Metadata!B685))), 1),"0123456789abcdefghijklmnopqrstuvwxyzABCDEFGHIJKLMNOPQRSTUVWXYZ.")))))</f>
        <v>0</v>
      </c>
      <c r="AD685">
        <f>AND(IF(Metadata!C685="",FALSE,TRUE),exact(Metadata!C685,"Host-associated"))</f>
        <v>0</v>
      </c>
      <c r="AE685">
        <f>AND(IF(Metadata!D685="",FALSE,TRUE),OR(exact(Metadata!D685,"Animal"),exact(Metadata!D685,"Fungus"),exact(Metadata!D685,"Plant")))</f>
        <v>0</v>
      </c>
      <c r="AF685">
        <f>AND(IF(Metadata!E685="",FALSE,TRUE),OR(exact(Metadata!E685,"Plant secretion"),exact(Metadata!E685,"Plant rhizosphere"),exact(Metadata!E685,"Plant surface"),exact(Metadata!E685,"Plant corpus"),exact(Metadata!E685,"Fungus surface"),exact(Metadata!E685,"Fungus corpus"),exact(Metadata!E685,"Animal surface"),exact(Metadata!E685,"Animal proximal gut"),exact(Metadata!E685,"Animal corpus"),exact(Metadata!E685,"Animal distal gut"),exact(Metadata!E685,"Animal secretion")))</f>
        <v>0</v>
      </c>
      <c r="AG685">
        <f>OR(AND(IF(Metadata!F685="",FALSE,TRUE),OR(exact(Metadata!F685,"not collected"),exact(Metadata!F685,"not provided"),exact(Metadata!F685,"restricted access"))),AND(IF(Metadata!F685="",FALSE,TRUE),OR(exact(Metadata!F685,"organism-associated habitat"),exact(Metadata!F685,"plant-associated habitat"),exact(Metadata!F685,"animal-associated habitat"),exact(Metadata!F685,"insecta-associated habitat"),exact(Metadata!F685,"mammalia-associated habitat"),exact(Metadata!F685,"human-associated habitat"),exact(Metadata!F685,"livestock-associated habitat"))))</f>
        <v>0</v>
      </c>
      <c r="AH685">
        <f>AND(IF(Metadata!G685="",FALSE,TRUE),exact(Metadata!G685,"host-associated"))</f>
        <v>0</v>
      </c>
      <c r="AI685">
        <f>OR(AND(IF(Metadata!H685="",FALSE,TRUE),OR(exact(Metadata!H685,"not collected"),exact(Metadata!H685,"not provided"))),AND(IF(Metadata!H685="",FALSE,ISNUMBER(VALUE(Metadata!H685))),Metadata!H685&gt;0))</f>
        <v>0</v>
      </c>
      <c r="AJ685">
        <f>AND(IF(Metadata!I685="",FALSE,TRUE),exact(Metadata!I685,"years"))</f>
        <v>0</v>
      </c>
      <c r="AK685">
        <f>IF(Metadata!J685="",FALSE,TRUE)</f>
        <v>0</v>
      </c>
      <c r="AL685">
        <f>OR(AND(IF(Metadata!K685="",FALSE,TRUE),OR(exact(Metadata!K685,"not collected"),exact(Metadata!K685,"not provided"))),AND(IF(Metadata!K685="",FALSE,ISNUMBER(VALUE(Metadata!K685))),Metadata!K685&gt;0))</f>
        <v>0</v>
      </c>
      <c r="AM685">
        <f>AND(IF(Metadata!L685="",FALSE,TRUE),exact(Metadata!L685,"cm"))</f>
        <v>0</v>
      </c>
      <c r="AN685">
        <f>IF(Metadata!M685="",FALSE,TRUE)</f>
        <v>0</v>
      </c>
      <c r="AO685">
        <f>OR(AND(IF(Metadata!N685="",FALSE,TRUE),OR(exact(Metadata!N685,"not applicable"),exact(Metadata!N685,"not collected"),exact(Metadata!N685,"not provided"))),AND(IF(Metadata!N685="",FALSE,IF(ISERROR(INT(Metadata!N685)),FALSE,INT(Metadata!N685)=Metadata!N685)),Metadata!N685&gt;0))</f>
        <v>0</v>
      </c>
      <c r="AP685">
        <f>OR(AND(IF(Metadata!O685="",FALSE,TRUE),OR(exact(Metadata!O685,"not collected"),exact(Metadata!O685,"not provided"))),AND(IF(Metadata!O685="",FALSE,ISNUMBER(VALUE(Metadata!O685))),Metadata!O685&gt;0))</f>
        <v>0</v>
      </c>
      <c r="AQ685">
        <f>AND(IF(Metadata!P685="",FALSE,TRUE),exact(Metadata!P685,"kg"))</f>
        <v>0</v>
      </c>
      <c r="AR685">
        <f>OR(AND(IF(Metadata!Q685="",FALSE,TRUE),OR(exact(Metadata!Q685,"not applicable"),exact(Metadata!Q685,"not collected"),exact(Metadata!Q685,"not provided"),exact(Metadata!Q685,"restricted access"))),IF(Metadata!Q685="",FALSE,IF(ISERROR(INT(Metadata!Q685)),FALSE,INT(Metadata!Q685)=Metadata!Q685)))</f>
        <v>0</v>
      </c>
      <c r="AS685">
        <f>AND(IF(Metadata!R685="",FALSE,TRUE),exact(Metadata!R685,"Not applicable"))</f>
        <v>0</v>
      </c>
    </row>
    <row r="686" spans="1:45">
      <c r="A686" s="4">
        <f>IF(B686=" "," ",HYPERLINK(CONCATENATE("#metadata!",ADDRESS(INDEX($X$2:$X$1001,MATCH(ROWS($V$2:V686),$V$2:$V$1001,0),0),2)),INDEX($AA$2:$AA$1001,MATCH(ROWS($V$2:V686),$V$2:$V$1001,0),0)))</f>
        <v>0</v>
      </c>
      <c r="B686" s="5">
        <f>IF(OR(INDEX($W$2:$W$1001,MATCH(ROWS($V$2:V686),$V$2:$V$1001,0),1)&gt;=100000,INDEX($AC$1005:$AS$1005,1,MATCH(COLUMNS($AC$1006:AC1006),$AC$1006:$AS$1006,0))&gt;=100000), " ",IF(INDEX($AC$2:$AS$1001,MATCH(ROWS($V$2:V686),$V$2:$V$1001,0),MATCH(COLUMNS($AC$1006:AC1006),$AC$1006:$AS$1006,0)), HYPERLINK("#",""), HYPERLINK(CONCATENATE("#Metadata!", ADDRESS(INDEX($X$2:$X$1001,MATCH(ROWS($V$2:V686),$V$2:$V$1001,0),0), INDEX($AC$1004:$AS$1004,1,MATCH(COLUMNS($AC$1006:AC1006),$AC$1006:$AS$1006,0)))),"Fix")))</f>
        <v>0</v>
      </c>
      <c r="C686" s="5">
        <f>IF(OR(INDEX($W$2:$W$1001,MATCH(ROWS($V$2:V686),$V$2:$V$1001,0),1)&gt;=100000,INDEX($AC$1005:$AS$1005,1,MATCH(COLUMNS($AC$1006:AD1006),$AC$1006:$AS$1006,0))&gt;=100000), " ",IF(INDEX($AC$2:$AS$1001,MATCH(ROWS($V$2:V686),$V$2:$V$1001,0),MATCH(COLUMNS($AC$1006:AD1006),$AC$1006:$AS$1006,0)), HYPERLINK("#",""), HYPERLINK(CONCATENATE("#Metadata!", ADDRESS(INDEX($X$2:$X$1001,MATCH(ROWS($V$2:V686),$V$2:$V$1001,0),0), INDEX($AC$1004:$AS$1004,1,MATCH(COLUMNS($AC$1006:AD1006),$AC$1006:$AS$1006,0)))),"Fix")))</f>
        <v>0</v>
      </c>
      <c r="D686" s="5">
        <f>IF(OR(INDEX($W$2:$W$1001,MATCH(ROWS($V$2:V686),$V$2:$V$1001,0),1)&gt;=100000,INDEX($AC$1005:$AS$1005,1,MATCH(COLUMNS($AC$1006:AE1006),$AC$1006:$AS$1006,0))&gt;=100000), " ",IF(INDEX($AC$2:$AS$1001,MATCH(ROWS($V$2:V686),$V$2:$V$1001,0),MATCH(COLUMNS($AC$1006:AE1006),$AC$1006:$AS$1006,0)), HYPERLINK("#",""), HYPERLINK(CONCATENATE("#Metadata!", ADDRESS(INDEX($X$2:$X$1001,MATCH(ROWS($V$2:V686),$V$2:$V$1001,0),0), INDEX($AC$1004:$AS$1004,1,MATCH(COLUMNS($AC$1006:AE1006),$AC$1006:$AS$1006,0)))),"Fix")))</f>
        <v>0</v>
      </c>
      <c r="E686" s="5">
        <f>IF(OR(INDEX($W$2:$W$1001,MATCH(ROWS($V$2:V686),$V$2:$V$1001,0),1)&gt;=100000,INDEX($AC$1005:$AS$1005,1,MATCH(COLUMNS($AC$1006:AF1006),$AC$1006:$AS$1006,0))&gt;=100000), " ",IF(INDEX($AC$2:$AS$1001,MATCH(ROWS($V$2:V686),$V$2:$V$1001,0),MATCH(COLUMNS($AC$1006:AF1006),$AC$1006:$AS$1006,0)), HYPERLINK("#",""), HYPERLINK(CONCATENATE("#Metadata!", ADDRESS(INDEX($X$2:$X$1001,MATCH(ROWS($V$2:V686),$V$2:$V$1001,0),0), INDEX($AC$1004:$AS$1004,1,MATCH(COLUMNS($AC$1006:AF1006),$AC$1006:$AS$1006,0)))),"Fix")))</f>
        <v>0</v>
      </c>
      <c r="F686" s="5">
        <f>IF(OR(INDEX($W$2:$W$1001,MATCH(ROWS($V$2:V686),$V$2:$V$1001,0),1)&gt;=100000,INDEX($AC$1005:$AS$1005,1,MATCH(COLUMNS($AC$1006:AG1006),$AC$1006:$AS$1006,0))&gt;=100000), " ",IF(INDEX($AC$2:$AS$1001,MATCH(ROWS($V$2:V686),$V$2:$V$1001,0),MATCH(COLUMNS($AC$1006:AG1006),$AC$1006:$AS$1006,0)), HYPERLINK("#",""), HYPERLINK(CONCATENATE("#Metadata!", ADDRESS(INDEX($X$2:$X$1001,MATCH(ROWS($V$2:V686),$V$2:$V$1001,0),0), INDEX($AC$1004:$AS$1004,1,MATCH(COLUMNS($AC$1006:AG1006),$AC$1006:$AS$1006,0)))),"Fix")))</f>
        <v>0</v>
      </c>
      <c r="G686" s="5">
        <f>IF(OR(INDEX($W$2:$W$1001,MATCH(ROWS($V$2:V686),$V$2:$V$1001,0),1)&gt;=100000,INDEX($AC$1005:$AS$1005,1,MATCH(COLUMNS($AC$1006:AH1006),$AC$1006:$AS$1006,0))&gt;=100000), " ",IF(INDEX($AC$2:$AS$1001,MATCH(ROWS($V$2:V686),$V$2:$V$1001,0),MATCH(COLUMNS($AC$1006:AH1006),$AC$1006:$AS$1006,0)), HYPERLINK("#",""), HYPERLINK(CONCATENATE("#Metadata!", ADDRESS(INDEX($X$2:$X$1001,MATCH(ROWS($V$2:V686),$V$2:$V$1001,0),0), INDEX($AC$1004:$AS$1004,1,MATCH(COLUMNS($AC$1006:AH1006),$AC$1006:$AS$1006,0)))),"Fix")))</f>
        <v>0</v>
      </c>
      <c r="H686" s="5">
        <f>IF(OR(INDEX($W$2:$W$1001,MATCH(ROWS($V$2:V686),$V$2:$V$1001,0),1)&gt;=100000,INDEX($AC$1005:$AS$1005,1,MATCH(COLUMNS($AC$1006:AI1006),$AC$1006:$AS$1006,0))&gt;=100000), " ",IF(INDEX($AC$2:$AS$1001,MATCH(ROWS($V$2:V686),$V$2:$V$1001,0),MATCH(COLUMNS($AC$1006:AI1006),$AC$1006:$AS$1006,0)), HYPERLINK("#",""), HYPERLINK(CONCATENATE("#Metadata!", ADDRESS(INDEX($X$2:$X$1001,MATCH(ROWS($V$2:V686),$V$2:$V$1001,0),0), INDEX($AC$1004:$AS$1004,1,MATCH(COLUMNS($AC$1006:AI1006),$AC$1006:$AS$1006,0)))),"Fix")))</f>
        <v>0</v>
      </c>
      <c r="I686" s="5">
        <f>IF(OR(INDEX($W$2:$W$1001,MATCH(ROWS($V$2:V686),$V$2:$V$1001,0),1)&gt;=100000,INDEX($AC$1005:$AS$1005,1,MATCH(COLUMNS($AC$1006:AJ1006),$AC$1006:$AS$1006,0))&gt;=100000), " ",IF(INDEX($AC$2:$AS$1001,MATCH(ROWS($V$2:V686),$V$2:$V$1001,0),MATCH(COLUMNS($AC$1006:AJ1006),$AC$1006:$AS$1006,0)), HYPERLINK("#",""), HYPERLINK(CONCATENATE("#Metadata!", ADDRESS(INDEX($X$2:$X$1001,MATCH(ROWS($V$2:V686),$V$2:$V$1001,0),0), INDEX($AC$1004:$AS$1004,1,MATCH(COLUMNS($AC$1006:AJ1006),$AC$1006:$AS$1006,0)))),"Fix")))</f>
        <v>0</v>
      </c>
      <c r="J686" s="5">
        <f>IF(OR(INDEX($W$2:$W$1001,MATCH(ROWS($V$2:V686),$V$2:$V$1001,0),1)&gt;=100000,INDEX($AC$1005:$AS$1005,1,MATCH(COLUMNS($AC$1006:AK1006),$AC$1006:$AS$1006,0))&gt;=100000), " ",IF(INDEX($AC$2:$AS$1001,MATCH(ROWS($V$2:V686),$V$2:$V$1001,0),MATCH(COLUMNS($AC$1006:AK1006),$AC$1006:$AS$1006,0)), HYPERLINK("#",""), HYPERLINK(CONCATENATE("#Metadata!", ADDRESS(INDEX($X$2:$X$1001,MATCH(ROWS($V$2:V686),$V$2:$V$1001,0),0), INDEX($AC$1004:$AS$1004,1,MATCH(COLUMNS($AC$1006:AK1006),$AC$1006:$AS$1006,0)))),"Fix")))</f>
        <v>0</v>
      </c>
      <c r="K686" s="5">
        <f>IF(OR(INDEX($W$2:$W$1001,MATCH(ROWS($V$2:V686),$V$2:$V$1001,0),1)&gt;=100000,INDEX($AC$1005:$AS$1005,1,MATCH(COLUMNS($AC$1006:AL1006),$AC$1006:$AS$1006,0))&gt;=100000), " ",IF(INDEX($AC$2:$AS$1001,MATCH(ROWS($V$2:V686),$V$2:$V$1001,0),MATCH(COLUMNS($AC$1006:AL1006),$AC$1006:$AS$1006,0)), HYPERLINK("#",""), HYPERLINK(CONCATENATE("#Metadata!", ADDRESS(INDEX($X$2:$X$1001,MATCH(ROWS($V$2:V686),$V$2:$V$1001,0),0), INDEX($AC$1004:$AS$1004,1,MATCH(COLUMNS($AC$1006:AL1006),$AC$1006:$AS$1006,0)))),"Fix")))</f>
        <v>0</v>
      </c>
      <c r="L686" s="5">
        <f>IF(OR(INDEX($W$2:$W$1001,MATCH(ROWS($V$2:V686),$V$2:$V$1001,0),1)&gt;=100000,INDEX($AC$1005:$AS$1005,1,MATCH(COLUMNS($AC$1006:AM1006),$AC$1006:$AS$1006,0))&gt;=100000), " ",IF(INDEX($AC$2:$AS$1001,MATCH(ROWS($V$2:V686),$V$2:$V$1001,0),MATCH(COLUMNS($AC$1006:AM1006),$AC$1006:$AS$1006,0)), HYPERLINK("#",""), HYPERLINK(CONCATENATE("#Metadata!", ADDRESS(INDEX($X$2:$X$1001,MATCH(ROWS($V$2:V686),$V$2:$V$1001,0),0), INDEX($AC$1004:$AS$1004,1,MATCH(COLUMNS($AC$1006:AM1006),$AC$1006:$AS$1006,0)))),"Fix")))</f>
        <v>0</v>
      </c>
      <c r="M686" s="5">
        <f>IF(OR(INDEX($W$2:$W$1001,MATCH(ROWS($V$2:V686),$V$2:$V$1001,0),1)&gt;=100000,INDEX($AC$1005:$AS$1005,1,MATCH(COLUMNS($AC$1006:AN1006),$AC$1006:$AS$1006,0))&gt;=100000), " ",IF(INDEX($AC$2:$AS$1001,MATCH(ROWS($V$2:V686),$V$2:$V$1001,0),MATCH(COLUMNS($AC$1006:AN1006),$AC$1006:$AS$1006,0)), HYPERLINK("#",""), HYPERLINK(CONCATENATE("#Metadata!", ADDRESS(INDEX($X$2:$X$1001,MATCH(ROWS($V$2:V686),$V$2:$V$1001,0),0), INDEX($AC$1004:$AS$1004,1,MATCH(COLUMNS($AC$1006:AN1006),$AC$1006:$AS$1006,0)))),"Fix")))</f>
        <v>0</v>
      </c>
      <c r="N686" s="5">
        <f>IF(OR(INDEX($W$2:$W$1001,MATCH(ROWS($V$2:V686),$V$2:$V$1001,0),1)&gt;=100000,INDEX($AC$1005:$AS$1005,1,MATCH(COLUMNS($AC$1006:AO1006),$AC$1006:$AS$1006,0))&gt;=100000), " ",IF(INDEX($AC$2:$AS$1001,MATCH(ROWS($V$2:V686),$V$2:$V$1001,0),MATCH(COLUMNS($AC$1006:AO1006),$AC$1006:$AS$1006,0)), HYPERLINK("#",""), HYPERLINK(CONCATENATE("#Metadata!", ADDRESS(INDEX($X$2:$X$1001,MATCH(ROWS($V$2:V686),$V$2:$V$1001,0),0), INDEX($AC$1004:$AS$1004,1,MATCH(COLUMNS($AC$1006:AO1006),$AC$1006:$AS$1006,0)))),"Fix")))</f>
        <v>0</v>
      </c>
      <c r="O686" s="5">
        <f>IF(OR(INDEX($W$2:$W$1001,MATCH(ROWS($V$2:V686),$V$2:$V$1001,0),1)&gt;=100000,INDEX($AC$1005:$AS$1005,1,MATCH(COLUMNS($AC$1006:AP1006),$AC$1006:$AS$1006,0))&gt;=100000), " ",IF(INDEX($AC$2:$AS$1001,MATCH(ROWS($V$2:V686),$V$2:$V$1001,0),MATCH(COLUMNS($AC$1006:AP1006),$AC$1006:$AS$1006,0)), HYPERLINK("#",""), HYPERLINK(CONCATENATE("#Metadata!", ADDRESS(INDEX($X$2:$X$1001,MATCH(ROWS($V$2:V686),$V$2:$V$1001,0),0), INDEX($AC$1004:$AS$1004,1,MATCH(COLUMNS($AC$1006:AP1006),$AC$1006:$AS$1006,0)))),"Fix")))</f>
        <v>0</v>
      </c>
      <c r="P686" s="5">
        <f>IF(OR(INDEX($W$2:$W$1001,MATCH(ROWS($V$2:V686),$V$2:$V$1001,0),1)&gt;=100000,INDEX($AC$1005:$AS$1005,1,MATCH(COLUMNS($AC$1006:AQ1006),$AC$1006:$AS$1006,0))&gt;=100000), " ",IF(INDEX($AC$2:$AS$1001,MATCH(ROWS($V$2:V686),$V$2:$V$1001,0),MATCH(COLUMNS($AC$1006:AQ1006),$AC$1006:$AS$1006,0)), HYPERLINK("#",""), HYPERLINK(CONCATENATE("#Metadata!", ADDRESS(INDEX($X$2:$X$1001,MATCH(ROWS($V$2:V686),$V$2:$V$1001,0),0), INDEX($AC$1004:$AS$1004,1,MATCH(COLUMNS($AC$1006:AQ1006),$AC$1006:$AS$1006,0)))),"Fix")))</f>
        <v>0</v>
      </c>
      <c r="Q686" s="5">
        <f>IF(OR(INDEX($W$2:$W$1001,MATCH(ROWS($V$2:V686),$V$2:$V$1001,0),1)&gt;=100000,INDEX($AC$1005:$AS$1005,1,MATCH(COLUMNS($AC$1006:AR1006),$AC$1006:$AS$1006,0))&gt;=100000), " ",IF(INDEX($AC$2:$AS$1001,MATCH(ROWS($V$2:V686),$V$2:$V$1001,0),MATCH(COLUMNS($AC$1006:AR1006),$AC$1006:$AS$1006,0)), HYPERLINK("#",""), HYPERLINK(CONCATENATE("#Metadata!", ADDRESS(INDEX($X$2:$X$1001,MATCH(ROWS($V$2:V686),$V$2:$V$1001,0),0), INDEX($AC$1004:$AS$1004,1,MATCH(COLUMNS($AC$1006:AR1006),$AC$1006:$AS$1006,0)))),"Fix")))</f>
        <v>0</v>
      </c>
      <c r="R686" s="5">
        <f>IF(OR(INDEX($W$2:$W$1001,MATCH(ROWS($V$2:V686),$V$2:$V$1001,0),1)&gt;=100000,INDEX($AC$1005:$AS$1005,1,MATCH(COLUMNS($AC$1006:AS1006),$AC$1006:$AS$1006,0))&gt;=100000), " ",IF(INDEX($AC$2:$AS$1001,MATCH(ROWS($V$2:V686),$V$2:$V$1001,0),MATCH(COLUMNS($AC$1006:AS1006),$AC$1006:$AS$1006,0)), HYPERLINK("#",""), HYPERLINK(CONCATENATE("#Metadata!", ADDRESS(INDEX($X$2:$X$1001,MATCH(ROWS($V$2:V686),$V$2:$V$1001,0),0), INDEX($AC$1004:$AS$1004,1,MATCH(COLUMNS($AC$1006:AS1006),$AC$1006:$AS$1006,0)))),"Fix")))</f>
        <v>0</v>
      </c>
      <c r="V686">
        <v>0</v>
      </c>
      <c r="W686">
        <v>0</v>
      </c>
      <c r="X686">
        <v>0</v>
      </c>
      <c r="Y686">
        <f>IF(Z686,TRUE,AND(AC686:AS686))</f>
        <v>0</v>
      </c>
      <c r="Z686">
        <f>COUNTBLANK(Metadata!B686:R686)=COLUMNS(Metadata!B686:R686)</f>
        <v>0</v>
      </c>
      <c r="AA686">
        <v>0</v>
      </c>
      <c r="AC686">
        <f>AND(IF(Metadata!B686="",FALSE,TRUE),COUNTIF(Metadata!B:B, Metadata!B686) = 1,NOT(ISERROR(SUMPRODUCT(SEARCH(MID(Metadata!B686,ROW(INDIRECT("1:"&amp;LEN(Metadata!B686))), 1),"0123456789abcdefghijklmnopqrstuvwxyzABCDEFGHIJKLMNOPQRSTUVWXYZ.")))))</f>
        <v>0</v>
      </c>
      <c r="AD686">
        <f>AND(IF(Metadata!C686="",FALSE,TRUE),exact(Metadata!C686,"Host-associated"))</f>
        <v>0</v>
      </c>
      <c r="AE686">
        <f>AND(IF(Metadata!D686="",FALSE,TRUE),OR(exact(Metadata!D686,"Animal"),exact(Metadata!D686,"Fungus"),exact(Metadata!D686,"Plant")))</f>
        <v>0</v>
      </c>
      <c r="AF686">
        <f>AND(IF(Metadata!E686="",FALSE,TRUE),OR(exact(Metadata!E686,"Plant secretion"),exact(Metadata!E686,"Plant rhizosphere"),exact(Metadata!E686,"Plant surface"),exact(Metadata!E686,"Plant corpus"),exact(Metadata!E686,"Fungus surface"),exact(Metadata!E686,"Fungus corpus"),exact(Metadata!E686,"Animal surface"),exact(Metadata!E686,"Animal proximal gut"),exact(Metadata!E686,"Animal corpus"),exact(Metadata!E686,"Animal distal gut"),exact(Metadata!E686,"Animal secretion")))</f>
        <v>0</v>
      </c>
      <c r="AG686">
        <f>OR(AND(IF(Metadata!F686="",FALSE,TRUE),OR(exact(Metadata!F686,"not collected"),exact(Metadata!F686,"not provided"),exact(Metadata!F686,"restricted access"))),AND(IF(Metadata!F686="",FALSE,TRUE),OR(exact(Metadata!F686,"organism-associated habitat"),exact(Metadata!F686,"plant-associated habitat"),exact(Metadata!F686,"animal-associated habitat"),exact(Metadata!F686,"insecta-associated habitat"),exact(Metadata!F686,"mammalia-associated habitat"),exact(Metadata!F686,"human-associated habitat"),exact(Metadata!F686,"livestock-associated habitat"))))</f>
        <v>0</v>
      </c>
      <c r="AH686">
        <f>AND(IF(Metadata!G686="",FALSE,TRUE),exact(Metadata!G686,"host-associated"))</f>
        <v>0</v>
      </c>
      <c r="AI686">
        <f>OR(AND(IF(Metadata!H686="",FALSE,TRUE),OR(exact(Metadata!H686,"not collected"),exact(Metadata!H686,"not provided"))),AND(IF(Metadata!H686="",FALSE,ISNUMBER(VALUE(Metadata!H686))),Metadata!H686&gt;0))</f>
        <v>0</v>
      </c>
      <c r="AJ686">
        <f>AND(IF(Metadata!I686="",FALSE,TRUE),exact(Metadata!I686,"years"))</f>
        <v>0</v>
      </c>
      <c r="AK686">
        <f>IF(Metadata!J686="",FALSE,TRUE)</f>
        <v>0</v>
      </c>
      <c r="AL686">
        <f>OR(AND(IF(Metadata!K686="",FALSE,TRUE),OR(exact(Metadata!K686,"not collected"),exact(Metadata!K686,"not provided"))),AND(IF(Metadata!K686="",FALSE,ISNUMBER(VALUE(Metadata!K686))),Metadata!K686&gt;0))</f>
        <v>0</v>
      </c>
      <c r="AM686">
        <f>AND(IF(Metadata!L686="",FALSE,TRUE),exact(Metadata!L686,"cm"))</f>
        <v>0</v>
      </c>
      <c r="AN686">
        <f>IF(Metadata!M686="",FALSE,TRUE)</f>
        <v>0</v>
      </c>
      <c r="AO686">
        <f>OR(AND(IF(Metadata!N686="",FALSE,TRUE),OR(exact(Metadata!N686,"not applicable"),exact(Metadata!N686,"not collected"),exact(Metadata!N686,"not provided"))),AND(IF(Metadata!N686="",FALSE,IF(ISERROR(INT(Metadata!N686)),FALSE,INT(Metadata!N686)=Metadata!N686)),Metadata!N686&gt;0))</f>
        <v>0</v>
      </c>
      <c r="AP686">
        <f>OR(AND(IF(Metadata!O686="",FALSE,TRUE),OR(exact(Metadata!O686,"not collected"),exact(Metadata!O686,"not provided"))),AND(IF(Metadata!O686="",FALSE,ISNUMBER(VALUE(Metadata!O686))),Metadata!O686&gt;0))</f>
        <v>0</v>
      </c>
      <c r="AQ686">
        <f>AND(IF(Metadata!P686="",FALSE,TRUE),exact(Metadata!P686,"kg"))</f>
        <v>0</v>
      </c>
      <c r="AR686">
        <f>OR(AND(IF(Metadata!Q686="",FALSE,TRUE),OR(exact(Metadata!Q686,"not applicable"),exact(Metadata!Q686,"not collected"),exact(Metadata!Q686,"not provided"),exact(Metadata!Q686,"restricted access"))),IF(Metadata!Q686="",FALSE,IF(ISERROR(INT(Metadata!Q686)),FALSE,INT(Metadata!Q686)=Metadata!Q686)))</f>
        <v>0</v>
      </c>
      <c r="AS686">
        <f>AND(IF(Metadata!R686="",FALSE,TRUE),exact(Metadata!R686,"Not applicable"))</f>
        <v>0</v>
      </c>
    </row>
    <row r="687" spans="1:45">
      <c r="A687" s="4">
        <f>IF(B687=" "," ",HYPERLINK(CONCATENATE("#metadata!",ADDRESS(INDEX($X$2:$X$1001,MATCH(ROWS($V$2:V687),$V$2:$V$1001,0),0),2)),INDEX($AA$2:$AA$1001,MATCH(ROWS($V$2:V687),$V$2:$V$1001,0),0)))</f>
        <v>0</v>
      </c>
      <c r="B687" s="5">
        <f>IF(OR(INDEX($W$2:$W$1001,MATCH(ROWS($V$2:V687),$V$2:$V$1001,0),1)&gt;=100000,INDEX($AC$1005:$AS$1005,1,MATCH(COLUMNS($AC$1006:AC1006),$AC$1006:$AS$1006,0))&gt;=100000), " ",IF(INDEX($AC$2:$AS$1001,MATCH(ROWS($V$2:V687),$V$2:$V$1001,0),MATCH(COLUMNS($AC$1006:AC1006),$AC$1006:$AS$1006,0)), HYPERLINK("#",""), HYPERLINK(CONCATENATE("#Metadata!", ADDRESS(INDEX($X$2:$X$1001,MATCH(ROWS($V$2:V687),$V$2:$V$1001,0),0), INDEX($AC$1004:$AS$1004,1,MATCH(COLUMNS($AC$1006:AC1006),$AC$1006:$AS$1006,0)))),"Fix")))</f>
        <v>0</v>
      </c>
      <c r="C687" s="5">
        <f>IF(OR(INDEX($W$2:$W$1001,MATCH(ROWS($V$2:V687),$V$2:$V$1001,0),1)&gt;=100000,INDEX($AC$1005:$AS$1005,1,MATCH(COLUMNS($AC$1006:AD1006),$AC$1006:$AS$1006,0))&gt;=100000), " ",IF(INDEX($AC$2:$AS$1001,MATCH(ROWS($V$2:V687),$V$2:$V$1001,0),MATCH(COLUMNS($AC$1006:AD1006),$AC$1006:$AS$1006,0)), HYPERLINK("#",""), HYPERLINK(CONCATENATE("#Metadata!", ADDRESS(INDEX($X$2:$X$1001,MATCH(ROWS($V$2:V687),$V$2:$V$1001,0),0), INDEX($AC$1004:$AS$1004,1,MATCH(COLUMNS($AC$1006:AD1006),$AC$1006:$AS$1006,0)))),"Fix")))</f>
        <v>0</v>
      </c>
      <c r="D687" s="5">
        <f>IF(OR(INDEX($W$2:$W$1001,MATCH(ROWS($V$2:V687),$V$2:$V$1001,0),1)&gt;=100000,INDEX($AC$1005:$AS$1005,1,MATCH(COLUMNS($AC$1006:AE1006),$AC$1006:$AS$1006,0))&gt;=100000), " ",IF(INDEX($AC$2:$AS$1001,MATCH(ROWS($V$2:V687),$V$2:$V$1001,0),MATCH(COLUMNS($AC$1006:AE1006),$AC$1006:$AS$1006,0)), HYPERLINK("#",""), HYPERLINK(CONCATENATE("#Metadata!", ADDRESS(INDEX($X$2:$X$1001,MATCH(ROWS($V$2:V687),$V$2:$V$1001,0),0), INDEX($AC$1004:$AS$1004,1,MATCH(COLUMNS($AC$1006:AE1006),$AC$1006:$AS$1006,0)))),"Fix")))</f>
        <v>0</v>
      </c>
      <c r="E687" s="5">
        <f>IF(OR(INDEX($W$2:$W$1001,MATCH(ROWS($V$2:V687),$V$2:$V$1001,0),1)&gt;=100000,INDEX($AC$1005:$AS$1005,1,MATCH(COLUMNS($AC$1006:AF1006),$AC$1006:$AS$1006,0))&gt;=100000), " ",IF(INDEX($AC$2:$AS$1001,MATCH(ROWS($V$2:V687),$V$2:$V$1001,0),MATCH(COLUMNS($AC$1006:AF1006),$AC$1006:$AS$1006,0)), HYPERLINK("#",""), HYPERLINK(CONCATENATE("#Metadata!", ADDRESS(INDEX($X$2:$X$1001,MATCH(ROWS($V$2:V687),$V$2:$V$1001,0),0), INDEX($AC$1004:$AS$1004,1,MATCH(COLUMNS($AC$1006:AF1006),$AC$1006:$AS$1006,0)))),"Fix")))</f>
        <v>0</v>
      </c>
      <c r="F687" s="5">
        <f>IF(OR(INDEX($W$2:$W$1001,MATCH(ROWS($V$2:V687),$V$2:$V$1001,0),1)&gt;=100000,INDEX($AC$1005:$AS$1005,1,MATCH(COLUMNS($AC$1006:AG1006),$AC$1006:$AS$1006,0))&gt;=100000), " ",IF(INDEX($AC$2:$AS$1001,MATCH(ROWS($V$2:V687),$V$2:$V$1001,0),MATCH(COLUMNS($AC$1006:AG1006),$AC$1006:$AS$1006,0)), HYPERLINK("#",""), HYPERLINK(CONCATENATE("#Metadata!", ADDRESS(INDEX($X$2:$X$1001,MATCH(ROWS($V$2:V687),$V$2:$V$1001,0),0), INDEX($AC$1004:$AS$1004,1,MATCH(COLUMNS($AC$1006:AG1006),$AC$1006:$AS$1006,0)))),"Fix")))</f>
        <v>0</v>
      </c>
      <c r="G687" s="5">
        <f>IF(OR(INDEX($W$2:$W$1001,MATCH(ROWS($V$2:V687),$V$2:$V$1001,0),1)&gt;=100000,INDEX($AC$1005:$AS$1005,1,MATCH(COLUMNS($AC$1006:AH1006),$AC$1006:$AS$1006,0))&gt;=100000), " ",IF(INDEX($AC$2:$AS$1001,MATCH(ROWS($V$2:V687),$V$2:$V$1001,0),MATCH(COLUMNS($AC$1006:AH1006),$AC$1006:$AS$1006,0)), HYPERLINK("#",""), HYPERLINK(CONCATENATE("#Metadata!", ADDRESS(INDEX($X$2:$X$1001,MATCH(ROWS($V$2:V687),$V$2:$V$1001,0),0), INDEX($AC$1004:$AS$1004,1,MATCH(COLUMNS($AC$1006:AH1006),$AC$1006:$AS$1006,0)))),"Fix")))</f>
        <v>0</v>
      </c>
      <c r="H687" s="5">
        <f>IF(OR(INDEX($W$2:$W$1001,MATCH(ROWS($V$2:V687),$V$2:$V$1001,0),1)&gt;=100000,INDEX($AC$1005:$AS$1005,1,MATCH(COLUMNS($AC$1006:AI1006),$AC$1006:$AS$1006,0))&gt;=100000), " ",IF(INDEX($AC$2:$AS$1001,MATCH(ROWS($V$2:V687),$V$2:$V$1001,0),MATCH(COLUMNS($AC$1006:AI1006),$AC$1006:$AS$1006,0)), HYPERLINK("#",""), HYPERLINK(CONCATENATE("#Metadata!", ADDRESS(INDEX($X$2:$X$1001,MATCH(ROWS($V$2:V687),$V$2:$V$1001,0),0), INDEX($AC$1004:$AS$1004,1,MATCH(COLUMNS($AC$1006:AI1006),$AC$1006:$AS$1006,0)))),"Fix")))</f>
        <v>0</v>
      </c>
      <c r="I687" s="5">
        <f>IF(OR(INDEX($W$2:$W$1001,MATCH(ROWS($V$2:V687),$V$2:$V$1001,0),1)&gt;=100000,INDEX($AC$1005:$AS$1005,1,MATCH(COLUMNS($AC$1006:AJ1006),$AC$1006:$AS$1006,0))&gt;=100000), " ",IF(INDEX($AC$2:$AS$1001,MATCH(ROWS($V$2:V687),$V$2:$V$1001,0),MATCH(COLUMNS($AC$1006:AJ1006),$AC$1006:$AS$1006,0)), HYPERLINK("#",""), HYPERLINK(CONCATENATE("#Metadata!", ADDRESS(INDEX($X$2:$X$1001,MATCH(ROWS($V$2:V687),$V$2:$V$1001,0),0), INDEX($AC$1004:$AS$1004,1,MATCH(COLUMNS($AC$1006:AJ1006),$AC$1006:$AS$1006,0)))),"Fix")))</f>
        <v>0</v>
      </c>
      <c r="J687" s="5">
        <f>IF(OR(INDEX($W$2:$W$1001,MATCH(ROWS($V$2:V687),$V$2:$V$1001,0),1)&gt;=100000,INDEX($AC$1005:$AS$1005,1,MATCH(COLUMNS($AC$1006:AK1006),$AC$1006:$AS$1006,0))&gt;=100000), " ",IF(INDEX($AC$2:$AS$1001,MATCH(ROWS($V$2:V687),$V$2:$V$1001,0),MATCH(COLUMNS($AC$1006:AK1006),$AC$1006:$AS$1006,0)), HYPERLINK("#",""), HYPERLINK(CONCATENATE("#Metadata!", ADDRESS(INDEX($X$2:$X$1001,MATCH(ROWS($V$2:V687),$V$2:$V$1001,0),0), INDEX($AC$1004:$AS$1004,1,MATCH(COLUMNS($AC$1006:AK1006),$AC$1006:$AS$1006,0)))),"Fix")))</f>
        <v>0</v>
      </c>
      <c r="K687" s="5">
        <f>IF(OR(INDEX($W$2:$W$1001,MATCH(ROWS($V$2:V687),$V$2:$V$1001,0),1)&gt;=100000,INDEX($AC$1005:$AS$1005,1,MATCH(COLUMNS($AC$1006:AL1006),$AC$1006:$AS$1006,0))&gt;=100000), " ",IF(INDEX($AC$2:$AS$1001,MATCH(ROWS($V$2:V687),$V$2:$V$1001,0),MATCH(COLUMNS($AC$1006:AL1006),$AC$1006:$AS$1006,0)), HYPERLINK("#",""), HYPERLINK(CONCATENATE("#Metadata!", ADDRESS(INDEX($X$2:$X$1001,MATCH(ROWS($V$2:V687),$V$2:$V$1001,0),0), INDEX($AC$1004:$AS$1004,1,MATCH(COLUMNS($AC$1006:AL1006),$AC$1006:$AS$1006,0)))),"Fix")))</f>
        <v>0</v>
      </c>
      <c r="L687" s="5">
        <f>IF(OR(INDEX($W$2:$W$1001,MATCH(ROWS($V$2:V687),$V$2:$V$1001,0),1)&gt;=100000,INDEX($AC$1005:$AS$1005,1,MATCH(COLUMNS($AC$1006:AM1006),$AC$1006:$AS$1006,0))&gt;=100000), " ",IF(INDEX($AC$2:$AS$1001,MATCH(ROWS($V$2:V687),$V$2:$V$1001,0),MATCH(COLUMNS($AC$1006:AM1006),$AC$1006:$AS$1006,0)), HYPERLINK("#",""), HYPERLINK(CONCATENATE("#Metadata!", ADDRESS(INDEX($X$2:$X$1001,MATCH(ROWS($V$2:V687),$V$2:$V$1001,0),0), INDEX($AC$1004:$AS$1004,1,MATCH(COLUMNS($AC$1006:AM1006),$AC$1006:$AS$1006,0)))),"Fix")))</f>
        <v>0</v>
      </c>
      <c r="M687" s="5">
        <f>IF(OR(INDEX($W$2:$W$1001,MATCH(ROWS($V$2:V687),$V$2:$V$1001,0),1)&gt;=100000,INDEX($AC$1005:$AS$1005,1,MATCH(COLUMNS($AC$1006:AN1006),$AC$1006:$AS$1006,0))&gt;=100000), " ",IF(INDEX($AC$2:$AS$1001,MATCH(ROWS($V$2:V687),$V$2:$V$1001,0),MATCH(COLUMNS($AC$1006:AN1006),$AC$1006:$AS$1006,0)), HYPERLINK("#",""), HYPERLINK(CONCATENATE("#Metadata!", ADDRESS(INDEX($X$2:$X$1001,MATCH(ROWS($V$2:V687),$V$2:$V$1001,0),0), INDEX($AC$1004:$AS$1004,1,MATCH(COLUMNS($AC$1006:AN1006),$AC$1006:$AS$1006,0)))),"Fix")))</f>
        <v>0</v>
      </c>
      <c r="N687" s="5">
        <f>IF(OR(INDEX($W$2:$W$1001,MATCH(ROWS($V$2:V687),$V$2:$V$1001,0),1)&gt;=100000,INDEX($AC$1005:$AS$1005,1,MATCH(COLUMNS($AC$1006:AO1006),$AC$1006:$AS$1006,0))&gt;=100000), " ",IF(INDEX($AC$2:$AS$1001,MATCH(ROWS($V$2:V687),$V$2:$V$1001,0),MATCH(COLUMNS($AC$1006:AO1006),$AC$1006:$AS$1006,0)), HYPERLINK("#",""), HYPERLINK(CONCATENATE("#Metadata!", ADDRESS(INDEX($X$2:$X$1001,MATCH(ROWS($V$2:V687),$V$2:$V$1001,0),0), INDEX($AC$1004:$AS$1004,1,MATCH(COLUMNS($AC$1006:AO1006),$AC$1006:$AS$1006,0)))),"Fix")))</f>
        <v>0</v>
      </c>
      <c r="O687" s="5">
        <f>IF(OR(INDEX($W$2:$W$1001,MATCH(ROWS($V$2:V687),$V$2:$V$1001,0),1)&gt;=100000,INDEX($AC$1005:$AS$1005,1,MATCH(COLUMNS($AC$1006:AP1006),$AC$1006:$AS$1006,0))&gt;=100000), " ",IF(INDEX($AC$2:$AS$1001,MATCH(ROWS($V$2:V687),$V$2:$V$1001,0),MATCH(COLUMNS($AC$1006:AP1006),$AC$1006:$AS$1006,0)), HYPERLINK("#",""), HYPERLINK(CONCATENATE("#Metadata!", ADDRESS(INDEX($X$2:$X$1001,MATCH(ROWS($V$2:V687),$V$2:$V$1001,0),0), INDEX($AC$1004:$AS$1004,1,MATCH(COLUMNS($AC$1006:AP1006),$AC$1006:$AS$1006,0)))),"Fix")))</f>
        <v>0</v>
      </c>
      <c r="P687" s="5">
        <f>IF(OR(INDEX($W$2:$W$1001,MATCH(ROWS($V$2:V687),$V$2:$V$1001,0),1)&gt;=100000,INDEX($AC$1005:$AS$1005,1,MATCH(COLUMNS($AC$1006:AQ1006),$AC$1006:$AS$1006,0))&gt;=100000), " ",IF(INDEX($AC$2:$AS$1001,MATCH(ROWS($V$2:V687),$V$2:$V$1001,0),MATCH(COLUMNS($AC$1006:AQ1006),$AC$1006:$AS$1006,0)), HYPERLINK("#",""), HYPERLINK(CONCATENATE("#Metadata!", ADDRESS(INDEX($X$2:$X$1001,MATCH(ROWS($V$2:V687),$V$2:$V$1001,0),0), INDEX($AC$1004:$AS$1004,1,MATCH(COLUMNS($AC$1006:AQ1006),$AC$1006:$AS$1006,0)))),"Fix")))</f>
        <v>0</v>
      </c>
      <c r="Q687" s="5">
        <f>IF(OR(INDEX($W$2:$W$1001,MATCH(ROWS($V$2:V687),$V$2:$V$1001,0),1)&gt;=100000,INDEX($AC$1005:$AS$1005,1,MATCH(COLUMNS($AC$1006:AR1006),$AC$1006:$AS$1006,0))&gt;=100000), " ",IF(INDEX($AC$2:$AS$1001,MATCH(ROWS($V$2:V687),$V$2:$V$1001,0),MATCH(COLUMNS($AC$1006:AR1006),$AC$1006:$AS$1006,0)), HYPERLINK("#",""), HYPERLINK(CONCATENATE("#Metadata!", ADDRESS(INDEX($X$2:$X$1001,MATCH(ROWS($V$2:V687),$V$2:$V$1001,0),0), INDEX($AC$1004:$AS$1004,1,MATCH(COLUMNS($AC$1006:AR1006),$AC$1006:$AS$1006,0)))),"Fix")))</f>
        <v>0</v>
      </c>
      <c r="R687" s="5">
        <f>IF(OR(INDEX($W$2:$W$1001,MATCH(ROWS($V$2:V687),$V$2:$V$1001,0),1)&gt;=100000,INDEX($AC$1005:$AS$1005,1,MATCH(COLUMNS($AC$1006:AS1006),$AC$1006:$AS$1006,0))&gt;=100000), " ",IF(INDEX($AC$2:$AS$1001,MATCH(ROWS($V$2:V687),$V$2:$V$1001,0),MATCH(COLUMNS($AC$1006:AS1006),$AC$1006:$AS$1006,0)), HYPERLINK("#",""), HYPERLINK(CONCATENATE("#Metadata!", ADDRESS(INDEX($X$2:$X$1001,MATCH(ROWS($V$2:V687),$V$2:$V$1001,0),0), INDEX($AC$1004:$AS$1004,1,MATCH(COLUMNS($AC$1006:AS1006),$AC$1006:$AS$1006,0)))),"Fix")))</f>
        <v>0</v>
      </c>
      <c r="V687">
        <v>0</v>
      </c>
      <c r="W687">
        <v>0</v>
      </c>
      <c r="X687">
        <v>0</v>
      </c>
      <c r="Y687">
        <f>IF(Z687,TRUE,AND(AC687:AS687))</f>
        <v>0</v>
      </c>
      <c r="Z687">
        <f>COUNTBLANK(Metadata!B687:R687)=COLUMNS(Metadata!B687:R687)</f>
        <v>0</v>
      </c>
      <c r="AA687">
        <v>0</v>
      </c>
      <c r="AC687">
        <f>AND(IF(Metadata!B687="",FALSE,TRUE),COUNTIF(Metadata!B:B, Metadata!B687) = 1,NOT(ISERROR(SUMPRODUCT(SEARCH(MID(Metadata!B687,ROW(INDIRECT("1:"&amp;LEN(Metadata!B687))), 1),"0123456789abcdefghijklmnopqrstuvwxyzABCDEFGHIJKLMNOPQRSTUVWXYZ.")))))</f>
        <v>0</v>
      </c>
      <c r="AD687">
        <f>AND(IF(Metadata!C687="",FALSE,TRUE),exact(Metadata!C687,"Host-associated"))</f>
        <v>0</v>
      </c>
      <c r="AE687">
        <f>AND(IF(Metadata!D687="",FALSE,TRUE),OR(exact(Metadata!D687,"Animal"),exact(Metadata!D687,"Fungus"),exact(Metadata!D687,"Plant")))</f>
        <v>0</v>
      </c>
      <c r="AF687">
        <f>AND(IF(Metadata!E687="",FALSE,TRUE),OR(exact(Metadata!E687,"Plant secretion"),exact(Metadata!E687,"Plant rhizosphere"),exact(Metadata!E687,"Plant surface"),exact(Metadata!E687,"Plant corpus"),exact(Metadata!E687,"Fungus surface"),exact(Metadata!E687,"Fungus corpus"),exact(Metadata!E687,"Animal surface"),exact(Metadata!E687,"Animal proximal gut"),exact(Metadata!E687,"Animal corpus"),exact(Metadata!E687,"Animal distal gut"),exact(Metadata!E687,"Animal secretion")))</f>
        <v>0</v>
      </c>
      <c r="AG687">
        <f>OR(AND(IF(Metadata!F687="",FALSE,TRUE),OR(exact(Metadata!F687,"not collected"),exact(Metadata!F687,"not provided"),exact(Metadata!F687,"restricted access"))),AND(IF(Metadata!F687="",FALSE,TRUE),OR(exact(Metadata!F687,"organism-associated habitat"),exact(Metadata!F687,"plant-associated habitat"),exact(Metadata!F687,"animal-associated habitat"),exact(Metadata!F687,"insecta-associated habitat"),exact(Metadata!F687,"mammalia-associated habitat"),exact(Metadata!F687,"human-associated habitat"),exact(Metadata!F687,"livestock-associated habitat"))))</f>
        <v>0</v>
      </c>
      <c r="AH687">
        <f>AND(IF(Metadata!G687="",FALSE,TRUE),exact(Metadata!G687,"host-associated"))</f>
        <v>0</v>
      </c>
      <c r="AI687">
        <f>OR(AND(IF(Metadata!H687="",FALSE,TRUE),OR(exact(Metadata!H687,"not collected"),exact(Metadata!H687,"not provided"))),AND(IF(Metadata!H687="",FALSE,ISNUMBER(VALUE(Metadata!H687))),Metadata!H687&gt;0))</f>
        <v>0</v>
      </c>
      <c r="AJ687">
        <f>AND(IF(Metadata!I687="",FALSE,TRUE),exact(Metadata!I687,"years"))</f>
        <v>0</v>
      </c>
      <c r="AK687">
        <f>IF(Metadata!J687="",FALSE,TRUE)</f>
        <v>0</v>
      </c>
      <c r="AL687">
        <f>OR(AND(IF(Metadata!K687="",FALSE,TRUE),OR(exact(Metadata!K687,"not collected"),exact(Metadata!K687,"not provided"))),AND(IF(Metadata!K687="",FALSE,ISNUMBER(VALUE(Metadata!K687))),Metadata!K687&gt;0))</f>
        <v>0</v>
      </c>
      <c r="AM687">
        <f>AND(IF(Metadata!L687="",FALSE,TRUE),exact(Metadata!L687,"cm"))</f>
        <v>0</v>
      </c>
      <c r="AN687">
        <f>IF(Metadata!M687="",FALSE,TRUE)</f>
        <v>0</v>
      </c>
      <c r="AO687">
        <f>OR(AND(IF(Metadata!N687="",FALSE,TRUE),OR(exact(Metadata!N687,"not applicable"),exact(Metadata!N687,"not collected"),exact(Metadata!N687,"not provided"))),AND(IF(Metadata!N687="",FALSE,IF(ISERROR(INT(Metadata!N687)),FALSE,INT(Metadata!N687)=Metadata!N687)),Metadata!N687&gt;0))</f>
        <v>0</v>
      </c>
      <c r="AP687">
        <f>OR(AND(IF(Metadata!O687="",FALSE,TRUE),OR(exact(Metadata!O687,"not collected"),exact(Metadata!O687,"not provided"))),AND(IF(Metadata!O687="",FALSE,ISNUMBER(VALUE(Metadata!O687))),Metadata!O687&gt;0))</f>
        <v>0</v>
      </c>
      <c r="AQ687">
        <f>AND(IF(Metadata!P687="",FALSE,TRUE),exact(Metadata!P687,"kg"))</f>
        <v>0</v>
      </c>
      <c r="AR687">
        <f>OR(AND(IF(Metadata!Q687="",FALSE,TRUE),OR(exact(Metadata!Q687,"not applicable"),exact(Metadata!Q687,"not collected"),exact(Metadata!Q687,"not provided"),exact(Metadata!Q687,"restricted access"))),IF(Metadata!Q687="",FALSE,IF(ISERROR(INT(Metadata!Q687)),FALSE,INT(Metadata!Q687)=Metadata!Q687)))</f>
        <v>0</v>
      </c>
      <c r="AS687">
        <f>AND(IF(Metadata!R687="",FALSE,TRUE),exact(Metadata!R687,"Not applicable"))</f>
        <v>0</v>
      </c>
    </row>
    <row r="688" spans="1:45">
      <c r="A688" s="4">
        <f>IF(B688=" "," ",HYPERLINK(CONCATENATE("#metadata!",ADDRESS(INDEX($X$2:$X$1001,MATCH(ROWS($V$2:V688),$V$2:$V$1001,0),0),2)),INDEX($AA$2:$AA$1001,MATCH(ROWS($V$2:V688),$V$2:$V$1001,0),0)))</f>
        <v>0</v>
      </c>
      <c r="B688" s="5">
        <f>IF(OR(INDEX($W$2:$W$1001,MATCH(ROWS($V$2:V688),$V$2:$V$1001,0),1)&gt;=100000,INDEX($AC$1005:$AS$1005,1,MATCH(COLUMNS($AC$1006:AC1006),$AC$1006:$AS$1006,0))&gt;=100000), " ",IF(INDEX($AC$2:$AS$1001,MATCH(ROWS($V$2:V688),$V$2:$V$1001,0),MATCH(COLUMNS($AC$1006:AC1006),$AC$1006:$AS$1006,0)), HYPERLINK("#",""), HYPERLINK(CONCATENATE("#Metadata!", ADDRESS(INDEX($X$2:$X$1001,MATCH(ROWS($V$2:V688),$V$2:$V$1001,0),0), INDEX($AC$1004:$AS$1004,1,MATCH(COLUMNS($AC$1006:AC1006),$AC$1006:$AS$1006,0)))),"Fix")))</f>
        <v>0</v>
      </c>
      <c r="C688" s="5">
        <f>IF(OR(INDEX($W$2:$W$1001,MATCH(ROWS($V$2:V688),$V$2:$V$1001,0),1)&gt;=100000,INDEX($AC$1005:$AS$1005,1,MATCH(COLUMNS($AC$1006:AD1006),$AC$1006:$AS$1006,0))&gt;=100000), " ",IF(INDEX($AC$2:$AS$1001,MATCH(ROWS($V$2:V688),$V$2:$V$1001,0),MATCH(COLUMNS($AC$1006:AD1006),$AC$1006:$AS$1006,0)), HYPERLINK("#",""), HYPERLINK(CONCATENATE("#Metadata!", ADDRESS(INDEX($X$2:$X$1001,MATCH(ROWS($V$2:V688),$V$2:$V$1001,0),0), INDEX($AC$1004:$AS$1004,1,MATCH(COLUMNS($AC$1006:AD1006),$AC$1006:$AS$1006,0)))),"Fix")))</f>
        <v>0</v>
      </c>
      <c r="D688" s="5">
        <f>IF(OR(INDEX($W$2:$W$1001,MATCH(ROWS($V$2:V688),$V$2:$V$1001,0),1)&gt;=100000,INDEX($AC$1005:$AS$1005,1,MATCH(COLUMNS($AC$1006:AE1006),$AC$1006:$AS$1006,0))&gt;=100000), " ",IF(INDEX($AC$2:$AS$1001,MATCH(ROWS($V$2:V688),$V$2:$V$1001,0),MATCH(COLUMNS($AC$1006:AE1006),$AC$1006:$AS$1006,0)), HYPERLINK("#",""), HYPERLINK(CONCATENATE("#Metadata!", ADDRESS(INDEX($X$2:$X$1001,MATCH(ROWS($V$2:V688),$V$2:$V$1001,0),0), INDEX($AC$1004:$AS$1004,1,MATCH(COLUMNS($AC$1006:AE1006),$AC$1006:$AS$1006,0)))),"Fix")))</f>
        <v>0</v>
      </c>
      <c r="E688" s="5">
        <f>IF(OR(INDEX($W$2:$W$1001,MATCH(ROWS($V$2:V688),$V$2:$V$1001,0),1)&gt;=100000,INDEX($AC$1005:$AS$1005,1,MATCH(COLUMNS($AC$1006:AF1006),$AC$1006:$AS$1006,0))&gt;=100000), " ",IF(INDEX($AC$2:$AS$1001,MATCH(ROWS($V$2:V688),$V$2:$V$1001,0),MATCH(COLUMNS($AC$1006:AF1006),$AC$1006:$AS$1006,0)), HYPERLINK("#",""), HYPERLINK(CONCATENATE("#Metadata!", ADDRESS(INDEX($X$2:$X$1001,MATCH(ROWS($V$2:V688),$V$2:$V$1001,0),0), INDEX($AC$1004:$AS$1004,1,MATCH(COLUMNS($AC$1006:AF1006),$AC$1006:$AS$1006,0)))),"Fix")))</f>
        <v>0</v>
      </c>
      <c r="F688" s="5">
        <f>IF(OR(INDEX($W$2:$W$1001,MATCH(ROWS($V$2:V688),$V$2:$V$1001,0),1)&gt;=100000,INDEX($AC$1005:$AS$1005,1,MATCH(COLUMNS($AC$1006:AG1006),$AC$1006:$AS$1006,0))&gt;=100000), " ",IF(INDEX($AC$2:$AS$1001,MATCH(ROWS($V$2:V688),$V$2:$V$1001,0),MATCH(COLUMNS($AC$1006:AG1006),$AC$1006:$AS$1006,0)), HYPERLINK("#",""), HYPERLINK(CONCATENATE("#Metadata!", ADDRESS(INDEX($X$2:$X$1001,MATCH(ROWS($V$2:V688),$V$2:$V$1001,0),0), INDEX($AC$1004:$AS$1004,1,MATCH(COLUMNS($AC$1006:AG1006),$AC$1006:$AS$1006,0)))),"Fix")))</f>
        <v>0</v>
      </c>
      <c r="G688" s="5">
        <f>IF(OR(INDEX($W$2:$W$1001,MATCH(ROWS($V$2:V688),$V$2:$V$1001,0),1)&gt;=100000,INDEX($AC$1005:$AS$1005,1,MATCH(COLUMNS($AC$1006:AH1006),$AC$1006:$AS$1006,0))&gt;=100000), " ",IF(INDEX($AC$2:$AS$1001,MATCH(ROWS($V$2:V688),$V$2:$V$1001,0),MATCH(COLUMNS($AC$1006:AH1006),$AC$1006:$AS$1006,0)), HYPERLINK("#",""), HYPERLINK(CONCATENATE("#Metadata!", ADDRESS(INDEX($X$2:$X$1001,MATCH(ROWS($V$2:V688),$V$2:$V$1001,0),0), INDEX($AC$1004:$AS$1004,1,MATCH(COLUMNS($AC$1006:AH1006),$AC$1006:$AS$1006,0)))),"Fix")))</f>
        <v>0</v>
      </c>
      <c r="H688" s="5">
        <f>IF(OR(INDEX($W$2:$W$1001,MATCH(ROWS($V$2:V688),$V$2:$V$1001,0),1)&gt;=100000,INDEX($AC$1005:$AS$1005,1,MATCH(COLUMNS($AC$1006:AI1006),$AC$1006:$AS$1006,0))&gt;=100000), " ",IF(INDEX($AC$2:$AS$1001,MATCH(ROWS($V$2:V688),$V$2:$V$1001,0),MATCH(COLUMNS($AC$1006:AI1006),$AC$1006:$AS$1006,0)), HYPERLINK("#",""), HYPERLINK(CONCATENATE("#Metadata!", ADDRESS(INDEX($X$2:$X$1001,MATCH(ROWS($V$2:V688),$V$2:$V$1001,0),0), INDEX($AC$1004:$AS$1004,1,MATCH(COLUMNS($AC$1006:AI1006),$AC$1006:$AS$1006,0)))),"Fix")))</f>
        <v>0</v>
      </c>
      <c r="I688" s="5">
        <f>IF(OR(INDEX($W$2:$W$1001,MATCH(ROWS($V$2:V688),$V$2:$V$1001,0),1)&gt;=100000,INDEX($AC$1005:$AS$1005,1,MATCH(COLUMNS($AC$1006:AJ1006),$AC$1006:$AS$1006,0))&gt;=100000), " ",IF(INDEX($AC$2:$AS$1001,MATCH(ROWS($V$2:V688),$V$2:$V$1001,0),MATCH(COLUMNS($AC$1006:AJ1006),$AC$1006:$AS$1006,0)), HYPERLINK("#",""), HYPERLINK(CONCATENATE("#Metadata!", ADDRESS(INDEX($X$2:$X$1001,MATCH(ROWS($V$2:V688),$V$2:$V$1001,0),0), INDEX($AC$1004:$AS$1004,1,MATCH(COLUMNS($AC$1006:AJ1006),$AC$1006:$AS$1006,0)))),"Fix")))</f>
        <v>0</v>
      </c>
      <c r="J688" s="5">
        <f>IF(OR(INDEX($W$2:$W$1001,MATCH(ROWS($V$2:V688),$V$2:$V$1001,0),1)&gt;=100000,INDEX($AC$1005:$AS$1005,1,MATCH(COLUMNS($AC$1006:AK1006),$AC$1006:$AS$1006,0))&gt;=100000), " ",IF(INDEX($AC$2:$AS$1001,MATCH(ROWS($V$2:V688),$V$2:$V$1001,0),MATCH(COLUMNS($AC$1006:AK1006),$AC$1006:$AS$1006,0)), HYPERLINK("#",""), HYPERLINK(CONCATENATE("#Metadata!", ADDRESS(INDEX($X$2:$X$1001,MATCH(ROWS($V$2:V688),$V$2:$V$1001,0),0), INDEX($AC$1004:$AS$1004,1,MATCH(COLUMNS($AC$1006:AK1006),$AC$1006:$AS$1006,0)))),"Fix")))</f>
        <v>0</v>
      </c>
      <c r="K688" s="5">
        <f>IF(OR(INDEX($W$2:$W$1001,MATCH(ROWS($V$2:V688),$V$2:$V$1001,0),1)&gt;=100000,INDEX($AC$1005:$AS$1005,1,MATCH(COLUMNS($AC$1006:AL1006),$AC$1006:$AS$1006,0))&gt;=100000), " ",IF(INDEX($AC$2:$AS$1001,MATCH(ROWS($V$2:V688),$V$2:$V$1001,0),MATCH(COLUMNS($AC$1006:AL1006),$AC$1006:$AS$1006,0)), HYPERLINK("#",""), HYPERLINK(CONCATENATE("#Metadata!", ADDRESS(INDEX($X$2:$X$1001,MATCH(ROWS($V$2:V688),$V$2:$V$1001,0),0), INDEX($AC$1004:$AS$1004,1,MATCH(COLUMNS($AC$1006:AL1006),$AC$1006:$AS$1006,0)))),"Fix")))</f>
        <v>0</v>
      </c>
      <c r="L688" s="5">
        <f>IF(OR(INDEX($W$2:$W$1001,MATCH(ROWS($V$2:V688),$V$2:$V$1001,0),1)&gt;=100000,INDEX($AC$1005:$AS$1005,1,MATCH(COLUMNS($AC$1006:AM1006),$AC$1006:$AS$1006,0))&gt;=100000), " ",IF(INDEX($AC$2:$AS$1001,MATCH(ROWS($V$2:V688),$V$2:$V$1001,0),MATCH(COLUMNS($AC$1006:AM1006),$AC$1006:$AS$1006,0)), HYPERLINK("#",""), HYPERLINK(CONCATENATE("#Metadata!", ADDRESS(INDEX($X$2:$X$1001,MATCH(ROWS($V$2:V688),$V$2:$V$1001,0),0), INDEX($AC$1004:$AS$1004,1,MATCH(COLUMNS($AC$1006:AM1006),$AC$1006:$AS$1006,0)))),"Fix")))</f>
        <v>0</v>
      </c>
      <c r="M688" s="5">
        <f>IF(OR(INDEX($W$2:$W$1001,MATCH(ROWS($V$2:V688),$V$2:$V$1001,0),1)&gt;=100000,INDEX($AC$1005:$AS$1005,1,MATCH(COLUMNS($AC$1006:AN1006),$AC$1006:$AS$1006,0))&gt;=100000), " ",IF(INDEX($AC$2:$AS$1001,MATCH(ROWS($V$2:V688),$V$2:$V$1001,0),MATCH(COLUMNS($AC$1006:AN1006),$AC$1006:$AS$1006,0)), HYPERLINK("#",""), HYPERLINK(CONCATENATE("#Metadata!", ADDRESS(INDEX($X$2:$X$1001,MATCH(ROWS($V$2:V688),$V$2:$V$1001,0),0), INDEX($AC$1004:$AS$1004,1,MATCH(COLUMNS($AC$1006:AN1006),$AC$1006:$AS$1006,0)))),"Fix")))</f>
        <v>0</v>
      </c>
      <c r="N688" s="5">
        <f>IF(OR(INDEX($W$2:$W$1001,MATCH(ROWS($V$2:V688),$V$2:$V$1001,0),1)&gt;=100000,INDEX($AC$1005:$AS$1005,1,MATCH(COLUMNS($AC$1006:AO1006),$AC$1006:$AS$1006,0))&gt;=100000), " ",IF(INDEX($AC$2:$AS$1001,MATCH(ROWS($V$2:V688),$V$2:$V$1001,0),MATCH(COLUMNS($AC$1006:AO1006),$AC$1006:$AS$1006,0)), HYPERLINK("#",""), HYPERLINK(CONCATENATE("#Metadata!", ADDRESS(INDEX($X$2:$X$1001,MATCH(ROWS($V$2:V688),$V$2:$V$1001,0),0), INDEX($AC$1004:$AS$1004,1,MATCH(COLUMNS($AC$1006:AO1006),$AC$1006:$AS$1006,0)))),"Fix")))</f>
        <v>0</v>
      </c>
      <c r="O688" s="5">
        <f>IF(OR(INDEX($W$2:$W$1001,MATCH(ROWS($V$2:V688),$V$2:$V$1001,0),1)&gt;=100000,INDEX($AC$1005:$AS$1005,1,MATCH(COLUMNS($AC$1006:AP1006),$AC$1006:$AS$1006,0))&gt;=100000), " ",IF(INDEX($AC$2:$AS$1001,MATCH(ROWS($V$2:V688),$V$2:$V$1001,0),MATCH(COLUMNS($AC$1006:AP1006),$AC$1006:$AS$1006,0)), HYPERLINK("#",""), HYPERLINK(CONCATENATE("#Metadata!", ADDRESS(INDEX($X$2:$X$1001,MATCH(ROWS($V$2:V688),$V$2:$V$1001,0),0), INDEX($AC$1004:$AS$1004,1,MATCH(COLUMNS($AC$1006:AP1006),$AC$1006:$AS$1006,0)))),"Fix")))</f>
        <v>0</v>
      </c>
      <c r="P688" s="5">
        <f>IF(OR(INDEX($W$2:$W$1001,MATCH(ROWS($V$2:V688),$V$2:$V$1001,0),1)&gt;=100000,INDEX($AC$1005:$AS$1005,1,MATCH(COLUMNS($AC$1006:AQ1006),$AC$1006:$AS$1006,0))&gt;=100000), " ",IF(INDEX($AC$2:$AS$1001,MATCH(ROWS($V$2:V688),$V$2:$V$1001,0),MATCH(COLUMNS($AC$1006:AQ1006),$AC$1006:$AS$1006,0)), HYPERLINK("#",""), HYPERLINK(CONCATENATE("#Metadata!", ADDRESS(INDEX($X$2:$X$1001,MATCH(ROWS($V$2:V688),$V$2:$V$1001,0),0), INDEX($AC$1004:$AS$1004,1,MATCH(COLUMNS($AC$1006:AQ1006),$AC$1006:$AS$1006,0)))),"Fix")))</f>
        <v>0</v>
      </c>
      <c r="Q688" s="5">
        <f>IF(OR(INDEX($W$2:$W$1001,MATCH(ROWS($V$2:V688),$V$2:$V$1001,0),1)&gt;=100000,INDEX($AC$1005:$AS$1005,1,MATCH(COLUMNS($AC$1006:AR1006),$AC$1006:$AS$1006,0))&gt;=100000), " ",IF(INDEX($AC$2:$AS$1001,MATCH(ROWS($V$2:V688),$V$2:$V$1001,0),MATCH(COLUMNS($AC$1006:AR1006),$AC$1006:$AS$1006,0)), HYPERLINK("#",""), HYPERLINK(CONCATENATE("#Metadata!", ADDRESS(INDEX($X$2:$X$1001,MATCH(ROWS($V$2:V688),$V$2:$V$1001,0),0), INDEX($AC$1004:$AS$1004,1,MATCH(COLUMNS($AC$1006:AR1006),$AC$1006:$AS$1006,0)))),"Fix")))</f>
        <v>0</v>
      </c>
      <c r="R688" s="5">
        <f>IF(OR(INDEX($W$2:$W$1001,MATCH(ROWS($V$2:V688),$V$2:$V$1001,0),1)&gt;=100000,INDEX($AC$1005:$AS$1005,1,MATCH(COLUMNS($AC$1006:AS1006),$AC$1006:$AS$1006,0))&gt;=100000), " ",IF(INDEX($AC$2:$AS$1001,MATCH(ROWS($V$2:V688),$V$2:$V$1001,0),MATCH(COLUMNS($AC$1006:AS1006),$AC$1006:$AS$1006,0)), HYPERLINK("#",""), HYPERLINK(CONCATENATE("#Metadata!", ADDRESS(INDEX($X$2:$X$1001,MATCH(ROWS($V$2:V688),$V$2:$V$1001,0),0), INDEX($AC$1004:$AS$1004,1,MATCH(COLUMNS($AC$1006:AS1006),$AC$1006:$AS$1006,0)))),"Fix")))</f>
        <v>0</v>
      </c>
      <c r="V688">
        <v>0</v>
      </c>
      <c r="W688">
        <v>0</v>
      </c>
      <c r="X688">
        <v>0</v>
      </c>
      <c r="Y688">
        <f>IF(Z688,TRUE,AND(AC688:AS688))</f>
        <v>0</v>
      </c>
      <c r="Z688">
        <f>COUNTBLANK(Metadata!B688:R688)=COLUMNS(Metadata!B688:R688)</f>
        <v>0</v>
      </c>
      <c r="AA688">
        <v>0</v>
      </c>
      <c r="AC688">
        <f>AND(IF(Metadata!B688="",FALSE,TRUE),COUNTIF(Metadata!B:B, Metadata!B688) = 1,NOT(ISERROR(SUMPRODUCT(SEARCH(MID(Metadata!B688,ROW(INDIRECT("1:"&amp;LEN(Metadata!B688))), 1),"0123456789abcdefghijklmnopqrstuvwxyzABCDEFGHIJKLMNOPQRSTUVWXYZ.")))))</f>
        <v>0</v>
      </c>
      <c r="AD688">
        <f>AND(IF(Metadata!C688="",FALSE,TRUE),exact(Metadata!C688,"Host-associated"))</f>
        <v>0</v>
      </c>
      <c r="AE688">
        <f>AND(IF(Metadata!D688="",FALSE,TRUE),OR(exact(Metadata!D688,"Animal"),exact(Metadata!D688,"Fungus"),exact(Metadata!D688,"Plant")))</f>
        <v>0</v>
      </c>
      <c r="AF688">
        <f>AND(IF(Metadata!E688="",FALSE,TRUE),OR(exact(Metadata!E688,"Plant secretion"),exact(Metadata!E688,"Plant rhizosphere"),exact(Metadata!E688,"Plant surface"),exact(Metadata!E688,"Plant corpus"),exact(Metadata!E688,"Fungus surface"),exact(Metadata!E688,"Fungus corpus"),exact(Metadata!E688,"Animal surface"),exact(Metadata!E688,"Animal proximal gut"),exact(Metadata!E688,"Animal corpus"),exact(Metadata!E688,"Animal distal gut"),exact(Metadata!E688,"Animal secretion")))</f>
        <v>0</v>
      </c>
      <c r="AG688">
        <f>OR(AND(IF(Metadata!F688="",FALSE,TRUE),OR(exact(Metadata!F688,"not collected"),exact(Metadata!F688,"not provided"),exact(Metadata!F688,"restricted access"))),AND(IF(Metadata!F688="",FALSE,TRUE),OR(exact(Metadata!F688,"organism-associated habitat"),exact(Metadata!F688,"plant-associated habitat"),exact(Metadata!F688,"animal-associated habitat"),exact(Metadata!F688,"insecta-associated habitat"),exact(Metadata!F688,"mammalia-associated habitat"),exact(Metadata!F688,"human-associated habitat"),exact(Metadata!F688,"livestock-associated habitat"))))</f>
        <v>0</v>
      </c>
      <c r="AH688">
        <f>AND(IF(Metadata!G688="",FALSE,TRUE),exact(Metadata!G688,"host-associated"))</f>
        <v>0</v>
      </c>
      <c r="AI688">
        <f>OR(AND(IF(Metadata!H688="",FALSE,TRUE),OR(exact(Metadata!H688,"not collected"),exact(Metadata!H688,"not provided"))),AND(IF(Metadata!H688="",FALSE,ISNUMBER(VALUE(Metadata!H688))),Metadata!H688&gt;0))</f>
        <v>0</v>
      </c>
      <c r="AJ688">
        <f>AND(IF(Metadata!I688="",FALSE,TRUE),exact(Metadata!I688,"years"))</f>
        <v>0</v>
      </c>
      <c r="AK688">
        <f>IF(Metadata!J688="",FALSE,TRUE)</f>
        <v>0</v>
      </c>
      <c r="AL688">
        <f>OR(AND(IF(Metadata!K688="",FALSE,TRUE),OR(exact(Metadata!K688,"not collected"),exact(Metadata!K688,"not provided"))),AND(IF(Metadata!K688="",FALSE,ISNUMBER(VALUE(Metadata!K688))),Metadata!K688&gt;0))</f>
        <v>0</v>
      </c>
      <c r="AM688">
        <f>AND(IF(Metadata!L688="",FALSE,TRUE),exact(Metadata!L688,"cm"))</f>
        <v>0</v>
      </c>
      <c r="AN688">
        <f>IF(Metadata!M688="",FALSE,TRUE)</f>
        <v>0</v>
      </c>
      <c r="AO688">
        <f>OR(AND(IF(Metadata!N688="",FALSE,TRUE),OR(exact(Metadata!N688,"not applicable"),exact(Metadata!N688,"not collected"),exact(Metadata!N688,"not provided"))),AND(IF(Metadata!N688="",FALSE,IF(ISERROR(INT(Metadata!N688)),FALSE,INT(Metadata!N688)=Metadata!N688)),Metadata!N688&gt;0))</f>
        <v>0</v>
      </c>
      <c r="AP688">
        <f>OR(AND(IF(Metadata!O688="",FALSE,TRUE),OR(exact(Metadata!O688,"not collected"),exact(Metadata!O688,"not provided"))),AND(IF(Metadata!O688="",FALSE,ISNUMBER(VALUE(Metadata!O688))),Metadata!O688&gt;0))</f>
        <v>0</v>
      </c>
      <c r="AQ688">
        <f>AND(IF(Metadata!P688="",FALSE,TRUE),exact(Metadata!P688,"kg"))</f>
        <v>0</v>
      </c>
      <c r="AR688">
        <f>OR(AND(IF(Metadata!Q688="",FALSE,TRUE),OR(exact(Metadata!Q688,"not applicable"),exact(Metadata!Q688,"not collected"),exact(Metadata!Q688,"not provided"),exact(Metadata!Q688,"restricted access"))),IF(Metadata!Q688="",FALSE,IF(ISERROR(INT(Metadata!Q688)),FALSE,INT(Metadata!Q688)=Metadata!Q688)))</f>
        <v>0</v>
      </c>
      <c r="AS688">
        <f>AND(IF(Metadata!R688="",FALSE,TRUE),exact(Metadata!R688,"Not applicable"))</f>
        <v>0</v>
      </c>
    </row>
    <row r="689" spans="1:45">
      <c r="A689" s="4">
        <f>IF(B689=" "," ",HYPERLINK(CONCATENATE("#metadata!",ADDRESS(INDEX($X$2:$X$1001,MATCH(ROWS($V$2:V689),$V$2:$V$1001,0),0),2)),INDEX($AA$2:$AA$1001,MATCH(ROWS($V$2:V689),$V$2:$V$1001,0),0)))</f>
        <v>0</v>
      </c>
      <c r="B689" s="5">
        <f>IF(OR(INDEX($W$2:$W$1001,MATCH(ROWS($V$2:V689),$V$2:$V$1001,0),1)&gt;=100000,INDEX($AC$1005:$AS$1005,1,MATCH(COLUMNS($AC$1006:AC1006),$AC$1006:$AS$1006,0))&gt;=100000), " ",IF(INDEX($AC$2:$AS$1001,MATCH(ROWS($V$2:V689),$V$2:$V$1001,0),MATCH(COLUMNS($AC$1006:AC1006),$AC$1006:$AS$1006,0)), HYPERLINK("#",""), HYPERLINK(CONCATENATE("#Metadata!", ADDRESS(INDEX($X$2:$X$1001,MATCH(ROWS($V$2:V689),$V$2:$V$1001,0),0), INDEX($AC$1004:$AS$1004,1,MATCH(COLUMNS($AC$1006:AC1006),$AC$1006:$AS$1006,0)))),"Fix")))</f>
        <v>0</v>
      </c>
      <c r="C689" s="5">
        <f>IF(OR(INDEX($W$2:$W$1001,MATCH(ROWS($V$2:V689),$V$2:$V$1001,0),1)&gt;=100000,INDEX($AC$1005:$AS$1005,1,MATCH(COLUMNS($AC$1006:AD1006),$AC$1006:$AS$1006,0))&gt;=100000), " ",IF(INDEX($AC$2:$AS$1001,MATCH(ROWS($V$2:V689),$V$2:$V$1001,0),MATCH(COLUMNS($AC$1006:AD1006),$AC$1006:$AS$1006,0)), HYPERLINK("#",""), HYPERLINK(CONCATENATE("#Metadata!", ADDRESS(INDEX($X$2:$X$1001,MATCH(ROWS($V$2:V689),$V$2:$V$1001,0),0), INDEX($AC$1004:$AS$1004,1,MATCH(COLUMNS($AC$1006:AD1006),$AC$1006:$AS$1006,0)))),"Fix")))</f>
        <v>0</v>
      </c>
      <c r="D689" s="5">
        <f>IF(OR(INDEX($W$2:$W$1001,MATCH(ROWS($V$2:V689),$V$2:$V$1001,0),1)&gt;=100000,INDEX($AC$1005:$AS$1005,1,MATCH(COLUMNS($AC$1006:AE1006),$AC$1006:$AS$1006,0))&gt;=100000), " ",IF(INDEX($AC$2:$AS$1001,MATCH(ROWS($V$2:V689),$V$2:$V$1001,0),MATCH(COLUMNS($AC$1006:AE1006),$AC$1006:$AS$1006,0)), HYPERLINK("#",""), HYPERLINK(CONCATENATE("#Metadata!", ADDRESS(INDEX($X$2:$X$1001,MATCH(ROWS($V$2:V689),$V$2:$V$1001,0),0), INDEX($AC$1004:$AS$1004,1,MATCH(COLUMNS($AC$1006:AE1006),$AC$1006:$AS$1006,0)))),"Fix")))</f>
        <v>0</v>
      </c>
      <c r="E689" s="5">
        <f>IF(OR(INDEX($W$2:$W$1001,MATCH(ROWS($V$2:V689),$V$2:$V$1001,0),1)&gt;=100000,INDEX($AC$1005:$AS$1005,1,MATCH(COLUMNS($AC$1006:AF1006),$AC$1006:$AS$1006,0))&gt;=100000), " ",IF(INDEX($AC$2:$AS$1001,MATCH(ROWS($V$2:V689),$V$2:$V$1001,0),MATCH(COLUMNS($AC$1006:AF1006),$AC$1006:$AS$1006,0)), HYPERLINK("#",""), HYPERLINK(CONCATENATE("#Metadata!", ADDRESS(INDEX($X$2:$X$1001,MATCH(ROWS($V$2:V689),$V$2:$V$1001,0),0), INDEX($AC$1004:$AS$1004,1,MATCH(COLUMNS($AC$1006:AF1006),$AC$1006:$AS$1006,0)))),"Fix")))</f>
        <v>0</v>
      </c>
      <c r="F689" s="5">
        <f>IF(OR(INDEX($W$2:$W$1001,MATCH(ROWS($V$2:V689),$V$2:$V$1001,0),1)&gt;=100000,INDEX($AC$1005:$AS$1005,1,MATCH(COLUMNS($AC$1006:AG1006),$AC$1006:$AS$1006,0))&gt;=100000), " ",IF(INDEX($AC$2:$AS$1001,MATCH(ROWS($V$2:V689),$V$2:$V$1001,0),MATCH(COLUMNS($AC$1006:AG1006),$AC$1006:$AS$1006,0)), HYPERLINK("#",""), HYPERLINK(CONCATENATE("#Metadata!", ADDRESS(INDEX($X$2:$X$1001,MATCH(ROWS($V$2:V689),$V$2:$V$1001,0),0), INDEX($AC$1004:$AS$1004,1,MATCH(COLUMNS($AC$1006:AG1006),$AC$1006:$AS$1006,0)))),"Fix")))</f>
        <v>0</v>
      </c>
      <c r="G689" s="5">
        <f>IF(OR(INDEX($W$2:$W$1001,MATCH(ROWS($V$2:V689),$V$2:$V$1001,0),1)&gt;=100000,INDEX($AC$1005:$AS$1005,1,MATCH(COLUMNS($AC$1006:AH1006),$AC$1006:$AS$1006,0))&gt;=100000), " ",IF(INDEX($AC$2:$AS$1001,MATCH(ROWS($V$2:V689),$V$2:$V$1001,0),MATCH(COLUMNS($AC$1006:AH1006),$AC$1006:$AS$1006,0)), HYPERLINK("#",""), HYPERLINK(CONCATENATE("#Metadata!", ADDRESS(INDEX($X$2:$X$1001,MATCH(ROWS($V$2:V689),$V$2:$V$1001,0),0), INDEX($AC$1004:$AS$1004,1,MATCH(COLUMNS($AC$1006:AH1006),$AC$1006:$AS$1006,0)))),"Fix")))</f>
        <v>0</v>
      </c>
      <c r="H689" s="5">
        <f>IF(OR(INDEX($W$2:$W$1001,MATCH(ROWS($V$2:V689),$V$2:$V$1001,0),1)&gt;=100000,INDEX($AC$1005:$AS$1005,1,MATCH(COLUMNS($AC$1006:AI1006),$AC$1006:$AS$1006,0))&gt;=100000), " ",IF(INDEX($AC$2:$AS$1001,MATCH(ROWS($V$2:V689),$V$2:$V$1001,0),MATCH(COLUMNS($AC$1006:AI1006),$AC$1006:$AS$1006,0)), HYPERLINK("#",""), HYPERLINK(CONCATENATE("#Metadata!", ADDRESS(INDEX($X$2:$X$1001,MATCH(ROWS($V$2:V689),$V$2:$V$1001,0),0), INDEX($AC$1004:$AS$1004,1,MATCH(COLUMNS($AC$1006:AI1006),$AC$1006:$AS$1006,0)))),"Fix")))</f>
        <v>0</v>
      </c>
      <c r="I689" s="5">
        <f>IF(OR(INDEX($W$2:$W$1001,MATCH(ROWS($V$2:V689),$V$2:$V$1001,0),1)&gt;=100000,INDEX($AC$1005:$AS$1005,1,MATCH(COLUMNS($AC$1006:AJ1006),$AC$1006:$AS$1006,0))&gt;=100000), " ",IF(INDEX($AC$2:$AS$1001,MATCH(ROWS($V$2:V689),$V$2:$V$1001,0),MATCH(COLUMNS($AC$1006:AJ1006),$AC$1006:$AS$1006,0)), HYPERLINK("#",""), HYPERLINK(CONCATENATE("#Metadata!", ADDRESS(INDEX($X$2:$X$1001,MATCH(ROWS($V$2:V689),$V$2:$V$1001,0),0), INDEX($AC$1004:$AS$1004,1,MATCH(COLUMNS($AC$1006:AJ1006),$AC$1006:$AS$1006,0)))),"Fix")))</f>
        <v>0</v>
      </c>
      <c r="J689" s="5">
        <f>IF(OR(INDEX($W$2:$W$1001,MATCH(ROWS($V$2:V689),$V$2:$V$1001,0),1)&gt;=100000,INDEX($AC$1005:$AS$1005,1,MATCH(COLUMNS($AC$1006:AK1006),$AC$1006:$AS$1006,0))&gt;=100000), " ",IF(INDEX($AC$2:$AS$1001,MATCH(ROWS($V$2:V689),$V$2:$V$1001,0),MATCH(COLUMNS($AC$1006:AK1006),$AC$1006:$AS$1006,0)), HYPERLINK("#",""), HYPERLINK(CONCATENATE("#Metadata!", ADDRESS(INDEX($X$2:$X$1001,MATCH(ROWS($V$2:V689),$V$2:$V$1001,0),0), INDEX($AC$1004:$AS$1004,1,MATCH(COLUMNS($AC$1006:AK1006),$AC$1006:$AS$1006,0)))),"Fix")))</f>
        <v>0</v>
      </c>
      <c r="K689" s="5">
        <f>IF(OR(INDEX($W$2:$W$1001,MATCH(ROWS($V$2:V689),$V$2:$V$1001,0),1)&gt;=100000,INDEX($AC$1005:$AS$1005,1,MATCH(COLUMNS($AC$1006:AL1006),$AC$1006:$AS$1006,0))&gt;=100000), " ",IF(INDEX($AC$2:$AS$1001,MATCH(ROWS($V$2:V689),$V$2:$V$1001,0),MATCH(COLUMNS($AC$1006:AL1006),$AC$1006:$AS$1006,0)), HYPERLINK("#",""), HYPERLINK(CONCATENATE("#Metadata!", ADDRESS(INDEX($X$2:$X$1001,MATCH(ROWS($V$2:V689),$V$2:$V$1001,0),0), INDEX($AC$1004:$AS$1004,1,MATCH(COLUMNS($AC$1006:AL1006),$AC$1006:$AS$1006,0)))),"Fix")))</f>
        <v>0</v>
      </c>
      <c r="L689" s="5">
        <f>IF(OR(INDEX($W$2:$W$1001,MATCH(ROWS($V$2:V689),$V$2:$V$1001,0),1)&gt;=100000,INDEX($AC$1005:$AS$1005,1,MATCH(COLUMNS($AC$1006:AM1006),$AC$1006:$AS$1006,0))&gt;=100000), " ",IF(INDEX($AC$2:$AS$1001,MATCH(ROWS($V$2:V689),$V$2:$V$1001,0),MATCH(COLUMNS($AC$1006:AM1006),$AC$1006:$AS$1006,0)), HYPERLINK("#",""), HYPERLINK(CONCATENATE("#Metadata!", ADDRESS(INDEX($X$2:$X$1001,MATCH(ROWS($V$2:V689),$V$2:$V$1001,0),0), INDEX($AC$1004:$AS$1004,1,MATCH(COLUMNS($AC$1006:AM1006),$AC$1006:$AS$1006,0)))),"Fix")))</f>
        <v>0</v>
      </c>
      <c r="M689" s="5">
        <f>IF(OR(INDEX($W$2:$W$1001,MATCH(ROWS($V$2:V689),$V$2:$V$1001,0),1)&gt;=100000,INDEX($AC$1005:$AS$1005,1,MATCH(COLUMNS($AC$1006:AN1006),$AC$1006:$AS$1006,0))&gt;=100000), " ",IF(INDEX($AC$2:$AS$1001,MATCH(ROWS($V$2:V689),$V$2:$V$1001,0),MATCH(COLUMNS($AC$1006:AN1006),$AC$1006:$AS$1006,0)), HYPERLINK("#",""), HYPERLINK(CONCATENATE("#Metadata!", ADDRESS(INDEX($X$2:$X$1001,MATCH(ROWS($V$2:V689),$V$2:$V$1001,0),0), INDEX($AC$1004:$AS$1004,1,MATCH(COLUMNS($AC$1006:AN1006),$AC$1006:$AS$1006,0)))),"Fix")))</f>
        <v>0</v>
      </c>
      <c r="N689" s="5">
        <f>IF(OR(INDEX($W$2:$W$1001,MATCH(ROWS($V$2:V689),$V$2:$V$1001,0),1)&gt;=100000,INDEX($AC$1005:$AS$1005,1,MATCH(COLUMNS($AC$1006:AO1006),$AC$1006:$AS$1006,0))&gt;=100000), " ",IF(INDEX($AC$2:$AS$1001,MATCH(ROWS($V$2:V689),$V$2:$V$1001,0),MATCH(COLUMNS($AC$1006:AO1006),$AC$1006:$AS$1006,0)), HYPERLINK("#",""), HYPERLINK(CONCATENATE("#Metadata!", ADDRESS(INDEX($X$2:$X$1001,MATCH(ROWS($V$2:V689),$V$2:$V$1001,0),0), INDEX($AC$1004:$AS$1004,1,MATCH(COLUMNS($AC$1006:AO1006),$AC$1006:$AS$1006,0)))),"Fix")))</f>
        <v>0</v>
      </c>
      <c r="O689" s="5">
        <f>IF(OR(INDEX($W$2:$W$1001,MATCH(ROWS($V$2:V689),$V$2:$V$1001,0),1)&gt;=100000,INDEX($AC$1005:$AS$1005,1,MATCH(COLUMNS($AC$1006:AP1006),$AC$1006:$AS$1006,0))&gt;=100000), " ",IF(INDEX($AC$2:$AS$1001,MATCH(ROWS($V$2:V689),$V$2:$V$1001,0),MATCH(COLUMNS($AC$1006:AP1006),$AC$1006:$AS$1006,0)), HYPERLINK("#",""), HYPERLINK(CONCATENATE("#Metadata!", ADDRESS(INDEX($X$2:$X$1001,MATCH(ROWS($V$2:V689),$V$2:$V$1001,0),0), INDEX($AC$1004:$AS$1004,1,MATCH(COLUMNS($AC$1006:AP1006),$AC$1006:$AS$1006,0)))),"Fix")))</f>
        <v>0</v>
      </c>
      <c r="P689" s="5">
        <f>IF(OR(INDEX($W$2:$W$1001,MATCH(ROWS($V$2:V689),$V$2:$V$1001,0),1)&gt;=100000,INDEX($AC$1005:$AS$1005,1,MATCH(COLUMNS($AC$1006:AQ1006),$AC$1006:$AS$1006,0))&gt;=100000), " ",IF(INDEX($AC$2:$AS$1001,MATCH(ROWS($V$2:V689),$V$2:$V$1001,0),MATCH(COLUMNS($AC$1006:AQ1006),$AC$1006:$AS$1006,0)), HYPERLINK("#",""), HYPERLINK(CONCATENATE("#Metadata!", ADDRESS(INDEX($X$2:$X$1001,MATCH(ROWS($V$2:V689),$V$2:$V$1001,0),0), INDEX($AC$1004:$AS$1004,1,MATCH(COLUMNS($AC$1006:AQ1006),$AC$1006:$AS$1006,0)))),"Fix")))</f>
        <v>0</v>
      </c>
      <c r="Q689" s="5">
        <f>IF(OR(INDEX($W$2:$W$1001,MATCH(ROWS($V$2:V689),$V$2:$V$1001,0),1)&gt;=100000,INDEX($AC$1005:$AS$1005,1,MATCH(COLUMNS($AC$1006:AR1006),$AC$1006:$AS$1006,0))&gt;=100000), " ",IF(INDEX($AC$2:$AS$1001,MATCH(ROWS($V$2:V689),$V$2:$V$1001,0),MATCH(COLUMNS($AC$1006:AR1006),$AC$1006:$AS$1006,0)), HYPERLINK("#",""), HYPERLINK(CONCATENATE("#Metadata!", ADDRESS(INDEX($X$2:$X$1001,MATCH(ROWS($V$2:V689),$V$2:$V$1001,0),0), INDEX($AC$1004:$AS$1004,1,MATCH(COLUMNS($AC$1006:AR1006),$AC$1006:$AS$1006,0)))),"Fix")))</f>
        <v>0</v>
      </c>
      <c r="R689" s="5">
        <f>IF(OR(INDEX($W$2:$W$1001,MATCH(ROWS($V$2:V689),$V$2:$V$1001,0),1)&gt;=100000,INDEX($AC$1005:$AS$1005,1,MATCH(COLUMNS($AC$1006:AS1006),$AC$1006:$AS$1006,0))&gt;=100000), " ",IF(INDEX($AC$2:$AS$1001,MATCH(ROWS($V$2:V689),$V$2:$V$1001,0),MATCH(COLUMNS($AC$1006:AS1006),$AC$1006:$AS$1006,0)), HYPERLINK("#",""), HYPERLINK(CONCATENATE("#Metadata!", ADDRESS(INDEX($X$2:$X$1001,MATCH(ROWS($V$2:V689),$V$2:$V$1001,0),0), INDEX($AC$1004:$AS$1004,1,MATCH(COLUMNS($AC$1006:AS1006),$AC$1006:$AS$1006,0)))),"Fix")))</f>
        <v>0</v>
      </c>
      <c r="V689">
        <v>0</v>
      </c>
      <c r="W689">
        <v>0</v>
      </c>
      <c r="X689">
        <v>0</v>
      </c>
      <c r="Y689">
        <f>IF(Z689,TRUE,AND(AC689:AS689))</f>
        <v>0</v>
      </c>
      <c r="Z689">
        <f>COUNTBLANK(Metadata!B689:R689)=COLUMNS(Metadata!B689:R689)</f>
        <v>0</v>
      </c>
      <c r="AA689">
        <v>0</v>
      </c>
      <c r="AC689">
        <f>AND(IF(Metadata!B689="",FALSE,TRUE),COUNTIF(Metadata!B:B, Metadata!B689) = 1,NOT(ISERROR(SUMPRODUCT(SEARCH(MID(Metadata!B689,ROW(INDIRECT("1:"&amp;LEN(Metadata!B689))), 1),"0123456789abcdefghijklmnopqrstuvwxyzABCDEFGHIJKLMNOPQRSTUVWXYZ.")))))</f>
        <v>0</v>
      </c>
      <c r="AD689">
        <f>AND(IF(Metadata!C689="",FALSE,TRUE),exact(Metadata!C689,"Host-associated"))</f>
        <v>0</v>
      </c>
      <c r="AE689">
        <f>AND(IF(Metadata!D689="",FALSE,TRUE),OR(exact(Metadata!D689,"Animal"),exact(Metadata!D689,"Fungus"),exact(Metadata!D689,"Plant")))</f>
        <v>0</v>
      </c>
      <c r="AF689">
        <f>AND(IF(Metadata!E689="",FALSE,TRUE),OR(exact(Metadata!E689,"Plant secretion"),exact(Metadata!E689,"Plant rhizosphere"),exact(Metadata!E689,"Plant surface"),exact(Metadata!E689,"Plant corpus"),exact(Metadata!E689,"Fungus surface"),exact(Metadata!E689,"Fungus corpus"),exact(Metadata!E689,"Animal surface"),exact(Metadata!E689,"Animal proximal gut"),exact(Metadata!E689,"Animal corpus"),exact(Metadata!E689,"Animal distal gut"),exact(Metadata!E689,"Animal secretion")))</f>
        <v>0</v>
      </c>
      <c r="AG689">
        <f>OR(AND(IF(Metadata!F689="",FALSE,TRUE),OR(exact(Metadata!F689,"not collected"),exact(Metadata!F689,"not provided"),exact(Metadata!F689,"restricted access"))),AND(IF(Metadata!F689="",FALSE,TRUE),OR(exact(Metadata!F689,"organism-associated habitat"),exact(Metadata!F689,"plant-associated habitat"),exact(Metadata!F689,"animal-associated habitat"),exact(Metadata!F689,"insecta-associated habitat"),exact(Metadata!F689,"mammalia-associated habitat"),exact(Metadata!F689,"human-associated habitat"),exact(Metadata!F689,"livestock-associated habitat"))))</f>
        <v>0</v>
      </c>
      <c r="AH689">
        <f>AND(IF(Metadata!G689="",FALSE,TRUE),exact(Metadata!G689,"host-associated"))</f>
        <v>0</v>
      </c>
      <c r="AI689">
        <f>OR(AND(IF(Metadata!H689="",FALSE,TRUE),OR(exact(Metadata!H689,"not collected"),exact(Metadata!H689,"not provided"))),AND(IF(Metadata!H689="",FALSE,ISNUMBER(VALUE(Metadata!H689))),Metadata!H689&gt;0))</f>
        <v>0</v>
      </c>
      <c r="AJ689">
        <f>AND(IF(Metadata!I689="",FALSE,TRUE),exact(Metadata!I689,"years"))</f>
        <v>0</v>
      </c>
      <c r="AK689">
        <f>IF(Metadata!J689="",FALSE,TRUE)</f>
        <v>0</v>
      </c>
      <c r="AL689">
        <f>OR(AND(IF(Metadata!K689="",FALSE,TRUE),OR(exact(Metadata!K689,"not collected"),exact(Metadata!K689,"not provided"))),AND(IF(Metadata!K689="",FALSE,ISNUMBER(VALUE(Metadata!K689))),Metadata!K689&gt;0))</f>
        <v>0</v>
      </c>
      <c r="AM689">
        <f>AND(IF(Metadata!L689="",FALSE,TRUE),exact(Metadata!L689,"cm"))</f>
        <v>0</v>
      </c>
      <c r="AN689">
        <f>IF(Metadata!M689="",FALSE,TRUE)</f>
        <v>0</v>
      </c>
      <c r="AO689">
        <f>OR(AND(IF(Metadata!N689="",FALSE,TRUE),OR(exact(Metadata!N689,"not applicable"),exact(Metadata!N689,"not collected"),exact(Metadata!N689,"not provided"))),AND(IF(Metadata!N689="",FALSE,IF(ISERROR(INT(Metadata!N689)),FALSE,INT(Metadata!N689)=Metadata!N689)),Metadata!N689&gt;0))</f>
        <v>0</v>
      </c>
      <c r="AP689">
        <f>OR(AND(IF(Metadata!O689="",FALSE,TRUE),OR(exact(Metadata!O689,"not collected"),exact(Metadata!O689,"not provided"))),AND(IF(Metadata!O689="",FALSE,ISNUMBER(VALUE(Metadata!O689))),Metadata!O689&gt;0))</f>
        <v>0</v>
      </c>
      <c r="AQ689">
        <f>AND(IF(Metadata!P689="",FALSE,TRUE),exact(Metadata!P689,"kg"))</f>
        <v>0</v>
      </c>
      <c r="AR689">
        <f>OR(AND(IF(Metadata!Q689="",FALSE,TRUE),OR(exact(Metadata!Q689,"not applicable"),exact(Metadata!Q689,"not collected"),exact(Metadata!Q689,"not provided"),exact(Metadata!Q689,"restricted access"))),IF(Metadata!Q689="",FALSE,IF(ISERROR(INT(Metadata!Q689)),FALSE,INT(Metadata!Q689)=Metadata!Q689)))</f>
        <v>0</v>
      </c>
      <c r="AS689">
        <f>AND(IF(Metadata!R689="",FALSE,TRUE),exact(Metadata!R689,"Not applicable"))</f>
        <v>0</v>
      </c>
    </row>
    <row r="690" spans="1:45">
      <c r="A690" s="4">
        <f>IF(B690=" "," ",HYPERLINK(CONCATENATE("#metadata!",ADDRESS(INDEX($X$2:$X$1001,MATCH(ROWS($V$2:V690),$V$2:$V$1001,0),0),2)),INDEX($AA$2:$AA$1001,MATCH(ROWS($V$2:V690),$V$2:$V$1001,0),0)))</f>
        <v>0</v>
      </c>
      <c r="B690" s="5">
        <f>IF(OR(INDEX($W$2:$W$1001,MATCH(ROWS($V$2:V690),$V$2:$V$1001,0),1)&gt;=100000,INDEX($AC$1005:$AS$1005,1,MATCH(COLUMNS($AC$1006:AC1006),$AC$1006:$AS$1006,0))&gt;=100000), " ",IF(INDEX($AC$2:$AS$1001,MATCH(ROWS($V$2:V690),$V$2:$V$1001,0),MATCH(COLUMNS($AC$1006:AC1006),$AC$1006:$AS$1006,0)), HYPERLINK("#",""), HYPERLINK(CONCATENATE("#Metadata!", ADDRESS(INDEX($X$2:$X$1001,MATCH(ROWS($V$2:V690),$V$2:$V$1001,0),0), INDEX($AC$1004:$AS$1004,1,MATCH(COLUMNS($AC$1006:AC1006),$AC$1006:$AS$1006,0)))),"Fix")))</f>
        <v>0</v>
      </c>
      <c r="C690" s="5">
        <f>IF(OR(INDEX($W$2:$W$1001,MATCH(ROWS($V$2:V690),$V$2:$V$1001,0),1)&gt;=100000,INDEX($AC$1005:$AS$1005,1,MATCH(COLUMNS($AC$1006:AD1006),$AC$1006:$AS$1006,0))&gt;=100000), " ",IF(INDEX($AC$2:$AS$1001,MATCH(ROWS($V$2:V690),$V$2:$V$1001,0),MATCH(COLUMNS($AC$1006:AD1006),$AC$1006:$AS$1006,0)), HYPERLINK("#",""), HYPERLINK(CONCATENATE("#Metadata!", ADDRESS(INDEX($X$2:$X$1001,MATCH(ROWS($V$2:V690),$V$2:$V$1001,0),0), INDEX($AC$1004:$AS$1004,1,MATCH(COLUMNS($AC$1006:AD1006),$AC$1006:$AS$1006,0)))),"Fix")))</f>
        <v>0</v>
      </c>
      <c r="D690" s="5">
        <f>IF(OR(INDEX($W$2:$W$1001,MATCH(ROWS($V$2:V690),$V$2:$V$1001,0),1)&gt;=100000,INDEX($AC$1005:$AS$1005,1,MATCH(COLUMNS($AC$1006:AE1006),$AC$1006:$AS$1006,0))&gt;=100000), " ",IF(INDEX($AC$2:$AS$1001,MATCH(ROWS($V$2:V690),$V$2:$V$1001,0),MATCH(COLUMNS($AC$1006:AE1006),$AC$1006:$AS$1006,0)), HYPERLINK("#",""), HYPERLINK(CONCATENATE("#Metadata!", ADDRESS(INDEX($X$2:$X$1001,MATCH(ROWS($V$2:V690),$V$2:$V$1001,0),0), INDEX($AC$1004:$AS$1004,1,MATCH(COLUMNS($AC$1006:AE1006),$AC$1006:$AS$1006,0)))),"Fix")))</f>
        <v>0</v>
      </c>
      <c r="E690" s="5">
        <f>IF(OR(INDEX($W$2:$W$1001,MATCH(ROWS($V$2:V690),$V$2:$V$1001,0),1)&gt;=100000,INDEX($AC$1005:$AS$1005,1,MATCH(COLUMNS($AC$1006:AF1006),$AC$1006:$AS$1006,0))&gt;=100000), " ",IF(INDEX($AC$2:$AS$1001,MATCH(ROWS($V$2:V690),$V$2:$V$1001,0),MATCH(COLUMNS($AC$1006:AF1006),$AC$1006:$AS$1006,0)), HYPERLINK("#",""), HYPERLINK(CONCATENATE("#Metadata!", ADDRESS(INDEX($X$2:$X$1001,MATCH(ROWS($V$2:V690),$V$2:$V$1001,0),0), INDEX($AC$1004:$AS$1004,1,MATCH(COLUMNS($AC$1006:AF1006),$AC$1006:$AS$1006,0)))),"Fix")))</f>
        <v>0</v>
      </c>
      <c r="F690" s="5">
        <f>IF(OR(INDEX($W$2:$W$1001,MATCH(ROWS($V$2:V690),$V$2:$V$1001,0),1)&gt;=100000,INDEX($AC$1005:$AS$1005,1,MATCH(COLUMNS($AC$1006:AG1006),$AC$1006:$AS$1006,0))&gt;=100000), " ",IF(INDEX($AC$2:$AS$1001,MATCH(ROWS($V$2:V690),$V$2:$V$1001,0),MATCH(COLUMNS($AC$1006:AG1006),$AC$1006:$AS$1006,0)), HYPERLINK("#",""), HYPERLINK(CONCATENATE("#Metadata!", ADDRESS(INDEX($X$2:$X$1001,MATCH(ROWS($V$2:V690),$V$2:$V$1001,0),0), INDEX($AC$1004:$AS$1004,1,MATCH(COLUMNS($AC$1006:AG1006),$AC$1006:$AS$1006,0)))),"Fix")))</f>
        <v>0</v>
      </c>
      <c r="G690" s="5">
        <f>IF(OR(INDEX($W$2:$W$1001,MATCH(ROWS($V$2:V690),$V$2:$V$1001,0),1)&gt;=100000,INDEX($AC$1005:$AS$1005,1,MATCH(COLUMNS($AC$1006:AH1006),$AC$1006:$AS$1006,0))&gt;=100000), " ",IF(INDEX($AC$2:$AS$1001,MATCH(ROWS($V$2:V690),$V$2:$V$1001,0),MATCH(COLUMNS($AC$1006:AH1006),$AC$1006:$AS$1006,0)), HYPERLINK("#",""), HYPERLINK(CONCATENATE("#Metadata!", ADDRESS(INDEX($X$2:$X$1001,MATCH(ROWS($V$2:V690),$V$2:$V$1001,0),0), INDEX($AC$1004:$AS$1004,1,MATCH(COLUMNS($AC$1006:AH1006),$AC$1006:$AS$1006,0)))),"Fix")))</f>
        <v>0</v>
      </c>
      <c r="H690" s="5">
        <f>IF(OR(INDEX($W$2:$W$1001,MATCH(ROWS($V$2:V690),$V$2:$V$1001,0),1)&gt;=100000,INDEX($AC$1005:$AS$1005,1,MATCH(COLUMNS($AC$1006:AI1006),$AC$1006:$AS$1006,0))&gt;=100000), " ",IF(INDEX($AC$2:$AS$1001,MATCH(ROWS($V$2:V690),$V$2:$V$1001,0),MATCH(COLUMNS($AC$1006:AI1006),$AC$1006:$AS$1006,0)), HYPERLINK("#",""), HYPERLINK(CONCATENATE("#Metadata!", ADDRESS(INDEX($X$2:$X$1001,MATCH(ROWS($V$2:V690),$V$2:$V$1001,0),0), INDEX($AC$1004:$AS$1004,1,MATCH(COLUMNS($AC$1006:AI1006),$AC$1006:$AS$1006,0)))),"Fix")))</f>
        <v>0</v>
      </c>
      <c r="I690" s="5">
        <f>IF(OR(INDEX($W$2:$W$1001,MATCH(ROWS($V$2:V690),$V$2:$V$1001,0),1)&gt;=100000,INDEX($AC$1005:$AS$1005,1,MATCH(COLUMNS($AC$1006:AJ1006),$AC$1006:$AS$1006,0))&gt;=100000), " ",IF(INDEX($AC$2:$AS$1001,MATCH(ROWS($V$2:V690),$V$2:$V$1001,0),MATCH(COLUMNS($AC$1006:AJ1006),$AC$1006:$AS$1006,0)), HYPERLINK("#",""), HYPERLINK(CONCATENATE("#Metadata!", ADDRESS(INDEX($X$2:$X$1001,MATCH(ROWS($V$2:V690),$V$2:$V$1001,0),0), INDEX($AC$1004:$AS$1004,1,MATCH(COLUMNS($AC$1006:AJ1006),$AC$1006:$AS$1006,0)))),"Fix")))</f>
        <v>0</v>
      </c>
      <c r="J690" s="5">
        <f>IF(OR(INDEX($W$2:$W$1001,MATCH(ROWS($V$2:V690),$V$2:$V$1001,0),1)&gt;=100000,INDEX($AC$1005:$AS$1005,1,MATCH(COLUMNS($AC$1006:AK1006),$AC$1006:$AS$1006,0))&gt;=100000), " ",IF(INDEX($AC$2:$AS$1001,MATCH(ROWS($V$2:V690),$V$2:$V$1001,0),MATCH(COLUMNS($AC$1006:AK1006),$AC$1006:$AS$1006,0)), HYPERLINK("#",""), HYPERLINK(CONCATENATE("#Metadata!", ADDRESS(INDEX($X$2:$X$1001,MATCH(ROWS($V$2:V690),$V$2:$V$1001,0),0), INDEX($AC$1004:$AS$1004,1,MATCH(COLUMNS($AC$1006:AK1006),$AC$1006:$AS$1006,0)))),"Fix")))</f>
        <v>0</v>
      </c>
      <c r="K690" s="5">
        <f>IF(OR(INDEX($W$2:$W$1001,MATCH(ROWS($V$2:V690),$V$2:$V$1001,0),1)&gt;=100000,INDEX($AC$1005:$AS$1005,1,MATCH(COLUMNS($AC$1006:AL1006),$AC$1006:$AS$1006,0))&gt;=100000), " ",IF(INDEX($AC$2:$AS$1001,MATCH(ROWS($V$2:V690),$V$2:$V$1001,0),MATCH(COLUMNS($AC$1006:AL1006),$AC$1006:$AS$1006,0)), HYPERLINK("#",""), HYPERLINK(CONCATENATE("#Metadata!", ADDRESS(INDEX($X$2:$X$1001,MATCH(ROWS($V$2:V690),$V$2:$V$1001,0),0), INDEX($AC$1004:$AS$1004,1,MATCH(COLUMNS($AC$1006:AL1006),$AC$1006:$AS$1006,0)))),"Fix")))</f>
        <v>0</v>
      </c>
      <c r="L690" s="5">
        <f>IF(OR(INDEX($W$2:$W$1001,MATCH(ROWS($V$2:V690),$V$2:$V$1001,0),1)&gt;=100000,INDEX($AC$1005:$AS$1005,1,MATCH(COLUMNS($AC$1006:AM1006),$AC$1006:$AS$1006,0))&gt;=100000), " ",IF(INDEX($AC$2:$AS$1001,MATCH(ROWS($V$2:V690),$V$2:$V$1001,0),MATCH(COLUMNS($AC$1006:AM1006),$AC$1006:$AS$1006,0)), HYPERLINK("#",""), HYPERLINK(CONCATENATE("#Metadata!", ADDRESS(INDEX($X$2:$X$1001,MATCH(ROWS($V$2:V690),$V$2:$V$1001,0),0), INDEX($AC$1004:$AS$1004,1,MATCH(COLUMNS($AC$1006:AM1006),$AC$1006:$AS$1006,0)))),"Fix")))</f>
        <v>0</v>
      </c>
      <c r="M690" s="5">
        <f>IF(OR(INDEX($W$2:$W$1001,MATCH(ROWS($V$2:V690),$V$2:$V$1001,0),1)&gt;=100000,INDEX($AC$1005:$AS$1005,1,MATCH(COLUMNS($AC$1006:AN1006),$AC$1006:$AS$1006,0))&gt;=100000), " ",IF(INDEX($AC$2:$AS$1001,MATCH(ROWS($V$2:V690),$V$2:$V$1001,0),MATCH(COLUMNS($AC$1006:AN1006),$AC$1006:$AS$1006,0)), HYPERLINK("#",""), HYPERLINK(CONCATENATE("#Metadata!", ADDRESS(INDEX($X$2:$X$1001,MATCH(ROWS($V$2:V690),$V$2:$V$1001,0),0), INDEX($AC$1004:$AS$1004,1,MATCH(COLUMNS($AC$1006:AN1006),$AC$1006:$AS$1006,0)))),"Fix")))</f>
        <v>0</v>
      </c>
      <c r="N690" s="5">
        <f>IF(OR(INDEX($W$2:$W$1001,MATCH(ROWS($V$2:V690),$V$2:$V$1001,0),1)&gt;=100000,INDEX($AC$1005:$AS$1005,1,MATCH(COLUMNS($AC$1006:AO1006),$AC$1006:$AS$1006,0))&gt;=100000), " ",IF(INDEX($AC$2:$AS$1001,MATCH(ROWS($V$2:V690),$V$2:$V$1001,0),MATCH(COLUMNS($AC$1006:AO1006),$AC$1006:$AS$1006,0)), HYPERLINK("#",""), HYPERLINK(CONCATENATE("#Metadata!", ADDRESS(INDEX($X$2:$X$1001,MATCH(ROWS($V$2:V690),$V$2:$V$1001,0),0), INDEX($AC$1004:$AS$1004,1,MATCH(COLUMNS($AC$1006:AO1006),$AC$1006:$AS$1006,0)))),"Fix")))</f>
        <v>0</v>
      </c>
      <c r="O690" s="5">
        <f>IF(OR(INDEX($W$2:$W$1001,MATCH(ROWS($V$2:V690),$V$2:$V$1001,0),1)&gt;=100000,INDEX($AC$1005:$AS$1005,1,MATCH(COLUMNS($AC$1006:AP1006),$AC$1006:$AS$1006,0))&gt;=100000), " ",IF(INDEX($AC$2:$AS$1001,MATCH(ROWS($V$2:V690),$V$2:$V$1001,0),MATCH(COLUMNS($AC$1006:AP1006),$AC$1006:$AS$1006,0)), HYPERLINK("#",""), HYPERLINK(CONCATENATE("#Metadata!", ADDRESS(INDEX($X$2:$X$1001,MATCH(ROWS($V$2:V690),$V$2:$V$1001,0),0), INDEX($AC$1004:$AS$1004,1,MATCH(COLUMNS($AC$1006:AP1006),$AC$1006:$AS$1006,0)))),"Fix")))</f>
        <v>0</v>
      </c>
      <c r="P690" s="5">
        <f>IF(OR(INDEX($W$2:$W$1001,MATCH(ROWS($V$2:V690),$V$2:$V$1001,0),1)&gt;=100000,INDEX($AC$1005:$AS$1005,1,MATCH(COLUMNS($AC$1006:AQ1006),$AC$1006:$AS$1006,0))&gt;=100000), " ",IF(INDEX($AC$2:$AS$1001,MATCH(ROWS($V$2:V690),$V$2:$V$1001,0),MATCH(COLUMNS($AC$1006:AQ1006),$AC$1006:$AS$1006,0)), HYPERLINK("#",""), HYPERLINK(CONCATENATE("#Metadata!", ADDRESS(INDEX($X$2:$X$1001,MATCH(ROWS($V$2:V690),$V$2:$V$1001,0),0), INDEX($AC$1004:$AS$1004,1,MATCH(COLUMNS($AC$1006:AQ1006),$AC$1006:$AS$1006,0)))),"Fix")))</f>
        <v>0</v>
      </c>
      <c r="Q690" s="5">
        <f>IF(OR(INDEX($W$2:$W$1001,MATCH(ROWS($V$2:V690),$V$2:$V$1001,0),1)&gt;=100000,INDEX($AC$1005:$AS$1005,1,MATCH(COLUMNS($AC$1006:AR1006),$AC$1006:$AS$1006,0))&gt;=100000), " ",IF(INDEX($AC$2:$AS$1001,MATCH(ROWS($V$2:V690),$V$2:$V$1001,0),MATCH(COLUMNS($AC$1006:AR1006),$AC$1006:$AS$1006,0)), HYPERLINK("#",""), HYPERLINK(CONCATENATE("#Metadata!", ADDRESS(INDEX($X$2:$X$1001,MATCH(ROWS($V$2:V690),$V$2:$V$1001,0),0), INDEX($AC$1004:$AS$1004,1,MATCH(COLUMNS($AC$1006:AR1006),$AC$1006:$AS$1006,0)))),"Fix")))</f>
        <v>0</v>
      </c>
      <c r="R690" s="5">
        <f>IF(OR(INDEX($W$2:$W$1001,MATCH(ROWS($V$2:V690),$V$2:$V$1001,0),1)&gt;=100000,INDEX($AC$1005:$AS$1005,1,MATCH(COLUMNS($AC$1006:AS1006),$AC$1006:$AS$1006,0))&gt;=100000), " ",IF(INDEX($AC$2:$AS$1001,MATCH(ROWS($V$2:V690),$V$2:$V$1001,0),MATCH(COLUMNS($AC$1006:AS1006),$AC$1006:$AS$1006,0)), HYPERLINK("#",""), HYPERLINK(CONCATENATE("#Metadata!", ADDRESS(INDEX($X$2:$X$1001,MATCH(ROWS($V$2:V690),$V$2:$V$1001,0),0), INDEX($AC$1004:$AS$1004,1,MATCH(COLUMNS($AC$1006:AS1006),$AC$1006:$AS$1006,0)))),"Fix")))</f>
        <v>0</v>
      </c>
      <c r="V690">
        <v>0</v>
      </c>
      <c r="W690">
        <v>0</v>
      </c>
      <c r="X690">
        <v>0</v>
      </c>
      <c r="Y690">
        <f>IF(Z690,TRUE,AND(AC690:AS690))</f>
        <v>0</v>
      </c>
      <c r="Z690">
        <f>COUNTBLANK(Metadata!B690:R690)=COLUMNS(Metadata!B690:R690)</f>
        <v>0</v>
      </c>
      <c r="AA690">
        <v>0</v>
      </c>
      <c r="AC690">
        <f>AND(IF(Metadata!B690="",FALSE,TRUE),COUNTIF(Metadata!B:B, Metadata!B690) = 1,NOT(ISERROR(SUMPRODUCT(SEARCH(MID(Metadata!B690,ROW(INDIRECT("1:"&amp;LEN(Metadata!B690))), 1),"0123456789abcdefghijklmnopqrstuvwxyzABCDEFGHIJKLMNOPQRSTUVWXYZ.")))))</f>
        <v>0</v>
      </c>
      <c r="AD690">
        <f>AND(IF(Metadata!C690="",FALSE,TRUE),exact(Metadata!C690,"Host-associated"))</f>
        <v>0</v>
      </c>
      <c r="AE690">
        <f>AND(IF(Metadata!D690="",FALSE,TRUE),OR(exact(Metadata!D690,"Animal"),exact(Metadata!D690,"Fungus"),exact(Metadata!D690,"Plant")))</f>
        <v>0</v>
      </c>
      <c r="AF690">
        <f>AND(IF(Metadata!E690="",FALSE,TRUE),OR(exact(Metadata!E690,"Plant secretion"),exact(Metadata!E690,"Plant rhizosphere"),exact(Metadata!E690,"Plant surface"),exact(Metadata!E690,"Plant corpus"),exact(Metadata!E690,"Fungus surface"),exact(Metadata!E690,"Fungus corpus"),exact(Metadata!E690,"Animal surface"),exact(Metadata!E690,"Animal proximal gut"),exact(Metadata!E690,"Animal corpus"),exact(Metadata!E690,"Animal distal gut"),exact(Metadata!E690,"Animal secretion")))</f>
        <v>0</v>
      </c>
      <c r="AG690">
        <f>OR(AND(IF(Metadata!F690="",FALSE,TRUE),OR(exact(Metadata!F690,"not collected"),exact(Metadata!F690,"not provided"),exact(Metadata!F690,"restricted access"))),AND(IF(Metadata!F690="",FALSE,TRUE),OR(exact(Metadata!F690,"organism-associated habitat"),exact(Metadata!F690,"plant-associated habitat"),exact(Metadata!F690,"animal-associated habitat"),exact(Metadata!F690,"insecta-associated habitat"),exact(Metadata!F690,"mammalia-associated habitat"),exact(Metadata!F690,"human-associated habitat"),exact(Metadata!F690,"livestock-associated habitat"))))</f>
        <v>0</v>
      </c>
      <c r="AH690">
        <f>AND(IF(Metadata!G690="",FALSE,TRUE),exact(Metadata!G690,"host-associated"))</f>
        <v>0</v>
      </c>
      <c r="AI690">
        <f>OR(AND(IF(Metadata!H690="",FALSE,TRUE),OR(exact(Metadata!H690,"not collected"),exact(Metadata!H690,"not provided"))),AND(IF(Metadata!H690="",FALSE,ISNUMBER(VALUE(Metadata!H690))),Metadata!H690&gt;0))</f>
        <v>0</v>
      </c>
      <c r="AJ690">
        <f>AND(IF(Metadata!I690="",FALSE,TRUE),exact(Metadata!I690,"years"))</f>
        <v>0</v>
      </c>
      <c r="AK690">
        <f>IF(Metadata!J690="",FALSE,TRUE)</f>
        <v>0</v>
      </c>
      <c r="AL690">
        <f>OR(AND(IF(Metadata!K690="",FALSE,TRUE),OR(exact(Metadata!K690,"not collected"),exact(Metadata!K690,"not provided"))),AND(IF(Metadata!K690="",FALSE,ISNUMBER(VALUE(Metadata!K690))),Metadata!K690&gt;0))</f>
        <v>0</v>
      </c>
      <c r="AM690">
        <f>AND(IF(Metadata!L690="",FALSE,TRUE),exact(Metadata!L690,"cm"))</f>
        <v>0</v>
      </c>
      <c r="AN690">
        <f>IF(Metadata!M690="",FALSE,TRUE)</f>
        <v>0</v>
      </c>
      <c r="AO690">
        <f>OR(AND(IF(Metadata!N690="",FALSE,TRUE),OR(exact(Metadata!N690,"not applicable"),exact(Metadata!N690,"not collected"),exact(Metadata!N690,"not provided"))),AND(IF(Metadata!N690="",FALSE,IF(ISERROR(INT(Metadata!N690)),FALSE,INT(Metadata!N690)=Metadata!N690)),Metadata!N690&gt;0))</f>
        <v>0</v>
      </c>
      <c r="AP690">
        <f>OR(AND(IF(Metadata!O690="",FALSE,TRUE),OR(exact(Metadata!O690,"not collected"),exact(Metadata!O690,"not provided"))),AND(IF(Metadata!O690="",FALSE,ISNUMBER(VALUE(Metadata!O690))),Metadata!O690&gt;0))</f>
        <v>0</v>
      </c>
      <c r="AQ690">
        <f>AND(IF(Metadata!P690="",FALSE,TRUE),exact(Metadata!P690,"kg"))</f>
        <v>0</v>
      </c>
      <c r="AR690">
        <f>OR(AND(IF(Metadata!Q690="",FALSE,TRUE),OR(exact(Metadata!Q690,"not applicable"),exact(Metadata!Q690,"not collected"),exact(Metadata!Q690,"not provided"),exact(Metadata!Q690,"restricted access"))),IF(Metadata!Q690="",FALSE,IF(ISERROR(INT(Metadata!Q690)),FALSE,INT(Metadata!Q690)=Metadata!Q690)))</f>
        <v>0</v>
      </c>
      <c r="AS690">
        <f>AND(IF(Metadata!R690="",FALSE,TRUE),exact(Metadata!R690,"Not applicable"))</f>
        <v>0</v>
      </c>
    </row>
    <row r="691" spans="1:45">
      <c r="A691" s="4">
        <f>IF(B691=" "," ",HYPERLINK(CONCATENATE("#metadata!",ADDRESS(INDEX($X$2:$X$1001,MATCH(ROWS($V$2:V691),$V$2:$V$1001,0),0),2)),INDEX($AA$2:$AA$1001,MATCH(ROWS($V$2:V691),$V$2:$V$1001,0),0)))</f>
        <v>0</v>
      </c>
      <c r="B691" s="5">
        <f>IF(OR(INDEX($W$2:$W$1001,MATCH(ROWS($V$2:V691),$V$2:$V$1001,0),1)&gt;=100000,INDEX($AC$1005:$AS$1005,1,MATCH(COLUMNS($AC$1006:AC1006),$AC$1006:$AS$1006,0))&gt;=100000), " ",IF(INDEX($AC$2:$AS$1001,MATCH(ROWS($V$2:V691),$V$2:$V$1001,0),MATCH(COLUMNS($AC$1006:AC1006),$AC$1006:$AS$1006,0)), HYPERLINK("#",""), HYPERLINK(CONCATENATE("#Metadata!", ADDRESS(INDEX($X$2:$X$1001,MATCH(ROWS($V$2:V691),$V$2:$V$1001,0),0), INDEX($AC$1004:$AS$1004,1,MATCH(COLUMNS($AC$1006:AC1006),$AC$1006:$AS$1006,0)))),"Fix")))</f>
        <v>0</v>
      </c>
      <c r="C691" s="5">
        <f>IF(OR(INDEX($W$2:$W$1001,MATCH(ROWS($V$2:V691),$V$2:$V$1001,0),1)&gt;=100000,INDEX($AC$1005:$AS$1005,1,MATCH(COLUMNS($AC$1006:AD1006),$AC$1006:$AS$1006,0))&gt;=100000), " ",IF(INDEX($AC$2:$AS$1001,MATCH(ROWS($V$2:V691),$V$2:$V$1001,0),MATCH(COLUMNS($AC$1006:AD1006),$AC$1006:$AS$1006,0)), HYPERLINK("#",""), HYPERLINK(CONCATENATE("#Metadata!", ADDRESS(INDEX($X$2:$X$1001,MATCH(ROWS($V$2:V691),$V$2:$V$1001,0),0), INDEX($AC$1004:$AS$1004,1,MATCH(COLUMNS($AC$1006:AD1006),$AC$1006:$AS$1006,0)))),"Fix")))</f>
        <v>0</v>
      </c>
      <c r="D691" s="5">
        <f>IF(OR(INDEX($W$2:$W$1001,MATCH(ROWS($V$2:V691),$V$2:$V$1001,0),1)&gt;=100000,INDEX($AC$1005:$AS$1005,1,MATCH(COLUMNS($AC$1006:AE1006),$AC$1006:$AS$1006,0))&gt;=100000), " ",IF(INDEX($AC$2:$AS$1001,MATCH(ROWS($V$2:V691),$V$2:$V$1001,0),MATCH(COLUMNS($AC$1006:AE1006),$AC$1006:$AS$1006,0)), HYPERLINK("#",""), HYPERLINK(CONCATENATE("#Metadata!", ADDRESS(INDEX($X$2:$X$1001,MATCH(ROWS($V$2:V691),$V$2:$V$1001,0),0), INDEX($AC$1004:$AS$1004,1,MATCH(COLUMNS($AC$1006:AE1006),$AC$1006:$AS$1006,0)))),"Fix")))</f>
        <v>0</v>
      </c>
      <c r="E691" s="5">
        <f>IF(OR(INDEX($W$2:$W$1001,MATCH(ROWS($V$2:V691),$V$2:$V$1001,0),1)&gt;=100000,INDEX($AC$1005:$AS$1005,1,MATCH(COLUMNS($AC$1006:AF1006),$AC$1006:$AS$1006,0))&gt;=100000), " ",IF(INDEX($AC$2:$AS$1001,MATCH(ROWS($V$2:V691),$V$2:$V$1001,0),MATCH(COLUMNS($AC$1006:AF1006),$AC$1006:$AS$1006,0)), HYPERLINK("#",""), HYPERLINK(CONCATENATE("#Metadata!", ADDRESS(INDEX($X$2:$X$1001,MATCH(ROWS($V$2:V691),$V$2:$V$1001,0),0), INDEX($AC$1004:$AS$1004,1,MATCH(COLUMNS($AC$1006:AF1006),$AC$1006:$AS$1006,0)))),"Fix")))</f>
        <v>0</v>
      </c>
      <c r="F691" s="5">
        <f>IF(OR(INDEX($W$2:$W$1001,MATCH(ROWS($V$2:V691),$V$2:$V$1001,0),1)&gt;=100000,INDEX($AC$1005:$AS$1005,1,MATCH(COLUMNS($AC$1006:AG1006),$AC$1006:$AS$1006,0))&gt;=100000), " ",IF(INDEX($AC$2:$AS$1001,MATCH(ROWS($V$2:V691),$V$2:$V$1001,0),MATCH(COLUMNS($AC$1006:AG1006),$AC$1006:$AS$1006,0)), HYPERLINK("#",""), HYPERLINK(CONCATENATE("#Metadata!", ADDRESS(INDEX($X$2:$X$1001,MATCH(ROWS($V$2:V691),$V$2:$V$1001,0),0), INDEX($AC$1004:$AS$1004,1,MATCH(COLUMNS($AC$1006:AG1006),$AC$1006:$AS$1006,0)))),"Fix")))</f>
        <v>0</v>
      </c>
      <c r="G691" s="5">
        <f>IF(OR(INDEX($W$2:$W$1001,MATCH(ROWS($V$2:V691),$V$2:$V$1001,0),1)&gt;=100000,INDEX($AC$1005:$AS$1005,1,MATCH(COLUMNS($AC$1006:AH1006),$AC$1006:$AS$1006,0))&gt;=100000), " ",IF(INDEX($AC$2:$AS$1001,MATCH(ROWS($V$2:V691),$V$2:$V$1001,0),MATCH(COLUMNS($AC$1006:AH1006),$AC$1006:$AS$1006,0)), HYPERLINK("#",""), HYPERLINK(CONCATENATE("#Metadata!", ADDRESS(INDEX($X$2:$X$1001,MATCH(ROWS($V$2:V691),$V$2:$V$1001,0),0), INDEX($AC$1004:$AS$1004,1,MATCH(COLUMNS($AC$1006:AH1006),$AC$1006:$AS$1006,0)))),"Fix")))</f>
        <v>0</v>
      </c>
      <c r="H691" s="5">
        <f>IF(OR(INDEX($W$2:$W$1001,MATCH(ROWS($V$2:V691),$V$2:$V$1001,0),1)&gt;=100000,INDEX($AC$1005:$AS$1005,1,MATCH(COLUMNS($AC$1006:AI1006),$AC$1006:$AS$1006,0))&gt;=100000), " ",IF(INDEX($AC$2:$AS$1001,MATCH(ROWS($V$2:V691),$V$2:$V$1001,0),MATCH(COLUMNS($AC$1006:AI1006),$AC$1006:$AS$1006,0)), HYPERLINK("#",""), HYPERLINK(CONCATENATE("#Metadata!", ADDRESS(INDEX($X$2:$X$1001,MATCH(ROWS($V$2:V691),$V$2:$V$1001,0),0), INDEX($AC$1004:$AS$1004,1,MATCH(COLUMNS($AC$1006:AI1006),$AC$1006:$AS$1006,0)))),"Fix")))</f>
        <v>0</v>
      </c>
      <c r="I691" s="5">
        <f>IF(OR(INDEX($W$2:$W$1001,MATCH(ROWS($V$2:V691),$V$2:$V$1001,0),1)&gt;=100000,INDEX($AC$1005:$AS$1005,1,MATCH(COLUMNS($AC$1006:AJ1006),$AC$1006:$AS$1006,0))&gt;=100000), " ",IF(INDEX($AC$2:$AS$1001,MATCH(ROWS($V$2:V691),$V$2:$V$1001,0),MATCH(COLUMNS($AC$1006:AJ1006),$AC$1006:$AS$1006,0)), HYPERLINK("#",""), HYPERLINK(CONCATENATE("#Metadata!", ADDRESS(INDEX($X$2:$X$1001,MATCH(ROWS($V$2:V691),$V$2:$V$1001,0),0), INDEX($AC$1004:$AS$1004,1,MATCH(COLUMNS($AC$1006:AJ1006),$AC$1006:$AS$1006,0)))),"Fix")))</f>
        <v>0</v>
      </c>
      <c r="J691" s="5">
        <f>IF(OR(INDEX($W$2:$W$1001,MATCH(ROWS($V$2:V691),$V$2:$V$1001,0),1)&gt;=100000,INDEX($AC$1005:$AS$1005,1,MATCH(COLUMNS($AC$1006:AK1006),$AC$1006:$AS$1006,0))&gt;=100000), " ",IF(INDEX($AC$2:$AS$1001,MATCH(ROWS($V$2:V691),$V$2:$V$1001,0),MATCH(COLUMNS($AC$1006:AK1006),$AC$1006:$AS$1006,0)), HYPERLINK("#",""), HYPERLINK(CONCATENATE("#Metadata!", ADDRESS(INDEX($X$2:$X$1001,MATCH(ROWS($V$2:V691),$V$2:$V$1001,0),0), INDEX($AC$1004:$AS$1004,1,MATCH(COLUMNS($AC$1006:AK1006),$AC$1006:$AS$1006,0)))),"Fix")))</f>
        <v>0</v>
      </c>
      <c r="K691" s="5">
        <f>IF(OR(INDEX($W$2:$W$1001,MATCH(ROWS($V$2:V691),$V$2:$V$1001,0),1)&gt;=100000,INDEX($AC$1005:$AS$1005,1,MATCH(COLUMNS($AC$1006:AL1006),$AC$1006:$AS$1006,0))&gt;=100000), " ",IF(INDEX($AC$2:$AS$1001,MATCH(ROWS($V$2:V691),$V$2:$V$1001,0),MATCH(COLUMNS($AC$1006:AL1006),$AC$1006:$AS$1006,0)), HYPERLINK("#",""), HYPERLINK(CONCATENATE("#Metadata!", ADDRESS(INDEX($X$2:$X$1001,MATCH(ROWS($V$2:V691),$V$2:$V$1001,0),0), INDEX($AC$1004:$AS$1004,1,MATCH(COLUMNS($AC$1006:AL1006),$AC$1006:$AS$1006,0)))),"Fix")))</f>
        <v>0</v>
      </c>
      <c r="L691" s="5">
        <f>IF(OR(INDEX($W$2:$W$1001,MATCH(ROWS($V$2:V691),$V$2:$V$1001,0),1)&gt;=100000,INDEX($AC$1005:$AS$1005,1,MATCH(COLUMNS($AC$1006:AM1006),$AC$1006:$AS$1006,0))&gt;=100000), " ",IF(INDEX($AC$2:$AS$1001,MATCH(ROWS($V$2:V691),$V$2:$V$1001,0),MATCH(COLUMNS($AC$1006:AM1006),$AC$1006:$AS$1006,0)), HYPERLINK("#",""), HYPERLINK(CONCATENATE("#Metadata!", ADDRESS(INDEX($X$2:$X$1001,MATCH(ROWS($V$2:V691),$V$2:$V$1001,0),0), INDEX($AC$1004:$AS$1004,1,MATCH(COLUMNS($AC$1006:AM1006),$AC$1006:$AS$1006,0)))),"Fix")))</f>
        <v>0</v>
      </c>
      <c r="M691" s="5">
        <f>IF(OR(INDEX($W$2:$W$1001,MATCH(ROWS($V$2:V691),$V$2:$V$1001,0),1)&gt;=100000,INDEX($AC$1005:$AS$1005,1,MATCH(COLUMNS($AC$1006:AN1006),$AC$1006:$AS$1006,0))&gt;=100000), " ",IF(INDEX($AC$2:$AS$1001,MATCH(ROWS($V$2:V691),$V$2:$V$1001,0),MATCH(COLUMNS($AC$1006:AN1006),$AC$1006:$AS$1006,0)), HYPERLINK("#",""), HYPERLINK(CONCATENATE("#Metadata!", ADDRESS(INDEX($X$2:$X$1001,MATCH(ROWS($V$2:V691),$V$2:$V$1001,0),0), INDEX($AC$1004:$AS$1004,1,MATCH(COLUMNS($AC$1006:AN1006),$AC$1006:$AS$1006,0)))),"Fix")))</f>
        <v>0</v>
      </c>
      <c r="N691" s="5">
        <f>IF(OR(INDEX($W$2:$W$1001,MATCH(ROWS($V$2:V691),$V$2:$V$1001,0),1)&gt;=100000,INDEX($AC$1005:$AS$1005,1,MATCH(COLUMNS($AC$1006:AO1006),$AC$1006:$AS$1006,0))&gt;=100000), " ",IF(INDEX($AC$2:$AS$1001,MATCH(ROWS($V$2:V691),$V$2:$V$1001,0),MATCH(COLUMNS($AC$1006:AO1006),$AC$1006:$AS$1006,0)), HYPERLINK("#",""), HYPERLINK(CONCATENATE("#Metadata!", ADDRESS(INDEX($X$2:$X$1001,MATCH(ROWS($V$2:V691),$V$2:$V$1001,0),0), INDEX($AC$1004:$AS$1004,1,MATCH(COLUMNS($AC$1006:AO1006),$AC$1006:$AS$1006,0)))),"Fix")))</f>
        <v>0</v>
      </c>
      <c r="O691" s="5">
        <f>IF(OR(INDEX($W$2:$W$1001,MATCH(ROWS($V$2:V691),$V$2:$V$1001,0),1)&gt;=100000,INDEX($AC$1005:$AS$1005,1,MATCH(COLUMNS($AC$1006:AP1006),$AC$1006:$AS$1006,0))&gt;=100000), " ",IF(INDEX($AC$2:$AS$1001,MATCH(ROWS($V$2:V691),$V$2:$V$1001,0),MATCH(COLUMNS($AC$1006:AP1006),$AC$1006:$AS$1006,0)), HYPERLINK("#",""), HYPERLINK(CONCATENATE("#Metadata!", ADDRESS(INDEX($X$2:$X$1001,MATCH(ROWS($V$2:V691),$V$2:$V$1001,0),0), INDEX($AC$1004:$AS$1004,1,MATCH(COLUMNS($AC$1006:AP1006),$AC$1006:$AS$1006,0)))),"Fix")))</f>
        <v>0</v>
      </c>
      <c r="P691" s="5">
        <f>IF(OR(INDEX($W$2:$W$1001,MATCH(ROWS($V$2:V691),$V$2:$V$1001,0),1)&gt;=100000,INDEX($AC$1005:$AS$1005,1,MATCH(COLUMNS($AC$1006:AQ1006),$AC$1006:$AS$1006,0))&gt;=100000), " ",IF(INDEX($AC$2:$AS$1001,MATCH(ROWS($V$2:V691),$V$2:$V$1001,0),MATCH(COLUMNS($AC$1006:AQ1006),$AC$1006:$AS$1006,0)), HYPERLINK("#",""), HYPERLINK(CONCATENATE("#Metadata!", ADDRESS(INDEX($X$2:$X$1001,MATCH(ROWS($V$2:V691),$V$2:$V$1001,0),0), INDEX($AC$1004:$AS$1004,1,MATCH(COLUMNS($AC$1006:AQ1006),$AC$1006:$AS$1006,0)))),"Fix")))</f>
        <v>0</v>
      </c>
      <c r="Q691" s="5">
        <f>IF(OR(INDEX($W$2:$W$1001,MATCH(ROWS($V$2:V691),$V$2:$V$1001,0),1)&gt;=100000,INDEX($AC$1005:$AS$1005,1,MATCH(COLUMNS($AC$1006:AR1006),$AC$1006:$AS$1006,0))&gt;=100000), " ",IF(INDEX($AC$2:$AS$1001,MATCH(ROWS($V$2:V691),$V$2:$V$1001,0),MATCH(COLUMNS($AC$1006:AR1006),$AC$1006:$AS$1006,0)), HYPERLINK("#",""), HYPERLINK(CONCATENATE("#Metadata!", ADDRESS(INDEX($X$2:$X$1001,MATCH(ROWS($V$2:V691),$V$2:$V$1001,0),0), INDEX($AC$1004:$AS$1004,1,MATCH(COLUMNS($AC$1006:AR1006),$AC$1006:$AS$1006,0)))),"Fix")))</f>
        <v>0</v>
      </c>
      <c r="R691" s="5">
        <f>IF(OR(INDEX($W$2:$W$1001,MATCH(ROWS($V$2:V691),$V$2:$V$1001,0),1)&gt;=100000,INDEX($AC$1005:$AS$1005,1,MATCH(COLUMNS($AC$1006:AS1006),$AC$1006:$AS$1006,0))&gt;=100000), " ",IF(INDEX($AC$2:$AS$1001,MATCH(ROWS($V$2:V691),$V$2:$V$1001,0),MATCH(COLUMNS($AC$1006:AS1006),$AC$1006:$AS$1006,0)), HYPERLINK("#",""), HYPERLINK(CONCATENATE("#Metadata!", ADDRESS(INDEX($X$2:$X$1001,MATCH(ROWS($V$2:V691),$V$2:$V$1001,0),0), INDEX($AC$1004:$AS$1004,1,MATCH(COLUMNS($AC$1006:AS1006),$AC$1006:$AS$1006,0)))),"Fix")))</f>
        <v>0</v>
      </c>
      <c r="V691">
        <v>0</v>
      </c>
      <c r="W691">
        <v>0</v>
      </c>
      <c r="X691">
        <v>0</v>
      </c>
      <c r="Y691">
        <f>IF(Z691,TRUE,AND(AC691:AS691))</f>
        <v>0</v>
      </c>
      <c r="Z691">
        <f>COUNTBLANK(Metadata!B691:R691)=COLUMNS(Metadata!B691:R691)</f>
        <v>0</v>
      </c>
      <c r="AA691">
        <v>0</v>
      </c>
      <c r="AC691">
        <f>AND(IF(Metadata!B691="",FALSE,TRUE),COUNTIF(Metadata!B:B, Metadata!B691) = 1,NOT(ISERROR(SUMPRODUCT(SEARCH(MID(Metadata!B691,ROW(INDIRECT("1:"&amp;LEN(Metadata!B691))), 1),"0123456789abcdefghijklmnopqrstuvwxyzABCDEFGHIJKLMNOPQRSTUVWXYZ.")))))</f>
        <v>0</v>
      </c>
      <c r="AD691">
        <f>AND(IF(Metadata!C691="",FALSE,TRUE),exact(Metadata!C691,"Host-associated"))</f>
        <v>0</v>
      </c>
      <c r="AE691">
        <f>AND(IF(Metadata!D691="",FALSE,TRUE),OR(exact(Metadata!D691,"Animal"),exact(Metadata!D691,"Fungus"),exact(Metadata!D691,"Plant")))</f>
        <v>0</v>
      </c>
      <c r="AF691">
        <f>AND(IF(Metadata!E691="",FALSE,TRUE),OR(exact(Metadata!E691,"Plant secretion"),exact(Metadata!E691,"Plant rhizosphere"),exact(Metadata!E691,"Plant surface"),exact(Metadata!E691,"Plant corpus"),exact(Metadata!E691,"Fungus surface"),exact(Metadata!E691,"Fungus corpus"),exact(Metadata!E691,"Animal surface"),exact(Metadata!E691,"Animal proximal gut"),exact(Metadata!E691,"Animal corpus"),exact(Metadata!E691,"Animal distal gut"),exact(Metadata!E691,"Animal secretion")))</f>
        <v>0</v>
      </c>
      <c r="AG691">
        <f>OR(AND(IF(Metadata!F691="",FALSE,TRUE),OR(exact(Metadata!F691,"not collected"),exact(Metadata!F691,"not provided"),exact(Metadata!F691,"restricted access"))),AND(IF(Metadata!F691="",FALSE,TRUE),OR(exact(Metadata!F691,"organism-associated habitat"),exact(Metadata!F691,"plant-associated habitat"),exact(Metadata!F691,"animal-associated habitat"),exact(Metadata!F691,"insecta-associated habitat"),exact(Metadata!F691,"mammalia-associated habitat"),exact(Metadata!F691,"human-associated habitat"),exact(Metadata!F691,"livestock-associated habitat"))))</f>
        <v>0</v>
      </c>
      <c r="AH691">
        <f>AND(IF(Metadata!G691="",FALSE,TRUE),exact(Metadata!G691,"host-associated"))</f>
        <v>0</v>
      </c>
      <c r="AI691">
        <f>OR(AND(IF(Metadata!H691="",FALSE,TRUE),OR(exact(Metadata!H691,"not collected"),exact(Metadata!H691,"not provided"))),AND(IF(Metadata!H691="",FALSE,ISNUMBER(VALUE(Metadata!H691))),Metadata!H691&gt;0))</f>
        <v>0</v>
      </c>
      <c r="AJ691">
        <f>AND(IF(Metadata!I691="",FALSE,TRUE),exact(Metadata!I691,"years"))</f>
        <v>0</v>
      </c>
      <c r="AK691">
        <f>IF(Metadata!J691="",FALSE,TRUE)</f>
        <v>0</v>
      </c>
      <c r="AL691">
        <f>OR(AND(IF(Metadata!K691="",FALSE,TRUE),OR(exact(Metadata!K691,"not collected"),exact(Metadata!K691,"not provided"))),AND(IF(Metadata!K691="",FALSE,ISNUMBER(VALUE(Metadata!K691))),Metadata!K691&gt;0))</f>
        <v>0</v>
      </c>
      <c r="AM691">
        <f>AND(IF(Metadata!L691="",FALSE,TRUE),exact(Metadata!L691,"cm"))</f>
        <v>0</v>
      </c>
      <c r="AN691">
        <f>IF(Metadata!M691="",FALSE,TRUE)</f>
        <v>0</v>
      </c>
      <c r="AO691">
        <f>OR(AND(IF(Metadata!N691="",FALSE,TRUE),OR(exact(Metadata!N691,"not applicable"),exact(Metadata!N691,"not collected"),exact(Metadata!N691,"not provided"))),AND(IF(Metadata!N691="",FALSE,IF(ISERROR(INT(Metadata!N691)),FALSE,INT(Metadata!N691)=Metadata!N691)),Metadata!N691&gt;0))</f>
        <v>0</v>
      </c>
      <c r="AP691">
        <f>OR(AND(IF(Metadata!O691="",FALSE,TRUE),OR(exact(Metadata!O691,"not collected"),exact(Metadata!O691,"not provided"))),AND(IF(Metadata!O691="",FALSE,ISNUMBER(VALUE(Metadata!O691))),Metadata!O691&gt;0))</f>
        <v>0</v>
      </c>
      <c r="AQ691">
        <f>AND(IF(Metadata!P691="",FALSE,TRUE),exact(Metadata!P691,"kg"))</f>
        <v>0</v>
      </c>
      <c r="AR691">
        <f>OR(AND(IF(Metadata!Q691="",FALSE,TRUE),OR(exact(Metadata!Q691,"not applicable"),exact(Metadata!Q691,"not collected"),exact(Metadata!Q691,"not provided"),exact(Metadata!Q691,"restricted access"))),IF(Metadata!Q691="",FALSE,IF(ISERROR(INT(Metadata!Q691)),FALSE,INT(Metadata!Q691)=Metadata!Q691)))</f>
        <v>0</v>
      </c>
      <c r="AS691">
        <f>AND(IF(Metadata!R691="",FALSE,TRUE),exact(Metadata!R691,"Not applicable"))</f>
        <v>0</v>
      </c>
    </row>
    <row r="692" spans="1:45">
      <c r="A692" s="4">
        <f>IF(B692=" "," ",HYPERLINK(CONCATENATE("#metadata!",ADDRESS(INDEX($X$2:$X$1001,MATCH(ROWS($V$2:V692),$V$2:$V$1001,0),0),2)),INDEX($AA$2:$AA$1001,MATCH(ROWS($V$2:V692),$V$2:$V$1001,0),0)))</f>
        <v>0</v>
      </c>
      <c r="B692" s="5">
        <f>IF(OR(INDEX($W$2:$W$1001,MATCH(ROWS($V$2:V692),$V$2:$V$1001,0),1)&gt;=100000,INDEX($AC$1005:$AS$1005,1,MATCH(COLUMNS($AC$1006:AC1006),$AC$1006:$AS$1006,0))&gt;=100000), " ",IF(INDEX($AC$2:$AS$1001,MATCH(ROWS($V$2:V692),$V$2:$V$1001,0),MATCH(COLUMNS($AC$1006:AC1006),$AC$1006:$AS$1006,0)), HYPERLINK("#",""), HYPERLINK(CONCATENATE("#Metadata!", ADDRESS(INDEX($X$2:$X$1001,MATCH(ROWS($V$2:V692),$V$2:$V$1001,0),0), INDEX($AC$1004:$AS$1004,1,MATCH(COLUMNS($AC$1006:AC1006),$AC$1006:$AS$1006,0)))),"Fix")))</f>
        <v>0</v>
      </c>
      <c r="C692" s="5">
        <f>IF(OR(INDEX($W$2:$W$1001,MATCH(ROWS($V$2:V692),$V$2:$V$1001,0),1)&gt;=100000,INDEX($AC$1005:$AS$1005,1,MATCH(COLUMNS($AC$1006:AD1006),$AC$1006:$AS$1006,0))&gt;=100000), " ",IF(INDEX($AC$2:$AS$1001,MATCH(ROWS($V$2:V692),$V$2:$V$1001,0),MATCH(COLUMNS($AC$1006:AD1006),$AC$1006:$AS$1006,0)), HYPERLINK("#",""), HYPERLINK(CONCATENATE("#Metadata!", ADDRESS(INDEX($X$2:$X$1001,MATCH(ROWS($V$2:V692),$V$2:$V$1001,0),0), INDEX($AC$1004:$AS$1004,1,MATCH(COLUMNS($AC$1006:AD1006),$AC$1006:$AS$1006,0)))),"Fix")))</f>
        <v>0</v>
      </c>
      <c r="D692" s="5">
        <f>IF(OR(INDEX($W$2:$W$1001,MATCH(ROWS($V$2:V692),$V$2:$V$1001,0),1)&gt;=100000,INDEX($AC$1005:$AS$1005,1,MATCH(COLUMNS($AC$1006:AE1006),$AC$1006:$AS$1006,0))&gt;=100000), " ",IF(INDEX($AC$2:$AS$1001,MATCH(ROWS($V$2:V692),$V$2:$V$1001,0),MATCH(COLUMNS($AC$1006:AE1006),$AC$1006:$AS$1006,0)), HYPERLINK("#",""), HYPERLINK(CONCATENATE("#Metadata!", ADDRESS(INDEX($X$2:$X$1001,MATCH(ROWS($V$2:V692),$V$2:$V$1001,0),0), INDEX($AC$1004:$AS$1004,1,MATCH(COLUMNS($AC$1006:AE1006),$AC$1006:$AS$1006,0)))),"Fix")))</f>
        <v>0</v>
      </c>
      <c r="E692" s="5">
        <f>IF(OR(INDEX($W$2:$W$1001,MATCH(ROWS($V$2:V692),$V$2:$V$1001,0),1)&gt;=100000,INDEX($AC$1005:$AS$1005,1,MATCH(COLUMNS($AC$1006:AF1006),$AC$1006:$AS$1006,0))&gt;=100000), " ",IF(INDEX($AC$2:$AS$1001,MATCH(ROWS($V$2:V692),$V$2:$V$1001,0),MATCH(COLUMNS($AC$1006:AF1006),$AC$1006:$AS$1006,0)), HYPERLINK("#",""), HYPERLINK(CONCATENATE("#Metadata!", ADDRESS(INDEX($X$2:$X$1001,MATCH(ROWS($V$2:V692),$V$2:$V$1001,0),0), INDEX($AC$1004:$AS$1004,1,MATCH(COLUMNS($AC$1006:AF1006),$AC$1006:$AS$1006,0)))),"Fix")))</f>
        <v>0</v>
      </c>
      <c r="F692" s="5">
        <f>IF(OR(INDEX($W$2:$W$1001,MATCH(ROWS($V$2:V692),$V$2:$V$1001,0),1)&gt;=100000,INDEX($AC$1005:$AS$1005,1,MATCH(COLUMNS($AC$1006:AG1006),$AC$1006:$AS$1006,0))&gt;=100000), " ",IF(INDEX($AC$2:$AS$1001,MATCH(ROWS($V$2:V692),$V$2:$V$1001,0),MATCH(COLUMNS($AC$1006:AG1006),$AC$1006:$AS$1006,0)), HYPERLINK("#",""), HYPERLINK(CONCATENATE("#Metadata!", ADDRESS(INDEX($X$2:$X$1001,MATCH(ROWS($V$2:V692),$V$2:$V$1001,0),0), INDEX($AC$1004:$AS$1004,1,MATCH(COLUMNS($AC$1006:AG1006),$AC$1006:$AS$1006,0)))),"Fix")))</f>
        <v>0</v>
      </c>
      <c r="G692" s="5">
        <f>IF(OR(INDEX($W$2:$W$1001,MATCH(ROWS($V$2:V692),$V$2:$V$1001,0),1)&gt;=100000,INDEX($AC$1005:$AS$1005,1,MATCH(COLUMNS($AC$1006:AH1006),$AC$1006:$AS$1006,0))&gt;=100000), " ",IF(INDEX($AC$2:$AS$1001,MATCH(ROWS($V$2:V692),$V$2:$V$1001,0),MATCH(COLUMNS($AC$1006:AH1006),$AC$1006:$AS$1006,0)), HYPERLINK("#",""), HYPERLINK(CONCATENATE("#Metadata!", ADDRESS(INDEX($X$2:$X$1001,MATCH(ROWS($V$2:V692),$V$2:$V$1001,0),0), INDEX($AC$1004:$AS$1004,1,MATCH(COLUMNS($AC$1006:AH1006),$AC$1006:$AS$1006,0)))),"Fix")))</f>
        <v>0</v>
      </c>
      <c r="H692" s="5">
        <f>IF(OR(INDEX($W$2:$W$1001,MATCH(ROWS($V$2:V692),$V$2:$V$1001,0),1)&gt;=100000,INDEX($AC$1005:$AS$1005,1,MATCH(COLUMNS($AC$1006:AI1006),$AC$1006:$AS$1006,0))&gt;=100000), " ",IF(INDEX($AC$2:$AS$1001,MATCH(ROWS($V$2:V692),$V$2:$V$1001,0),MATCH(COLUMNS($AC$1006:AI1006),$AC$1006:$AS$1006,0)), HYPERLINK("#",""), HYPERLINK(CONCATENATE("#Metadata!", ADDRESS(INDEX($X$2:$X$1001,MATCH(ROWS($V$2:V692),$V$2:$V$1001,0),0), INDEX($AC$1004:$AS$1004,1,MATCH(COLUMNS($AC$1006:AI1006),$AC$1006:$AS$1006,0)))),"Fix")))</f>
        <v>0</v>
      </c>
      <c r="I692" s="5">
        <f>IF(OR(INDEX($W$2:$W$1001,MATCH(ROWS($V$2:V692),$V$2:$V$1001,0),1)&gt;=100000,INDEX($AC$1005:$AS$1005,1,MATCH(COLUMNS($AC$1006:AJ1006),$AC$1006:$AS$1006,0))&gt;=100000), " ",IF(INDEX($AC$2:$AS$1001,MATCH(ROWS($V$2:V692),$V$2:$V$1001,0),MATCH(COLUMNS($AC$1006:AJ1006),$AC$1006:$AS$1006,0)), HYPERLINK("#",""), HYPERLINK(CONCATENATE("#Metadata!", ADDRESS(INDEX($X$2:$X$1001,MATCH(ROWS($V$2:V692),$V$2:$V$1001,0),0), INDEX($AC$1004:$AS$1004,1,MATCH(COLUMNS($AC$1006:AJ1006),$AC$1006:$AS$1006,0)))),"Fix")))</f>
        <v>0</v>
      </c>
      <c r="J692" s="5">
        <f>IF(OR(INDEX($W$2:$W$1001,MATCH(ROWS($V$2:V692),$V$2:$V$1001,0),1)&gt;=100000,INDEX($AC$1005:$AS$1005,1,MATCH(COLUMNS($AC$1006:AK1006),$AC$1006:$AS$1006,0))&gt;=100000), " ",IF(INDEX($AC$2:$AS$1001,MATCH(ROWS($V$2:V692),$V$2:$V$1001,0),MATCH(COLUMNS($AC$1006:AK1006),$AC$1006:$AS$1006,0)), HYPERLINK("#",""), HYPERLINK(CONCATENATE("#Metadata!", ADDRESS(INDEX($X$2:$X$1001,MATCH(ROWS($V$2:V692),$V$2:$V$1001,0),0), INDEX($AC$1004:$AS$1004,1,MATCH(COLUMNS($AC$1006:AK1006),$AC$1006:$AS$1006,0)))),"Fix")))</f>
        <v>0</v>
      </c>
      <c r="K692" s="5">
        <f>IF(OR(INDEX($W$2:$W$1001,MATCH(ROWS($V$2:V692),$V$2:$V$1001,0),1)&gt;=100000,INDEX($AC$1005:$AS$1005,1,MATCH(COLUMNS($AC$1006:AL1006),$AC$1006:$AS$1006,0))&gt;=100000), " ",IF(INDEX($AC$2:$AS$1001,MATCH(ROWS($V$2:V692),$V$2:$V$1001,0),MATCH(COLUMNS($AC$1006:AL1006),$AC$1006:$AS$1006,0)), HYPERLINK("#",""), HYPERLINK(CONCATENATE("#Metadata!", ADDRESS(INDEX($X$2:$X$1001,MATCH(ROWS($V$2:V692),$V$2:$V$1001,0),0), INDEX($AC$1004:$AS$1004,1,MATCH(COLUMNS($AC$1006:AL1006),$AC$1006:$AS$1006,0)))),"Fix")))</f>
        <v>0</v>
      </c>
      <c r="L692" s="5">
        <f>IF(OR(INDEX($W$2:$W$1001,MATCH(ROWS($V$2:V692),$V$2:$V$1001,0),1)&gt;=100000,INDEX($AC$1005:$AS$1005,1,MATCH(COLUMNS($AC$1006:AM1006),$AC$1006:$AS$1006,0))&gt;=100000), " ",IF(INDEX($AC$2:$AS$1001,MATCH(ROWS($V$2:V692),$V$2:$V$1001,0),MATCH(COLUMNS($AC$1006:AM1006),$AC$1006:$AS$1006,0)), HYPERLINK("#",""), HYPERLINK(CONCATENATE("#Metadata!", ADDRESS(INDEX($X$2:$X$1001,MATCH(ROWS($V$2:V692),$V$2:$V$1001,0),0), INDEX($AC$1004:$AS$1004,1,MATCH(COLUMNS($AC$1006:AM1006),$AC$1006:$AS$1006,0)))),"Fix")))</f>
        <v>0</v>
      </c>
      <c r="M692" s="5">
        <f>IF(OR(INDEX($W$2:$W$1001,MATCH(ROWS($V$2:V692),$V$2:$V$1001,0),1)&gt;=100000,INDEX($AC$1005:$AS$1005,1,MATCH(COLUMNS($AC$1006:AN1006),$AC$1006:$AS$1006,0))&gt;=100000), " ",IF(INDEX($AC$2:$AS$1001,MATCH(ROWS($V$2:V692),$V$2:$V$1001,0),MATCH(COLUMNS($AC$1006:AN1006),$AC$1006:$AS$1006,0)), HYPERLINK("#",""), HYPERLINK(CONCATENATE("#Metadata!", ADDRESS(INDEX($X$2:$X$1001,MATCH(ROWS($V$2:V692),$V$2:$V$1001,0),0), INDEX($AC$1004:$AS$1004,1,MATCH(COLUMNS($AC$1006:AN1006),$AC$1006:$AS$1006,0)))),"Fix")))</f>
        <v>0</v>
      </c>
      <c r="N692" s="5">
        <f>IF(OR(INDEX($W$2:$W$1001,MATCH(ROWS($V$2:V692),$V$2:$V$1001,0),1)&gt;=100000,INDEX($AC$1005:$AS$1005,1,MATCH(COLUMNS($AC$1006:AO1006),$AC$1006:$AS$1006,0))&gt;=100000), " ",IF(INDEX($AC$2:$AS$1001,MATCH(ROWS($V$2:V692),$V$2:$V$1001,0),MATCH(COLUMNS($AC$1006:AO1006),$AC$1006:$AS$1006,0)), HYPERLINK("#",""), HYPERLINK(CONCATENATE("#Metadata!", ADDRESS(INDEX($X$2:$X$1001,MATCH(ROWS($V$2:V692),$V$2:$V$1001,0),0), INDEX($AC$1004:$AS$1004,1,MATCH(COLUMNS($AC$1006:AO1006),$AC$1006:$AS$1006,0)))),"Fix")))</f>
        <v>0</v>
      </c>
      <c r="O692" s="5">
        <f>IF(OR(INDEX($W$2:$W$1001,MATCH(ROWS($V$2:V692),$V$2:$V$1001,0),1)&gt;=100000,INDEX($AC$1005:$AS$1005,1,MATCH(COLUMNS($AC$1006:AP1006),$AC$1006:$AS$1006,0))&gt;=100000), " ",IF(INDEX($AC$2:$AS$1001,MATCH(ROWS($V$2:V692),$V$2:$V$1001,0),MATCH(COLUMNS($AC$1006:AP1006),$AC$1006:$AS$1006,0)), HYPERLINK("#",""), HYPERLINK(CONCATENATE("#Metadata!", ADDRESS(INDEX($X$2:$X$1001,MATCH(ROWS($V$2:V692),$V$2:$V$1001,0),0), INDEX($AC$1004:$AS$1004,1,MATCH(COLUMNS($AC$1006:AP1006),$AC$1006:$AS$1006,0)))),"Fix")))</f>
        <v>0</v>
      </c>
      <c r="P692" s="5">
        <f>IF(OR(INDEX($W$2:$W$1001,MATCH(ROWS($V$2:V692),$V$2:$V$1001,0),1)&gt;=100000,INDEX($AC$1005:$AS$1005,1,MATCH(COLUMNS($AC$1006:AQ1006),$AC$1006:$AS$1006,0))&gt;=100000), " ",IF(INDEX($AC$2:$AS$1001,MATCH(ROWS($V$2:V692),$V$2:$V$1001,0),MATCH(COLUMNS($AC$1006:AQ1006),$AC$1006:$AS$1006,0)), HYPERLINK("#",""), HYPERLINK(CONCATENATE("#Metadata!", ADDRESS(INDEX($X$2:$X$1001,MATCH(ROWS($V$2:V692),$V$2:$V$1001,0),0), INDEX($AC$1004:$AS$1004,1,MATCH(COLUMNS($AC$1006:AQ1006),$AC$1006:$AS$1006,0)))),"Fix")))</f>
        <v>0</v>
      </c>
      <c r="Q692" s="5">
        <f>IF(OR(INDEX($W$2:$W$1001,MATCH(ROWS($V$2:V692),$V$2:$V$1001,0),1)&gt;=100000,INDEX($AC$1005:$AS$1005,1,MATCH(COLUMNS($AC$1006:AR1006),$AC$1006:$AS$1006,0))&gt;=100000), " ",IF(INDEX($AC$2:$AS$1001,MATCH(ROWS($V$2:V692),$V$2:$V$1001,0),MATCH(COLUMNS($AC$1006:AR1006),$AC$1006:$AS$1006,0)), HYPERLINK("#",""), HYPERLINK(CONCATENATE("#Metadata!", ADDRESS(INDEX($X$2:$X$1001,MATCH(ROWS($V$2:V692),$V$2:$V$1001,0),0), INDEX($AC$1004:$AS$1004,1,MATCH(COLUMNS($AC$1006:AR1006),$AC$1006:$AS$1006,0)))),"Fix")))</f>
        <v>0</v>
      </c>
      <c r="R692" s="5">
        <f>IF(OR(INDEX($W$2:$W$1001,MATCH(ROWS($V$2:V692),$V$2:$V$1001,0),1)&gt;=100000,INDEX($AC$1005:$AS$1005,1,MATCH(COLUMNS($AC$1006:AS1006),$AC$1006:$AS$1006,0))&gt;=100000), " ",IF(INDEX($AC$2:$AS$1001,MATCH(ROWS($V$2:V692),$V$2:$V$1001,0),MATCH(COLUMNS($AC$1006:AS1006),$AC$1006:$AS$1006,0)), HYPERLINK("#",""), HYPERLINK(CONCATENATE("#Metadata!", ADDRESS(INDEX($X$2:$X$1001,MATCH(ROWS($V$2:V692),$V$2:$V$1001,0),0), INDEX($AC$1004:$AS$1004,1,MATCH(COLUMNS($AC$1006:AS1006),$AC$1006:$AS$1006,0)))),"Fix")))</f>
        <v>0</v>
      </c>
      <c r="V692">
        <v>0</v>
      </c>
      <c r="W692">
        <v>0</v>
      </c>
      <c r="X692">
        <v>0</v>
      </c>
      <c r="Y692">
        <f>IF(Z692,TRUE,AND(AC692:AS692))</f>
        <v>0</v>
      </c>
      <c r="Z692">
        <f>COUNTBLANK(Metadata!B692:R692)=COLUMNS(Metadata!B692:R692)</f>
        <v>0</v>
      </c>
      <c r="AA692">
        <v>0</v>
      </c>
      <c r="AC692">
        <f>AND(IF(Metadata!B692="",FALSE,TRUE),COUNTIF(Metadata!B:B, Metadata!B692) = 1,NOT(ISERROR(SUMPRODUCT(SEARCH(MID(Metadata!B692,ROW(INDIRECT("1:"&amp;LEN(Metadata!B692))), 1),"0123456789abcdefghijklmnopqrstuvwxyzABCDEFGHIJKLMNOPQRSTUVWXYZ.")))))</f>
        <v>0</v>
      </c>
      <c r="AD692">
        <f>AND(IF(Metadata!C692="",FALSE,TRUE),exact(Metadata!C692,"Host-associated"))</f>
        <v>0</v>
      </c>
      <c r="AE692">
        <f>AND(IF(Metadata!D692="",FALSE,TRUE),OR(exact(Metadata!D692,"Animal"),exact(Metadata!D692,"Fungus"),exact(Metadata!D692,"Plant")))</f>
        <v>0</v>
      </c>
      <c r="AF692">
        <f>AND(IF(Metadata!E692="",FALSE,TRUE),OR(exact(Metadata!E692,"Plant secretion"),exact(Metadata!E692,"Plant rhizosphere"),exact(Metadata!E692,"Plant surface"),exact(Metadata!E692,"Plant corpus"),exact(Metadata!E692,"Fungus surface"),exact(Metadata!E692,"Fungus corpus"),exact(Metadata!E692,"Animal surface"),exact(Metadata!E692,"Animal proximal gut"),exact(Metadata!E692,"Animal corpus"),exact(Metadata!E692,"Animal distal gut"),exact(Metadata!E692,"Animal secretion")))</f>
        <v>0</v>
      </c>
      <c r="AG692">
        <f>OR(AND(IF(Metadata!F692="",FALSE,TRUE),OR(exact(Metadata!F692,"not collected"),exact(Metadata!F692,"not provided"),exact(Metadata!F692,"restricted access"))),AND(IF(Metadata!F692="",FALSE,TRUE),OR(exact(Metadata!F692,"organism-associated habitat"),exact(Metadata!F692,"plant-associated habitat"),exact(Metadata!F692,"animal-associated habitat"),exact(Metadata!F692,"insecta-associated habitat"),exact(Metadata!F692,"mammalia-associated habitat"),exact(Metadata!F692,"human-associated habitat"),exact(Metadata!F692,"livestock-associated habitat"))))</f>
        <v>0</v>
      </c>
      <c r="AH692">
        <f>AND(IF(Metadata!G692="",FALSE,TRUE),exact(Metadata!G692,"host-associated"))</f>
        <v>0</v>
      </c>
      <c r="AI692">
        <f>OR(AND(IF(Metadata!H692="",FALSE,TRUE),OR(exact(Metadata!H692,"not collected"),exact(Metadata!H692,"not provided"))),AND(IF(Metadata!H692="",FALSE,ISNUMBER(VALUE(Metadata!H692))),Metadata!H692&gt;0))</f>
        <v>0</v>
      </c>
      <c r="AJ692">
        <f>AND(IF(Metadata!I692="",FALSE,TRUE),exact(Metadata!I692,"years"))</f>
        <v>0</v>
      </c>
      <c r="AK692">
        <f>IF(Metadata!J692="",FALSE,TRUE)</f>
        <v>0</v>
      </c>
      <c r="AL692">
        <f>OR(AND(IF(Metadata!K692="",FALSE,TRUE),OR(exact(Metadata!K692,"not collected"),exact(Metadata!K692,"not provided"))),AND(IF(Metadata!K692="",FALSE,ISNUMBER(VALUE(Metadata!K692))),Metadata!K692&gt;0))</f>
        <v>0</v>
      </c>
      <c r="AM692">
        <f>AND(IF(Metadata!L692="",FALSE,TRUE),exact(Metadata!L692,"cm"))</f>
        <v>0</v>
      </c>
      <c r="AN692">
        <f>IF(Metadata!M692="",FALSE,TRUE)</f>
        <v>0</v>
      </c>
      <c r="AO692">
        <f>OR(AND(IF(Metadata!N692="",FALSE,TRUE),OR(exact(Metadata!N692,"not applicable"),exact(Metadata!N692,"not collected"),exact(Metadata!N692,"not provided"))),AND(IF(Metadata!N692="",FALSE,IF(ISERROR(INT(Metadata!N692)),FALSE,INT(Metadata!N692)=Metadata!N692)),Metadata!N692&gt;0))</f>
        <v>0</v>
      </c>
      <c r="AP692">
        <f>OR(AND(IF(Metadata!O692="",FALSE,TRUE),OR(exact(Metadata!O692,"not collected"),exact(Metadata!O692,"not provided"))),AND(IF(Metadata!O692="",FALSE,ISNUMBER(VALUE(Metadata!O692))),Metadata!O692&gt;0))</f>
        <v>0</v>
      </c>
      <c r="AQ692">
        <f>AND(IF(Metadata!P692="",FALSE,TRUE),exact(Metadata!P692,"kg"))</f>
        <v>0</v>
      </c>
      <c r="AR692">
        <f>OR(AND(IF(Metadata!Q692="",FALSE,TRUE),OR(exact(Metadata!Q692,"not applicable"),exact(Metadata!Q692,"not collected"),exact(Metadata!Q692,"not provided"),exact(Metadata!Q692,"restricted access"))),IF(Metadata!Q692="",FALSE,IF(ISERROR(INT(Metadata!Q692)),FALSE,INT(Metadata!Q692)=Metadata!Q692)))</f>
        <v>0</v>
      </c>
      <c r="AS692">
        <f>AND(IF(Metadata!R692="",FALSE,TRUE),exact(Metadata!R692,"Not applicable"))</f>
        <v>0</v>
      </c>
    </row>
    <row r="693" spans="1:45">
      <c r="A693" s="4">
        <f>IF(B693=" "," ",HYPERLINK(CONCATENATE("#metadata!",ADDRESS(INDEX($X$2:$X$1001,MATCH(ROWS($V$2:V693),$V$2:$V$1001,0),0),2)),INDEX($AA$2:$AA$1001,MATCH(ROWS($V$2:V693),$V$2:$V$1001,0),0)))</f>
        <v>0</v>
      </c>
      <c r="B693" s="5">
        <f>IF(OR(INDEX($W$2:$W$1001,MATCH(ROWS($V$2:V693),$V$2:$V$1001,0),1)&gt;=100000,INDEX($AC$1005:$AS$1005,1,MATCH(COLUMNS($AC$1006:AC1006),$AC$1006:$AS$1006,0))&gt;=100000), " ",IF(INDEX($AC$2:$AS$1001,MATCH(ROWS($V$2:V693),$V$2:$V$1001,0),MATCH(COLUMNS($AC$1006:AC1006),$AC$1006:$AS$1006,0)), HYPERLINK("#",""), HYPERLINK(CONCATENATE("#Metadata!", ADDRESS(INDEX($X$2:$X$1001,MATCH(ROWS($V$2:V693),$V$2:$V$1001,0),0), INDEX($AC$1004:$AS$1004,1,MATCH(COLUMNS($AC$1006:AC1006),$AC$1006:$AS$1006,0)))),"Fix")))</f>
        <v>0</v>
      </c>
      <c r="C693" s="5">
        <f>IF(OR(INDEX($W$2:$W$1001,MATCH(ROWS($V$2:V693),$V$2:$V$1001,0),1)&gt;=100000,INDEX($AC$1005:$AS$1005,1,MATCH(COLUMNS($AC$1006:AD1006),$AC$1006:$AS$1006,0))&gt;=100000), " ",IF(INDEX($AC$2:$AS$1001,MATCH(ROWS($V$2:V693),$V$2:$V$1001,0),MATCH(COLUMNS($AC$1006:AD1006),$AC$1006:$AS$1006,0)), HYPERLINK("#",""), HYPERLINK(CONCATENATE("#Metadata!", ADDRESS(INDEX($X$2:$X$1001,MATCH(ROWS($V$2:V693),$V$2:$V$1001,0),0), INDEX($AC$1004:$AS$1004,1,MATCH(COLUMNS($AC$1006:AD1006),$AC$1006:$AS$1006,0)))),"Fix")))</f>
        <v>0</v>
      </c>
      <c r="D693" s="5">
        <f>IF(OR(INDEX($W$2:$W$1001,MATCH(ROWS($V$2:V693),$V$2:$V$1001,0),1)&gt;=100000,INDEX($AC$1005:$AS$1005,1,MATCH(COLUMNS($AC$1006:AE1006),$AC$1006:$AS$1006,0))&gt;=100000), " ",IF(INDEX($AC$2:$AS$1001,MATCH(ROWS($V$2:V693),$V$2:$V$1001,0),MATCH(COLUMNS($AC$1006:AE1006),$AC$1006:$AS$1006,0)), HYPERLINK("#",""), HYPERLINK(CONCATENATE("#Metadata!", ADDRESS(INDEX($X$2:$X$1001,MATCH(ROWS($V$2:V693),$V$2:$V$1001,0),0), INDEX($AC$1004:$AS$1004,1,MATCH(COLUMNS($AC$1006:AE1006),$AC$1006:$AS$1006,0)))),"Fix")))</f>
        <v>0</v>
      </c>
      <c r="E693" s="5">
        <f>IF(OR(INDEX($W$2:$W$1001,MATCH(ROWS($V$2:V693),$V$2:$V$1001,0),1)&gt;=100000,INDEX($AC$1005:$AS$1005,1,MATCH(COLUMNS($AC$1006:AF1006),$AC$1006:$AS$1006,0))&gt;=100000), " ",IF(INDEX($AC$2:$AS$1001,MATCH(ROWS($V$2:V693),$V$2:$V$1001,0),MATCH(COLUMNS($AC$1006:AF1006),$AC$1006:$AS$1006,0)), HYPERLINK("#",""), HYPERLINK(CONCATENATE("#Metadata!", ADDRESS(INDEX($X$2:$X$1001,MATCH(ROWS($V$2:V693),$V$2:$V$1001,0),0), INDEX($AC$1004:$AS$1004,1,MATCH(COLUMNS($AC$1006:AF1006),$AC$1006:$AS$1006,0)))),"Fix")))</f>
        <v>0</v>
      </c>
      <c r="F693" s="5">
        <f>IF(OR(INDEX($W$2:$W$1001,MATCH(ROWS($V$2:V693),$V$2:$V$1001,0),1)&gt;=100000,INDEX($AC$1005:$AS$1005,1,MATCH(COLUMNS($AC$1006:AG1006),$AC$1006:$AS$1006,0))&gt;=100000), " ",IF(INDEX($AC$2:$AS$1001,MATCH(ROWS($V$2:V693),$V$2:$V$1001,0),MATCH(COLUMNS($AC$1006:AG1006),$AC$1006:$AS$1006,0)), HYPERLINK("#",""), HYPERLINK(CONCATENATE("#Metadata!", ADDRESS(INDEX($X$2:$X$1001,MATCH(ROWS($V$2:V693),$V$2:$V$1001,0),0), INDEX($AC$1004:$AS$1004,1,MATCH(COLUMNS($AC$1006:AG1006),$AC$1006:$AS$1006,0)))),"Fix")))</f>
        <v>0</v>
      </c>
      <c r="G693" s="5">
        <f>IF(OR(INDEX($W$2:$W$1001,MATCH(ROWS($V$2:V693),$V$2:$V$1001,0),1)&gt;=100000,INDEX($AC$1005:$AS$1005,1,MATCH(COLUMNS($AC$1006:AH1006),$AC$1006:$AS$1006,0))&gt;=100000), " ",IF(INDEX($AC$2:$AS$1001,MATCH(ROWS($V$2:V693),$V$2:$V$1001,0),MATCH(COLUMNS($AC$1006:AH1006),$AC$1006:$AS$1006,0)), HYPERLINK("#",""), HYPERLINK(CONCATENATE("#Metadata!", ADDRESS(INDEX($X$2:$X$1001,MATCH(ROWS($V$2:V693),$V$2:$V$1001,0),0), INDEX($AC$1004:$AS$1004,1,MATCH(COLUMNS($AC$1006:AH1006),$AC$1006:$AS$1006,0)))),"Fix")))</f>
        <v>0</v>
      </c>
      <c r="H693" s="5">
        <f>IF(OR(INDEX($W$2:$W$1001,MATCH(ROWS($V$2:V693),$V$2:$V$1001,0),1)&gt;=100000,INDEX($AC$1005:$AS$1005,1,MATCH(COLUMNS($AC$1006:AI1006),$AC$1006:$AS$1006,0))&gt;=100000), " ",IF(INDEX($AC$2:$AS$1001,MATCH(ROWS($V$2:V693),$V$2:$V$1001,0),MATCH(COLUMNS($AC$1006:AI1006),$AC$1006:$AS$1006,0)), HYPERLINK("#",""), HYPERLINK(CONCATENATE("#Metadata!", ADDRESS(INDEX($X$2:$X$1001,MATCH(ROWS($V$2:V693),$V$2:$V$1001,0),0), INDEX($AC$1004:$AS$1004,1,MATCH(COLUMNS($AC$1006:AI1006),$AC$1006:$AS$1006,0)))),"Fix")))</f>
        <v>0</v>
      </c>
      <c r="I693" s="5">
        <f>IF(OR(INDEX($W$2:$W$1001,MATCH(ROWS($V$2:V693),$V$2:$V$1001,0),1)&gt;=100000,INDEX($AC$1005:$AS$1005,1,MATCH(COLUMNS($AC$1006:AJ1006),$AC$1006:$AS$1006,0))&gt;=100000), " ",IF(INDEX($AC$2:$AS$1001,MATCH(ROWS($V$2:V693),$V$2:$V$1001,0),MATCH(COLUMNS($AC$1006:AJ1006),$AC$1006:$AS$1006,0)), HYPERLINK("#",""), HYPERLINK(CONCATENATE("#Metadata!", ADDRESS(INDEX($X$2:$X$1001,MATCH(ROWS($V$2:V693),$V$2:$V$1001,0),0), INDEX($AC$1004:$AS$1004,1,MATCH(COLUMNS($AC$1006:AJ1006),$AC$1006:$AS$1006,0)))),"Fix")))</f>
        <v>0</v>
      </c>
      <c r="J693" s="5">
        <f>IF(OR(INDEX($W$2:$W$1001,MATCH(ROWS($V$2:V693),$V$2:$V$1001,0),1)&gt;=100000,INDEX($AC$1005:$AS$1005,1,MATCH(COLUMNS($AC$1006:AK1006),$AC$1006:$AS$1006,0))&gt;=100000), " ",IF(INDEX($AC$2:$AS$1001,MATCH(ROWS($V$2:V693),$V$2:$V$1001,0),MATCH(COLUMNS($AC$1006:AK1006),$AC$1006:$AS$1006,0)), HYPERLINK("#",""), HYPERLINK(CONCATENATE("#Metadata!", ADDRESS(INDEX($X$2:$X$1001,MATCH(ROWS($V$2:V693),$V$2:$V$1001,0),0), INDEX($AC$1004:$AS$1004,1,MATCH(COLUMNS($AC$1006:AK1006),$AC$1006:$AS$1006,0)))),"Fix")))</f>
        <v>0</v>
      </c>
      <c r="K693" s="5">
        <f>IF(OR(INDEX($W$2:$W$1001,MATCH(ROWS($V$2:V693),$V$2:$V$1001,0),1)&gt;=100000,INDEX($AC$1005:$AS$1005,1,MATCH(COLUMNS($AC$1006:AL1006),$AC$1006:$AS$1006,0))&gt;=100000), " ",IF(INDEX($AC$2:$AS$1001,MATCH(ROWS($V$2:V693),$V$2:$V$1001,0),MATCH(COLUMNS($AC$1006:AL1006),$AC$1006:$AS$1006,0)), HYPERLINK("#",""), HYPERLINK(CONCATENATE("#Metadata!", ADDRESS(INDEX($X$2:$X$1001,MATCH(ROWS($V$2:V693),$V$2:$V$1001,0),0), INDEX($AC$1004:$AS$1004,1,MATCH(COLUMNS($AC$1006:AL1006),$AC$1006:$AS$1006,0)))),"Fix")))</f>
        <v>0</v>
      </c>
      <c r="L693" s="5">
        <f>IF(OR(INDEX($W$2:$W$1001,MATCH(ROWS($V$2:V693),$V$2:$V$1001,0),1)&gt;=100000,INDEX($AC$1005:$AS$1005,1,MATCH(COLUMNS($AC$1006:AM1006),$AC$1006:$AS$1006,0))&gt;=100000), " ",IF(INDEX($AC$2:$AS$1001,MATCH(ROWS($V$2:V693),$V$2:$V$1001,0),MATCH(COLUMNS($AC$1006:AM1006),$AC$1006:$AS$1006,0)), HYPERLINK("#",""), HYPERLINK(CONCATENATE("#Metadata!", ADDRESS(INDEX($X$2:$X$1001,MATCH(ROWS($V$2:V693),$V$2:$V$1001,0),0), INDEX($AC$1004:$AS$1004,1,MATCH(COLUMNS($AC$1006:AM1006),$AC$1006:$AS$1006,0)))),"Fix")))</f>
        <v>0</v>
      </c>
      <c r="M693" s="5">
        <f>IF(OR(INDEX($W$2:$W$1001,MATCH(ROWS($V$2:V693),$V$2:$V$1001,0),1)&gt;=100000,INDEX($AC$1005:$AS$1005,1,MATCH(COLUMNS($AC$1006:AN1006),$AC$1006:$AS$1006,0))&gt;=100000), " ",IF(INDEX($AC$2:$AS$1001,MATCH(ROWS($V$2:V693),$V$2:$V$1001,0),MATCH(COLUMNS($AC$1006:AN1006),$AC$1006:$AS$1006,0)), HYPERLINK("#",""), HYPERLINK(CONCATENATE("#Metadata!", ADDRESS(INDEX($X$2:$X$1001,MATCH(ROWS($V$2:V693),$V$2:$V$1001,0),0), INDEX($AC$1004:$AS$1004,1,MATCH(COLUMNS($AC$1006:AN1006),$AC$1006:$AS$1006,0)))),"Fix")))</f>
        <v>0</v>
      </c>
      <c r="N693" s="5">
        <f>IF(OR(INDEX($W$2:$W$1001,MATCH(ROWS($V$2:V693),$V$2:$V$1001,0),1)&gt;=100000,INDEX($AC$1005:$AS$1005,1,MATCH(COLUMNS($AC$1006:AO1006),$AC$1006:$AS$1006,0))&gt;=100000), " ",IF(INDEX($AC$2:$AS$1001,MATCH(ROWS($V$2:V693),$V$2:$V$1001,0),MATCH(COLUMNS($AC$1006:AO1006),$AC$1006:$AS$1006,0)), HYPERLINK("#",""), HYPERLINK(CONCATENATE("#Metadata!", ADDRESS(INDEX($X$2:$X$1001,MATCH(ROWS($V$2:V693),$V$2:$V$1001,0),0), INDEX($AC$1004:$AS$1004,1,MATCH(COLUMNS($AC$1006:AO1006),$AC$1006:$AS$1006,0)))),"Fix")))</f>
        <v>0</v>
      </c>
      <c r="O693" s="5">
        <f>IF(OR(INDEX($W$2:$W$1001,MATCH(ROWS($V$2:V693),$V$2:$V$1001,0),1)&gt;=100000,INDEX($AC$1005:$AS$1005,1,MATCH(COLUMNS($AC$1006:AP1006),$AC$1006:$AS$1006,0))&gt;=100000), " ",IF(INDEX($AC$2:$AS$1001,MATCH(ROWS($V$2:V693),$V$2:$V$1001,0),MATCH(COLUMNS($AC$1006:AP1006),$AC$1006:$AS$1006,0)), HYPERLINK("#",""), HYPERLINK(CONCATENATE("#Metadata!", ADDRESS(INDEX($X$2:$X$1001,MATCH(ROWS($V$2:V693),$V$2:$V$1001,0),0), INDEX($AC$1004:$AS$1004,1,MATCH(COLUMNS($AC$1006:AP1006),$AC$1006:$AS$1006,0)))),"Fix")))</f>
        <v>0</v>
      </c>
      <c r="P693" s="5">
        <f>IF(OR(INDEX($W$2:$W$1001,MATCH(ROWS($V$2:V693),$V$2:$V$1001,0),1)&gt;=100000,INDEX($AC$1005:$AS$1005,1,MATCH(COLUMNS($AC$1006:AQ1006),$AC$1006:$AS$1006,0))&gt;=100000), " ",IF(INDEX($AC$2:$AS$1001,MATCH(ROWS($V$2:V693),$V$2:$V$1001,0),MATCH(COLUMNS($AC$1006:AQ1006),$AC$1006:$AS$1006,0)), HYPERLINK("#",""), HYPERLINK(CONCATENATE("#Metadata!", ADDRESS(INDEX($X$2:$X$1001,MATCH(ROWS($V$2:V693),$V$2:$V$1001,0),0), INDEX($AC$1004:$AS$1004,1,MATCH(COLUMNS($AC$1006:AQ1006),$AC$1006:$AS$1006,0)))),"Fix")))</f>
        <v>0</v>
      </c>
      <c r="Q693" s="5">
        <f>IF(OR(INDEX($W$2:$W$1001,MATCH(ROWS($V$2:V693),$V$2:$V$1001,0),1)&gt;=100000,INDEX($AC$1005:$AS$1005,1,MATCH(COLUMNS($AC$1006:AR1006),$AC$1006:$AS$1006,0))&gt;=100000), " ",IF(INDEX($AC$2:$AS$1001,MATCH(ROWS($V$2:V693),$V$2:$V$1001,0),MATCH(COLUMNS($AC$1006:AR1006),$AC$1006:$AS$1006,0)), HYPERLINK("#",""), HYPERLINK(CONCATENATE("#Metadata!", ADDRESS(INDEX($X$2:$X$1001,MATCH(ROWS($V$2:V693),$V$2:$V$1001,0),0), INDEX($AC$1004:$AS$1004,1,MATCH(COLUMNS($AC$1006:AR1006),$AC$1006:$AS$1006,0)))),"Fix")))</f>
        <v>0</v>
      </c>
      <c r="R693" s="5">
        <f>IF(OR(INDEX($W$2:$W$1001,MATCH(ROWS($V$2:V693),$V$2:$V$1001,0),1)&gt;=100000,INDEX($AC$1005:$AS$1005,1,MATCH(COLUMNS($AC$1006:AS1006),$AC$1006:$AS$1006,0))&gt;=100000), " ",IF(INDEX($AC$2:$AS$1001,MATCH(ROWS($V$2:V693),$V$2:$V$1001,0),MATCH(COLUMNS($AC$1006:AS1006),$AC$1006:$AS$1006,0)), HYPERLINK("#",""), HYPERLINK(CONCATENATE("#Metadata!", ADDRESS(INDEX($X$2:$X$1001,MATCH(ROWS($V$2:V693),$V$2:$V$1001,0),0), INDEX($AC$1004:$AS$1004,1,MATCH(COLUMNS($AC$1006:AS1006),$AC$1006:$AS$1006,0)))),"Fix")))</f>
        <v>0</v>
      </c>
      <c r="V693">
        <v>0</v>
      </c>
      <c r="W693">
        <v>0</v>
      </c>
      <c r="X693">
        <v>0</v>
      </c>
      <c r="Y693">
        <f>IF(Z693,TRUE,AND(AC693:AS693))</f>
        <v>0</v>
      </c>
      <c r="Z693">
        <f>COUNTBLANK(Metadata!B693:R693)=COLUMNS(Metadata!B693:R693)</f>
        <v>0</v>
      </c>
      <c r="AA693">
        <v>0</v>
      </c>
      <c r="AC693">
        <f>AND(IF(Metadata!B693="",FALSE,TRUE),COUNTIF(Metadata!B:B, Metadata!B693) = 1,NOT(ISERROR(SUMPRODUCT(SEARCH(MID(Metadata!B693,ROW(INDIRECT("1:"&amp;LEN(Metadata!B693))), 1),"0123456789abcdefghijklmnopqrstuvwxyzABCDEFGHIJKLMNOPQRSTUVWXYZ.")))))</f>
        <v>0</v>
      </c>
      <c r="AD693">
        <f>AND(IF(Metadata!C693="",FALSE,TRUE),exact(Metadata!C693,"Host-associated"))</f>
        <v>0</v>
      </c>
      <c r="AE693">
        <f>AND(IF(Metadata!D693="",FALSE,TRUE),OR(exact(Metadata!D693,"Animal"),exact(Metadata!D693,"Fungus"),exact(Metadata!D693,"Plant")))</f>
        <v>0</v>
      </c>
      <c r="AF693">
        <f>AND(IF(Metadata!E693="",FALSE,TRUE),OR(exact(Metadata!E693,"Plant secretion"),exact(Metadata!E693,"Plant rhizosphere"),exact(Metadata!E693,"Plant surface"),exact(Metadata!E693,"Plant corpus"),exact(Metadata!E693,"Fungus surface"),exact(Metadata!E693,"Fungus corpus"),exact(Metadata!E693,"Animal surface"),exact(Metadata!E693,"Animal proximal gut"),exact(Metadata!E693,"Animal corpus"),exact(Metadata!E693,"Animal distal gut"),exact(Metadata!E693,"Animal secretion")))</f>
        <v>0</v>
      </c>
      <c r="AG693">
        <f>OR(AND(IF(Metadata!F693="",FALSE,TRUE),OR(exact(Metadata!F693,"not collected"),exact(Metadata!F693,"not provided"),exact(Metadata!F693,"restricted access"))),AND(IF(Metadata!F693="",FALSE,TRUE),OR(exact(Metadata!F693,"organism-associated habitat"),exact(Metadata!F693,"plant-associated habitat"),exact(Metadata!F693,"animal-associated habitat"),exact(Metadata!F693,"insecta-associated habitat"),exact(Metadata!F693,"mammalia-associated habitat"),exact(Metadata!F693,"human-associated habitat"),exact(Metadata!F693,"livestock-associated habitat"))))</f>
        <v>0</v>
      </c>
      <c r="AH693">
        <f>AND(IF(Metadata!G693="",FALSE,TRUE),exact(Metadata!G693,"host-associated"))</f>
        <v>0</v>
      </c>
      <c r="AI693">
        <f>OR(AND(IF(Metadata!H693="",FALSE,TRUE),OR(exact(Metadata!H693,"not collected"),exact(Metadata!H693,"not provided"))),AND(IF(Metadata!H693="",FALSE,ISNUMBER(VALUE(Metadata!H693))),Metadata!H693&gt;0))</f>
        <v>0</v>
      </c>
      <c r="AJ693">
        <f>AND(IF(Metadata!I693="",FALSE,TRUE),exact(Metadata!I693,"years"))</f>
        <v>0</v>
      </c>
      <c r="AK693">
        <f>IF(Metadata!J693="",FALSE,TRUE)</f>
        <v>0</v>
      </c>
      <c r="AL693">
        <f>OR(AND(IF(Metadata!K693="",FALSE,TRUE),OR(exact(Metadata!K693,"not collected"),exact(Metadata!K693,"not provided"))),AND(IF(Metadata!K693="",FALSE,ISNUMBER(VALUE(Metadata!K693))),Metadata!K693&gt;0))</f>
        <v>0</v>
      </c>
      <c r="AM693">
        <f>AND(IF(Metadata!L693="",FALSE,TRUE),exact(Metadata!L693,"cm"))</f>
        <v>0</v>
      </c>
      <c r="AN693">
        <f>IF(Metadata!M693="",FALSE,TRUE)</f>
        <v>0</v>
      </c>
      <c r="AO693">
        <f>OR(AND(IF(Metadata!N693="",FALSE,TRUE),OR(exact(Metadata!N693,"not applicable"),exact(Metadata!N693,"not collected"),exact(Metadata!N693,"not provided"))),AND(IF(Metadata!N693="",FALSE,IF(ISERROR(INT(Metadata!N693)),FALSE,INT(Metadata!N693)=Metadata!N693)),Metadata!N693&gt;0))</f>
        <v>0</v>
      </c>
      <c r="AP693">
        <f>OR(AND(IF(Metadata!O693="",FALSE,TRUE),OR(exact(Metadata!O693,"not collected"),exact(Metadata!O693,"not provided"))),AND(IF(Metadata!O693="",FALSE,ISNUMBER(VALUE(Metadata!O693))),Metadata!O693&gt;0))</f>
        <v>0</v>
      </c>
      <c r="AQ693">
        <f>AND(IF(Metadata!P693="",FALSE,TRUE),exact(Metadata!P693,"kg"))</f>
        <v>0</v>
      </c>
      <c r="AR693">
        <f>OR(AND(IF(Metadata!Q693="",FALSE,TRUE),OR(exact(Metadata!Q693,"not applicable"),exact(Metadata!Q693,"not collected"),exact(Metadata!Q693,"not provided"),exact(Metadata!Q693,"restricted access"))),IF(Metadata!Q693="",FALSE,IF(ISERROR(INT(Metadata!Q693)),FALSE,INT(Metadata!Q693)=Metadata!Q693)))</f>
        <v>0</v>
      </c>
      <c r="AS693">
        <f>AND(IF(Metadata!R693="",FALSE,TRUE),exact(Metadata!R693,"Not applicable"))</f>
        <v>0</v>
      </c>
    </row>
    <row r="694" spans="1:45">
      <c r="A694" s="4">
        <f>IF(B694=" "," ",HYPERLINK(CONCATENATE("#metadata!",ADDRESS(INDEX($X$2:$X$1001,MATCH(ROWS($V$2:V694),$V$2:$V$1001,0),0),2)),INDEX($AA$2:$AA$1001,MATCH(ROWS($V$2:V694),$V$2:$V$1001,0),0)))</f>
        <v>0</v>
      </c>
      <c r="B694" s="5">
        <f>IF(OR(INDEX($W$2:$W$1001,MATCH(ROWS($V$2:V694),$V$2:$V$1001,0),1)&gt;=100000,INDEX($AC$1005:$AS$1005,1,MATCH(COLUMNS($AC$1006:AC1006),$AC$1006:$AS$1006,0))&gt;=100000), " ",IF(INDEX($AC$2:$AS$1001,MATCH(ROWS($V$2:V694),$V$2:$V$1001,0),MATCH(COLUMNS($AC$1006:AC1006),$AC$1006:$AS$1006,0)), HYPERLINK("#",""), HYPERLINK(CONCATENATE("#Metadata!", ADDRESS(INDEX($X$2:$X$1001,MATCH(ROWS($V$2:V694),$V$2:$V$1001,0),0), INDEX($AC$1004:$AS$1004,1,MATCH(COLUMNS($AC$1006:AC1006),$AC$1006:$AS$1006,0)))),"Fix")))</f>
        <v>0</v>
      </c>
      <c r="C694" s="5">
        <f>IF(OR(INDEX($W$2:$W$1001,MATCH(ROWS($V$2:V694),$V$2:$V$1001,0),1)&gt;=100000,INDEX($AC$1005:$AS$1005,1,MATCH(COLUMNS($AC$1006:AD1006),$AC$1006:$AS$1006,0))&gt;=100000), " ",IF(INDEX($AC$2:$AS$1001,MATCH(ROWS($V$2:V694),$V$2:$V$1001,0),MATCH(COLUMNS($AC$1006:AD1006),$AC$1006:$AS$1006,0)), HYPERLINK("#",""), HYPERLINK(CONCATENATE("#Metadata!", ADDRESS(INDEX($X$2:$X$1001,MATCH(ROWS($V$2:V694),$V$2:$V$1001,0),0), INDEX($AC$1004:$AS$1004,1,MATCH(COLUMNS($AC$1006:AD1006),$AC$1006:$AS$1006,0)))),"Fix")))</f>
        <v>0</v>
      </c>
      <c r="D694" s="5">
        <f>IF(OR(INDEX($W$2:$W$1001,MATCH(ROWS($V$2:V694),$V$2:$V$1001,0),1)&gt;=100000,INDEX($AC$1005:$AS$1005,1,MATCH(COLUMNS($AC$1006:AE1006),$AC$1006:$AS$1006,0))&gt;=100000), " ",IF(INDEX($AC$2:$AS$1001,MATCH(ROWS($V$2:V694),$V$2:$V$1001,0),MATCH(COLUMNS($AC$1006:AE1006),$AC$1006:$AS$1006,0)), HYPERLINK("#",""), HYPERLINK(CONCATENATE("#Metadata!", ADDRESS(INDEX($X$2:$X$1001,MATCH(ROWS($V$2:V694),$V$2:$V$1001,0),0), INDEX($AC$1004:$AS$1004,1,MATCH(COLUMNS($AC$1006:AE1006),$AC$1006:$AS$1006,0)))),"Fix")))</f>
        <v>0</v>
      </c>
      <c r="E694" s="5">
        <f>IF(OR(INDEX($W$2:$W$1001,MATCH(ROWS($V$2:V694),$V$2:$V$1001,0),1)&gt;=100000,INDEX($AC$1005:$AS$1005,1,MATCH(COLUMNS($AC$1006:AF1006),$AC$1006:$AS$1006,0))&gt;=100000), " ",IF(INDEX($AC$2:$AS$1001,MATCH(ROWS($V$2:V694),$V$2:$V$1001,0),MATCH(COLUMNS($AC$1006:AF1006),$AC$1006:$AS$1006,0)), HYPERLINK("#",""), HYPERLINK(CONCATENATE("#Metadata!", ADDRESS(INDEX($X$2:$X$1001,MATCH(ROWS($V$2:V694),$V$2:$V$1001,0),0), INDEX($AC$1004:$AS$1004,1,MATCH(COLUMNS($AC$1006:AF1006),$AC$1006:$AS$1006,0)))),"Fix")))</f>
        <v>0</v>
      </c>
      <c r="F694" s="5">
        <f>IF(OR(INDEX($W$2:$W$1001,MATCH(ROWS($V$2:V694),$V$2:$V$1001,0),1)&gt;=100000,INDEX($AC$1005:$AS$1005,1,MATCH(COLUMNS($AC$1006:AG1006),$AC$1006:$AS$1006,0))&gt;=100000), " ",IF(INDEX($AC$2:$AS$1001,MATCH(ROWS($V$2:V694),$V$2:$V$1001,0),MATCH(COLUMNS($AC$1006:AG1006),$AC$1006:$AS$1006,0)), HYPERLINK("#",""), HYPERLINK(CONCATENATE("#Metadata!", ADDRESS(INDEX($X$2:$X$1001,MATCH(ROWS($V$2:V694),$V$2:$V$1001,0),0), INDEX($AC$1004:$AS$1004,1,MATCH(COLUMNS($AC$1006:AG1006),$AC$1006:$AS$1006,0)))),"Fix")))</f>
        <v>0</v>
      </c>
      <c r="G694" s="5">
        <f>IF(OR(INDEX($W$2:$W$1001,MATCH(ROWS($V$2:V694),$V$2:$V$1001,0),1)&gt;=100000,INDEX($AC$1005:$AS$1005,1,MATCH(COLUMNS($AC$1006:AH1006),$AC$1006:$AS$1006,0))&gt;=100000), " ",IF(INDEX($AC$2:$AS$1001,MATCH(ROWS($V$2:V694),$V$2:$V$1001,0),MATCH(COLUMNS($AC$1006:AH1006),$AC$1006:$AS$1006,0)), HYPERLINK("#",""), HYPERLINK(CONCATENATE("#Metadata!", ADDRESS(INDEX($X$2:$X$1001,MATCH(ROWS($V$2:V694),$V$2:$V$1001,0),0), INDEX($AC$1004:$AS$1004,1,MATCH(COLUMNS($AC$1006:AH1006),$AC$1006:$AS$1006,0)))),"Fix")))</f>
        <v>0</v>
      </c>
      <c r="H694" s="5">
        <f>IF(OR(INDEX($W$2:$W$1001,MATCH(ROWS($V$2:V694),$V$2:$V$1001,0),1)&gt;=100000,INDEX($AC$1005:$AS$1005,1,MATCH(COLUMNS($AC$1006:AI1006),$AC$1006:$AS$1006,0))&gt;=100000), " ",IF(INDEX($AC$2:$AS$1001,MATCH(ROWS($V$2:V694),$V$2:$V$1001,0),MATCH(COLUMNS($AC$1006:AI1006),$AC$1006:$AS$1006,0)), HYPERLINK("#",""), HYPERLINK(CONCATENATE("#Metadata!", ADDRESS(INDEX($X$2:$X$1001,MATCH(ROWS($V$2:V694),$V$2:$V$1001,0),0), INDEX($AC$1004:$AS$1004,1,MATCH(COLUMNS($AC$1006:AI1006),$AC$1006:$AS$1006,0)))),"Fix")))</f>
        <v>0</v>
      </c>
      <c r="I694" s="5">
        <f>IF(OR(INDEX($W$2:$W$1001,MATCH(ROWS($V$2:V694),$V$2:$V$1001,0),1)&gt;=100000,INDEX($AC$1005:$AS$1005,1,MATCH(COLUMNS($AC$1006:AJ1006),$AC$1006:$AS$1006,0))&gt;=100000), " ",IF(INDEX($AC$2:$AS$1001,MATCH(ROWS($V$2:V694),$V$2:$V$1001,0),MATCH(COLUMNS($AC$1006:AJ1006),$AC$1006:$AS$1006,0)), HYPERLINK("#",""), HYPERLINK(CONCATENATE("#Metadata!", ADDRESS(INDEX($X$2:$X$1001,MATCH(ROWS($V$2:V694),$V$2:$V$1001,0),0), INDEX($AC$1004:$AS$1004,1,MATCH(COLUMNS($AC$1006:AJ1006),$AC$1006:$AS$1006,0)))),"Fix")))</f>
        <v>0</v>
      </c>
      <c r="J694" s="5">
        <f>IF(OR(INDEX($W$2:$W$1001,MATCH(ROWS($V$2:V694),$V$2:$V$1001,0),1)&gt;=100000,INDEX($AC$1005:$AS$1005,1,MATCH(COLUMNS($AC$1006:AK1006),$AC$1006:$AS$1006,0))&gt;=100000), " ",IF(INDEX($AC$2:$AS$1001,MATCH(ROWS($V$2:V694),$V$2:$V$1001,0),MATCH(COLUMNS($AC$1006:AK1006),$AC$1006:$AS$1006,0)), HYPERLINK("#",""), HYPERLINK(CONCATENATE("#Metadata!", ADDRESS(INDEX($X$2:$X$1001,MATCH(ROWS($V$2:V694),$V$2:$V$1001,0),0), INDEX($AC$1004:$AS$1004,1,MATCH(COLUMNS($AC$1006:AK1006),$AC$1006:$AS$1006,0)))),"Fix")))</f>
        <v>0</v>
      </c>
      <c r="K694" s="5">
        <f>IF(OR(INDEX($W$2:$W$1001,MATCH(ROWS($V$2:V694),$V$2:$V$1001,0),1)&gt;=100000,INDEX($AC$1005:$AS$1005,1,MATCH(COLUMNS($AC$1006:AL1006),$AC$1006:$AS$1006,0))&gt;=100000), " ",IF(INDEX($AC$2:$AS$1001,MATCH(ROWS($V$2:V694),$V$2:$V$1001,0),MATCH(COLUMNS($AC$1006:AL1006),$AC$1006:$AS$1006,0)), HYPERLINK("#",""), HYPERLINK(CONCATENATE("#Metadata!", ADDRESS(INDEX($X$2:$X$1001,MATCH(ROWS($V$2:V694),$V$2:$V$1001,0),0), INDEX($AC$1004:$AS$1004,1,MATCH(COLUMNS($AC$1006:AL1006),$AC$1006:$AS$1006,0)))),"Fix")))</f>
        <v>0</v>
      </c>
      <c r="L694" s="5">
        <f>IF(OR(INDEX($W$2:$W$1001,MATCH(ROWS($V$2:V694),$V$2:$V$1001,0),1)&gt;=100000,INDEX($AC$1005:$AS$1005,1,MATCH(COLUMNS($AC$1006:AM1006),$AC$1006:$AS$1006,0))&gt;=100000), " ",IF(INDEX($AC$2:$AS$1001,MATCH(ROWS($V$2:V694),$V$2:$V$1001,0),MATCH(COLUMNS($AC$1006:AM1006),$AC$1006:$AS$1006,0)), HYPERLINK("#",""), HYPERLINK(CONCATENATE("#Metadata!", ADDRESS(INDEX($X$2:$X$1001,MATCH(ROWS($V$2:V694),$V$2:$V$1001,0),0), INDEX($AC$1004:$AS$1004,1,MATCH(COLUMNS($AC$1006:AM1006),$AC$1006:$AS$1006,0)))),"Fix")))</f>
        <v>0</v>
      </c>
      <c r="M694" s="5">
        <f>IF(OR(INDEX($W$2:$W$1001,MATCH(ROWS($V$2:V694),$V$2:$V$1001,0),1)&gt;=100000,INDEX($AC$1005:$AS$1005,1,MATCH(COLUMNS($AC$1006:AN1006),$AC$1006:$AS$1006,0))&gt;=100000), " ",IF(INDEX($AC$2:$AS$1001,MATCH(ROWS($V$2:V694),$V$2:$V$1001,0),MATCH(COLUMNS($AC$1006:AN1006),$AC$1006:$AS$1006,0)), HYPERLINK("#",""), HYPERLINK(CONCATENATE("#Metadata!", ADDRESS(INDEX($X$2:$X$1001,MATCH(ROWS($V$2:V694),$V$2:$V$1001,0),0), INDEX($AC$1004:$AS$1004,1,MATCH(COLUMNS($AC$1006:AN1006),$AC$1006:$AS$1006,0)))),"Fix")))</f>
        <v>0</v>
      </c>
      <c r="N694" s="5">
        <f>IF(OR(INDEX($W$2:$W$1001,MATCH(ROWS($V$2:V694),$V$2:$V$1001,0),1)&gt;=100000,INDEX($AC$1005:$AS$1005,1,MATCH(COLUMNS($AC$1006:AO1006),$AC$1006:$AS$1006,0))&gt;=100000), " ",IF(INDEX($AC$2:$AS$1001,MATCH(ROWS($V$2:V694),$V$2:$V$1001,0),MATCH(COLUMNS($AC$1006:AO1006),$AC$1006:$AS$1006,0)), HYPERLINK("#",""), HYPERLINK(CONCATENATE("#Metadata!", ADDRESS(INDEX($X$2:$X$1001,MATCH(ROWS($V$2:V694),$V$2:$V$1001,0),0), INDEX($AC$1004:$AS$1004,1,MATCH(COLUMNS($AC$1006:AO1006),$AC$1006:$AS$1006,0)))),"Fix")))</f>
        <v>0</v>
      </c>
      <c r="O694" s="5">
        <f>IF(OR(INDEX($W$2:$W$1001,MATCH(ROWS($V$2:V694),$V$2:$V$1001,0),1)&gt;=100000,INDEX($AC$1005:$AS$1005,1,MATCH(COLUMNS($AC$1006:AP1006),$AC$1006:$AS$1006,0))&gt;=100000), " ",IF(INDEX($AC$2:$AS$1001,MATCH(ROWS($V$2:V694),$V$2:$V$1001,0),MATCH(COLUMNS($AC$1006:AP1006),$AC$1006:$AS$1006,0)), HYPERLINK("#",""), HYPERLINK(CONCATENATE("#Metadata!", ADDRESS(INDEX($X$2:$X$1001,MATCH(ROWS($V$2:V694),$V$2:$V$1001,0),0), INDEX($AC$1004:$AS$1004,1,MATCH(COLUMNS($AC$1006:AP1006),$AC$1006:$AS$1006,0)))),"Fix")))</f>
        <v>0</v>
      </c>
      <c r="P694" s="5">
        <f>IF(OR(INDEX($W$2:$W$1001,MATCH(ROWS($V$2:V694),$V$2:$V$1001,0),1)&gt;=100000,INDEX($AC$1005:$AS$1005,1,MATCH(COLUMNS($AC$1006:AQ1006),$AC$1006:$AS$1006,0))&gt;=100000), " ",IF(INDEX($AC$2:$AS$1001,MATCH(ROWS($V$2:V694),$V$2:$V$1001,0),MATCH(COLUMNS($AC$1006:AQ1006),$AC$1006:$AS$1006,0)), HYPERLINK("#",""), HYPERLINK(CONCATENATE("#Metadata!", ADDRESS(INDEX($X$2:$X$1001,MATCH(ROWS($V$2:V694),$V$2:$V$1001,0),0), INDEX($AC$1004:$AS$1004,1,MATCH(COLUMNS($AC$1006:AQ1006),$AC$1006:$AS$1006,0)))),"Fix")))</f>
        <v>0</v>
      </c>
      <c r="Q694" s="5">
        <f>IF(OR(INDEX($W$2:$W$1001,MATCH(ROWS($V$2:V694),$V$2:$V$1001,0),1)&gt;=100000,INDEX($AC$1005:$AS$1005,1,MATCH(COLUMNS($AC$1006:AR1006),$AC$1006:$AS$1006,0))&gt;=100000), " ",IF(INDEX($AC$2:$AS$1001,MATCH(ROWS($V$2:V694),$V$2:$V$1001,0),MATCH(COLUMNS($AC$1006:AR1006),$AC$1006:$AS$1006,0)), HYPERLINK("#",""), HYPERLINK(CONCATENATE("#Metadata!", ADDRESS(INDEX($X$2:$X$1001,MATCH(ROWS($V$2:V694),$V$2:$V$1001,0),0), INDEX($AC$1004:$AS$1004,1,MATCH(COLUMNS($AC$1006:AR1006),$AC$1006:$AS$1006,0)))),"Fix")))</f>
        <v>0</v>
      </c>
      <c r="R694" s="5">
        <f>IF(OR(INDEX($W$2:$W$1001,MATCH(ROWS($V$2:V694),$V$2:$V$1001,0),1)&gt;=100000,INDEX($AC$1005:$AS$1005,1,MATCH(COLUMNS($AC$1006:AS1006),$AC$1006:$AS$1006,0))&gt;=100000), " ",IF(INDEX($AC$2:$AS$1001,MATCH(ROWS($V$2:V694),$V$2:$V$1001,0),MATCH(COLUMNS($AC$1006:AS1006),$AC$1006:$AS$1006,0)), HYPERLINK("#",""), HYPERLINK(CONCATENATE("#Metadata!", ADDRESS(INDEX($X$2:$X$1001,MATCH(ROWS($V$2:V694),$V$2:$V$1001,0),0), INDEX($AC$1004:$AS$1004,1,MATCH(COLUMNS($AC$1006:AS1006),$AC$1006:$AS$1006,0)))),"Fix")))</f>
        <v>0</v>
      </c>
      <c r="V694">
        <v>0</v>
      </c>
      <c r="W694">
        <v>0</v>
      </c>
      <c r="X694">
        <v>0</v>
      </c>
      <c r="Y694">
        <f>IF(Z694,TRUE,AND(AC694:AS694))</f>
        <v>0</v>
      </c>
      <c r="Z694">
        <f>COUNTBLANK(Metadata!B694:R694)=COLUMNS(Metadata!B694:R694)</f>
        <v>0</v>
      </c>
      <c r="AA694">
        <v>0</v>
      </c>
      <c r="AC694">
        <f>AND(IF(Metadata!B694="",FALSE,TRUE),COUNTIF(Metadata!B:B, Metadata!B694) = 1,NOT(ISERROR(SUMPRODUCT(SEARCH(MID(Metadata!B694,ROW(INDIRECT("1:"&amp;LEN(Metadata!B694))), 1),"0123456789abcdefghijklmnopqrstuvwxyzABCDEFGHIJKLMNOPQRSTUVWXYZ.")))))</f>
        <v>0</v>
      </c>
      <c r="AD694">
        <f>AND(IF(Metadata!C694="",FALSE,TRUE),exact(Metadata!C694,"Host-associated"))</f>
        <v>0</v>
      </c>
      <c r="AE694">
        <f>AND(IF(Metadata!D694="",FALSE,TRUE),OR(exact(Metadata!D694,"Animal"),exact(Metadata!D694,"Fungus"),exact(Metadata!D694,"Plant")))</f>
        <v>0</v>
      </c>
      <c r="AF694">
        <f>AND(IF(Metadata!E694="",FALSE,TRUE),OR(exact(Metadata!E694,"Plant secretion"),exact(Metadata!E694,"Plant rhizosphere"),exact(Metadata!E694,"Plant surface"),exact(Metadata!E694,"Plant corpus"),exact(Metadata!E694,"Fungus surface"),exact(Metadata!E694,"Fungus corpus"),exact(Metadata!E694,"Animal surface"),exact(Metadata!E694,"Animal proximal gut"),exact(Metadata!E694,"Animal corpus"),exact(Metadata!E694,"Animal distal gut"),exact(Metadata!E694,"Animal secretion")))</f>
        <v>0</v>
      </c>
      <c r="AG694">
        <f>OR(AND(IF(Metadata!F694="",FALSE,TRUE),OR(exact(Metadata!F694,"not collected"),exact(Metadata!F694,"not provided"),exact(Metadata!F694,"restricted access"))),AND(IF(Metadata!F694="",FALSE,TRUE),OR(exact(Metadata!F694,"organism-associated habitat"),exact(Metadata!F694,"plant-associated habitat"),exact(Metadata!F694,"animal-associated habitat"),exact(Metadata!F694,"insecta-associated habitat"),exact(Metadata!F694,"mammalia-associated habitat"),exact(Metadata!F694,"human-associated habitat"),exact(Metadata!F694,"livestock-associated habitat"))))</f>
        <v>0</v>
      </c>
      <c r="AH694">
        <f>AND(IF(Metadata!G694="",FALSE,TRUE),exact(Metadata!G694,"host-associated"))</f>
        <v>0</v>
      </c>
      <c r="AI694">
        <f>OR(AND(IF(Metadata!H694="",FALSE,TRUE),OR(exact(Metadata!H694,"not collected"),exact(Metadata!H694,"not provided"))),AND(IF(Metadata!H694="",FALSE,ISNUMBER(VALUE(Metadata!H694))),Metadata!H694&gt;0))</f>
        <v>0</v>
      </c>
      <c r="AJ694">
        <f>AND(IF(Metadata!I694="",FALSE,TRUE),exact(Metadata!I694,"years"))</f>
        <v>0</v>
      </c>
      <c r="AK694">
        <f>IF(Metadata!J694="",FALSE,TRUE)</f>
        <v>0</v>
      </c>
      <c r="AL694">
        <f>OR(AND(IF(Metadata!K694="",FALSE,TRUE),OR(exact(Metadata!K694,"not collected"),exact(Metadata!K694,"not provided"))),AND(IF(Metadata!K694="",FALSE,ISNUMBER(VALUE(Metadata!K694))),Metadata!K694&gt;0))</f>
        <v>0</v>
      </c>
      <c r="AM694">
        <f>AND(IF(Metadata!L694="",FALSE,TRUE),exact(Metadata!L694,"cm"))</f>
        <v>0</v>
      </c>
      <c r="AN694">
        <f>IF(Metadata!M694="",FALSE,TRUE)</f>
        <v>0</v>
      </c>
      <c r="AO694">
        <f>OR(AND(IF(Metadata!N694="",FALSE,TRUE),OR(exact(Metadata!N694,"not applicable"),exact(Metadata!N694,"not collected"),exact(Metadata!N694,"not provided"))),AND(IF(Metadata!N694="",FALSE,IF(ISERROR(INT(Metadata!N694)),FALSE,INT(Metadata!N694)=Metadata!N694)),Metadata!N694&gt;0))</f>
        <v>0</v>
      </c>
      <c r="AP694">
        <f>OR(AND(IF(Metadata!O694="",FALSE,TRUE),OR(exact(Metadata!O694,"not collected"),exact(Metadata!O694,"not provided"))),AND(IF(Metadata!O694="",FALSE,ISNUMBER(VALUE(Metadata!O694))),Metadata!O694&gt;0))</f>
        <v>0</v>
      </c>
      <c r="AQ694">
        <f>AND(IF(Metadata!P694="",FALSE,TRUE),exact(Metadata!P694,"kg"))</f>
        <v>0</v>
      </c>
      <c r="AR694">
        <f>OR(AND(IF(Metadata!Q694="",FALSE,TRUE),OR(exact(Metadata!Q694,"not applicable"),exact(Metadata!Q694,"not collected"),exact(Metadata!Q694,"not provided"),exact(Metadata!Q694,"restricted access"))),IF(Metadata!Q694="",FALSE,IF(ISERROR(INT(Metadata!Q694)),FALSE,INT(Metadata!Q694)=Metadata!Q694)))</f>
        <v>0</v>
      </c>
      <c r="AS694">
        <f>AND(IF(Metadata!R694="",FALSE,TRUE),exact(Metadata!R694,"Not applicable"))</f>
        <v>0</v>
      </c>
    </row>
    <row r="695" spans="1:45">
      <c r="A695" s="4">
        <f>IF(B695=" "," ",HYPERLINK(CONCATENATE("#metadata!",ADDRESS(INDEX($X$2:$X$1001,MATCH(ROWS($V$2:V695),$V$2:$V$1001,0),0),2)),INDEX($AA$2:$AA$1001,MATCH(ROWS($V$2:V695),$V$2:$V$1001,0),0)))</f>
        <v>0</v>
      </c>
      <c r="B695" s="5">
        <f>IF(OR(INDEX($W$2:$W$1001,MATCH(ROWS($V$2:V695),$V$2:$V$1001,0),1)&gt;=100000,INDEX($AC$1005:$AS$1005,1,MATCH(COLUMNS($AC$1006:AC1006),$AC$1006:$AS$1006,0))&gt;=100000), " ",IF(INDEX($AC$2:$AS$1001,MATCH(ROWS($V$2:V695),$V$2:$V$1001,0),MATCH(COLUMNS($AC$1006:AC1006),$AC$1006:$AS$1006,0)), HYPERLINK("#",""), HYPERLINK(CONCATENATE("#Metadata!", ADDRESS(INDEX($X$2:$X$1001,MATCH(ROWS($V$2:V695),$V$2:$V$1001,0),0), INDEX($AC$1004:$AS$1004,1,MATCH(COLUMNS($AC$1006:AC1006),$AC$1006:$AS$1006,0)))),"Fix")))</f>
        <v>0</v>
      </c>
      <c r="C695" s="5">
        <f>IF(OR(INDEX($W$2:$W$1001,MATCH(ROWS($V$2:V695),$V$2:$V$1001,0),1)&gt;=100000,INDEX($AC$1005:$AS$1005,1,MATCH(COLUMNS($AC$1006:AD1006),$AC$1006:$AS$1006,0))&gt;=100000), " ",IF(INDEX($AC$2:$AS$1001,MATCH(ROWS($V$2:V695),$V$2:$V$1001,0),MATCH(COLUMNS($AC$1006:AD1006),$AC$1006:$AS$1006,0)), HYPERLINK("#",""), HYPERLINK(CONCATENATE("#Metadata!", ADDRESS(INDEX($X$2:$X$1001,MATCH(ROWS($V$2:V695),$V$2:$V$1001,0),0), INDEX($AC$1004:$AS$1004,1,MATCH(COLUMNS($AC$1006:AD1006),$AC$1006:$AS$1006,0)))),"Fix")))</f>
        <v>0</v>
      </c>
      <c r="D695" s="5">
        <f>IF(OR(INDEX($W$2:$W$1001,MATCH(ROWS($V$2:V695),$V$2:$V$1001,0),1)&gt;=100000,INDEX($AC$1005:$AS$1005,1,MATCH(COLUMNS($AC$1006:AE1006),$AC$1006:$AS$1006,0))&gt;=100000), " ",IF(INDEX($AC$2:$AS$1001,MATCH(ROWS($V$2:V695),$V$2:$V$1001,0),MATCH(COLUMNS($AC$1006:AE1006),$AC$1006:$AS$1006,0)), HYPERLINK("#",""), HYPERLINK(CONCATENATE("#Metadata!", ADDRESS(INDEX($X$2:$X$1001,MATCH(ROWS($V$2:V695),$V$2:$V$1001,0),0), INDEX($AC$1004:$AS$1004,1,MATCH(COLUMNS($AC$1006:AE1006),$AC$1006:$AS$1006,0)))),"Fix")))</f>
        <v>0</v>
      </c>
      <c r="E695" s="5">
        <f>IF(OR(INDEX($W$2:$W$1001,MATCH(ROWS($V$2:V695),$V$2:$V$1001,0),1)&gt;=100000,INDEX($AC$1005:$AS$1005,1,MATCH(COLUMNS($AC$1006:AF1006),$AC$1006:$AS$1006,0))&gt;=100000), " ",IF(INDEX($AC$2:$AS$1001,MATCH(ROWS($V$2:V695),$V$2:$V$1001,0),MATCH(COLUMNS($AC$1006:AF1006),$AC$1006:$AS$1006,0)), HYPERLINK("#",""), HYPERLINK(CONCATENATE("#Metadata!", ADDRESS(INDEX($X$2:$X$1001,MATCH(ROWS($V$2:V695),$V$2:$V$1001,0),0), INDEX($AC$1004:$AS$1004,1,MATCH(COLUMNS($AC$1006:AF1006),$AC$1006:$AS$1006,0)))),"Fix")))</f>
        <v>0</v>
      </c>
      <c r="F695" s="5">
        <f>IF(OR(INDEX($W$2:$W$1001,MATCH(ROWS($V$2:V695),$V$2:$V$1001,0),1)&gt;=100000,INDEX($AC$1005:$AS$1005,1,MATCH(COLUMNS($AC$1006:AG1006),$AC$1006:$AS$1006,0))&gt;=100000), " ",IF(INDEX($AC$2:$AS$1001,MATCH(ROWS($V$2:V695),$V$2:$V$1001,0),MATCH(COLUMNS($AC$1006:AG1006),$AC$1006:$AS$1006,0)), HYPERLINK("#",""), HYPERLINK(CONCATENATE("#Metadata!", ADDRESS(INDEX($X$2:$X$1001,MATCH(ROWS($V$2:V695),$V$2:$V$1001,0),0), INDEX($AC$1004:$AS$1004,1,MATCH(COLUMNS($AC$1006:AG1006),$AC$1006:$AS$1006,0)))),"Fix")))</f>
        <v>0</v>
      </c>
      <c r="G695" s="5">
        <f>IF(OR(INDEX($W$2:$W$1001,MATCH(ROWS($V$2:V695),$V$2:$V$1001,0),1)&gt;=100000,INDEX($AC$1005:$AS$1005,1,MATCH(COLUMNS($AC$1006:AH1006),$AC$1006:$AS$1006,0))&gt;=100000), " ",IF(INDEX($AC$2:$AS$1001,MATCH(ROWS($V$2:V695),$V$2:$V$1001,0),MATCH(COLUMNS($AC$1006:AH1006),$AC$1006:$AS$1006,0)), HYPERLINK("#",""), HYPERLINK(CONCATENATE("#Metadata!", ADDRESS(INDEX($X$2:$X$1001,MATCH(ROWS($V$2:V695),$V$2:$V$1001,0),0), INDEX($AC$1004:$AS$1004,1,MATCH(COLUMNS($AC$1006:AH1006),$AC$1006:$AS$1006,0)))),"Fix")))</f>
        <v>0</v>
      </c>
      <c r="H695" s="5">
        <f>IF(OR(INDEX($W$2:$W$1001,MATCH(ROWS($V$2:V695),$V$2:$V$1001,0),1)&gt;=100000,INDEX($AC$1005:$AS$1005,1,MATCH(COLUMNS($AC$1006:AI1006),$AC$1006:$AS$1006,0))&gt;=100000), " ",IF(INDEX($AC$2:$AS$1001,MATCH(ROWS($V$2:V695),$V$2:$V$1001,0),MATCH(COLUMNS($AC$1006:AI1006),$AC$1006:$AS$1006,0)), HYPERLINK("#",""), HYPERLINK(CONCATENATE("#Metadata!", ADDRESS(INDEX($X$2:$X$1001,MATCH(ROWS($V$2:V695),$V$2:$V$1001,0),0), INDEX($AC$1004:$AS$1004,1,MATCH(COLUMNS($AC$1006:AI1006),$AC$1006:$AS$1006,0)))),"Fix")))</f>
        <v>0</v>
      </c>
      <c r="I695" s="5">
        <f>IF(OR(INDEX($W$2:$W$1001,MATCH(ROWS($V$2:V695),$V$2:$V$1001,0),1)&gt;=100000,INDEX($AC$1005:$AS$1005,1,MATCH(COLUMNS($AC$1006:AJ1006),$AC$1006:$AS$1006,0))&gt;=100000), " ",IF(INDEX($AC$2:$AS$1001,MATCH(ROWS($V$2:V695),$V$2:$V$1001,0),MATCH(COLUMNS($AC$1006:AJ1006),$AC$1006:$AS$1006,0)), HYPERLINK("#",""), HYPERLINK(CONCATENATE("#Metadata!", ADDRESS(INDEX($X$2:$X$1001,MATCH(ROWS($V$2:V695),$V$2:$V$1001,0),0), INDEX($AC$1004:$AS$1004,1,MATCH(COLUMNS($AC$1006:AJ1006),$AC$1006:$AS$1006,0)))),"Fix")))</f>
        <v>0</v>
      </c>
      <c r="J695" s="5">
        <f>IF(OR(INDEX($W$2:$W$1001,MATCH(ROWS($V$2:V695),$V$2:$V$1001,0),1)&gt;=100000,INDEX($AC$1005:$AS$1005,1,MATCH(COLUMNS($AC$1006:AK1006),$AC$1006:$AS$1006,0))&gt;=100000), " ",IF(INDEX($AC$2:$AS$1001,MATCH(ROWS($V$2:V695),$V$2:$V$1001,0),MATCH(COLUMNS($AC$1006:AK1006),$AC$1006:$AS$1006,0)), HYPERLINK("#",""), HYPERLINK(CONCATENATE("#Metadata!", ADDRESS(INDEX($X$2:$X$1001,MATCH(ROWS($V$2:V695),$V$2:$V$1001,0),0), INDEX($AC$1004:$AS$1004,1,MATCH(COLUMNS($AC$1006:AK1006),$AC$1006:$AS$1006,0)))),"Fix")))</f>
        <v>0</v>
      </c>
      <c r="K695" s="5">
        <f>IF(OR(INDEX($W$2:$W$1001,MATCH(ROWS($V$2:V695),$V$2:$V$1001,0),1)&gt;=100000,INDEX($AC$1005:$AS$1005,1,MATCH(COLUMNS($AC$1006:AL1006),$AC$1006:$AS$1006,0))&gt;=100000), " ",IF(INDEX($AC$2:$AS$1001,MATCH(ROWS($V$2:V695),$V$2:$V$1001,0),MATCH(COLUMNS($AC$1006:AL1006),$AC$1006:$AS$1006,0)), HYPERLINK("#",""), HYPERLINK(CONCATENATE("#Metadata!", ADDRESS(INDEX($X$2:$X$1001,MATCH(ROWS($V$2:V695),$V$2:$V$1001,0),0), INDEX($AC$1004:$AS$1004,1,MATCH(COLUMNS($AC$1006:AL1006),$AC$1006:$AS$1006,0)))),"Fix")))</f>
        <v>0</v>
      </c>
      <c r="L695" s="5">
        <f>IF(OR(INDEX($W$2:$W$1001,MATCH(ROWS($V$2:V695),$V$2:$V$1001,0),1)&gt;=100000,INDEX($AC$1005:$AS$1005,1,MATCH(COLUMNS($AC$1006:AM1006),$AC$1006:$AS$1006,0))&gt;=100000), " ",IF(INDEX($AC$2:$AS$1001,MATCH(ROWS($V$2:V695),$V$2:$V$1001,0),MATCH(COLUMNS($AC$1006:AM1006),$AC$1006:$AS$1006,0)), HYPERLINK("#",""), HYPERLINK(CONCATENATE("#Metadata!", ADDRESS(INDEX($X$2:$X$1001,MATCH(ROWS($V$2:V695),$V$2:$V$1001,0),0), INDEX($AC$1004:$AS$1004,1,MATCH(COLUMNS($AC$1006:AM1006),$AC$1006:$AS$1006,0)))),"Fix")))</f>
        <v>0</v>
      </c>
      <c r="M695" s="5">
        <f>IF(OR(INDEX($W$2:$W$1001,MATCH(ROWS($V$2:V695),$V$2:$V$1001,0),1)&gt;=100000,INDEX($AC$1005:$AS$1005,1,MATCH(COLUMNS($AC$1006:AN1006),$AC$1006:$AS$1006,0))&gt;=100000), " ",IF(INDEX($AC$2:$AS$1001,MATCH(ROWS($V$2:V695),$V$2:$V$1001,0),MATCH(COLUMNS($AC$1006:AN1006),$AC$1006:$AS$1006,0)), HYPERLINK("#",""), HYPERLINK(CONCATENATE("#Metadata!", ADDRESS(INDEX($X$2:$X$1001,MATCH(ROWS($V$2:V695),$V$2:$V$1001,0),0), INDEX($AC$1004:$AS$1004,1,MATCH(COLUMNS($AC$1006:AN1006),$AC$1006:$AS$1006,0)))),"Fix")))</f>
        <v>0</v>
      </c>
      <c r="N695" s="5">
        <f>IF(OR(INDEX($W$2:$W$1001,MATCH(ROWS($V$2:V695),$V$2:$V$1001,0),1)&gt;=100000,INDEX($AC$1005:$AS$1005,1,MATCH(COLUMNS($AC$1006:AO1006),$AC$1006:$AS$1006,0))&gt;=100000), " ",IF(INDEX($AC$2:$AS$1001,MATCH(ROWS($V$2:V695),$V$2:$V$1001,0),MATCH(COLUMNS($AC$1006:AO1006),$AC$1006:$AS$1006,0)), HYPERLINK("#",""), HYPERLINK(CONCATENATE("#Metadata!", ADDRESS(INDEX($X$2:$X$1001,MATCH(ROWS($V$2:V695),$V$2:$V$1001,0),0), INDEX($AC$1004:$AS$1004,1,MATCH(COLUMNS($AC$1006:AO1006),$AC$1006:$AS$1006,0)))),"Fix")))</f>
        <v>0</v>
      </c>
      <c r="O695" s="5">
        <f>IF(OR(INDEX($W$2:$W$1001,MATCH(ROWS($V$2:V695),$V$2:$V$1001,0),1)&gt;=100000,INDEX($AC$1005:$AS$1005,1,MATCH(COLUMNS($AC$1006:AP1006),$AC$1006:$AS$1006,0))&gt;=100000), " ",IF(INDEX($AC$2:$AS$1001,MATCH(ROWS($V$2:V695),$V$2:$V$1001,0),MATCH(COLUMNS($AC$1006:AP1006),$AC$1006:$AS$1006,0)), HYPERLINK("#",""), HYPERLINK(CONCATENATE("#Metadata!", ADDRESS(INDEX($X$2:$X$1001,MATCH(ROWS($V$2:V695),$V$2:$V$1001,0),0), INDEX($AC$1004:$AS$1004,1,MATCH(COLUMNS($AC$1006:AP1006),$AC$1006:$AS$1006,0)))),"Fix")))</f>
        <v>0</v>
      </c>
      <c r="P695" s="5">
        <f>IF(OR(INDEX($W$2:$W$1001,MATCH(ROWS($V$2:V695),$V$2:$V$1001,0),1)&gt;=100000,INDEX($AC$1005:$AS$1005,1,MATCH(COLUMNS($AC$1006:AQ1006),$AC$1006:$AS$1006,0))&gt;=100000), " ",IF(INDEX($AC$2:$AS$1001,MATCH(ROWS($V$2:V695),$V$2:$V$1001,0),MATCH(COLUMNS($AC$1006:AQ1006),$AC$1006:$AS$1006,0)), HYPERLINK("#",""), HYPERLINK(CONCATENATE("#Metadata!", ADDRESS(INDEX($X$2:$X$1001,MATCH(ROWS($V$2:V695),$V$2:$V$1001,0),0), INDEX($AC$1004:$AS$1004,1,MATCH(COLUMNS($AC$1006:AQ1006),$AC$1006:$AS$1006,0)))),"Fix")))</f>
        <v>0</v>
      </c>
      <c r="Q695" s="5">
        <f>IF(OR(INDEX($W$2:$W$1001,MATCH(ROWS($V$2:V695),$V$2:$V$1001,0),1)&gt;=100000,INDEX($AC$1005:$AS$1005,1,MATCH(COLUMNS($AC$1006:AR1006),$AC$1006:$AS$1006,0))&gt;=100000), " ",IF(INDEX($AC$2:$AS$1001,MATCH(ROWS($V$2:V695),$V$2:$V$1001,0),MATCH(COLUMNS($AC$1006:AR1006),$AC$1006:$AS$1006,0)), HYPERLINK("#",""), HYPERLINK(CONCATENATE("#Metadata!", ADDRESS(INDEX($X$2:$X$1001,MATCH(ROWS($V$2:V695),$V$2:$V$1001,0),0), INDEX($AC$1004:$AS$1004,1,MATCH(COLUMNS($AC$1006:AR1006),$AC$1006:$AS$1006,0)))),"Fix")))</f>
        <v>0</v>
      </c>
      <c r="R695" s="5">
        <f>IF(OR(INDEX($W$2:$W$1001,MATCH(ROWS($V$2:V695),$V$2:$V$1001,0),1)&gt;=100000,INDEX($AC$1005:$AS$1005,1,MATCH(COLUMNS($AC$1006:AS1006),$AC$1006:$AS$1006,0))&gt;=100000), " ",IF(INDEX($AC$2:$AS$1001,MATCH(ROWS($V$2:V695),$V$2:$V$1001,0),MATCH(COLUMNS($AC$1006:AS1006),$AC$1006:$AS$1006,0)), HYPERLINK("#",""), HYPERLINK(CONCATENATE("#Metadata!", ADDRESS(INDEX($X$2:$X$1001,MATCH(ROWS($V$2:V695),$V$2:$V$1001,0),0), INDEX($AC$1004:$AS$1004,1,MATCH(COLUMNS($AC$1006:AS1006),$AC$1006:$AS$1006,0)))),"Fix")))</f>
        <v>0</v>
      </c>
      <c r="V695">
        <v>0</v>
      </c>
      <c r="W695">
        <v>0</v>
      </c>
      <c r="X695">
        <v>0</v>
      </c>
      <c r="Y695">
        <f>IF(Z695,TRUE,AND(AC695:AS695))</f>
        <v>0</v>
      </c>
      <c r="Z695">
        <f>COUNTBLANK(Metadata!B695:R695)=COLUMNS(Metadata!B695:R695)</f>
        <v>0</v>
      </c>
      <c r="AA695">
        <v>0</v>
      </c>
      <c r="AC695">
        <f>AND(IF(Metadata!B695="",FALSE,TRUE),COUNTIF(Metadata!B:B, Metadata!B695) = 1,NOT(ISERROR(SUMPRODUCT(SEARCH(MID(Metadata!B695,ROW(INDIRECT("1:"&amp;LEN(Metadata!B695))), 1),"0123456789abcdefghijklmnopqrstuvwxyzABCDEFGHIJKLMNOPQRSTUVWXYZ.")))))</f>
        <v>0</v>
      </c>
      <c r="AD695">
        <f>AND(IF(Metadata!C695="",FALSE,TRUE),exact(Metadata!C695,"Host-associated"))</f>
        <v>0</v>
      </c>
      <c r="AE695">
        <f>AND(IF(Metadata!D695="",FALSE,TRUE),OR(exact(Metadata!D695,"Animal"),exact(Metadata!D695,"Fungus"),exact(Metadata!D695,"Plant")))</f>
        <v>0</v>
      </c>
      <c r="AF695">
        <f>AND(IF(Metadata!E695="",FALSE,TRUE),OR(exact(Metadata!E695,"Plant secretion"),exact(Metadata!E695,"Plant rhizosphere"),exact(Metadata!E695,"Plant surface"),exact(Metadata!E695,"Plant corpus"),exact(Metadata!E695,"Fungus surface"),exact(Metadata!E695,"Fungus corpus"),exact(Metadata!E695,"Animal surface"),exact(Metadata!E695,"Animal proximal gut"),exact(Metadata!E695,"Animal corpus"),exact(Metadata!E695,"Animal distal gut"),exact(Metadata!E695,"Animal secretion")))</f>
        <v>0</v>
      </c>
      <c r="AG695">
        <f>OR(AND(IF(Metadata!F695="",FALSE,TRUE),OR(exact(Metadata!F695,"not collected"),exact(Metadata!F695,"not provided"),exact(Metadata!F695,"restricted access"))),AND(IF(Metadata!F695="",FALSE,TRUE),OR(exact(Metadata!F695,"organism-associated habitat"),exact(Metadata!F695,"plant-associated habitat"),exact(Metadata!F695,"animal-associated habitat"),exact(Metadata!F695,"insecta-associated habitat"),exact(Metadata!F695,"mammalia-associated habitat"),exact(Metadata!F695,"human-associated habitat"),exact(Metadata!F695,"livestock-associated habitat"))))</f>
        <v>0</v>
      </c>
      <c r="AH695">
        <f>AND(IF(Metadata!G695="",FALSE,TRUE),exact(Metadata!G695,"host-associated"))</f>
        <v>0</v>
      </c>
      <c r="AI695">
        <f>OR(AND(IF(Metadata!H695="",FALSE,TRUE),OR(exact(Metadata!H695,"not collected"),exact(Metadata!H695,"not provided"))),AND(IF(Metadata!H695="",FALSE,ISNUMBER(VALUE(Metadata!H695))),Metadata!H695&gt;0))</f>
        <v>0</v>
      </c>
      <c r="AJ695">
        <f>AND(IF(Metadata!I695="",FALSE,TRUE),exact(Metadata!I695,"years"))</f>
        <v>0</v>
      </c>
      <c r="AK695">
        <f>IF(Metadata!J695="",FALSE,TRUE)</f>
        <v>0</v>
      </c>
      <c r="AL695">
        <f>OR(AND(IF(Metadata!K695="",FALSE,TRUE),OR(exact(Metadata!K695,"not collected"),exact(Metadata!K695,"not provided"))),AND(IF(Metadata!K695="",FALSE,ISNUMBER(VALUE(Metadata!K695))),Metadata!K695&gt;0))</f>
        <v>0</v>
      </c>
      <c r="AM695">
        <f>AND(IF(Metadata!L695="",FALSE,TRUE),exact(Metadata!L695,"cm"))</f>
        <v>0</v>
      </c>
      <c r="AN695">
        <f>IF(Metadata!M695="",FALSE,TRUE)</f>
        <v>0</v>
      </c>
      <c r="AO695">
        <f>OR(AND(IF(Metadata!N695="",FALSE,TRUE),OR(exact(Metadata!N695,"not applicable"),exact(Metadata!N695,"not collected"),exact(Metadata!N695,"not provided"))),AND(IF(Metadata!N695="",FALSE,IF(ISERROR(INT(Metadata!N695)),FALSE,INT(Metadata!N695)=Metadata!N695)),Metadata!N695&gt;0))</f>
        <v>0</v>
      </c>
      <c r="AP695">
        <f>OR(AND(IF(Metadata!O695="",FALSE,TRUE),OR(exact(Metadata!O695,"not collected"),exact(Metadata!O695,"not provided"))),AND(IF(Metadata!O695="",FALSE,ISNUMBER(VALUE(Metadata!O695))),Metadata!O695&gt;0))</f>
        <v>0</v>
      </c>
      <c r="AQ695">
        <f>AND(IF(Metadata!P695="",FALSE,TRUE),exact(Metadata!P695,"kg"))</f>
        <v>0</v>
      </c>
      <c r="AR695">
        <f>OR(AND(IF(Metadata!Q695="",FALSE,TRUE),OR(exact(Metadata!Q695,"not applicable"),exact(Metadata!Q695,"not collected"),exact(Metadata!Q695,"not provided"),exact(Metadata!Q695,"restricted access"))),IF(Metadata!Q695="",FALSE,IF(ISERROR(INT(Metadata!Q695)),FALSE,INT(Metadata!Q695)=Metadata!Q695)))</f>
        <v>0</v>
      </c>
      <c r="AS695">
        <f>AND(IF(Metadata!R695="",FALSE,TRUE),exact(Metadata!R695,"Not applicable"))</f>
        <v>0</v>
      </c>
    </row>
    <row r="696" spans="1:45">
      <c r="A696" s="4">
        <f>IF(B696=" "," ",HYPERLINK(CONCATENATE("#metadata!",ADDRESS(INDEX($X$2:$X$1001,MATCH(ROWS($V$2:V696),$V$2:$V$1001,0),0),2)),INDEX($AA$2:$AA$1001,MATCH(ROWS($V$2:V696),$V$2:$V$1001,0),0)))</f>
        <v>0</v>
      </c>
      <c r="B696" s="5">
        <f>IF(OR(INDEX($W$2:$W$1001,MATCH(ROWS($V$2:V696),$V$2:$V$1001,0),1)&gt;=100000,INDEX($AC$1005:$AS$1005,1,MATCH(COLUMNS($AC$1006:AC1006),$AC$1006:$AS$1006,0))&gt;=100000), " ",IF(INDEX($AC$2:$AS$1001,MATCH(ROWS($V$2:V696),$V$2:$V$1001,0),MATCH(COLUMNS($AC$1006:AC1006),$AC$1006:$AS$1006,0)), HYPERLINK("#",""), HYPERLINK(CONCATENATE("#Metadata!", ADDRESS(INDEX($X$2:$X$1001,MATCH(ROWS($V$2:V696),$V$2:$V$1001,0),0), INDEX($AC$1004:$AS$1004,1,MATCH(COLUMNS($AC$1006:AC1006),$AC$1006:$AS$1006,0)))),"Fix")))</f>
        <v>0</v>
      </c>
      <c r="C696" s="5">
        <f>IF(OR(INDEX($W$2:$W$1001,MATCH(ROWS($V$2:V696),$V$2:$V$1001,0),1)&gt;=100000,INDEX($AC$1005:$AS$1005,1,MATCH(COLUMNS($AC$1006:AD1006),$AC$1006:$AS$1006,0))&gt;=100000), " ",IF(INDEX($AC$2:$AS$1001,MATCH(ROWS($V$2:V696),$V$2:$V$1001,0),MATCH(COLUMNS($AC$1006:AD1006),$AC$1006:$AS$1006,0)), HYPERLINK("#",""), HYPERLINK(CONCATENATE("#Metadata!", ADDRESS(INDEX($X$2:$X$1001,MATCH(ROWS($V$2:V696),$V$2:$V$1001,0),0), INDEX($AC$1004:$AS$1004,1,MATCH(COLUMNS($AC$1006:AD1006),$AC$1006:$AS$1006,0)))),"Fix")))</f>
        <v>0</v>
      </c>
      <c r="D696" s="5">
        <f>IF(OR(INDEX($W$2:$W$1001,MATCH(ROWS($V$2:V696),$V$2:$V$1001,0),1)&gt;=100000,INDEX($AC$1005:$AS$1005,1,MATCH(COLUMNS($AC$1006:AE1006),$AC$1006:$AS$1006,0))&gt;=100000), " ",IF(INDEX($AC$2:$AS$1001,MATCH(ROWS($V$2:V696),$V$2:$V$1001,0),MATCH(COLUMNS($AC$1006:AE1006),$AC$1006:$AS$1006,0)), HYPERLINK("#",""), HYPERLINK(CONCATENATE("#Metadata!", ADDRESS(INDEX($X$2:$X$1001,MATCH(ROWS($V$2:V696),$V$2:$V$1001,0),0), INDEX($AC$1004:$AS$1004,1,MATCH(COLUMNS($AC$1006:AE1006),$AC$1006:$AS$1006,0)))),"Fix")))</f>
        <v>0</v>
      </c>
      <c r="E696" s="5">
        <f>IF(OR(INDEX($W$2:$W$1001,MATCH(ROWS($V$2:V696),$V$2:$V$1001,0),1)&gt;=100000,INDEX($AC$1005:$AS$1005,1,MATCH(COLUMNS($AC$1006:AF1006),$AC$1006:$AS$1006,0))&gt;=100000), " ",IF(INDEX($AC$2:$AS$1001,MATCH(ROWS($V$2:V696),$V$2:$V$1001,0),MATCH(COLUMNS($AC$1006:AF1006),$AC$1006:$AS$1006,0)), HYPERLINK("#",""), HYPERLINK(CONCATENATE("#Metadata!", ADDRESS(INDEX($X$2:$X$1001,MATCH(ROWS($V$2:V696),$V$2:$V$1001,0),0), INDEX($AC$1004:$AS$1004,1,MATCH(COLUMNS($AC$1006:AF1006),$AC$1006:$AS$1006,0)))),"Fix")))</f>
        <v>0</v>
      </c>
      <c r="F696" s="5">
        <f>IF(OR(INDEX($W$2:$W$1001,MATCH(ROWS($V$2:V696),$V$2:$V$1001,0),1)&gt;=100000,INDEX($AC$1005:$AS$1005,1,MATCH(COLUMNS($AC$1006:AG1006),$AC$1006:$AS$1006,0))&gt;=100000), " ",IF(INDEX($AC$2:$AS$1001,MATCH(ROWS($V$2:V696),$V$2:$V$1001,0),MATCH(COLUMNS($AC$1006:AG1006),$AC$1006:$AS$1006,0)), HYPERLINK("#",""), HYPERLINK(CONCATENATE("#Metadata!", ADDRESS(INDEX($X$2:$X$1001,MATCH(ROWS($V$2:V696),$V$2:$V$1001,0),0), INDEX($AC$1004:$AS$1004,1,MATCH(COLUMNS($AC$1006:AG1006),$AC$1006:$AS$1006,0)))),"Fix")))</f>
        <v>0</v>
      </c>
      <c r="G696" s="5">
        <f>IF(OR(INDEX($W$2:$W$1001,MATCH(ROWS($V$2:V696),$V$2:$V$1001,0),1)&gt;=100000,INDEX($AC$1005:$AS$1005,1,MATCH(COLUMNS($AC$1006:AH1006),$AC$1006:$AS$1006,0))&gt;=100000), " ",IF(INDEX($AC$2:$AS$1001,MATCH(ROWS($V$2:V696),$V$2:$V$1001,0),MATCH(COLUMNS($AC$1006:AH1006),$AC$1006:$AS$1006,0)), HYPERLINK("#",""), HYPERLINK(CONCATENATE("#Metadata!", ADDRESS(INDEX($X$2:$X$1001,MATCH(ROWS($V$2:V696),$V$2:$V$1001,0),0), INDEX($AC$1004:$AS$1004,1,MATCH(COLUMNS($AC$1006:AH1006),$AC$1006:$AS$1006,0)))),"Fix")))</f>
        <v>0</v>
      </c>
      <c r="H696" s="5">
        <f>IF(OR(INDEX($W$2:$W$1001,MATCH(ROWS($V$2:V696),$V$2:$V$1001,0),1)&gt;=100000,INDEX($AC$1005:$AS$1005,1,MATCH(COLUMNS($AC$1006:AI1006),$AC$1006:$AS$1006,0))&gt;=100000), " ",IF(INDEX($AC$2:$AS$1001,MATCH(ROWS($V$2:V696),$V$2:$V$1001,0),MATCH(COLUMNS($AC$1006:AI1006),$AC$1006:$AS$1006,0)), HYPERLINK("#",""), HYPERLINK(CONCATENATE("#Metadata!", ADDRESS(INDEX($X$2:$X$1001,MATCH(ROWS($V$2:V696),$V$2:$V$1001,0),0), INDEX($AC$1004:$AS$1004,1,MATCH(COLUMNS($AC$1006:AI1006),$AC$1006:$AS$1006,0)))),"Fix")))</f>
        <v>0</v>
      </c>
      <c r="I696" s="5">
        <f>IF(OR(INDEX($W$2:$W$1001,MATCH(ROWS($V$2:V696),$V$2:$V$1001,0),1)&gt;=100000,INDEX($AC$1005:$AS$1005,1,MATCH(COLUMNS($AC$1006:AJ1006),$AC$1006:$AS$1006,0))&gt;=100000), " ",IF(INDEX($AC$2:$AS$1001,MATCH(ROWS($V$2:V696),$V$2:$V$1001,0),MATCH(COLUMNS($AC$1006:AJ1006),$AC$1006:$AS$1006,0)), HYPERLINK("#",""), HYPERLINK(CONCATENATE("#Metadata!", ADDRESS(INDEX($X$2:$X$1001,MATCH(ROWS($V$2:V696),$V$2:$V$1001,0),0), INDEX($AC$1004:$AS$1004,1,MATCH(COLUMNS($AC$1006:AJ1006),$AC$1006:$AS$1006,0)))),"Fix")))</f>
        <v>0</v>
      </c>
      <c r="J696" s="5">
        <f>IF(OR(INDEX($W$2:$W$1001,MATCH(ROWS($V$2:V696),$V$2:$V$1001,0),1)&gt;=100000,INDEX($AC$1005:$AS$1005,1,MATCH(COLUMNS($AC$1006:AK1006),$AC$1006:$AS$1006,0))&gt;=100000), " ",IF(INDEX($AC$2:$AS$1001,MATCH(ROWS($V$2:V696),$V$2:$V$1001,0),MATCH(COLUMNS($AC$1006:AK1006),$AC$1006:$AS$1006,0)), HYPERLINK("#",""), HYPERLINK(CONCATENATE("#Metadata!", ADDRESS(INDEX($X$2:$X$1001,MATCH(ROWS($V$2:V696),$V$2:$V$1001,0),0), INDEX($AC$1004:$AS$1004,1,MATCH(COLUMNS($AC$1006:AK1006),$AC$1006:$AS$1006,0)))),"Fix")))</f>
        <v>0</v>
      </c>
      <c r="K696" s="5">
        <f>IF(OR(INDEX($W$2:$W$1001,MATCH(ROWS($V$2:V696),$V$2:$V$1001,0),1)&gt;=100000,INDEX($AC$1005:$AS$1005,1,MATCH(COLUMNS($AC$1006:AL1006),$AC$1006:$AS$1006,0))&gt;=100000), " ",IF(INDEX($AC$2:$AS$1001,MATCH(ROWS($V$2:V696),$V$2:$V$1001,0),MATCH(COLUMNS($AC$1006:AL1006),$AC$1006:$AS$1006,0)), HYPERLINK("#",""), HYPERLINK(CONCATENATE("#Metadata!", ADDRESS(INDEX($X$2:$X$1001,MATCH(ROWS($V$2:V696),$V$2:$V$1001,0),0), INDEX($AC$1004:$AS$1004,1,MATCH(COLUMNS($AC$1006:AL1006),$AC$1006:$AS$1006,0)))),"Fix")))</f>
        <v>0</v>
      </c>
      <c r="L696" s="5">
        <f>IF(OR(INDEX($W$2:$W$1001,MATCH(ROWS($V$2:V696),$V$2:$V$1001,0),1)&gt;=100000,INDEX($AC$1005:$AS$1005,1,MATCH(COLUMNS($AC$1006:AM1006),$AC$1006:$AS$1006,0))&gt;=100000), " ",IF(INDEX($AC$2:$AS$1001,MATCH(ROWS($V$2:V696),$V$2:$V$1001,0),MATCH(COLUMNS($AC$1006:AM1006),$AC$1006:$AS$1006,0)), HYPERLINK("#",""), HYPERLINK(CONCATENATE("#Metadata!", ADDRESS(INDEX($X$2:$X$1001,MATCH(ROWS($V$2:V696),$V$2:$V$1001,0),0), INDEX($AC$1004:$AS$1004,1,MATCH(COLUMNS($AC$1006:AM1006),$AC$1006:$AS$1006,0)))),"Fix")))</f>
        <v>0</v>
      </c>
      <c r="M696" s="5">
        <f>IF(OR(INDEX($W$2:$W$1001,MATCH(ROWS($V$2:V696),$V$2:$V$1001,0),1)&gt;=100000,INDEX($AC$1005:$AS$1005,1,MATCH(COLUMNS($AC$1006:AN1006),$AC$1006:$AS$1006,0))&gt;=100000), " ",IF(INDEX($AC$2:$AS$1001,MATCH(ROWS($V$2:V696),$V$2:$V$1001,0),MATCH(COLUMNS($AC$1006:AN1006),$AC$1006:$AS$1006,0)), HYPERLINK("#",""), HYPERLINK(CONCATENATE("#Metadata!", ADDRESS(INDEX($X$2:$X$1001,MATCH(ROWS($V$2:V696),$V$2:$V$1001,0),0), INDEX($AC$1004:$AS$1004,1,MATCH(COLUMNS($AC$1006:AN1006),$AC$1006:$AS$1006,0)))),"Fix")))</f>
        <v>0</v>
      </c>
      <c r="N696" s="5">
        <f>IF(OR(INDEX($W$2:$W$1001,MATCH(ROWS($V$2:V696),$V$2:$V$1001,0),1)&gt;=100000,INDEX($AC$1005:$AS$1005,1,MATCH(COLUMNS($AC$1006:AO1006),$AC$1006:$AS$1006,0))&gt;=100000), " ",IF(INDEX($AC$2:$AS$1001,MATCH(ROWS($V$2:V696),$V$2:$V$1001,0),MATCH(COLUMNS($AC$1006:AO1006),$AC$1006:$AS$1006,0)), HYPERLINK("#",""), HYPERLINK(CONCATENATE("#Metadata!", ADDRESS(INDEX($X$2:$X$1001,MATCH(ROWS($V$2:V696),$V$2:$V$1001,0),0), INDEX($AC$1004:$AS$1004,1,MATCH(COLUMNS($AC$1006:AO1006),$AC$1006:$AS$1006,0)))),"Fix")))</f>
        <v>0</v>
      </c>
      <c r="O696" s="5">
        <f>IF(OR(INDEX($W$2:$W$1001,MATCH(ROWS($V$2:V696),$V$2:$V$1001,0),1)&gt;=100000,INDEX($AC$1005:$AS$1005,1,MATCH(COLUMNS($AC$1006:AP1006),$AC$1006:$AS$1006,0))&gt;=100000), " ",IF(INDEX($AC$2:$AS$1001,MATCH(ROWS($V$2:V696),$V$2:$V$1001,0),MATCH(COLUMNS($AC$1006:AP1006),$AC$1006:$AS$1006,0)), HYPERLINK("#",""), HYPERLINK(CONCATENATE("#Metadata!", ADDRESS(INDEX($X$2:$X$1001,MATCH(ROWS($V$2:V696),$V$2:$V$1001,0),0), INDEX($AC$1004:$AS$1004,1,MATCH(COLUMNS($AC$1006:AP1006),$AC$1006:$AS$1006,0)))),"Fix")))</f>
        <v>0</v>
      </c>
      <c r="P696" s="5">
        <f>IF(OR(INDEX($W$2:$W$1001,MATCH(ROWS($V$2:V696),$V$2:$V$1001,0),1)&gt;=100000,INDEX($AC$1005:$AS$1005,1,MATCH(COLUMNS($AC$1006:AQ1006),$AC$1006:$AS$1006,0))&gt;=100000), " ",IF(INDEX($AC$2:$AS$1001,MATCH(ROWS($V$2:V696),$V$2:$V$1001,0),MATCH(COLUMNS($AC$1006:AQ1006),$AC$1006:$AS$1006,0)), HYPERLINK("#",""), HYPERLINK(CONCATENATE("#Metadata!", ADDRESS(INDEX($X$2:$X$1001,MATCH(ROWS($V$2:V696),$V$2:$V$1001,0),0), INDEX($AC$1004:$AS$1004,1,MATCH(COLUMNS($AC$1006:AQ1006),$AC$1006:$AS$1006,0)))),"Fix")))</f>
        <v>0</v>
      </c>
      <c r="Q696" s="5">
        <f>IF(OR(INDEX($W$2:$W$1001,MATCH(ROWS($V$2:V696),$V$2:$V$1001,0),1)&gt;=100000,INDEX($AC$1005:$AS$1005,1,MATCH(COLUMNS($AC$1006:AR1006),$AC$1006:$AS$1006,0))&gt;=100000), " ",IF(INDEX($AC$2:$AS$1001,MATCH(ROWS($V$2:V696),$V$2:$V$1001,0),MATCH(COLUMNS($AC$1006:AR1006),$AC$1006:$AS$1006,0)), HYPERLINK("#",""), HYPERLINK(CONCATENATE("#Metadata!", ADDRESS(INDEX($X$2:$X$1001,MATCH(ROWS($V$2:V696),$V$2:$V$1001,0),0), INDEX($AC$1004:$AS$1004,1,MATCH(COLUMNS($AC$1006:AR1006),$AC$1006:$AS$1006,0)))),"Fix")))</f>
        <v>0</v>
      </c>
      <c r="R696" s="5">
        <f>IF(OR(INDEX($W$2:$W$1001,MATCH(ROWS($V$2:V696),$V$2:$V$1001,0),1)&gt;=100000,INDEX($AC$1005:$AS$1005,1,MATCH(COLUMNS($AC$1006:AS1006),$AC$1006:$AS$1006,0))&gt;=100000), " ",IF(INDEX($AC$2:$AS$1001,MATCH(ROWS($V$2:V696),$V$2:$V$1001,0),MATCH(COLUMNS($AC$1006:AS1006),$AC$1006:$AS$1006,0)), HYPERLINK("#",""), HYPERLINK(CONCATENATE("#Metadata!", ADDRESS(INDEX($X$2:$X$1001,MATCH(ROWS($V$2:V696),$V$2:$V$1001,0),0), INDEX($AC$1004:$AS$1004,1,MATCH(COLUMNS($AC$1006:AS1006),$AC$1006:$AS$1006,0)))),"Fix")))</f>
        <v>0</v>
      </c>
      <c r="V696">
        <v>0</v>
      </c>
      <c r="W696">
        <v>0</v>
      </c>
      <c r="X696">
        <v>0</v>
      </c>
      <c r="Y696">
        <f>IF(Z696,TRUE,AND(AC696:AS696))</f>
        <v>0</v>
      </c>
      <c r="Z696">
        <f>COUNTBLANK(Metadata!B696:R696)=COLUMNS(Metadata!B696:R696)</f>
        <v>0</v>
      </c>
      <c r="AA696">
        <v>0</v>
      </c>
      <c r="AC696">
        <f>AND(IF(Metadata!B696="",FALSE,TRUE),COUNTIF(Metadata!B:B, Metadata!B696) = 1,NOT(ISERROR(SUMPRODUCT(SEARCH(MID(Metadata!B696,ROW(INDIRECT("1:"&amp;LEN(Metadata!B696))), 1),"0123456789abcdefghijklmnopqrstuvwxyzABCDEFGHIJKLMNOPQRSTUVWXYZ.")))))</f>
        <v>0</v>
      </c>
      <c r="AD696">
        <f>AND(IF(Metadata!C696="",FALSE,TRUE),exact(Metadata!C696,"Host-associated"))</f>
        <v>0</v>
      </c>
      <c r="AE696">
        <f>AND(IF(Metadata!D696="",FALSE,TRUE),OR(exact(Metadata!D696,"Animal"),exact(Metadata!D696,"Fungus"),exact(Metadata!D696,"Plant")))</f>
        <v>0</v>
      </c>
      <c r="AF696">
        <f>AND(IF(Metadata!E696="",FALSE,TRUE),OR(exact(Metadata!E696,"Plant secretion"),exact(Metadata!E696,"Plant rhizosphere"),exact(Metadata!E696,"Plant surface"),exact(Metadata!E696,"Plant corpus"),exact(Metadata!E696,"Fungus surface"),exact(Metadata!E696,"Fungus corpus"),exact(Metadata!E696,"Animal surface"),exact(Metadata!E696,"Animal proximal gut"),exact(Metadata!E696,"Animal corpus"),exact(Metadata!E696,"Animal distal gut"),exact(Metadata!E696,"Animal secretion")))</f>
        <v>0</v>
      </c>
      <c r="AG696">
        <f>OR(AND(IF(Metadata!F696="",FALSE,TRUE),OR(exact(Metadata!F696,"not collected"),exact(Metadata!F696,"not provided"),exact(Metadata!F696,"restricted access"))),AND(IF(Metadata!F696="",FALSE,TRUE),OR(exact(Metadata!F696,"organism-associated habitat"),exact(Metadata!F696,"plant-associated habitat"),exact(Metadata!F696,"animal-associated habitat"),exact(Metadata!F696,"insecta-associated habitat"),exact(Metadata!F696,"mammalia-associated habitat"),exact(Metadata!F696,"human-associated habitat"),exact(Metadata!F696,"livestock-associated habitat"))))</f>
        <v>0</v>
      </c>
      <c r="AH696">
        <f>AND(IF(Metadata!G696="",FALSE,TRUE),exact(Metadata!G696,"host-associated"))</f>
        <v>0</v>
      </c>
      <c r="AI696">
        <f>OR(AND(IF(Metadata!H696="",FALSE,TRUE),OR(exact(Metadata!H696,"not collected"),exact(Metadata!H696,"not provided"))),AND(IF(Metadata!H696="",FALSE,ISNUMBER(VALUE(Metadata!H696))),Metadata!H696&gt;0))</f>
        <v>0</v>
      </c>
      <c r="AJ696">
        <f>AND(IF(Metadata!I696="",FALSE,TRUE),exact(Metadata!I696,"years"))</f>
        <v>0</v>
      </c>
      <c r="AK696">
        <f>IF(Metadata!J696="",FALSE,TRUE)</f>
        <v>0</v>
      </c>
      <c r="AL696">
        <f>OR(AND(IF(Metadata!K696="",FALSE,TRUE),OR(exact(Metadata!K696,"not collected"),exact(Metadata!K696,"not provided"))),AND(IF(Metadata!K696="",FALSE,ISNUMBER(VALUE(Metadata!K696))),Metadata!K696&gt;0))</f>
        <v>0</v>
      </c>
      <c r="AM696">
        <f>AND(IF(Metadata!L696="",FALSE,TRUE),exact(Metadata!L696,"cm"))</f>
        <v>0</v>
      </c>
      <c r="AN696">
        <f>IF(Metadata!M696="",FALSE,TRUE)</f>
        <v>0</v>
      </c>
      <c r="AO696">
        <f>OR(AND(IF(Metadata!N696="",FALSE,TRUE),OR(exact(Metadata!N696,"not applicable"),exact(Metadata!N696,"not collected"),exact(Metadata!N696,"not provided"))),AND(IF(Metadata!N696="",FALSE,IF(ISERROR(INT(Metadata!N696)),FALSE,INT(Metadata!N696)=Metadata!N696)),Metadata!N696&gt;0))</f>
        <v>0</v>
      </c>
      <c r="AP696">
        <f>OR(AND(IF(Metadata!O696="",FALSE,TRUE),OR(exact(Metadata!O696,"not collected"),exact(Metadata!O696,"not provided"))),AND(IF(Metadata!O696="",FALSE,ISNUMBER(VALUE(Metadata!O696))),Metadata!O696&gt;0))</f>
        <v>0</v>
      </c>
      <c r="AQ696">
        <f>AND(IF(Metadata!P696="",FALSE,TRUE),exact(Metadata!P696,"kg"))</f>
        <v>0</v>
      </c>
      <c r="AR696">
        <f>OR(AND(IF(Metadata!Q696="",FALSE,TRUE),OR(exact(Metadata!Q696,"not applicable"),exact(Metadata!Q696,"not collected"),exact(Metadata!Q696,"not provided"),exact(Metadata!Q696,"restricted access"))),IF(Metadata!Q696="",FALSE,IF(ISERROR(INT(Metadata!Q696)),FALSE,INT(Metadata!Q696)=Metadata!Q696)))</f>
        <v>0</v>
      </c>
      <c r="AS696">
        <f>AND(IF(Metadata!R696="",FALSE,TRUE),exact(Metadata!R696,"Not applicable"))</f>
        <v>0</v>
      </c>
    </row>
    <row r="697" spans="1:45">
      <c r="A697" s="4">
        <f>IF(B697=" "," ",HYPERLINK(CONCATENATE("#metadata!",ADDRESS(INDEX($X$2:$X$1001,MATCH(ROWS($V$2:V697),$V$2:$V$1001,0),0),2)),INDEX($AA$2:$AA$1001,MATCH(ROWS($V$2:V697),$V$2:$V$1001,0),0)))</f>
        <v>0</v>
      </c>
      <c r="B697" s="5">
        <f>IF(OR(INDEX($W$2:$W$1001,MATCH(ROWS($V$2:V697),$V$2:$V$1001,0),1)&gt;=100000,INDEX($AC$1005:$AS$1005,1,MATCH(COLUMNS($AC$1006:AC1006),$AC$1006:$AS$1006,0))&gt;=100000), " ",IF(INDEX($AC$2:$AS$1001,MATCH(ROWS($V$2:V697),$V$2:$V$1001,0),MATCH(COLUMNS($AC$1006:AC1006),$AC$1006:$AS$1006,0)), HYPERLINK("#",""), HYPERLINK(CONCATENATE("#Metadata!", ADDRESS(INDEX($X$2:$X$1001,MATCH(ROWS($V$2:V697),$V$2:$V$1001,0),0), INDEX($AC$1004:$AS$1004,1,MATCH(COLUMNS($AC$1006:AC1006),$AC$1006:$AS$1006,0)))),"Fix")))</f>
        <v>0</v>
      </c>
      <c r="C697" s="5">
        <f>IF(OR(INDEX($W$2:$W$1001,MATCH(ROWS($V$2:V697),$V$2:$V$1001,0),1)&gt;=100000,INDEX($AC$1005:$AS$1005,1,MATCH(COLUMNS($AC$1006:AD1006),$AC$1006:$AS$1006,0))&gt;=100000), " ",IF(INDEX($AC$2:$AS$1001,MATCH(ROWS($V$2:V697),$V$2:$V$1001,0),MATCH(COLUMNS($AC$1006:AD1006),$AC$1006:$AS$1006,0)), HYPERLINK("#",""), HYPERLINK(CONCATENATE("#Metadata!", ADDRESS(INDEX($X$2:$X$1001,MATCH(ROWS($V$2:V697),$V$2:$V$1001,0),0), INDEX($AC$1004:$AS$1004,1,MATCH(COLUMNS($AC$1006:AD1006),$AC$1006:$AS$1006,0)))),"Fix")))</f>
        <v>0</v>
      </c>
      <c r="D697" s="5">
        <f>IF(OR(INDEX($W$2:$W$1001,MATCH(ROWS($V$2:V697),$V$2:$V$1001,0),1)&gt;=100000,INDEX($AC$1005:$AS$1005,1,MATCH(COLUMNS($AC$1006:AE1006),$AC$1006:$AS$1006,0))&gt;=100000), " ",IF(INDEX($AC$2:$AS$1001,MATCH(ROWS($V$2:V697),$V$2:$V$1001,0),MATCH(COLUMNS($AC$1006:AE1006),$AC$1006:$AS$1006,0)), HYPERLINK("#",""), HYPERLINK(CONCATENATE("#Metadata!", ADDRESS(INDEX($X$2:$X$1001,MATCH(ROWS($V$2:V697),$V$2:$V$1001,0),0), INDEX($AC$1004:$AS$1004,1,MATCH(COLUMNS($AC$1006:AE1006),$AC$1006:$AS$1006,0)))),"Fix")))</f>
        <v>0</v>
      </c>
      <c r="E697" s="5">
        <f>IF(OR(INDEX($W$2:$W$1001,MATCH(ROWS($V$2:V697),$V$2:$V$1001,0),1)&gt;=100000,INDEX($AC$1005:$AS$1005,1,MATCH(COLUMNS($AC$1006:AF1006),$AC$1006:$AS$1006,0))&gt;=100000), " ",IF(INDEX($AC$2:$AS$1001,MATCH(ROWS($V$2:V697),$V$2:$V$1001,0),MATCH(COLUMNS($AC$1006:AF1006),$AC$1006:$AS$1006,0)), HYPERLINK("#",""), HYPERLINK(CONCATENATE("#Metadata!", ADDRESS(INDEX($X$2:$X$1001,MATCH(ROWS($V$2:V697),$V$2:$V$1001,0),0), INDEX($AC$1004:$AS$1004,1,MATCH(COLUMNS($AC$1006:AF1006),$AC$1006:$AS$1006,0)))),"Fix")))</f>
        <v>0</v>
      </c>
      <c r="F697" s="5">
        <f>IF(OR(INDEX($W$2:$W$1001,MATCH(ROWS($V$2:V697),$V$2:$V$1001,0),1)&gt;=100000,INDEX($AC$1005:$AS$1005,1,MATCH(COLUMNS($AC$1006:AG1006),$AC$1006:$AS$1006,0))&gt;=100000), " ",IF(INDEX($AC$2:$AS$1001,MATCH(ROWS($V$2:V697),$V$2:$V$1001,0),MATCH(COLUMNS($AC$1006:AG1006),$AC$1006:$AS$1006,0)), HYPERLINK("#",""), HYPERLINK(CONCATENATE("#Metadata!", ADDRESS(INDEX($X$2:$X$1001,MATCH(ROWS($V$2:V697),$V$2:$V$1001,0),0), INDEX($AC$1004:$AS$1004,1,MATCH(COLUMNS($AC$1006:AG1006),$AC$1006:$AS$1006,0)))),"Fix")))</f>
        <v>0</v>
      </c>
      <c r="G697" s="5">
        <f>IF(OR(INDEX($W$2:$W$1001,MATCH(ROWS($V$2:V697),$V$2:$V$1001,0),1)&gt;=100000,INDEX($AC$1005:$AS$1005,1,MATCH(COLUMNS($AC$1006:AH1006),$AC$1006:$AS$1006,0))&gt;=100000), " ",IF(INDEX($AC$2:$AS$1001,MATCH(ROWS($V$2:V697),$V$2:$V$1001,0),MATCH(COLUMNS($AC$1006:AH1006),$AC$1006:$AS$1006,0)), HYPERLINK("#",""), HYPERLINK(CONCATENATE("#Metadata!", ADDRESS(INDEX($X$2:$X$1001,MATCH(ROWS($V$2:V697),$V$2:$V$1001,0),0), INDEX($AC$1004:$AS$1004,1,MATCH(COLUMNS($AC$1006:AH1006),$AC$1006:$AS$1006,0)))),"Fix")))</f>
        <v>0</v>
      </c>
      <c r="H697" s="5">
        <f>IF(OR(INDEX($W$2:$W$1001,MATCH(ROWS($V$2:V697),$V$2:$V$1001,0),1)&gt;=100000,INDEX($AC$1005:$AS$1005,1,MATCH(COLUMNS($AC$1006:AI1006),$AC$1006:$AS$1006,0))&gt;=100000), " ",IF(INDEX($AC$2:$AS$1001,MATCH(ROWS($V$2:V697),$V$2:$V$1001,0),MATCH(COLUMNS($AC$1006:AI1006),$AC$1006:$AS$1006,0)), HYPERLINK("#",""), HYPERLINK(CONCATENATE("#Metadata!", ADDRESS(INDEX($X$2:$X$1001,MATCH(ROWS($V$2:V697),$V$2:$V$1001,0),0), INDEX($AC$1004:$AS$1004,1,MATCH(COLUMNS($AC$1006:AI1006),$AC$1006:$AS$1006,0)))),"Fix")))</f>
        <v>0</v>
      </c>
      <c r="I697" s="5">
        <f>IF(OR(INDEX($W$2:$W$1001,MATCH(ROWS($V$2:V697),$V$2:$V$1001,0),1)&gt;=100000,INDEX($AC$1005:$AS$1005,1,MATCH(COLUMNS($AC$1006:AJ1006),$AC$1006:$AS$1006,0))&gt;=100000), " ",IF(INDEX($AC$2:$AS$1001,MATCH(ROWS($V$2:V697),$V$2:$V$1001,0),MATCH(COLUMNS($AC$1006:AJ1006),$AC$1006:$AS$1006,0)), HYPERLINK("#",""), HYPERLINK(CONCATENATE("#Metadata!", ADDRESS(INDEX($X$2:$X$1001,MATCH(ROWS($V$2:V697),$V$2:$V$1001,0),0), INDEX($AC$1004:$AS$1004,1,MATCH(COLUMNS($AC$1006:AJ1006),$AC$1006:$AS$1006,0)))),"Fix")))</f>
        <v>0</v>
      </c>
      <c r="J697" s="5">
        <f>IF(OR(INDEX($W$2:$W$1001,MATCH(ROWS($V$2:V697),$V$2:$V$1001,0),1)&gt;=100000,INDEX($AC$1005:$AS$1005,1,MATCH(COLUMNS($AC$1006:AK1006),$AC$1006:$AS$1006,0))&gt;=100000), " ",IF(INDEX($AC$2:$AS$1001,MATCH(ROWS($V$2:V697),$V$2:$V$1001,0),MATCH(COLUMNS($AC$1006:AK1006),$AC$1006:$AS$1006,0)), HYPERLINK("#",""), HYPERLINK(CONCATENATE("#Metadata!", ADDRESS(INDEX($X$2:$X$1001,MATCH(ROWS($V$2:V697),$V$2:$V$1001,0),0), INDEX($AC$1004:$AS$1004,1,MATCH(COLUMNS($AC$1006:AK1006),$AC$1006:$AS$1006,0)))),"Fix")))</f>
        <v>0</v>
      </c>
      <c r="K697" s="5">
        <f>IF(OR(INDEX($W$2:$W$1001,MATCH(ROWS($V$2:V697),$V$2:$V$1001,0),1)&gt;=100000,INDEX($AC$1005:$AS$1005,1,MATCH(COLUMNS($AC$1006:AL1006),$AC$1006:$AS$1006,0))&gt;=100000), " ",IF(INDEX($AC$2:$AS$1001,MATCH(ROWS($V$2:V697),$V$2:$V$1001,0),MATCH(COLUMNS($AC$1006:AL1006),$AC$1006:$AS$1006,0)), HYPERLINK("#",""), HYPERLINK(CONCATENATE("#Metadata!", ADDRESS(INDEX($X$2:$X$1001,MATCH(ROWS($V$2:V697),$V$2:$V$1001,0),0), INDEX($AC$1004:$AS$1004,1,MATCH(COLUMNS($AC$1006:AL1006),$AC$1006:$AS$1006,0)))),"Fix")))</f>
        <v>0</v>
      </c>
      <c r="L697" s="5">
        <f>IF(OR(INDEX($W$2:$W$1001,MATCH(ROWS($V$2:V697),$V$2:$V$1001,0),1)&gt;=100000,INDEX($AC$1005:$AS$1005,1,MATCH(COLUMNS($AC$1006:AM1006),$AC$1006:$AS$1006,0))&gt;=100000), " ",IF(INDEX($AC$2:$AS$1001,MATCH(ROWS($V$2:V697),$V$2:$V$1001,0),MATCH(COLUMNS($AC$1006:AM1006),$AC$1006:$AS$1006,0)), HYPERLINK("#",""), HYPERLINK(CONCATENATE("#Metadata!", ADDRESS(INDEX($X$2:$X$1001,MATCH(ROWS($V$2:V697),$V$2:$V$1001,0),0), INDEX($AC$1004:$AS$1004,1,MATCH(COLUMNS($AC$1006:AM1006),$AC$1006:$AS$1006,0)))),"Fix")))</f>
        <v>0</v>
      </c>
      <c r="M697" s="5">
        <f>IF(OR(INDEX($W$2:$W$1001,MATCH(ROWS($V$2:V697),$V$2:$V$1001,0),1)&gt;=100000,INDEX($AC$1005:$AS$1005,1,MATCH(COLUMNS($AC$1006:AN1006),$AC$1006:$AS$1006,0))&gt;=100000), " ",IF(INDEX($AC$2:$AS$1001,MATCH(ROWS($V$2:V697),$V$2:$V$1001,0),MATCH(COLUMNS($AC$1006:AN1006),$AC$1006:$AS$1006,0)), HYPERLINK("#",""), HYPERLINK(CONCATENATE("#Metadata!", ADDRESS(INDEX($X$2:$X$1001,MATCH(ROWS($V$2:V697),$V$2:$V$1001,0),0), INDEX($AC$1004:$AS$1004,1,MATCH(COLUMNS($AC$1006:AN1006),$AC$1006:$AS$1006,0)))),"Fix")))</f>
        <v>0</v>
      </c>
      <c r="N697" s="5">
        <f>IF(OR(INDEX($W$2:$W$1001,MATCH(ROWS($V$2:V697),$V$2:$V$1001,0),1)&gt;=100000,INDEX($AC$1005:$AS$1005,1,MATCH(COLUMNS($AC$1006:AO1006),$AC$1006:$AS$1006,0))&gt;=100000), " ",IF(INDEX($AC$2:$AS$1001,MATCH(ROWS($V$2:V697),$V$2:$V$1001,0),MATCH(COLUMNS($AC$1006:AO1006),$AC$1006:$AS$1006,0)), HYPERLINK("#",""), HYPERLINK(CONCATENATE("#Metadata!", ADDRESS(INDEX($X$2:$X$1001,MATCH(ROWS($V$2:V697),$V$2:$V$1001,0),0), INDEX($AC$1004:$AS$1004,1,MATCH(COLUMNS($AC$1006:AO1006),$AC$1006:$AS$1006,0)))),"Fix")))</f>
        <v>0</v>
      </c>
      <c r="O697" s="5">
        <f>IF(OR(INDEX($W$2:$W$1001,MATCH(ROWS($V$2:V697),$V$2:$V$1001,0),1)&gt;=100000,INDEX($AC$1005:$AS$1005,1,MATCH(COLUMNS($AC$1006:AP1006),$AC$1006:$AS$1006,0))&gt;=100000), " ",IF(INDEX($AC$2:$AS$1001,MATCH(ROWS($V$2:V697),$V$2:$V$1001,0),MATCH(COLUMNS($AC$1006:AP1006),$AC$1006:$AS$1006,0)), HYPERLINK("#",""), HYPERLINK(CONCATENATE("#Metadata!", ADDRESS(INDEX($X$2:$X$1001,MATCH(ROWS($V$2:V697),$V$2:$V$1001,0),0), INDEX($AC$1004:$AS$1004,1,MATCH(COLUMNS($AC$1006:AP1006),$AC$1006:$AS$1006,0)))),"Fix")))</f>
        <v>0</v>
      </c>
      <c r="P697" s="5">
        <f>IF(OR(INDEX($W$2:$W$1001,MATCH(ROWS($V$2:V697),$V$2:$V$1001,0),1)&gt;=100000,INDEX($AC$1005:$AS$1005,1,MATCH(COLUMNS($AC$1006:AQ1006),$AC$1006:$AS$1006,0))&gt;=100000), " ",IF(INDEX($AC$2:$AS$1001,MATCH(ROWS($V$2:V697),$V$2:$V$1001,0),MATCH(COLUMNS($AC$1006:AQ1006),$AC$1006:$AS$1006,0)), HYPERLINK("#",""), HYPERLINK(CONCATENATE("#Metadata!", ADDRESS(INDEX($X$2:$X$1001,MATCH(ROWS($V$2:V697),$V$2:$V$1001,0),0), INDEX($AC$1004:$AS$1004,1,MATCH(COLUMNS($AC$1006:AQ1006),$AC$1006:$AS$1006,0)))),"Fix")))</f>
        <v>0</v>
      </c>
      <c r="Q697" s="5">
        <f>IF(OR(INDEX($W$2:$W$1001,MATCH(ROWS($V$2:V697),$V$2:$V$1001,0),1)&gt;=100000,INDEX($AC$1005:$AS$1005,1,MATCH(COLUMNS($AC$1006:AR1006),$AC$1006:$AS$1006,0))&gt;=100000), " ",IF(INDEX($AC$2:$AS$1001,MATCH(ROWS($V$2:V697),$V$2:$V$1001,0),MATCH(COLUMNS($AC$1006:AR1006),$AC$1006:$AS$1006,0)), HYPERLINK("#",""), HYPERLINK(CONCATENATE("#Metadata!", ADDRESS(INDEX($X$2:$X$1001,MATCH(ROWS($V$2:V697),$V$2:$V$1001,0),0), INDEX($AC$1004:$AS$1004,1,MATCH(COLUMNS($AC$1006:AR1006),$AC$1006:$AS$1006,0)))),"Fix")))</f>
        <v>0</v>
      </c>
      <c r="R697" s="5">
        <f>IF(OR(INDEX($W$2:$W$1001,MATCH(ROWS($V$2:V697),$V$2:$V$1001,0),1)&gt;=100000,INDEX($AC$1005:$AS$1005,1,MATCH(COLUMNS($AC$1006:AS1006),$AC$1006:$AS$1006,0))&gt;=100000), " ",IF(INDEX($AC$2:$AS$1001,MATCH(ROWS($V$2:V697),$V$2:$V$1001,0),MATCH(COLUMNS($AC$1006:AS1006),$AC$1006:$AS$1006,0)), HYPERLINK("#",""), HYPERLINK(CONCATENATE("#Metadata!", ADDRESS(INDEX($X$2:$X$1001,MATCH(ROWS($V$2:V697),$V$2:$V$1001,0),0), INDEX($AC$1004:$AS$1004,1,MATCH(COLUMNS($AC$1006:AS1006),$AC$1006:$AS$1006,0)))),"Fix")))</f>
        <v>0</v>
      </c>
      <c r="V697">
        <v>0</v>
      </c>
      <c r="W697">
        <v>0</v>
      </c>
      <c r="X697">
        <v>0</v>
      </c>
      <c r="Y697">
        <f>IF(Z697,TRUE,AND(AC697:AS697))</f>
        <v>0</v>
      </c>
      <c r="Z697">
        <f>COUNTBLANK(Metadata!B697:R697)=COLUMNS(Metadata!B697:R697)</f>
        <v>0</v>
      </c>
      <c r="AA697">
        <v>0</v>
      </c>
      <c r="AC697">
        <f>AND(IF(Metadata!B697="",FALSE,TRUE),COUNTIF(Metadata!B:B, Metadata!B697) = 1,NOT(ISERROR(SUMPRODUCT(SEARCH(MID(Metadata!B697,ROW(INDIRECT("1:"&amp;LEN(Metadata!B697))), 1),"0123456789abcdefghijklmnopqrstuvwxyzABCDEFGHIJKLMNOPQRSTUVWXYZ.")))))</f>
        <v>0</v>
      </c>
      <c r="AD697">
        <f>AND(IF(Metadata!C697="",FALSE,TRUE),exact(Metadata!C697,"Host-associated"))</f>
        <v>0</v>
      </c>
      <c r="AE697">
        <f>AND(IF(Metadata!D697="",FALSE,TRUE),OR(exact(Metadata!D697,"Animal"),exact(Metadata!D697,"Fungus"),exact(Metadata!D697,"Plant")))</f>
        <v>0</v>
      </c>
      <c r="AF697">
        <f>AND(IF(Metadata!E697="",FALSE,TRUE),OR(exact(Metadata!E697,"Plant secretion"),exact(Metadata!E697,"Plant rhizosphere"),exact(Metadata!E697,"Plant surface"),exact(Metadata!E697,"Plant corpus"),exact(Metadata!E697,"Fungus surface"),exact(Metadata!E697,"Fungus corpus"),exact(Metadata!E697,"Animal surface"),exact(Metadata!E697,"Animal proximal gut"),exact(Metadata!E697,"Animal corpus"),exact(Metadata!E697,"Animal distal gut"),exact(Metadata!E697,"Animal secretion")))</f>
        <v>0</v>
      </c>
      <c r="AG697">
        <f>OR(AND(IF(Metadata!F697="",FALSE,TRUE),OR(exact(Metadata!F697,"not collected"),exact(Metadata!F697,"not provided"),exact(Metadata!F697,"restricted access"))),AND(IF(Metadata!F697="",FALSE,TRUE),OR(exact(Metadata!F697,"organism-associated habitat"),exact(Metadata!F697,"plant-associated habitat"),exact(Metadata!F697,"animal-associated habitat"),exact(Metadata!F697,"insecta-associated habitat"),exact(Metadata!F697,"mammalia-associated habitat"),exact(Metadata!F697,"human-associated habitat"),exact(Metadata!F697,"livestock-associated habitat"))))</f>
        <v>0</v>
      </c>
      <c r="AH697">
        <f>AND(IF(Metadata!G697="",FALSE,TRUE),exact(Metadata!G697,"host-associated"))</f>
        <v>0</v>
      </c>
      <c r="AI697">
        <f>OR(AND(IF(Metadata!H697="",FALSE,TRUE),OR(exact(Metadata!H697,"not collected"),exact(Metadata!H697,"not provided"))),AND(IF(Metadata!H697="",FALSE,ISNUMBER(VALUE(Metadata!H697))),Metadata!H697&gt;0))</f>
        <v>0</v>
      </c>
      <c r="AJ697">
        <f>AND(IF(Metadata!I697="",FALSE,TRUE),exact(Metadata!I697,"years"))</f>
        <v>0</v>
      </c>
      <c r="AK697">
        <f>IF(Metadata!J697="",FALSE,TRUE)</f>
        <v>0</v>
      </c>
      <c r="AL697">
        <f>OR(AND(IF(Metadata!K697="",FALSE,TRUE),OR(exact(Metadata!K697,"not collected"),exact(Metadata!K697,"not provided"))),AND(IF(Metadata!K697="",FALSE,ISNUMBER(VALUE(Metadata!K697))),Metadata!K697&gt;0))</f>
        <v>0</v>
      </c>
      <c r="AM697">
        <f>AND(IF(Metadata!L697="",FALSE,TRUE),exact(Metadata!L697,"cm"))</f>
        <v>0</v>
      </c>
      <c r="AN697">
        <f>IF(Metadata!M697="",FALSE,TRUE)</f>
        <v>0</v>
      </c>
      <c r="AO697">
        <f>OR(AND(IF(Metadata!N697="",FALSE,TRUE),OR(exact(Metadata!N697,"not applicable"),exact(Metadata!N697,"not collected"),exact(Metadata!N697,"not provided"))),AND(IF(Metadata!N697="",FALSE,IF(ISERROR(INT(Metadata!N697)),FALSE,INT(Metadata!N697)=Metadata!N697)),Metadata!N697&gt;0))</f>
        <v>0</v>
      </c>
      <c r="AP697">
        <f>OR(AND(IF(Metadata!O697="",FALSE,TRUE),OR(exact(Metadata!O697,"not collected"),exact(Metadata!O697,"not provided"))),AND(IF(Metadata!O697="",FALSE,ISNUMBER(VALUE(Metadata!O697))),Metadata!O697&gt;0))</f>
        <v>0</v>
      </c>
      <c r="AQ697">
        <f>AND(IF(Metadata!P697="",FALSE,TRUE),exact(Metadata!P697,"kg"))</f>
        <v>0</v>
      </c>
      <c r="AR697">
        <f>OR(AND(IF(Metadata!Q697="",FALSE,TRUE),OR(exact(Metadata!Q697,"not applicable"),exact(Metadata!Q697,"not collected"),exact(Metadata!Q697,"not provided"),exact(Metadata!Q697,"restricted access"))),IF(Metadata!Q697="",FALSE,IF(ISERROR(INT(Metadata!Q697)),FALSE,INT(Metadata!Q697)=Metadata!Q697)))</f>
        <v>0</v>
      </c>
      <c r="AS697">
        <f>AND(IF(Metadata!R697="",FALSE,TRUE),exact(Metadata!R697,"Not applicable"))</f>
        <v>0</v>
      </c>
    </row>
    <row r="698" spans="1:45">
      <c r="A698" s="4">
        <f>IF(B698=" "," ",HYPERLINK(CONCATENATE("#metadata!",ADDRESS(INDEX($X$2:$X$1001,MATCH(ROWS($V$2:V698),$V$2:$V$1001,0),0),2)),INDEX($AA$2:$AA$1001,MATCH(ROWS($V$2:V698),$V$2:$V$1001,0),0)))</f>
        <v>0</v>
      </c>
      <c r="B698" s="5">
        <f>IF(OR(INDEX($W$2:$W$1001,MATCH(ROWS($V$2:V698),$V$2:$V$1001,0),1)&gt;=100000,INDEX($AC$1005:$AS$1005,1,MATCH(COLUMNS($AC$1006:AC1006),$AC$1006:$AS$1006,0))&gt;=100000), " ",IF(INDEX($AC$2:$AS$1001,MATCH(ROWS($V$2:V698),$V$2:$V$1001,0),MATCH(COLUMNS($AC$1006:AC1006),$AC$1006:$AS$1006,0)), HYPERLINK("#",""), HYPERLINK(CONCATENATE("#Metadata!", ADDRESS(INDEX($X$2:$X$1001,MATCH(ROWS($V$2:V698),$V$2:$V$1001,0),0), INDEX($AC$1004:$AS$1004,1,MATCH(COLUMNS($AC$1006:AC1006),$AC$1006:$AS$1006,0)))),"Fix")))</f>
        <v>0</v>
      </c>
      <c r="C698" s="5">
        <f>IF(OR(INDEX($W$2:$W$1001,MATCH(ROWS($V$2:V698),$V$2:$V$1001,0),1)&gt;=100000,INDEX($AC$1005:$AS$1005,1,MATCH(COLUMNS($AC$1006:AD1006),$AC$1006:$AS$1006,0))&gt;=100000), " ",IF(INDEX($AC$2:$AS$1001,MATCH(ROWS($V$2:V698),$V$2:$V$1001,0),MATCH(COLUMNS($AC$1006:AD1006),$AC$1006:$AS$1006,0)), HYPERLINK("#",""), HYPERLINK(CONCATENATE("#Metadata!", ADDRESS(INDEX($X$2:$X$1001,MATCH(ROWS($V$2:V698),$V$2:$V$1001,0),0), INDEX($AC$1004:$AS$1004,1,MATCH(COLUMNS($AC$1006:AD1006),$AC$1006:$AS$1006,0)))),"Fix")))</f>
        <v>0</v>
      </c>
      <c r="D698" s="5">
        <f>IF(OR(INDEX($W$2:$W$1001,MATCH(ROWS($V$2:V698),$V$2:$V$1001,0),1)&gt;=100000,INDEX($AC$1005:$AS$1005,1,MATCH(COLUMNS($AC$1006:AE1006),$AC$1006:$AS$1006,0))&gt;=100000), " ",IF(INDEX($AC$2:$AS$1001,MATCH(ROWS($V$2:V698),$V$2:$V$1001,0),MATCH(COLUMNS($AC$1006:AE1006),$AC$1006:$AS$1006,0)), HYPERLINK("#",""), HYPERLINK(CONCATENATE("#Metadata!", ADDRESS(INDEX($X$2:$X$1001,MATCH(ROWS($V$2:V698),$V$2:$V$1001,0),0), INDEX($AC$1004:$AS$1004,1,MATCH(COLUMNS($AC$1006:AE1006),$AC$1006:$AS$1006,0)))),"Fix")))</f>
        <v>0</v>
      </c>
      <c r="E698" s="5">
        <f>IF(OR(INDEX($W$2:$W$1001,MATCH(ROWS($V$2:V698),$V$2:$V$1001,0),1)&gt;=100000,INDEX($AC$1005:$AS$1005,1,MATCH(COLUMNS($AC$1006:AF1006),$AC$1006:$AS$1006,0))&gt;=100000), " ",IF(INDEX($AC$2:$AS$1001,MATCH(ROWS($V$2:V698),$V$2:$V$1001,0),MATCH(COLUMNS($AC$1006:AF1006),$AC$1006:$AS$1006,0)), HYPERLINK("#",""), HYPERLINK(CONCATENATE("#Metadata!", ADDRESS(INDEX($X$2:$X$1001,MATCH(ROWS($V$2:V698),$V$2:$V$1001,0),0), INDEX($AC$1004:$AS$1004,1,MATCH(COLUMNS($AC$1006:AF1006),$AC$1006:$AS$1006,0)))),"Fix")))</f>
        <v>0</v>
      </c>
      <c r="F698" s="5">
        <f>IF(OR(INDEX($W$2:$W$1001,MATCH(ROWS($V$2:V698),$V$2:$V$1001,0),1)&gt;=100000,INDEX($AC$1005:$AS$1005,1,MATCH(COLUMNS($AC$1006:AG1006),$AC$1006:$AS$1006,0))&gt;=100000), " ",IF(INDEX($AC$2:$AS$1001,MATCH(ROWS($V$2:V698),$V$2:$V$1001,0),MATCH(COLUMNS($AC$1006:AG1006),$AC$1006:$AS$1006,0)), HYPERLINK("#",""), HYPERLINK(CONCATENATE("#Metadata!", ADDRESS(INDEX($X$2:$X$1001,MATCH(ROWS($V$2:V698),$V$2:$V$1001,0),0), INDEX($AC$1004:$AS$1004,1,MATCH(COLUMNS($AC$1006:AG1006),$AC$1006:$AS$1006,0)))),"Fix")))</f>
        <v>0</v>
      </c>
      <c r="G698" s="5">
        <f>IF(OR(INDEX($W$2:$W$1001,MATCH(ROWS($V$2:V698),$V$2:$V$1001,0),1)&gt;=100000,INDEX($AC$1005:$AS$1005,1,MATCH(COLUMNS($AC$1006:AH1006),$AC$1006:$AS$1006,0))&gt;=100000), " ",IF(INDEX($AC$2:$AS$1001,MATCH(ROWS($V$2:V698),$V$2:$V$1001,0),MATCH(COLUMNS($AC$1006:AH1006),$AC$1006:$AS$1006,0)), HYPERLINK("#",""), HYPERLINK(CONCATENATE("#Metadata!", ADDRESS(INDEX($X$2:$X$1001,MATCH(ROWS($V$2:V698),$V$2:$V$1001,0),0), INDEX($AC$1004:$AS$1004,1,MATCH(COLUMNS($AC$1006:AH1006),$AC$1006:$AS$1006,0)))),"Fix")))</f>
        <v>0</v>
      </c>
      <c r="H698" s="5">
        <f>IF(OR(INDEX($W$2:$W$1001,MATCH(ROWS($V$2:V698),$V$2:$V$1001,0),1)&gt;=100000,INDEX($AC$1005:$AS$1005,1,MATCH(COLUMNS($AC$1006:AI1006),$AC$1006:$AS$1006,0))&gt;=100000), " ",IF(INDEX($AC$2:$AS$1001,MATCH(ROWS($V$2:V698),$V$2:$V$1001,0),MATCH(COLUMNS($AC$1006:AI1006),$AC$1006:$AS$1006,0)), HYPERLINK("#",""), HYPERLINK(CONCATENATE("#Metadata!", ADDRESS(INDEX($X$2:$X$1001,MATCH(ROWS($V$2:V698),$V$2:$V$1001,0),0), INDEX($AC$1004:$AS$1004,1,MATCH(COLUMNS($AC$1006:AI1006),$AC$1006:$AS$1006,0)))),"Fix")))</f>
        <v>0</v>
      </c>
      <c r="I698" s="5">
        <f>IF(OR(INDEX($W$2:$W$1001,MATCH(ROWS($V$2:V698),$V$2:$V$1001,0),1)&gt;=100000,INDEX($AC$1005:$AS$1005,1,MATCH(COLUMNS($AC$1006:AJ1006),$AC$1006:$AS$1006,0))&gt;=100000), " ",IF(INDEX($AC$2:$AS$1001,MATCH(ROWS($V$2:V698),$V$2:$V$1001,0),MATCH(COLUMNS($AC$1006:AJ1006),$AC$1006:$AS$1006,0)), HYPERLINK("#",""), HYPERLINK(CONCATENATE("#Metadata!", ADDRESS(INDEX($X$2:$X$1001,MATCH(ROWS($V$2:V698),$V$2:$V$1001,0),0), INDEX($AC$1004:$AS$1004,1,MATCH(COLUMNS($AC$1006:AJ1006),$AC$1006:$AS$1006,0)))),"Fix")))</f>
        <v>0</v>
      </c>
      <c r="J698" s="5">
        <f>IF(OR(INDEX($W$2:$W$1001,MATCH(ROWS($V$2:V698),$V$2:$V$1001,0),1)&gt;=100000,INDEX($AC$1005:$AS$1005,1,MATCH(COLUMNS($AC$1006:AK1006),$AC$1006:$AS$1006,0))&gt;=100000), " ",IF(INDEX($AC$2:$AS$1001,MATCH(ROWS($V$2:V698),$V$2:$V$1001,0),MATCH(COLUMNS($AC$1006:AK1006),$AC$1006:$AS$1006,0)), HYPERLINK("#",""), HYPERLINK(CONCATENATE("#Metadata!", ADDRESS(INDEX($X$2:$X$1001,MATCH(ROWS($V$2:V698),$V$2:$V$1001,0),0), INDEX($AC$1004:$AS$1004,1,MATCH(COLUMNS($AC$1006:AK1006),$AC$1006:$AS$1006,0)))),"Fix")))</f>
        <v>0</v>
      </c>
      <c r="K698" s="5">
        <f>IF(OR(INDEX($W$2:$W$1001,MATCH(ROWS($V$2:V698),$V$2:$V$1001,0),1)&gt;=100000,INDEX($AC$1005:$AS$1005,1,MATCH(COLUMNS($AC$1006:AL1006),$AC$1006:$AS$1006,0))&gt;=100000), " ",IF(INDEX($AC$2:$AS$1001,MATCH(ROWS($V$2:V698),$V$2:$V$1001,0),MATCH(COLUMNS($AC$1006:AL1006),$AC$1006:$AS$1006,0)), HYPERLINK("#",""), HYPERLINK(CONCATENATE("#Metadata!", ADDRESS(INDEX($X$2:$X$1001,MATCH(ROWS($V$2:V698),$V$2:$V$1001,0),0), INDEX($AC$1004:$AS$1004,1,MATCH(COLUMNS($AC$1006:AL1006),$AC$1006:$AS$1006,0)))),"Fix")))</f>
        <v>0</v>
      </c>
      <c r="L698" s="5">
        <f>IF(OR(INDEX($W$2:$W$1001,MATCH(ROWS($V$2:V698),$V$2:$V$1001,0),1)&gt;=100000,INDEX($AC$1005:$AS$1005,1,MATCH(COLUMNS($AC$1006:AM1006),$AC$1006:$AS$1006,0))&gt;=100000), " ",IF(INDEX($AC$2:$AS$1001,MATCH(ROWS($V$2:V698),$V$2:$V$1001,0),MATCH(COLUMNS($AC$1006:AM1006),$AC$1006:$AS$1006,0)), HYPERLINK("#",""), HYPERLINK(CONCATENATE("#Metadata!", ADDRESS(INDEX($X$2:$X$1001,MATCH(ROWS($V$2:V698),$V$2:$V$1001,0),0), INDEX($AC$1004:$AS$1004,1,MATCH(COLUMNS($AC$1006:AM1006),$AC$1006:$AS$1006,0)))),"Fix")))</f>
        <v>0</v>
      </c>
      <c r="M698" s="5">
        <f>IF(OR(INDEX($W$2:$W$1001,MATCH(ROWS($V$2:V698),$V$2:$V$1001,0),1)&gt;=100000,INDEX($AC$1005:$AS$1005,1,MATCH(COLUMNS($AC$1006:AN1006),$AC$1006:$AS$1006,0))&gt;=100000), " ",IF(INDEX($AC$2:$AS$1001,MATCH(ROWS($V$2:V698),$V$2:$V$1001,0),MATCH(COLUMNS($AC$1006:AN1006),$AC$1006:$AS$1006,0)), HYPERLINK("#",""), HYPERLINK(CONCATENATE("#Metadata!", ADDRESS(INDEX($X$2:$X$1001,MATCH(ROWS($V$2:V698),$V$2:$V$1001,0),0), INDEX($AC$1004:$AS$1004,1,MATCH(COLUMNS($AC$1006:AN1006),$AC$1006:$AS$1006,0)))),"Fix")))</f>
        <v>0</v>
      </c>
      <c r="N698" s="5">
        <f>IF(OR(INDEX($W$2:$W$1001,MATCH(ROWS($V$2:V698),$V$2:$V$1001,0),1)&gt;=100000,INDEX($AC$1005:$AS$1005,1,MATCH(COLUMNS($AC$1006:AO1006),$AC$1006:$AS$1006,0))&gt;=100000), " ",IF(INDEX($AC$2:$AS$1001,MATCH(ROWS($V$2:V698),$V$2:$V$1001,0),MATCH(COLUMNS($AC$1006:AO1006),$AC$1006:$AS$1006,0)), HYPERLINK("#",""), HYPERLINK(CONCATENATE("#Metadata!", ADDRESS(INDEX($X$2:$X$1001,MATCH(ROWS($V$2:V698),$V$2:$V$1001,0),0), INDEX($AC$1004:$AS$1004,1,MATCH(COLUMNS($AC$1006:AO1006),$AC$1006:$AS$1006,0)))),"Fix")))</f>
        <v>0</v>
      </c>
      <c r="O698" s="5">
        <f>IF(OR(INDEX($W$2:$W$1001,MATCH(ROWS($V$2:V698),$V$2:$V$1001,0),1)&gt;=100000,INDEX($AC$1005:$AS$1005,1,MATCH(COLUMNS($AC$1006:AP1006),$AC$1006:$AS$1006,0))&gt;=100000), " ",IF(INDEX($AC$2:$AS$1001,MATCH(ROWS($V$2:V698),$V$2:$V$1001,0),MATCH(COLUMNS($AC$1006:AP1006),$AC$1006:$AS$1006,0)), HYPERLINK("#",""), HYPERLINK(CONCATENATE("#Metadata!", ADDRESS(INDEX($X$2:$X$1001,MATCH(ROWS($V$2:V698),$V$2:$V$1001,0),0), INDEX($AC$1004:$AS$1004,1,MATCH(COLUMNS($AC$1006:AP1006),$AC$1006:$AS$1006,0)))),"Fix")))</f>
        <v>0</v>
      </c>
      <c r="P698" s="5">
        <f>IF(OR(INDEX($W$2:$W$1001,MATCH(ROWS($V$2:V698),$V$2:$V$1001,0),1)&gt;=100000,INDEX($AC$1005:$AS$1005,1,MATCH(COLUMNS($AC$1006:AQ1006),$AC$1006:$AS$1006,0))&gt;=100000), " ",IF(INDEX($AC$2:$AS$1001,MATCH(ROWS($V$2:V698),$V$2:$V$1001,0),MATCH(COLUMNS($AC$1006:AQ1006),$AC$1006:$AS$1006,0)), HYPERLINK("#",""), HYPERLINK(CONCATENATE("#Metadata!", ADDRESS(INDEX($X$2:$X$1001,MATCH(ROWS($V$2:V698),$V$2:$V$1001,0),0), INDEX($AC$1004:$AS$1004,1,MATCH(COLUMNS($AC$1006:AQ1006),$AC$1006:$AS$1006,0)))),"Fix")))</f>
        <v>0</v>
      </c>
      <c r="Q698" s="5">
        <f>IF(OR(INDEX($W$2:$W$1001,MATCH(ROWS($V$2:V698),$V$2:$V$1001,0),1)&gt;=100000,INDEX($AC$1005:$AS$1005,1,MATCH(COLUMNS($AC$1006:AR1006),$AC$1006:$AS$1006,0))&gt;=100000), " ",IF(INDEX($AC$2:$AS$1001,MATCH(ROWS($V$2:V698),$V$2:$V$1001,0),MATCH(COLUMNS($AC$1006:AR1006),$AC$1006:$AS$1006,0)), HYPERLINK("#",""), HYPERLINK(CONCATENATE("#Metadata!", ADDRESS(INDEX($X$2:$X$1001,MATCH(ROWS($V$2:V698),$V$2:$V$1001,0),0), INDEX($AC$1004:$AS$1004,1,MATCH(COLUMNS($AC$1006:AR1006),$AC$1006:$AS$1006,0)))),"Fix")))</f>
        <v>0</v>
      </c>
      <c r="R698" s="5">
        <f>IF(OR(INDEX($W$2:$W$1001,MATCH(ROWS($V$2:V698),$V$2:$V$1001,0),1)&gt;=100000,INDEX($AC$1005:$AS$1005,1,MATCH(COLUMNS($AC$1006:AS1006),$AC$1006:$AS$1006,0))&gt;=100000), " ",IF(INDEX($AC$2:$AS$1001,MATCH(ROWS($V$2:V698),$V$2:$V$1001,0),MATCH(COLUMNS($AC$1006:AS1006),$AC$1006:$AS$1006,0)), HYPERLINK("#",""), HYPERLINK(CONCATENATE("#Metadata!", ADDRESS(INDEX($X$2:$X$1001,MATCH(ROWS($V$2:V698),$V$2:$V$1001,0),0), INDEX($AC$1004:$AS$1004,1,MATCH(COLUMNS($AC$1006:AS1006),$AC$1006:$AS$1006,0)))),"Fix")))</f>
        <v>0</v>
      </c>
      <c r="V698">
        <v>0</v>
      </c>
      <c r="W698">
        <v>0</v>
      </c>
      <c r="X698">
        <v>0</v>
      </c>
      <c r="Y698">
        <f>IF(Z698,TRUE,AND(AC698:AS698))</f>
        <v>0</v>
      </c>
      <c r="Z698">
        <f>COUNTBLANK(Metadata!B698:R698)=COLUMNS(Metadata!B698:R698)</f>
        <v>0</v>
      </c>
      <c r="AA698">
        <v>0</v>
      </c>
      <c r="AC698">
        <f>AND(IF(Metadata!B698="",FALSE,TRUE),COUNTIF(Metadata!B:B, Metadata!B698) = 1,NOT(ISERROR(SUMPRODUCT(SEARCH(MID(Metadata!B698,ROW(INDIRECT("1:"&amp;LEN(Metadata!B698))), 1),"0123456789abcdefghijklmnopqrstuvwxyzABCDEFGHIJKLMNOPQRSTUVWXYZ.")))))</f>
        <v>0</v>
      </c>
      <c r="AD698">
        <f>AND(IF(Metadata!C698="",FALSE,TRUE),exact(Metadata!C698,"Host-associated"))</f>
        <v>0</v>
      </c>
      <c r="AE698">
        <f>AND(IF(Metadata!D698="",FALSE,TRUE),OR(exact(Metadata!D698,"Animal"),exact(Metadata!D698,"Fungus"),exact(Metadata!D698,"Plant")))</f>
        <v>0</v>
      </c>
      <c r="AF698">
        <f>AND(IF(Metadata!E698="",FALSE,TRUE),OR(exact(Metadata!E698,"Plant secretion"),exact(Metadata!E698,"Plant rhizosphere"),exact(Metadata!E698,"Plant surface"),exact(Metadata!E698,"Plant corpus"),exact(Metadata!E698,"Fungus surface"),exact(Metadata!E698,"Fungus corpus"),exact(Metadata!E698,"Animal surface"),exact(Metadata!E698,"Animal proximal gut"),exact(Metadata!E698,"Animal corpus"),exact(Metadata!E698,"Animal distal gut"),exact(Metadata!E698,"Animal secretion")))</f>
        <v>0</v>
      </c>
      <c r="AG698">
        <f>OR(AND(IF(Metadata!F698="",FALSE,TRUE),OR(exact(Metadata!F698,"not collected"),exact(Metadata!F698,"not provided"),exact(Metadata!F698,"restricted access"))),AND(IF(Metadata!F698="",FALSE,TRUE),OR(exact(Metadata!F698,"organism-associated habitat"),exact(Metadata!F698,"plant-associated habitat"),exact(Metadata!F698,"animal-associated habitat"),exact(Metadata!F698,"insecta-associated habitat"),exact(Metadata!F698,"mammalia-associated habitat"),exact(Metadata!F698,"human-associated habitat"),exact(Metadata!F698,"livestock-associated habitat"))))</f>
        <v>0</v>
      </c>
      <c r="AH698">
        <f>AND(IF(Metadata!G698="",FALSE,TRUE),exact(Metadata!G698,"host-associated"))</f>
        <v>0</v>
      </c>
      <c r="AI698">
        <f>OR(AND(IF(Metadata!H698="",FALSE,TRUE),OR(exact(Metadata!H698,"not collected"),exact(Metadata!H698,"not provided"))),AND(IF(Metadata!H698="",FALSE,ISNUMBER(VALUE(Metadata!H698))),Metadata!H698&gt;0))</f>
        <v>0</v>
      </c>
      <c r="AJ698">
        <f>AND(IF(Metadata!I698="",FALSE,TRUE),exact(Metadata!I698,"years"))</f>
        <v>0</v>
      </c>
      <c r="AK698">
        <f>IF(Metadata!J698="",FALSE,TRUE)</f>
        <v>0</v>
      </c>
      <c r="AL698">
        <f>OR(AND(IF(Metadata!K698="",FALSE,TRUE),OR(exact(Metadata!K698,"not collected"),exact(Metadata!K698,"not provided"))),AND(IF(Metadata!K698="",FALSE,ISNUMBER(VALUE(Metadata!K698))),Metadata!K698&gt;0))</f>
        <v>0</v>
      </c>
      <c r="AM698">
        <f>AND(IF(Metadata!L698="",FALSE,TRUE),exact(Metadata!L698,"cm"))</f>
        <v>0</v>
      </c>
      <c r="AN698">
        <f>IF(Metadata!M698="",FALSE,TRUE)</f>
        <v>0</v>
      </c>
      <c r="AO698">
        <f>OR(AND(IF(Metadata!N698="",FALSE,TRUE),OR(exact(Metadata!N698,"not applicable"),exact(Metadata!N698,"not collected"),exact(Metadata!N698,"not provided"))),AND(IF(Metadata!N698="",FALSE,IF(ISERROR(INT(Metadata!N698)),FALSE,INT(Metadata!N698)=Metadata!N698)),Metadata!N698&gt;0))</f>
        <v>0</v>
      </c>
      <c r="AP698">
        <f>OR(AND(IF(Metadata!O698="",FALSE,TRUE),OR(exact(Metadata!O698,"not collected"),exact(Metadata!O698,"not provided"))),AND(IF(Metadata!O698="",FALSE,ISNUMBER(VALUE(Metadata!O698))),Metadata!O698&gt;0))</f>
        <v>0</v>
      </c>
      <c r="AQ698">
        <f>AND(IF(Metadata!P698="",FALSE,TRUE),exact(Metadata!P698,"kg"))</f>
        <v>0</v>
      </c>
      <c r="AR698">
        <f>OR(AND(IF(Metadata!Q698="",FALSE,TRUE),OR(exact(Metadata!Q698,"not applicable"),exact(Metadata!Q698,"not collected"),exact(Metadata!Q698,"not provided"),exact(Metadata!Q698,"restricted access"))),IF(Metadata!Q698="",FALSE,IF(ISERROR(INT(Metadata!Q698)),FALSE,INT(Metadata!Q698)=Metadata!Q698)))</f>
        <v>0</v>
      </c>
      <c r="AS698">
        <f>AND(IF(Metadata!R698="",FALSE,TRUE),exact(Metadata!R698,"Not applicable"))</f>
        <v>0</v>
      </c>
    </row>
    <row r="699" spans="1:45">
      <c r="A699" s="4">
        <f>IF(B699=" "," ",HYPERLINK(CONCATENATE("#metadata!",ADDRESS(INDEX($X$2:$X$1001,MATCH(ROWS($V$2:V699),$V$2:$V$1001,0),0),2)),INDEX($AA$2:$AA$1001,MATCH(ROWS($V$2:V699),$V$2:$V$1001,0),0)))</f>
        <v>0</v>
      </c>
      <c r="B699" s="5">
        <f>IF(OR(INDEX($W$2:$W$1001,MATCH(ROWS($V$2:V699),$V$2:$V$1001,0),1)&gt;=100000,INDEX($AC$1005:$AS$1005,1,MATCH(COLUMNS($AC$1006:AC1006),$AC$1006:$AS$1006,0))&gt;=100000), " ",IF(INDEX($AC$2:$AS$1001,MATCH(ROWS($V$2:V699),$V$2:$V$1001,0),MATCH(COLUMNS($AC$1006:AC1006),$AC$1006:$AS$1006,0)), HYPERLINK("#",""), HYPERLINK(CONCATENATE("#Metadata!", ADDRESS(INDEX($X$2:$X$1001,MATCH(ROWS($V$2:V699),$V$2:$V$1001,0),0), INDEX($AC$1004:$AS$1004,1,MATCH(COLUMNS($AC$1006:AC1006),$AC$1006:$AS$1006,0)))),"Fix")))</f>
        <v>0</v>
      </c>
      <c r="C699" s="5">
        <f>IF(OR(INDEX($W$2:$W$1001,MATCH(ROWS($V$2:V699),$V$2:$V$1001,0),1)&gt;=100000,INDEX($AC$1005:$AS$1005,1,MATCH(COLUMNS($AC$1006:AD1006),$AC$1006:$AS$1006,0))&gt;=100000), " ",IF(INDEX($AC$2:$AS$1001,MATCH(ROWS($V$2:V699),$V$2:$V$1001,0),MATCH(COLUMNS($AC$1006:AD1006),$AC$1006:$AS$1006,0)), HYPERLINK("#",""), HYPERLINK(CONCATENATE("#Metadata!", ADDRESS(INDEX($X$2:$X$1001,MATCH(ROWS($V$2:V699),$V$2:$V$1001,0),0), INDEX($AC$1004:$AS$1004,1,MATCH(COLUMNS($AC$1006:AD1006),$AC$1006:$AS$1006,0)))),"Fix")))</f>
        <v>0</v>
      </c>
      <c r="D699" s="5">
        <f>IF(OR(INDEX($W$2:$W$1001,MATCH(ROWS($V$2:V699),$V$2:$V$1001,0),1)&gt;=100000,INDEX($AC$1005:$AS$1005,1,MATCH(COLUMNS($AC$1006:AE1006),$AC$1006:$AS$1006,0))&gt;=100000), " ",IF(INDEX($AC$2:$AS$1001,MATCH(ROWS($V$2:V699),$V$2:$V$1001,0),MATCH(COLUMNS($AC$1006:AE1006),$AC$1006:$AS$1006,0)), HYPERLINK("#",""), HYPERLINK(CONCATENATE("#Metadata!", ADDRESS(INDEX($X$2:$X$1001,MATCH(ROWS($V$2:V699),$V$2:$V$1001,0),0), INDEX($AC$1004:$AS$1004,1,MATCH(COLUMNS($AC$1006:AE1006),$AC$1006:$AS$1006,0)))),"Fix")))</f>
        <v>0</v>
      </c>
      <c r="E699" s="5">
        <f>IF(OR(INDEX($W$2:$W$1001,MATCH(ROWS($V$2:V699),$V$2:$V$1001,0),1)&gt;=100000,INDEX($AC$1005:$AS$1005,1,MATCH(COLUMNS($AC$1006:AF1006),$AC$1006:$AS$1006,0))&gt;=100000), " ",IF(INDEX($AC$2:$AS$1001,MATCH(ROWS($V$2:V699),$V$2:$V$1001,0),MATCH(COLUMNS($AC$1006:AF1006),$AC$1006:$AS$1006,0)), HYPERLINK("#",""), HYPERLINK(CONCATENATE("#Metadata!", ADDRESS(INDEX($X$2:$X$1001,MATCH(ROWS($V$2:V699),$V$2:$V$1001,0),0), INDEX($AC$1004:$AS$1004,1,MATCH(COLUMNS($AC$1006:AF1006),$AC$1006:$AS$1006,0)))),"Fix")))</f>
        <v>0</v>
      </c>
      <c r="F699" s="5">
        <f>IF(OR(INDEX($W$2:$W$1001,MATCH(ROWS($V$2:V699),$V$2:$V$1001,0),1)&gt;=100000,INDEX($AC$1005:$AS$1005,1,MATCH(COLUMNS($AC$1006:AG1006),$AC$1006:$AS$1006,0))&gt;=100000), " ",IF(INDEX($AC$2:$AS$1001,MATCH(ROWS($V$2:V699),$V$2:$V$1001,0),MATCH(COLUMNS($AC$1006:AG1006),$AC$1006:$AS$1006,0)), HYPERLINK("#",""), HYPERLINK(CONCATENATE("#Metadata!", ADDRESS(INDEX($X$2:$X$1001,MATCH(ROWS($V$2:V699),$V$2:$V$1001,0),0), INDEX($AC$1004:$AS$1004,1,MATCH(COLUMNS($AC$1006:AG1006),$AC$1006:$AS$1006,0)))),"Fix")))</f>
        <v>0</v>
      </c>
      <c r="G699" s="5">
        <f>IF(OR(INDEX($W$2:$W$1001,MATCH(ROWS($V$2:V699),$V$2:$V$1001,0),1)&gt;=100000,INDEX($AC$1005:$AS$1005,1,MATCH(COLUMNS($AC$1006:AH1006),$AC$1006:$AS$1006,0))&gt;=100000), " ",IF(INDEX($AC$2:$AS$1001,MATCH(ROWS($V$2:V699),$V$2:$V$1001,0),MATCH(COLUMNS($AC$1006:AH1006),$AC$1006:$AS$1006,0)), HYPERLINK("#",""), HYPERLINK(CONCATENATE("#Metadata!", ADDRESS(INDEX($X$2:$X$1001,MATCH(ROWS($V$2:V699),$V$2:$V$1001,0),0), INDEX($AC$1004:$AS$1004,1,MATCH(COLUMNS($AC$1006:AH1006),$AC$1006:$AS$1006,0)))),"Fix")))</f>
        <v>0</v>
      </c>
      <c r="H699" s="5">
        <f>IF(OR(INDEX($W$2:$W$1001,MATCH(ROWS($V$2:V699),$V$2:$V$1001,0),1)&gt;=100000,INDEX($AC$1005:$AS$1005,1,MATCH(COLUMNS($AC$1006:AI1006),$AC$1006:$AS$1006,0))&gt;=100000), " ",IF(INDEX($AC$2:$AS$1001,MATCH(ROWS($V$2:V699),$V$2:$V$1001,0),MATCH(COLUMNS($AC$1006:AI1006),$AC$1006:$AS$1006,0)), HYPERLINK("#",""), HYPERLINK(CONCATENATE("#Metadata!", ADDRESS(INDEX($X$2:$X$1001,MATCH(ROWS($V$2:V699),$V$2:$V$1001,0),0), INDEX($AC$1004:$AS$1004,1,MATCH(COLUMNS($AC$1006:AI1006),$AC$1006:$AS$1006,0)))),"Fix")))</f>
        <v>0</v>
      </c>
      <c r="I699" s="5">
        <f>IF(OR(INDEX($W$2:$W$1001,MATCH(ROWS($V$2:V699),$V$2:$V$1001,0),1)&gt;=100000,INDEX($AC$1005:$AS$1005,1,MATCH(COLUMNS($AC$1006:AJ1006),$AC$1006:$AS$1006,0))&gt;=100000), " ",IF(INDEX($AC$2:$AS$1001,MATCH(ROWS($V$2:V699),$V$2:$V$1001,0),MATCH(COLUMNS($AC$1006:AJ1006),$AC$1006:$AS$1006,0)), HYPERLINK("#",""), HYPERLINK(CONCATENATE("#Metadata!", ADDRESS(INDEX($X$2:$X$1001,MATCH(ROWS($V$2:V699),$V$2:$V$1001,0),0), INDEX($AC$1004:$AS$1004,1,MATCH(COLUMNS($AC$1006:AJ1006),$AC$1006:$AS$1006,0)))),"Fix")))</f>
        <v>0</v>
      </c>
      <c r="J699" s="5">
        <f>IF(OR(INDEX($W$2:$W$1001,MATCH(ROWS($V$2:V699),$V$2:$V$1001,0),1)&gt;=100000,INDEX($AC$1005:$AS$1005,1,MATCH(COLUMNS($AC$1006:AK1006),$AC$1006:$AS$1006,0))&gt;=100000), " ",IF(INDEX($AC$2:$AS$1001,MATCH(ROWS($V$2:V699),$V$2:$V$1001,0),MATCH(COLUMNS($AC$1006:AK1006),$AC$1006:$AS$1006,0)), HYPERLINK("#",""), HYPERLINK(CONCATENATE("#Metadata!", ADDRESS(INDEX($X$2:$X$1001,MATCH(ROWS($V$2:V699),$V$2:$V$1001,0),0), INDEX($AC$1004:$AS$1004,1,MATCH(COLUMNS($AC$1006:AK1006),$AC$1006:$AS$1006,0)))),"Fix")))</f>
        <v>0</v>
      </c>
      <c r="K699" s="5">
        <f>IF(OR(INDEX($W$2:$W$1001,MATCH(ROWS($V$2:V699),$V$2:$V$1001,0),1)&gt;=100000,INDEX($AC$1005:$AS$1005,1,MATCH(COLUMNS($AC$1006:AL1006),$AC$1006:$AS$1006,0))&gt;=100000), " ",IF(INDEX($AC$2:$AS$1001,MATCH(ROWS($V$2:V699),$V$2:$V$1001,0),MATCH(COLUMNS($AC$1006:AL1006),$AC$1006:$AS$1006,0)), HYPERLINK("#",""), HYPERLINK(CONCATENATE("#Metadata!", ADDRESS(INDEX($X$2:$X$1001,MATCH(ROWS($V$2:V699),$V$2:$V$1001,0),0), INDEX($AC$1004:$AS$1004,1,MATCH(COLUMNS($AC$1006:AL1006),$AC$1006:$AS$1006,0)))),"Fix")))</f>
        <v>0</v>
      </c>
      <c r="L699" s="5">
        <f>IF(OR(INDEX($W$2:$W$1001,MATCH(ROWS($V$2:V699),$V$2:$V$1001,0),1)&gt;=100000,INDEX($AC$1005:$AS$1005,1,MATCH(COLUMNS($AC$1006:AM1006),$AC$1006:$AS$1006,0))&gt;=100000), " ",IF(INDEX($AC$2:$AS$1001,MATCH(ROWS($V$2:V699),$V$2:$V$1001,0),MATCH(COLUMNS($AC$1006:AM1006),$AC$1006:$AS$1006,0)), HYPERLINK("#",""), HYPERLINK(CONCATENATE("#Metadata!", ADDRESS(INDEX($X$2:$X$1001,MATCH(ROWS($V$2:V699),$V$2:$V$1001,0),0), INDEX($AC$1004:$AS$1004,1,MATCH(COLUMNS($AC$1006:AM1006),$AC$1006:$AS$1006,0)))),"Fix")))</f>
        <v>0</v>
      </c>
      <c r="M699" s="5">
        <f>IF(OR(INDEX($W$2:$W$1001,MATCH(ROWS($V$2:V699),$V$2:$V$1001,0),1)&gt;=100000,INDEX($AC$1005:$AS$1005,1,MATCH(COLUMNS($AC$1006:AN1006),$AC$1006:$AS$1006,0))&gt;=100000), " ",IF(INDEX($AC$2:$AS$1001,MATCH(ROWS($V$2:V699),$V$2:$V$1001,0),MATCH(COLUMNS($AC$1006:AN1006),$AC$1006:$AS$1006,0)), HYPERLINK("#",""), HYPERLINK(CONCATENATE("#Metadata!", ADDRESS(INDEX($X$2:$X$1001,MATCH(ROWS($V$2:V699),$V$2:$V$1001,0),0), INDEX($AC$1004:$AS$1004,1,MATCH(COLUMNS($AC$1006:AN1006),$AC$1006:$AS$1006,0)))),"Fix")))</f>
        <v>0</v>
      </c>
      <c r="N699" s="5">
        <f>IF(OR(INDEX($W$2:$W$1001,MATCH(ROWS($V$2:V699),$V$2:$V$1001,0),1)&gt;=100000,INDEX($AC$1005:$AS$1005,1,MATCH(COLUMNS($AC$1006:AO1006),$AC$1006:$AS$1006,0))&gt;=100000), " ",IF(INDEX($AC$2:$AS$1001,MATCH(ROWS($V$2:V699),$V$2:$V$1001,0),MATCH(COLUMNS($AC$1006:AO1006),$AC$1006:$AS$1006,0)), HYPERLINK("#",""), HYPERLINK(CONCATENATE("#Metadata!", ADDRESS(INDEX($X$2:$X$1001,MATCH(ROWS($V$2:V699),$V$2:$V$1001,0),0), INDEX($AC$1004:$AS$1004,1,MATCH(COLUMNS($AC$1006:AO1006),$AC$1006:$AS$1006,0)))),"Fix")))</f>
        <v>0</v>
      </c>
      <c r="O699" s="5">
        <f>IF(OR(INDEX($W$2:$W$1001,MATCH(ROWS($V$2:V699),$V$2:$V$1001,0),1)&gt;=100000,INDEX($AC$1005:$AS$1005,1,MATCH(COLUMNS($AC$1006:AP1006),$AC$1006:$AS$1006,0))&gt;=100000), " ",IF(INDEX($AC$2:$AS$1001,MATCH(ROWS($V$2:V699),$V$2:$V$1001,0),MATCH(COLUMNS($AC$1006:AP1006),$AC$1006:$AS$1006,0)), HYPERLINK("#",""), HYPERLINK(CONCATENATE("#Metadata!", ADDRESS(INDEX($X$2:$X$1001,MATCH(ROWS($V$2:V699),$V$2:$V$1001,0),0), INDEX($AC$1004:$AS$1004,1,MATCH(COLUMNS($AC$1006:AP1006),$AC$1006:$AS$1006,0)))),"Fix")))</f>
        <v>0</v>
      </c>
      <c r="P699" s="5">
        <f>IF(OR(INDEX($W$2:$W$1001,MATCH(ROWS($V$2:V699),$V$2:$V$1001,0),1)&gt;=100000,INDEX($AC$1005:$AS$1005,1,MATCH(COLUMNS($AC$1006:AQ1006),$AC$1006:$AS$1006,0))&gt;=100000), " ",IF(INDEX($AC$2:$AS$1001,MATCH(ROWS($V$2:V699),$V$2:$V$1001,0),MATCH(COLUMNS($AC$1006:AQ1006),$AC$1006:$AS$1006,0)), HYPERLINK("#",""), HYPERLINK(CONCATENATE("#Metadata!", ADDRESS(INDEX($X$2:$X$1001,MATCH(ROWS($V$2:V699),$V$2:$V$1001,0),0), INDEX($AC$1004:$AS$1004,1,MATCH(COLUMNS($AC$1006:AQ1006),$AC$1006:$AS$1006,0)))),"Fix")))</f>
        <v>0</v>
      </c>
      <c r="Q699" s="5">
        <f>IF(OR(INDEX($W$2:$W$1001,MATCH(ROWS($V$2:V699),$V$2:$V$1001,0),1)&gt;=100000,INDEX($AC$1005:$AS$1005,1,MATCH(COLUMNS($AC$1006:AR1006),$AC$1006:$AS$1006,0))&gt;=100000), " ",IF(INDEX($AC$2:$AS$1001,MATCH(ROWS($V$2:V699),$V$2:$V$1001,0),MATCH(COLUMNS($AC$1006:AR1006),$AC$1006:$AS$1006,0)), HYPERLINK("#",""), HYPERLINK(CONCATENATE("#Metadata!", ADDRESS(INDEX($X$2:$X$1001,MATCH(ROWS($V$2:V699),$V$2:$V$1001,0),0), INDEX($AC$1004:$AS$1004,1,MATCH(COLUMNS($AC$1006:AR1006),$AC$1006:$AS$1006,0)))),"Fix")))</f>
        <v>0</v>
      </c>
      <c r="R699" s="5">
        <f>IF(OR(INDEX($W$2:$W$1001,MATCH(ROWS($V$2:V699),$V$2:$V$1001,0),1)&gt;=100000,INDEX($AC$1005:$AS$1005,1,MATCH(COLUMNS($AC$1006:AS1006),$AC$1006:$AS$1006,0))&gt;=100000), " ",IF(INDEX($AC$2:$AS$1001,MATCH(ROWS($V$2:V699),$V$2:$V$1001,0),MATCH(COLUMNS($AC$1006:AS1006),$AC$1006:$AS$1006,0)), HYPERLINK("#",""), HYPERLINK(CONCATENATE("#Metadata!", ADDRESS(INDEX($X$2:$X$1001,MATCH(ROWS($V$2:V699),$V$2:$V$1001,0),0), INDEX($AC$1004:$AS$1004,1,MATCH(COLUMNS($AC$1006:AS1006),$AC$1006:$AS$1006,0)))),"Fix")))</f>
        <v>0</v>
      </c>
      <c r="V699">
        <v>0</v>
      </c>
      <c r="W699">
        <v>0</v>
      </c>
      <c r="X699">
        <v>0</v>
      </c>
      <c r="Y699">
        <f>IF(Z699,TRUE,AND(AC699:AS699))</f>
        <v>0</v>
      </c>
      <c r="Z699">
        <f>COUNTBLANK(Metadata!B699:R699)=COLUMNS(Metadata!B699:R699)</f>
        <v>0</v>
      </c>
      <c r="AA699">
        <v>0</v>
      </c>
      <c r="AC699">
        <f>AND(IF(Metadata!B699="",FALSE,TRUE),COUNTIF(Metadata!B:B, Metadata!B699) = 1,NOT(ISERROR(SUMPRODUCT(SEARCH(MID(Metadata!B699,ROW(INDIRECT("1:"&amp;LEN(Metadata!B699))), 1),"0123456789abcdefghijklmnopqrstuvwxyzABCDEFGHIJKLMNOPQRSTUVWXYZ.")))))</f>
        <v>0</v>
      </c>
      <c r="AD699">
        <f>AND(IF(Metadata!C699="",FALSE,TRUE),exact(Metadata!C699,"Host-associated"))</f>
        <v>0</v>
      </c>
      <c r="AE699">
        <f>AND(IF(Metadata!D699="",FALSE,TRUE),OR(exact(Metadata!D699,"Animal"),exact(Metadata!D699,"Fungus"),exact(Metadata!D699,"Plant")))</f>
        <v>0</v>
      </c>
      <c r="AF699">
        <f>AND(IF(Metadata!E699="",FALSE,TRUE),OR(exact(Metadata!E699,"Plant secretion"),exact(Metadata!E699,"Plant rhizosphere"),exact(Metadata!E699,"Plant surface"),exact(Metadata!E699,"Plant corpus"),exact(Metadata!E699,"Fungus surface"),exact(Metadata!E699,"Fungus corpus"),exact(Metadata!E699,"Animal surface"),exact(Metadata!E699,"Animal proximal gut"),exact(Metadata!E699,"Animal corpus"),exact(Metadata!E699,"Animal distal gut"),exact(Metadata!E699,"Animal secretion")))</f>
        <v>0</v>
      </c>
      <c r="AG699">
        <f>OR(AND(IF(Metadata!F699="",FALSE,TRUE),OR(exact(Metadata!F699,"not collected"),exact(Metadata!F699,"not provided"),exact(Metadata!F699,"restricted access"))),AND(IF(Metadata!F699="",FALSE,TRUE),OR(exact(Metadata!F699,"organism-associated habitat"),exact(Metadata!F699,"plant-associated habitat"),exact(Metadata!F699,"animal-associated habitat"),exact(Metadata!F699,"insecta-associated habitat"),exact(Metadata!F699,"mammalia-associated habitat"),exact(Metadata!F699,"human-associated habitat"),exact(Metadata!F699,"livestock-associated habitat"))))</f>
        <v>0</v>
      </c>
      <c r="AH699">
        <f>AND(IF(Metadata!G699="",FALSE,TRUE),exact(Metadata!G699,"host-associated"))</f>
        <v>0</v>
      </c>
      <c r="AI699">
        <f>OR(AND(IF(Metadata!H699="",FALSE,TRUE),OR(exact(Metadata!H699,"not collected"),exact(Metadata!H699,"not provided"))),AND(IF(Metadata!H699="",FALSE,ISNUMBER(VALUE(Metadata!H699))),Metadata!H699&gt;0))</f>
        <v>0</v>
      </c>
      <c r="AJ699">
        <f>AND(IF(Metadata!I699="",FALSE,TRUE),exact(Metadata!I699,"years"))</f>
        <v>0</v>
      </c>
      <c r="AK699">
        <f>IF(Metadata!J699="",FALSE,TRUE)</f>
        <v>0</v>
      </c>
      <c r="AL699">
        <f>OR(AND(IF(Metadata!K699="",FALSE,TRUE),OR(exact(Metadata!K699,"not collected"),exact(Metadata!K699,"not provided"))),AND(IF(Metadata!K699="",FALSE,ISNUMBER(VALUE(Metadata!K699))),Metadata!K699&gt;0))</f>
        <v>0</v>
      </c>
      <c r="AM699">
        <f>AND(IF(Metadata!L699="",FALSE,TRUE),exact(Metadata!L699,"cm"))</f>
        <v>0</v>
      </c>
      <c r="AN699">
        <f>IF(Metadata!M699="",FALSE,TRUE)</f>
        <v>0</v>
      </c>
      <c r="AO699">
        <f>OR(AND(IF(Metadata!N699="",FALSE,TRUE),OR(exact(Metadata!N699,"not applicable"),exact(Metadata!N699,"not collected"),exact(Metadata!N699,"not provided"))),AND(IF(Metadata!N699="",FALSE,IF(ISERROR(INT(Metadata!N699)),FALSE,INT(Metadata!N699)=Metadata!N699)),Metadata!N699&gt;0))</f>
        <v>0</v>
      </c>
      <c r="AP699">
        <f>OR(AND(IF(Metadata!O699="",FALSE,TRUE),OR(exact(Metadata!O699,"not collected"),exact(Metadata!O699,"not provided"))),AND(IF(Metadata!O699="",FALSE,ISNUMBER(VALUE(Metadata!O699))),Metadata!O699&gt;0))</f>
        <v>0</v>
      </c>
      <c r="AQ699">
        <f>AND(IF(Metadata!P699="",FALSE,TRUE),exact(Metadata!P699,"kg"))</f>
        <v>0</v>
      </c>
      <c r="AR699">
        <f>OR(AND(IF(Metadata!Q699="",FALSE,TRUE),OR(exact(Metadata!Q699,"not applicable"),exact(Metadata!Q699,"not collected"),exact(Metadata!Q699,"not provided"),exact(Metadata!Q699,"restricted access"))),IF(Metadata!Q699="",FALSE,IF(ISERROR(INT(Metadata!Q699)),FALSE,INT(Metadata!Q699)=Metadata!Q699)))</f>
        <v>0</v>
      </c>
      <c r="AS699">
        <f>AND(IF(Metadata!R699="",FALSE,TRUE),exact(Metadata!R699,"Not applicable"))</f>
        <v>0</v>
      </c>
    </row>
    <row r="700" spans="1:45">
      <c r="A700" s="4">
        <f>IF(B700=" "," ",HYPERLINK(CONCATENATE("#metadata!",ADDRESS(INDEX($X$2:$X$1001,MATCH(ROWS($V$2:V700),$V$2:$V$1001,0),0),2)),INDEX($AA$2:$AA$1001,MATCH(ROWS($V$2:V700),$V$2:$V$1001,0),0)))</f>
        <v>0</v>
      </c>
      <c r="B700" s="5">
        <f>IF(OR(INDEX($W$2:$W$1001,MATCH(ROWS($V$2:V700),$V$2:$V$1001,0),1)&gt;=100000,INDEX($AC$1005:$AS$1005,1,MATCH(COLUMNS($AC$1006:AC1006),$AC$1006:$AS$1006,0))&gt;=100000), " ",IF(INDEX($AC$2:$AS$1001,MATCH(ROWS($V$2:V700),$V$2:$V$1001,0),MATCH(COLUMNS($AC$1006:AC1006),$AC$1006:$AS$1006,0)), HYPERLINK("#",""), HYPERLINK(CONCATENATE("#Metadata!", ADDRESS(INDEX($X$2:$X$1001,MATCH(ROWS($V$2:V700),$V$2:$V$1001,0),0), INDEX($AC$1004:$AS$1004,1,MATCH(COLUMNS($AC$1006:AC1006),$AC$1006:$AS$1006,0)))),"Fix")))</f>
        <v>0</v>
      </c>
      <c r="C700" s="5">
        <f>IF(OR(INDEX($W$2:$W$1001,MATCH(ROWS($V$2:V700),$V$2:$V$1001,0),1)&gt;=100000,INDEX($AC$1005:$AS$1005,1,MATCH(COLUMNS($AC$1006:AD1006),$AC$1006:$AS$1006,0))&gt;=100000), " ",IF(INDEX($AC$2:$AS$1001,MATCH(ROWS($V$2:V700),$V$2:$V$1001,0),MATCH(COLUMNS($AC$1006:AD1006),$AC$1006:$AS$1006,0)), HYPERLINK("#",""), HYPERLINK(CONCATENATE("#Metadata!", ADDRESS(INDEX($X$2:$X$1001,MATCH(ROWS($V$2:V700),$V$2:$V$1001,0),0), INDEX($AC$1004:$AS$1004,1,MATCH(COLUMNS($AC$1006:AD1006),$AC$1006:$AS$1006,0)))),"Fix")))</f>
        <v>0</v>
      </c>
      <c r="D700" s="5">
        <f>IF(OR(INDEX($W$2:$W$1001,MATCH(ROWS($V$2:V700),$V$2:$V$1001,0),1)&gt;=100000,INDEX($AC$1005:$AS$1005,1,MATCH(COLUMNS($AC$1006:AE1006),$AC$1006:$AS$1006,0))&gt;=100000), " ",IF(INDEX($AC$2:$AS$1001,MATCH(ROWS($V$2:V700),$V$2:$V$1001,0),MATCH(COLUMNS($AC$1006:AE1006),$AC$1006:$AS$1006,0)), HYPERLINK("#",""), HYPERLINK(CONCATENATE("#Metadata!", ADDRESS(INDEX($X$2:$X$1001,MATCH(ROWS($V$2:V700),$V$2:$V$1001,0),0), INDEX($AC$1004:$AS$1004,1,MATCH(COLUMNS($AC$1006:AE1006),$AC$1006:$AS$1006,0)))),"Fix")))</f>
        <v>0</v>
      </c>
      <c r="E700" s="5">
        <f>IF(OR(INDEX($W$2:$W$1001,MATCH(ROWS($V$2:V700),$V$2:$V$1001,0),1)&gt;=100000,INDEX($AC$1005:$AS$1005,1,MATCH(COLUMNS($AC$1006:AF1006),$AC$1006:$AS$1006,0))&gt;=100000), " ",IF(INDEX($AC$2:$AS$1001,MATCH(ROWS($V$2:V700),$V$2:$V$1001,0),MATCH(COLUMNS($AC$1006:AF1006),$AC$1006:$AS$1006,0)), HYPERLINK("#",""), HYPERLINK(CONCATENATE("#Metadata!", ADDRESS(INDEX($X$2:$X$1001,MATCH(ROWS($V$2:V700),$V$2:$V$1001,0),0), INDEX($AC$1004:$AS$1004,1,MATCH(COLUMNS($AC$1006:AF1006),$AC$1006:$AS$1006,0)))),"Fix")))</f>
        <v>0</v>
      </c>
      <c r="F700" s="5">
        <f>IF(OR(INDEX($W$2:$W$1001,MATCH(ROWS($V$2:V700),$V$2:$V$1001,0),1)&gt;=100000,INDEX($AC$1005:$AS$1005,1,MATCH(COLUMNS($AC$1006:AG1006),$AC$1006:$AS$1006,0))&gt;=100000), " ",IF(INDEX($AC$2:$AS$1001,MATCH(ROWS($V$2:V700),$V$2:$V$1001,0),MATCH(COLUMNS($AC$1006:AG1006),$AC$1006:$AS$1006,0)), HYPERLINK("#",""), HYPERLINK(CONCATENATE("#Metadata!", ADDRESS(INDEX($X$2:$X$1001,MATCH(ROWS($V$2:V700),$V$2:$V$1001,0),0), INDEX($AC$1004:$AS$1004,1,MATCH(COLUMNS($AC$1006:AG1006),$AC$1006:$AS$1006,0)))),"Fix")))</f>
        <v>0</v>
      </c>
      <c r="G700" s="5">
        <f>IF(OR(INDEX($W$2:$W$1001,MATCH(ROWS($V$2:V700),$V$2:$V$1001,0),1)&gt;=100000,INDEX($AC$1005:$AS$1005,1,MATCH(COLUMNS($AC$1006:AH1006),$AC$1006:$AS$1006,0))&gt;=100000), " ",IF(INDEX($AC$2:$AS$1001,MATCH(ROWS($V$2:V700),$V$2:$V$1001,0),MATCH(COLUMNS($AC$1006:AH1006),$AC$1006:$AS$1006,0)), HYPERLINK("#",""), HYPERLINK(CONCATENATE("#Metadata!", ADDRESS(INDEX($X$2:$X$1001,MATCH(ROWS($V$2:V700),$V$2:$V$1001,0),0), INDEX($AC$1004:$AS$1004,1,MATCH(COLUMNS($AC$1006:AH1006),$AC$1006:$AS$1006,0)))),"Fix")))</f>
        <v>0</v>
      </c>
      <c r="H700" s="5">
        <f>IF(OR(INDEX($W$2:$W$1001,MATCH(ROWS($V$2:V700),$V$2:$V$1001,0),1)&gt;=100000,INDEX($AC$1005:$AS$1005,1,MATCH(COLUMNS($AC$1006:AI1006),$AC$1006:$AS$1006,0))&gt;=100000), " ",IF(INDEX($AC$2:$AS$1001,MATCH(ROWS($V$2:V700),$V$2:$V$1001,0),MATCH(COLUMNS($AC$1006:AI1006),$AC$1006:$AS$1006,0)), HYPERLINK("#",""), HYPERLINK(CONCATENATE("#Metadata!", ADDRESS(INDEX($X$2:$X$1001,MATCH(ROWS($V$2:V700),$V$2:$V$1001,0),0), INDEX($AC$1004:$AS$1004,1,MATCH(COLUMNS($AC$1006:AI1006),$AC$1006:$AS$1006,0)))),"Fix")))</f>
        <v>0</v>
      </c>
      <c r="I700" s="5">
        <f>IF(OR(INDEX($W$2:$W$1001,MATCH(ROWS($V$2:V700),$V$2:$V$1001,0),1)&gt;=100000,INDEX($AC$1005:$AS$1005,1,MATCH(COLUMNS($AC$1006:AJ1006),$AC$1006:$AS$1006,0))&gt;=100000), " ",IF(INDEX($AC$2:$AS$1001,MATCH(ROWS($V$2:V700),$V$2:$V$1001,0),MATCH(COLUMNS($AC$1006:AJ1006),$AC$1006:$AS$1006,0)), HYPERLINK("#",""), HYPERLINK(CONCATENATE("#Metadata!", ADDRESS(INDEX($X$2:$X$1001,MATCH(ROWS($V$2:V700),$V$2:$V$1001,0),0), INDEX($AC$1004:$AS$1004,1,MATCH(COLUMNS($AC$1006:AJ1006),$AC$1006:$AS$1006,0)))),"Fix")))</f>
        <v>0</v>
      </c>
      <c r="J700" s="5">
        <f>IF(OR(INDEX($W$2:$W$1001,MATCH(ROWS($V$2:V700),$V$2:$V$1001,0),1)&gt;=100000,INDEX($AC$1005:$AS$1005,1,MATCH(COLUMNS($AC$1006:AK1006),$AC$1006:$AS$1006,0))&gt;=100000), " ",IF(INDEX($AC$2:$AS$1001,MATCH(ROWS($V$2:V700),$V$2:$V$1001,0),MATCH(COLUMNS($AC$1006:AK1006),$AC$1006:$AS$1006,0)), HYPERLINK("#",""), HYPERLINK(CONCATENATE("#Metadata!", ADDRESS(INDEX($X$2:$X$1001,MATCH(ROWS($V$2:V700),$V$2:$V$1001,0),0), INDEX($AC$1004:$AS$1004,1,MATCH(COLUMNS($AC$1006:AK1006),$AC$1006:$AS$1006,0)))),"Fix")))</f>
        <v>0</v>
      </c>
      <c r="K700" s="5">
        <f>IF(OR(INDEX($W$2:$W$1001,MATCH(ROWS($V$2:V700),$V$2:$V$1001,0),1)&gt;=100000,INDEX($AC$1005:$AS$1005,1,MATCH(COLUMNS($AC$1006:AL1006),$AC$1006:$AS$1006,0))&gt;=100000), " ",IF(INDEX($AC$2:$AS$1001,MATCH(ROWS($V$2:V700),$V$2:$V$1001,0),MATCH(COLUMNS($AC$1006:AL1006),$AC$1006:$AS$1006,0)), HYPERLINK("#",""), HYPERLINK(CONCATENATE("#Metadata!", ADDRESS(INDEX($X$2:$X$1001,MATCH(ROWS($V$2:V700),$V$2:$V$1001,0),0), INDEX($AC$1004:$AS$1004,1,MATCH(COLUMNS($AC$1006:AL1006),$AC$1006:$AS$1006,0)))),"Fix")))</f>
        <v>0</v>
      </c>
      <c r="L700" s="5">
        <f>IF(OR(INDEX($W$2:$W$1001,MATCH(ROWS($V$2:V700),$V$2:$V$1001,0),1)&gt;=100000,INDEX($AC$1005:$AS$1005,1,MATCH(COLUMNS($AC$1006:AM1006),$AC$1006:$AS$1006,0))&gt;=100000), " ",IF(INDEX($AC$2:$AS$1001,MATCH(ROWS($V$2:V700),$V$2:$V$1001,0),MATCH(COLUMNS($AC$1006:AM1006),$AC$1006:$AS$1006,0)), HYPERLINK("#",""), HYPERLINK(CONCATENATE("#Metadata!", ADDRESS(INDEX($X$2:$X$1001,MATCH(ROWS($V$2:V700),$V$2:$V$1001,0),0), INDEX($AC$1004:$AS$1004,1,MATCH(COLUMNS($AC$1006:AM1006),$AC$1006:$AS$1006,0)))),"Fix")))</f>
        <v>0</v>
      </c>
      <c r="M700" s="5">
        <f>IF(OR(INDEX($W$2:$W$1001,MATCH(ROWS($V$2:V700),$V$2:$V$1001,0),1)&gt;=100000,INDEX($AC$1005:$AS$1005,1,MATCH(COLUMNS($AC$1006:AN1006),$AC$1006:$AS$1006,0))&gt;=100000), " ",IF(INDEX($AC$2:$AS$1001,MATCH(ROWS($V$2:V700),$V$2:$V$1001,0),MATCH(COLUMNS($AC$1006:AN1006),$AC$1006:$AS$1006,0)), HYPERLINK("#",""), HYPERLINK(CONCATENATE("#Metadata!", ADDRESS(INDEX($X$2:$X$1001,MATCH(ROWS($V$2:V700),$V$2:$V$1001,0),0), INDEX($AC$1004:$AS$1004,1,MATCH(COLUMNS($AC$1006:AN1006),$AC$1006:$AS$1006,0)))),"Fix")))</f>
        <v>0</v>
      </c>
      <c r="N700" s="5">
        <f>IF(OR(INDEX($W$2:$W$1001,MATCH(ROWS($V$2:V700),$V$2:$V$1001,0),1)&gt;=100000,INDEX($AC$1005:$AS$1005,1,MATCH(COLUMNS($AC$1006:AO1006),$AC$1006:$AS$1006,0))&gt;=100000), " ",IF(INDEX($AC$2:$AS$1001,MATCH(ROWS($V$2:V700),$V$2:$V$1001,0),MATCH(COLUMNS($AC$1006:AO1006),$AC$1006:$AS$1006,0)), HYPERLINK("#",""), HYPERLINK(CONCATENATE("#Metadata!", ADDRESS(INDEX($X$2:$X$1001,MATCH(ROWS($V$2:V700),$V$2:$V$1001,0),0), INDEX($AC$1004:$AS$1004,1,MATCH(COLUMNS($AC$1006:AO1006),$AC$1006:$AS$1006,0)))),"Fix")))</f>
        <v>0</v>
      </c>
      <c r="O700" s="5">
        <f>IF(OR(INDEX($W$2:$W$1001,MATCH(ROWS($V$2:V700),$V$2:$V$1001,0),1)&gt;=100000,INDEX($AC$1005:$AS$1005,1,MATCH(COLUMNS($AC$1006:AP1006),$AC$1006:$AS$1006,0))&gt;=100000), " ",IF(INDEX($AC$2:$AS$1001,MATCH(ROWS($V$2:V700),$V$2:$V$1001,0),MATCH(COLUMNS($AC$1006:AP1006),$AC$1006:$AS$1006,0)), HYPERLINK("#",""), HYPERLINK(CONCATENATE("#Metadata!", ADDRESS(INDEX($X$2:$X$1001,MATCH(ROWS($V$2:V700),$V$2:$V$1001,0),0), INDEX($AC$1004:$AS$1004,1,MATCH(COLUMNS($AC$1006:AP1006),$AC$1006:$AS$1006,0)))),"Fix")))</f>
        <v>0</v>
      </c>
      <c r="P700" s="5">
        <f>IF(OR(INDEX($W$2:$W$1001,MATCH(ROWS($V$2:V700),$V$2:$V$1001,0),1)&gt;=100000,INDEX($AC$1005:$AS$1005,1,MATCH(COLUMNS($AC$1006:AQ1006),$AC$1006:$AS$1006,0))&gt;=100000), " ",IF(INDEX($AC$2:$AS$1001,MATCH(ROWS($V$2:V700),$V$2:$V$1001,0),MATCH(COLUMNS($AC$1006:AQ1006),$AC$1006:$AS$1006,0)), HYPERLINK("#",""), HYPERLINK(CONCATENATE("#Metadata!", ADDRESS(INDEX($X$2:$X$1001,MATCH(ROWS($V$2:V700),$V$2:$V$1001,0),0), INDEX($AC$1004:$AS$1004,1,MATCH(COLUMNS($AC$1006:AQ1006),$AC$1006:$AS$1006,0)))),"Fix")))</f>
        <v>0</v>
      </c>
      <c r="Q700" s="5">
        <f>IF(OR(INDEX($W$2:$W$1001,MATCH(ROWS($V$2:V700),$V$2:$V$1001,0),1)&gt;=100000,INDEX($AC$1005:$AS$1005,1,MATCH(COLUMNS($AC$1006:AR1006),$AC$1006:$AS$1006,0))&gt;=100000), " ",IF(INDEX($AC$2:$AS$1001,MATCH(ROWS($V$2:V700),$V$2:$V$1001,0),MATCH(COLUMNS($AC$1006:AR1006),$AC$1006:$AS$1006,0)), HYPERLINK("#",""), HYPERLINK(CONCATENATE("#Metadata!", ADDRESS(INDEX($X$2:$X$1001,MATCH(ROWS($V$2:V700),$V$2:$V$1001,0),0), INDEX($AC$1004:$AS$1004,1,MATCH(COLUMNS($AC$1006:AR1006),$AC$1006:$AS$1006,0)))),"Fix")))</f>
        <v>0</v>
      </c>
      <c r="R700" s="5">
        <f>IF(OR(INDEX($W$2:$W$1001,MATCH(ROWS($V$2:V700),$V$2:$V$1001,0),1)&gt;=100000,INDEX($AC$1005:$AS$1005,1,MATCH(COLUMNS($AC$1006:AS1006),$AC$1006:$AS$1006,0))&gt;=100000), " ",IF(INDEX($AC$2:$AS$1001,MATCH(ROWS($V$2:V700),$V$2:$V$1001,0),MATCH(COLUMNS($AC$1006:AS1006),$AC$1006:$AS$1006,0)), HYPERLINK("#",""), HYPERLINK(CONCATENATE("#Metadata!", ADDRESS(INDEX($X$2:$X$1001,MATCH(ROWS($V$2:V700),$V$2:$V$1001,0),0), INDEX($AC$1004:$AS$1004,1,MATCH(COLUMNS($AC$1006:AS1006),$AC$1006:$AS$1006,0)))),"Fix")))</f>
        <v>0</v>
      </c>
      <c r="V700">
        <v>0</v>
      </c>
      <c r="W700">
        <v>0</v>
      </c>
      <c r="X700">
        <v>0</v>
      </c>
      <c r="Y700">
        <f>IF(Z700,TRUE,AND(AC700:AS700))</f>
        <v>0</v>
      </c>
      <c r="Z700">
        <f>COUNTBLANK(Metadata!B700:R700)=COLUMNS(Metadata!B700:R700)</f>
        <v>0</v>
      </c>
      <c r="AA700">
        <v>0</v>
      </c>
      <c r="AC700">
        <f>AND(IF(Metadata!B700="",FALSE,TRUE),COUNTIF(Metadata!B:B, Metadata!B700) = 1,NOT(ISERROR(SUMPRODUCT(SEARCH(MID(Metadata!B700,ROW(INDIRECT("1:"&amp;LEN(Metadata!B700))), 1),"0123456789abcdefghijklmnopqrstuvwxyzABCDEFGHIJKLMNOPQRSTUVWXYZ.")))))</f>
        <v>0</v>
      </c>
      <c r="AD700">
        <f>AND(IF(Metadata!C700="",FALSE,TRUE),exact(Metadata!C700,"Host-associated"))</f>
        <v>0</v>
      </c>
      <c r="AE700">
        <f>AND(IF(Metadata!D700="",FALSE,TRUE),OR(exact(Metadata!D700,"Animal"),exact(Metadata!D700,"Fungus"),exact(Metadata!D700,"Plant")))</f>
        <v>0</v>
      </c>
      <c r="AF700">
        <f>AND(IF(Metadata!E700="",FALSE,TRUE),OR(exact(Metadata!E700,"Plant secretion"),exact(Metadata!E700,"Plant rhizosphere"),exact(Metadata!E700,"Plant surface"),exact(Metadata!E700,"Plant corpus"),exact(Metadata!E700,"Fungus surface"),exact(Metadata!E700,"Fungus corpus"),exact(Metadata!E700,"Animal surface"),exact(Metadata!E700,"Animal proximal gut"),exact(Metadata!E700,"Animal corpus"),exact(Metadata!E700,"Animal distal gut"),exact(Metadata!E700,"Animal secretion")))</f>
        <v>0</v>
      </c>
      <c r="AG700">
        <f>OR(AND(IF(Metadata!F700="",FALSE,TRUE),OR(exact(Metadata!F700,"not collected"),exact(Metadata!F700,"not provided"),exact(Metadata!F700,"restricted access"))),AND(IF(Metadata!F700="",FALSE,TRUE),OR(exact(Metadata!F700,"organism-associated habitat"),exact(Metadata!F700,"plant-associated habitat"),exact(Metadata!F700,"animal-associated habitat"),exact(Metadata!F700,"insecta-associated habitat"),exact(Metadata!F700,"mammalia-associated habitat"),exact(Metadata!F700,"human-associated habitat"),exact(Metadata!F700,"livestock-associated habitat"))))</f>
        <v>0</v>
      </c>
      <c r="AH700">
        <f>AND(IF(Metadata!G700="",FALSE,TRUE),exact(Metadata!G700,"host-associated"))</f>
        <v>0</v>
      </c>
      <c r="AI700">
        <f>OR(AND(IF(Metadata!H700="",FALSE,TRUE),OR(exact(Metadata!H700,"not collected"),exact(Metadata!H700,"not provided"))),AND(IF(Metadata!H700="",FALSE,ISNUMBER(VALUE(Metadata!H700))),Metadata!H700&gt;0))</f>
        <v>0</v>
      </c>
      <c r="AJ700">
        <f>AND(IF(Metadata!I700="",FALSE,TRUE),exact(Metadata!I700,"years"))</f>
        <v>0</v>
      </c>
      <c r="AK700">
        <f>IF(Metadata!J700="",FALSE,TRUE)</f>
        <v>0</v>
      </c>
      <c r="AL700">
        <f>OR(AND(IF(Metadata!K700="",FALSE,TRUE),OR(exact(Metadata!K700,"not collected"),exact(Metadata!K700,"not provided"))),AND(IF(Metadata!K700="",FALSE,ISNUMBER(VALUE(Metadata!K700))),Metadata!K700&gt;0))</f>
        <v>0</v>
      </c>
      <c r="AM700">
        <f>AND(IF(Metadata!L700="",FALSE,TRUE),exact(Metadata!L700,"cm"))</f>
        <v>0</v>
      </c>
      <c r="AN700">
        <f>IF(Metadata!M700="",FALSE,TRUE)</f>
        <v>0</v>
      </c>
      <c r="AO700">
        <f>OR(AND(IF(Metadata!N700="",FALSE,TRUE),OR(exact(Metadata!N700,"not applicable"),exact(Metadata!N700,"not collected"),exact(Metadata!N700,"not provided"))),AND(IF(Metadata!N700="",FALSE,IF(ISERROR(INT(Metadata!N700)),FALSE,INT(Metadata!N700)=Metadata!N700)),Metadata!N700&gt;0))</f>
        <v>0</v>
      </c>
      <c r="AP700">
        <f>OR(AND(IF(Metadata!O700="",FALSE,TRUE),OR(exact(Metadata!O700,"not collected"),exact(Metadata!O700,"not provided"))),AND(IF(Metadata!O700="",FALSE,ISNUMBER(VALUE(Metadata!O700))),Metadata!O700&gt;0))</f>
        <v>0</v>
      </c>
      <c r="AQ700">
        <f>AND(IF(Metadata!P700="",FALSE,TRUE),exact(Metadata!P700,"kg"))</f>
        <v>0</v>
      </c>
      <c r="AR700">
        <f>OR(AND(IF(Metadata!Q700="",FALSE,TRUE),OR(exact(Metadata!Q700,"not applicable"),exact(Metadata!Q700,"not collected"),exact(Metadata!Q700,"not provided"),exact(Metadata!Q700,"restricted access"))),IF(Metadata!Q700="",FALSE,IF(ISERROR(INT(Metadata!Q700)),FALSE,INT(Metadata!Q700)=Metadata!Q700)))</f>
        <v>0</v>
      </c>
      <c r="AS700">
        <f>AND(IF(Metadata!R700="",FALSE,TRUE),exact(Metadata!R700,"Not applicable"))</f>
        <v>0</v>
      </c>
    </row>
    <row r="701" spans="1:45">
      <c r="A701" s="4">
        <f>IF(B701=" "," ",HYPERLINK(CONCATENATE("#metadata!",ADDRESS(INDEX($X$2:$X$1001,MATCH(ROWS($V$2:V701),$V$2:$V$1001,0),0),2)),INDEX($AA$2:$AA$1001,MATCH(ROWS($V$2:V701),$V$2:$V$1001,0),0)))</f>
        <v>0</v>
      </c>
      <c r="B701" s="5">
        <f>IF(OR(INDEX($W$2:$W$1001,MATCH(ROWS($V$2:V701),$V$2:$V$1001,0),1)&gt;=100000,INDEX($AC$1005:$AS$1005,1,MATCH(COLUMNS($AC$1006:AC1006),$AC$1006:$AS$1006,0))&gt;=100000), " ",IF(INDEX($AC$2:$AS$1001,MATCH(ROWS($V$2:V701),$V$2:$V$1001,0),MATCH(COLUMNS($AC$1006:AC1006),$AC$1006:$AS$1006,0)), HYPERLINK("#",""), HYPERLINK(CONCATENATE("#Metadata!", ADDRESS(INDEX($X$2:$X$1001,MATCH(ROWS($V$2:V701),$V$2:$V$1001,0),0), INDEX($AC$1004:$AS$1004,1,MATCH(COLUMNS($AC$1006:AC1006),$AC$1006:$AS$1006,0)))),"Fix")))</f>
        <v>0</v>
      </c>
      <c r="C701" s="5">
        <f>IF(OR(INDEX($W$2:$W$1001,MATCH(ROWS($V$2:V701),$V$2:$V$1001,0),1)&gt;=100000,INDEX($AC$1005:$AS$1005,1,MATCH(COLUMNS($AC$1006:AD1006),$AC$1006:$AS$1006,0))&gt;=100000), " ",IF(INDEX($AC$2:$AS$1001,MATCH(ROWS($V$2:V701),$V$2:$V$1001,0),MATCH(COLUMNS($AC$1006:AD1006),$AC$1006:$AS$1006,0)), HYPERLINK("#",""), HYPERLINK(CONCATENATE("#Metadata!", ADDRESS(INDEX($X$2:$X$1001,MATCH(ROWS($V$2:V701),$V$2:$V$1001,0),0), INDEX($AC$1004:$AS$1004,1,MATCH(COLUMNS($AC$1006:AD1006),$AC$1006:$AS$1006,0)))),"Fix")))</f>
        <v>0</v>
      </c>
      <c r="D701" s="5">
        <f>IF(OR(INDEX($W$2:$W$1001,MATCH(ROWS($V$2:V701),$V$2:$V$1001,0),1)&gt;=100000,INDEX($AC$1005:$AS$1005,1,MATCH(COLUMNS($AC$1006:AE1006),$AC$1006:$AS$1006,0))&gt;=100000), " ",IF(INDEX($AC$2:$AS$1001,MATCH(ROWS($V$2:V701),$V$2:$V$1001,0),MATCH(COLUMNS($AC$1006:AE1006),$AC$1006:$AS$1006,0)), HYPERLINK("#",""), HYPERLINK(CONCATENATE("#Metadata!", ADDRESS(INDEX($X$2:$X$1001,MATCH(ROWS($V$2:V701),$V$2:$V$1001,0),0), INDEX($AC$1004:$AS$1004,1,MATCH(COLUMNS($AC$1006:AE1006),$AC$1006:$AS$1006,0)))),"Fix")))</f>
        <v>0</v>
      </c>
      <c r="E701" s="5">
        <f>IF(OR(INDEX($W$2:$W$1001,MATCH(ROWS($V$2:V701),$V$2:$V$1001,0),1)&gt;=100000,INDEX($AC$1005:$AS$1005,1,MATCH(COLUMNS($AC$1006:AF1006),$AC$1006:$AS$1006,0))&gt;=100000), " ",IF(INDEX($AC$2:$AS$1001,MATCH(ROWS($V$2:V701),$V$2:$V$1001,0),MATCH(COLUMNS($AC$1006:AF1006),$AC$1006:$AS$1006,0)), HYPERLINK("#",""), HYPERLINK(CONCATENATE("#Metadata!", ADDRESS(INDEX($X$2:$X$1001,MATCH(ROWS($V$2:V701),$V$2:$V$1001,0),0), INDEX($AC$1004:$AS$1004,1,MATCH(COLUMNS($AC$1006:AF1006),$AC$1006:$AS$1006,0)))),"Fix")))</f>
        <v>0</v>
      </c>
      <c r="F701" s="5">
        <f>IF(OR(INDEX($W$2:$W$1001,MATCH(ROWS($V$2:V701),$V$2:$V$1001,0),1)&gt;=100000,INDEX($AC$1005:$AS$1005,1,MATCH(COLUMNS($AC$1006:AG1006),$AC$1006:$AS$1006,0))&gt;=100000), " ",IF(INDEX($AC$2:$AS$1001,MATCH(ROWS($V$2:V701),$V$2:$V$1001,0),MATCH(COLUMNS($AC$1006:AG1006),$AC$1006:$AS$1006,0)), HYPERLINK("#",""), HYPERLINK(CONCATENATE("#Metadata!", ADDRESS(INDEX($X$2:$X$1001,MATCH(ROWS($V$2:V701),$V$2:$V$1001,0),0), INDEX($AC$1004:$AS$1004,1,MATCH(COLUMNS($AC$1006:AG1006),$AC$1006:$AS$1006,0)))),"Fix")))</f>
        <v>0</v>
      </c>
      <c r="G701" s="5">
        <f>IF(OR(INDEX($W$2:$W$1001,MATCH(ROWS($V$2:V701),$V$2:$V$1001,0),1)&gt;=100000,INDEX($AC$1005:$AS$1005,1,MATCH(COLUMNS($AC$1006:AH1006),$AC$1006:$AS$1006,0))&gt;=100000), " ",IF(INDEX($AC$2:$AS$1001,MATCH(ROWS($V$2:V701),$V$2:$V$1001,0),MATCH(COLUMNS($AC$1006:AH1006),$AC$1006:$AS$1006,0)), HYPERLINK("#",""), HYPERLINK(CONCATENATE("#Metadata!", ADDRESS(INDEX($X$2:$X$1001,MATCH(ROWS($V$2:V701),$V$2:$V$1001,0),0), INDEX($AC$1004:$AS$1004,1,MATCH(COLUMNS($AC$1006:AH1006),$AC$1006:$AS$1006,0)))),"Fix")))</f>
        <v>0</v>
      </c>
      <c r="H701" s="5">
        <f>IF(OR(INDEX($W$2:$W$1001,MATCH(ROWS($V$2:V701),$V$2:$V$1001,0),1)&gt;=100000,INDEX($AC$1005:$AS$1005,1,MATCH(COLUMNS($AC$1006:AI1006),$AC$1006:$AS$1006,0))&gt;=100000), " ",IF(INDEX($AC$2:$AS$1001,MATCH(ROWS($V$2:V701),$V$2:$V$1001,0),MATCH(COLUMNS($AC$1006:AI1006),$AC$1006:$AS$1006,0)), HYPERLINK("#",""), HYPERLINK(CONCATENATE("#Metadata!", ADDRESS(INDEX($X$2:$X$1001,MATCH(ROWS($V$2:V701),$V$2:$V$1001,0),0), INDEX($AC$1004:$AS$1004,1,MATCH(COLUMNS($AC$1006:AI1006),$AC$1006:$AS$1006,0)))),"Fix")))</f>
        <v>0</v>
      </c>
      <c r="I701" s="5">
        <f>IF(OR(INDEX($W$2:$W$1001,MATCH(ROWS($V$2:V701),$V$2:$V$1001,0),1)&gt;=100000,INDEX($AC$1005:$AS$1005,1,MATCH(COLUMNS($AC$1006:AJ1006),$AC$1006:$AS$1006,0))&gt;=100000), " ",IF(INDEX($AC$2:$AS$1001,MATCH(ROWS($V$2:V701),$V$2:$V$1001,0),MATCH(COLUMNS($AC$1006:AJ1006),$AC$1006:$AS$1006,0)), HYPERLINK("#",""), HYPERLINK(CONCATENATE("#Metadata!", ADDRESS(INDEX($X$2:$X$1001,MATCH(ROWS($V$2:V701),$V$2:$V$1001,0),0), INDEX($AC$1004:$AS$1004,1,MATCH(COLUMNS($AC$1006:AJ1006),$AC$1006:$AS$1006,0)))),"Fix")))</f>
        <v>0</v>
      </c>
      <c r="J701" s="5">
        <f>IF(OR(INDEX($W$2:$W$1001,MATCH(ROWS($V$2:V701),$V$2:$V$1001,0),1)&gt;=100000,INDEX($AC$1005:$AS$1005,1,MATCH(COLUMNS($AC$1006:AK1006),$AC$1006:$AS$1006,0))&gt;=100000), " ",IF(INDEX($AC$2:$AS$1001,MATCH(ROWS($V$2:V701),$V$2:$V$1001,0),MATCH(COLUMNS($AC$1006:AK1006),$AC$1006:$AS$1006,0)), HYPERLINK("#",""), HYPERLINK(CONCATENATE("#Metadata!", ADDRESS(INDEX($X$2:$X$1001,MATCH(ROWS($V$2:V701),$V$2:$V$1001,0),0), INDEX($AC$1004:$AS$1004,1,MATCH(COLUMNS($AC$1006:AK1006),$AC$1006:$AS$1006,0)))),"Fix")))</f>
        <v>0</v>
      </c>
      <c r="K701" s="5">
        <f>IF(OR(INDEX($W$2:$W$1001,MATCH(ROWS($V$2:V701),$V$2:$V$1001,0),1)&gt;=100000,INDEX($AC$1005:$AS$1005,1,MATCH(COLUMNS($AC$1006:AL1006),$AC$1006:$AS$1006,0))&gt;=100000), " ",IF(INDEX($AC$2:$AS$1001,MATCH(ROWS($V$2:V701),$V$2:$V$1001,0),MATCH(COLUMNS($AC$1006:AL1006),$AC$1006:$AS$1006,0)), HYPERLINK("#",""), HYPERLINK(CONCATENATE("#Metadata!", ADDRESS(INDEX($X$2:$X$1001,MATCH(ROWS($V$2:V701),$V$2:$V$1001,0),0), INDEX($AC$1004:$AS$1004,1,MATCH(COLUMNS($AC$1006:AL1006),$AC$1006:$AS$1006,0)))),"Fix")))</f>
        <v>0</v>
      </c>
      <c r="L701" s="5">
        <f>IF(OR(INDEX($W$2:$W$1001,MATCH(ROWS($V$2:V701),$V$2:$V$1001,0),1)&gt;=100000,INDEX($AC$1005:$AS$1005,1,MATCH(COLUMNS($AC$1006:AM1006),$AC$1006:$AS$1006,0))&gt;=100000), " ",IF(INDEX($AC$2:$AS$1001,MATCH(ROWS($V$2:V701),$V$2:$V$1001,0),MATCH(COLUMNS($AC$1006:AM1006),$AC$1006:$AS$1006,0)), HYPERLINK("#",""), HYPERLINK(CONCATENATE("#Metadata!", ADDRESS(INDEX($X$2:$X$1001,MATCH(ROWS($V$2:V701),$V$2:$V$1001,0),0), INDEX($AC$1004:$AS$1004,1,MATCH(COLUMNS($AC$1006:AM1006),$AC$1006:$AS$1006,0)))),"Fix")))</f>
        <v>0</v>
      </c>
      <c r="M701" s="5">
        <f>IF(OR(INDEX($W$2:$W$1001,MATCH(ROWS($V$2:V701),$V$2:$V$1001,0),1)&gt;=100000,INDEX($AC$1005:$AS$1005,1,MATCH(COLUMNS($AC$1006:AN1006),$AC$1006:$AS$1006,0))&gt;=100000), " ",IF(INDEX($AC$2:$AS$1001,MATCH(ROWS($V$2:V701),$V$2:$V$1001,0),MATCH(COLUMNS($AC$1006:AN1006),$AC$1006:$AS$1006,0)), HYPERLINK("#",""), HYPERLINK(CONCATENATE("#Metadata!", ADDRESS(INDEX($X$2:$X$1001,MATCH(ROWS($V$2:V701),$V$2:$V$1001,0),0), INDEX($AC$1004:$AS$1004,1,MATCH(COLUMNS($AC$1006:AN1006),$AC$1006:$AS$1006,0)))),"Fix")))</f>
        <v>0</v>
      </c>
      <c r="N701" s="5">
        <f>IF(OR(INDEX($W$2:$W$1001,MATCH(ROWS($V$2:V701),$V$2:$V$1001,0),1)&gt;=100000,INDEX($AC$1005:$AS$1005,1,MATCH(COLUMNS($AC$1006:AO1006),$AC$1006:$AS$1006,0))&gt;=100000), " ",IF(INDEX($AC$2:$AS$1001,MATCH(ROWS($V$2:V701),$V$2:$V$1001,0),MATCH(COLUMNS($AC$1006:AO1006),$AC$1006:$AS$1006,0)), HYPERLINK("#",""), HYPERLINK(CONCATENATE("#Metadata!", ADDRESS(INDEX($X$2:$X$1001,MATCH(ROWS($V$2:V701),$V$2:$V$1001,0),0), INDEX($AC$1004:$AS$1004,1,MATCH(COLUMNS($AC$1006:AO1006),$AC$1006:$AS$1006,0)))),"Fix")))</f>
        <v>0</v>
      </c>
      <c r="O701" s="5">
        <f>IF(OR(INDEX($W$2:$W$1001,MATCH(ROWS($V$2:V701),$V$2:$V$1001,0),1)&gt;=100000,INDEX($AC$1005:$AS$1005,1,MATCH(COLUMNS($AC$1006:AP1006),$AC$1006:$AS$1006,0))&gt;=100000), " ",IF(INDEX($AC$2:$AS$1001,MATCH(ROWS($V$2:V701),$V$2:$V$1001,0),MATCH(COLUMNS($AC$1006:AP1006),$AC$1006:$AS$1006,0)), HYPERLINK("#",""), HYPERLINK(CONCATENATE("#Metadata!", ADDRESS(INDEX($X$2:$X$1001,MATCH(ROWS($V$2:V701),$V$2:$V$1001,0),0), INDEX($AC$1004:$AS$1004,1,MATCH(COLUMNS($AC$1006:AP1006),$AC$1006:$AS$1006,0)))),"Fix")))</f>
        <v>0</v>
      </c>
      <c r="P701" s="5">
        <f>IF(OR(INDEX($W$2:$W$1001,MATCH(ROWS($V$2:V701),$V$2:$V$1001,0),1)&gt;=100000,INDEX($AC$1005:$AS$1005,1,MATCH(COLUMNS($AC$1006:AQ1006),$AC$1006:$AS$1006,0))&gt;=100000), " ",IF(INDEX($AC$2:$AS$1001,MATCH(ROWS($V$2:V701),$V$2:$V$1001,0),MATCH(COLUMNS($AC$1006:AQ1006),$AC$1006:$AS$1006,0)), HYPERLINK("#",""), HYPERLINK(CONCATENATE("#Metadata!", ADDRESS(INDEX($X$2:$X$1001,MATCH(ROWS($V$2:V701),$V$2:$V$1001,0),0), INDEX($AC$1004:$AS$1004,1,MATCH(COLUMNS($AC$1006:AQ1006),$AC$1006:$AS$1006,0)))),"Fix")))</f>
        <v>0</v>
      </c>
      <c r="Q701" s="5">
        <f>IF(OR(INDEX($W$2:$W$1001,MATCH(ROWS($V$2:V701),$V$2:$V$1001,0),1)&gt;=100000,INDEX($AC$1005:$AS$1005,1,MATCH(COLUMNS($AC$1006:AR1006),$AC$1006:$AS$1006,0))&gt;=100000), " ",IF(INDEX($AC$2:$AS$1001,MATCH(ROWS($V$2:V701),$V$2:$V$1001,0),MATCH(COLUMNS($AC$1006:AR1006),$AC$1006:$AS$1006,0)), HYPERLINK("#",""), HYPERLINK(CONCATENATE("#Metadata!", ADDRESS(INDEX($X$2:$X$1001,MATCH(ROWS($V$2:V701),$V$2:$V$1001,0),0), INDEX($AC$1004:$AS$1004,1,MATCH(COLUMNS($AC$1006:AR1006),$AC$1006:$AS$1006,0)))),"Fix")))</f>
        <v>0</v>
      </c>
      <c r="R701" s="5">
        <f>IF(OR(INDEX($W$2:$W$1001,MATCH(ROWS($V$2:V701),$V$2:$V$1001,0),1)&gt;=100000,INDEX($AC$1005:$AS$1005,1,MATCH(COLUMNS($AC$1006:AS1006),$AC$1006:$AS$1006,0))&gt;=100000), " ",IF(INDEX($AC$2:$AS$1001,MATCH(ROWS($V$2:V701),$V$2:$V$1001,0),MATCH(COLUMNS($AC$1006:AS1006),$AC$1006:$AS$1006,0)), HYPERLINK("#",""), HYPERLINK(CONCATENATE("#Metadata!", ADDRESS(INDEX($X$2:$X$1001,MATCH(ROWS($V$2:V701),$V$2:$V$1001,0),0), INDEX($AC$1004:$AS$1004,1,MATCH(COLUMNS($AC$1006:AS1006),$AC$1006:$AS$1006,0)))),"Fix")))</f>
        <v>0</v>
      </c>
      <c r="V701">
        <v>0</v>
      </c>
      <c r="W701">
        <v>0</v>
      </c>
      <c r="X701">
        <v>0</v>
      </c>
      <c r="Y701">
        <f>IF(Z701,TRUE,AND(AC701:AS701))</f>
        <v>0</v>
      </c>
      <c r="Z701">
        <f>COUNTBLANK(Metadata!B701:R701)=COLUMNS(Metadata!B701:R701)</f>
        <v>0</v>
      </c>
      <c r="AA701">
        <v>0</v>
      </c>
      <c r="AC701">
        <f>AND(IF(Metadata!B701="",FALSE,TRUE),COUNTIF(Metadata!B:B, Metadata!B701) = 1,NOT(ISERROR(SUMPRODUCT(SEARCH(MID(Metadata!B701,ROW(INDIRECT("1:"&amp;LEN(Metadata!B701))), 1),"0123456789abcdefghijklmnopqrstuvwxyzABCDEFGHIJKLMNOPQRSTUVWXYZ.")))))</f>
        <v>0</v>
      </c>
      <c r="AD701">
        <f>AND(IF(Metadata!C701="",FALSE,TRUE),exact(Metadata!C701,"Host-associated"))</f>
        <v>0</v>
      </c>
      <c r="AE701">
        <f>AND(IF(Metadata!D701="",FALSE,TRUE),OR(exact(Metadata!D701,"Animal"),exact(Metadata!D701,"Fungus"),exact(Metadata!D701,"Plant")))</f>
        <v>0</v>
      </c>
      <c r="AF701">
        <f>AND(IF(Metadata!E701="",FALSE,TRUE),OR(exact(Metadata!E701,"Plant secretion"),exact(Metadata!E701,"Plant rhizosphere"),exact(Metadata!E701,"Plant surface"),exact(Metadata!E701,"Plant corpus"),exact(Metadata!E701,"Fungus surface"),exact(Metadata!E701,"Fungus corpus"),exact(Metadata!E701,"Animal surface"),exact(Metadata!E701,"Animal proximal gut"),exact(Metadata!E701,"Animal corpus"),exact(Metadata!E701,"Animal distal gut"),exact(Metadata!E701,"Animal secretion")))</f>
        <v>0</v>
      </c>
      <c r="AG701">
        <f>OR(AND(IF(Metadata!F701="",FALSE,TRUE),OR(exact(Metadata!F701,"not collected"),exact(Metadata!F701,"not provided"),exact(Metadata!F701,"restricted access"))),AND(IF(Metadata!F701="",FALSE,TRUE),OR(exact(Metadata!F701,"organism-associated habitat"),exact(Metadata!F701,"plant-associated habitat"),exact(Metadata!F701,"animal-associated habitat"),exact(Metadata!F701,"insecta-associated habitat"),exact(Metadata!F701,"mammalia-associated habitat"),exact(Metadata!F701,"human-associated habitat"),exact(Metadata!F701,"livestock-associated habitat"))))</f>
        <v>0</v>
      </c>
      <c r="AH701">
        <f>AND(IF(Metadata!G701="",FALSE,TRUE),exact(Metadata!G701,"host-associated"))</f>
        <v>0</v>
      </c>
      <c r="AI701">
        <f>OR(AND(IF(Metadata!H701="",FALSE,TRUE),OR(exact(Metadata!H701,"not collected"),exact(Metadata!H701,"not provided"))),AND(IF(Metadata!H701="",FALSE,ISNUMBER(VALUE(Metadata!H701))),Metadata!H701&gt;0))</f>
        <v>0</v>
      </c>
      <c r="AJ701">
        <f>AND(IF(Metadata!I701="",FALSE,TRUE),exact(Metadata!I701,"years"))</f>
        <v>0</v>
      </c>
      <c r="AK701">
        <f>IF(Metadata!J701="",FALSE,TRUE)</f>
        <v>0</v>
      </c>
      <c r="AL701">
        <f>OR(AND(IF(Metadata!K701="",FALSE,TRUE),OR(exact(Metadata!K701,"not collected"),exact(Metadata!K701,"not provided"))),AND(IF(Metadata!K701="",FALSE,ISNUMBER(VALUE(Metadata!K701))),Metadata!K701&gt;0))</f>
        <v>0</v>
      </c>
      <c r="AM701">
        <f>AND(IF(Metadata!L701="",FALSE,TRUE),exact(Metadata!L701,"cm"))</f>
        <v>0</v>
      </c>
      <c r="AN701">
        <f>IF(Metadata!M701="",FALSE,TRUE)</f>
        <v>0</v>
      </c>
      <c r="AO701">
        <f>OR(AND(IF(Metadata!N701="",FALSE,TRUE),OR(exact(Metadata!N701,"not applicable"),exact(Metadata!N701,"not collected"),exact(Metadata!N701,"not provided"))),AND(IF(Metadata!N701="",FALSE,IF(ISERROR(INT(Metadata!N701)),FALSE,INT(Metadata!N701)=Metadata!N701)),Metadata!N701&gt;0))</f>
        <v>0</v>
      </c>
      <c r="AP701">
        <f>OR(AND(IF(Metadata!O701="",FALSE,TRUE),OR(exact(Metadata!O701,"not collected"),exact(Metadata!O701,"not provided"))),AND(IF(Metadata!O701="",FALSE,ISNUMBER(VALUE(Metadata!O701))),Metadata!O701&gt;0))</f>
        <v>0</v>
      </c>
      <c r="AQ701">
        <f>AND(IF(Metadata!P701="",FALSE,TRUE),exact(Metadata!P701,"kg"))</f>
        <v>0</v>
      </c>
      <c r="AR701">
        <f>OR(AND(IF(Metadata!Q701="",FALSE,TRUE),OR(exact(Metadata!Q701,"not applicable"),exact(Metadata!Q701,"not collected"),exact(Metadata!Q701,"not provided"),exact(Metadata!Q701,"restricted access"))),IF(Metadata!Q701="",FALSE,IF(ISERROR(INT(Metadata!Q701)),FALSE,INT(Metadata!Q701)=Metadata!Q701)))</f>
        <v>0</v>
      </c>
      <c r="AS701">
        <f>AND(IF(Metadata!R701="",FALSE,TRUE),exact(Metadata!R701,"Not applicable"))</f>
        <v>0</v>
      </c>
    </row>
    <row r="702" spans="1:45">
      <c r="A702" s="4">
        <f>IF(B702=" "," ",HYPERLINK(CONCATENATE("#metadata!",ADDRESS(INDEX($X$2:$X$1001,MATCH(ROWS($V$2:V702),$V$2:$V$1001,0),0),2)),INDEX($AA$2:$AA$1001,MATCH(ROWS($V$2:V702),$V$2:$V$1001,0),0)))</f>
        <v>0</v>
      </c>
      <c r="B702" s="5">
        <f>IF(OR(INDEX($W$2:$W$1001,MATCH(ROWS($V$2:V702),$V$2:$V$1001,0),1)&gt;=100000,INDEX($AC$1005:$AS$1005,1,MATCH(COLUMNS($AC$1006:AC1006),$AC$1006:$AS$1006,0))&gt;=100000), " ",IF(INDEX($AC$2:$AS$1001,MATCH(ROWS($V$2:V702),$V$2:$V$1001,0),MATCH(COLUMNS($AC$1006:AC1006),$AC$1006:$AS$1006,0)), HYPERLINK("#",""), HYPERLINK(CONCATENATE("#Metadata!", ADDRESS(INDEX($X$2:$X$1001,MATCH(ROWS($V$2:V702),$V$2:$V$1001,0),0), INDEX($AC$1004:$AS$1004,1,MATCH(COLUMNS($AC$1006:AC1006),$AC$1006:$AS$1006,0)))),"Fix")))</f>
        <v>0</v>
      </c>
      <c r="C702" s="5">
        <f>IF(OR(INDEX($W$2:$W$1001,MATCH(ROWS($V$2:V702),$V$2:$V$1001,0),1)&gt;=100000,INDEX($AC$1005:$AS$1005,1,MATCH(COLUMNS($AC$1006:AD1006),$AC$1006:$AS$1006,0))&gt;=100000), " ",IF(INDEX($AC$2:$AS$1001,MATCH(ROWS($V$2:V702),$V$2:$V$1001,0),MATCH(COLUMNS($AC$1006:AD1006),$AC$1006:$AS$1006,0)), HYPERLINK("#",""), HYPERLINK(CONCATENATE("#Metadata!", ADDRESS(INDEX($X$2:$X$1001,MATCH(ROWS($V$2:V702),$V$2:$V$1001,0),0), INDEX($AC$1004:$AS$1004,1,MATCH(COLUMNS($AC$1006:AD1006),$AC$1006:$AS$1006,0)))),"Fix")))</f>
        <v>0</v>
      </c>
      <c r="D702" s="5">
        <f>IF(OR(INDEX($W$2:$W$1001,MATCH(ROWS($V$2:V702),$V$2:$V$1001,0),1)&gt;=100000,INDEX($AC$1005:$AS$1005,1,MATCH(COLUMNS($AC$1006:AE1006),$AC$1006:$AS$1006,0))&gt;=100000), " ",IF(INDEX($AC$2:$AS$1001,MATCH(ROWS($V$2:V702),$V$2:$V$1001,0),MATCH(COLUMNS($AC$1006:AE1006),$AC$1006:$AS$1006,0)), HYPERLINK("#",""), HYPERLINK(CONCATENATE("#Metadata!", ADDRESS(INDEX($X$2:$X$1001,MATCH(ROWS($V$2:V702),$V$2:$V$1001,0),0), INDEX($AC$1004:$AS$1004,1,MATCH(COLUMNS($AC$1006:AE1006),$AC$1006:$AS$1006,0)))),"Fix")))</f>
        <v>0</v>
      </c>
      <c r="E702" s="5">
        <f>IF(OR(INDEX($W$2:$W$1001,MATCH(ROWS($V$2:V702),$V$2:$V$1001,0),1)&gt;=100000,INDEX($AC$1005:$AS$1005,1,MATCH(COLUMNS($AC$1006:AF1006),$AC$1006:$AS$1006,0))&gt;=100000), " ",IF(INDEX($AC$2:$AS$1001,MATCH(ROWS($V$2:V702),$V$2:$V$1001,0),MATCH(COLUMNS($AC$1006:AF1006),$AC$1006:$AS$1006,0)), HYPERLINK("#",""), HYPERLINK(CONCATENATE("#Metadata!", ADDRESS(INDEX($X$2:$X$1001,MATCH(ROWS($V$2:V702),$V$2:$V$1001,0),0), INDEX($AC$1004:$AS$1004,1,MATCH(COLUMNS($AC$1006:AF1006),$AC$1006:$AS$1006,0)))),"Fix")))</f>
        <v>0</v>
      </c>
      <c r="F702" s="5">
        <f>IF(OR(INDEX($W$2:$W$1001,MATCH(ROWS($V$2:V702),$V$2:$V$1001,0),1)&gt;=100000,INDEX($AC$1005:$AS$1005,1,MATCH(COLUMNS($AC$1006:AG1006),$AC$1006:$AS$1006,0))&gt;=100000), " ",IF(INDEX($AC$2:$AS$1001,MATCH(ROWS($V$2:V702),$V$2:$V$1001,0),MATCH(COLUMNS($AC$1006:AG1006),$AC$1006:$AS$1006,0)), HYPERLINK("#",""), HYPERLINK(CONCATENATE("#Metadata!", ADDRESS(INDEX($X$2:$X$1001,MATCH(ROWS($V$2:V702),$V$2:$V$1001,0),0), INDEX($AC$1004:$AS$1004,1,MATCH(COLUMNS($AC$1006:AG1006),$AC$1006:$AS$1006,0)))),"Fix")))</f>
        <v>0</v>
      </c>
      <c r="G702" s="5">
        <f>IF(OR(INDEX($W$2:$W$1001,MATCH(ROWS($V$2:V702),$V$2:$V$1001,0),1)&gt;=100000,INDEX($AC$1005:$AS$1005,1,MATCH(COLUMNS($AC$1006:AH1006),$AC$1006:$AS$1006,0))&gt;=100000), " ",IF(INDEX($AC$2:$AS$1001,MATCH(ROWS($V$2:V702),$V$2:$V$1001,0),MATCH(COLUMNS($AC$1006:AH1006),$AC$1006:$AS$1006,0)), HYPERLINK("#",""), HYPERLINK(CONCATENATE("#Metadata!", ADDRESS(INDEX($X$2:$X$1001,MATCH(ROWS($V$2:V702),$V$2:$V$1001,0),0), INDEX($AC$1004:$AS$1004,1,MATCH(COLUMNS($AC$1006:AH1006),$AC$1006:$AS$1006,0)))),"Fix")))</f>
        <v>0</v>
      </c>
      <c r="H702" s="5">
        <f>IF(OR(INDEX($W$2:$W$1001,MATCH(ROWS($V$2:V702),$V$2:$V$1001,0),1)&gt;=100000,INDEX($AC$1005:$AS$1005,1,MATCH(COLUMNS($AC$1006:AI1006),$AC$1006:$AS$1006,0))&gt;=100000), " ",IF(INDEX($AC$2:$AS$1001,MATCH(ROWS($V$2:V702),$V$2:$V$1001,0),MATCH(COLUMNS($AC$1006:AI1006),$AC$1006:$AS$1006,0)), HYPERLINK("#",""), HYPERLINK(CONCATENATE("#Metadata!", ADDRESS(INDEX($X$2:$X$1001,MATCH(ROWS($V$2:V702),$V$2:$V$1001,0),0), INDEX($AC$1004:$AS$1004,1,MATCH(COLUMNS($AC$1006:AI1006),$AC$1006:$AS$1006,0)))),"Fix")))</f>
        <v>0</v>
      </c>
      <c r="I702" s="5">
        <f>IF(OR(INDEX($W$2:$W$1001,MATCH(ROWS($V$2:V702),$V$2:$V$1001,0),1)&gt;=100000,INDEX($AC$1005:$AS$1005,1,MATCH(COLUMNS($AC$1006:AJ1006),$AC$1006:$AS$1006,0))&gt;=100000), " ",IF(INDEX($AC$2:$AS$1001,MATCH(ROWS($V$2:V702),$V$2:$V$1001,0),MATCH(COLUMNS($AC$1006:AJ1006),$AC$1006:$AS$1006,0)), HYPERLINK("#",""), HYPERLINK(CONCATENATE("#Metadata!", ADDRESS(INDEX($X$2:$X$1001,MATCH(ROWS($V$2:V702),$V$2:$V$1001,0),0), INDEX($AC$1004:$AS$1004,1,MATCH(COLUMNS($AC$1006:AJ1006),$AC$1006:$AS$1006,0)))),"Fix")))</f>
        <v>0</v>
      </c>
      <c r="J702" s="5">
        <f>IF(OR(INDEX($W$2:$W$1001,MATCH(ROWS($V$2:V702),$V$2:$V$1001,0),1)&gt;=100000,INDEX($AC$1005:$AS$1005,1,MATCH(COLUMNS($AC$1006:AK1006),$AC$1006:$AS$1006,0))&gt;=100000), " ",IF(INDEX($AC$2:$AS$1001,MATCH(ROWS($V$2:V702),$V$2:$V$1001,0),MATCH(COLUMNS($AC$1006:AK1006),$AC$1006:$AS$1006,0)), HYPERLINK("#",""), HYPERLINK(CONCATENATE("#Metadata!", ADDRESS(INDEX($X$2:$X$1001,MATCH(ROWS($V$2:V702),$V$2:$V$1001,0),0), INDEX($AC$1004:$AS$1004,1,MATCH(COLUMNS($AC$1006:AK1006),$AC$1006:$AS$1006,0)))),"Fix")))</f>
        <v>0</v>
      </c>
      <c r="K702" s="5">
        <f>IF(OR(INDEX($W$2:$W$1001,MATCH(ROWS($V$2:V702),$V$2:$V$1001,0),1)&gt;=100000,INDEX($AC$1005:$AS$1005,1,MATCH(COLUMNS($AC$1006:AL1006),$AC$1006:$AS$1006,0))&gt;=100000), " ",IF(INDEX($AC$2:$AS$1001,MATCH(ROWS($V$2:V702),$V$2:$V$1001,0),MATCH(COLUMNS($AC$1006:AL1006),$AC$1006:$AS$1006,0)), HYPERLINK("#",""), HYPERLINK(CONCATENATE("#Metadata!", ADDRESS(INDEX($X$2:$X$1001,MATCH(ROWS($V$2:V702),$V$2:$V$1001,0),0), INDEX($AC$1004:$AS$1004,1,MATCH(COLUMNS($AC$1006:AL1006),$AC$1006:$AS$1006,0)))),"Fix")))</f>
        <v>0</v>
      </c>
      <c r="L702" s="5">
        <f>IF(OR(INDEX($W$2:$W$1001,MATCH(ROWS($V$2:V702),$V$2:$V$1001,0),1)&gt;=100000,INDEX($AC$1005:$AS$1005,1,MATCH(COLUMNS($AC$1006:AM1006),$AC$1006:$AS$1006,0))&gt;=100000), " ",IF(INDEX($AC$2:$AS$1001,MATCH(ROWS($V$2:V702),$V$2:$V$1001,0),MATCH(COLUMNS($AC$1006:AM1006),$AC$1006:$AS$1006,0)), HYPERLINK("#",""), HYPERLINK(CONCATENATE("#Metadata!", ADDRESS(INDEX($X$2:$X$1001,MATCH(ROWS($V$2:V702),$V$2:$V$1001,0),0), INDEX($AC$1004:$AS$1004,1,MATCH(COLUMNS($AC$1006:AM1006),$AC$1006:$AS$1006,0)))),"Fix")))</f>
        <v>0</v>
      </c>
      <c r="M702" s="5">
        <f>IF(OR(INDEX($W$2:$W$1001,MATCH(ROWS($V$2:V702),$V$2:$V$1001,0),1)&gt;=100000,INDEX($AC$1005:$AS$1005,1,MATCH(COLUMNS($AC$1006:AN1006),$AC$1006:$AS$1006,0))&gt;=100000), " ",IF(INDEX($AC$2:$AS$1001,MATCH(ROWS($V$2:V702),$V$2:$V$1001,0),MATCH(COLUMNS($AC$1006:AN1006),$AC$1006:$AS$1006,0)), HYPERLINK("#",""), HYPERLINK(CONCATENATE("#Metadata!", ADDRESS(INDEX($X$2:$X$1001,MATCH(ROWS($V$2:V702),$V$2:$V$1001,0),0), INDEX($AC$1004:$AS$1004,1,MATCH(COLUMNS($AC$1006:AN1006),$AC$1006:$AS$1006,0)))),"Fix")))</f>
        <v>0</v>
      </c>
      <c r="N702" s="5">
        <f>IF(OR(INDEX($W$2:$W$1001,MATCH(ROWS($V$2:V702),$V$2:$V$1001,0),1)&gt;=100000,INDEX($AC$1005:$AS$1005,1,MATCH(COLUMNS($AC$1006:AO1006),$AC$1006:$AS$1006,0))&gt;=100000), " ",IF(INDEX($AC$2:$AS$1001,MATCH(ROWS($V$2:V702),$V$2:$V$1001,0),MATCH(COLUMNS($AC$1006:AO1006),$AC$1006:$AS$1006,0)), HYPERLINK("#",""), HYPERLINK(CONCATENATE("#Metadata!", ADDRESS(INDEX($X$2:$X$1001,MATCH(ROWS($V$2:V702),$V$2:$V$1001,0),0), INDEX($AC$1004:$AS$1004,1,MATCH(COLUMNS($AC$1006:AO1006),$AC$1006:$AS$1006,0)))),"Fix")))</f>
        <v>0</v>
      </c>
      <c r="O702" s="5">
        <f>IF(OR(INDEX($W$2:$W$1001,MATCH(ROWS($V$2:V702),$V$2:$V$1001,0),1)&gt;=100000,INDEX($AC$1005:$AS$1005,1,MATCH(COLUMNS($AC$1006:AP1006),$AC$1006:$AS$1006,0))&gt;=100000), " ",IF(INDEX($AC$2:$AS$1001,MATCH(ROWS($V$2:V702),$V$2:$V$1001,0),MATCH(COLUMNS($AC$1006:AP1006),$AC$1006:$AS$1006,0)), HYPERLINK("#",""), HYPERLINK(CONCATENATE("#Metadata!", ADDRESS(INDEX($X$2:$X$1001,MATCH(ROWS($V$2:V702),$V$2:$V$1001,0),0), INDEX($AC$1004:$AS$1004,1,MATCH(COLUMNS($AC$1006:AP1006),$AC$1006:$AS$1006,0)))),"Fix")))</f>
        <v>0</v>
      </c>
      <c r="P702" s="5">
        <f>IF(OR(INDEX($W$2:$W$1001,MATCH(ROWS($V$2:V702),$V$2:$V$1001,0),1)&gt;=100000,INDEX($AC$1005:$AS$1005,1,MATCH(COLUMNS($AC$1006:AQ1006),$AC$1006:$AS$1006,0))&gt;=100000), " ",IF(INDEX($AC$2:$AS$1001,MATCH(ROWS($V$2:V702),$V$2:$V$1001,0),MATCH(COLUMNS($AC$1006:AQ1006),$AC$1006:$AS$1006,0)), HYPERLINK("#",""), HYPERLINK(CONCATENATE("#Metadata!", ADDRESS(INDEX($X$2:$X$1001,MATCH(ROWS($V$2:V702),$V$2:$V$1001,0),0), INDEX($AC$1004:$AS$1004,1,MATCH(COLUMNS($AC$1006:AQ1006),$AC$1006:$AS$1006,0)))),"Fix")))</f>
        <v>0</v>
      </c>
      <c r="Q702" s="5">
        <f>IF(OR(INDEX($W$2:$W$1001,MATCH(ROWS($V$2:V702),$V$2:$V$1001,0),1)&gt;=100000,INDEX($AC$1005:$AS$1005,1,MATCH(COLUMNS($AC$1006:AR1006),$AC$1006:$AS$1006,0))&gt;=100000), " ",IF(INDEX($AC$2:$AS$1001,MATCH(ROWS($V$2:V702),$V$2:$V$1001,0),MATCH(COLUMNS($AC$1006:AR1006),$AC$1006:$AS$1006,0)), HYPERLINK("#",""), HYPERLINK(CONCATENATE("#Metadata!", ADDRESS(INDEX($X$2:$X$1001,MATCH(ROWS($V$2:V702),$V$2:$V$1001,0),0), INDEX($AC$1004:$AS$1004,1,MATCH(COLUMNS($AC$1006:AR1006),$AC$1006:$AS$1006,0)))),"Fix")))</f>
        <v>0</v>
      </c>
      <c r="R702" s="5">
        <f>IF(OR(INDEX($W$2:$W$1001,MATCH(ROWS($V$2:V702),$V$2:$V$1001,0),1)&gt;=100000,INDEX($AC$1005:$AS$1005,1,MATCH(COLUMNS($AC$1006:AS1006),$AC$1006:$AS$1006,0))&gt;=100000), " ",IF(INDEX($AC$2:$AS$1001,MATCH(ROWS($V$2:V702),$V$2:$V$1001,0),MATCH(COLUMNS($AC$1006:AS1006),$AC$1006:$AS$1006,0)), HYPERLINK("#",""), HYPERLINK(CONCATENATE("#Metadata!", ADDRESS(INDEX($X$2:$X$1001,MATCH(ROWS($V$2:V702),$V$2:$V$1001,0),0), INDEX($AC$1004:$AS$1004,1,MATCH(COLUMNS($AC$1006:AS1006),$AC$1006:$AS$1006,0)))),"Fix")))</f>
        <v>0</v>
      </c>
      <c r="V702">
        <v>0</v>
      </c>
      <c r="W702">
        <v>0</v>
      </c>
      <c r="X702">
        <v>0</v>
      </c>
      <c r="Y702">
        <f>IF(Z702,TRUE,AND(AC702:AS702))</f>
        <v>0</v>
      </c>
      <c r="Z702">
        <f>COUNTBLANK(Metadata!B702:R702)=COLUMNS(Metadata!B702:R702)</f>
        <v>0</v>
      </c>
      <c r="AA702">
        <v>0</v>
      </c>
      <c r="AC702">
        <f>AND(IF(Metadata!B702="",FALSE,TRUE),COUNTIF(Metadata!B:B, Metadata!B702) = 1,NOT(ISERROR(SUMPRODUCT(SEARCH(MID(Metadata!B702,ROW(INDIRECT("1:"&amp;LEN(Metadata!B702))), 1),"0123456789abcdefghijklmnopqrstuvwxyzABCDEFGHIJKLMNOPQRSTUVWXYZ.")))))</f>
        <v>0</v>
      </c>
      <c r="AD702">
        <f>AND(IF(Metadata!C702="",FALSE,TRUE),exact(Metadata!C702,"Host-associated"))</f>
        <v>0</v>
      </c>
      <c r="AE702">
        <f>AND(IF(Metadata!D702="",FALSE,TRUE),OR(exact(Metadata!D702,"Animal"),exact(Metadata!D702,"Fungus"),exact(Metadata!D702,"Plant")))</f>
        <v>0</v>
      </c>
      <c r="AF702">
        <f>AND(IF(Metadata!E702="",FALSE,TRUE),OR(exact(Metadata!E702,"Plant secretion"),exact(Metadata!E702,"Plant rhizosphere"),exact(Metadata!E702,"Plant surface"),exact(Metadata!E702,"Plant corpus"),exact(Metadata!E702,"Fungus surface"),exact(Metadata!E702,"Fungus corpus"),exact(Metadata!E702,"Animal surface"),exact(Metadata!E702,"Animal proximal gut"),exact(Metadata!E702,"Animal corpus"),exact(Metadata!E702,"Animal distal gut"),exact(Metadata!E702,"Animal secretion")))</f>
        <v>0</v>
      </c>
      <c r="AG702">
        <f>OR(AND(IF(Metadata!F702="",FALSE,TRUE),OR(exact(Metadata!F702,"not collected"),exact(Metadata!F702,"not provided"),exact(Metadata!F702,"restricted access"))),AND(IF(Metadata!F702="",FALSE,TRUE),OR(exact(Metadata!F702,"organism-associated habitat"),exact(Metadata!F702,"plant-associated habitat"),exact(Metadata!F702,"animal-associated habitat"),exact(Metadata!F702,"insecta-associated habitat"),exact(Metadata!F702,"mammalia-associated habitat"),exact(Metadata!F702,"human-associated habitat"),exact(Metadata!F702,"livestock-associated habitat"))))</f>
        <v>0</v>
      </c>
      <c r="AH702">
        <f>AND(IF(Metadata!G702="",FALSE,TRUE),exact(Metadata!G702,"host-associated"))</f>
        <v>0</v>
      </c>
      <c r="AI702">
        <f>OR(AND(IF(Metadata!H702="",FALSE,TRUE),OR(exact(Metadata!H702,"not collected"),exact(Metadata!H702,"not provided"))),AND(IF(Metadata!H702="",FALSE,ISNUMBER(VALUE(Metadata!H702))),Metadata!H702&gt;0))</f>
        <v>0</v>
      </c>
      <c r="AJ702">
        <f>AND(IF(Metadata!I702="",FALSE,TRUE),exact(Metadata!I702,"years"))</f>
        <v>0</v>
      </c>
      <c r="AK702">
        <f>IF(Metadata!J702="",FALSE,TRUE)</f>
        <v>0</v>
      </c>
      <c r="AL702">
        <f>OR(AND(IF(Metadata!K702="",FALSE,TRUE),OR(exact(Metadata!K702,"not collected"),exact(Metadata!K702,"not provided"))),AND(IF(Metadata!K702="",FALSE,ISNUMBER(VALUE(Metadata!K702))),Metadata!K702&gt;0))</f>
        <v>0</v>
      </c>
      <c r="AM702">
        <f>AND(IF(Metadata!L702="",FALSE,TRUE),exact(Metadata!L702,"cm"))</f>
        <v>0</v>
      </c>
      <c r="AN702">
        <f>IF(Metadata!M702="",FALSE,TRUE)</f>
        <v>0</v>
      </c>
      <c r="AO702">
        <f>OR(AND(IF(Metadata!N702="",FALSE,TRUE),OR(exact(Metadata!N702,"not applicable"),exact(Metadata!N702,"not collected"),exact(Metadata!N702,"not provided"))),AND(IF(Metadata!N702="",FALSE,IF(ISERROR(INT(Metadata!N702)),FALSE,INT(Metadata!N702)=Metadata!N702)),Metadata!N702&gt;0))</f>
        <v>0</v>
      </c>
      <c r="AP702">
        <f>OR(AND(IF(Metadata!O702="",FALSE,TRUE),OR(exact(Metadata!O702,"not collected"),exact(Metadata!O702,"not provided"))),AND(IF(Metadata!O702="",FALSE,ISNUMBER(VALUE(Metadata!O702))),Metadata!O702&gt;0))</f>
        <v>0</v>
      </c>
      <c r="AQ702">
        <f>AND(IF(Metadata!P702="",FALSE,TRUE),exact(Metadata!P702,"kg"))</f>
        <v>0</v>
      </c>
      <c r="AR702">
        <f>OR(AND(IF(Metadata!Q702="",FALSE,TRUE),OR(exact(Metadata!Q702,"not applicable"),exact(Metadata!Q702,"not collected"),exact(Metadata!Q702,"not provided"),exact(Metadata!Q702,"restricted access"))),IF(Metadata!Q702="",FALSE,IF(ISERROR(INT(Metadata!Q702)),FALSE,INT(Metadata!Q702)=Metadata!Q702)))</f>
        <v>0</v>
      </c>
      <c r="AS702">
        <f>AND(IF(Metadata!R702="",FALSE,TRUE),exact(Metadata!R702,"Not applicable"))</f>
        <v>0</v>
      </c>
    </row>
    <row r="703" spans="1:45">
      <c r="A703" s="4">
        <f>IF(B703=" "," ",HYPERLINK(CONCATENATE("#metadata!",ADDRESS(INDEX($X$2:$X$1001,MATCH(ROWS($V$2:V703),$V$2:$V$1001,0),0),2)),INDEX($AA$2:$AA$1001,MATCH(ROWS($V$2:V703),$V$2:$V$1001,0),0)))</f>
        <v>0</v>
      </c>
      <c r="B703" s="5">
        <f>IF(OR(INDEX($W$2:$W$1001,MATCH(ROWS($V$2:V703),$V$2:$V$1001,0),1)&gt;=100000,INDEX($AC$1005:$AS$1005,1,MATCH(COLUMNS($AC$1006:AC1006),$AC$1006:$AS$1006,0))&gt;=100000), " ",IF(INDEX($AC$2:$AS$1001,MATCH(ROWS($V$2:V703),$V$2:$V$1001,0),MATCH(COLUMNS($AC$1006:AC1006),$AC$1006:$AS$1006,0)), HYPERLINK("#",""), HYPERLINK(CONCATENATE("#Metadata!", ADDRESS(INDEX($X$2:$X$1001,MATCH(ROWS($V$2:V703),$V$2:$V$1001,0),0), INDEX($AC$1004:$AS$1004,1,MATCH(COLUMNS($AC$1006:AC1006),$AC$1006:$AS$1006,0)))),"Fix")))</f>
        <v>0</v>
      </c>
      <c r="C703" s="5">
        <f>IF(OR(INDEX($W$2:$W$1001,MATCH(ROWS($V$2:V703),$V$2:$V$1001,0),1)&gt;=100000,INDEX($AC$1005:$AS$1005,1,MATCH(COLUMNS($AC$1006:AD1006),$AC$1006:$AS$1006,0))&gt;=100000), " ",IF(INDEX($AC$2:$AS$1001,MATCH(ROWS($V$2:V703),$V$2:$V$1001,0),MATCH(COLUMNS($AC$1006:AD1006),$AC$1006:$AS$1006,0)), HYPERLINK("#",""), HYPERLINK(CONCATENATE("#Metadata!", ADDRESS(INDEX($X$2:$X$1001,MATCH(ROWS($V$2:V703),$V$2:$V$1001,0),0), INDEX($AC$1004:$AS$1004,1,MATCH(COLUMNS($AC$1006:AD1006),$AC$1006:$AS$1006,0)))),"Fix")))</f>
        <v>0</v>
      </c>
      <c r="D703" s="5">
        <f>IF(OR(INDEX($W$2:$W$1001,MATCH(ROWS($V$2:V703),$V$2:$V$1001,0),1)&gt;=100000,INDEX($AC$1005:$AS$1005,1,MATCH(COLUMNS($AC$1006:AE1006),$AC$1006:$AS$1006,0))&gt;=100000), " ",IF(INDEX($AC$2:$AS$1001,MATCH(ROWS($V$2:V703),$V$2:$V$1001,0),MATCH(COLUMNS($AC$1006:AE1006),$AC$1006:$AS$1006,0)), HYPERLINK("#",""), HYPERLINK(CONCATENATE("#Metadata!", ADDRESS(INDEX($X$2:$X$1001,MATCH(ROWS($V$2:V703),$V$2:$V$1001,0),0), INDEX($AC$1004:$AS$1004,1,MATCH(COLUMNS($AC$1006:AE1006),$AC$1006:$AS$1006,0)))),"Fix")))</f>
        <v>0</v>
      </c>
      <c r="E703" s="5">
        <f>IF(OR(INDEX($W$2:$W$1001,MATCH(ROWS($V$2:V703),$V$2:$V$1001,0),1)&gt;=100000,INDEX($AC$1005:$AS$1005,1,MATCH(COLUMNS($AC$1006:AF1006),$AC$1006:$AS$1006,0))&gt;=100000), " ",IF(INDEX($AC$2:$AS$1001,MATCH(ROWS($V$2:V703),$V$2:$V$1001,0),MATCH(COLUMNS($AC$1006:AF1006),$AC$1006:$AS$1006,0)), HYPERLINK("#",""), HYPERLINK(CONCATENATE("#Metadata!", ADDRESS(INDEX($X$2:$X$1001,MATCH(ROWS($V$2:V703),$V$2:$V$1001,0),0), INDEX($AC$1004:$AS$1004,1,MATCH(COLUMNS($AC$1006:AF1006),$AC$1006:$AS$1006,0)))),"Fix")))</f>
        <v>0</v>
      </c>
      <c r="F703" s="5">
        <f>IF(OR(INDEX($W$2:$W$1001,MATCH(ROWS($V$2:V703),$V$2:$V$1001,0),1)&gt;=100000,INDEX($AC$1005:$AS$1005,1,MATCH(COLUMNS($AC$1006:AG1006),$AC$1006:$AS$1006,0))&gt;=100000), " ",IF(INDEX($AC$2:$AS$1001,MATCH(ROWS($V$2:V703),$V$2:$V$1001,0),MATCH(COLUMNS($AC$1006:AG1006),$AC$1006:$AS$1006,0)), HYPERLINK("#",""), HYPERLINK(CONCATENATE("#Metadata!", ADDRESS(INDEX($X$2:$X$1001,MATCH(ROWS($V$2:V703),$V$2:$V$1001,0),0), INDEX($AC$1004:$AS$1004,1,MATCH(COLUMNS($AC$1006:AG1006),$AC$1006:$AS$1006,0)))),"Fix")))</f>
        <v>0</v>
      </c>
      <c r="G703" s="5">
        <f>IF(OR(INDEX($W$2:$W$1001,MATCH(ROWS($V$2:V703),$V$2:$V$1001,0),1)&gt;=100000,INDEX($AC$1005:$AS$1005,1,MATCH(COLUMNS($AC$1006:AH1006),$AC$1006:$AS$1006,0))&gt;=100000), " ",IF(INDEX($AC$2:$AS$1001,MATCH(ROWS($V$2:V703),$V$2:$V$1001,0),MATCH(COLUMNS($AC$1006:AH1006),$AC$1006:$AS$1006,0)), HYPERLINK("#",""), HYPERLINK(CONCATENATE("#Metadata!", ADDRESS(INDEX($X$2:$X$1001,MATCH(ROWS($V$2:V703),$V$2:$V$1001,0),0), INDEX($AC$1004:$AS$1004,1,MATCH(COLUMNS($AC$1006:AH1006),$AC$1006:$AS$1006,0)))),"Fix")))</f>
        <v>0</v>
      </c>
      <c r="H703" s="5">
        <f>IF(OR(INDEX($W$2:$W$1001,MATCH(ROWS($V$2:V703),$V$2:$V$1001,0),1)&gt;=100000,INDEX($AC$1005:$AS$1005,1,MATCH(COLUMNS($AC$1006:AI1006),$AC$1006:$AS$1006,0))&gt;=100000), " ",IF(INDEX($AC$2:$AS$1001,MATCH(ROWS($V$2:V703),$V$2:$V$1001,0),MATCH(COLUMNS($AC$1006:AI1006),$AC$1006:$AS$1006,0)), HYPERLINK("#",""), HYPERLINK(CONCATENATE("#Metadata!", ADDRESS(INDEX($X$2:$X$1001,MATCH(ROWS($V$2:V703),$V$2:$V$1001,0),0), INDEX($AC$1004:$AS$1004,1,MATCH(COLUMNS($AC$1006:AI1006),$AC$1006:$AS$1006,0)))),"Fix")))</f>
        <v>0</v>
      </c>
      <c r="I703" s="5">
        <f>IF(OR(INDEX($W$2:$W$1001,MATCH(ROWS($V$2:V703),$V$2:$V$1001,0),1)&gt;=100000,INDEX($AC$1005:$AS$1005,1,MATCH(COLUMNS($AC$1006:AJ1006),$AC$1006:$AS$1006,0))&gt;=100000), " ",IF(INDEX($AC$2:$AS$1001,MATCH(ROWS($V$2:V703),$V$2:$V$1001,0),MATCH(COLUMNS($AC$1006:AJ1006),$AC$1006:$AS$1006,0)), HYPERLINK("#",""), HYPERLINK(CONCATENATE("#Metadata!", ADDRESS(INDEX($X$2:$X$1001,MATCH(ROWS($V$2:V703),$V$2:$V$1001,0),0), INDEX($AC$1004:$AS$1004,1,MATCH(COLUMNS($AC$1006:AJ1006),$AC$1006:$AS$1006,0)))),"Fix")))</f>
        <v>0</v>
      </c>
      <c r="J703" s="5">
        <f>IF(OR(INDEX($W$2:$W$1001,MATCH(ROWS($V$2:V703),$V$2:$V$1001,0),1)&gt;=100000,INDEX($AC$1005:$AS$1005,1,MATCH(COLUMNS($AC$1006:AK1006),$AC$1006:$AS$1006,0))&gt;=100000), " ",IF(INDEX($AC$2:$AS$1001,MATCH(ROWS($V$2:V703),$V$2:$V$1001,0),MATCH(COLUMNS($AC$1006:AK1006),$AC$1006:$AS$1006,0)), HYPERLINK("#",""), HYPERLINK(CONCATENATE("#Metadata!", ADDRESS(INDEX($X$2:$X$1001,MATCH(ROWS($V$2:V703),$V$2:$V$1001,0),0), INDEX($AC$1004:$AS$1004,1,MATCH(COLUMNS($AC$1006:AK1006),$AC$1006:$AS$1006,0)))),"Fix")))</f>
        <v>0</v>
      </c>
      <c r="K703" s="5">
        <f>IF(OR(INDEX($W$2:$W$1001,MATCH(ROWS($V$2:V703),$V$2:$V$1001,0),1)&gt;=100000,INDEX($AC$1005:$AS$1005,1,MATCH(COLUMNS($AC$1006:AL1006),$AC$1006:$AS$1006,0))&gt;=100000), " ",IF(INDEX($AC$2:$AS$1001,MATCH(ROWS($V$2:V703),$V$2:$V$1001,0),MATCH(COLUMNS($AC$1006:AL1006),$AC$1006:$AS$1006,0)), HYPERLINK("#",""), HYPERLINK(CONCATENATE("#Metadata!", ADDRESS(INDEX($X$2:$X$1001,MATCH(ROWS($V$2:V703),$V$2:$V$1001,0),0), INDEX($AC$1004:$AS$1004,1,MATCH(COLUMNS($AC$1006:AL1006),$AC$1006:$AS$1006,0)))),"Fix")))</f>
        <v>0</v>
      </c>
      <c r="L703" s="5">
        <f>IF(OR(INDEX($W$2:$W$1001,MATCH(ROWS($V$2:V703),$V$2:$V$1001,0),1)&gt;=100000,INDEX($AC$1005:$AS$1005,1,MATCH(COLUMNS($AC$1006:AM1006),$AC$1006:$AS$1006,0))&gt;=100000), " ",IF(INDEX($AC$2:$AS$1001,MATCH(ROWS($V$2:V703),$V$2:$V$1001,0),MATCH(COLUMNS($AC$1006:AM1006),$AC$1006:$AS$1006,0)), HYPERLINK("#",""), HYPERLINK(CONCATENATE("#Metadata!", ADDRESS(INDEX($X$2:$X$1001,MATCH(ROWS($V$2:V703),$V$2:$V$1001,0),0), INDEX($AC$1004:$AS$1004,1,MATCH(COLUMNS($AC$1006:AM1006),$AC$1006:$AS$1006,0)))),"Fix")))</f>
        <v>0</v>
      </c>
      <c r="M703" s="5">
        <f>IF(OR(INDEX($W$2:$W$1001,MATCH(ROWS($V$2:V703),$V$2:$V$1001,0),1)&gt;=100000,INDEX($AC$1005:$AS$1005,1,MATCH(COLUMNS($AC$1006:AN1006),$AC$1006:$AS$1006,0))&gt;=100000), " ",IF(INDEX($AC$2:$AS$1001,MATCH(ROWS($V$2:V703),$V$2:$V$1001,0),MATCH(COLUMNS($AC$1006:AN1006),$AC$1006:$AS$1006,0)), HYPERLINK("#",""), HYPERLINK(CONCATENATE("#Metadata!", ADDRESS(INDEX($X$2:$X$1001,MATCH(ROWS($V$2:V703),$V$2:$V$1001,0),0), INDEX($AC$1004:$AS$1004,1,MATCH(COLUMNS($AC$1006:AN1006),$AC$1006:$AS$1006,0)))),"Fix")))</f>
        <v>0</v>
      </c>
      <c r="N703" s="5">
        <f>IF(OR(INDEX($W$2:$W$1001,MATCH(ROWS($V$2:V703),$V$2:$V$1001,0),1)&gt;=100000,INDEX($AC$1005:$AS$1005,1,MATCH(COLUMNS($AC$1006:AO1006),$AC$1006:$AS$1006,0))&gt;=100000), " ",IF(INDEX($AC$2:$AS$1001,MATCH(ROWS($V$2:V703),$V$2:$V$1001,0),MATCH(COLUMNS($AC$1006:AO1006),$AC$1006:$AS$1006,0)), HYPERLINK("#",""), HYPERLINK(CONCATENATE("#Metadata!", ADDRESS(INDEX($X$2:$X$1001,MATCH(ROWS($V$2:V703),$V$2:$V$1001,0),0), INDEX($AC$1004:$AS$1004,1,MATCH(COLUMNS($AC$1006:AO1006),$AC$1006:$AS$1006,0)))),"Fix")))</f>
        <v>0</v>
      </c>
      <c r="O703" s="5">
        <f>IF(OR(INDEX($W$2:$W$1001,MATCH(ROWS($V$2:V703),$V$2:$V$1001,0),1)&gt;=100000,INDEX($AC$1005:$AS$1005,1,MATCH(COLUMNS($AC$1006:AP1006),$AC$1006:$AS$1006,0))&gt;=100000), " ",IF(INDEX($AC$2:$AS$1001,MATCH(ROWS($V$2:V703),$V$2:$V$1001,0),MATCH(COLUMNS($AC$1006:AP1006),$AC$1006:$AS$1006,0)), HYPERLINK("#",""), HYPERLINK(CONCATENATE("#Metadata!", ADDRESS(INDEX($X$2:$X$1001,MATCH(ROWS($V$2:V703),$V$2:$V$1001,0),0), INDEX($AC$1004:$AS$1004,1,MATCH(COLUMNS($AC$1006:AP1006),$AC$1006:$AS$1006,0)))),"Fix")))</f>
        <v>0</v>
      </c>
      <c r="P703" s="5">
        <f>IF(OR(INDEX($W$2:$W$1001,MATCH(ROWS($V$2:V703),$V$2:$V$1001,0),1)&gt;=100000,INDEX($AC$1005:$AS$1005,1,MATCH(COLUMNS($AC$1006:AQ1006),$AC$1006:$AS$1006,0))&gt;=100000), " ",IF(INDEX($AC$2:$AS$1001,MATCH(ROWS($V$2:V703),$V$2:$V$1001,0),MATCH(COLUMNS($AC$1006:AQ1006),$AC$1006:$AS$1006,0)), HYPERLINK("#",""), HYPERLINK(CONCATENATE("#Metadata!", ADDRESS(INDEX($X$2:$X$1001,MATCH(ROWS($V$2:V703),$V$2:$V$1001,0),0), INDEX($AC$1004:$AS$1004,1,MATCH(COLUMNS($AC$1006:AQ1006),$AC$1006:$AS$1006,0)))),"Fix")))</f>
        <v>0</v>
      </c>
      <c r="Q703" s="5">
        <f>IF(OR(INDEX($W$2:$W$1001,MATCH(ROWS($V$2:V703),$V$2:$V$1001,0),1)&gt;=100000,INDEX($AC$1005:$AS$1005,1,MATCH(COLUMNS($AC$1006:AR1006),$AC$1006:$AS$1006,0))&gt;=100000), " ",IF(INDEX($AC$2:$AS$1001,MATCH(ROWS($V$2:V703),$V$2:$V$1001,0),MATCH(COLUMNS($AC$1006:AR1006),$AC$1006:$AS$1006,0)), HYPERLINK("#",""), HYPERLINK(CONCATENATE("#Metadata!", ADDRESS(INDEX($X$2:$X$1001,MATCH(ROWS($V$2:V703),$V$2:$V$1001,0),0), INDEX($AC$1004:$AS$1004,1,MATCH(COLUMNS($AC$1006:AR1006),$AC$1006:$AS$1006,0)))),"Fix")))</f>
        <v>0</v>
      </c>
      <c r="R703" s="5">
        <f>IF(OR(INDEX($W$2:$W$1001,MATCH(ROWS($V$2:V703),$V$2:$V$1001,0),1)&gt;=100000,INDEX($AC$1005:$AS$1005,1,MATCH(COLUMNS($AC$1006:AS1006),$AC$1006:$AS$1006,0))&gt;=100000), " ",IF(INDEX($AC$2:$AS$1001,MATCH(ROWS($V$2:V703),$V$2:$V$1001,0),MATCH(COLUMNS($AC$1006:AS1006),$AC$1006:$AS$1006,0)), HYPERLINK("#",""), HYPERLINK(CONCATENATE("#Metadata!", ADDRESS(INDEX($X$2:$X$1001,MATCH(ROWS($V$2:V703),$V$2:$V$1001,0),0), INDEX($AC$1004:$AS$1004,1,MATCH(COLUMNS($AC$1006:AS1006),$AC$1006:$AS$1006,0)))),"Fix")))</f>
        <v>0</v>
      </c>
      <c r="V703">
        <v>0</v>
      </c>
      <c r="W703">
        <v>0</v>
      </c>
      <c r="X703">
        <v>0</v>
      </c>
      <c r="Y703">
        <f>IF(Z703,TRUE,AND(AC703:AS703))</f>
        <v>0</v>
      </c>
      <c r="Z703">
        <f>COUNTBLANK(Metadata!B703:R703)=COLUMNS(Metadata!B703:R703)</f>
        <v>0</v>
      </c>
      <c r="AA703">
        <v>0</v>
      </c>
      <c r="AC703">
        <f>AND(IF(Metadata!B703="",FALSE,TRUE),COUNTIF(Metadata!B:B, Metadata!B703) = 1,NOT(ISERROR(SUMPRODUCT(SEARCH(MID(Metadata!B703,ROW(INDIRECT("1:"&amp;LEN(Metadata!B703))), 1),"0123456789abcdefghijklmnopqrstuvwxyzABCDEFGHIJKLMNOPQRSTUVWXYZ.")))))</f>
        <v>0</v>
      </c>
      <c r="AD703">
        <f>AND(IF(Metadata!C703="",FALSE,TRUE),exact(Metadata!C703,"Host-associated"))</f>
        <v>0</v>
      </c>
      <c r="AE703">
        <f>AND(IF(Metadata!D703="",FALSE,TRUE),OR(exact(Metadata!D703,"Animal"),exact(Metadata!D703,"Fungus"),exact(Metadata!D703,"Plant")))</f>
        <v>0</v>
      </c>
      <c r="AF703">
        <f>AND(IF(Metadata!E703="",FALSE,TRUE),OR(exact(Metadata!E703,"Plant secretion"),exact(Metadata!E703,"Plant rhizosphere"),exact(Metadata!E703,"Plant surface"),exact(Metadata!E703,"Plant corpus"),exact(Metadata!E703,"Fungus surface"),exact(Metadata!E703,"Fungus corpus"),exact(Metadata!E703,"Animal surface"),exact(Metadata!E703,"Animal proximal gut"),exact(Metadata!E703,"Animal corpus"),exact(Metadata!E703,"Animal distal gut"),exact(Metadata!E703,"Animal secretion")))</f>
        <v>0</v>
      </c>
      <c r="AG703">
        <f>OR(AND(IF(Metadata!F703="",FALSE,TRUE),OR(exact(Metadata!F703,"not collected"),exact(Metadata!F703,"not provided"),exact(Metadata!F703,"restricted access"))),AND(IF(Metadata!F703="",FALSE,TRUE),OR(exact(Metadata!F703,"organism-associated habitat"),exact(Metadata!F703,"plant-associated habitat"),exact(Metadata!F703,"animal-associated habitat"),exact(Metadata!F703,"insecta-associated habitat"),exact(Metadata!F703,"mammalia-associated habitat"),exact(Metadata!F703,"human-associated habitat"),exact(Metadata!F703,"livestock-associated habitat"))))</f>
        <v>0</v>
      </c>
      <c r="AH703">
        <f>AND(IF(Metadata!G703="",FALSE,TRUE),exact(Metadata!G703,"host-associated"))</f>
        <v>0</v>
      </c>
      <c r="AI703">
        <f>OR(AND(IF(Metadata!H703="",FALSE,TRUE),OR(exact(Metadata!H703,"not collected"),exact(Metadata!H703,"not provided"))),AND(IF(Metadata!H703="",FALSE,ISNUMBER(VALUE(Metadata!H703))),Metadata!H703&gt;0))</f>
        <v>0</v>
      </c>
      <c r="AJ703">
        <f>AND(IF(Metadata!I703="",FALSE,TRUE),exact(Metadata!I703,"years"))</f>
        <v>0</v>
      </c>
      <c r="AK703">
        <f>IF(Metadata!J703="",FALSE,TRUE)</f>
        <v>0</v>
      </c>
      <c r="AL703">
        <f>OR(AND(IF(Metadata!K703="",FALSE,TRUE),OR(exact(Metadata!K703,"not collected"),exact(Metadata!K703,"not provided"))),AND(IF(Metadata!K703="",FALSE,ISNUMBER(VALUE(Metadata!K703))),Metadata!K703&gt;0))</f>
        <v>0</v>
      </c>
      <c r="AM703">
        <f>AND(IF(Metadata!L703="",FALSE,TRUE),exact(Metadata!L703,"cm"))</f>
        <v>0</v>
      </c>
      <c r="AN703">
        <f>IF(Metadata!M703="",FALSE,TRUE)</f>
        <v>0</v>
      </c>
      <c r="AO703">
        <f>OR(AND(IF(Metadata!N703="",FALSE,TRUE),OR(exact(Metadata!N703,"not applicable"),exact(Metadata!N703,"not collected"),exact(Metadata!N703,"not provided"))),AND(IF(Metadata!N703="",FALSE,IF(ISERROR(INT(Metadata!N703)),FALSE,INT(Metadata!N703)=Metadata!N703)),Metadata!N703&gt;0))</f>
        <v>0</v>
      </c>
      <c r="AP703">
        <f>OR(AND(IF(Metadata!O703="",FALSE,TRUE),OR(exact(Metadata!O703,"not collected"),exact(Metadata!O703,"not provided"))),AND(IF(Metadata!O703="",FALSE,ISNUMBER(VALUE(Metadata!O703))),Metadata!O703&gt;0))</f>
        <v>0</v>
      </c>
      <c r="AQ703">
        <f>AND(IF(Metadata!P703="",FALSE,TRUE),exact(Metadata!P703,"kg"))</f>
        <v>0</v>
      </c>
      <c r="AR703">
        <f>OR(AND(IF(Metadata!Q703="",FALSE,TRUE),OR(exact(Metadata!Q703,"not applicable"),exact(Metadata!Q703,"not collected"),exact(Metadata!Q703,"not provided"),exact(Metadata!Q703,"restricted access"))),IF(Metadata!Q703="",FALSE,IF(ISERROR(INT(Metadata!Q703)),FALSE,INT(Metadata!Q703)=Metadata!Q703)))</f>
        <v>0</v>
      </c>
      <c r="AS703">
        <f>AND(IF(Metadata!R703="",FALSE,TRUE),exact(Metadata!R703,"Not applicable"))</f>
        <v>0</v>
      </c>
    </row>
    <row r="704" spans="1:45">
      <c r="A704" s="4">
        <f>IF(B704=" "," ",HYPERLINK(CONCATENATE("#metadata!",ADDRESS(INDEX($X$2:$X$1001,MATCH(ROWS($V$2:V704),$V$2:$V$1001,0),0),2)),INDEX($AA$2:$AA$1001,MATCH(ROWS($V$2:V704),$V$2:$V$1001,0),0)))</f>
        <v>0</v>
      </c>
      <c r="B704" s="5">
        <f>IF(OR(INDEX($W$2:$W$1001,MATCH(ROWS($V$2:V704),$V$2:$V$1001,0),1)&gt;=100000,INDEX($AC$1005:$AS$1005,1,MATCH(COLUMNS($AC$1006:AC1006),$AC$1006:$AS$1006,0))&gt;=100000), " ",IF(INDEX($AC$2:$AS$1001,MATCH(ROWS($V$2:V704),$V$2:$V$1001,0),MATCH(COLUMNS($AC$1006:AC1006),$AC$1006:$AS$1006,0)), HYPERLINK("#",""), HYPERLINK(CONCATENATE("#Metadata!", ADDRESS(INDEX($X$2:$X$1001,MATCH(ROWS($V$2:V704),$V$2:$V$1001,0),0), INDEX($AC$1004:$AS$1004,1,MATCH(COLUMNS($AC$1006:AC1006),$AC$1006:$AS$1006,0)))),"Fix")))</f>
        <v>0</v>
      </c>
      <c r="C704" s="5">
        <f>IF(OR(INDEX($W$2:$W$1001,MATCH(ROWS($V$2:V704),$V$2:$V$1001,0),1)&gt;=100000,INDEX($AC$1005:$AS$1005,1,MATCH(COLUMNS($AC$1006:AD1006),$AC$1006:$AS$1006,0))&gt;=100000), " ",IF(INDEX($AC$2:$AS$1001,MATCH(ROWS($V$2:V704),$V$2:$V$1001,0),MATCH(COLUMNS($AC$1006:AD1006),$AC$1006:$AS$1006,0)), HYPERLINK("#",""), HYPERLINK(CONCATENATE("#Metadata!", ADDRESS(INDEX($X$2:$X$1001,MATCH(ROWS($V$2:V704),$V$2:$V$1001,0),0), INDEX($AC$1004:$AS$1004,1,MATCH(COLUMNS($AC$1006:AD1006),$AC$1006:$AS$1006,0)))),"Fix")))</f>
        <v>0</v>
      </c>
      <c r="D704" s="5">
        <f>IF(OR(INDEX($W$2:$W$1001,MATCH(ROWS($V$2:V704),$V$2:$V$1001,0),1)&gt;=100000,INDEX($AC$1005:$AS$1005,1,MATCH(COLUMNS($AC$1006:AE1006),$AC$1006:$AS$1006,0))&gt;=100000), " ",IF(INDEX($AC$2:$AS$1001,MATCH(ROWS($V$2:V704),$V$2:$V$1001,0),MATCH(COLUMNS($AC$1006:AE1006),$AC$1006:$AS$1006,0)), HYPERLINK("#",""), HYPERLINK(CONCATENATE("#Metadata!", ADDRESS(INDEX($X$2:$X$1001,MATCH(ROWS($V$2:V704),$V$2:$V$1001,0),0), INDEX($AC$1004:$AS$1004,1,MATCH(COLUMNS($AC$1006:AE1006),$AC$1006:$AS$1006,0)))),"Fix")))</f>
        <v>0</v>
      </c>
      <c r="E704" s="5">
        <f>IF(OR(INDEX($W$2:$W$1001,MATCH(ROWS($V$2:V704),$V$2:$V$1001,0),1)&gt;=100000,INDEX($AC$1005:$AS$1005,1,MATCH(COLUMNS($AC$1006:AF1006),$AC$1006:$AS$1006,0))&gt;=100000), " ",IF(INDEX($AC$2:$AS$1001,MATCH(ROWS($V$2:V704),$V$2:$V$1001,0),MATCH(COLUMNS($AC$1006:AF1006),$AC$1006:$AS$1006,0)), HYPERLINK("#",""), HYPERLINK(CONCATENATE("#Metadata!", ADDRESS(INDEX($X$2:$X$1001,MATCH(ROWS($V$2:V704),$V$2:$V$1001,0),0), INDEX($AC$1004:$AS$1004,1,MATCH(COLUMNS($AC$1006:AF1006),$AC$1006:$AS$1006,0)))),"Fix")))</f>
        <v>0</v>
      </c>
      <c r="F704" s="5">
        <f>IF(OR(INDEX($W$2:$W$1001,MATCH(ROWS($V$2:V704),$V$2:$V$1001,0),1)&gt;=100000,INDEX($AC$1005:$AS$1005,1,MATCH(COLUMNS($AC$1006:AG1006),$AC$1006:$AS$1006,0))&gt;=100000), " ",IF(INDEX($AC$2:$AS$1001,MATCH(ROWS($V$2:V704),$V$2:$V$1001,0),MATCH(COLUMNS($AC$1006:AG1006),$AC$1006:$AS$1006,0)), HYPERLINK("#",""), HYPERLINK(CONCATENATE("#Metadata!", ADDRESS(INDEX($X$2:$X$1001,MATCH(ROWS($V$2:V704),$V$2:$V$1001,0),0), INDEX($AC$1004:$AS$1004,1,MATCH(COLUMNS($AC$1006:AG1006),$AC$1006:$AS$1006,0)))),"Fix")))</f>
        <v>0</v>
      </c>
      <c r="G704" s="5">
        <f>IF(OR(INDEX($W$2:$W$1001,MATCH(ROWS($V$2:V704),$V$2:$V$1001,0),1)&gt;=100000,INDEX($AC$1005:$AS$1005,1,MATCH(COLUMNS($AC$1006:AH1006),$AC$1006:$AS$1006,0))&gt;=100000), " ",IF(INDEX($AC$2:$AS$1001,MATCH(ROWS($V$2:V704),$V$2:$V$1001,0),MATCH(COLUMNS($AC$1006:AH1006),$AC$1006:$AS$1006,0)), HYPERLINK("#",""), HYPERLINK(CONCATENATE("#Metadata!", ADDRESS(INDEX($X$2:$X$1001,MATCH(ROWS($V$2:V704),$V$2:$V$1001,0),0), INDEX($AC$1004:$AS$1004,1,MATCH(COLUMNS($AC$1006:AH1006),$AC$1006:$AS$1006,0)))),"Fix")))</f>
        <v>0</v>
      </c>
      <c r="H704" s="5">
        <f>IF(OR(INDEX($W$2:$W$1001,MATCH(ROWS($V$2:V704),$V$2:$V$1001,0),1)&gt;=100000,INDEX($AC$1005:$AS$1005,1,MATCH(COLUMNS($AC$1006:AI1006),$AC$1006:$AS$1006,0))&gt;=100000), " ",IF(INDEX($AC$2:$AS$1001,MATCH(ROWS($V$2:V704),$V$2:$V$1001,0),MATCH(COLUMNS($AC$1006:AI1006),$AC$1006:$AS$1006,0)), HYPERLINK("#",""), HYPERLINK(CONCATENATE("#Metadata!", ADDRESS(INDEX($X$2:$X$1001,MATCH(ROWS($V$2:V704),$V$2:$V$1001,0),0), INDEX($AC$1004:$AS$1004,1,MATCH(COLUMNS($AC$1006:AI1006),$AC$1006:$AS$1006,0)))),"Fix")))</f>
        <v>0</v>
      </c>
      <c r="I704" s="5">
        <f>IF(OR(INDEX($W$2:$W$1001,MATCH(ROWS($V$2:V704),$V$2:$V$1001,0),1)&gt;=100000,INDEX($AC$1005:$AS$1005,1,MATCH(COLUMNS($AC$1006:AJ1006),$AC$1006:$AS$1006,0))&gt;=100000), " ",IF(INDEX($AC$2:$AS$1001,MATCH(ROWS($V$2:V704),$V$2:$V$1001,0),MATCH(COLUMNS($AC$1006:AJ1006),$AC$1006:$AS$1006,0)), HYPERLINK("#",""), HYPERLINK(CONCATENATE("#Metadata!", ADDRESS(INDEX($X$2:$X$1001,MATCH(ROWS($V$2:V704),$V$2:$V$1001,0),0), INDEX($AC$1004:$AS$1004,1,MATCH(COLUMNS($AC$1006:AJ1006),$AC$1006:$AS$1006,0)))),"Fix")))</f>
        <v>0</v>
      </c>
      <c r="J704" s="5">
        <f>IF(OR(INDEX($W$2:$W$1001,MATCH(ROWS($V$2:V704),$V$2:$V$1001,0),1)&gt;=100000,INDEX($AC$1005:$AS$1005,1,MATCH(COLUMNS($AC$1006:AK1006),$AC$1006:$AS$1006,0))&gt;=100000), " ",IF(INDEX($AC$2:$AS$1001,MATCH(ROWS($V$2:V704),$V$2:$V$1001,0),MATCH(COLUMNS($AC$1006:AK1006),$AC$1006:$AS$1006,0)), HYPERLINK("#",""), HYPERLINK(CONCATENATE("#Metadata!", ADDRESS(INDEX($X$2:$X$1001,MATCH(ROWS($V$2:V704),$V$2:$V$1001,0),0), INDEX($AC$1004:$AS$1004,1,MATCH(COLUMNS($AC$1006:AK1006),$AC$1006:$AS$1006,0)))),"Fix")))</f>
        <v>0</v>
      </c>
      <c r="K704" s="5">
        <f>IF(OR(INDEX($W$2:$W$1001,MATCH(ROWS($V$2:V704),$V$2:$V$1001,0),1)&gt;=100000,INDEX($AC$1005:$AS$1005,1,MATCH(COLUMNS($AC$1006:AL1006),$AC$1006:$AS$1006,0))&gt;=100000), " ",IF(INDEX($AC$2:$AS$1001,MATCH(ROWS($V$2:V704),$V$2:$V$1001,0),MATCH(COLUMNS($AC$1006:AL1006),$AC$1006:$AS$1006,0)), HYPERLINK("#",""), HYPERLINK(CONCATENATE("#Metadata!", ADDRESS(INDEX($X$2:$X$1001,MATCH(ROWS($V$2:V704),$V$2:$V$1001,0),0), INDEX($AC$1004:$AS$1004,1,MATCH(COLUMNS($AC$1006:AL1006),$AC$1006:$AS$1006,0)))),"Fix")))</f>
        <v>0</v>
      </c>
      <c r="L704" s="5">
        <f>IF(OR(INDEX($W$2:$W$1001,MATCH(ROWS($V$2:V704),$V$2:$V$1001,0),1)&gt;=100000,INDEX($AC$1005:$AS$1005,1,MATCH(COLUMNS($AC$1006:AM1006),$AC$1006:$AS$1006,0))&gt;=100000), " ",IF(INDEX($AC$2:$AS$1001,MATCH(ROWS($V$2:V704),$V$2:$V$1001,0),MATCH(COLUMNS($AC$1006:AM1006),$AC$1006:$AS$1006,0)), HYPERLINK("#",""), HYPERLINK(CONCATENATE("#Metadata!", ADDRESS(INDEX($X$2:$X$1001,MATCH(ROWS($V$2:V704),$V$2:$V$1001,0),0), INDEX($AC$1004:$AS$1004,1,MATCH(COLUMNS($AC$1006:AM1006),$AC$1006:$AS$1006,0)))),"Fix")))</f>
        <v>0</v>
      </c>
      <c r="M704" s="5">
        <f>IF(OR(INDEX($W$2:$W$1001,MATCH(ROWS($V$2:V704),$V$2:$V$1001,0),1)&gt;=100000,INDEX($AC$1005:$AS$1005,1,MATCH(COLUMNS($AC$1006:AN1006),$AC$1006:$AS$1006,0))&gt;=100000), " ",IF(INDEX($AC$2:$AS$1001,MATCH(ROWS($V$2:V704),$V$2:$V$1001,0),MATCH(COLUMNS($AC$1006:AN1006),$AC$1006:$AS$1006,0)), HYPERLINK("#",""), HYPERLINK(CONCATENATE("#Metadata!", ADDRESS(INDEX($X$2:$X$1001,MATCH(ROWS($V$2:V704),$V$2:$V$1001,0),0), INDEX($AC$1004:$AS$1004,1,MATCH(COLUMNS($AC$1006:AN1006),$AC$1006:$AS$1006,0)))),"Fix")))</f>
        <v>0</v>
      </c>
      <c r="N704" s="5">
        <f>IF(OR(INDEX($W$2:$W$1001,MATCH(ROWS($V$2:V704),$V$2:$V$1001,0),1)&gt;=100000,INDEX($AC$1005:$AS$1005,1,MATCH(COLUMNS($AC$1006:AO1006),$AC$1006:$AS$1006,0))&gt;=100000), " ",IF(INDEX($AC$2:$AS$1001,MATCH(ROWS($V$2:V704),$V$2:$V$1001,0),MATCH(COLUMNS($AC$1006:AO1006),$AC$1006:$AS$1006,0)), HYPERLINK("#",""), HYPERLINK(CONCATENATE("#Metadata!", ADDRESS(INDEX($X$2:$X$1001,MATCH(ROWS($V$2:V704),$V$2:$V$1001,0),0), INDEX($AC$1004:$AS$1004,1,MATCH(COLUMNS($AC$1006:AO1006),$AC$1006:$AS$1006,0)))),"Fix")))</f>
        <v>0</v>
      </c>
      <c r="O704" s="5">
        <f>IF(OR(INDEX($W$2:$W$1001,MATCH(ROWS($V$2:V704),$V$2:$V$1001,0),1)&gt;=100000,INDEX($AC$1005:$AS$1005,1,MATCH(COLUMNS($AC$1006:AP1006),$AC$1006:$AS$1006,0))&gt;=100000), " ",IF(INDEX($AC$2:$AS$1001,MATCH(ROWS($V$2:V704),$V$2:$V$1001,0),MATCH(COLUMNS($AC$1006:AP1006),$AC$1006:$AS$1006,0)), HYPERLINK("#",""), HYPERLINK(CONCATENATE("#Metadata!", ADDRESS(INDEX($X$2:$X$1001,MATCH(ROWS($V$2:V704),$V$2:$V$1001,0),0), INDEX($AC$1004:$AS$1004,1,MATCH(COLUMNS($AC$1006:AP1006),$AC$1006:$AS$1006,0)))),"Fix")))</f>
        <v>0</v>
      </c>
      <c r="P704" s="5">
        <f>IF(OR(INDEX($W$2:$W$1001,MATCH(ROWS($V$2:V704),$V$2:$V$1001,0),1)&gt;=100000,INDEX($AC$1005:$AS$1005,1,MATCH(COLUMNS($AC$1006:AQ1006),$AC$1006:$AS$1006,0))&gt;=100000), " ",IF(INDEX($AC$2:$AS$1001,MATCH(ROWS($V$2:V704),$V$2:$V$1001,0),MATCH(COLUMNS($AC$1006:AQ1006),$AC$1006:$AS$1006,0)), HYPERLINK("#",""), HYPERLINK(CONCATENATE("#Metadata!", ADDRESS(INDEX($X$2:$X$1001,MATCH(ROWS($V$2:V704),$V$2:$V$1001,0),0), INDEX($AC$1004:$AS$1004,1,MATCH(COLUMNS($AC$1006:AQ1006),$AC$1006:$AS$1006,0)))),"Fix")))</f>
        <v>0</v>
      </c>
      <c r="Q704" s="5">
        <f>IF(OR(INDEX($W$2:$W$1001,MATCH(ROWS($V$2:V704),$V$2:$V$1001,0),1)&gt;=100000,INDEX($AC$1005:$AS$1005,1,MATCH(COLUMNS($AC$1006:AR1006),$AC$1006:$AS$1006,0))&gt;=100000), " ",IF(INDEX($AC$2:$AS$1001,MATCH(ROWS($V$2:V704),$V$2:$V$1001,0),MATCH(COLUMNS($AC$1006:AR1006),$AC$1006:$AS$1006,0)), HYPERLINK("#",""), HYPERLINK(CONCATENATE("#Metadata!", ADDRESS(INDEX($X$2:$X$1001,MATCH(ROWS($V$2:V704),$V$2:$V$1001,0),0), INDEX($AC$1004:$AS$1004,1,MATCH(COLUMNS($AC$1006:AR1006),$AC$1006:$AS$1006,0)))),"Fix")))</f>
        <v>0</v>
      </c>
      <c r="R704" s="5">
        <f>IF(OR(INDEX($W$2:$W$1001,MATCH(ROWS($V$2:V704),$V$2:$V$1001,0),1)&gt;=100000,INDEX($AC$1005:$AS$1005,1,MATCH(COLUMNS($AC$1006:AS1006),$AC$1006:$AS$1006,0))&gt;=100000), " ",IF(INDEX($AC$2:$AS$1001,MATCH(ROWS($V$2:V704),$V$2:$V$1001,0),MATCH(COLUMNS($AC$1006:AS1006),$AC$1006:$AS$1006,0)), HYPERLINK("#",""), HYPERLINK(CONCATENATE("#Metadata!", ADDRESS(INDEX($X$2:$X$1001,MATCH(ROWS($V$2:V704),$V$2:$V$1001,0),0), INDEX($AC$1004:$AS$1004,1,MATCH(COLUMNS($AC$1006:AS1006),$AC$1006:$AS$1006,0)))),"Fix")))</f>
        <v>0</v>
      </c>
      <c r="V704">
        <v>0</v>
      </c>
      <c r="W704">
        <v>0</v>
      </c>
      <c r="X704">
        <v>0</v>
      </c>
      <c r="Y704">
        <f>IF(Z704,TRUE,AND(AC704:AS704))</f>
        <v>0</v>
      </c>
      <c r="Z704">
        <f>COUNTBLANK(Metadata!B704:R704)=COLUMNS(Metadata!B704:R704)</f>
        <v>0</v>
      </c>
      <c r="AA704">
        <v>0</v>
      </c>
      <c r="AC704">
        <f>AND(IF(Metadata!B704="",FALSE,TRUE),COUNTIF(Metadata!B:B, Metadata!B704) = 1,NOT(ISERROR(SUMPRODUCT(SEARCH(MID(Metadata!B704,ROW(INDIRECT("1:"&amp;LEN(Metadata!B704))), 1),"0123456789abcdefghijklmnopqrstuvwxyzABCDEFGHIJKLMNOPQRSTUVWXYZ.")))))</f>
        <v>0</v>
      </c>
      <c r="AD704">
        <f>AND(IF(Metadata!C704="",FALSE,TRUE),exact(Metadata!C704,"Host-associated"))</f>
        <v>0</v>
      </c>
      <c r="AE704">
        <f>AND(IF(Metadata!D704="",FALSE,TRUE),OR(exact(Metadata!D704,"Animal"),exact(Metadata!D704,"Fungus"),exact(Metadata!D704,"Plant")))</f>
        <v>0</v>
      </c>
      <c r="AF704">
        <f>AND(IF(Metadata!E704="",FALSE,TRUE),OR(exact(Metadata!E704,"Plant secretion"),exact(Metadata!E704,"Plant rhizosphere"),exact(Metadata!E704,"Plant surface"),exact(Metadata!E704,"Plant corpus"),exact(Metadata!E704,"Fungus surface"),exact(Metadata!E704,"Fungus corpus"),exact(Metadata!E704,"Animal surface"),exact(Metadata!E704,"Animal proximal gut"),exact(Metadata!E704,"Animal corpus"),exact(Metadata!E704,"Animal distal gut"),exact(Metadata!E704,"Animal secretion")))</f>
        <v>0</v>
      </c>
      <c r="AG704">
        <f>OR(AND(IF(Metadata!F704="",FALSE,TRUE),OR(exact(Metadata!F704,"not collected"),exact(Metadata!F704,"not provided"),exact(Metadata!F704,"restricted access"))),AND(IF(Metadata!F704="",FALSE,TRUE),OR(exact(Metadata!F704,"organism-associated habitat"),exact(Metadata!F704,"plant-associated habitat"),exact(Metadata!F704,"animal-associated habitat"),exact(Metadata!F704,"insecta-associated habitat"),exact(Metadata!F704,"mammalia-associated habitat"),exact(Metadata!F704,"human-associated habitat"),exact(Metadata!F704,"livestock-associated habitat"))))</f>
        <v>0</v>
      </c>
      <c r="AH704">
        <f>AND(IF(Metadata!G704="",FALSE,TRUE),exact(Metadata!G704,"host-associated"))</f>
        <v>0</v>
      </c>
      <c r="AI704">
        <f>OR(AND(IF(Metadata!H704="",FALSE,TRUE),OR(exact(Metadata!H704,"not collected"),exact(Metadata!H704,"not provided"))),AND(IF(Metadata!H704="",FALSE,ISNUMBER(VALUE(Metadata!H704))),Metadata!H704&gt;0))</f>
        <v>0</v>
      </c>
      <c r="AJ704">
        <f>AND(IF(Metadata!I704="",FALSE,TRUE),exact(Metadata!I704,"years"))</f>
        <v>0</v>
      </c>
      <c r="AK704">
        <f>IF(Metadata!J704="",FALSE,TRUE)</f>
        <v>0</v>
      </c>
      <c r="AL704">
        <f>OR(AND(IF(Metadata!K704="",FALSE,TRUE),OR(exact(Metadata!K704,"not collected"),exact(Metadata!K704,"not provided"))),AND(IF(Metadata!K704="",FALSE,ISNUMBER(VALUE(Metadata!K704))),Metadata!K704&gt;0))</f>
        <v>0</v>
      </c>
      <c r="AM704">
        <f>AND(IF(Metadata!L704="",FALSE,TRUE),exact(Metadata!L704,"cm"))</f>
        <v>0</v>
      </c>
      <c r="AN704">
        <f>IF(Metadata!M704="",FALSE,TRUE)</f>
        <v>0</v>
      </c>
      <c r="AO704">
        <f>OR(AND(IF(Metadata!N704="",FALSE,TRUE),OR(exact(Metadata!N704,"not applicable"),exact(Metadata!N704,"not collected"),exact(Metadata!N704,"not provided"))),AND(IF(Metadata!N704="",FALSE,IF(ISERROR(INT(Metadata!N704)),FALSE,INT(Metadata!N704)=Metadata!N704)),Metadata!N704&gt;0))</f>
        <v>0</v>
      </c>
      <c r="AP704">
        <f>OR(AND(IF(Metadata!O704="",FALSE,TRUE),OR(exact(Metadata!O704,"not collected"),exact(Metadata!O704,"not provided"))),AND(IF(Metadata!O704="",FALSE,ISNUMBER(VALUE(Metadata!O704))),Metadata!O704&gt;0))</f>
        <v>0</v>
      </c>
      <c r="AQ704">
        <f>AND(IF(Metadata!P704="",FALSE,TRUE),exact(Metadata!P704,"kg"))</f>
        <v>0</v>
      </c>
      <c r="AR704">
        <f>OR(AND(IF(Metadata!Q704="",FALSE,TRUE),OR(exact(Metadata!Q704,"not applicable"),exact(Metadata!Q704,"not collected"),exact(Metadata!Q704,"not provided"),exact(Metadata!Q704,"restricted access"))),IF(Metadata!Q704="",FALSE,IF(ISERROR(INT(Metadata!Q704)),FALSE,INT(Metadata!Q704)=Metadata!Q704)))</f>
        <v>0</v>
      </c>
      <c r="AS704">
        <f>AND(IF(Metadata!R704="",FALSE,TRUE),exact(Metadata!R704,"Not applicable"))</f>
        <v>0</v>
      </c>
    </row>
    <row r="705" spans="1:45">
      <c r="A705" s="4">
        <f>IF(B705=" "," ",HYPERLINK(CONCATENATE("#metadata!",ADDRESS(INDEX($X$2:$X$1001,MATCH(ROWS($V$2:V705),$V$2:$V$1001,0),0),2)),INDEX($AA$2:$AA$1001,MATCH(ROWS($V$2:V705),$V$2:$V$1001,0),0)))</f>
        <v>0</v>
      </c>
      <c r="B705" s="5">
        <f>IF(OR(INDEX($W$2:$W$1001,MATCH(ROWS($V$2:V705),$V$2:$V$1001,0),1)&gt;=100000,INDEX($AC$1005:$AS$1005,1,MATCH(COLUMNS($AC$1006:AC1006),$AC$1006:$AS$1006,0))&gt;=100000), " ",IF(INDEX($AC$2:$AS$1001,MATCH(ROWS($V$2:V705),$V$2:$V$1001,0),MATCH(COLUMNS($AC$1006:AC1006),$AC$1006:$AS$1006,0)), HYPERLINK("#",""), HYPERLINK(CONCATENATE("#Metadata!", ADDRESS(INDEX($X$2:$X$1001,MATCH(ROWS($V$2:V705),$V$2:$V$1001,0),0), INDEX($AC$1004:$AS$1004,1,MATCH(COLUMNS($AC$1006:AC1006),$AC$1006:$AS$1006,0)))),"Fix")))</f>
        <v>0</v>
      </c>
      <c r="C705" s="5">
        <f>IF(OR(INDEX($W$2:$W$1001,MATCH(ROWS($V$2:V705),$V$2:$V$1001,0),1)&gt;=100000,INDEX($AC$1005:$AS$1005,1,MATCH(COLUMNS($AC$1006:AD1006),$AC$1006:$AS$1006,0))&gt;=100000), " ",IF(INDEX($AC$2:$AS$1001,MATCH(ROWS($V$2:V705),$V$2:$V$1001,0),MATCH(COLUMNS($AC$1006:AD1006),$AC$1006:$AS$1006,0)), HYPERLINK("#",""), HYPERLINK(CONCATENATE("#Metadata!", ADDRESS(INDEX($X$2:$X$1001,MATCH(ROWS($V$2:V705),$V$2:$V$1001,0),0), INDEX($AC$1004:$AS$1004,1,MATCH(COLUMNS($AC$1006:AD1006),$AC$1006:$AS$1006,0)))),"Fix")))</f>
        <v>0</v>
      </c>
      <c r="D705" s="5">
        <f>IF(OR(INDEX($W$2:$W$1001,MATCH(ROWS($V$2:V705),$V$2:$V$1001,0),1)&gt;=100000,INDEX($AC$1005:$AS$1005,1,MATCH(COLUMNS($AC$1006:AE1006),$AC$1006:$AS$1006,0))&gt;=100000), " ",IF(INDEX($AC$2:$AS$1001,MATCH(ROWS($V$2:V705),$V$2:$V$1001,0),MATCH(COLUMNS($AC$1006:AE1006),$AC$1006:$AS$1006,0)), HYPERLINK("#",""), HYPERLINK(CONCATENATE("#Metadata!", ADDRESS(INDEX($X$2:$X$1001,MATCH(ROWS($V$2:V705),$V$2:$V$1001,0),0), INDEX($AC$1004:$AS$1004,1,MATCH(COLUMNS($AC$1006:AE1006),$AC$1006:$AS$1006,0)))),"Fix")))</f>
        <v>0</v>
      </c>
      <c r="E705" s="5">
        <f>IF(OR(INDEX($W$2:$W$1001,MATCH(ROWS($V$2:V705),$V$2:$V$1001,0),1)&gt;=100000,INDEX($AC$1005:$AS$1005,1,MATCH(COLUMNS($AC$1006:AF1006),$AC$1006:$AS$1006,0))&gt;=100000), " ",IF(INDEX($AC$2:$AS$1001,MATCH(ROWS($V$2:V705),$V$2:$V$1001,0),MATCH(COLUMNS($AC$1006:AF1006),$AC$1006:$AS$1006,0)), HYPERLINK("#",""), HYPERLINK(CONCATENATE("#Metadata!", ADDRESS(INDEX($X$2:$X$1001,MATCH(ROWS($V$2:V705),$V$2:$V$1001,0),0), INDEX($AC$1004:$AS$1004,1,MATCH(COLUMNS($AC$1006:AF1006),$AC$1006:$AS$1006,0)))),"Fix")))</f>
        <v>0</v>
      </c>
      <c r="F705" s="5">
        <f>IF(OR(INDEX($W$2:$W$1001,MATCH(ROWS($V$2:V705),$V$2:$V$1001,0),1)&gt;=100000,INDEX($AC$1005:$AS$1005,1,MATCH(COLUMNS($AC$1006:AG1006),$AC$1006:$AS$1006,0))&gt;=100000), " ",IF(INDEX($AC$2:$AS$1001,MATCH(ROWS($V$2:V705),$V$2:$V$1001,0),MATCH(COLUMNS($AC$1006:AG1006),$AC$1006:$AS$1006,0)), HYPERLINK("#",""), HYPERLINK(CONCATENATE("#Metadata!", ADDRESS(INDEX($X$2:$X$1001,MATCH(ROWS($V$2:V705),$V$2:$V$1001,0),0), INDEX($AC$1004:$AS$1004,1,MATCH(COLUMNS($AC$1006:AG1006),$AC$1006:$AS$1006,0)))),"Fix")))</f>
        <v>0</v>
      </c>
      <c r="G705" s="5">
        <f>IF(OR(INDEX($W$2:$W$1001,MATCH(ROWS($V$2:V705),$V$2:$V$1001,0),1)&gt;=100000,INDEX($AC$1005:$AS$1005,1,MATCH(COLUMNS($AC$1006:AH1006),$AC$1006:$AS$1006,0))&gt;=100000), " ",IF(INDEX($AC$2:$AS$1001,MATCH(ROWS($V$2:V705),$V$2:$V$1001,0),MATCH(COLUMNS($AC$1006:AH1006),$AC$1006:$AS$1006,0)), HYPERLINK("#",""), HYPERLINK(CONCATENATE("#Metadata!", ADDRESS(INDEX($X$2:$X$1001,MATCH(ROWS($V$2:V705),$V$2:$V$1001,0),0), INDEX($AC$1004:$AS$1004,1,MATCH(COLUMNS($AC$1006:AH1006),$AC$1006:$AS$1006,0)))),"Fix")))</f>
        <v>0</v>
      </c>
      <c r="H705" s="5">
        <f>IF(OR(INDEX($W$2:$W$1001,MATCH(ROWS($V$2:V705),$V$2:$V$1001,0),1)&gt;=100000,INDEX($AC$1005:$AS$1005,1,MATCH(COLUMNS($AC$1006:AI1006),$AC$1006:$AS$1006,0))&gt;=100000), " ",IF(INDEX($AC$2:$AS$1001,MATCH(ROWS($V$2:V705),$V$2:$V$1001,0),MATCH(COLUMNS($AC$1006:AI1006),$AC$1006:$AS$1006,0)), HYPERLINK("#",""), HYPERLINK(CONCATENATE("#Metadata!", ADDRESS(INDEX($X$2:$X$1001,MATCH(ROWS($V$2:V705),$V$2:$V$1001,0),0), INDEX($AC$1004:$AS$1004,1,MATCH(COLUMNS($AC$1006:AI1006),$AC$1006:$AS$1006,0)))),"Fix")))</f>
        <v>0</v>
      </c>
      <c r="I705" s="5">
        <f>IF(OR(INDEX($W$2:$W$1001,MATCH(ROWS($V$2:V705),$V$2:$V$1001,0),1)&gt;=100000,INDEX($AC$1005:$AS$1005,1,MATCH(COLUMNS($AC$1006:AJ1006),$AC$1006:$AS$1006,0))&gt;=100000), " ",IF(INDEX($AC$2:$AS$1001,MATCH(ROWS($V$2:V705),$V$2:$V$1001,0),MATCH(COLUMNS($AC$1006:AJ1006),$AC$1006:$AS$1006,0)), HYPERLINK("#",""), HYPERLINK(CONCATENATE("#Metadata!", ADDRESS(INDEX($X$2:$X$1001,MATCH(ROWS($V$2:V705),$V$2:$V$1001,0),0), INDEX($AC$1004:$AS$1004,1,MATCH(COLUMNS($AC$1006:AJ1006),$AC$1006:$AS$1006,0)))),"Fix")))</f>
        <v>0</v>
      </c>
      <c r="J705" s="5">
        <f>IF(OR(INDEX($W$2:$W$1001,MATCH(ROWS($V$2:V705),$V$2:$V$1001,0),1)&gt;=100000,INDEX($AC$1005:$AS$1005,1,MATCH(COLUMNS($AC$1006:AK1006),$AC$1006:$AS$1006,0))&gt;=100000), " ",IF(INDEX($AC$2:$AS$1001,MATCH(ROWS($V$2:V705),$V$2:$V$1001,0),MATCH(COLUMNS($AC$1006:AK1006),$AC$1006:$AS$1006,0)), HYPERLINK("#",""), HYPERLINK(CONCATENATE("#Metadata!", ADDRESS(INDEX($X$2:$X$1001,MATCH(ROWS($V$2:V705),$V$2:$V$1001,0),0), INDEX($AC$1004:$AS$1004,1,MATCH(COLUMNS($AC$1006:AK1006),$AC$1006:$AS$1006,0)))),"Fix")))</f>
        <v>0</v>
      </c>
      <c r="K705" s="5">
        <f>IF(OR(INDEX($W$2:$W$1001,MATCH(ROWS($V$2:V705),$V$2:$V$1001,0),1)&gt;=100000,INDEX($AC$1005:$AS$1005,1,MATCH(COLUMNS($AC$1006:AL1006),$AC$1006:$AS$1006,0))&gt;=100000), " ",IF(INDEX($AC$2:$AS$1001,MATCH(ROWS($V$2:V705),$V$2:$V$1001,0),MATCH(COLUMNS($AC$1006:AL1006),$AC$1006:$AS$1006,0)), HYPERLINK("#",""), HYPERLINK(CONCATENATE("#Metadata!", ADDRESS(INDEX($X$2:$X$1001,MATCH(ROWS($V$2:V705),$V$2:$V$1001,0),0), INDEX($AC$1004:$AS$1004,1,MATCH(COLUMNS($AC$1006:AL1006),$AC$1006:$AS$1006,0)))),"Fix")))</f>
        <v>0</v>
      </c>
      <c r="L705" s="5">
        <f>IF(OR(INDEX($W$2:$W$1001,MATCH(ROWS($V$2:V705),$V$2:$V$1001,0),1)&gt;=100000,INDEX($AC$1005:$AS$1005,1,MATCH(COLUMNS($AC$1006:AM1006),$AC$1006:$AS$1006,0))&gt;=100000), " ",IF(INDEX($AC$2:$AS$1001,MATCH(ROWS($V$2:V705),$V$2:$V$1001,0),MATCH(COLUMNS($AC$1006:AM1006),$AC$1006:$AS$1006,0)), HYPERLINK("#",""), HYPERLINK(CONCATENATE("#Metadata!", ADDRESS(INDEX($X$2:$X$1001,MATCH(ROWS($V$2:V705),$V$2:$V$1001,0),0), INDEX($AC$1004:$AS$1004,1,MATCH(COLUMNS($AC$1006:AM1006),$AC$1006:$AS$1006,0)))),"Fix")))</f>
        <v>0</v>
      </c>
      <c r="M705" s="5">
        <f>IF(OR(INDEX($W$2:$W$1001,MATCH(ROWS($V$2:V705),$V$2:$V$1001,0),1)&gt;=100000,INDEX($AC$1005:$AS$1005,1,MATCH(COLUMNS($AC$1006:AN1006),$AC$1006:$AS$1006,0))&gt;=100000), " ",IF(INDEX($AC$2:$AS$1001,MATCH(ROWS($V$2:V705),$V$2:$V$1001,0),MATCH(COLUMNS($AC$1006:AN1006),$AC$1006:$AS$1006,0)), HYPERLINK("#",""), HYPERLINK(CONCATENATE("#Metadata!", ADDRESS(INDEX($X$2:$X$1001,MATCH(ROWS($V$2:V705),$V$2:$V$1001,0),0), INDEX($AC$1004:$AS$1004,1,MATCH(COLUMNS($AC$1006:AN1006),$AC$1006:$AS$1006,0)))),"Fix")))</f>
        <v>0</v>
      </c>
      <c r="N705" s="5">
        <f>IF(OR(INDEX($W$2:$W$1001,MATCH(ROWS($V$2:V705),$V$2:$V$1001,0),1)&gt;=100000,INDEX($AC$1005:$AS$1005,1,MATCH(COLUMNS($AC$1006:AO1006),$AC$1006:$AS$1006,0))&gt;=100000), " ",IF(INDEX($AC$2:$AS$1001,MATCH(ROWS($V$2:V705),$V$2:$V$1001,0),MATCH(COLUMNS($AC$1006:AO1006),$AC$1006:$AS$1006,0)), HYPERLINK("#",""), HYPERLINK(CONCATENATE("#Metadata!", ADDRESS(INDEX($X$2:$X$1001,MATCH(ROWS($V$2:V705),$V$2:$V$1001,0),0), INDEX($AC$1004:$AS$1004,1,MATCH(COLUMNS($AC$1006:AO1006),$AC$1006:$AS$1006,0)))),"Fix")))</f>
        <v>0</v>
      </c>
      <c r="O705" s="5">
        <f>IF(OR(INDEX($W$2:$W$1001,MATCH(ROWS($V$2:V705),$V$2:$V$1001,0),1)&gt;=100000,INDEX($AC$1005:$AS$1005,1,MATCH(COLUMNS($AC$1006:AP1006),$AC$1006:$AS$1006,0))&gt;=100000), " ",IF(INDEX($AC$2:$AS$1001,MATCH(ROWS($V$2:V705),$V$2:$V$1001,0),MATCH(COLUMNS($AC$1006:AP1006),$AC$1006:$AS$1006,0)), HYPERLINK("#",""), HYPERLINK(CONCATENATE("#Metadata!", ADDRESS(INDEX($X$2:$X$1001,MATCH(ROWS($V$2:V705),$V$2:$V$1001,0),0), INDEX($AC$1004:$AS$1004,1,MATCH(COLUMNS($AC$1006:AP1006),$AC$1006:$AS$1006,0)))),"Fix")))</f>
        <v>0</v>
      </c>
      <c r="P705" s="5">
        <f>IF(OR(INDEX($W$2:$W$1001,MATCH(ROWS($V$2:V705),$V$2:$V$1001,0),1)&gt;=100000,INDEX($AC$1005:$AS$1005,1,MATCH(COLUMNS($AC$1006:AQ1006),$AC$1006:$AS$1006,0))&gt;=100000), " ",IF(INDEX($AC$2:$AS$1001,MATCH(ROWS($V$2:V705),$V$2:$V$1001,0),MATCH(COLUMNS($AC$1006:AQ1006),$AC$1006:$AS$1006,0)), HYPERLINK("#",""), HYPERLINK(CONCATENATE("#Metadata!", ADDRESS(INDEX($X$2:$X$1001,MATCH(ROWS($V$2:V705),$V$2:$V$1001,0),0), INDEX($AC$1004:$AS$1004,1,MATCH(COLUMNS($AC$1006:AQ1006),$AC$1006:$AS$1006,0)))),"Fix")))</f>
        <v>0</v>
      </c>
      <c r="Q705" s="5">
        <f>IF(OR(INDEX($W$2:$W$1001,MATCH(ROWS($V$2:V705),$V$2:$V$1001,0),1)&gt;=100000,INDEX($AC$1005:$AS$1005,1,MATCH(COLUMNS($AC$1006:AR1006),$AC$1006:$AS$1006,0))&gt;=100000), " ",IF(INDEX($AC$2:$AS$1001,MATCH(ROWS($V$2:V705),$V$2:$V$1001,0),MATCH(COLUMNS($AC$1006:AR1006),$AC$1006:$AS$1006,0)), HYPERLINK("#",""), HYPERLINK(CONCATENATE("#Metadata!", ADDRESS(INDEX($X$2:$X$1001,MATCH(ROWS($V$2:V705),$V$2:$V$1001,0),0), INDEX($AC$1004:$AS$1004,1,MATCH(COLUMNS($AC$1006:AR1006),$AC$1006:$AS$1006,0)))),"Fix")))</f>
        <v>0</v>
      </c>
      <c r="R705" s="5">
        <f>IF(OR(INDEX($W$2:$W$1001,MATCH(ROWS($V$2:V705),$V$2:$V$1001,0),1)&gt;=100000,INDEX($AC$1005:$AS$1005,1,MATCH(COLUMNS($AC$1006:AS1006),$AC$1006:$AS$1006,0))&gt;=100000), " ",IF(INDEX($AC$2:$AS$1001,MATCH(ROWS($V$2:V705),$V$2:$V$1001,0),MATCH(COLUMNS($AC$1006:AS1006),$AC$1006:$AS$1006,0)), HYPERLINK("#",""), HYPERLINK(CONCATENATE("#Metadata!", ADDRESS(INDEX($X$2:$X$1001,MATCH(ROWS($V$2:V705),$V$2:$V$1001,0),0), INDEX($AC$1004:$AS$1004,1,MATCH(COLUMNS($AC$1006:AS1006),$AC$1006:$AS$1006,0)))),"Fix")))</f>
        <v>0</v>
      </c>
      <c r="V705">
        <v>0</v>
      </c>
      <c r="W705">
        <v>0</v>
      </c>
      <c r="X705">
        <v>0</v>
      </c>
      <c r="Y705">
        <f>IF(Z705,TRUE,AND(AC705:AS705))</f>
        <v>0</v>
      </c>
      <c r="Z705">
        <f>COUNTBLANK(Metadata!B705:R705)=COLUMNS(Metadata!B705:R705)</f>
        <v>0</v>
      </c>
      <c r="AA705">
        <v>0</v>
      </c>
      <c r="AC705">
        <f>AND(IF(Metadata!B705="",FALSE,TRUE),COUNTIF(Metadata!B:B, Metadata!B705) = 1,NOT(ISERROR(SUMPRODUCT(SEARCH(MID(Metadata!B705,ROW(INDIRECT("1:"&amp;LEN(Metadata!B705))), 1),"0123456789abcdefghijklmnopqrstuvwxyzABCDEFGHIJKLMNOPQRSTUVWXYZ.")))))</f>
        <v>0</v>
      </c>
      <c r="AD705">
        <f>AND(IF(Metadata!C705="",FALSE,TRUE),exact(Metadata!C705,"Host-associated"))</f>
        <v>0</v>
      </c>
      <c r="AE705">
        <f>AND(IF(Metadata!D705="",FALSE,TRUE),OR(exact(Metadata!D705,"Animal"),exact(Metadata!D705,"Fungus"),exact(Metadata!D705,"Plant")))</f>
        <v>0</v>
      </c>
      <c r="AF705">
        <f>AND(IF(Metadata!E705="",FALSE,TRUE),OR(exact(Metadata!E705,"Plant secretion"),exact(Metadata!E705,"Plant rhizosphere"),exact(Metadata!E705,"Plant surface"),exact(Metadata!E705,"Plant corpus"),exact(Metadata!E705,"Fungus surface"),exact(Metadata!E705,"Fungus corpus"),exact(Metadata!E705,"Animal surface"),exact(Metadata!E705,"Animal proximal gut"),exact(Metadata!E705,"Animal corpus"),exact(Metadata!E705,"Animal distal gut"),exact(Metadata!E705,"Animal secretion")))</f>
        <v>0</v>
      </c>
      <c r="AG705">
        <f>OR(AND(IF(Metadata!F705="",FALSE,TRUE),OR(exact(Metadata!F705,"not collected"),exact(Metadata!F705,"not provided"),exact(Metadata!F705,"restricted access"))),AND(IF(Metadata!F705="",FALSE,TRUE),OR(exact(Metadata!F705,"organism-associated habitat"),exact(Metadata!F705,"plant-associated habitat"),exact(Metadata!F705,"animal-associated habitat"),exact(Metadata!F705,"insecta-associated habitat"),exact(Metadata!F705,"mammalia-associated habitat"),exact(Metadata!F705,"human-associated habitat"),exact(Metadata!F705,"livestock-associated habitat"))))</f>
        <v>0</v>
      </c>
      <c r="AH705">
        <f>AND(IF(Metadata!G705="",FALSE,TRUE),exact(Metadata!G705,"host-associated"))</f>
        <v>0</v>
      </c>
      <c r="AI705">
        <f>OR(AND(IF(Metadata!H705="",FALSE,TRUE),OR(exact(Metadata!H705,"not collected"),exact(Metadata!H705,"not provided"))),AND(IF(Metadata!H705="",FALSE,ISNUMBER(VALUE(Metadata!H705))),Metadata!H705&gt;0))</f>
        <v>0</v>
      </c>
      <c r="AJ705">
        <f>AND(IF(Metadata!I705="",FALSE,TRUE),exact(Metadata!I705,"years"))</f>
        <v>0</v>
      </c>
      <c r="AK705">
        <f>IF(Metadata!J705="",FALSE,TRUE)</f>
        <v>0</v>
      </c>
      <c r="AL705">
        <f>OR(AND(IF(Metadata!K705="",FALSE,TRUE),OR(exact(Metadata!K705,"not collected"),exact(Metadata!K705,"not provided"))),AND(IF(Metadata!K705="",FALSE,ISNUMBER(VALUE(Metadata!K705))),Metadata!K705&gt;0))</f>
        <v>0</v>
      </c>
      <c r="AM705">
        <f>AND(IF(Metadata!L705="",FALSE,TRUE),exact(Metadata!L705,"cm"))</f>
        <v>0</v>
      </c>
      <c r="AN705">
        <f>IF(Metadata!M705="",FALSE,TRUE)</f>
        <v>0</v>
      </c>
      <c r="AO705">
        <f>OR(AND(IF(Metadata!N705="",FALSE,TRUE),OR(exact(Metadata!N705,"not applicable"),exact(Metadata!N705,"not collected"),exact(Metadata!N705,"not provided"))),AND(IF(Metadata!N705="",FALSE,IF(ISERROR(INT(Metadata!N705)),FALSE,INT(Metadata!N705)=Metadata!N705)),Metadata!N705&gt;0))</f>
        <v>0</v>
      </c>
      <c r="AP705">
        <f>OR(AND(IF(Metadata!O705="",FALSE,TRUE),OR(exact(Metadata!O705,"not collected"),exact(Metadata!O705,"not provided"))),AND(IF(Metadata!O705="",FALSE,ISNUMBER(VALUE(Metadata!O705))),Metadata!O705&gt;0))</f>
        <v>0</v>
      </c>
      <c r="AQ705">
        <f>AND(IF(Metadata!P705="",FALSE,TRUE),exact(Metadata!P705,"kg"))</f>
        <v>0</v>
      </c>
      <c r="AR705">
        <f>OR(AND(IF(Metadata!Q705="",FALSE,TRUE),OR(exact(Metadata!Q705,"not applicable"),exact(Metadata!Q705,"not collected"),exact(Metadata!Q705,"not provided"),exact(Metadata!Q705,"restricted access"))),IF(Metadata!Q705="",FALSE,IF(ISERROR(INT(Metadata!Q705)),FALSE,INT(Metadata!Q705)=Metadata!Q705)))</f>
        <v>0</v>
      </c>
      <c r="AS705">
        <f>AND(IF(Metadata!R705="",FALSE,TRUE),exact(Metadata!R705,"Not applicable"))</f>
        <v>0</v>
      </c>
    </row>
    <row r="706" spans="1:45">
      <c r="A706" s="4">
        <f>IF(B706=" "," ",HYPERLINK(CONCATENATE("#metadata!",ADDRESS(INDEX($X$2:$X$1001,MATCH(ROWS($V$2:V706),$V$2:$V$1001,0),0),2)),INDEX($AA$2:$AA$1001,MATCH(ROWS($V$2:V706),$V$2:$V$1001,0),0)))</f>
        <v>0</v>
      </c>
      <c r="B706" s="5">
        <f>IF(OR(INDEX($W$2:$W$1001,MATCH(ROWS($V$2:V706),$V$2:$V$1001,0),1)&gt;=100000,INDEX($AC$1005:$AS$1005,1,MATCH(COLUMNS($AC$1006:AC1006),$AC$1006:$AS$1006,0))&gt;=100000), " ",IF(INDEX($AC$2:$AS$1001,MATCH(ROWS($V$2:V706),$V$2:$V$1001,0),MATCH(COLUMNS($AC$1006:AC1006),$AC$1006:$AS$1006,0)), HYPERLINK("#",""), HYPERLINK(CONCATENATE("#Metadata!", ADDRESS(INDEX($X$2:$X$1001,MATCH(ROWS($V$2:V706),$V$2:$V$1001,0),0), INDEX($AC$1004:$AS$1004,1,MATCH(COLUMNS($AC$1006:AC1006),$AC$1006:$AS$1006,0)))),"Fix")))</f>
        <v>0</v>
      </c>
      <c r="C706" s="5">
        <f>IF(OR(INDEX($W$2:$W$1001,MATCH(ROWS($V$2:V706),$V$2:$V$1001,0),1)&gt;=100000,INDEX($AC$1005:$AS$1005,1,MATCH(COLUMNS($AC$1006:AD1006),$AC$1006:$AS$1006,0))&gt;=100000), " ",IF(INDEX($AC$2:$AS$1001,MATCH(ROWS($V$2:V706),$V$2:$V$1001,0),MATCH(COLUMNS($AC$1006:AD1006),$AC$1006:$AS$1006,0)), HYPERLINK("#",""), HYPERLINK(CONCATENATE("#Metadata!", ADDRESS(INDEX($X$2:$X$1001,MATCH(ROWS($V$2:V706),$V$2:$V$1001,0),0), INDEX($AC$1004:$AS$1004,1,MATCH(COLUMNS($AC$1006:AD1006),$AC$1006:$AS$1006,0)))),"Fix")))</f>
        <v>0</v>
      </c>
      <c r="D706" s="5">
        <f>IF(OR(INDEX($W$2:$W$1001,MATCH(ROWS($V$2:V706),$V$2:$V$1001,0),1)&gt;=100000,INDEX($AC$1005:$AS$1005,1,MATCH(COLUMNS($AC$1006:AE1006),$AC$1006:$AS$1006,0))&gt;=100000), " ",IF(INDEX($AC$2:$AS$1001,MATCH(ROWS($V$2:V706),$V$2:$V$1001,0),MATCH(COLUMNS($AC$1006:AE1006),$AC$1006:$AS$1006,0)), HYPERLINK("#",""), HYPERLINK(CONCATENATE("#Metadata!", ADDRESS(INDEX($X$2:$X$1001,MATCH(ROWS($V$2:V706),$V$2:$V$1001,0),0), INDEX($AC$1004:$AS$1004,1,MATCH(COLUMNS($AC$1006:AE1006),$AC$1006:$AS$1006,0)))),"Fix")))</f>
        <v>0</v>
      </c>
      <c r="E706" s="5">
        <f>IF(OR(INDEX($W$2:$W$1001,MATCH(ROWS($V$2:V706),$V$2:$V$1001,0),1)&gt;=100000,INDEX($AC$1005:$AS$1005,1,MATCH(COLUMNS($AC$1006:AF1006),$AC$1006:$AS$1006,0))&gt;=100000), " ",IF(INDEX($AC$2:$AS$1001,MATCH(ROWS($V$2:V706),$V$2:$V$1001,0),MATCH(COLUMNS($AC$1006:AF1006),$AC$1006:$AS$1006,0)), HYPERLINK("#",""), HYPERLINK(CONCATENATE("#Metadata!", ADDRESS(INDEX($X$2:$X$1001,MATCH(ROWS($V$2:V706),$V$2:$V$1001,0),0), INDEX($AC$1004:$AS$1004,1,MATCH(COLUMNS($AC$1006:AF1006),$AC$1006:$AS$1006,0)))),"Fix")))</f>
        <v>0</v>
      </c>
      <c r="F706" s="5">
        <f>IF(OR(INDEX($W$2:$W$1001,MATCH(ROWS($V$2:V706),$V$2:$V$1001,0),1)&gt;=100000,INDEX($AC$1005:$AS$1005,1,MATCH(COLUMNS($AC$1006:AG1006),$AC$1006:$AS$1006,0))&gt;=100000), " ",IF(INDEX($AC$2:$AS$1001,MATCH(ROWS($V$2:V706),$V$2:$V$1001,0),MATCH(COLUMNS($AC$1006:AG1006),$AC$1006:$AS$1006,0)), HYPERLINK("#",""), HYPERLINK(CONCATENATE("#Metadata!", ADDRESS(INDEX($X$2:$X$1001,MATCH(ROWS($V$2:V706),$V$2:$V$1001,0),0), INDEX($AC$1004:$AS$1004,1,MATCH(COLUMNS($AC$1006:AG1006),$AC$1006:$AS$1006,0)))),"Fix")))</f>
        <v>0</v>
      </c>
      <c r="G706" s="5">
        <f>IF(OR(INDEX($W$2:$W$1001,MATCH(ROWS($V$2:V706),$V$2:$V$1001,0),1)&gt;=100000,INDEX($AC$1005:$AS$1005,1,MATCH(COLUMNS($AC$1006:AH1006),$AC$1006:$AS$1006,0))&gt;=100000), " ",IF(INDEX($AC$2:$AS$1001,MATCH(ROWS($V$2:V706),$V$2:$V$1001,0),MATCH(COLUMNS($AC$1006:AH1006),$AC$1006:$AS$1006,0)), HYPERLINK("#",""), HYPERLINK(CONCATENATE("#Metadata!", ADDRESS(INDEX($X$2:$X$1001,MATCH(ROWS($V$2:V706),$V$2:$V$1001,0),0), INDEX($AC$1004:$AS$1004,1,MATCH(COLUMNS($AC$1006:AH1006),$AC$1006:$AS$1006,0)))),"Fix")))</f>
        <v>0</v>
      </c>
      <c r="H706" s="5">
        <f>IF(OR(INDEX($W$2:$W$1001,MATCH(ROWS($V$2:V706),$V$2:$V$1001,0),1)&gt;=100000,INDEX($AC$1005:$AS$1005,1,MATCH(COLUMNS($AC$1006:AI1006),$AC$1006:$AS$1006,0))&gt;=100000), " ",IF(INDEX($AC$2:$AS$1001,MATCH(ROWS($V$2:V706),$V$2:$V$1001,0),MATCH(COLUMNS($AC$1006:AI1006),$AC$1006:$AS$1006,0)), HYPERLINK("#",""), HYPERLINK(CONCATENATE("#Metadata!", ADDRESS(INDEX($X$2:$X$1001,MATCH(ROWS($V$2:V706),$V$2:$V$1001,0),0), INDEX($AC$1004:$AS$1004,1,MATCH(COLUMNS($AC$1006:AI1006),$AC$1006:$AS$1006,0)))),"Fix")))</f>
        <v>0</v>
      </c>
      <c r="I706" s="5">
        <f>IF(OR(INDEX($W$2:$W$1001,MATCH(ROWS($V$2:V706),$V$2:$V$1001,0),1)&gt;=100000,INDEX($AC$1005:$AS$1005,1,MATCH(COLUMNS($AC$1006:AJ1006),$AC$1006:$AS$1006,0))&gt;=100000), " ",IF(INDEX($AC$2:$AS$1001,MATCH(ROWS($V$2:V706),$V$2:$V$1001,0),MATCH(COLUMNS($AC$1006:AJ1006),$AC$1006:$AS$1006,0)), HYPERLINK("#",""), HYPERLINK(CONCATENATE("#Metadata!", ADDRESS(INDEX($X$2:$X$1001,MATCH(ROWS($V$2:V706),$V$2:$V$1001,0),0), INDEX($AC$1004:$AS$1004,1,MATCH(COLUMNS($AC$1006:AJ1006),$AC$1006:$AS$1006,0)))),"Fix")))</f>
        <v>0</v>
      </c>
      <c r="J706" s="5">
        <f>IF(OR(INDEX($W$2:$W$1001,MATCH(ROWS($V$2:V706),$V$2:$V$1001,0),1)&gt;=100000,INDEX($AC$1005:$AS$1005,1,MATCH(COLUMNS($AC$1006:AK1006),$AC$1006:$AS$1006,0))&gt;=100000), " ",IF(INDEX($AC$2:$AS$1001,MATCH(ROWS($V$2:V706),$V$2:$V$1001,0),MATCH(COLUMNS($AC$1006:AK1006),$AC$1006:$AS$1006,0)), HYPERLINK("#",""), HYPERLINK(CONCATENATE("#Metadata!", ADDRESS(INDEX($X$2:$X$1001,MATCH(ROWS($V$2:V706),$V$2:$V$1001,0),0), INDEX($AC$1004:$AS$1004,1,MATCH(COLUMNS($AC$1006:AK1006),$AC$1006:$AS$1006,0)))),"Fix")))</f>
        <v>0</v>
      </c>
      <c r="K706" s="5">
        <f>IF(OR(INDEX($W$2:$W$1001,MATCH(ROWS($V$2:V706),$V$2:$V$1001,0),1)&gt;=100000,INDEX($AC$1005:$AS$1005,1,MATCH(COLUMNS($AC$1006:AL1006),$AC$1006:$AS$1006,0))&gt;=100000), " ",IF(INDEX($AC$2:$AS$1001,MATCH(ROWS($V$2:V706),$V$2:$V$1001,0),MATCH(COLUMNS($AC$1006:AL1006),$AC$1006:$AS$1006,0)), HYPERLINK("#",""), HYPERLINK(CONCATENATE("#Metadata!", ADDRESS(INDEX($X$2:$X$1001,MATCH(ROWS($V$2:V706),$V$2:$V$1001,0),0), INDEX($AC$1004:$AS$1004,1,MATCH(COLUMNS($AC$1006:AL1006),$AC$1006:$AS$1006,0)))),"Fix")))</f>
        <v>0</v>
      </c>
      <c r="L706" s="5">
        <f>IF(OR(INDEX($W$2:$W$1001,MATCH(ROWS($V$2:V706),$V$2:$V$1001,0),1)&gt;=100000,INDEX($AC$1005:$AS$1005,1,MATCH(COLUMNS($AC$1006:AM1006),$AC$1006:$AS$1006,0))&gt;=100000), " ",IF(INDEX($AC$2:$AS$1001,MATCH(ROWS($V$2:V706),$V$2:$V$1001,0),MATCH(COLUMNS($AC$1006:AM1006),$AC$1006:$AS$1006,0)), HYPERLINK("#",""), HYPERLINK(CONCATENATE("#Metadata!", ADDRESS(INDEX($X$2:$X$1001,MATCH(ROWS($V$2:V706),$V$2:$V$1001,0),0), INDEX($AC$1004:$AS$1004,1,MATCH(COLUMNS($AC$1006:AM1006),$AC$1006:$AS$1006,0)))),"Fix")))</f>
        <v>0</v>
      </c>
      <c r="M706" s="5">
        <f>IF(OR(INDEX($W$2:$W$1001,MATCH(ROWS($V$2:V706),$V$2:$V$1001,0),1)&gt;=100000,INDEX($AC$1005:$AS$1005,1,MATCH(COLUMNS($AC$1006:AN1006),$AC$1006:$AS$1006,0))&gt;=100000), " ",IF(INDEX($AC$2:$AS$1001,MATCH(ROWS($V$2:V706),$V$2:$V$1001,0),MATCH(COLUMNS($AC$1006:AN1006),$AC$1006:$AS$1006,0)), HYPERLINK("#",""), HYPERLINK(CONCATENATE("#Metadata!", ADDRESS(INDEX($X$2:$X$1001,MATCH(ROWS($V$2:V706),$V$2:$V$1001,0),0), INDEX($AC$1004:$AS$1004,1,MATCH(COLUMNS($AC$1006:AN1006),$AC$1006:$AS$1006,0)))),"Fix")))</f>
        <v>0</v>
      </c>
      <c r="N706" s="5">
        <f>IF(OR(INDEX($W$2:$W$1001,MATCH(ROWS($V$2:V706),$V$2:$V$1001,0),1)&gt;=100000,INDEX($AC$1005:$AS$1005,1,MATCH(COLUMNS($AC$1006:AO1006),$AC$1006:$AS$1006,0))&gt;=100000), " ",IF(INDEX($AC$2:$AS$1001,MATCH(ROWS($V$2:V706),$V$2:$V$1001,0),MATCH(COLUMNS($AC$1006:AO1006),$AC$1006:$AS$1006,0)), HYPERLINK("#",""), HYPERLINK(CONCATENATE("#Metadata!", ADDRESS(INDEX($X$2:$X$1001,MATCH(ROWS($V$2:V706),$V$2:$V$1001,0),0), INDEX($AC$1004:$AS$1004,1,MATCH(COLUMNS($AC$1006:AO1006),$AC$1006:$AS$1006,0)))),"Fix")))</f>
        <v>0</v>
      </c>
      <c r="O706" s="5">
        <f>IF(OR(INDEX($W$2:$W$1001,MATCH(ROWS($V$2:V706),$V$2:$V$1001,0),1)&gt;=100000,INDEX($AC$1005:$AS$1005,1,MATCH(COLUMNS($AC$1006:AP1006),$AC$1006:$AS$1006,0))&gt;=100000), " ",IF(INDEX($AC$2:$AS$1001,MATCH(ROWS($V$2:V706),$V$2:$V$1001,0),MATCH(COLUMNS($AC$1006:AP1006),$AC$1006:$AS$1006,0)), HYPERLINK("#",""), HYPERLINK(CONCATENATE("#Metadata!", ADDRESS(INDEX($X$2:$X$1001,MATCH(ROWS($V$2:V706),$V$2:$V$1001,0),0), INDEX($AC$1004:$AS$1004,1,MATCH(COLUMNS($AC$1006:AP1006),$AC$1006:$AS$1006,0)))),"Fix")))</f>
        <v>0</v>
      </c>
      <c r="P706" s="5">
        <f>IF(OR(INDEX($W$2:$W$1001,MATCH(ROWS($V$2:V706),$V$2:$V$1001,0),1)&gt;=100000,INDEX($AC$1005:$AS$1005,1,MATCH(COLUMNS($AC$1006:AQ1006),$AC$1006:$AS$1006,0))&gt;=100000), " ",IF(INDEX($AC$2:$AS$1001,MATCH(ROWS($V$2:V706),$V$2:$V$1001,0),MATCH(COLUMNS($AC$1006:AQ1006),$AC$1006:$AS$1006,0)), HYPERLINK("#",""), HYPERLINK(CONCATENATE("#Metadata!", ADDRESS(INDEX($X$2:$X$1001,MATCH(ROWS($V$2:V706),$V$2:$V$1001,0),0), INDEX($AC$1004:$AS$1004,1,MATCH(COLUMNS($AC$1006:AQ1006),$AC$1006:$AS$1006,0)))),"Fix")))</f>
        <v>0</v>
      </c>
      <c r="Q706" s="5">
        <f>IF(OR(INDEX($W$2:$W$1001,MATCH(ROWS($V$2:V706),$V$2:$V$1001,0),1)&gt;=100000,INDEX($AC$1005:$AS$1005,1,MATCH(COLUMNS($AC$1006:AR1006),$AC$1006:$AS$1006,0))&gt;=100000), " ",IF(INDEX($AC$2:$AS$1001,MATCH(ROWS($V$2:V706),$V$2:$V$1001,0),MATCH(COLUMNS($AC$1006:AR1006),$AC$1006:$AS$1006,0)), HYPERLINK("#",""), HYPERLINK(CONCATENATE("#Metadata!", ADDRESS(INDEX($X$2:$X$1001,MATCH(ROWS($V$2:V706),$V$2:$V$1001,0),0), INDEX($AC$1004:$AS$1004,1,MATCH(COLUMNS($AC$1006:AR1006),$AC$1006:$AS$1006,0)))),"Fix")))</f>
        <v>0</v>
      </c>
      <c r="R706" s="5">
        <f>IF(OR(INDEX($W$2:$W$1001,MATCH(ROWS($V$2:V706),$V$2:$V$1001,0),1)&gt;=100000,INDEX($AC$1005:$AS$1005,1,MATCH(COLUMNS($AC$1006:AS1006),$AC$1006:$AS$1006,0))&gt;=100000), " ",IF(INDEX($AC$2:$AS$1001,MATCH(ROWS($V$2:V706),$V$2:$V$1001,0),MATCH(COLUMNS($AC$1006:AS1006),$AC$1006:$AS$1006,0)), HYPERLINK("#",""), HYPERLINK(CONCATENATE("#Metadata!", ADDRESS(INDEX($X$2:$X$1001,MATCH(ROWS($V$2:V706),$V$2:$V$1001,0),0), INDEX($AC$1004:$AS$1004,1,MATCH(COLUMNS($AC$1006:AS1006),$AC$1006:$AS$1006,0)))),"Fix")))</f>
        <v>0</v>
      </c>
      <c r="V706">
        <v>0</v>
      </c>
      <c r="W706">
        <v>0</v>
      </c>
      <c r="X706">
        <v>0</v>
      </c>
      <c r="Y706">
        <f>IF(Z706,TRUE,AND(AC706:AS706))</f>
        <v>0</v>
      </c>
      <c r="Z706">
        <f>COUNTBLANK(Metadata!B706:R706)=COLUMNS(Metadata!B706:R706)</f>
        <v>0</v>
      </c>
      <c r="AA706">
        <v>0</v>
      </c>
      <c r="AC706">
        <f>AND(IF(Metadata!B706="",FALSE,TRUE),COUNTIF(Metadata!B:B, Metadata!B706) = 1,NOT(ISERROR(SUMPRODUCT(SEARCH(MID(Metadata!B706,ROW(INDIRECT("1:"&amp;LEN(Metadata!B706))), 1),"0123456789abcdefghijklmnopqrstuvwxyzABCDEFGHIJKLMNOPQRSTUVWXYZ.")))))</f>
        <v>0</v>
      </c>
      <c r="AD706">
        <f>AND(IF(Metadata!C706="",FALSE,TRUE),exact(Metadata!C706,"Host-associated"))</f>
        <v>0</v>
      </c>
      <c r="AE706">
        <f>AND(IF(Metadata!D706="",FALSE,TRUE),OR(exact(Metadata!D706,"Animal"),exact(Metadata!D706,"Fungus"),exact(Metadata!D706,"Plant")))</f>
        <v>0</v>
      </c>
      <c r="AF706">
        <f>AND(IF(Metadata!E706="",FALSE,TRUE),OR(exact(Metadata!E706,"Plant secretion"),exact(Metadata!E706,"Plant rhizosphere"),exact(Metadata!E706,"Plant surface"),exact(Metadata!E706,"Plant corpus"),exact(Metadata!E706,"Fungus surface"),exact(Metadata!E706,"Fungus corpus"),exact(Metadata!E706,"Animal surface"),exact(Metadata!E706,"Animal proximal gut"),exact(Metadata!E706,"Animal corpus"),exact(Metadata!E706,"Animal distal gut"),exact(Metadata!E706,"Animal secretion")))</f>
        <v>0</v>
      </c>
      <c r="AG706">
        <f>OR(AND(IF(Metadata!F706="",FALSE,TRUE),OR(exact(Metadata!F706,"not collected"),exact(Metadata!F706,"not provided"),exact(Metadata!F706,"restricted access"))),AND(IF(Metadata!F706="",FALSE,TRUE),OR(exact(Metadata!F706,"organism-associated habitat"),exact(Metadata!F706,"plant-associated habitat"),exact(Metadata!F706,"animal-associated habitat"),exact(Metadata!F706,"insecta-associated habitat"),exact(Metadata!F706,"mammalia-associated habitat"),exact(Metadata!F706,"human-associated habitat"),exact(Metadata!F706,"livestock-associated habitat"))))</f>
        <v>0</v>
      </c>
      <c r="AH706">
        <f>AND(IF(Metadata!G706="",FALSE,TRUE),exact(Metadata!G706,"host-associated"))</f>
        <v>0</v>
      </c>
      <c r="AI706">
        <f>OR(AND(IF(Metadata!H706="",FALSE,TRUE),OR(exact(Metadata!H706,"not collected"),exact(Metadata!H706,"not provided"))),AND(IF(Metadata!H706="",FALSE,ISNUMBER(VALUE(Metadata!H706))),Metadata!H706&gt;0))</f>
        <v>0</v>
      </c>
      <c r="AJ706">
        <f>AND(IF(Metadata!I706="",FALSE,TRUE),exact(Metadata!I706,"years"))</f>
        <v>0</v>
      </c>
      <c r="AK706">
        <f>IF(Metadata!J706="",FALSE,TRUE)</f>
        <v>0</v>
      </c>
      <c r="AL706">
        <f>OR(AND(IF(Metadata!K706="",FALSE,TRUE),OR(exact(Metadata!K706,"not collected"),exact(Metadata!K706,"not provided"))),AND(IF(Metadata!K706="",FALSE,ISNUMBER(VALUE(Metadata!K706))),Metadata!K706&gt;0))</f>
        <v>0</v>
      </c>
      <c r="AM706">
        <f>AND(IF(Metadata!L706="",FALSE,TRUE),exact(Metadata!L706,"cm"))</f>
        <v>0</v>
      </c>
      <c r="AN706">
        <f>IF(Metadata!M706="",FALSE,TRUE)</f>
        <v>0</v>
      </c>
      <c r="AO706">
        <f>OR(AND(IF(Metadata!N706="",FALSE,TRUE),OR(exact(Metadata!N706,"not applicable"),exact(Metadata!N706,"not collected"),exact(Metadata!N706,"not provided"))),AND(IF(Metadata!N706="",FALSE,IF(ISERROR(INT(Metadata!N706)),FALSE,INT(Metadata!N706)=Metadata!N706)),Metadata!N706&gt;0))</f>
        <v>0</v>
      </c>
      <c r="AP706">
        <f>OR(AND(IF(Metadata!O706="",FALSE,TRUE),OR(exact(Metadata!O706,"not collected"),exact(Metadata!O706,"not provided"))),AND(IF(Metadata!O706="",FALSE,ISNUMBER(VALUE(Metadata!O706))),Metadata!O706&gt;0))</f>
        <v>0</v>
      </c>
      <c r="AQ706">
        <f>AND(IF(Metadata!P706="",FALSE,TRUE),exact(Metadata!P706,"kg"))</f>
        <v>0</v>
      </c>
      <c r="AR706">
        <f>OR(AND(IF(Metadata!Q706="",FALSE,TRUE),OR(exact(Metadata!Q706,"not applicable"),exact(Metadata!Q706,"not collected"),exact(Metadata!Q706,"not provided"),exact(Metadata!Q706,"restricted access"))),IF(Metadata!Q706="",FALSE,IF(ISERROR(INT(Metadata!Q706)),FALSE,INT(Metadata!Q706)=Metadata!Q706)))</f>
        <v>0</v>
      </c>
      <c r="AS706">
        <f>AND(IF(Metadata!R706="",FALSE,TRUE),exact(Metadata!R706,"Not applicable"))</f>
        <v>0</v>
      </c>
    </row>
    <row r="707" spans="1:45">
      <c r="A707" s="4">
        <f>IF(B707=" "," ",HYPERLINK(CONCATENATE("#metadata!",ADDRESS(INDEX($X$2:$X$1001,MATCH(ROWS($V$2:V707),$V$2:$V$1001,0),0),2)),INDEX($AA$2:$AA$1001,MATCH(ROWS($V$2:V707),$V$2:$V$1001,0),0)))</f>
        <v>0</v>
      </c>
      <c r="B707" s="5">
        <f>IF(OR(INDEX($W$2:$W$1001,MATCH(ROWS($V$2:V707),$V$2:$V$1001,0),1)&gt;=100000,INDEX($AC$1005:$AS$1005,1,MATCH(COLUMNS($AC$1006:AC1006),$AC$1006:$AS$1006,0))&gt;=100000), " ",IF(INDEX($AC$2:$AS$1001,MATCH(ROWS($V$2:V707),$V$2:$V$1001,0),MATCH(COLUMNS($AC$1006:AC1006),$AC$1006:$AS$1006,0)), HYPERLINK("#",""), HYPERLINK(CONCATENATE("#Metadata!", ADDRESS(INDEX($X$2:$X$1001,MATCH(ROWS($V$2:V707),$V$2:$V$1001,0),0), INDEX($AC$1004:$AS$1004,1,MATCH(COLUMNS($AC$1006:AC1006),$AC$1006:$AS$1006,0)))),"Fix")))</f>
        <v>0</v>
      </c>
      <c r="C707" s="5">
        <f>IF(OR(INDEX($W$2:$W$1001,MATCH(ROWS($V$2:V707),$V$2:$V$1001,0),1)&gt;=100000,INDEX($AC$1005:$AS$1005,1,MATCH(COLUMNS($AC$1006:AD1006),$AC$1006:$AS$1006,0))&gt;=100000), " ",IF(INDEX($AC$2:$AS$1001,MATCH(ROWS($V$2:V707),$V$2:$V$1001,0),MATCH(COLUMNS($AC$1006:AD1006),$AC$1006:$AS$1006,0)), HYPERLINK("#",""), HYPERLINK(CONCATENATE("#Metadata!", ADDRESS(INDEX($X$2:$X$1001,MATCH(ROWS($V$2:V707),$V$2:$V$1001,0),0), INDEX($AC$1004:$AS$1004,1,MATCH(COLUMNS($AC$1006:AD1006),$AC$1006:$AS$1006,0)))),"Fix")))</f>
        <v>0</v>
      </c>
      <c r="D707" s="5">
        <f>IF(OR(INDEX($W$2:$W$1001,MATCH(ROWS($V$2:V707),$V$2:$V$1001,0),1)&gt;=100000,INDEX($AC$1005:$AS$1005,1,MATCH(COLUMNS($AC$1006:AE1006),$AC$1006:$AS$1006,0))&gt;=100000), " ",IF(INDEX($AC$2:$AS$1001,MATCH(ROWS($V$2:V707),$V$2:$V$1001,0),MATCH(COLUMNS($AC$1006:AE1006),$AC$1006:$AS$1006,0)), HYPERLINK("#",""), HYPERLINK(CONCATENATE("#Metadata!", ADDRESS(INDEX($X$2:$X$1001,MATCH(ROWS($V$2:V707),$V$2:$V$1001,0),0), INDEX($AC$1004:$AS$1004,1,MATCH(COLUMNS($AC$1006:AE1006),$AC$1006:$AS$1006,0)))),"Fix")))</f>
        <v>0</v>
      </c>
      <c r="E707" s="5">
        <f>IF(OR(INDEX($W$2:$W$1001,MATCH(ROWS($V$2:V707),$V$2:$V$1001,0),1)&gt;=100000,INDEX($AC$1005:$AS$1005,1,MATCH(COLUMNS($AC$1006:AF1006),$AC$1006:$AS$1006,0))&gt;=100000), " ",IF(INDEX($AC$2:$AS$1001,MATCH(ROWS($V$2:V707),$V$2:$V$1001,0),MATCH(COLUMNS($AC$1006:AF1006),$AC$1006:$AS$1006,0)), HYPERLINK("#",""), HYPERLINK(CONCATENATE("#Metadata!", ADDRESS(INDEX($X$2:$X$1001,MATCH(ROWS($V$2:V707),$V$2:$V$1001,0),0), INDEX($AC$1004:$AS$1004,1,MATCH(COLUMNS($AC$1006:AF1006),$AC$1006:$AS$1006,0)))),"Fix")))</f>
        <v>0</v>
      </c>
      <c r="F707" s="5">
        <f>IF(OR(INDEX($W$2:$W$1001,MATCH(ROWS($V$2:V707),$V$2:$V$1001,0),1)&gt;=100000,INDEX($AC$1005:$AS$1005,1,MATCH(COLUMNS($AC$1006:AG1006),$AC$1006:$AS$1006,0))&gt;=100000), " ",IF(INDEX($AC$2:$AS$1001,MATCH(ROWS($V$2:V707),$V$2:$V$1001,0),MATCH(COLUMNS($AC$1006:AG1006),$AC$1006:$AS$1006,0)), HYPERLINK("#",""), HYPERLINK(CONCATENATE("#Metadata!", ADDRESS(INDEX($X$2:$X$1001,MATCH(ROWS($V$2:V707),$V$2:$V$1001,0),0), INDEX($AC$1004:$AS$1004,1,MATCH(COLUMNS($AC$1006:AG1006),$AC$1006:$AS$1006,0)))),"Fix")))</f>
        <v>0</v>
      </c>
      <c r="G707" s="5">
        <f>IF(OR(INDEX($W$2:$W$1001,MATCH(ROWS($V$2:V707),$V$2:$V$1001,0),1)&gt;=100000,INDEX($AC$1005:$AS$1005,1,MATCH(COLUMNS($AC$1006:AH1006),$AC$1006:$AS$1006,0))&gt;=100000), " ",IF(INDEX($AC$2:$AS$1001,MATCH(ROWS($V$2:V707),$V$2:$V$1001,0),MATCH(COLUMNS($AC$1006:AH1006),$AC$1006:$AS$1006,0)), HYPERLINK("#",""), HYPERLINK(CONCATENATE("#Metadata!", ADDRESS(INDEX($X$2:$X$1001,MATCH(ROWS($V$2:V707),$V$2:$V$1001,0),0), INDEX($AC$1004:$AS$1004,1,MATCH(COLUMNS($AC$1006:AH1006),$AC$1006:$AS$1006,0)))),"Fix")))</f>
        <v>0</v>
      </c>
      <c r="H707" s="5">
        <f>IF(OR(INDEX($W$2:$W$1001,MATCH(ROWS($V$2:V707),$V$2:$V$1001,0),1)&gt;=100000,INDEX($AC$1005:$AS$1005,1,MATCH(COLUMNS($AC$1006:AI1006),$AC$1006:$AS$1006,0))&gt;=100000), " ",IF(INDEX($AC$2:$AS$1001,MATCH(ROWS($V$2:V707),$V$2:$V$1001,0),MATCH(COLUMNS($AC$1006:AI1006),$AC$1006:$AS$1006,0)), HYPERLINK("#",""), HYPERLINK(CONCATENATE("#Metadata!", ADDRESS(INDEX($X$2:$X$1001,MATCH(ROWS($V$2:V707),$V$2:$V$1001,0),0), INDEX($AC$1004:$AS$1004,1,MATCH(COLUMNS($AC$1006:AI1006),$AC$1006:$AS$1006,0)))),"Fix")))</f>
        <v>0</v>
      </c>
      <c r="I707" s="5">
        <f>IF(OR(INDEX($W$2:$W$1001,MATCH(ROWS($V$2:V707),$V$2:$V$1001,0),1)&gt;=100000,INDEX($AC$1005:$AS$1005,1,MATCH(COLUMNS($AC$1006:AJ1006),$AC$1006:$AS$1006,0))&gt;=100000), " ",IF(INDEX($AC$2:$AS$1001,MATCH(ROWS($V$2:V707),$V$2:$V$1001,0),MATCH(COLUMNS($AC$1006:AJ1006),$AC$1006:$AS$1006,0)), HYPERLINK("#",""), HYPERLINK(CONCATENATE("#Metadata!", ADDRESS(INDEX($X$2:$X$1001,MATCH(ROWS($V$2:V707),$V$2:$V$1001,0),0), INDEX($AC$1004:$AS$1004,1,MATCH(COLUMNS($AC$1006:AJ1006),$AC$1006:$AS$1006,0)))),"Fix")))</f>
        <v>0</v>
      </c>
      <c r="J707" s="5">
        <f>IF(OR(INDEX($W$2:$W$1001,MATCH(ROWS($V$2:V707),$V$2:$V$1001,0),1)&gt;=100000,INDEX($AC$1005:$AS$1005,1,MATCH(COLUMNS($AC$1006:AK1006),$AC$1006:$AS$1006,0))&gt;=100000), " ",IF(INDEX($AC$2:$AS$1001,MATCH(ROWS($V$2:V707),$V$2:$V$1001,0),MATCH(COLUMNS($AC$1006:AK1006),$AC$1006:$AS$1006,0)), HYPERLINK("#",""), HYPERLINK(CONCATENATE("#Metadata!", ADDRESS(INDEX($X$2:$X$1001,MATCH(ROWS($V$2:V707),$V$2:$V$1001,0),0), INDEX($AC$1004:$AS$1004,1,MATCH(COLUMNS($AC$1006:AK1006),$AC$1006:$AS$1006,0)))),"Fix")))</f>
        <v>0</v>
      </c>
      <c r="K707" s="5">
        <f>IF(OR(INDEX($W$2:$W$1001,MATCH(ROWS($V$2:V707),$V$2:$V$1001,0),1)&gt;=100000,INDEX($AC$1005:$AS$1005,1,MATCH(COLUMNS($AC$1006:AL1006),$AC$1006:$AS$1006,0))&gt;=100000), " ",IF(INDEX($AC$2:$AS$1001,MATCH(ROWS($V$2:V707),$V$2:$V$1001,0),MATCH(COLUMNS($AC$1006:AL1006),$AC$1006:$AS$1006,0)), HYPERLINK("#",""), HYPERLINK(CONCATENATE("#Metadata!", ADDRESS(INDEX($X$2:$X$1001,MATCH(ROWS($V$2:V707),$V$2:$V$1001,0),0), INDEX($AC$1004:$AS$1004,1,MATCH(COLUMNS($AC$1006:AL1006),$AC$1006:$AS$1006,0)))),"Fix")))</f>
        <v>0</v>
      </c>
      <c r="L707" s="5">
        <f>IF(OR(INDEX($W$2:$W$1001,MATCH(ROWS($V$2:V707),$V$2:$V$1001,0),1)&gt;=100000,INDEX($AC$1005:$AS$1005,1,MATCH(COLUMNS($AC$1006:AM1006),$AC$1006:$AS$1006,0))&gt;=100000), " ",IF(INDEX($AC$2:$AS$1001,MATCH(ROWS($V$2:V707),$V$2:$V$1001,0),MATCH(COLUMNS($AC$1006:AM1006),$AC$1006:$AS$1006,0)), HYPERLINK("#",""), HYPERLINK(CONCATENATE("#Metadata!", ADDRESS(INDEX($X$2:$X$1001,MATCH(ROWS($V$2:V707),$V$2:$V$1001,0),0), INDEX($AC$1004:$AS$1004,1,MATCH(COLUMNS($AC$1006:AM1006),$AC$1006:$AS$1006,0)))),"Fix")))</f>
        <v>0</v>
      </c>
      <c r="M707" s="5">
        <f>IF(OR(INDEX($W$2:$W$1001,MATCH(ROWS($V$2:V707),$V$2:$V$1001,0),1)&gt;=100000,INDEX($AC$1005:$AS$1005,1,MATCH(COLUMNS($AC$1006:AN1006),$AC$1006:$AS$1006,0))&gt;=100000), " ",IF(INDEX($AC$2:$AS$1001,MATCH(ROWS($V$2:V707),$V$2:$V$1001,0),MATCH(COLUMNS($AC$1006:AN1006),$AC$1006:$AS$1006,0)), HYPERLINK("#",""), HYPERLINK(CONCATENATE("#Metadata!", ADDRESS(INDEX($X$2:$X$1001,MATCH(ROWS($V$2:V707),$V$2:$V$1001,0),0), INDEX($AC$1004:$AS$1004,1,MATCH(COLUMNS($AC$1006:AN1006),$AC$1006:$AS$1006,0)))),"Fix")))</f>
        <v>0</v>
      </c>
      <c r="N707" s="5">
        <f>IF(OR(INDEX($W$2:$W$1001,MATCH(ROWS($V$2:V707),$V$2:$V$1001,0),1)&gt;=100000,INDEX($AC$1005:$AS$1005,1,MATCH(COLUMNS($AC$1006:AO1006),$AC$1006:$AS$1006,0))&gt;=100000), " ",IF(INDEX($AC$2:$AS$1001,MATCH(ROWS($V$2:V707),$V$2:$V$1001,0),MATCH(COLUMNS($AC$1006:AO1006),$AC$1006:$AS$1006,0)), HYPERLINK("#",""), HYPERLINK(CONCATENATE("#Metadata!", ADDRESS(INDEX($X$2:$X$1001,MATCH(ROWS($V$2:V707),$V$2:$V$1001,0),0), INDEX($AC$1004:$AS$1004,1,MATCH(COLUMNS($AC$1006:AO1006),$AC$1006:$AS$1006,0)))),"Fix")))</f>
        <v>0</v>
      </c>
      <c r="O707" s="5">
        <f>IF(OR(INDEX($W$2:$W$1001,MATCH(ROWS($V$2:V707),$V$2:$V$1001,0),1)&gt;=100000,INDEX($AC$1005:$AS$1005,1,MATCH(COLUMNS($AC$1006:AP1006),$AC$1006:$AS$1006,0))&gt;=100000), " ",IF(INDEX($AC$2:$AS$1001,MATCH(ROWS($V$2:V707),$V$2:$V$1001,0),MATCH(COLUMNS($AC$1006:AP1006),$AC$1006:$AS$1006,0)), HYPERLINK("#",""), HYPERLINK(CONCATENATE("#Metadata!", ADDRESS(INDEX($X$2:$X$1001,MATCH(ROWS($V$2:V707),$V$2:$V$1001,0),0), INDEX($AC$1004:$AS$1004,1,MATCH(COLUMNS($AC$1006:AP1006),$AC$1006:$AS$1006,0)))),"Fix")))</f>
        <v>0</v>
      </c>
      <c r="P707" s="5">
        <f>IF(OR(INDEX($W$2:$W$1001,MATCH(ROWS($V$2:V707),$V$2:$V$1001,0),1)&gt;=100000,INDEX($AC$1005:$AS$1005,1,MATCH(COLUMNS($AC$1006:AQ1006),$AC$1006:$AS$1006,0))&gt;=100000), " ",IF(INDEX($AC$2:$AS$1001,MATCH(ROWS($V$2:V707),$V$2:$V$1001,0),MATCH(COLUMNS($AC$1006:AQ1006),$AC$1006:$AS$1006,0)), HYPERLINK("#",""), HYPERLINK(CONCATENATE("#Metadata!", ADDRESS(INDEX($X$2:$X$1001,MATCH(ROWS($V$2:V707),$V$2:$V$1001,0),0), INDEX($AC$1004:$AS$1004,1,MATCH(COLUMNS($AC$1006:AQ1006),$AC$1006:$AS$1006,0)))),"Fix")))</f>
        <v>0</v>
      </c>
      <c r="Q707" s="5">
        <f>IF(OR(INDEX($W$2:$W$1001,MATCH(ROWS($V$2:V707),$V$2:$V$1001,0),1)&gt;=100000,INDEX($AC$1005:$AS$1005,1,MATCH(COLUMNS($AC$1006:AR1006),$AC$1006:$AS$1006,0))&gt;=100000), " ",IF(INDEX($AC$2:$AS$1001,MATCH(ROWS($V$2:V707),$V$2:$V$1001,0),MATCH(COLUMNS($AC$1006:AR1006),$AC$1006:$AS$1006,0)), HYPERLINK("#",""), HYPERLINK(CONCATENATE("#Metadata!", ADDRESS(INDEX($X$2:$X$1001,MATCH(ROWS($V$2:V707),$V$2:$V$1001,0),0), INDEX($AC$1004:$AS$1004,1,MATCH(COLUMNS($AC$1006:AR1006),$AC$1006:$AS$1006,0)))),"Fix")))</f>
        <v>0</v>
      </c>
      <c r="R707" s="5">
        <f>IF(OR(INDEX($W$2:$W$1001,MATCH(ROWS($V$2:V707),$V$2:$V$1001,0),1)&gt;=100000,INDEX($AC$1005:$AS$1005,1,MATCH(COLUMNS($AC$1006:AS1006),$AC$1006:$AS$1006,0))&gt;=100000), " ",IF(INDEX($AC$2:$AS$1001,MATCH(ROWS($V$2:V707),$V$2:$V$1001,0),MATCH(COLUMNS($AC$1006:AS1006),$AC$1006:$AS$1006,0)), HYPERLINK("#",""), HYPERLINK(CONCATENATE("#Metadata!", ADDRESS(INDEX($X$2:$X$1001,MATCH(ROWS($V$2:V707),$V$2:$V$1001,0),0), INDEX($AC$1004:$AS$1004,1,MATCH(COLUMNS($AC$1006:AS1006),$AC$1006:$AS$1006,0)))),"Fix")))</f>
        <v>0</v>
      </c>
      <c r="V707">
        <v>0</v>
      </c>
      <c r="W707">
        <v>0</v>
      </c>
      <c r="X707">
        <v>0</v>
      </c>
      <c r="Y707">
        <f>IF(Z707,TRUE,AND(AC707:AS707))</f>
        <v>0</v>
      </c>
      <c r="Z707">
        <f>COUNTBLANK(Metadata!B707:R707)=COLUMNS(Metadata!B707:R707)</f>
        <v>0</v>
      </c>
      <c r="AA707">
        <v>0</v>
      </c>
      <c r="AC707">
        <f>AND(IF(Metadata!B707="",FALSE,TRUE),COUNTIF(Metadata!B:B, Metadata!B707) = 1,NOT(ISERROR(SUMPRODUCT(SEARCH(MID(Metadata!B707,ROW(INDIRECT("1:"&amp;LEN(Metadata!B707))), 1),"0123456789abcdefghijklmnopqrstuvwxyzABCDEFGHIJKLMNOPQRSTUVWXYZ.")))))</f>
        <v>0</v>
      </c>
      <c r="AD707">
        <f>AND(IF(Metadata!C707="",FALSE,TRUE),exact(Metadata!C707,"Host-associated"))</f>
        <v>0</v>
      </c>
      <c r="AE707">
        <f>AND(IF(Metadata!D707="",FALSE,TRUE),OR(exact(Metadata!D707,"Animal"),exact(Metadata!D707,"Fungus"),exact(Metadata!D707,"Plant")))</f>
        <v>0</v>
      </c>
      <c r="AF707">
        <f>AND(IF(Metadata!E707="",FALSE,TRUE),OR(exact(Metadata!E707,"Plant secretion"),exact(Metadata!E707,"Plant rhizosphere"),exact(Metadata!E707,"Plant surface"),exact(Metadata!E707,"Plant corpus"),exact(Metadata!E707,"Fungus surface"),exact(Metadata!E707,"Fungus corpus"),exact(Metadata!E707,"Animal surface"),exact(Metadata!E707,"Animal proximal gut"),exact(Metadata!E707,"Animal corpus"),exact(Metadata!E707,"Animal distal gut"),exact(Metadata!E707,"Animal secretion")))</f>
        <v>0</v>
      </c>
      <c r="AG707">
        <f>OR(AND(IF(Metadata!F707="",FALSE,TRUE),OR(exact(Metadata!F707,"not collected"),exact(Metadata!F707,"not provided"),exact(Metadata!F707,"restricted access"))),AND(IF(Metadata!F707="",FALSE,TRUE),OR(exact(Metadata!F707,"organism-associated habitat"),exact(Metadata!F707,"plant-associated habitat"),exact(Metadata!F707,"animal-associated habitat"),exact(Metadata!F707,"insecta-associated habitat"),exact(Metadata!F707,"mammalia-associated habitat"),exact(Metadata!F707,"human-associated habitat"),exact(Metadata!F707,"livestock-associated habitat"))))</f>
        <v>0</v>
      </c>
      <c r="AH707">
        <f>AND(IF(Metadata!G707="",FALSE,TRUE),exact(Metadata!G707,"host-associated"))</f>
        <v>0</v>
      </c>
      <c r="AI707">
        <f>OR(AND(IF(Metadata!H707="",FALSE,TRUE),OR(exact(Metadata!H707,"not collected"),exact(Metadata!H707,"not provided"))),AND(IF(Metadata!H707="",FALSE,ISNUMBER(VALUE(Metadata!H707))),Metadata!H707&gt;0))</f>
        <v>0</v>
      </c>
      <c r="AJ707">
        <f>AND(IF(Metadata!I707="",FALSE,TRUE),exact(Metadata!I707,"years"))</f>
        <v>0</v>
      </c>
      <c r="AK707">
        <f>IF(Metadata!J707="",FALSE,TRUE)</f>
        <v>0</v>
      </c>
      <c r="AL707">
        <f>OR(AND(IF(Metadata!K707="",FALSE,TRUE),OR(exact(Metadata!K707,"not collected"),exact(Metadata!K707,"not provided"))),AND(IF(Metadata!K707="",FALSE,ISNUMBER(VALUE(Metadata!K707))),Metadata!K707&gt;0))</f>
        <v>0</v>
      </c>
      <c r="AM707">
        <f>AND(IF(Metadata!L707="",FALSE,TRUE),exact(Metadata!L707,"cm"))</f>
        <v>0</v>
      </c>
      <c r="AN707">
        <f>IF(Metadata!M707="",FALSE,TRUE)</f>
        <v>0</v>
      </c>
      <c r="AO707">
        <f>OR(AND(IF(Metadata!N707="",FALSE,TRUE),OR(exact(Metadata!N707,"not applicable"),exact(Metadata!N707,"not collected"),exact(Metadata!N707,"not provided"))),AND(IF(Metadata!N707="",FALSE,IF(ISERROR(INT(Metadata!N707)),FALSE,INT(Metadata!N707)=Metadata!N707)),Metadata!N707&gt;0))</f>
        <v>0</v>
      </c>
      <c r="AP707">
        <f>OR(AND(IF(Metadata!O707="",FALSE,TRUE),OR(exact(Metadata!O707,"not collected"),exact(Metadata!O707,"not provided"))),AND(IF(Metadata!O707="",FALSE,ISNUMBER(VALUE(Metadata!O707))),Metadata!O707&gt;0))</f>
        <v>0</v>
      </c>
      <c r="AQ707">
        <f>AND(IF(Metadata!P707="",FALSE,TRUE),exact(Metadata!P707,"kg"))</f>
        <v>0</v>
      </c>
      <c r="AR707">
        <f>OR(AND(IF(Metadata!Q707="",FALSE,TRUE),OR(exact(Metadata!Q707,"not applicable"),exact(Metadata!Q707,"not collected"),exact(Metadata!Q707,"not provided"),exact(Metadata!Q707,"restricted access"))),IF(Metadata!Q707="",FALSE,IF(ISERROR(INT(Metadata!Q707)),FALSE,INT(Metadata!Q707)=Metadata!Q707)))</f>
        <v>0</v>
      </c>
      <c r="AS707">
        <f>AND(IF(Metadata!R707="",FALSE,TRUE),exact(Metadata!R707,"Not applicable"))</f>
        <v>0</v>
      </c>
    </row>
    <row r="708" spans="1:45">
      <c r="A708" s="4">
        <f>IF(B708=" "," ",HYPERLINK(CONCATENATE("#metadata!",ADDRESS(INDEX($X$2:$X$1001,MATCH(ROWS($V$2:V708),$V$2:$V$1001,0),0),2)),INDEX($AA$2:$AA$1001,MATCH(ROWS($V$2:V708),$V$2:$V$1001,0),0)))</f>
        <v>0</v>
      </c>
      <c r="B708" s="5">
        <f>IF(OR(INDEX($W$2:$W$1001,MATCH(ROWS($V$2:V708),$V$2:$V$1001,0),1)&gt;=100000,INDEX($AC$1005:$AS$1005,1,MATCH(COLUMNS($AC$1006:AC1006),$AC$1006:$AS$1006,0))&gt;=100000), " ",IF(INDEX($AC$2:$AS$1001,MATCH(ROWS($V$2:V708),$V$2:$V$1001,0),MATCH(COLUMNS($AC$1006:AC1006),$AC$1006:$AS$1006,0)), HYPERLINK("#",""), HYPERLINK(CONCATENATE("#Metadata!", ADDRESS(INDEX($X$2:$X$1001,MATCH(ROWS($V$2:V708),$V$2:$V$1001,0),0), INDEX($AC$1004:$AS$1004,1,MATCH(COLUMNS($AC$1006:AC1006),$AC$1006:$AS$1006,0)))),"Fix")))</f>
        <v>0</v>
      </c>
      <c r="C708" s="5">
        <f>IF(OR(INDEX($W$2:$W$1001,MATCH(ROWS($V$2:V708),$V$2:$V$1001,0),1)&gt;=100000,INDEX($AC$1005:$AS$1005,1,MATCH(COLUMNS($AC$1006:AD1006),$AC$1006:$AS$1006,0))&gt;=100000), " ",IF(INDEX($AC$2:$AS$1001,MATCH(ROWS($V$2:V708),$V$2:$V$1001,0),MATCH(COLUMNS($AC$1006:AD1006),$AC$1006:$AS$1006,0)), HYPERLINK("#",""), HYPERLINK(CONCATENATE("#Metadata!", ADDRESS(INDEX($X$2:$X$1001,MATCH(ROWS($V$2:V708),$V$2:$V$1001,0),0), INDEX($AC$1004:$AS$1004,1,MATCH(COLUMNS($AC$1006:AD1006),$AC$1006:$AS$1006,0)))),"Fix")))</f>
        <v>0</v>
      </c>
      <c r="D708" s="5">
        <f>IF(OR(INDEX($W$2:$W$1001,MATCH(ROWS($V$2:V708),$V$2:$V$1001,0),1)&gt;=100000,INDEX($AC$1005:$AS$1005,1,MATCH(COLUMNS($AC$1006:AE1006),$AC$1006:$AS$1006,0))&gt;=100000), " ",IF(INDEX($AC$2:$AS$1001,MATCH(ROWS($V$2:V708),$V$2:$V$1001,0),MATCH(COLUMNS($AC$1006:AE1006),$AC$1006:$AS$1006,0)), HYPERLINK("#",""), HYPERLINK(CONCATENATE("#Metadata!", ADDRESS(INDEX($X$2:$X$1001,MATCH(ROWS($V$2:V708),$V$2:$V$1001,0),0), INDEX($AC$1004:$AS$1004,1,MATCH(COLUMNS($AC$1006:AE1006),$AC$1006:$AS$1006,0)))),"Fix")))</f>
        <v>0</v>
      </c>
      <c r="E708" s="5">
        <f>IF(OR(INDEX($W$2:$W$1001,MATCH(ROWS($V$2:V708),$V$2:$V$1001,0),1)&gt;=100000,INDEX($AC$1005:$AS$1005,1,MATCH(COLUMNS($AC$1006:AF1006),$AC$1006:$AS$1006,0))&gt;=100000), " ",IF(INDEX($AC$2:$AS$1001,MATCH(ROWS($V$2:V708),$V$2:$V$1001,0),MATCH(COLUMNS($AC$1006:AF1006),$AC$1006:$AS$1006,0)), HYPERLINK("#",""), HYPERLINK(CONCATENATE("#Metadata!", ADDRESS(INDEX($X$2:$X$1001,MATCH(ROWS($V$2:V708),$V$2:$V$1001,0),0), INDEX($AC$1004:$AS$1004,1,MATCH(COLUMNS($AC$1006:AF1006),$AC$1006:$AS$1006,0)))),"Fix")))</f>
        <v>0</v>
      </c>
      <c r="F708" s="5">
        <f>IF(OR(INDEX($W$2:$W$1001,MATCH(ROWS($V$2:V708),$V$2:$V$1001,0),1)&gt;=100000,INDEX($AC$1005:$AS$1005,1,MATCH(COLUMNS($AC$1006:AG1006),$AC$1006:$AS$1006,0))&gt;=100000), " ",IF(INDEX($AC$2:$AS$1001,MATCH(ROWS($V$2:V708),$V$2:$V$1001,0),MATCH(COLUMNS($AC$1006:AG1006),$AC$1006:$AS$1006,0)), HYPERLINK("#",""), HYPERLINK(CONCATENATE("#Metadata!", ADDRESS(INDEX($X$2:$X$1001,MATCH(ROWS($V$2:V708),$V$2:$V$1001,0),0), INDEX($AC$1004:$AS$1004,1,MATCH(COLUMNS($AC$1006:AG1006),$AC$1006:$AS$1006,0)))),"Fix")))</f>
        <v>0</v>
      </c>
      <c r="G708" s="5">
        <f>IF(OR(INDEX($W$2:$W$1001,MATCH(ROWS($V$2:V708),$V$2:$V$1001,0),1)&gt;=100000,INDEX($AC$1005:$AS$1005,1,MATCH(COLUMNS($AC$1006:AH1006),$AC$1006:$AS$1006,0))&gt;=100000), " ",IF(INDEX($AC$2:$AS$1001,MATCH(ROWS($V$2:V708),$V$2:$V$1001,0),MATCH(COLUMNS($AC$1006:AH1006),$AC$1006:$AS$1006,0)), HYPERLINK("#",""), HYPERLINK(CONCATENATE("#Metadata!", ADDRESS(INDEX($X$2:$X$1001,MATCH(ROWS($V$2:V708),$V$2:$V$1001,0),0), INDEX($AC$1004:$AS$1004,1,MATCH(COLUMNS($AC$1006:AH1006),$AC$1006:$AS$1006,0)))),"Fix")))</f>
        <v>0</v>
      </c>
      <c r="H708" s="5">
        <f>IF(OR(INDEX($W$2:$W$1001,MATCH(ROWS($V$2:V708),$V$2:$V$1001,0),1)&gt;=100000,INDEX($AC$1005:$AS$1005,1,MATCH(COLUMNS($AC$1006:AI1006),$AC$1006:$AS$1006,0))&gt;=100000), " ",IF(INDEX($AC$2:$AS$1001,MATCH(ROWS($V$2:V708),$V$2:$V$1001,0),MATCH(COLUMNS($AC$1006:AI1006),$AC$1006:$AS$1006,0)), HYPERLINK("#",""), HYPERLINK(CONCATENATE("#Metadata!", ADDRESS(INDEX($X$2:$X$1001,MATCH(ROWS($V$2:V708),$V$2:$V$1001,0),0), INDEX($AC$1004:$AS$1004,1,MATCH(COLUMNS($AC$1006:AI1006),$AC$1006:$AS$1006,0)))),"Fix")))</f>
        <v>0</v>
      </c>
      <c r="I708" s="5">
        <f>IF(OR(INDEX($W$2:$W$1001,MATCH(ROWS($V$2:V708),$V$2:$V$1001,0),1)&gt;=100000,INDEX($AC$1005:$AS$1005,1,MATCH(COLUMNS($AC$1006:AJ1006),$AC$1006:$AS$1006,0))&gt;=100000), " ",IF(INDEX($AC$2:$AS$1001,MATCH(ROWS($V$2:V708),$V$2:$V$1001,0),MATCH(COLUMNS($AC$1006:AJ1006),$AC$1006:$AS$1006,0)), HYPERLINK("#",""), HYPERLINK(CONCATENATE("#Metadata!", ADDRESS(INDEX($X$2:$X$1001,MATCH(ROWS($V$2:V708),$V$2:$V$1001,0),0), INDEX($AC$1004:$AS$1004,1,MATCH(COLUMNS($AC$1006:AJ1006),$AC$1006:$AS$1006,0)))),"Fix")))</f>
        <v>0</v>
      </c>
      <c r="J708" s="5">
        <f>IF(OR(INDEX($W$2:$W$1001,MATCH(ROWS($V$2:V708),$V$2:$V$1001,0),1)&gt;=100000,INDEX($AC$1005:$AS$1005,1,MATCH(COLUMNS($AC$1006:AK1006),$AC$1006:$AS$1006,0))&gt;=100000), " ",IF(INDEX($AC$2:$AS$1001,MATCH(ROWS($V$2:V708),$V$2:$V$1001,0),MATCH(COLUMNS($AC$1006:AK1006),$AC$1006:$AS$1006,0)), HYPERLINK("#",""), HYPERLINK(CONCATENATE("#Metadata!", ADDRESS(INDEX($X$2:$X$1001,MATCH(ROWS($V$2:V708),$V$2:$V$1001,0),0), INDEX($AC$1004:$AS$1004,1,MATCH(COLUMNS($AC$1006:AK1006),$AC$1006:$AS$1006,0)))),"Fix")))</f>
        <v>0</v>
      </c>
      <c r="K708" s="5">
        <f>IF(OR(INDEX($W$2:$W$1001,MATCH(ROWS($V$2:V708),$V$2:$V$1001,0),1)&gt;=100000,INDEX($AC$1005:$AS$1005,1,MATCH(COLUMNS($AC$1006:AL1006),$AC$1006:$AS$1006,0))&gt;=100000), " ",IF(INDEX($AC$2:$AS$1001,MATCH(ROWS($V$2:V708),$V$2:$V$1001,0),MATCH(COLUMNS($AC$1006:AL1006),$AC$1006:$AS$1006,0)), HYPERLINK("#",""), HYPERLINK(CONCATENATE("#Metadata!", ADDRESS(INDEX($X$2:$X$1001,MATCH(ROWS($V$2:V708),$V$2:$V$1001,0),0), INDEX($AC$1004:$AS$1004,1,MATCH(COLUMNS($AC$1006:AL1006),$AC$1006:$AS$1006,0)))),"Fix")))</f>
        <v>0</v>
      </c>
      <c r="L708" s="5">
        <f>IF(OR(INDEX($W$2:$W$1001,MATCH(ROWS($V$2:V708),$V$2:$V$1001,0),1)&gt;=100000,INDEX($AC$1005:$AS$1005,1,MATCH(COLUMNS($AC$1006:AM1006),$AC$1006:$AS$1006,0))&gt;=100000), " ",IF(INDEX($AC$2:$AS$1001,MATCH(ROWS($V$2:V708),$V$2:$V$1001,0),MATCH(COLUMNS($AC$1006:AM1006),$AC$1006:$AS$1006,0)), HYPERLINK("#",""), HYPERLINK(CONCATENATE("#Metadata!", ADDRESS(INDEX($X$2:$X$1001,MATCH(ROWS($V$2:V708),$V$2:$V$1001,0),0), INDEX($AC$1004:$AS$1004,1,MATCH(COLUMNS($AC$1006:AM1006),$AC$1006:$AS$1006,0)))),"Fix")))</f>
        <v>0</v>
      </c>
      <c r="M708" s="5">
        <f>IF(OR(INDEX($W$2:$W$1001,MATCH(ROWS($V$2:V708),$V$2:$V$1001,0),1)&gt;=100000,INDEX($AC$1005:$AS$1005,1,MATCH(COLUMNS($AC$1006:AN1006),$AC$1006:$AS$1006,0))&gt;=100000), " ",IF(INDEX($AC$2:$AS$1001,MATCH(ROWS($V$2:V708),$V$2:$V$1001,0),MATCH(COLUMNS($AC$1006:AN1006),$AC$1006:$AS$1006,0)), HYPERLINK("#",""), HYPERLINK(CONCATENATE("#Metadata!", ADDRESS(INDEX($X$2:$X$1001,MATCH(ROWS($V$2:V708),$V$2:$V$1001,0),0), INDEX($AC$1004:$AS$1004,1,MATCH(COLUMNS($AC$1006:AN1006),$AC$1006:$AS$1006,0)))),"Fix")))</f>
        <v>0</v>
      </c>
      <c r="N708" s="5">
        <f>IF(OR(INDEX($W$2:$W$1001,MATCH(ROWS($V$2:V708),$V$2:$V$1001,0),1)&gt;=100000,INDEX($AC$1005:$AS$1005,1,MATCH(COLUMNS($AC$1006:AO1006),$AC$1006:$AS$1006,0))&gt;=100000), " ",IF(INDEX($AC$2:$AS$1001,MATCH(ROWS($V$2:V708),$V$2:$V$1001,0),MATCH(COLUMNS($AC$1006:AO1006),$AC$1006:$AS$1006,0)), HYPERLINK("#",""), HYPERLINK(CONCATENATE("#Metadata!", ADDRESS(INDEX($X$2:$X$1001,MATCH(ROWS($V$2:V708),$V$2:$V$1001,0),0), INDEX($AC$1004:$AS$1004,1,MATCH(COLUMNS($AC$1006:AO1006),$AC$1006:$AS$1006,0)))),"Fix")))</f>
        <v>0</v>
      </c>
      <c r="O708" s="5">
        <f>IF(OR(INDEX($W$2:$W$1001,MATCH(ROWS($V$2:V708),$V$2:$V$1001,0),1)&gt;=100000,INDEX($AC$1005:$AS$1005,1,MATCH(COLUMNS($AC$1006:AP1006),$AC$1006:$AS$1006,0))&gt;=100000), " ",IF(INDEX($AC$2:$AS$1001,MATCH(ROWS($V$2:V708),$V$2:$V$1001,0),MATCH(COLUMNS($AC$1006:AP1006),$AC$1006:$AS$1006,0)), HYPERLINK("#",""), HYPERLINK(CONCATENATE("#Metadata!", ADDRESS(INDEX($X$2:$X$1001,MATCH(ROWS($V$2:V708),$V$2:$V$1001,0),0), INDEX($AC$1004:$AS$1004,1,MATCH(COLUMNS($AC$1006:AP1006),$AC$1006:$AS$1006,0)))),"Fix")))</f>
        <v>0</v>
      </c>
      <c r="P708" s="5">
        <f>IF(OR(INDEX($W$2:$W$1001,MATCH(ROWS($V$2:V708),$V$2:$V$1001,0),1)&gt;=100000,INDEX($AC$1005:$AS$1005,1,MATCH(COLUMNS($AC$1006:AQ1006),$AC$1006:$AS$1006,0))&gt;=100000), " ",IF(INDEX($AC$2:$AS$1001,MATCH(ROWS($V$2:V708),$V$2:$V$1001,0),MATCH(COLUMNS($AC$1006:AQ1006),$AC$1006:$AS$1006,0)), HYPERLINK("#",""), HYPERLINK(CONCATENATE("#Metadata!", ADDRESS(INDEX($X$2:$X$1001,MATCH(ROWS($V$2:V708),$V$2:$V$1001,0),0), INDEX($AC$1004:$AS$1004,1,MATCH(COLUMNS($AC$1006:AQ1006),$AC$1006:$AS$1006,0)))),"Fix")))</f>
        <v>0</v>
      </c>
      <c r="Q708" s="5">
        <f>IF(OR(INDEX($W$2:$W$1001,MATCH(ROWS($V$2:V708),$V$2:$V$1001,0),1)&gt;=100000,INDEX($AC$1005:$AS$1005,1,MATCH(COLUMNS($AC$1006:AR1006),$AC$1006:$AS$1006,0))&gt;=100000), " ",IF(INDEX($AC$2:$AS$1001,MATCH(ROWS($V$2:V708),$V$2:$V$1001,0),MATCH(COLUMNS($AC$1006:AR1006),$AC$1006:$AS$1006,0)), HYPERLINK("#",""), HYPERLINK(CONCATENATE("#Metadata!", ADDRESS(INDEX($X$2:$X$1001,MATCH(ROWS($V$2:V708),$V$2:$V$1001,0),0), INDEX($AC$1004:$AS$1004,1,MATCH(COLUMNS($AC$1006:AR1006),$AC$1006:$AS$1006,0)))),"Fix")))</f>
        <v>0</v>
      </c>
      <c r="R708" s="5">
        <f>IF(OR(INDEX($W$2:$W$1001,MATCH(ROWS($V$2:V708),$V$2:$V$1001,0),1)&gt;=100000,INDEX($AC$1005:$AS$1005,1,MATCH(COLUMNS($AC$1006:AS1006),$AC$1006:$AS$1006,0))&gt;=100000), " ",IF(INDEX($AC$2:$AS$1001,MATCH(ROWS($V$2:V708),$V$2:$V$1001,0),MATCH(COLUMNS($AC$1006:AS1006),$AC$1006:$AS$1006,0)), HYPERLINK("#",""), HYPERLINK(CONCATENATE("#Metadata!", ADDRESS(INDEX($X$2:$X$1001,MATCH(ROWS($V$2:V708),$V$2:$V$1001,0),0), INDEX($AC$1004:$AS$1004,1,MATCH(COLUMNS($AC$1006:AS1006),$AC$1006:$AS$1006,0)))),"Fix")))</f>
        <v>0</v>
      </c>
      <c r="V708">
        <v>0</v>
      </c>
      <c r="W708">
        <v>0</v>
      </c>
      <c r="X708">
        <v>0</v>
      </c>
      <c r="Y708">
        <f>IF(Z708,TRUE,AND(AC708:AS708))</f>
        <v>0</v>
      </c>
      <c r="Z708">
        <f>COUNTBLANK(Metadata!B708:R708)=COLUMNS(Metadata!B708:R708)</f>
        <v>0</v>
      </c>
      <c r="AA708">
        <v>0</v>
      </c>
      <c r="AC708">
        <f>AND(IF(Metadata!B708="",FALSE,TRUE),COUNTIF(Metadata!B:B, Metadata!B708) = 1,NOT(ISERROR(SUMPRODUCT(SEARCH(MID(Metadata!B708,ROW(INDIRECT("1:"&amp;LEN(Metadata!B708))), 1),"0123456789abcdefghijklmnopqrstuvwxyzABCDEFGHIJKLMNOPQRSTUVWXYZ.")))))</f>
        <v>0</v>
      </c>
      <c r="AD708">
        <f>AND(IF(Metadata!C708="",FALSE,TRUE),exact(Metadata!C708,"Host-associated"))</f>
        <v>0</v>
      </c>
      <c r="AE708">
        <f>AND(IF(Metadata!D708="",FALSE,TRUE),OR(exact(Metadata!D708,"Animal"),exact(Metadata!D708,"Fungus"),exact(Metadata!D708,"Plant")))</f>
        <v>0</v>
      </c>
      <c r="AF708">
        <f>AND(IF(Metadata!E708="",FALSE,TRUE),OR(exact(Metadata!E708,"Plant secretion"),exact(Metadata!E708,"Plant rhizosphere"),exact(Metadata!E708,"Plant surface"),exact(Metadata!E708,"Plant corpus"),exact(Metadata!E708,"Fungus surface"),exact(Metadata!E708,"Fungus corpus"),exact(Metadata!E708,"Animal surface"),exact(Metadata!E708,"Animal proximal gut"),exact(Metadata!E708,"Animal corpus"),exact(Metadata!E708,"Animal distal gut"),exact(Metadata!E708,"Animal secretion")))</f>
        <v>0</v>
      </c>
      <c r="AG708">
        <f>OR(AND(IF(Metadata!F708="",FALSE,TRUE),OR(exact(Metadata!F708,"not collected"),exact(Metadata!F708,"not provided"),exact(Metadata!F708,"restricted access"))),AND(IF(Metadata!F708="",FALSE,TRUE),OR(exact(Metadata!F708,"organism-associated habitat"),exact(Metadata!F708,"plant-associated habitat"),exact(Metadata!F708,"animal-associated habitat"),exact(Metadata!F708,"insecta-associated habitat"),exact(Metadata!F708,"mammalia-associated habitat"),exact(Metadata!F708,"human-associated habitat"),exact(Metadata!F708,"livestock-associated habitat"))))</f>
        <v>0</v>
      </c>
      <c r="AH708">
        <f>AND(IF(Metadata!G708="",FALSE,TRUE),exact(Metadata!G708,"host-associated"))</f>
        <v>0</v>
      </c>
      <c r="AI708">
        <f>OR(AND(IF(Metadata!H708="",FALSE,TRUE),OR(exact(Metadata!H708,"not collected"),exact(Metadata!H708,"not provided"))),AND(IF(Metadata!H708="",FALSE,ISNUMBER(VALUE(Metadata!H708))),Metadata!H708&gt;0))</f>
        <v>0</v>
      </c>
      <c r="AJ708">
        <f>AND(IF(Metadata!I708="",FALSE,TRUE),exact(Metadata!I708,"years"))</f>
        <v>0</v>
      </c>
      <c r="AK708">
        <f>IF(Metadata!J708="",FALSE,TRUE)</f>
        <v>0</v>
      </c>
      <c r="AL708">
        <f>OR(AND(IF(Metadata!K708="",FALSE,TRUE),OR(exact(Metadata!K708,"not collected"),exact(Metadata!K708,"not provided"))),AND(IF(Metadata!K708="",FALSE,ISNUMBER(VALUE(Metadata!K708))),Metadata!K708&gt;0))</f>
        <v>0</v>
      </c>
      <c r="AM708">
        <f>AND(IF(Metadata!L708="",FALSE,TRUE),exact(Metadata!L708,"cm"))</f>
        <v>0</v>
      </c>
      <c r="AN708">
        <f>IF(Metadata!M708="",FALSE,TRUE)</f>
        <v>0</v>
      </c>
      <c r="AO708">
        <f>OR(AND(IF(Metadata!N708="",FALSE,TRUE),OR(exact(Metadata!N708,"not applicable"),exact(Metadata!N708,"not collected"),exact(Metadata!N708,"not provided"))),AND(IF(Metadata!N708="",FALSE,IF(ISERROR(INT(Metadata!N708)),FALSE,INT(Metadata!N708)=Metadata!N708)),Metadata!N708&gt;0))</f>
        <v>0</v>
      </c>
      <c r="AP708">
        <f>OR(AND(IF(Metadata!O708="",FALSE,TRUE),OR(exact(Metadata!O708,"not collected"),exact(Metadata!O708,"not provided"))),AND(IF(Metadata!O708="",FALSE,ISNUMBER(VALUE(Metadata!O708))),Metadata!O708&gt;0))</f>
        <v>0</v>
      </c>
      <c r="AQ708">
        <f>AND(IF(Metadata!P708="",FALSE,TRUE),exact(Metadata!P708,"kg"))</f>
        <v>0</v>
      </c>
      <c r="AR708">
        <f>OR(AND(IF(Metadata!Q708="",FALSE,TRUE),OR(exact(Metadata!Q708,"not applicable"),exact(Metadata!Q708,"not collected"),exact(Metadata!Q708,"not provided"),exact(Metadata!Q708,"restricted access"))),IF(Metadata!Q708="",FALSE,IF(ISERROR(INT(Metadata!Q708)),FALSE,INT(Metadata!Q708)=Metadata!Q708)))</f>
        <v>0</v>
      </c>
      <c r="AS708">
        <f>AND(IF(Metadata!R708="",FALSE,TRUE),exact(Metadata!R708,"Not applicable"))</f>
        <v>0</v>
      </c>
    </row>
    <row r="709" spans="1:45">
      <c r="A709" s="4">
        <f>IF(B709=" "," ",HYPERLINK(CONCATENATE("#metadata!",ADDRESS(INDEX($X$2:$X$1001,MATCH(ROWS($V$2:V709),$V$2:$V$1001,0),0),2)),INDEX($AA$2:$AA$1001,MATCH(ROWS($V$2:V709),$V$2:$V$1001,0),0)))</f>
        <v>0</v>
      </c>
      <c r="B709" s="5">
        <f>IF(OR(INDEX($W$2:$W$1001,MATCH(ROWS($V$2:V709),$V$2:$V$1001,0),1)&gt;=100000,INDEX($AC$1005:$AS$1005,1,MATCH(COLUMNS($AC$1006:AC1006),$AC$1006:$AS$1006,0))&gt;=100000), " ",IF(INDEX($AC$2:$AS$1001,MATCH(ROWS($V$2:V709),$V$2:$V$1001,0),MATCH(COLUMNS($AC$1006:AC1006),$AC$1006:$AS$1006,0)), HYPERLINK("#",""), HYPERLINK(CONCATENATE("#Metadata!", ADDRESS(INDEX($X$2:$X$1001,MATCH(ROWS($V$2:V709),$V$2:$V$1001,0),0), INDEX($AC$1004:$AS$1004,1,MATCH(COLUMNS($AC$1006:AC1006),$AC$1006:$AS$1006,0)))),"Fix")))</f>
        <v>0</v>
      </c>
      <c r="C709" s="5">
        <f>IF(OR(INDEX($W$2:$W$1001,MATCH(ROWS($V$2:V709),$V$2:$V$1001,0),1)&gt;=100000,INDEX($AC$1005:$AS$1005,1,MATCH(COLUMNS($AC$1006:AD1006),$AC$1006:$AS$1006,0))&gt;=100000), " ",IF(INDEX($AC$2:$AS$1001,MATCH(ROWS($V$2:V709),$V$2:$V$1001,0),MATCH(COLUMNS($AC$1006:AD1006),$AC$1006:$AS$1006,0)), HYPERLINK("#",""), HYPERLINK(CONCATENATE("#Metadata!", ADDRESS(INDEX($X$2:$X$1001,MATCH(ROWS($V$2:V709),$V$2:$V$1001,0),0), INDEX($AC$1004:$AS$1004,1,MATCH(COLUMNS($AC$1006:AD1006),$AC$1006:$AS$1006,0)))),"Fix")))</f>
        <v>0</v>
      </c>
      <c r="D709" s="5">
        <f>IF(OR(INDEX($W$2:$W$1001,MATCH(ROWS($V$2:V709),$V$2:$V$1001,0),1)&gt;=100000,INDEX($AC$1005:$AS$1005,1,MATCH(COLUMNS($AC$1006:AE1006),$AC$1006:$AS$1006,0))&gt;=100000), " ",IF(INDEX($AC$2:$AS$1001,MATCH(ROWS($V$2:V709),$V$2:$V$1001,0),MATCH(COLUMNS($AC$1006:AE1006),$AC$1006:$AS$1006,0)), HYPERLINK("#",""), HYPERLINK(CONCATENATE("#Metadata!", ADDRESS(INDEX($X$2:$X$1001,MATCH(ROWS($V$2:V709),$V$2:$V$1001,0),0), INDEX($AC$1004:$AS$1004,1,MATCH(COLUMNS($AC$1006:AE1006),$AC$1006:$AS$1006,0)))),"Fix")))</f>
        <v>0</v>
      </c>
      <c r="E709" s="5">
        <f>IF(OR(INDEX($W$2:$W$1001,MATCH(ROWS($V$2:V709),$V$2:$V$1001,0),1)&gt;=100000,INDEX($AC$1005:$AS$1005,1,MATCH(COLUMNS($AC$1006:AF1006),$AC$1006:$AS$1006,0))&gt;=100000), " ",IF(INDEX($AC$2:$AS$1001,MATCH(ROWS($V$2:V709),$V$2:$V$1001,0),MATCH(COLUMNS($AC$1006:AF1006),$AC$1006:$AS$1006,0)), HYPERLINK("#",""), HYPERLINK(CONCATENATE("#Metadata!", ADDRESS(INDEX($X$2:$X$1001,MATCH(ROWS($V$2:V709),$V$2:$V$1001,0),0), INDEX($AC$1004:$AS$1004,1,MATCH(COLUMNS($AC$1006:AF1006),$AC$1006:$AS$1006,0)))),"Fix")))</f>
        <v>0</v>
      </c>
      <c r="F709" s="5">
        <f>IF(OR(INDEX($W$2:$W$1001,MATCH(ROWS($V$2:V709),$V$2:$V$1001,0),1)&gt;=100000,INDEX($AC$1005:$AS$1005,1,MATCH(COLUMNS($AC$1006:AG1006),$AC$1006:$AS$1006,0))&gt;=100000), " ",IF(INDEX($AC$2:$AS$1001,MATCH(ROWS($V$2:V709),$V$2:$V$1001,0),MATCH(COLUMNS($AC$1006:AG1006),$AC$1006:$AS$1006,0)), HYPERLINK("#",""), HYPERLINK(CONCATENATE("#Metadata!", ADDRESS(INDEX($X$2:$X$1001,MATCH(ROWS($V$2:V709),$V$2:$V$1001,0),0), INDEX($AC$1004:$AS$1004,1,MATCH(COLUMNS($AC$1006:AG1006),$AC$1006:$AS$1006,0)))),"Fix")))</f>
        <v>0</v>
      </c>
      <c r="G709" s="5">
        <f>IF(OR(INDEX($W$2:$W$1001,MATCH(ROWS($V$2:V709),$V$2:$V$1001,0),1)&gt;=100000,INDEX($AC$1005:$AS$1005,1,MATCH(COLUMNS($AC$1006:AH1006),$AC$1006:$AS$1006,0))&gt;=100000), " ",IF(INDEX($AC$2:$AS$1001,MATCH(ROWS($V$2:V709),$V$2:$V$1001,0),MATCH(COLUMNS($AC$1006:AH1006),$AC$1006:$AS$1006,0)), HYPERLINK("#",""), HYPERLINK(CONCATENATE("#Metadata!", ADDRESS(INDEX($X$2:$X$1001,MATCH(ROWS($V$2:V709),$V$2:$V$1001,0),0), INDEX($AC$1004:$AS$1004,1,MATCH(COLUMNS($AC$1006:AH1006),$AC$1006:$AS$1006,0)))),"Fix")))</f>
        <v>0</v>
      </c>
      <c r="H709" s="5">
        <f>IF(OR(INDEX($W$2:$W$1001,MATCH(ROWS($V$2:V709),$V$2:$V$1001,0),1)&gt;=100000,INDEX($AC$1005:$AS$1005,1,MATCH(COLUMNS($AC$1006:AI1006),$AC$1006:$AS$1006,0))&gt;=100000), " ",IF(INDEX($AC$2:$AS$1001,MATCH(ROWS($V$2:V709),$V$2:$V$1001,0),MATCH(COLUMNS($AC$1006:AI1006),$AC$1006:$AS$1006,0)), HYPERLINK("#",""), HYPERLINK(CONCATENATE("#Metadata!", ADDRESS(INDEX($X$2:$X$1001,MATCH(ROWS($V$2:V709),$V$2:$V$1001,0),0), INDEX($AC$1004:$AS$1004,1,MATCH(COLUMNS($AC$1006:AI1006),$AC$1006:$AS$1006,0)))),"Fix")))</f>
        <v>0</v>
      </c>
      <c r="I709" s="5">
        <f>IF(OR(INDEX($W$2:$W$1001,MATCH(ROWS($V$2:V709),$V$2:$V$1001,0),1)&gt;=100000,INDEX($AC$1005:$AS$1005,1,MATCH(COLUMNS($AC$1006:AJ1006),$AC$1006:$AS$1006,0))&gt;=100000), " ",IF(INDEX($AC$2:$AS$1001,MATCH(ROWS($V$2:V709),$V$2:$V$1001,0),MATCH(COLUMNS($AC$1006:AJ1006),$AC$1006:$AS$1006,0)), HYPERLINK("#",""), HYPERLINK(CONCATENATE("#Metadata!", ADDRESS(INDEX($X$2:$X$1001,MATCH(ROWS($V$2:V709),$V$2:$V$1001,0),0), INDEX($AC$1004:$AS$1004,1,MATCH(COLUMNS($AC$1006:AJ1006),$AC$1006:$AS$1006,0)))),"Fix")))</f>
        <v>0</v>
      </c>
      <c r="J709" s="5">
        <f>IF(OR(INDEX($W$2:$W$1001,MATCH(ROWS($V$2:V709),$V$2:$V$1001,0),1)&gt;=100000,INDEX($AC$1005:$AS$1005,1,MATCH(COLUMNS($AC$1006:AK1006),$AC$1006:$AS$1006,0))&gt;=100000), " ",IF(INDEX($AC$2:$AS$1001,MATCH(ROWS($V$2:V709),$V$2:$V$1001,0),MATCH(COLUMNS($AC$1006:AK1006),$AC$1006:$AS$1006,0)), HYPERLINK("#",""), HYPERLINK(CONCATENATE("#Metadata!", ADDRESS(INDEX($X$2:$X$1001,MATCH(ROWS($V$2:V709),$V$2:$V$1001,0),0), INDEX($AC$1004:$AS$1004,1,MATCH(COLUMNS($AC$1006:AK1006),$AC$1006:$AS$1006,0)))),"Fix")))</f>
        <v>0</v>
      </c>
      <c r="K709" s="5">
        <f>IF(OR(INDEX($W$2:$W$1001,MATCH(ROWS($V$2:V709),$V$2:$V$1001,0),1)&gt;=100000,INDEX($AC$1005:$AS$1005,1,MATCH(COLUMNS($AC$1006:AL1006),$AC$1006:$AS$1006,0))&gt;=100000), " ",IF(INDEX($AC$2:$AS$1001,MATCH(ROWS($V$2:V709),$V$2:$V$1001,0),MATCH(COLUMNS($AC$1006:AL1006),$AC$1006:$AS$1006,0)), HYPERLINK("#",""), HYPERLINK(CONCATENATE("#Metadata!", ADDRESS(INDEX($X$2:$X$1001,MATCH(ROWS($V$2:V709),$V$2:$V$1001,0),0), INDEX($AC$1004:$AS$1004,1,MATCH(COLUMNS($AC$1006:AL1006),$AC$1006:$AS$1006,0)))),"Fix")))</f>
        <v>0</v>
      </c>
      <c r="L709" s="5">
        <f>IF(OR(INDEX($W$2:$W$1001,MATCH(ROWS($V$2:V709),$V$2:$V$1001,0),1)&gt;=100000,INDEX($AC$1005:$AS$1005,1,MATCH(COLUMNS($AC$1006:AM1006),$AC$1006:$AS$1006,0))&gt;=100000), " ",IF(INDEX($AC$2:$AS$1001,MATCH(ROWS($V$2:V709),$V$2:$V$1001,0),MATCH(COLUMNS($AC$1006:AM1006),$AC$1006:$AS$1006,0)), HYPERLINK("#",""), HYPERLINK(CONCATENATE("#Metadata!", ADDRESS(INDEX($X$2:$X$1001,MATCH(ROWS($V$2:V709),$V$2:$V$1001,0),0), INDEX($AC$1004:$AS$1004,1,MATCH(COLUMNS($AC$1006:AM1006),$AC$1006:$AS$1006,0)))),"Fix")))</f>
        <v>0</v>
      </c>
      <c r="M709" s="5">
        <f>IF(OR(INDEX($W$2:$W$1001,MATCH(ROWS($V$2:V709),$V$2:$V$1001,0),1)&gt;=100000,INDEX($AC$1005:$AS$1005,1,MATCH(COLUMNS($AC$1006:AN1006),$AC$1006:$AS$1006,0))&gt;=100000), " ",IF(INDEX($AC$2:$AS$1001,MATCH(ROWS($V$2:V709),$V$2:$V$1001,0),MATCH(COLUMNS($AC$1006:AN1006),$AC$1006:$AS$1006,0)), HYPERLINK("#",""), HYPERLINK(CONCATENATE("#Metadata!", ADDRESS(INDEX($X$2:$X$1001,MATCH(ROWS($V$2:V709),$V$2:$V$1001,0),0), INDEX($AC$1004:$AS$1004,1,MATCH(COLUMNS($AC$1006:AN1006),$AC$1006:$AS$1006,0)))),"Fix")))</f>
        <v>0</v>
      </c>
      <c r="N709" s="5">
        <f>IF(OR(INDEX($W$2:$W$1001,MATCH(ROWS($V$2:V709),$V$2:$V$1001,0),1)&gt;=100000,INDEX($AC$1005:$AS$1005,1,MATCH(COLUMNS($AC$1006:AO1006),$AC$1006:$AS$1006,0))&gt;=100000), " ",IF(INDEX($AC$2:$AS$1001,MATCH(ROWS($V$2:V709),$V$2:$V$1001,0),MATCH(COLUMNS($AC$1006:AO1006),$AC$1006:$AS$1006,0)), HYPERLINK("#",""), HYPERLINK(CONCATENATE("#Metadata!", ADDRESS(INDEX($X$2:$X$1001,MATCH(ROWS($V$2:V709),$V$2:$V$1001,0),0), INDEX($AC$1004:$AS$1004,1,MATCH(COLUMNS($AC$1006:AO1006),$AC$1006:$AS$1006,0)))),"Fix")))</f>
        <v>0</v>
      </c>
      <c r="O709" s="5">
        <f>IF(OR(INDEX($W$2:$W$1001,MATCH(ROWS($V$2:V709),$V$2:$V$1001,0),1)&gt;=100000,INDEX($AC$1005:$AS$1005,1,MATCH(COLUMNS($AC$1006:AP1006),$AC$1006:$AS$1006,0))&gt;=100000), " ",IF(INDEX($AC$2:$AS$1001,MATCH(ROWS($V$2:V709),$V$2:$V$1001,0),MATCH(COLUMNS($AC$1006:AP1006),$AC$1006:$AS$1006,0)), HYPERLINK("#",""), HYPERLINK(CONCATENATE("#Metadata!", ADDRESS(INDEX($X$2:$X$1001,MATCH(ROWS($V$2:V709),$V$2:$V$1001,0),0), INDEX($AC$1004:$AS$1004,1,MATCH(COLUMNS($AC$1006:AP1006),$AC$1006:$AS$1006,0)))),"Fix")))</f>
        <v>0</v>
      </c>
      <c r="P709" s="5">
        <f>IF(OR(INDEX($W$2:$W$1001,MATCH(ROWS($V$2:V709),$V$2:$V$1001,0),1)&gt;=100000,INDEX($AC$1005:$AS$1005,1,MATCH(COLUMNS($AC$1006:AQ1006),$AC$1006:$AS$1006,0))&gt;=100000), " ",IF(INDEX($AC$2:$AS$1001,MATCH(ROWS($V$2:V709),$V$2:$V$1001,0),MATCH(COLUMNS($AC$1006:AQ1006),$AC$1006:$AS$1006,0)), HYPERLINK("#",""), HYPERLINK(CONCATENATE("#Metadata!", ADDRESS(INDEX($X$2:$X$1001,MATCH(ROWS($V$2:V709),$V$2:$V$1001,0),0), INDEX($AC$1004:$AS$1004,1,MATCH(COLUMNS($AC$1006:AQ1006),$AC$1006:$AS$1006,0)))),"Fix")))</f>
        <v>0</v>
      </c>
      <c r="Q709" s="5">
        <f>IF(OR(INDEX($W$2:$W$1001,MATCH(ROWS($V$2:V709),$V$2:$V$1001,0),1)&gt;=100000,INDEX($AC$1005:$AS$1005,1,MATCH(COLUMNS($AC$1006:AR1006),$AC$1006:$AS$1006,0))&gt;=100000), " ",IF(INDEX($AC$2:$AS$1001,MATCH(ROWS($V$2:V709),$V$2:$V$1001,0),MATCH(COLUMNS($AC$1006:AR1006),$AC$1006:$AS$1006,0)), HYPERLINK("#",""), HYPERLINK(CONCATENATE("#Metadata!", ADDRESS(INDEX($X$2:$X$1001,MATCH(ROWS($V$2:V709),$V$2:$V$1001,0),0), INDEX($AC$1004:$AS$1004,1,MATCH(COLUMNS($AC$1006:AR1006),$AC$1006:$AS$1006,0)))),"Fix")))</f>
        <v>0</v>
      </c>
      <c r="R709" s="5">
        <f>IF(OR(INDEX($W$2:$W$1001,MATCH(ROWS($V$2:V709),$V$2:$V$1001,0),1)&gt;=100000,INDEX($AC$1005:$AS$1005,1,MATCH(COLUMNS($AC$1006:AS1006),$AC$1006:$AS$1006,0))&gt;=100000), " ",IF(INDEX($AC$2:$AS$1001,MATCH(ROWS($V$2:V709),$V$2:$V$1001,0),MATCH(COLUMNS($AC$1006:AS1006),$AC$1006:$AS$1006,0)), HYPERLINK("#",""), HYPERLINK(CONCATENATE("#Metadata!", ADDRESS(INDEX($X$2:$X$1001,MATCH(ROWS($V$2:V709),$V$2:$V$1001,0),0), INDEX($AC$1004:$AS$1004,1,MATCH(COLUMNS($AC$1006:AS1006),$AC$1006:$AS$1006,0)))),"Fix")))</f>
        <v>0</v>
      </c>
      <c r="V709">
        <v>0</v>
      </c>
      <c r="W709">
        <v>0</v>
      </c>
      <c r="X709">
        <v>0</v>
      </c>
      <c r="Y709">
        <f>IF(Z709,TRUE,AND(AC709:AS709))</f>
        <v>0</v>
      </c>
      <c r="Z709">
        <f>COUNTBLANK(Metadata!B709:R709)=COLUMNS(Metadata!B709:R709)</f>
        <v>0</v>
      </c>
      <c r="AA709">
        <v>0</v>
      </c>
      <c r="AC709">
        <f>AND(IF(Metadata!B709="",FALSE,TRUE),COUNTIF(Metadata!B:B, Metadata!B709) = 1,NOT(ISERROR(SUMPRODUCT(SEARCH(MID(Metadata!B709,ROW(INDIRECT("1:"&amp;LEN(Metadata!B709))), 1),"0123456789abcdefghijklmnopqrstuvwxyzABCDEFGHIJKLMNOPQRSTUVWXYZ.")))))</f>
        <v>0</v>
      </c>
      <c r="AD709">
        <f>AND(IF(Metadata!C709="",FALSE,TRUE),exact(Metadata!C709,"Host-associated"))</f>
        <v>0</v>
      </c>
      <c r="AE709">
        <f>AND(IF(Metadata!D709="",FALSE,TRUE),OR(exact(Metadata!D709,"Animal"),exact(Metadata!D709,"Fungus"),exact(Metadata!D709,"Plant")))</f>
        <v>0</v>
      </c>
      <c r="AF709">
        <f>AND(IF(Metadata!E709="",FALSE,TRUE),OR(exact(Metadata!E709,"Plant secretion"),exact(Metadata!E709,"Plant rhizosphere"),exact(Metadata!E709,"Plant surface"),exact(Metadata!E709,"Plant corpus"),exact(Metadata!E709,"Fungus surface"),exact(Metadata!E709,"Fungus corpus"),exact(Metadata!E709,"Animal surface"),exact(Metadata!E709,"Animal proximal gut"),exact(Metadata!E709,"Animal corpus"),exact(Metadata!E709,"Animal distal gut"),exact(Metadata!E709,"Animal secretion")))</f>
        <v>0</v>
      </c>
      <c r="AG709">
        <f>OR(AND(IF(Metadata!F709="",FALSE,TRUE),OR(exact(Metadata!F709,"not collected"),exact(Metadata!F709,"not provided"),exact(Metadata!F709,"restricted access"))),AND(IF(Metadata!F709="",FALSE,TRUE),OR(exact(Metadata!F709,"organism-associated habitat"),exact(Metadata!F709,"plant-associated habitat"),exact(Metadata!F709,"animal-associated habitat"),exact(Metadata!F709,"insecta-associated habitat"),exact(Metadata!F709,"mammalia-associated habitat"),exact(Metadata!F709,"human-associated habitat"),exact(Metadata!F709,"livestock-associated habitat"))))</f>
        <v>0</v>
      </c>
      <c r="AH709">
        <f>AND(IF(Metadata!G709="",FALSE,TRUE),exact(Metadata!G709,"host-associated"))</f>
        <v>0</v>
      </c>
      <c r="AI709">
        <f>OR(AND(IF(Metadata!H709="",FALSE,TRUE),OR(exact(Metadata!H709,"not collected"),exact(Metadata!H709,"not provided"))),AND(IF(Metadata!H709="",FALSE,ISNUMBER(VALUE(Metadata!H709))),Metadata!H709&gt;0))</f>
        <v>0</v>
      </c>
      <c r="AJ709">
        <f>AND(IF(Metadata!I709="",FALSE,TRUE),exact(Metadata!I709,"years"))</f>
        <v>0</v>
      </c>
      <c r="AK709">
        <f>IF(Metadata!J709="",FALSE,TRUE)</f>
        <v>0</v>
      </c>
      <c r="AL709">
        <f>OR(AND(IF(Metadata!K709="",FALSE,TRUE),OR(exact(Metadata!K709,"not collected"),exact(Metadata!K709,"not provided"))),AND(IF(Metadata!K709="",FALSE,ISNUMBER(VALUE(Metadata!K709))),Metadata!K709&gt;0))</f>
        <v>0</v>
      </c>
      <c r="AM709">
        <f>AND(IF(Metadata!L709="",FALSE,TRUE),exact(Metadata!L709,"cm"))</f>
        <v>0</v>
      </c>
      <c r="AN709">
        <f>IF(Metadata!M709="",FALSE,TRUE)</f>
        <v>0</v>
      </c>
      <c r="AO709">
        <f>OR(AND(IF(Metadata!N709="",FALSE,TRUE),OR(exact(Metadata!N709,"not applicable"),exact(Metadata!N709,"not collected"),exact(Metadata!N709,"not provided"))),AND(IF(Metadata!N709="",FALSE,IF(ISERROR(INT(Metadata!N709)),FALSE,INT(Metadata!N709)=Metadata!N709)),Metadata!N709&gt;0))</f>
        <v>0</v>
      </c>
      <c r="AP709">
        <f>OR(AND(IF(Metadata!O709="",FALSE,TRUE),OR(exact(Metadata!O709,"not collected"),exact(Metadata!O709,"not provided"))),AND(IF(Metadata!O709="",FALSE,ISNUMBER(VALUE(Metadata!O709))),Metadata!O709&gt;0))</f>
        <v>0</v>
      </c>
      <c r="AQ709">
        <f>AND(IF(Metadata!P709="",FALSE,TRUE),exact(Metadata!P709,"kg"))</f>
        <v>0</v>
      </c>
      <c r="AR709">
        <f>OR(AND(IF(Metadata!Q709="",FALSE,TRUE),OR(exact(Metadata!Q709,"not applicable"),exact(Metadata!Q709,"not collected"),exact(Metadata!Q709,"not provided"),exact(Metadata!Q709,"restricted access"))),IF(Metadata!Q709="",FALSE,IF(ISERROR(INT(Metadata!Q709)),FALSE,INT(Metadata!Q709)=Metadata!Q709)))</f>
        <v>0</v>
      </c>
      <c r="AS709">
        <f>AND(IF(Metadata!R709="",FALSE,TRUE),exact(Metadata!R709,"Not applicable"))</f>
        <v>0</v>
      </c>
    </row>
    <row r="710" spans="1:45">
      <c r="A710" s="4">
        <f>IF(B710=" "," ",HYPERLINK(CONCATENATE("#metadata!",ADDRESS(INDEX($X$2:$X$1001,MATCH(ROWS($V$2:V710),$V$2:$V$1001,0),0),2)),INDEX($AA$2:$AA$1001,MATCH(ROWS($V$2:V710),$V$2:$V$1001,0),0)))</f>
        <v>0</v>
      </c>
      <c r="B710" s="5">
        <f>IF(OR(INDEX($W$2:$W$1001,MATCH(ROWS($V$2:V710),$V$2:$V$1001,0),1)&gt;=100000,INDEX($AC$1005:$AS$1005,1,MATCH(COLUMNS($AC$1006:AC1006),$AC$1006:$AS$1006,0))&gt;=100000), " ",IF(INDEX($AC$2:$AS$1001,MATCH(ROWS($V$2:V710),$V$2:$V$1001,0),MATCH(COLUMNS($AC$1006:AC1006),$AC$1006:$AS$1006,0)), HYPERLINK("#",""), HYPERLINK(CONCATENATE("#Metadata!", ADDRESS(INDEX($X$2:$X$1001,MATCH(ROWS($V$2:V710),$V$2:$V$1001,0),0), INDEX($AC$1004:$AS$1004,1,MATCH(COLUMNS($AC$1006:AC1006),$AC$1006:$AS$1006,0)))),"Fix")))</f>
        <v>0</v>
      </c>
      <c r="C710" s="5">
        <f>IF(OR(INDEX($W$2:$W$1001,MATCH(ROWS($V$2:V710),$V$2:$V$1001,0),1)&gt;=100000,INDEX($AC$1005:$AS$1005,1,MATCH(COLUMNS($AC$1006:AD1006),$AC$1006:$AS$1006,0))&gt;=100000), " ",IF(INDEX($AC$2:$AS$1001,MATCH(ROWS($V$2:V710),$V$2:$V$1001,0),MATCH(COLUMNS($AC$1006:AD1006),$AC$1006:$AS$1006,0)), HYPERLINK("#",""), HYPERLINK(CONCATENATE("#Metadata!", ADDRESS(INDEX($X$2:$X$1001,MATCH(ROWS($V$2:V710),$V$2:$V$1001,0),0), INDEX($AC$1004:$AS$1004,1,MATCH(COLUMNS($AC$1006:AD1006),$AC$1006:$AS$1006,0)))),"Fix")))</f>
        <v>0</v>
      </c>
      <c r="D710" s="5">
        <f>IF(OR(INDEX($W$2:$W$1001,MATCH(ROWS($V$2:V710),$V$2:$V$1001,0),1)&gt;=100000,INDEX($AC$1005:$AS$1005,1,MATCH(COLUMNS($AC$1006:AE1006),$AC$1006:$AS$1006,0))&gt;=100000), " ",IF(INDEX($AC$2:$AS$1001,MATCH(ROWS($V$2:V710),$V$2:$V$1001,0),MATCH(COLUMNS($AC$1006:AE1006),$AC$1006:$AS$1006,0)), HYPERLINK("#",""), HYPERLINK(CONCATENATE("#Metadata!", ADDRESS(INDEX($X$2:$X$1001,MATCH(ROWS($V$2:V710),$V$2:$V$1001,0),0), INDEX($AC$1004:$AS$1004,1,MATCH(COLUMNS($AC$1006:AE1006),$AC$1006:$AS$1006,0)))),"Fix")))</f>
        <v>0</v>
      </c>
      <c r="E710" s="5">
        <f>IF(OR(INDEX($W$2:$W$1001,MATCH(ROWS($V$2:V710),$V$2:$V$1001,0),1)&gt;=100000,INDEX($AC$1005:$AS$1005,1,MATCH(COLUMNS($AC$1006:AF1006),$AC$1006:$AS$1006,0))&gt;=100000), " ",IF(INDEX($AC$2:$AS$1001,MATCH(ROWS($V$2:V710),$V$2:$V$1001,0),MATCH(COLUMNS($AC$1006:AF1006),$AC$1006:$AS$1006,0)), HYPERLINK("#",""), HYPERLINK(CONCATENATE("#Metadata!", ADDRESS(INDEX($X$2:$X$1001,MATCH(ROWS($V$2:V710),$V$2:$V$1001,0),0), INDEX($AC$1004:$AS$1004,1,MATCH(COLUMNS($AC$1006:AF1006),$AC$1006:$AS$1006,0)))),"Fix")))</f>
        <v>0</v>
      </c>
      <c r="F710" s="5">
        <f>IF(OR(INDEX($W$2:$W$1001,MATCH(ROWS($V$2:V710),$V$2:$V$1001,0),1)&gt;=100000,INDEX($AC$1005:$AS$1005,1,MATCH(COLUMNS($AC$1006:AG1006),$AC$1006:$AS$1006,0))&gt;=100000), " ",IF(INDEX($AC$2:$AS$1001,MATCH(ROWS($V$2:V710),$V$2:$V$1001,0),MATCH(COLUMNS($AC$1006:AG1006),$AC$1006:$AS$1006,0)), HYPERLINK("#",""), HYPERLINK(CONCATENATE("#Metadata!", ADDRESS(INDEX($X$2:$X$1001,MATCH(ROWS($V$2:V710),$V$2:$V$1001,0),0), INDEX($AC$1004:$AS$1004,1,MATCH(COLUMNS($AC$1006:AG1006),$AC$1006:$AS$1006,0)))),"Fix")))</f>
        <v>0</v>
      </c>
      <c r="G710" s="5">
        <f>IF(OR(INDEX($W$2:$W$1001,MATCH(ROWS($V$2:V710),$V$2:$V$1001,0),1)&gt;=100000,INDEX($AC$1005:$AS$1005,1,MATCH(COLUMNS($AC$1006:AH1006),$AC$1006:$AS$1006,0))&gt;=100000), " ",IF(INDEX($AC$2:$AS$1001,MATCH(ROWS($V$2:V710),$V$2:$V$1001,0),MATCH(COLUMNS($AC$1006:AH1006),$AC$1006:$AS$1006,0)), HYPERLINK("#",""), HYPERLINK(CONCATENATE("#Metadata!", ADDRESS(INDEX($X$2:$X$1001,MATCH(ROWS($V$2:V710),$V$2:$V$1001,0),0), INDEX($AC$1004:$AS$1004,1,MATCH(COLUMNS($AC$1006:AH1006),$AC$1006:$AS$1006,0)))),"Fix")))</f>
        <v>0</v>
      </c>
      <c r="H710" s="5">
        <f>IF(OR(INDEX($W$2:$W$1001,MATCH(ROWS($V$2:V710),$V$2:$V$1001,0),1)&gt;=100000,INDEX($AC$1005:$AS$1005,1,MATCH(COLUMNS($AC$1006:AI1006),$AC$1006:$AS$1006,0))&gt;=100000), " ",IF(INDEX($AC$2:$AS$1001,MATCH(ROWS($V$2:V710),$V$2:$V$1001,0),MATCH(COLUMNS($AC$1006:AI1006),$AC$1006:$AS$1006,0)), HYPERLINK("#",""), HYPERLINK(CONCATENATE("#Metadata!", ADDRESS(INDEX($X$2:$X$1001,MATCH(ROWS($V$2:V710),$V$2:$V$1001,0),0), INDEX($AC$1004:$AS$1004,1,MATCH(COLUMNS($AC$1006:AI1006),$AC$1006:$AS$1006,0)))),"Fix")))</f>
        <v>0</v>
      </c>
      <c r="I710" s="5">
        <f>IF(OR(INDEX($W$2:$W$1001,MATCH(ROWS($V$2:V710),$V$2:$V$1001,0),1)&gt;=100000,INDEX($AC$1005:$AS$1005,1,MATCH(COLUMNS($AC$1006:AJ1006),$AC$1006:$AS$1006,0))&gt;=100000), " ",IF(INDEX($AC$2:$AS$1001,MATCH(ROWS($V$2:V710),$V$2:$V$1001,0),MATCH(COLUMNS($AC$1006:AJ1006),$AC$1006:$AS$1006,0)), HYPERLINK("#",""), HYPERLINK(CONCATENATE("#Metadata!", ADDRESS(INDEX($X$2:$X$1001,MATCH(ROWS($V$2:V710),$V$2:$V$1001,0),0), INDEX($AC$1004:$AS$1004,1,MATCH(COLUMNS($AC$1006:AJ1006),$AC$1006:$AS$1006,0)))),"Fix")))</f>
        <v>0</v>
      </c>
      <c r="J710" s="5">
        <f>IF(OR(INDEX($W$2:$W$1001,MATCH(ROWS($V$2:V710),$V$2:$V$1001,0),1)&gt;=100000,INDEX($AC$1005:$AS$1005,1,MATCH(COLUMNS($AC$1006:AK1006),$AC$1006:$AS$1006,0))&gt;=100000), " ",IF(INDEX($AC$2:$AS$1001,MATCH(ROWS($V$2:V710),$V$2:$V$1001,0),MATCH(COLUMNS($AC$1006:AK1006),$AC$1006:$AS$1006,0)), HYPERLINK("#",""), HYPERLINK(CONCATENATE("#Metadata!", ADDRESS(INDEX($X$2:$X$1001,MATCH(ROWS($V$2:V710),$V$2:$V$1001,0),0), INDEX($AC$1004:$AS$1004,1,MATCH(COLUMNS($AC$1006:AK1006),$AC$1006:$AS$1006,0)))),"Fix")))</f>
        <v>0</v>
      </c>
      <c r="K710" s="5">
        <f>IF(OR(INDEX($W$2:$W$1001,MATCH(ROWS($V$2:V710),$V$2:$V$1001,0),1)&gt;=100000,INDEX($AC$1005:$AS$1005,1,MATCH(COLUMNS($AC$1006:AL1006),$AC$1006:$AS$1006,0))&gt;=100000), " ",IF(INDEX($AC$2:$AS$1001,MATCH(ROWS($V$2:V710),$V$2:$V$1001,0),MATCH(COLUMNS($AC$1006:AL1006),$AC$1006:$AS$1006,0)), HYPERLINK("#",""), HYPERLINK(CONCATENATE("#Metadata!", ADDRESS(INDEX($X$2:$X$1001,MATCH(ROWS($V$2:V710),$V$2:$V$1001,0),0), INDEX($AC$1004:$AS$1004,1,MATCH(COLUMNS($AC$1006:AL1006),$AC$1006:$AS$1006,0)))),"Fix")))</f>
        <v>0</v>
      </c>
      <c r="L710" s="5">
        <f>IF(OR(INDEX($W$2:$W$1001,MATCH(ROWS($V$2:V710),$V$2:$V$1001,0),1)&gt;=100000,INDEX($AC$1005:$AS$1005,1,MATCH(COLUMNS($AC$1006:AM1006),$AC$1006:$AS$1006,0))&gt;=100000), " ",IF(INDEX($AC$2:$AS$1001,MATCH(ROWS($V$2:V710),$V$2:$V$1001,0),MATCH(COLUMNS($AC$1006:AM1006),$AC$1006:$AS$1006,0)), HYPERLINK("#",""), HYPERLINK(CONCATENATE("#Metadata!", ADDRESS(INDEX($X$2:$X$1001,MATCH(ROWS($V$2:V710),$V$2:$V$1001,0),0), INDEX($AC$1004:$AS$1004,1,MATCH(COLUMNS($AC$1006:AM1006),$AC$1006:$AS$1006,0)))),"Fix")))</f>
        <v>0</v>
      </c>
      <c r="M710" s="5">
        <f>IF(OR(INDEX($W$2:$W$1001,MATCH(ROWS($V$2:V710),$V$2:$V$1001,0),1)&gt;=100000,INDEX($AC$1005:$AS$1005,1,MATCH(COLUMNS($AC$1006:AN1006),$AC$1006:$AS$1006,0))&gt;=100000), " ",IF(INDEX($AC$2:$AS$1001,MATCH(ROWS($V$2:V710),$V$2:$V$1001,0),MATCH(COLUMNS($AC$1006:AN1006),$AC$1006:$AS$1006,0)), HYPERLINK("#",""), HYPERLINK(CONCATENATE("#Metadata!", ADDRESS(INDEX($X$2:$X$1001,MATCH(ROWS($V$2:V710),$V$2:$V$1001,0),0), INDEX($AC$1004:$AS$1004,1,MATCH(COLUMNS($AC$1006:AN1006),$AC$1006:$AS$1006,0)))),"Fix")))</f>
        <v>0</v>
      </c>
      <c r="N710" s="5">
        <f>IF(OR(INDEX($W$2:$W$1001,MATCH(ROWS($V$2:V710),$V$2:$V$1001,0),1)&gt;=100000,INDEX($AC$1005:$AS$1005,1,MATCH(COLUMNS($AC$1006:AO1006),$AC$1006:$AS$1006,0))&gt;=100000), " ",IF(INDEX($AC$2:$AS$1001,MATCH(ROWS($V$2:V710),$V$2:$V$1001,0),MATCH(COLUMNS($AC$1006:AO1006),$AC$1006:$AS$1006,0)), HYPERLINK("#",""), HYPERLINK(CONCATENATE("#Metadata!", ADDRESS(INDEX($X$2:$X$1001,MATCH(ROWS($V$2:V710),$V$2:$V$1001,0),0), INDEX($AC$1004:$AS$1004,1,MATCH(COLUMNS($AC$1006:AO1006),$AC$1006:$AS$1006,0)))),"Fix")))</f>
        <v>0</v>
      </c>
      <c r="O710" s="5">
        <f>IF(OR(INDEX($W$2:$W$1001,MATCH(ROWS($V$2:V710),$V$2:$V$1001,0),1)&gt;=100000,INDEX($AC$1005:$AS$1005,1,MATCH(COLUMNS($AC$1006:AP1006),$AC$1006:$AS$1006,0))&gt;=100000), " ",IF(INDEX($AC$2:$AS$1001,MATCH(ROWS($V$2:V710),$V$2:$V$1001,0),MATCH(COLUMNS($AC$1006:AP1006),$AC$1006:$AS$1006,0)), HYPERLINK("#",""), HYPERLINK(CONCATENATE("#Metadata!", ADDRESS(INDEX($X$2:$X$1001,MATCH(ROWS($V$2:V710),$V$2:$V$1001,0),0), INDEX($AC$1004:$AS$1004,1,MATCH(COLUMNS($AC$1006:AP1006),$AC$1006:$AS$1006,0)))),"Fix")))</f>
        <v>0</v>
      </c>
      <c r="P710" s="5">
        <f>IF(OR(INDEX($W$2:$W$1001,MATCH(ROWS($V$2:V710),$V$2:$V$1001,0),1)&gt;=100000,INDEX($AC$1005:$AS$1005,1,MATCH(COLUMNS($AC$1006:AQ1006),$AC$1006:$AS$1006,0))&gt;=100000), " ",IF(INDEX($AC$2:$AS$1001,MATCH(ROWS($V$2:V710),$V$2:$V$1001,0),MATCH(COLUMNS($AC$1006:AQ1006),$AC$1006:$AS$1006,0)), HYPERLINK("#",""), HYPERLINK(CONCATENATE("#Metadata!", ADDRESS(INDEX($X$2:$X$1001,MATCH(ROWS($V$2:V710),$V$2:$V$1001,0),0), INDEX($AC$1004:$AS$1004,1,MATCH(COLUMNS($AC$1006:AQ1006),$AC$1006:$AS$1006,0)))),"Fix")))</f>
        <v>0</v>
      </c>
      <c r="Q710" s="5">
        <f>IF(OR(INDEX($W$2:$W$1001,MATCH(ROWS($V$2:V710),$V$2:$V$1001,0),1)&gt;=100000,INDEX($AC$1005:$AS$1005,1,MATCH(COLUMNS($AC$1006:AR1006),$AC$1006:$AS$1006,0))&gt;=100000), " ",IF(INDEX($AC$2:$AS$1001,MATCH(ROWS($V$2:V710),$V$2:$V$1001,0),MATCH(COLUMNS($AC$1006:AR1006),$AC$1006:$AS$1006,0)), HYPERLINK("#",""), HYPERLINK(CONCATENATE("#Metadata!", ADDRESS(INDEX($X$2:$X$1001,MATCH(ROWS($V$2:V710),$V$2:$V$1001,0),0), INDEX($AC$1004:$AS$1004,1,MATCH(COLUMNS($AC$1006:AR1006),$AC$1006:$AS$1006,0)))),"Fix")))</f>
        <v>0</v>
      </c>
      <c r="R710" s="5">
        <f>IF(OR(INDEX($W$2:$W$1001,MATCH(ROWS($V$2:V710),$V$2:$V$1001,0),1)&gt;=100000,INDEX($AC$1005:$AS$1005,1,MATCH(COLUMNS($AC$1006:AS1006),$AC$1006:$AS$1006,0))&gt;=100000), " ",IF(INDEX($AC$2:$AS$1001,MATCH(ROWS($V$2:V710),$V$2:$V$1001,0),MATCH(COLUMNS($AC$1006:AS1006),$AC$1006:$AS$1006,0)), HYPERLINK("#",""), HYPERLINK(CONCATENATE("#Metadata!", ADDRESS(INDEX($X$2:$X$1001,MATCH(ROWS($V$2:V710),$V$2:$V$1001,0),0), INDEX($AC$1004:$AS$1004,1,MATCH(COLUMNS($AC$1006:AS1006),$AC$1006:$AS$1006,0)))),"Fix")))</f>
        <v>0</v>
      </c>
      <c r="V710">
        <v>0</v>
      </c>
      <c r="W710">
        <v>0</v>
      </c>
      <c r="X710">
        <v>0</v>
      </c>
      <c r="Y710">
        <f>IF(Z710,TRUE,AND(AC710:AS710))</f>
        <v>0</v>
      </c>
      <c r="Z710">
        <f>COUNTBLANK(Metadata!B710:R710)=COLUMNS(Metadata!B710:R710)</f>
        <v>0</v>
      </c>
      <c r="AA710">
        <v>0</v>
      </c>
      <c r="AC710">
        <f>AND(IF(Metadata!B710="",FALSE,TRUE),COUNTIF(Metadata!B:B, Metadata!B710) = 1,NOT(ISERROR(SUMPRODUCT(SEARCH(MID(Metadata!B710,ROW(INDIRECT("1:"&amp;LEN(Metadata!B710))), 1),"0123456789abcdefghijklmnopqrstuvwxyzABCDEFGHIJKLMNOPQRSTUVWXYZ.")))))</f>
        <v>0</v>
      </c>
      <c r="AD710">
        <f>AND(IF(Metadata!C710="",FALSE,TRUE),exact(Metadata!C710,"Host-associated"))</f>
        <v>0</v>
      </c>
      <c r="AE710">
        <f>AND(IF(Metadata!D710="",FALSE,TRUE),OR(exact(Metadata!D710,"Animal"),exact(Metadata!D710,"Fungus"),exact(Metadata!D710,"Plant")))</f>
        <v>0</v>
      </c>
      <c r="AF710">
        <f>AND(IF(Metadata!E710="",FALSE,TRUE),OR(exact(Metadata!E710,"Plant secretion"),exact(Metadata!E710,"Plant rhizosphere"),exact(Metadata!E710,"Plant surface"),exact(Metadata!E710,"Plant corpus"),exact(Metadata!E710,"Fungus surface"),exact(Metadata!E710,"Fungus corpus"),exact(Metadata!E710,"Animal surface"),exact(Metadata!E710,"Animal proximal gut"),exact(Metadata!E710,"Animal corpus"),exact(Metadata!E710,"Animal distal gut"),exact(Metadata!E710,"Animal secretion")))</f>
        <v>0</v>
      </c>
      <c r="AG710">
        <f>OR(AND(IF(Metadata!F710="",FALSE,TRUE),OR(exact(Metadata!F710,"not collected"),exact(Metadata!F710,"not provided"),exact(Metadata!F710,"restricted access"))),AND(IF(Metadata!F710="",FALSE,TRUE),OR(exact(Metadata!F710,"organism-associated habitat"),exact(Metadata!F710,"plant-associated habitat"),exact(Metadata!F710,"animal-associated habitat"),exact(Metadata!F710,"insecta-associated habitat"),exact(Metadata!F710,"mammalia-associated habitat"),exact(Metadata!F710,"human-associated habitat"),exact(Metadata!F710,"livestock-associated habitat"))))</f>
        <v>0</v>
      </c>
      <c r="AH710">
        <f>AND(IF(Metadata!G710="",FALSE,TRUE),exact(Metadata!G710,"host-associated"))</f>
        <v>0</v>
      </c>
      <c r="AI710">
        <f>OR(AND(IF(Metadata!H710="",FALSE,TRUE),OR(exact(Metadata!H710,"not collected"),exact(Metadata!H710,"not provided"))),AND(IF(Metadata!H710="",FALSE,ISNUMBER(VALUE(Metadata!H710))),Metadata!H710&gt;0))</f>
        <v>0</v>
      </c>
      <c r="AJ710">
        <f>AND(IF(Metadata!I710="",FALSE,TRUE),exact(Metadata!I710,"years"))</f>
        <v>0</v>
      </c>
      <c r="AK710">
        <f>IF(Metadata!J710="",FALSE,TRUE)</f>
        <v>0</v>
      </c>
      <c r="AL710">
        <f>OR(AND(IF(Metadata!K710="",FALSE,TRUE),OR(exact(Metadata!K710,"not collected"),exact(Metadata!K710,"not provided"))),AND(IF(Metadata!K710="",FALSE,ISNUMBER(VALUE(Metadata!K710))),Metadata!K710&gt;0))</f>
        <v>0</v>
      </c>
      <c r="AM710">
        <f>AND(IF(Metadata!L710="",FALSE,TRUE),exact(Metadata!L710,"cm"))</f>
        <v>0</v>
      </c>
      <c r="AN710">
        <f>IF(Metadata!M710="",FALSE,TRUE)</f>
        <v>0</v>
      </c>
      <c r="AO710">
        <f>OR(AND(IF(Metadata!N710="",FALSE,TRUE),OR(exact(Metadata!N710,"not applicable"),exact(Metadata!N710,"not collected"),exact(Metadata!N710,"not provided"))),AND(IF(Metadata!N710="",FALSE,IF(ISERROR(INT(Metadata!N710)),FALSE,INT(Metadata!N710)=Metadata!N710)),Metadata!N710&gt;0))</f>
        <v>0</v>
      </c>
      <c r="AP710">
        <f>OR(AND(IF(Metadata!O710="",FALSE,TRUE),OR(exact(Metadata!O710,"not collected"),exact(Metadata!O710,"not provided"))),AND(IF(Metadata!O710="",FALSE,ISNUMBER(VALUE(Metadata!O710))),Metadata!O710&gt;0))</f>
        <v>0</v>
      </c>
      <c r="AQ710">
        <f>AND(IF(Metadata!P710="",FALSE,TRUE),exact(Metadata!P710,"kg"))</f>
        <v>0</v>
      </c>
      <c r="AR710">
        <f>OR(AND(IF(Metadata!Q710="",FALSE,TRUE),OR(exact(Metadata!Q710,"not applicable"),exact(Metadata!Q710,"not collected"),exact(Metadata!Q710,"not provided"),exact(Metadata!Q710,"restricted access"))),IF(Metadata!Q710="",FALSE,IF(ISERROR(INT(Metadata!Q710)),FALSE,INT(Metadata!Q710)=Metadata!Q710)))</f>
        <v>0</v>
      </c>
      <c r="AS710">
        <f>AND(IF(Metadata!R710="",FALSE,TRUE),exact(Metadata!R710,"Not applicable"))</f>
        <v>0</v>
      </c>
    </row>
    <row r="711" spans="1:45">
      <c r="A711" s="4">
        <f>IF(B711=" "," ",HYPERLINK(CONCATENATE("#metadata!",ADDRESS(INDEX($X$2:$X$1001,MATCH(ROWS($V$2:V711),$V$2:$V$1001,0),0),2)),INDEX($AA$2:$AA$1001,MATCH(ROWS($V$2:V711),$V$2:$V$1001,0),0)))</f>
        <v>0</v>
      </c>
      <c r="B711" s="5">
        <f>IF(OR(INDEX($W$2:$W$1001,MATCH(ROWS($V$2:V711),$V$2:$V$1001,0),1)&gt;=100000,INDEX($AC$1005:$AS$1005,1,MATCH(COLUMNS($AC$1006:AC1006),$AC$1006:$AS$1006,0))&gt;=100000), " ",IF(INDEX($AC$2:$AS$1001,MATCH(ROWS($V$2:V711),$V$2:$V$1001,0),MATCH(COLUMNS($AC$1006:AC1006),$AC$1006:$AS$1006,0)), HYPERLINK("#",""), HYPERLINK(CONCATENATE("#Metadata!", ADDRESS(INDEX($X$2:$X$1001,MATCH(ROWS($V$2:V711),$V$2:$V$1001,0),0), INDEX($AC$1004:$AS$1004,1,MATCH(COLUMNS($AC$1006:AC1006),$AC$1006:$AS$1006,0)))),"Fix")))</f>
        <v>0</v>
      </c>
      <c r="C711" s="5">
        <f>IF(OR(INDEX($W$2:$W$1001,MATCH(ROWS($V$2:V711),$V$2:$V$1001,0),1)&gt;=100000,INDEX($AC$1005:$AS$1005,1,MATCH(COLUMNS($AC$1006:AD1006),$AC$1006:$AS$1006,0))&gt;=100000), " ",IF(INDEX($AC$2:$AS$1001,MATCH(ROWS($V$2:V711),$V$2:$V$1001,0),MATCH(COLUMNS($AC$1006:AD1006),$AC$1006:$AS$1006,0)), HYPERLINK("#",""), HYPERLINK(CONCATENATE("#Metadata!", ADDRESS(INDEX($X$2:$X$1001,MATCH(ROWS($V$2:V711),$V$2:$V$1001,0),0), INDEX($AC$1004:$AS$1004,1,MATCH(COLUMNS($AC$1006:AD1006),$AC$1006:$AS$1006,0)))),"Fix")))</f>
        <v>0</v>
      </c>
      <c r="D711" s="5">
        <f>IF(OR(INDEX($W$2:$W$1001,MATCH(ROWS($V$2:V711),$V$2:$V$1001,0),1)&gt;=100000,INDEX($AC$1005:$AS$1005,1,MATCH(COLUMNS($AC$1006:AE1006),$AC$1006:$AS$1006,0))&gt;=100000), " ",IF(INDEX($AC$2:$AS$1001,MATCH(ROWS($V$2:V711),$V$2:$V$1001,0),MATCH(COLUMNS($AC$1006:AE1006),$AC$1006:$AS$1006,0)), HYPERLINK("#",""), HYPERLINK(CONCATENATE("#Metadata!", ADDRESS(INDEX($X$2:$X$1001,MATCH(ROWS($V$2:V711),$V$2:$V$1001,0),0), INDEX($AC$1004:$AS$1004,1,MATCH(COLUMNS($AC$1006:AE1006),$AC$1006:$AS$1006,0)))),"Fix")))</f>
        <v>0</v>
      </c>
      <c r="E711" s="5">
        <f>IF(OR(INDEX($W$2:$W$1001,MATCH(ROWS($V$2:V711),$V$2:$V$1001,0),1)&gt;=100000,INDEX($AC$1005:$AS$1005,1,MATCH(COLUMNS($AC$1006:AF1006),$AC$1006:$AS$1006,0))&gt;=100000), " ",IF(INDEX($AC$2:$AS$1001,MATCH(ROWS($V$2:V711),$V$2:$V$1001,0),MATCH(COLUMNS($AC$1006:AF1006),$AC$1006:$AS$1006,0)), HYPERLINK("#",""), HYPERLINK(CONCATENATE("#Metadata!", ADDRESS(INDEX($X$2:$X$1001,MATCH(ROWS($V$2:V711),$V$2:$V$1001,0),0), INDEX($AC$1004:$AS$1004,1,MATCH(COLUMNS($AC$1006:AF1006),$AC$1006:$AS$1006,0)))),"Fix")))</f>
        <v>0</v>
      </c>
      <c r="F711" s="5">
        <f>IF(OR(INDEX($W$2:$W$1001,MATCH(ROWS($V$2:V711),$V$2:$V$1001,0),1)&gt;=100000,INDEX($AC$1005:$AS$1005,1,MATCH(COLUMNS($AC$1006:AG1006),$AC$1006:$AS$1006,0))&gt;=100000), " ",IF(INDEX($AC$2:$AS$1001,MATCH(ROWS($V$2:V711),$V$2:$V$1001,0),MATCH(COLUMNS($AC$1006:AG1006),$AC$1006:$AS$1006,0)), HYPERLINK("#",""), HYPERLINK(CONCATENATE("#Metadata!", ADDRESS(INDEX($X$2:$X$1001,MATCH(ROWS($V$2:V711),$V$2:$V$1001,0),0), INDEX($AC$1004:$AS$1004,1,MATCH(COLUMNS($AC$1006:AG1006),$AC$1006:$AS$1006,0)))),"Fix")))</f>
        <v>0</v>
      </c>
      <c r="G711" s="5">
        <f>IF(OR(INDEX($W$2:$W$1001,MATCH(ROWS($V$2:V711),$V$2:$V$1001,0),1)&gt;=100000,INDEX($AC$1005:$AS$1005,1,MATCH(COLUMNS($AC$1006:AH1006),$AC$1006:$AS$1006,0))&gt;=100000), " ",IF(INDEX($AC$2:$AS$1001,MATCH(ROWS($V$2:V711),$V$2:$V$1001,0),MATCH(COLUMNS($AC$1006:AH1006),$AC$1006:$AS$1006,0)), HYPERLINK("#",""), HYPERLINK(CONCATENATE("#Metadata!", ADDRESS(INDEX($X$2:$X$1001,MATCH(ROWS($V$2:V711),$V$2:$V$1001,0),0), INDEX($AC$1004:$AS$1004,1,MATCH(COLUMNS($AC$1006:AH1006),$AC$1006:$AS$1006,0)))),"Fix")))</f>
        <v>0</v>
      </c>
      <c r="H711" s="5">
        <f>IF(OR(INDEX($W$2:$W$1001,MATCH(ROWS($V$2:V711),$V$2:$V$1001,0),1)&gt;=100000,INDEX($AC$1005:$AS$1005,1,MATCH(COLUMNS($AC$1006:AI1006),$AC$1006:$AS$1006,0))&gt;=100000), " ",IF(INDEX($AC$2:$AS$1001,MATCH(ROWS($V$2:V711),$V$2:$V$1001,0),MATCH(COLUMNS($AC$1006:AI1006),$AC$1006:$AS$1006,0)), HYPERLINK("#",""), HYPERLINK(CONCATENATE("#Metadata!", ADDRESS(INDEX($X$2:$X$1001,MATCH(ROWS($V$2:V711),$V$2:$V$1001,0),0), INDEX($AC$1004:$AS$1004,1,MATCH(COLUMNS($AC$1006:AI1006),$AC$1006:$AS$1006,0)))),"Fix")))</f>
        <v>0</v>
      </c>
      <c r="I711" s="5">
        <f>IF(OR(INDEX($W$2:$W$1001,MATCH(ROWS($V$2:V711),$V$2:$V$1001,0),1)&gt;=100000,INDEX($AC$1005:$AS$1005,1,MATCH(COLUMNS($AC$1006:AJ1006),$AC$1006:$AS$1006,0))&gt;=100000), " ",IF(INDEX($AC$2:$AS$1001,MATCH(ROWS($V$2:V711),$V$2:$V$1001,0),MATCH(COLUMNS($AC$1006:AJ1006),$AC$1006:$AS$1006,0)), HYPERLINK("#",""), HYPERLINK(CONCATENATE("#Metadata!", ADDRESS(INDEX($X$2:$X$1001,MATCH(ROWS($V$2:V711),$V$2:$V$1001,0),0), INDEX($AC$1004:$AS$1004,1,MATCH(COLUMNS($AC$1006:AJ1006),$AC$1006:$AS$1006,0)))),"Fix")))</f>
        <v>0</v>
      </c>
      <c r="J711" s="5">
        <f>IF(OR(INDEX($W$2:$W$1001,MATCH(ROWS($V$2:V711),$V$2:$V$1001,0),1)&gt;=100000,INDEX($AC$1005:$AS$1005,1,MATCH(COLUMNS($AC$1006:AK1006),$AC$1006:$AS$1006,0))&gt;=100000), " ",IF(INDEX($AC$2:$AS$1001,MATCH(ROWS($V$2:V711),$V$2:$V$1001,0),MATCH(COLUMNS($AC$1006:AK1006),$AC$1006:$AS$1006,0)), HYPERLINK("#",""), HYPERLINK(CONCATENATE("#Metadata!", ADDRESS(INDEX($X$2:$X$1001,MATCH(ROWS($V$2:V711),$V$2:$V$1001,0),0), INDEX($AC$1004:$AS$1004,1,MATCH(COLUMNS($AC$1006:AK1006),$AC$1006:$AS$1006,0)))),"Fix")))</f>
        <v>0</v>
      </c>
      <c r="K711" s="5">
        <f>IF(OR(INDEX($W$2:$W$1001,MATCH(ROWS($V$2:V711),$V$2:$V$1001,0),1)&gt;=100000,INDEX($AC$1005:$AS$1005,1,MATCH(COLUMNS($AC$1006:AL1006),$AC$1006:$AS$1006,0))&gt;=100000), " ",IF(INDEX($AC$2:$AS$1001,MATCH(ROWS($V$2:V711),$V$2:$V$1001,0),MATCH(COLUMNS($AC$1006:AL1006),$AC$1006:$AS$1006,0)), HYPERLINK("#",""), HYPERLINK(CONCATENATE("#Metadata!", ADDRESS(INDEX($X$2:$X$1001,MATCH(ROWS($V$2:V711),$V$2:$V$1001,0),0), INDEX($AC$1004:$AS$1004,1,MATCH(COLUMNS($AC$1006:AL1006),$AC$1006:$AS$1006,0)))),"Fix")))</f>
        <v>0</v>
      </c>
      <c r="L711" s="5">
        <f>IF(OR(INDEX($W$2:$W$1001,MATCH(ROWS($V$2:V711),$V$2:$V$1001,0),1)&gt;=100000,INDEX($AC$1005:$AS$1005,1,MATCH(COLUMNS($AC$1006:AM1006),$AC$1006:$AS$1006,0))&gt;=100000), " ",IF(INDEX($AC$2:$AS$1001,MATCH(ROWS($V$2:V711),$V$2:$V$1001,0),MATCH(COLUMNS($AC$1006:AM1006),$AC$1006:$AS$1006,0)), HYPERLINK("#",""), HYPERLINK(CONCATENATE("#Metadata!", ADDRESS(INDEX($X$2:$X$1001,MATCH(ROWS($V$2:V711),$V$2:$V$1001,0),0), INDEX($AC$1004:$AS$1004,1,MATCH(COLUMNS($AC$1006:AM1006),$AC$1006:$AS$1006,0)))),"Fix")))</f>
        <v>0</v>
      </c>
      <c r="M711" s="5">
        <f>IF(OR(INDEX($W$2:$W$1001,MATCH(ROWS($V$2:V711),$V$2:$V$1001,0),1)&gt;=100000,INDEX($AC$1005:$AS$1005,1,MATCH(COLUMNS($AC$1006:AN1006),$AC$1006:$AS$1006,0))&gt;=100000), " ",IF(INDEX($AC$2:$AS$1001,MATCH(ROWS($V$2:V711),$V$2:$V$1001,0),MATCH(COLUMNS($AC$1006:AN1006),$AC$1006:$AS$1006,0)), HYPERLINK("#",""), HYPERLINK(CONCATENATE("#Metadata!", ADDRESS(INDEX($X$2:$X$1001,MATCH(ROWS($V$2:V711),$V$2:$V$1001,0),0), INDEX($AC$1004:$AS$1004,1,MATCH(COLUMNS($AC$1006:AN1006),$AC$1006:$AS$1006,0)))),"Fix")))</f>
        <v>0</v>
      </c>
      <c r="N711" s="5">
        <f>IF(OR(INDEX($W$2:$W$1001,MATCH(ROWS($V$2:V711),$V$2:$V$1001,0),1)&gt;=100000,INDEX($AC$1005:$AS$1005,1,MATCH(COLUMNS($AC$1006:AO1006),$AC$1006:$AS$1006,0))&gt;=100000), " ",IF(INDEX($AC$2:$AS$1001,MATCH(ROWS($V$2:V711),$V$2:$V$1001,0),MATCH(COLUMNS($AC$1006:AO1006),$AC$1006:$AS$1006,0)), HYPERLINK("#",""), HYPERLINK(CONCATENATE("#Metadata!", ADDRESS(INDEX($X$2:$X$1001,MATCH(ROWS($V$2:V711),$V$2:$V$1001,0),0), INDEX($AC$1004:$AS$1004,1,MATCH(COLUMNS($AC$1006:AO1006),$AC$1006:$AS$1006,0)))),"Fix")))</f>
        <v>0</v>
      </c>
      <c r="O711" s="5">
        <f>IF(OR(INDEX($W$2:$W$1001,MATCH(ROWS($V$2:V711),$V$2:$V$1001,0),1)&gt;=100000,INDEX($AC$1005:$AS$1005,1,MATCH(COLUMNS($AC$1006:AP1006),$AC$1006:$AS$1006,0))&gt;=100000), " ",IF(INDEX($AC$2:$AS$1001,MATCH(ROWS($V$2:V711),$V$2:$V$1001,0),MATCH(COLUMNS($AC$1006:AP1006),$AC$1006:$AS$1006,0)), HYPERLINK("#",""), HYPERLINK(CONCATENATE("#Metadata!", ADDRESS(INDEX($X$2:$X$1001,MATCH(ROWS($V$2:V711),$V$2:$V$1001,0),0), INDEX($AC$1004:$AS$1004,1,MATCH(COLUMNS($AC$1006:AP1006),$AC$1006:$AS$1006,0)))),"Fix")))</f>
        <v>0</v>
      </c>
      <c r="P711" s="5">
        <f>IF(OR(INDEX($W$2:$W$1001,MATCH(ROWS($V$2:V711),$V$2:$V$1001,0),1)&gt;=100000,INDEX($AC$1005:$AS$1005,1,MATCH(COLUMNS($AC$1006:AQ1006),$AC$1006:$AS$1006,0))&gt;=100000), " ",IF(INDEX($AC$2:$AS$1001,MATCH(ROWS($V$2:V711),$V$2:$V$1001,0),MATCH(COLUMNS($AC$1006:AQ1006),$AC$1006:$AS$1006,0)), HYPERLINK("#",""), HYPERLINK(CONCATENATE("#Metadata!", ADDRESS(INDEX($X$2:$X$1001,MATCH(ROWS($V$2:V711),$V$2:$V$1001,0),0), INDEX($AC$1004:$AS$1004,1,MATCH(COLUMNS($AC$1006:AQ1006),$AC$1006:$AS$1006,0)))),"Fix")))</f>
        <v>0</v>
      </c>
      <c r="Q711" s="5">
        <f>IF(OR(INDEX($W$2:$W$1001,MATCH(ROWS($V$2:V711),$V$2:$V$1001,0),1)&gt;=100000,INDEX($AC$1005:$AS$1005,1,MATCH(COLUMNS($AC$1006:AR1006),$AC$1006:$AS$1006,0))&gt;=100000), " ",IF(INDEX($AC$2:$AS$1001,MATCH(ROWS($V$2:V711),$V$2:$V$1001,0),MATCH(COLUMNS($AC$1006:AR1006),$AC$1006:$AS$1006,0)), HYPERLINK("#",""), HYPERLINK(CONCATENATE("#Metadata!", ADDRESS(INDEX($X$2:$X$1001,MATCH(ROWS($V$2:V711),$V$2:$V$1001,0),0), INDEX($AC$1004:$AS$1004,1,MATCH(COLUMNS($AC$1006:AR1006),$AC$1006:$AS$1006,0)))),"Fix")))</f>
        <v>0</v>
      </c>
      <c r="R711" s="5">
        <f>IF(OR(INDEX($W$2:$W$1001,MATCH(ROWS($V$2:V711),$V$2:$V$1001,0),1)&gt;=100000,INDEX($AC$1005:$AS$1005,1,MATCH(COLUMNS($AC$1006:AS1006),$AC$1006:$AS$1006,0))&gt;=100000), " ",IF(INDEX($AC$2:$AS$1001,MATCH(ROWS($V$2:V711),$V$2:$V$1001,0),MATCH(COLUMNS($AC$1006:AS1006),$AC$1006:$AS$1006,0)), HYPERLINK("#",""), HYPERLINK(CONCATENATE("#Metadata!", ADDRESS(INDEX($X$2:$X$1001,MATCH(ROWS($V$2:V711),$V$2:$V$1001,0),0), INDEX($AC$1004:$AS$1004,1,MATCH(COLUMNS($AC$1006:AS1006),$AC$1006:$AS$1006,0)))),"Fix")))</f>
        <v>0</v>
      </c>
      <c r="V711">
        <v>0</v>
      </c>
      <c r="W711">
        <v>0</v>
      </c>
      <c r="X711">
        <v>0</v>
      </c>
      <c r="Y711">
        <f>IF(Z711,TRUE,AND(AC711:AS711))</f>
        <v>0</v>
      </c>
      <c r="Z711">
        <f>COUNTBLANK(Metadata!B711:R711)=COLUMNS(Metadata!B711:R711)</f>
        <v>0</v>
      </c>
      <c r="AA711">
        <v>0</v>
      </c>
      <c r="AC711">
        <f>AND(IF(Metadata!B711="",FALSE,TRUE),COUNTIF(Metadata!B:B, Metadata!B711) = 1,NOT(ISERROR(SUMPRODUCT(SEARCH(MID(Metadata!B711,ROW(INDIRECT("1:"&amp;LEN(Metadata!B711))), 1),"0123456789abcdefghijklmnopqrstuvwxyzABCDEFGHIJKLMNOPQRSTUVWXYZ.")))))</f>
        <v>0</v>
      </c>
      <c r="AD711">
        <f>AND(IF(Metadata!C711="",FALSE,TRUE),exact(Metadata!C711,"Host-associated"))</f>
        <v>0</v>
      </c>
      <c r="AE711">
        <f>AND(IF(Metadata!D711="",FALSE,TRUE),OR(exact(Metadata!D711,"Animal"),exact(Metadata!D711,"Fungus"),exact(Metadata!D711,"Plant")))</f>
        <v>0</v>
      </c>
      <c r="AF711">
        <f>AND(IF(Metadata!E711="",FALSE,TRUE),OR(exact(Metadata!E711,"Plant secretion"),exact(Metadata!E711,"Plant rhizosphere"),exact(Metadata!E711,"Plant surface"),exact(Metadata!E711,"Plant corpus"),exact(Metadata!E711,"Fungus surface"),exact(Metadata!E711,"Fungus corpus"),exact(Metadata!E711,"Animal surface"),exact(Metadata!E711,"Animal proximal gut"),exact(Metadata!E711,"Animal corpus"),exact(Metadata!E711,"Animal distal gut"),exact(Metadata!E711,"Animal secretion")))</f>
        <v>0</v>
      </c>
      <c r="AG711">
        <f>OR(AND(IF(Metadata!F711="",FALSE,TRUE),OR(exact(Metadata!F711,"not collected"),exact(Metadata!F711,"not provided"),exact(Metadata!F711,"restricted access"))),AND(IF(Metadata!F711="",FALSE,TRUE),OR(exact(Metadata!F711,"organism-associated habitat"),exact(Metadata!F711,"plant-associated habitat"),exact(Metadata!F711,"animal-associated habitat"),exact(Metadata!F711,"insecta-associated habitat"),exact(Metadata!F711,"mammalia-associated habitat"),exact(Metadata!F711,"human-associated habitat"),exact(Metadata!F711,"livestock-associated habitat"))))</f>
        <v>0</v>
      </c>
      <c r="AH711">
        <f>AND(IF(Metadata!G711="",FALSE,TRUE),exact(Metadata!G711,"host-associated"))</f>
        <v>0</v>
      </c>
      <c r="AI711">
        <f>OR(AND(IF(Metadata!H711="",FALSE,TRUE),OR(exact(Metadata!H711,"not collected"),exact(Metadata!H711,"not provided"))),AND(IF(Metadata!H711="",FALSE,ISNUMBER(VALUE(Metadata!H711))),Metadata!H711&gt;0))</f>
        <v>0</v>
      </c>
      <c r="AJ711">
        <f>AND(IF(Metadata!I711="",FALSE,TRUE),exact(Metadata!I711,"years"))</f>
        <v>0</v>
      </c>
      <c r="AK711">
        <f>IF(Metadata!J711="",FALSE,TRUE)</f>
        <v>0</v>
      </c>
      <c r="AL711">
        <f>OR(AND(IF(Metadata!K711="",FALSE,TRUE),OR(exact(Metadata!K711,"not collected"),exact(Metadata!K711,"not provided"))),AND(IF(Metadata!K711="",FALSE,ISNUMBER(VALUE(Metadata!K711))),Metadata!K711&gt;0))</f>
        <v>0</v>
      </c>
      <c r="AM711">
        <f>AND(IF(Metadata!L711="",FALSE,TRUE),exact(Metadata!L711,"cm"))</f>
        <v>0</v>
      </c>
      <c r="AN711">
        <f>IF(Metadata!M711="",FALSE,TRUE)</f>
        <v>0</v>
      </c>
      <c r="AO711">
        <f>OR(AND(IF(Metadata!N711="",FALSE,TRUE),OR(exact(Metadata!N711,"not applicable"),exact(Metadata!N711,"not collected"),exact(Metadata!N711,"not provided"))),AND(IF(Metadata!N711="",FALSE,IF(ISERROR(INT(Metadata!N711)),FALSE,INT(Metadata!N711)=Metadata!N711)),Metadata!N711&gt;0))</f>
        <v>0</v>
      </c>
      <c r="AP711">
        <f>OR(AND(IF(Metadata!O711="",FALSE,TRUE),OR(exact(Metadata!O711,"not collected"),exact(Metadata!O711,"not provided"))),AND(IF(Metadata!O711="",FALSE,ISNUMBER(VALUE(Metadata!O711))),Metadata!O711&gt;0))</f>
        <v>0</v>
      </c>
      <c r="AQ711">
        <f>AND(IF(Metadata!P711="",FALSE,TRUE),exact(Metadata!P711,"kg"))</f>
        <v>0</v>
      </c>
      <c r="AR711">
        <f>OR(AND(IF(Metadata!Q711="",FALSE,TRUE),OR(exact(Metadata!Q711,"not applicable"),exact(Metadata!Q711,"not collected"),exact(Metadata!Q711,"not provided"),exact(Metadata!Q711,"restricted access"))),IF(Metadata!Q711="",FALSE,IF(ISERROR(INT(Metadata!Q711)),FALSE,INT(Metadata!Q711)=Metadata!Q711)))</f>
        <v>0</v>
      </c>
      <c r="AS711">
        <f>AND(IF(Metadata!R711="",FALSE,TRUE),exact(Metadata!R711,"Not applicable"))</f>
        <v>0</v>
      </c>
    </row>
    <row r="712" spans="1:45">
      <c r="A712" s="4">
        <f>IF(B712=" "," ",HYPERLINK(CONCATENATE("#metadata!",ADDRESS(INDEX($X$2:$X$1001,MATCH(ROWS($V$2:V712),$V$2:$V$1001,0),0),2)),INDEX($AA$2:$AA$1001,MATCH(ROWS($V$2:V712),$V$2:$V$1001,0),0)))</f>
        <v>0</v>
      </c>
      <c r="B712" s="5">
        <f>IF(OR(INDEX($W$2:$W$1001,MATCH(ROWS($V$2:V712),$V$2:$V$1001,0),1)&gt;=100000,INDEX($AC$1005:$AS$1005,1,MATCH(COLUMNS($AC$1006:AC1006),$AC$1006:$AS$1006,0))&gt;=100000), " ",IF(INDEX($AC$2:$AS$1001,MATCH(ROWS($V$2:V712),$V$2:$V$1001,0),MATCH(COLUMNS($AC$1006:AC1006),$AC$1006:$AS$1006,0)), HYPERLINK("#",""), HYPERLINK(CONCATENATE("#Metadata!", ADDRESS(INDEX($X$2:$X$1001,MATCH(ROWS($V$2:V712),$V$2:$V$1001,0),0), INDEX($AC$1004:$AS$1004,1,MATCH(COLUMNS($AC$1006:AC1006),$AC$1006:$AS$1006,0)))),"Fix")))</f>
        <v>0</v>
      </c>
      <c r="C712" s="5">
        <f>IF(OR(INDEX($W$2:$W$1001,MATCH(ROWS($V$2:V712),$V$2:$V$1001,0),1)&gt;=100000,INDEX($AC$1005:$AS$1005,1,MATCH(COLUMNS($AC$1006:AD1006),$AC$1006:$AS$1006,0))&gt;=100000), " ",IF(INDEX($AC$2:$AS$1001,MATCH(ROWS($V$2:V712),$V$2:$V$1001,0),MATCH(COLUMNS($AC$1006:AD1006),$AC$1006:$AS$1006,0)), HYPERLINK("#",""), HYPERLINK(CONCATENATE("#Metadata!", ADDRESS(INDEX($X$2:$X$1001,MATCH(ROWS($V$2:V712),$V$2:$V$1001,0),0), INDEX($AC$1004:$AS$1004,1,MATCH(COLUMNS($AC$1006:AD1006),$AC$1006:$AS$1006,0)))),"Fix")))</f>
        <v>0</v>
      </c>
      <c r="D712" s="5">
        <f>IF(OR(INDEX($W$2:$W$1001,MATCH(ROWS($V$2:V712),$V$2:$V$1001,0),1)&gt;=100000,INDEX($AC$1005:$AS$1005,1,MATCH(COLUMNS($AC$1006:AE1006),$AC$1006:$AS$1006,0))&gt;=100000), " ",IF(INDEX($AC$2:$AS$1001,MATCH(ROWS($V$2:V712),$V$2:$V$1001,0),MATCH(COLUMNS($AC$1006:AE1006),$AC$1006:$AS$1006,0)), HYPERLINK("#",""), HYPERLINK(CONCATENATE("#Metadata!", ADDRESS(INDEX($X$2:$X$1001,MATCH(ROWS($V$2:V712),$V$2:$V$1001,0),0), INDEX($AC$1004:$AS$1004,1,MATCH(COLUMNS($AC$1006:AE1006),$AC$1006:$AS$1006,0)))),"Fix")))</f>
        <v>0</v>
      </c>
      <c r="E712" s="5">
        <f>IF(OR(INDEX($W$2:$W$1001,MATCH(ROWS($V$2:V712),$V$2:$V$1001,0),1)&gt;=100000,INDEX($AC$1005:$AS$1005,1,MATCH(COLUMNS($AC$1006:AF1006),$AC$1006:$AS$1006,0))&gt;=100000), " ",IF(INDEX($AC$2:$AS$1001,MATCH(ROWS($V$2:V712),$V$2:$V$1001,0),MATCH(COLUMNS($AC$1006:AF1006),$AC$1006:$AS$1006,0)), HYPERLINK("#",""), HYPERLINK(CONCATENATE("#Metadata!", ADDRESS(INDEX($X$2:$X$1001,MATCH(ROWS($V$2:V712),$V$2:$V$1001,0),0), INDEX($AC$1004:$AS$1004,1,MATCH(COLUMNS($AC$1006:AF1006),$AC$1006:$AS$1006,0)))),"Fix")))</f>
        <v>0</v>
      </c>
      <c r="F712" s="5">
        <f>IF(OR(INDEX($W$2:$W$1001,MATCH(ROWS($V$2:V712),$V$2:$V$1001,0),1)&gt;=100000,INDEX($AC$1005:$AS$1005,1,MATCH(COLUMNS($AC$1006:AG1006),$AC$1006:$AS$1006,0))&gt;=100000), " ",IF(INDEX($AC$2:$AS$1001,MATCH(ROWS($V$2:V712),$V$2:$V$1001,0),MATCH(COLUMNS($AC$1006:AG1006),$AC$1006:$AS$1006,0)), HYPERLINK("#",""), HYPERLINK(CONCATENATE("#Metadata!", ADDRESS(INDEX($X$2:$X$1001,MATCH(ROWS($V$2:V712),$V$2:$V$1001,0),0), INDEX($AC$1004:$AS$1004,1,MATCH(COLUMNS($AC$1006:AG1006),$AC$1006:$AS$1006,0)))),"Fix")))</f>
        <v>0</v>
      </c>
      <c r="G712" s="5">
        <f>IF(OR(INDEX($W$2:$W$1001,MATCH(ROWS($V$2:V712),$V$2:$V$1001,0),1)&gt;=100000,INDEX($AC$1005:$AS$1005,1,MATCH(COLUMNS($AC$1006:AH1006),$AC$1006:$AS$1006,0))&gt;=100000), " ",IF(INDEX($AC$2:$AS$1001,MATCH(ROWS($V$2:V712),$V$2:$V$1001,0),MATCH(COLUMNS($AC$1006:AH1006),$AC$1006:$AS$1006,0)), HYPERLINK("#",""), HYPERLINK(CONCATENATE("#Metadata!", ADDRESS(INDEX($X$2:$X$1001,MATCH(ROWS($V$2:V712),$V$2:$V$1001,0),0), INDEX($AC$1004:$AS$1004,1,MATCH(COLUMNS($AC$1006:AH1006),$AC$1006:$AS$1006,0)))),"Fix")))</f>
        <v>0</v>
      </c>
      <c r="H712" s="5">
        <f>IF(OR(INDEX($W$2:$W$1001,MATCH(ROWS($V$2:V712),$V$2:$V$1001,0),1)&gt;=100000,INDEX($AC$1005:$AS$1005,1,MATCH(COLUMNS($AC$1006:AI1006),$AC$1006:$AS$1006,0))&gt;=100000), " ",IF(INDEX($AC$2:$AS$1001,MATCH(ROWS($V$2:V712),$V$2:$V$1001,0),MATCH(COLUMNS($AC$1006:AI1006),$AC$1006:$AS$1006,0)), HYPERLINK("#",""), HYPERLINK(CONCATENATE("#Metadata!", ADDRESS(INDEX($X$2:$X$1001,MATCH(ROWS($V$2:V712),$V$2:$V$1001,0),0), INDEX($AC$1004:$AS$1004,1,MATCH(COLUMNS($AC$1006:AI1006),$AC$1006:$AS$1006,0)))),"Fix")))</f>
        <v>0</v>
      </c>
      <c r="I712" s="5">
        <f>IF(OR(INDEX($W$2:$W$1001,MATCH(ROWS($V$2:V712),$V$2:$V$1001,0),1)&gt;=100000,INDEX($AC$1005:$AS$1005,1,MATCH(COLUMNS($AC$1006:AJ1006),$AC$1006:$AS$1006,0))&gt;=100000), " ",IF(INDEX($AC$2:$AS$1001,MATCH(ROWS($V$2:V712),$V$2:$V$1001,0),MATCH(COLUMNS($AC$1006:AJ1006),$AC$1006:$AS$1006,0)), HYPERLINK("#",""), HYPERLINK(CONCATENATE("#Metadata!", ADDRESS(INDEX($X$2:$X$1001,MATCH(ROWS($V$2:V712),$V$2:$V$1001,0),0), INDEX($AC$1004:$AS$1004,1,MATCH(COLUMNS($AC$1006:AJ1006),$AC$1006:$AS$1006,0)))),"Fix")))</f>
        <v>0</v>
      </c>
      <c r="J712" s="5">
        <f>IF(OR(INDEX($W$2:$W$1001,MATCH(ROWS($V$2:V712),$V$2:$V$1001,0),1)&gt;=100000,INDEX($AC$1005:$AS$1005,1,MATCH(COLUMNS($AC$1006:AK1006),$AC$1006:$AS$1006,0))&gt;=100000), " ",IF(INDEX($AC$2:$AS$1001,MATCH(ROWS($V$2:V712),$V$2:$V$1001,0),MATCH(COLUMNS($AC$1006:AK1006),$AC$1006:$AS$1006,0)), HYPERLINK("#",""), HYPERLINK(CONCATENATE("#Metadata!", ADDRESS(INDEX($X$2:$X$1001,MATCH(ROWS($V$2:V712),$V$2:$V$1001,0),0), INDEX($AC$1004:$AS$1004,1,MATCH(COLUMNS($AC$1006:AK1006),$AC$1006:$AS$1006,0)))),"Fix")))</f>
        <v>0</v>
      </c>
      <c r="K712" s="5">
        <f>IF(OR(INDEX($W$2:$W$1001,MATCH(ROWS($V$2:V712),$V$2:$V$1001,0),1)&gt;=100000,INDEX($AC$1005:$AS$1005,1,MATCH(COLUMNS($AC$1006:AL1006),$AC$1006:$AS$1006,0))&gt;=100000), " ",IF(INDEX($AC$2:$AS$1001,MATCH(ROWS($V$2:V712),$V$2:$V$1001,0),MATCH(COLUMNS($AC$1006:AL1006),$AC$1006:$AS$1006,0)), HYPERLINK("#",""), HYPERLINK(CONCATENATE("#Metadata!", ADDRESS(INDEX($X$2:$X$1001,MATCH(ROWS($V$2:V712),$V$2:$V$1001,0),0), INDEX($AC$1004:$AS$1004,1,MATCH(COLUMNS($AC$1006:AL1006),$AC$1006:$AS$1006,0)))),"Fix")))</f>
        <v>0</v>
      </c>
      <c r="L712" s="5">
        <f>IF(OR(INDEX($W$2:$W$1001,MATCH(ROWS($V$2:V712),$V$2:$V$1001,0),1)&gt;=100000,INDEX($AC$1005:$AS$1005,1,MATCH(COLUMNS($AC$1006:AM1006),$AC$1006:$AS$1006,0))&gt;=100000), " ",IF(INDEX($AC$2:$AS$1001,MATCH(ROWS($V$2:V712),$V$2:$V$1001,0),MATCH(COLUMNS($AC$1006:AM1006),$AC$1006:$AS$1006,0)), HYPERLINK("#",""), HYPERLINK(CONCATENATE("#Metadata!", ADDRESS(INDEX($X$2:$X$1001,MATCH(ROWS($V$2:V712),$V$2:$V$1001,0),0), INDEX($AC$1004:$AS$1004,1,MATCH(COLUMNS($AC$1006:AM1006),$AC$1006:$AS$1006,0)))),"Fix")))</f>
        <v>0</v>
      </c>
      <c r="M712" s="5">
        <f>IF(OR(INDEX($W$2:$W$1001,MATCH(ROWS($V$2:V712),$V$2:$V$1001,0),1)&gt;=100000,INDEX($AC$1005:$AS$1005,1,MATCH(COLUMNS($AC$1006:AN1006),$AC$1006:$AS$1006,0))&gt;=100000), " ",IF(INDEX($AC$2:$AS$1001,MATCH(ROWS($V$2:V712),$V$2:$V$1001,0),MATCH(COLUMNS($AC$1006:AN1006),$AC$1006:$AS$1006,0)), HYPERLINK("#",""), HYPERLINK(CONCATENATE("#Metadata!", ADDRESS(INDEX($X$2:$X$1001,MATCH(ROWS($V$2:V712),$V$2:$V$1001,0),0), INDEX($AC$1004:$AS$1004,1,MATCH(COLUMNS($AC$1006:AN1006),$AC$1006:$AS$1006,0)))),"Fix")))</f>
        <v>0</v>
      </c>
      <c r="N712" s="5">
        <f>IF(OR(INDEX($W$2:$W$1001,MATCH(ROWS($V$2:V712),$V$2:$V$1001,0),1)&gt;=100000,INDEX($AC$1005:$AS$1005,1,MATCH(COLUMNS($AC$1006:AO1006),$AC$1006:$AS$1006,0))&gt;=100000), " ",IF(INDEX($AC$2:$AS$1001,MATCH(ROWS($V$2:V712),$V$2:$V$1001,0),MATCH(COLUMNS($AC$1006:AO1006),$AC$1006:$AS$1006,0)), HYPERLINK("#",""), HYPERLINK(CONCATENATE("#Metadata!", ADDRESS(INDEX($X$2:$X$1001,MATCH(ROWS($V$2:V712),$V$2:$V$1001,0),0), INDEX($AC$1004:$AS$1004,1,MATCH(COLUMNS($AC$1006:AO1006),$AC$1006:$AS$1006,0)))),"Fix")))</f>
        <v>0</v>
      </c>
      <c r="O712" s="5">
        <f>IF(OR(INDEX($W$2:$W$1001,MATCH(ROWS($V$2:V712),$V$2:$V$1001,0),1)&gt;=100000,INDEX($AC$1005:$AS$1005,1,MATCH(COLUMNS($AC$1006:AP1006),$AC$1006:$AS$1006,0))&gt;=100000), " ",IF(INDEX($AC$2:$AS$1001,MATCH(ROWS($V$2:V712),$V$2:$V$1001,0),MATCH(COLUMNS($AC$1006:AP1006),$AC$1006:$AS$1006,0)), HYPERLINK("#",""), HYPERLINK(CONCATENATE("#Metadata!", ADDRESS(INDEX($X$2:$X$1001,MATCH(ROWS($V$2:V712),$V$2:$V$1001,0),0), INDEX($AC$1004:$AS$1004,1,MATCH(COLUMNS($AC$1006:AP1006),$AC$1006:$AS$1006,0)))),"Fix")))</f>
        <v>0</v>
      </c>
      <c r="P712" s="5">
        <f>IF(OR(INDEX($W$2:$W$1001,MATCH(ROWS($V$2:V712),$V$2:$V$1001,0),1)&gt;=100000,INDEX($AC$1005:$AS$1005,1,MATCH(COLUMNS($AC$1006:AQ1006),$AC$1006:$AS$1006,0))&gt;=100000), " ",IF(INDEX($AC$2:$AS$1001,MATCH(ROWS($V$2:V712),$V$2:$V$1001,0),MATCH(COLUMNS($AC$1006:AQ1006),$AC$1006:$AS$1006,0)), HYPERLINK("#",""), HYPERLINK(CONCATENATE("#Metadata!", ADDRESS(INDEX($X$2:$X$1001,MATCH(ROWS($V$2:V712),$V$2:$V$1001,0),0), INDEX($AC$1004:$AS$1004,1,MATCH(COLUMNS($AC$1006:AQ1006),$AC$1006:$AS$1006,0)))),"Fix")))</f>
        <v>0</v>
      </c>
      <c r="Q712" s="5">
        <f>IF(OR(INDEX($W$2:$W$1001,MATCH(ROWS($V$2:V712),$V$2:$V$1001,0),1)&gt;=100000,INDEX($AC$1005:$AS$1005,1,MATCH(COLUMNS($AC$1006:AR1006),$AC$1006:$AS$1006,0))&gt;=100000), " ",IF(INDEX($AC$2:$AS$1001,MATCH(ROWS($V$2:V712),$V$2:$V$1001,0),MATCH(COLUMNS($AC$1006:AR1006),$AC$1006:$AS$1006,0)), HYPERLINK("#",""), HYPERLINK(CONCATENATE("#Metadata!", ADDRESS(INDEX($X$2:$X$1001,MATCH(ROWS($V$2:V712),$V$2:$V$1001,0),0), INDEX($AC$1004:$AS$1004,1,MATCH(COLUMNS($AC$1006:AR1006),$AC$1006:$AS$1006,0)))),"Fix")))</f>
        <v>0</v>
      </c>
      <c r="R712" s="5">
        <f>IF(OR(INDEX($W$2:$W$1001,MATCH(ROWS($V$2:V712),$V$2:$V$1001,0),1)&gt;=100000,INDEX($AC$1005:$AS$1005,1,MATCH(COLUMNS($AC$1006:AS1006),$AC$1006:$AS$1006,0))&gt;=100000), " ",IF(INDEX($AC$2:$AS$1001,MATCH(ROWS($V$2:V712),$V$2:$V$1001,0),MATCH(COLUMNS($AC$1006:AS1006),$AC$1006:$AS$1006,0)), HYPERLINK("#",""), HYPERLINK(CONCATENATE("#Metadata!", ADDRESS(INDEX($X$2:$X$1001,MATCH(ROWS($V$2:V712),$V$2:$V$1001,0),0), INDEX($AC$1004:$AS$1004,1,MATCH(COLUMNS($AC$1006:AS1006),$AC$1006:$AS$1006,0)))),"Fix")))</f>
        <v>0</v>
      </c>
      <c r="V712">
        <v>0</v>
      </c>
      <c r="W712">
        <v>0</v>
      </c>
      <c r="X712">
        <v>0</v>
      </c>
      <c r="Y712">
        <f>IF(Z712,TRUE,AND(AC712:AS712))</f>
        <v>0</v>
      </c>
      <c r="Z712">
        <f>COUNTBLANK(Metadata!B712:R712)=COLUMNS(Metadata!B712:R712)</f>
        <v>0</v>
      </c>
      <c r="AA712">
        <v>0</v>
      </c>
      <c r="AC712">
        <f>AND(IF(Metadata!B712="",FALSE,TRUE),COUNTIF(Metadata!B:B, Metadata!B712) = 1,NOT(ISERROR(SUMPRODUCT(SEARCH(MID(Metadata!B712,ROW(INDIRECT("1:"&amp;LEN(Metadata!B712))), 1),"0123456789abcdefghijklmnopqrstuvwxyzABCDEFGHIJKLMNOPQRSTUVWXYZ.")))))</f>
        <v>0</v>
      </c>
      <c r="AD712">
        <f>AND(IF(Metadata!C712="",FALSE,TRUE),exact(Metadata!C712,"Host-associated"))</f>
        <v>0</v>
      </c>
      <c r="AE712">
        <f>AND(IF(Metadata!D712="",FALSE,TRUE),OR(exact(Metadata!D712,"Animal"),exact(Metadata!D712,"Fungus"),exact(Metadata!D712,"Plant")))</f>
        <v>0</v>
      </c>
      <c r="AF712">
        <f>AND(IF(Metadata!E712="",FALSE,TRUE),OR(exact(Metadata!E712,"Plant secretion"),exact(Metadata!E712,"Plant rhizosphere"),exact(Metadata!E712,"Plant surface"),exact(Metadata!E712,"Plant corpus"),exact(Metadata!E712,"Fungus surface"),exact(Metadata!E712,"Fungus corpus"),exact(Metadata!E712,"Animal surface"),exact(Metadata!E712,"Animal proximal gut"),exact(Metadata!E712,"Animal corpus"),exact(Metadata!E712,"Animal distal gut"),exact(Metadata!E712,"Animal secretion")))</f>
        <v>0</v>
      </c>
      <c r="AG712">
        <f>OR(AND(IF(Metadata!F712="",FALSE,TRUE),OR(exact(Metadata!F712,"not collected"),exact(Metadata!F712,"not provided"),exact(Metadata!F712,"restricted access"))),AND(IF(Metadata!F712="",FALSE,TRUE),OR(exact(Metadata!F712,"organism-associated habitat"),exact(Metadata!F712,"plant-associated habitat"),exact(Metadata!F712,"animal-associated habitat"),exact(Metadata!F712,"insecta-associated habitat"),exact(Metadata!F712,"mammalia-associated habitat"),exact(Metadata!F712,"human-associated habitat"),exact(Metadata!F712,"livestock-associated habitat"))))</f>
        <v>0</v>
      </c>
      <c r="AH712">
        <f>AND(IF(Metadata!G712="",FALSE,TRUE),exact(Metadata!G712,"host-associated"))</f>
        <v>0</v>
      </c>
      <c r="AI712">
        <f>OR(AND(IF(Metadata!H712="",FALSE,TRUE),OR(exact(Metadata!H712,"not collected"),exact(Metadata!H712,"not provided"))),AND(IF(Metadata!H712="",FALSE,ISNUMBER(VALUE(Metadata!H712))),Metadata!H712&gt;0))</f>
        <v>0</v>
      </c>
      <c r="AJ712">
        <f>AND(IF(Metadata!I712="",FALSE,TRUE),exact(Metadata!I712,"years"))</f>
        <v>0</v>
      </c>
      <c r="AK712">
        <f>IF(Metadata!J712="",FALSE,TRUE)</f>
        <v>0</v>
      </c>
      <c r="AL712">
        <f>OR(AND(IF(Metadata!K712="",FALSE,TRUE),OR(exact(Metadata!K712,"not collected"),exact(Metadata!K712,"not provided"))),AND(IF(Metadata!K712="",FALSE,ISNUMBER(VALUE(Metadata!K712))),Metadata!K712&gt;0))</f>
        <v>0</v>
      </c>
      <c r="AM712">
        <f>AND(IF(Metadata!L712="",FALSE,TRUE),exact(Metadata!L712,"cm"))</f>
        <v>0</v>
      </c>
      <c r="AN712">
        <f>IF(Metadata!M712="",FALSE,TRUE)</f>
        <v>0</v>
      </c>
      <c r="AO712">
        <f>OR(AND(IF(Metadata!N712="",FALSE,TRUE),OR(exact(Metadata!N712,"not applicable"),exact(Metadata!N712,"not collected"),exact(Metadata!N712,"not provided"))),AND(IF(Metadata!N712="",FALSE,IF(ISERROR(INT(Metadata!N712)),FALSE,INT(Metadata!N712)=Metadata!N712)),Metadata!N712&gt;0))</f>
        <v>0</v>
      </c>
      <c r="AP712">
        <f>OR(AND(IF(Metadata!O712="",FALSE,TRUE),OR(exact(Metadata!O712,"not collected"),exact(Metadata!O712,"not provided"))),AND(IF(Metadata!O712="",FALSE,ISNUMBER(VALUE(Metadata!O712))),Metadata!O712&gt;0))</f>
        <v>0</v>
      </c>
      <c r="AQ712">
        <f>AND(IF(Metadata!P712="",FALSE,TRUE),exact(Metadata!P712,"kg"))</f>
        <v>0</v>
      </c>
      <c r="AR712">
        <f>OR(AND(IF(Metadata!Q712="",FALSE,TRUE),OR(exact(Metadata!Q712,"not applicable"),exact(Metadata!Q712,"not collected"),exact(Metadata!Q712,"not provided"),exact(Metadata!Q712,"restricted access"))),IF(Metadata!Q712="",FALSE,IF(ISERROR(INT(Metadata!Q712)),FALSE,INT(Metadata!Q712)=Metadata!Q712)))</f>
        <v>0</v>
      </c>
      <c r="AS712">
        <f>AND(IF(Metadata!R712="",FALSE,TRUE),exact(Metadata!R712,"Not applicable"))</f>
        <v>0</v>
      </c>
    </row>
    <row r="713" spans="1:45">
      <c r="A713" s="4">
        <f>IF(B713=" "," ",HYPERLINK(CONCATENATE("#metadata!",ADDRESS(INDEX($X$2:$X$1001,MATCH(ROWS($V$2:V713),$V$2:$V$1001,0),0),2)),INDEX($AA$2:$AA$1001,MATCH(ROWS($V$2:V713),$V$2:$V$1001,0),0)))</f>
        <v>0</v>
      </c>
      <c r="B713" s="5">
        <f>IF(OR(INDEX($W$2:$W$1001,MATCH(ROWS($V$2:V713),$V$2:$V$1001,0),1)&gt;=100000,INDEX($AC$1005:$AS$1005,1,MATCH(COLUMNS($AC$1006:AC1006),$AC$1006:$AS$1006,0))&gt;=100000), " ",IF(INDEX($AC$2:$AS$1001,MATCH(ROWS($V$2:V713),$V$2:$V$1001,0),MATCH(COLUMNS($AC$1006:AC1006),$AC$1006:$AS$1006,0)), HYPERLINK("#",""), HYPERLINK(CONCATENATE("#Metadata!", ADDRESS(INDEX($X$2:$X$1001,MATCH(ROWS($V$2:V713),$V$2:$V$1001,0),0), INDEX($AC$1004:$AS$1004,1,MATCH(COLUMNS($AC$1006:AC1006),$AC$1006:$AS$1006,0)))),"Fix")))</f>
        <v>0</v>
      </c>
      <c r="C713" s="5">
        <f>IF(OR(INDEX($W$2:$W$1001,MATCH(ROWS($V$2:V713),$V$2:$V$1001,0),1)&gt;=100000,INDEX($AC$1005:$AS$1005,1,MATCH(COLUMNS($AC$1006:AD1006),$AC$1006:$AS$1006,0))&gt;=100000), " ",IF(INDEX($AC$2:$AS$1001,MATCH(ROWS($V$2:V713),$V$2:$V$1001,0),MATCH(COLUMNS($AC$1006:AD1006),$AC$1006:$AS$1006,0)), HYPERLINK("#",""), HYPERLINK(CONCATENATE("#Metadata!", ADDRESS(INDEX($X$2:$X$1001,MATCH(ROWS($V$2:V713),$V$2:$V$1001,0),0), INDEX($AC$1004:$AS$1004,1,MATCH(COLUMNS($AC$1006:AD1006),$AC$1006:$AS$1006,0)))),"Fix")))</f>
        <v>0</v>
      </c>
      <c r="D713" s="5">
        <f>IF(OR(INDEX($W$2:$W$1001,MATCH(ROWS($V$2:V713),$V$2:$V$1001,0),1)&gt;=100000,INDEX($AC$1005:$AS$1005,1,MATCH(COLUMNS($AC$1006:AE1006),$AC$1006:$AS$1006,0))&gt;=100000), " ",IF(INDEX($AC$2:$AS$1001,MATCH(ROWS($V$2:V713),$V$2:$V$1001,0),MATCH(COLUMNS($AC$1006:AE1006),$AC$1006:$AS$1006,0)), HYPERLINK("#",""), HYPERLINK(CONCATENATE("#Metadata!", ADDRESS(INDEX($X$2:$X$1001,MATCH(ROWS($V$2:V713),$V$2:$V$1001,0),0), INDEX($AC$1004:$AS$1004,1,MATCH(COLUMNS($AC$1006:AE1006),$AC$1006:$AS$1006,0)))),"Fix")))</f>
        <v>0</v>
      </c>
      <c r="E713" s="5">
        <f>IF(OR(INDEX($W$2:$W$1001,MATCH(ROWS($V$2:V713),$V$2:$V$1001,0),1)&gt;=100000,INDEX($AC$1005:$AS$1005,1,MATCH(COLUMNS($AC$1006:AF1006),$AC$1006:$AS$1006,0))&gt;=100000), " ",IF(INDEX($AC$2:$AS$1001,MATCH(ROWS($V$2:V713),$V$2:$V$1001,0),MATCH(COLUMNS($AC$1006:AF1006),$AC$1006:$AS$1006,0)), HYPERLINK("#",""), HYPERLINK(CONCATENATE("#Metadata!", ADDRESS(INDEX($X$2:$X$1001,MATCH(ROWS($V$2:V713),$V$2:$V$1001,0),0), INDEX($AC$1004:$AS$1004,1,MATCH(COLUMNS($AC$1006:AF1006),$AC$1006:$AS$1006,0)))),"Fix")))</f>
        <v>0</v>
      </c>
      <c r="F713" s="5">
        <f>IF(OR(INDEX($W$2:$W$1001,MATCH(ROWS($V$2:V713),$V$2:$V$1001,0),1)&gt;=100000,INDEX($AC$1005:$AS$1005,1,MATCH(COLUMNS($AC$1006:AG1006),$AC$1006:$AS$1006,0))&gt;=100000), " ",IF(INDEX($AC$2:$AS$1001,MATCH(ROWS($V$2:V713),$V$2:$V$1001,0),MATCH(COLUMNS($AC$1006:AG1006),$AC$1006:$AS$1006,0)), HYPERLINK("#",""), HYPERLINK(CONCATENATE("#Metadata!", ADDRESS(INDEX($X$2:$X$1001,MATCH(ROWS($V$2:V713),$V$2:$V$1001,0),0), INDEX($AC$1004:$AS$1004,1,MATCH(COLUMNS($AC$1006:AG1006),$AC$1006:$AS$1006,0)))),"Fix")))</f>
        <v>0</v>
      </c>
      <c r="G713" s="5">
        <f>IF(OR(INDEX($W$2:$W$1001,MATCH(ROWS($V$2:V713),$V$2:$V$1001,0),1)&gt;=100000,INDEX($AC$1005:$AS$1005,1,MATCH(COLUMNS($AC$1006:AH1006),$AC$1006:$AS$1006,0))&gt;=100000), " ",IF(INDEX($AC$2:$AS$1001,MATCH(ROWS($V$2:V713),$V$2:$V$1001,0),MATCH(COLUMNS($AC$1006:AH1006),$AC$1006:$AS$1006,0)), HYPERLINK("#",""), HYPERLINK(CONCATENATE("#Metadata!", ADDRESS(INDEX($X$2:$X$1001,MATCH(ROWS($V$2:V713),$V$2:$V$1001,0),0), INDEX($AC$1004:$AS$1004,1,MATCH(COLUMNS($AC$1006:AH1006),$AC$1006:$AS$1006,0)))),"Fix")))</f>
        <v>0</v>
      </c>
      <c r="H713" s="5">
        <f>IF(OR(INDEX($W$2:$W$1001,MATCH(ROWS($V$2:V713),$V$2:$V$1001,0),1)&gt;=100000,INDEX($AC$1005:$AS$1005,1,MATCH(COLUMNS($AC$1006:AI1006),$AC$1006:$AS$1006,0))&gt;=100000), " ",IF(INDEX($AC$2:$AS$1001,MATCH(ROWS($V$2:V713),$V$2:$V$1001,0),MATCH(COLUMNS($AC$1006:AI1006),$AC$1006:$AS$1006,0)), HYPERLINK("#",""), HYPERLINK(CONCATENATE("#Metadata!", ADDRESS(INDEX($X$2:$X$1001,MATCH(ROWS($V$2:V713),$V$2:$V$1001,0),0), INDEX($AC$1004:$AS$1004,1,MATCH(COLUMNS($AC$1006:AI1006),$AC$1006:$AS$1006,0)))),"Fix")))</f>
        <v>0</v>
      </c>
      <c r="I713" s="5">
        <f>IF(OR(INDEX($W$2:$W$1001,MATCH(ROWS($V$2:V713),$V$2:$V$1001,0),1)&gt;=100000,INDEX($AC$1005:$AS$1005,1,MATCH(COLUMNS($AC$1006:AJ1006),$AC$1006:$AS$1006,0))&gt;=100000), " ",IF(INDEX($AC$2:$AS$1001,MATCH(ROWS($V$2:V713),$V$2:$V$1001,0),MATCH(COLUMNS($AC$1006:AJ1006),$AC$1006:$AS$1006,0)), HYPERLINK("#",""), HYPERLINK(CONCATENATE("#Metadata!", ADDRESS(INDEX($X$2:$X$1001,MATCH(ROWS($V$2:V713),$V$2:$V$1001,0),0), INDEX($AC$1004:$AS$1004,1,MATCH(COLUMNS($AC$1006:AJ1006),$AC$1006:$AS$1006,0)))),"Fix")))</f>
        <v>0</v>
      </c>
      <c r="J713" s="5">
        <f>IF(OR(INDEX($W$2:$W$1001,MATCH(ROWS($V$2:V713),$V$2:$V$1001,0),1)&gt;=100000,INDEX($AC$1005:$AS$1005,1,MATCH(COLUMNS($AC$1006:AK1006),$AC$1006:$AS$1006,0))&gt;=100000), " ",IF(INDEX($AC$2:$AS$1001,MATCH(ROWS($V$2:V713),$V$2:$V$1001,0),MATCH(COLUMNS($AC$1006:AK1006),$AC$1006:$AS$1006,0)), HYPERLINK("#",""), HYPERLINK(CONCATENATE("#Metadata!", ADDRESS(INDEX($X$2:$X$1001,MATCH(ROWS($V$2:V713),$V$2:$V$1001,0),0), INDEX($AC$1004:$AS$1004,1,MATCH(COLUMNS($AC$1006:AK1006),$AC$1006:$AS$1006,0)))),"Fix")))</f>
        <v>0</v>
      </c>
      <c r="K713" s="5">
        <f>IF(OR(INDEX($W$2:$W$1001,MATCH(ROWS($V$2:V713),$V$2:$V$1001,0),1)&gt;=100000,INDEX($AC$1005:$AS$1005,1,MATCH(COLUMNS($AC$1006:AL1006),$AC$1006:$AS$1006,0))&gt;=100000), " ",IF(INDEX($AC$2:$AS$1001,MATCH(ROWS($V$2:V713),$V$2:$V$1001,0),MATCH(COLUMNS($AC$1006:AL1006),$AC$1006:$AS$1006,0)), HYPERLINK("#",""), HYPERLINK(CONCATENATE("#Metadata!", ADDRESS(INDEX($X$2:$X$1001,MATCH(ROWS($V$2:V713),$V$2:$V$1001,0),0), INDEX($AC$1004:$AS$1004,1,MATCH(COLUMNS($AC$1006:AL1006),$AC$1006:$AS$1006,0)))),"Fix")))</f>
        <v>0</v>
      </c>
      <c r="L713" s="5">
        <f>IF(OR(INDEX($W$2:$W$1001,MATCH(ROWS($V$2:V713),$V$2:$V$1001,0),1)&gt;=100000,INDEX($AC$1005:$AS$1005,1,MATCH(COLUMNS($AC$1006:AM1006),$AC$1006:$AS$1006,0))&gt;=100000), " ",IF(INDEX($AC$2:$AS$1001,MATCH(ROWS($V$2:V713),$V$2:$V$1001,0),MATCH(COLUMNS($AC$1006:AM1006),$AC$1006:$AS$1006,0)), HYPERLINK("#",""), HYPERLINK(CONCATENATE("#Metadata!", ADDRESS(INDEX($X$2:$X$1001,MATCH(ROWS($V$2:V713),$V$2:$V$1001,0),0), INDEX($AC$1004:$AS$1004,1,MATCH(COLUMNS($AC$1006:AM1006),$AC$1006:$AS$1006,0)))),"Fix")))</f>
        <v>0</v>
      </c>
      <c r="M713" s="5">
        <f>IF(OR(INDEX($W$2:$W$1001,MATCH(ROWS($V$2:V713),$V$2:$V$1001,0),1)&gt;=100000,INDEX($AC$1005:$AS$1005,1,MATCH(COLUMNS($AC$1006:AN1006),$AC$1006:$AS$1006,0))&gt;=100000), " ",IF(INDEX($AC$2:$AS$1001,MATCH(ROWS($V$2:V713),$V$2:$V$1001,0),MATCH(COLUMNS($AC$1006:AN1006),$AC$1006:$AS$1006,0)), HYPERLINK("#",""), HYPERLINK(CONCATENATE("#Metadata!", ADDRESS(INDEX($X$2:$X$1001,MATCH(ROWS($V$2:V713),$V$2:$V$1001,0),0), INDEX($AC$1004:$AS$1004,1,MATCH(COLUMNS($AC$1006:AN1006),$AC$1006:$AS$1006,0)))),"Fix")))</f>
        <v>0</v>
      </c>
      <c r="N713" s="5">
        <f>IF(OR(INDEX($W$2:$W$1001,MATCH(ROWS($V$2:V713),$V$2:$V$1001,0),1)&gt;=100000,INDEX($AC$1005:$AS$1005,1,MATCH(COLUMNS($AC$1006:AO1006),$AC$1006:$AS$1006,0))&gt;=100000), " ",IF(INDEX($AC$2:$AS$1001,MATCH(ROWS($V$2:V713),$V$2:$V$1001,0),MATCH(COLUMNS($AC$1006:AO1006),$AC$1006:$AS$1006,0)), HYPERLINK("#",""), HYPERLINK(CONCATENATE("#Metadata!", ADDRESS(INDEX($X$2:$X$1001,MATCH(ROWS($V$2:V713),$V$2:$V$1001,0),0), INDEX($AC$1004:$AS$1004,1,MATCH(COLUMNS($AC$1006:AO1006),$AC$1006:$AS$1006,0)))),"Fix")))</f>
        <v>0</v>
      </c>
      <c r="O713" s="5">
        <f>IF(OR(INDEX($W$2:$W$1001,MATCH(ROWS($V$2:V713),$V$2:$V$1001,0),1)&gt;=100000,INDEX($AC$1005:$AS$1005,1,MATCH(COLUMNS($AC$1006:AP1006),$AC$1006:$AS$1006,0))&gt;=100000), " ",IF(INDEX($AC$2:$AS$1001,MATCH(ROWS($V$2:V713),$V$2:$V$1001,0),MATCH(COLUMNS($AC$1006:AP1006),$AC$1006:$AS$1006,0)), HYPERLINK("#",""), HYPERLINK(CONCATENATE("#Metadata!", ADDRESS(INDEX($X$2:$X$1001,MATCH(ROWS($V$2:V713),$V$2:$V$1001,0),0), INDEX($AC$1004:$AS$1004,1,MATCH(COLUMNS($AC$1006:AP1006),$AC$1006:$AS$1006,0)))),"Fix")))</f>
        <v>0</v>
      </c>
      <c r="P713" s="5">
        <f>IF(OR(INDEX($W$2:$W$1001,MATCH(ROWS($V$2:V713),$V$2:$V$1001,0),1)&gt;=100000,INDEX($AC$1005:$AS$1005,1,MATCH(COLUMNS($AC$1006:AQ1006),$AC$1006:$AS$1006,0))&gt;=100000), " ",IF(INDEX($AC$2:$AS$1001,MATCH(ROWS($V$2:V713),$V$2:$V$1001,0),MATCH(COLUMNS($AC$1006:AQ1006),$AC$1006:$AS$1006,0)), HYPERLINK("#",""), HYPERLINK(CONCATENATE("#Metadata!", ADDRESS(INDEX($X$2:$X$1001,MATCH(ROWS($V$2:V713),$V$2:$V$1001,0),0), INDEX($AC$1004:$AS$1004,1,MATCH(COLUMNS($AC$1006:AQ1006),$AC$1006:$AS$1006,0)))),"Fix")))</f>
        <v>0</v>
      </c>
      <c r="Q713" s="5">
        <f>IF(OR(INDEX($W$2:$W$1001,MATCH(ROWS($V$2:V713),$V$2:$V$1001,0),1)&gt;=100000,INDEX($AC$1005:$AS$1005,1,MATCH(COLUMNS($AC$1006:AR1006),$AC$1006:$AS$1006,0))&gt;=100000), " ",IF(INDEX($AC$2:$AS$1001,MATCH(ROWS($V$2:V713),$V$2:$V$1001,0),MATCH(COLUMNS($AC$1006:AR1006),$AC$1006:$AS$1006,0)), HYPERLINK("#",""), HYPERLINK(CONCATENATE("#Metadata!", ADDRESS(INDEX($X$2:$X$1001,MATCH(ROWS($V$2:V713),$V$2:$V$1001,0),0), INDEX($AC$1004:$AS$1004,1,MATCH(COLUMNS($AC$1006:AR1006),$AC$1006:$AS$1006,0)))),"Fix")))</f>
        <v>0</v>
      </c>
      <c r="R713" s="5">
        <f>IF(OR(INDEX($W$2:$W$1001,MATCH(ROWS($V$2:V713),$V$2:$V$1001,0),1)&gt;=100000,INDEX($AC$1005:$AS$1005,1,MATCH(COLUMNS($AC$1006:AS1006),$AC$1006:$AS$1006,0))&gt;=100000), " ",IF(INDEX($AC$2:$AS$1001,MATCH(ROWS($V$2:V713),$V$2:$V$1001,0),MATCH(COLUMNS($AC$1006:AS1006),$AC$1006:$AS$1006,0)), HYPERLINK("#",""), HYPERLINK(CONCATENATE("#Metadata!", ADDRESS(INDEX($X$2:$X$1001,MATCH(ROWS($V$2:V713),$V$2:$V$1001,0),0), INDEX($AC$1004:$AS$1004,1,MATCH(COLUMNS($AC$1006:AS1006),$AC$1006:$AS$1006,0)))),"Fix")))</f>
        <v>0</v>
      </c>
      <c r="V713">
        <v>0</v>
      </c>
      <c r="W713">
        <v>0</v>
      </c>
      <c r="X713">
        <v>0</v>
      </c>
      <c r="Y713">
        <f>IF(Z713,TRUE,AND(AC713:AS713))</f>
        <v>0</v>
      </c>
      <c r="Z713">
        <f>COUNTBLANK(Metadata!B713:R713)=COLUMNS(Metadata!B713:R713)</f>
        <v>0</v>
      </c>
      <c r="AA713">
        <v>0</v>
      </c>
      <c r="AC713">
        <f>AND(IF(Metadata!B713="",FALSE,TRUE),COUNTIF(Metadata!B:B, Metadata!B713) = 1,NOT(ISERROR(SUMPRODUCT(SEARCH(MID(Metadata!B713,ROW(INDIRECT("1:"&amp;LEN(Metadata!B713))), 1),"0123456789abcdefghijklmnopqrstuvwxyzABCDEFGHIJKLMNOPQRSTUVWXYZ.")))))</f>
        <v>0</v>
      </c>
      <c r="AD713">
        <f>AND(IF(Metadata!C713="",FALSE,TRUE),exact(Metadata!C713,"Host-associated"))</f>
        <v>0</v>
      </c>
      <c r="AE713">
        <f>AND(IF(Metadata!D713="",FALSE,TRUE),OR(exact(Metadata!D713,"Animal"),exact(Metadata!D713,"Fungus"),exact(Metadata!D713,"Plant")))</f>
        <v>0</v>
      </c>
      <c r="AF713">
        <f>AND(IF(Metadata!E713="",FALSE,TRUE),OR(exact(Metadata!E713,"Plant secretion"),exact(Metadata!E713,"Plant rhizosphere"),exact(Metadata!E713,"Plant surface"),exact(Metadata!E713,"Plant corpus"),exact(Metadata!E713,"Fungus surface"),exact(Metadata!E713,"Fungus corpus"),exact(Metadata!E713,"Animal surface"),exact(Metadata!E713,"Animal proximal gut"),exact(Metadata!E713,"Animal corpus"),exact(Metadata!E713,"Animal distal gut"),exact(Metadata!E713,"Animal secretion")))</f>
        <v>0</v>
      </c>
      <c r="AG713">
        <f>OR(AND(IF(Metadata!F713="",FALSE,TRUE),OR(exact(Metadata!F713,"not collected"),exact(Metadata!F713,"not provided"),exact(Metadata!F713,"restricted access"))),AND(IF(Metadata!F713="",FALSE,TRUE),OR(exact(Metadata!F713,"organism-associated habitat"),exact(Metadata!F713,"plant-associated habitat"),exact(Metadata!F713,"animal-associated habitat"),exact(Metadata!F713,"insecta-associated habitat"),exact(Metadata!F713,"mammalia-associated habitat"),exact(Metadata!F713,"human-associated habitat"),exact(Metadata!F713,"livestock-associated habitat"))))</f>
        <v>0</v>
      </c>
      <c r="AH713">
        <f>AND(IF(Metadata!G713="",FALSE,TRUE),exact(Metadata!G713,"host-associated"))</f>
        <v>0</v>
      </c>
      <c r="AI713">
        <f>OR(AND(IF(Metadata!H713="",FALSE,TRUE),OR(exact(Metadata!H713,"not collected"),exact(Metadata!H713,"not provided"))),AND(IF(Metadata!H713="",FALSE,ISNUMBER(VALUE(Metadata!H713))),Metadata!H713&gt;0))</f>
        <v>0</v>
      </c>
      <c r="AJ713">
        <f>AND(IF(Metadata!I713="",FALSE,TRUE),exact(Metadata!I713,"years"))</f>
        <v>0</v>
      </c>
      <c r="AK713">
        <f>IF(Metadata!J713="",FALSE,TRUE)</f>
        <v>0</v>
      </c>
      <c r="AL713">
        <f>OR(AND(IF(Metadata!K713="",FALSE,TRUE),OR(exact(Metadata!K713,"not collected"),exact(Metadata!K713,"not provided"))),AND(IF(Metadata!K713="",FALSE,ISNUMBER(VALUE(Metadata!K713))),Metadata!K713&gt;0))</f>
        <v>0</v>
      </c>
      <c r="AM713">
        <f>AND(IF(Metadata!L713="",FALSE,TRUE),exact(Metadata!L713,"cm"))</f>
        <v>0</v>
      </c>
      <c r="AN713">
        <f>IF(Metadata!M713="",FALSE,TRUE)</f>
        <v>0</v>
      </c>
      <c r="AO713">
        <f>OR(AND(IF(Metadata!N713="",FALSE,TRUE),OR(exact(Metadata!N713,"not applicable"),exact(Metadata!N713,"not collected"),exact(Metadata!N713,"not provided"))),AND(IF(Metadata!N713="",FALSE,IF(ISERROR(INT(Metadata!N713)),FALSE,INT(Metadata!N713)=Metadata!N713)),Metadata!N713&gt;0))</f>
        <v>0</v>
      </c>
      <c r="AP713">
        <f>OR(AND(IF(Metadata!O713="",FALSE,TRUE),OR(exact(Metadata!O713,"not collected"),exact(Metadata!O713,"not provided"))),AND(IF(Metadata!O713="",FALSE,ISNUMBER(VALUE(Metadata!O713))),Metadata!O713&gt;0))</f>
        <v>0</v>
      </c>
      <c r="AQ713">
        <f>AND(IF(Metadata!P713="",FALSE,TRUE),exact(Metadata!P713,"kg"))</f>
        <v>0</v>
      </c>
      <c r="AR713">
        <f>OR(AND(IF(Metadata!Q713="",FALSE,TRUE),OR(exact(Metadata!Q713,"not applicable"),exact(Metadata!Q713,"not collected"),exact(Metadata!Q713,"not provided"),exact(Metadata!Q713,"restricted access"))),IF(Metadata!Q713="",FALSE,IF(ISERROR(INT(Metadata!Q713)),FALSE,INT(Metadata!Q713)=Metadata!Q713)))</f>
        <v>0</v>
      </c>
      <c r="AS713">
        <f>AND(IF(Metadata!R713="",FALSE,TRUE),exact(Metadata!R713,"Not applicable"))</f>
        <v>0</v>
      </c>
    </row>
    <row r="714" spans="1:45">
      <c r="A714" s="4">
        <f>IF(B714=" "," ",HYPERLINK(CONCATENATE("#metadata!",ADDRESS(INDEX($X$2:$X$1001,MATCH(ROWS($V$2:V714),$V$2:$V$1001,0),0),2)),INDEX($AA$2:$AA$1001,MATCH(ROWS($V$2:V714),$V$2:$V$1001,0),0)))</f>
        <v>0</v>
      </c>
      <c r="B714" s="5">
        <f>IF(OR(INDEX($W$2:$W$1001,MATCH(ROWS($V$2:V714),$V$2:$V$1001,0),1)&gt;=100000,INDEX($AC$1005:$AS$1005,1,MATCH(COLUMNS($AC$1006:AC1006),$AC$1006:$AS$1006,0))&gt;=100000), " ",IF(INDEX($AC$2:$AS$1001,MATCH(ROWS($V$2:V714),$V$2:$V$1001,0),MATCH(COLUMNS($AC$1006:AC1006),$AC$1006:$AS$1006,0)), HYPERLINK("#",""), HYPERLINK(CONCATENATE("#Metadata!", ADDRESS(INDEX($X$2:$X$1001,MATCH(ROWS($V$2:V714),$V$2:$V$1001,0),0), INDEX($AC$1004:$AS$1004,1,MATCH(COLUMNS($AC$1006:AC1006),$AC$1006:$AS$1006,0)))),"Fix")))</f>
        <v>0</v>
      </c>
      <c r="C714" s="5">
        <f>IF(OR(INDEX($W$2:$W$1001,MATCH(ROWS($V$2:V714),$V$2:$V$1001,0),1)&gt;=100000,INDEX($AC$1005:$AS$1005,1,MATCH(COLUMNS($AC$1006:AD1006),$AC$1006:$AS$1006,0))&gt;=100000), " ",IF(INDEX($AC$2:$AS$1001,MATCH(ROWS($V$2:V714),$V$2:$V$1001,0),MATCH(COLUMNS($AC$1006:AD1006),$AC$1006:$AS$1006,0)), HYPERLINK("#",""), HYPERLINK(CONCATENATE("#Metadata!", ADDRESS(INDEX($X$2:$X$1001,MATCH(ROWS($V$2:V714),$V$2:$V$1001,0),0), INDEX($AC$1004:$AS$1004,1,MATCH(COLUMNS($AC$1006:AD1006),$AC$1006:$AS$1006,0)))),"Fix")))</f>
        <v>0</v>
      </c>
      <c r="D714" s="5">
        <f>IF(OR(INDEX($W$2:$W$1001,MATCH(ROWS($V$2:V714),$V$2:$V$1001,0),1)&gt;=100000,INDEX($AC$1005:$AS$1005,1,MATCH(COLUMNS($AC$1006:AE1006),$AC$1006:$AS$1006,0))&gt;=100000), " ",IF(INDEX($AC$2:$AS$1001,MATCH(ROWS($V$2:V714),$V$2:$V$1001,0),MATCH(COLUMNS($AC$1006:AE1006),$AC$1006:$AS$1006,0)), HYPERLINK("#",""), HYPERLINK(CONCATENATE("#Metadata!", ADDRESS(INDEX($X$2:$X$1001,MATCH(ROWS($V$2:V714),$V$2:$V$1001,0),0), INDEX($AC$1004:$AS$1004,1,MATCH(COLUMNS($AC$1006:AE1006),$AC$1006:$AS$1006,0)))),"Fix")))</f>
        <v>0</v>
      </c>
      <c r="E714" s="5">
        <f>IF(OR(INDEX($W$2:$W$1001,MATCH(ROWS($V$2:V714),$V$2:$V$1001,0),1)&gt;=100000,INDEX($AC$1005:$AS$1005,1,MATCH(COLUMNS($AC$1006:AF1006),$AC$1006:$AS$1006,0))&gt;=100000), " ",IF(INDEX($AC$2:$AS$1001,MATCH(ROWS($V$2:V714),$V$2:$V$1001,0),MATCH(COLUMNS($AC$1006:AF1006),$AC$1006:$AS$1006,0)), HYPERLINK("#",""), HYPERLINK(CONCATENATE("#Metadata!", ADDRESS(INDEX($X$2:$X$1001,MATCH(ROWS($V$2:V714),$V$2:$V$1001,0),0), INDEX($AC$1004:$AS$1004,1,MATCH(COLUMNS($AC$1006:AF1006),$AC$1006:$AS$1006,0)))),"Fix")))</f>
        <v>0</v>
      </c>
      <c r="F714" s="5">
        <f>IF(OR(INDEX($W$2:$W$1001,MATCH(ROWS($V$2:V714),$V$2:$V$1001,0),1)&gt;=100000,INDEX($AC$1005:$AS$1005,1,MATCH(COLUMNS($AC$1006:AG1006),$AC$1006:$AS$1006,0))&gt;=100000), " ",IF(INDEX($AC$2:$AS$1001,MATCH(ROWS($V$2:V714),$V$2:$V$1001,0),MATCH(COLUMNS($AC$1006:AG1006),$AC$1006:$AS$1006,0)), HYPERLINK("#",""), HYPERLINK(CONCATENATE("#Metadata!", ADDRESS(INDEX($X$2:$X$1001,MATCH(ROWS($V$2:V714),$V$2:$V$1001,0),0), INDEX($AC$1004:$AS$1004,1,MATCH(COLUMNS($AC$1006:AG1006),$AC$1006:$AS$1006,0)))),"Fix")))</f>
        <v>0</v>
      </c>
      <c r="G714" s="5">
        <f>IF(OR(INDEX($W$2:$W$1001,MATCH(ROWS($V$2:V714),$V$2:$V$1001,0),1)&gt;=100000,INDEX($AC$1005:$AS$1005,1,MATCH(COLUMNS($AC$1006:AH1006),$AC$1006:$AS$1006,0))&gt;=100000), " ",IF(INDEX($AC$2:$AS$1001,MATCH(ROWS($V$2:V714),$V$2:$V$1001,0),MATCH(COLUMNS($AC$1006:AH1006),$AC$1006:$AS$1006,0)), HYPERLINK("#",""), HYPERLINK(CONCATENATE("#Metadata!", ADDRESS(INDEX($X$2:$X$1001,MATCH(ROWS($V$2:V714),$V$2:$V$1001,0),0), INDEX($AC$1004:$AS$1004,1,MATCH(COLUMNS($AC$1006:AH1006),$AC$1006:$AS$1006,0)))),"Fix")))</f>
        <v>0</v>
      </c>
      <c r="H714" s="5">
        <f>IF(OR(INDEX($W$2:$W$1001,MATCH(ROWS($V$2:V714),$V$2:$V$1001,0),1)&gt;=100000,INDEX($AC$1005:$AS$1005,1,MATCH(COLUMNS($AC$1006:AI1006),$AC$1006:$AS$1006,0))&gt;=100000), " ",IF(INDEX($AC$2:$AS$1001,MATCH(ROWS($V$2:V714),$V$2:$V$1001,0),MATCH(COLUMNS($AC$1006:AI1006),$AC$1006:$AS$1006,0)), HYPERLINK("#",""), HYPERLINK(CONCATENATE("#Metadata!", ADDRESS(INDEX($X$2:$X$1001,MATCH(ROWS($V$2:V714),$V$2:$V$1001,0),0), INDEX($AC$1004:$AS$1004,1,MATCH(COLUMNS($AC$1006:AI1006),$AC$1006:$AS$1006,0)))),"Fix")))</f>
        <v>0</v>
      </c>
      <c r="I714" s="5">
        <f>IF(OR(INDEX($W$2:$W$1001,MATCH(ROWS($V$2:V714),$V$2:$V$1001,0),1)&gt;=100000,INDEX($AC$1005:$AS$1005,1,MATCH(COLUMNS($AC$1006:AJ1006),$AC$1006:$AS$1006,0))&gt;=100000), " ",IF(INDEX($AC$2:$AS$1001,MATCH(ROWS($V$2:V714),$V$2:$V$1001,0),MATCH(COLUMNS($AC$1006:AJ1006),$AC$1006:$AS$1006,0)), HYPERLINK("#",""), HYPERLINK(CONCATENATE("#Metadata!", ADDRESS(INDEX($X$2:$X$1001,MATCH(ROWS($V$2:V714),$V$2:$V$1001,0),0), INDEX($AC$1004:$AS$1004,1,MATCH(COLUMNS($AC$1006:AJ1006),$AC$1006:$AS$1006,0)))),"Fix")))</f>
        <v>0</v>
      </c>
      <c r="J714" s="5">
        <f>IF(OR(INDEX($W$2:$W$1001,MATCH(ROWS($V$2:V714),$V$2:$V$1001,0),1)&gt;=100000,INDEX($AC$1005:$AS$1005,1,MATCH(COLUMNS($AC$1006:AK1006),$AC$1006:$AS$1006,0))&gt;=100000), " ",IF(INDEX($AC$2:$AS$1001,MATCH(ROWS($V$2:V714),$V$2:$V$1001,0),MATCH(COLUMNS($AC$1006:AK1006),$AC$1006:$AS$1006,0)), HYPERLINK("#",""), HYPERLINK(CONCATENATE("#Metadata!", ADDRESS(INDEX($X$2:$X$1001,MATCH(ROWS($V$2:V714),$V$2:$V$1001,0),0), INDEX($AC$1004:$AS$1004,1,MATCH(COLUMNS($AC$1006:AK1006),$AC$1006:$AS$1006,0)))),"Fix")))</f>
        <v>0</v>
      </c>
      <c r="K714" s="5">
        <f>IF(OR(INDEX($W$2:$W$1001,MATCH(ROWS($V$2:V714),$V$2:$V$1001,0),1)&gt;=100000,INDEX($AC$1005:$AS$1005,1,MATCH(COLUMNS($AC$1006:AL1006),$AC$1006:$AS$1006,0))&gt;=100000), " ",IF(INDEX($AC$2:$AS$1001,MATCH(ROWS($V$2:V714),$V$2:$V$1001,0),MATCH(COLUMNS($AC$1006:AL1006),$AC$1006:$AS$1006,0)), HYPERLINK("#",""), HYPERLINK(CONCATENATE("#Metadata!", ADDRESS(INDEX($X$2:$X$1001,MATCH(ROWS($V$2:V714),$V$2:$V$1001,0),0), INDEX($AC$1004:$AS$1004,1,MATCH(COLUMNS($AC$1006:AL1006),$AC$1006:$AS$1006,0)))),"Fix")))</f>
        <v>0</v>
      </c>
      <c r="L714" s="5">
        <f>IF(OR(INDEX($W$2:$W$1001,MATCH(ROWS($V$2:V714),$V$2:$V$1001,0),1)&gt;=100000,INDEX($AC$1005:$AS$1005,1,MATCH(COLUMNS($AC$1006:AM1006),$AC$1006:$AS$1006,0))&gt;=100000), " ",IF(INDEX($AC$2:$AS$1001,MATCH(ROWS($V$2:V714),$V$2:$V$1001,0),MATCH(COLUMNS($AC$1006:AM1006),$AC$1006:$AS$1006,0)), HYPERLINK("#",""), HYPERLINK(CONCATENATE("#Metadata!", ADDRESS(INDEX($X$2:$X$1001,MATCH(ROWS($V$2:V714),$V$2:$V$1001,0),0), INDEX($AC$1004:$AS$1004,1,MATCH(COLUMNS($AC$1006:AM1006),$AC$1006:$AS$1006,0)))),"Fix")))</f>
        <v>0</v>
      </c>
      <c r="M714" s="5">
        <f>IF(OR(INDEX($W$2:$W$1001,MATCH(ROWS($V$2:V714),$V$2:$V$1001,0),1)&gt;=100000,INDEX($AC$1005:$AS$1005,1,MATCH(COLUMNS($AC$1006:AN1006),$AC$1006:$AS$1006,0))&gt;=100000), " ",IF(INDEX($AC$2:$AS$1001,MATCH(ROWS($V$2:V714),$V$2:$V$1001,0),MATCH(COLUMNS($AC$1006:AN1006),$AC$1006:$AS$1006,0)), HYPERLINK("#",""), HYPERLINK(CONCATENATE("#Metadata!", ADDRESS(INDEX($X$2:$X$1001,MATCH(ROWS($V$2:V714),$V$2:$V$1001,0),0), INDEX($AC$1004:$AS$1004,1,MATCH(COLUMNS($AC$1006:AN1006),$AC$1006:$AS$1006,0)))),"Fix")))</f>
        <v>0</v>
      </c>
      <c r="N714" s="5">
        <f>IF(OR(INDEX($W$2:$W$1001,MATCH(ROWS($V$2:V714),$V$2:$V$1001,0),1)&gt;=100000,INDEX($AC$1005:$AS$1005,1,MATCH(COLUMNS($AC$1006:AO1006),$AC$1006:$AS$1006,0))&gt;=100000), " ",IF(INDEX($AC$2:$AS$1001,MATCH(ROWS($V$2:V714),$V$2:$V$1001,0),MATCH(COLUMNS($AC$1006:AO1006),$AC$1006:$AS$1006,0)), HYPERLINK("#",""), HYPERLINK(CONCATENATE("#Metadata!", ADDRESS(INDEX($X$2:$X$1001,MATCH(ROWS($V$2:V714),$V$2:$V$1001,0),0), INDEX($AC$1004:$AS$1004,1,MATCH(COLUMNS($AC$1006:AO1006),$AC$1006:$AS$1006,0)))),"Fix")))</f>
        <v>0</v>
      </c>
      <c r="O714" s="5">
        <f>IF(OR(INDEX($W$2:$W$1001,MATCH(ROWS($V$2:V714),$V$2:$V$1001,0),1)&gt;=100000,INDEX($AC$1005:$AS$1005,1,MATCH(COLUMNS($AC$1006:AP1006),$AC$1006:$AS$1006,0))&gt;=100000), " ",IF(INDEX($AC$2:$AS$1001,MATCH(ROWS($V$2:V714),$V$2:$V$1001,0),MATCH(COLUMNS($AC$1006:AP1006),$AC$1006:$AS$1006,0)), HYPERLINK("#",""), HYPERLINK(CONCATENATE("#Metadata!", ADDRESS(INDEX($X$2:$X$1001,MATCH(ROWS($V$2:V714),$V$2:$V$1001,0),0), INDEX($AC$1004:$AS$1004,1,MATCH(COLUMNS($AC$1006:AP1006),$AC$1006:$AS$1006,0)))),"Fix")))</f>
        <v>0</v>
      </c>
      <c r="P714" s="5">
        <f>IF(OR(INDEX($W$2:$W$1001,MATCH(ROWS($V$2:V714),$V$2:$V$1001,0),1)&gt;=100000,INDEX($AC$1005:$AS$1005,1,MATCH(COLUMNS($AC$1006:AQ1006),$AC$1006:$AS$1006,0))&gt;=100000), " ",IF(INDEX($AC$2:$AS$1001,MATCH(ROWS($V$2:V714),$V$2:$V$1001,0),MATCH(COLUMNS($AC$1006:AQ1006),$AC$1006:$AS$1006,0)), HYPERLINK("#",""), HYPERLINK(CONCATENATE("#Metadata!", ADDRESS(INDEX($X$2:$X$1001,MATCH(ROWS($V$2:V714),$V$2:$V$1001,0),0), INDEX($AC$1004:$AS$1004,1,MATCH(COLUMNS($AC$1006:AQ1006),$AC$1006:$AS$1006,0)))),"Fix")))</f>
        <v>0</v>
      </c>
      <c r="Q714" s="5">
        <f>IF(OR(INDEX($W$2:$W$1001,MATCH(ROWS($V$2:V714),$V$2:$V$1001,0),1)&gt;=100000,INDEX($AC$1005:$AS$1005,1,MATCH(COLUMNS($AC$1006:AR1006),$AC$1006:$AS$1006,0))&gt;=100000), " ",IF(INDEX($AC$2:$AS$1001,MATCH(ROWS($V$2:V714),$V$2:$V$1001,0),MATCH(COLUMNS($AC$1006:AR1006),$AC$1006:$AS$1006,0)), HYPERLINK("#",""), HYPERLINK(CONCATENATE("#Metadata!", ADDRESS(INDEX($X$2:$X$1001,MATCH(ROWS($V$2:V714),$V$2:$V$1001,0),0), INDEX($AC$1004:$AS$1004,1,MATCH(COLUMNS($AC$1006:AR1006),$AC$1006:$AS$1006,0)))),"Fix")))</f>
        <v>0</v>
      </c>
      <c r="R714" s="5">
        <f>IF(OR(INDEX($W$2:$W$1001,MATCH(ROWS($V$2:V714),$V$2:$V$1001,0),1)&gt;=100000,INDEX($AC$1005:$AS$1005,1,MATCH(COLUMNS($AC$1006:AS1006),$AC$1006:$AS$1006,0))&gt;=100000), " ",IF(INDEX($AC$2:$AS$1001,MATCH(ROWS($V$2:V714),$V$2:$V$1001,0),MATCH(COLUMNS($AC$1006:AS1006),$AC$1006:$AS$1006,0)), HYPERLINK("#",""), HYPERLINK(CONCATENATE("#Metadata!", ADDRESS(INDEX($X$2:$X$1001,MATCH(ROWS($V$2:V714),$V$2:$V$1001,0),0), INDEX($AC$1004:$AS$1004,1,MATCH(COLUMNS($AC$1006:AS1006),$AC$1006:$AS$1006,0)))),"Fix")))</f>
        <v>0</v>
      </c>
      <c r="V714">
        <v>0</v>
      </c>
      <c r="W714">
        <v>0</v>
      </c>
      <c r="X714">
        <v>0</v>
      </c>
      <c r="Y714">
        <f>IF(Z714,TRUE,AND(AC714:AS714))</f>
        <v>0</v>
      </c>
      <c r="Z714">
        <f>COUNTBLANK(Metadata!B714:R714)=COLUMNS(Metadata!B714:R714)</f>
        <v>0</v>
      </c>
      <c r="AA714">
        <v>0</v>
      </c>
      <c r="AC714">
        <f>AND(IF(Metadata!B714="",FALSE,TRUE),COUNTIF(Metadata!B:B, Metadata!B714) = 1,NOT(ISERROR(SUMPRODUCT(SEARCH(MID(Metadata!B714,ROW(INDIRECT("1:"&amp;LEN(Metadata!B714))), 1),"0123456789abcdefghijklmnopqrstuvwxyzABCDEFGHIJKLMNOPQRSTUVWXYZ.")))))</f>
        <v>0</v>
      </c>
      <c r="AD714">
        <f>AND(IF(Metadata!C714="",FALSE,TRUE),exact(Metadata!C714,"Host-associated"))</f>
        <v>0</v>
      </c>
      <c r="AE714">
        <f>AND(IF(Metadata!D714="",FALSE,TRUE),OR(exact(Metadata!D714,"Animal"),exact(Metadata!D714,"Fungus"),exact(Metadata!D714,"Plant")))</f>
        <v>0</v>
      </c>
      <c r="AF714">
        <f>AND(IF(Metadata!E714="",FALSE,TRUE),OR(exact(Metadata!E714,"Plant secretion"),exact(Metadata!E714,"Plant rhizosphere"),exact(Metadata!E714,"Plant surface"),exact(Metadata!E714,"Plant corpus"),exact(Metadata!E714,"Fungus surface"),exact(Metadata!E714,"Fungus corpus"),exact(Metadata!E714,"Animal surface"),exact(Metadata!E714,"Animal proximal gut"),exact(Metadata!E714,"Animal corpus"),exact(Metadata!E714,"Animal distal gut"),exact(Metadata!E714,"Animal secretion")))</f>
        <v>0</v>
      </c>
      <c r="AG714">
        <f>OR(AND(IF(Metadata!F714="",FALSE,TRUE),OR(exact(Metadata!F714,"not collected"),exact(Metadata!F714,"not provided"),exact(Metadata!F714,"restricted access"))),AND(IF(Metadata!F714="",FALSE,TRUE),OR(exact(Metadata!F714,"organism-associated habitat"),exact(Metadata!F714,"plant-associated habitat"),exact(Metadata!F714,"animal-associated habitat"),exact(Metadata!F714,"insecta-associated habitat"),exact(Metadata!F714,"mammalia-associated habitat"),exact(Metadata!F714,"human-associated habitat"),exact(Metadata!F714,"livestock-associated habitat"))))</f>
        <v>0</v>
      </c>
      <c r="AH714">
        <f>AND(IF(Metadata!G714="",FALSE,TRUE),exact(Metadata!G714,"host-associated"))</f>
        <v>0</v>
      </c>
      <c r="AI714">
        <f>OR(AND(IF(Metadata!H714="",FALSE,TRUE),OR(exact(Metadata!H714,"not collected"),exact(Metadata!H714,"not provided"))),AND(IF(Metadata!H714="",FALSE,ISNUMBER(VALUE(Metadata!H714))),Metadata!H714&gt;0))</f>
        <v>0</v>
      </c>
      <c r="AJ714">
        <f>AND(IF(Metadata!I714="",FALSE,TRUE),exact(Metadata!I714,"years"))</f>
        <v>0</v>
      </c>
      <c r="AK714">
        <f>IF(Metadata!J714="",FALSE,TRUE)</f>
        <v>0</v>
      </c>
      <c r="AL714">
        <f>OR(AND(IF(Metadata!K714="",FALSE,TRUE),OR(exact(Metadata!K714,"not collected"),exact(Metadata!K714,"not provided"))),AND(IF(Metadata!K714="",FALSE,ISNUMBER(VALUE(Metadata!K714))),Metadata!K714&gt;0))</f>
        <v>0</v>
      </c>
      <c r="AM714">
        <f>AND(IF(Metadata!L714="",FALSE,TRUE),exact(Metadata!L714,"cm"))</f>
        <v>0</v>
      </c>
      <c r="AN714">
        <f>IF(Metadata!M714="",FALSE,TRUE)</f>
        <v>0</v>
      </c>
      <c r="AO714">
        <f>OR(AND(IF(Metadata!N714="",FALSE,TRUE),OR(exact(Metadata!N714,"not applicable"),exact(Metadata!N714,"not collected"),exact(Metadata!N714,"not provided"))),AND(IF(Metadata!N714="",FALSE,IF(ISERROR(INT(Metadata!N714)),FALSE,INT(Metadata!N714)=Metadata!N714)),Metadata!N714&gt;0))</f>
        <v>0</v>
      </c>
      <c r="AP714">
        <f>OR(AND(IF(Metadata!O714="",FALSE,TRUE),OR(exact(Metadata!O714,"not collected"),exact(Metadata!O714,"not provided"))),AND(IF(Metadata!O714="",FALSE,ISNUMBER(VALUE(Metadata!O714))),Metadata!O714&gt;0))</f>
        <v>0</v>
      </c>
      <c r="AQ714">
        <f>AND(IF(Metadata!P714="",FALSE,TRUE),exact(Metadata!P714,"kg"))</f>
        <v>0</v>
      </c>
      <c r="AR714">
        <f>OR(AND(IF(Metadata!Q714="",FALSE,TRUE),OR(exact(Metadata!Q714,"not applicable"),exact(Metadata!Q714,"not collected"),exact(Metadata!Q714,"not provided"),exact(Metadata!Q714,"restricted access"))),IF(Metadata!Q714="",FALSE,IF(ISERROR(INT(Metadata!Q714)),FALSE,INT(Metadata!Q714)=Metadata!Q714)))</f>
        <v>0</v>
      </c>
      <c r="AS714">
        <f>AND(IF(Metadata!R714="",FALSE,TRUE),exact(Metadata!R714,"Not applicable"))</f>
        <v>0</v>
      </c>
    </row>
    <row r="715" spans="1:45">
      <c r="A715" s="4">
        <f>IF(B715=" "," ",HYPERLINK(CONCATENATE("#metadata!",ADDRESS(INDEX($X$2:$X$1001,MATCH(ROWS($V$2:V715),$V$2:$V$1001,0),0),2)),INDEX($AA$2:$AA$1001,MATCH(ROWS($V$2:V715),$V$2:$V$1001,0),0)))</f>
        <v>0</v>
      </c>
      <c r="B715" s="5">
        <f>IF(OR(INDEX($W$2:$W$1001,MATCH(ROWS($V$2:V715),$V$2:$V$1001,0),1)&gt;=100000,INDEX($AC$1005:$AS$1005,1,MATCH(COLUMNS($AC$1006:AC1006),$AC$1006:$AS$1006,0))&gt;=100000), " ",IF(INDEX($AC$2:$AS$1001,MATCH(ROWS($V$2:V715),$V$2:$V$1001,0),MATCH(COLUMNS($AC$1006:AC1006),$AC$1006:$AS$1006,0)), HYPERLINK("#",""), HYPERLINK(CONCATENATE("#Metadata!", ADDRESS(INDEX($X$2:$X$1001,MATCH(ROWS($V$2:V715),$V$2:$V$1001,0),0), INDEX($AC$1004:$AS$1004,1,MATCH(COLUMNS($AC$1006:AC1006),$AC$1006:$AS$1006,0)))),"Fix")))</f>
        <v>0</v>
      </c>
      <c r="C715" s="5">
        <f>IF(OR(INDEX($W$2:$W$1001,MATCH(ROWS($V$2:V715),$V$2:$V$1001,0),1)&gt;=100000,INDEX($AC$1005:$AS$1005,1,MATCH(COLUMNS($AC$1006:AD1006),$AC$1006:$AS$1006,0))&gt;=100000), " ",IF(INDEX($AC$2:$AS$1001,MATCH(ROWS($V$2:V715),$V$2:$V$1001,0),MATCH(COLUMNS($AC$1006:AD1006),$AC$1006:$AS$1006,0)), HYPERLINK("#",""), HYPERLINK(CONCATENATE("#Metadata!", ADDRESS(INDEX($X$2:$X$1001,MATCH(ROWS($V$2:V715),$V$2:$V$1001,0),0), INDEX($AC$1004:$AS$1004,1,MATCH(COLUMNS($AC$1006:AD1006),$AC$1006:$AS$1006,0)))),"Fix")))</f>
        <v>0</v>
      </c>
      <c r="D715" s="5">
        <f>IF(OR(INDEX($W$2:$W$1001,MATCH(ROWS($V$2:V715),$V$2:$V$1001,0),1)&gt;=100000,INDEX($AC$1005:$AS$1005,1,MATCH(COLUMNS($AC$1006:AE1006),$AC$1006:$AS$1006,0))&gt;=100000), " ",IF(INDEX($AC$2:$AS$1001,MATCH(ROWS($V$2:V715),$V$2:$V$1001,0),MATCH(COLUMNS($AC$1006:AE1006),$AC$1006:$AS$1006,0)), HYPERLINK("#",""), HYPERLINK(CONCATENATE("#Metadata!", ADDRESS(INDEX($X$2:$X$1001,MATCH(ROWS($V$2:V715),$V$2:$V$1001,0),0), INDEX($AC$1004:$AS$1004,1,MATCH(COLUMNS($AC$1006:AE1006),$AC$1006:$AS$1006,0)))),"Fix")))</f>
        <v>0</v>
      </c>
      <c r="E715" s="5">
        <f>IF(OR(INDEX($W$2:$W$1001,MATCH(ROWS($V$2:V715),$V$2:$V$1001,0),1)&gt;=100000,INDEX($AC$1005:$AS$1005,1,MATCH(COLUMNS($AC$1006:AF1006),$AC$1006:$AS$1006,0))&gt;=100000), " ",IF(INDEX($AC$2:$AS$1001,MATCH(ROWS($V$2:V715),$V$2:$V$1001,0),MATCH(COLUMNS($AC$1006:AF1006),$AC$1006:$AS$1006,0)), HYPERLINK("#",""), HYPERLINK(CONCATENATE("#Metadata!", ADDRESS(INDEX($X$2:$X$1001,MATCH(ROWS($V$2:V715),$V$2:$V$1001,0),0), INDEX($AC$1004:$AS$1004,1,MATCH(COLUMNS($AC$1006:AF1006),$AC$1006:$AS$1006,0)))),"Fix")))</f>
        <v>0</v>
      </c>
      <c r="F715" s="5">
        <f>IF(OR(INDEX($W$2:$W$1001,MATCH(ROWS($V$2:V715),$V$2:$V$1001,0),1)&gt;=100000,INDEX($AC$1005:$AS$1005,1,MATCH(COLUMNS($AC$1006:AG1006),$AC$1006:$AS$1006,0))&gt;=100000), " ",IF(INDEX($AC$2:$AS$1001,MATCH(ROWS($V$2:V715),$V$2:$V$1001,0),MATCH(COLUMNS($AC$1006:AG1006),$AC$1006:$AS$1006,0)), HYPERLINK("#",""), HYPERLINK(CONCATENATE("#Metadata!", ADDRESS(INDEX($X$2:$X$1001,MATCH(ROWS($V$2:V715),$V$2:$V$1001,0),0), INDEX($AC$1004:$AS$1004,1,MATCH(COLUMNS($AC$1006:AG1006),$AC$1006:$AS$1006,0)))),"Fix")))</f>
        <v>0</v>
      </c>
      <c r="G715" s="5">
        <f>IF(OR(INDEX($W$2:$W$1001,MATCH(ROWS($V$2:V715),$V$2:$V$1001,0),1)&gt;=100000,INDEX($AC$1005:$AS$1005,1,MATCH(COLUMNS($AC$1006:AH1006),$AC$1006:$AS$1006,0))&gt;=100000), " ",IF(INDEX($AC$2:$AS$1001,MATCH(ROWS($V$2:V715),$V$2:$V$1001,0),MATCH(COLUMNS($AC$1006:AH1006),$AC$1006:$AS$1006,0)), HYPERLINK("#",""), HYPERLINK(CONCATENATE("#Metadata!", ADDRESS(INDEX($X$2:$X$1001,MATCH(ROWS($V$2:V715),$V$2:$V$1001,0),0), INDEX($AC$1004:$AS$1004,1,MATCH(COLUMNS($AC$1006:AH1006),$AC$1006:$AS$1006,0)))),"Fix")))</f>
        <v>0</v>
      </c>
      <c r="H715" s="5">
        <f>IF(OR(INDEX($W$2:$W$1001,MATCH(ROWS($V$2:V715),$V$2:$V$1001,0),1)&gt;=100000,INDEX($AC$1005:$AS$1005,1,MATCH(COLUMNS($AC$1006:AI1006),$AC$1006:$AS$1006,0))&gt;=100000), " ",IF(INDEX($AC$2:$AS$1001,MATCH(ROWS($V$2:V715),$V$2:$V$1001,0),MATCH(COLUMNS($AC$1006:AI1006),$AC$1006:$AS$1006,0)), HYPERLINK("#",""), HYPERLINK(CONCATENATE("#Metadata!", ADDRESS(INDEX($X$2:$X$1001,MATCH(ROWS($V$2:V715),$V$2:$V$1001,0),0), INDEX($AC$1004:$AS$1004,1,MATCH(COLUMNS($AC$1006:AI1006),$AC$1006:$AS$1006,0)))),"Fix")))</f>
        <v>0</v>
      </c>
      <c r="I715" s="5">
        <f>IF(OR(INDEX($W$2:$W$1001,MATCH(ROWS($V$2:V715),$V$2:$V$1001,0),1)&gt;=100000,INDEX($AC$1005:$AS$1005,1,MATCH(COLUMNS($AC$1006:AJ1006),$AC$1006:$AS$1006,0))&gt;=100000), " ",IF(INDEX($AC$2:$AS$1001,MATCH(ROWS($V$2:V715),$V$2:$V$1001,0),MATCH(COLUMNS($AC$1006:AJ1006),$AC$1006:$AS$1006,0)), HYPERLINK("#",""), HYPERLINK(CONCATENATE("#Metadata!", ADDRESS(INDEX($X$2:$X$1001,MATCH(ROWS($V$2:V715),$V$2:$V$1001,0),0), INDEX($AC$1004:$AS$1004,1,MATCH(COLUMNS($AC$1006:AJ1006),$AC$1006:$AS$1006,0)))),"Fix")))</f>
        <v>0</v>
      </c>
      <c r="J715" s="5">
        <f>IF(OR(INDEX($W$2:$W$1001,MATCH(ROWS($V$2:V715),$V$2:$V$1001,0),1)&gt;=100000,INDEX($AC$1005:$AS$1005,1,MATCH(COLUMNS($AC$1006:AK1006),$AC$1006:$AS$1006,0))&gt;=100000), " ",IF(INDEX($AC$2:$AS$1001,MATCH(ROWS($V$2:V715),$V$2:$V$1001,0),MATCH(COLUMNS($AC$1006:AK1006),$AC$1006:$AS$1006,0)), HYPERLINK("#",""), HYPERLINK(CONCATENATE("#Metadata!", ADDRESS(INDEX($X$2:$X$1001,MATCH(ROWS($V$2:V715),$V$2:$V$1001,0),0), INDEX($AC$1004:$AS$1004,1,MATCH(COLUMNS($AC$1006:AK1006),$AC$1006:$AS$1006,0)))),"Fix")))</f>
        <v>0</v>
      </c>
      <c r="K715" s="5">
        <f>IF(OR(INDEX($W$2:$W$1001,MATCH(ROWS($V$2:V715),$V$2:$V$1001,0),1)&gt;=100000,INDEX($AC$1005:$AS$1005,1,MATCH(COLUMNS($AC$1006:AL1006),$AC$1006:$AS$1006,0))&gt;=100000), " ",IF(INDEX($AC$2:$AS$1001,MATCH(ROWS($V$2:V715),$V$2:$V$1001,0),MATCH(COLUMNS($AC$1006:AL1006),$AC$1006:$AS$1006,0)), HYPERLINK("#",""), HYPERLINK(CONCATENATE("#Metadata!", ADDRESS(INDEX($X$2:$X$1001,MATCH(ROWS($V$2:V715),$V$2:$V$1001,0),0), INDEX($AC$1004:$AS$1004,1,MATCH(COLUMNS($AC$1006:AL1006),$AC$1006:$AS$1006,0)))),"Fix")))</f>
        <v>0</v>
      </c>
      <c r="L715" s="5">
        <f>IF(OR(INDEX($W$2:$W$1001,MATCH(ROWS($V$2:V715),$V$2:$V$1001,0),1)&gt;=100000,INDEX($AC$1005:$AS$1005,1,MATCH(COLUMNS($AC$1006:AM1006),$AC$1006:$AS$1006,0))&gt;=100000), " ",IF(INDEX($AC$2:$AS$1001,MATCH(ROWS($V$2:V715),$V$2:$V$1001,0),MATCH(COLUMNS($AC$1006:AM1006),$AC$1006:$AS$1006,0)), HYPERLINK("#",""), HYPERLINK(CONCATENATE("#Metadata!", ADDRESS(INDEX($X$2:$X$1001,MATCH(ROWS($V$2:V715),$V$2:$V$1001,0),0), INDEX($AC$1004:$AS$1004,1,MATCH(COLUMNS($AC$1006:AM1006),$AC$1006:$AS$1006,0)))),"Fix")))</f>
        <v>0</v>
      </c>
      <c r="M715" s="5">
        <f>IF(OR(INDEX($W$2:$W$1001,MATCH(ROWS($V$2:V715),$V$2:$V$1001,0),1)&gt;=100000,INDEX($AC$1005:$AS$1005,1,MATCH(COLUMNS($AC$1006:AN1006),$AC$1006:$AS$1006,0))&gt;=100000), " ",IF(INDEX($AC$2:$AS$1001,MATCH(ROWS($V$2:V715),$V$2:$V$1001,0),MATCH(COLUMNS($AC$1006:AN1006),$AC$1006:$AS$1006,0)), HYPERLINK("#",""), HYPERLINK(CONCATENATE("#Metadata!", ADDRESS(INDEX($X$2:$X$1001,MATCH(ROWS($V$2:V715),$V$2:$V$1001,0),0), INDEX($AC$1004:$AS$1004,1,MATCH(COLUMNS($AC$1006:AN1006),$AC$1006:$AS$1006,0)))),"Fix")))</f>
        <v>0</v>
      </c>
      <c r="N715" s="5">
        <f>IF(OR(INDEX($W$2:$W$1001,MATCH(ROWS($V$2:V715),$V$2:$V$1001,0),1)&gt;=100000,INDEX($AC$1005:$AS$1005,1,MATCH(COLUMNS($AC$1006:AO1006),$AC$1006:$AS$1006,0))&gt;=100000), " ",IF(INDEX($AC$2:$AS$1001,MATCH(ROWS($V$2:V715),$V$2:$V$1001,0),MATCH(COLUMNS($AC$1006:AO1006),$AC$1006:$AS$1006,0)), HYPERLINK("#",""), HYPERLINK(CONCATENATE("#Metadata!", ADDRESS(INDEX($X$2:$X$1001,MATCH(ROWS($V$2:V715),$V$2:$V$1001,0),0), INDEX($AC$1004:$AS$1004,1,MATCH(COLUMNS($AC$1006:AO1006),$AC$1006:$AS$1006,0)))),"Fix")))</f>
        <v>0</v>
      </c>
      <c r="O715" s="5">
        <f>IF(OR(INDEX($W$2:$W$1001,MATCH(ROWS($V$2:V715),$V$2:$V$1001,0),1)&gt;=100000,INDEX($AC$1005:$AS$1005,1,MATCH(COLUMNS($AC$1006:AP1006),$AC$1006:$AS$1006,0))&gt;=100000), " ",IF(INDEX($AC$2:$AS$1001,MATCH(ROWS($V$2:V715),$V$2:$V$1001,0),MATCH(COLUMNS($AC$1006:AP1006),$AC$1006:$AS$1006,0)), HYPERLINK("#",""), HYPERLINK(CONCATENATE("#Metadata!", ADDRESS(INDEX($X$2:$X$1001,MATCH(ROWS($V$2:V715),$V$2:$V$1001,0),0), INDEX($AC$1004:$AS$1004,1,MATCH(COLUMNS($AC$1006:AP1006),$AC$1006:$AS$1006,0)))),"Fix")))</f>
        <v>0</v>
      </c>
      <c r="P715" s="5">
        <f>IF(OR(INDEX($W$2:$W$1001,MATCH(ROWS($V$2:V715),$V$2:$V$1001,0),1)&gt;=100000,INDEX($AC$1005:$AS$1005,1,MATCH(COLUMNS($AC$1006:AQ1006),$AC$1006:$AS$1006,0))&gt;=100000), " ",IF(INDEX($AC$2:$AS$1001,MATCH(ROWS($V$2:V715),$V$2:$V$1001,0),MATCH(COLUMNS($AC$1006:AQ1006),$AC$1006:$AS$1006,0)), HYPERLINK("#",""), HYPERLINK(CONCATENATE("#Metadata!", ADDRESS(INDEX($X$2:$X$1001,MATCH(ROWS($V$2:V715),$V$2:$V$1001,0),0), INDEX($AC$1004:$AS$1004,1,MATCH(COLUMNS($AC$1006:AQ1006),$AC$1006:$AS$1006,0)))),"Fix")))</f>
        <v>0</v>
      </c>
      <c r="Q715" s="5">
        <f>IF(OR(INDEX($W$2:$W$1001,MATCH(ROWS($V$2:V715),$V$2:$V$1001,0),1)&gt;=100000,INDEX($AC$1005:$AS$1005,1,MATCH(COLUMNS($AC$1006:AR1006),$AC$1006:$AS$1006,0))&gt;=100000), " ",IF(INDEX($AC$2:$AS$1001,MATCH(ROWS($V$2:V715),$V$2:$V$1001,0),MATCH(COLUMNS($AC$1006:AR1006),$AC$1006:$AS$1006,0)), HYPERLINK("#",""), HYPERLINK(CONCATENATE("#Metadata!", ADDRESS(INDEX($X$2:$X$1001,MATCH(ROWS($V$2:V715),$V$2:$V$1001,0),0), INDEX($AC$1004:$AS$1004,1,MATCH(COLUMNS($AC$1006:AR1006),$AC$1006:$AS$1006,0)))),"Fix")))</f>
        <v>0</v>
      </c>
      <c r="R715" s="5">
        <f>IF(OR(INDEX($W$2:$W$1001,MATCH(ROWS($V$2:V715),$V$2:$V$1001,0),1)&gt;=100000,INDEX($AC$1005:$AS$1005,1,MATCH(COLUMNS($AC$1006:AS1006),$AC$1006:$AS$1006,0))&gt;=100000), " ",IF(INDEX($AC$2:$AS$1001,MATCH(ROWS($V$2:V715),$V$2:$V$1001,0),MATCH(COLUMNS($AC$1006:AS1006),$AC$1006:$AS$1006,0)), HYPERLINK("#",""), HYPERLINK(CONCATENATE("#Metadata!", ADDRESS(INDEX($X$2:$X$1001,MATCH(ROWS($V$2:V715),$V$2:$V$1001,0),0), INDEX($AC$1004:$AS$1004,1,MATCH(COLUMNS($AC$1006:AS1006),$AC$1006:$AS$1006,0)))),"Fix")))</f>
        <v>0</v>
      </c>
      <c r="V715">
        <v>0</v>
      </c>
      <c r="W715">
        <v>0</v>
      </c>
      <c r="X715">
        <v>0</v>
      </c>
      <c r="Y715">
        <f>IF(Z715,TRUE,AND(AC715:AS715))</f>
        <v>0</v>
      </c>
      <c r="Z715">
        <f>COUNTBLANK(Metadata!B715:R715)=COLUMNS(Metadata!B715:R715)</f>
        <v>0</v>
      </c>
      <c r="AA715">
        <v>0</v>
      </c>
      <c r="AC715">
        <f>AND(IF(Metadata!B715="",FALSE,TRUE),COUNTIF(Metadata!B:B, Metadata!B715) = 1,NOT(ISERROR(SUMPRODUCT(SEARCH(MID(Metadata!B715,ROW(INDIRECT("1:"&amp;LEN(Metadata!B715))), 1),"0123456789abcdefghijklmnopqrstuvwxyzABCDEFGHIJKLMNOPQRSTUVWXYZ.")))))</f>
        <v>0</v>
      </c>
      <c r="AD715">
        <f>AND(IF(Metadata!C715="",FALSE,TRUE),exact(Metadata!C715,"Host-associated"))</f>
        <v>0</v>
      </c>
      <c r="AE715">
        <f>AND(IF(Metadata!D715="",FALSE,TRUE),OR(exact(Metadata!D715,"Animal"),exact(Metadata!D715,"Fungus"),exact(Metadata!D715,"Plant")))</f>
        <v>0</v>
      </c>
      <c r="AF715">
        <f>AND(IF(Metadata!E715="",FALSE,TRUE),OR(exact(Metadata!E715,"Plant secretion"),exact(Metadata!E715,"Plant rhizosphere"),exact(Metadata!E715,"Plant surface"),exact(Metadata!E715,"Plant corpus"),exact(Metadata!E715,"Fungus surface"),exact(Metadata!E715,"Fungus corpus"),exact(Metadata!E715,"Animal surface"),exact(Metadata!E715,"Animal proximal gut"),exact(Metadata!E715,"Animal corpus"),exact(Metadata!E715,"Animal distal gut"),exact(Metadata!E715,"Animal secretion")))</f>
        <v>0</v>
      </c>
      <c r="AG715">
        <f>OR(AND(IF(Metadata!F715="",FALSE,TRUE),OR(exact(Metadata!F715,"not collected"),exact(Metadata!F715,"not provided"),exact(Metadata!F715,"restricted access"))),AND(IF(Metadata!F715="",FALSE,TRUE),OR(exact(Metadata!F715,"organism-associated habitat"),exact(Metadata!F715,"plant-associated habitat"),exact(Metadata!F715,"animal-associated habitat"),exact(Metadata!F715,"insecta-associated habitat"),exact(Metadata!F715,"mammalia-associated habitat"),exact(Metadata!F715,"human-associated habitat"),exact(Metadata!F715,"livestock-associated habitat"))))</f>
        <v>0</v>
      </c>
      <c r="AH715">
        <f>AND(IF(Metadata!G715="",FALSE,TRUE),exact(Metadata!G715,"host-associated"))</f>
        <v>0</v>
      </c>
      <c r="AI715">
        <f>OR(AND(IF(Metadata!H715="",FALSE,TRUE),OR(exact(Metadata!H715,"not collected"),exact(Metadata!H715,"not provided"))),AND(IF(Metadata!H715="",FALSE,ISNUMBER(VALUE(Metadata!H715))),Metadata!H715&gt;0))</f>
        <v>0</v>
      </c>
      <c r="AJ715">
        <f>AND(IF(Metadata!I715="",FALSE,TRUE),exact(Metadata!I715,"years"))</f>
        <v>0</v>
      </c>
      <c r="AK715">
        <f>IF(Metadata!J715="",FALSE,TRUE)</f>
        <v>0</v>
      </c>
      <c r="AL715">
        <f>OR(AND(IF(Metadata!K715="",FALSE,TRUE),OR(exact(Metadata!K715,"not collected"),exact(Metadata!K715,"not provided"))),AND(IF(Metadata!K715="",FALSE,ISNUMBER(VALUE(Metadata!K715))),Metadata!K715&gt;0))</f>
        <v>0</v>
      </c>
      <c r="AM715">
        <f>AND(IF(Metadata!L715="",FALSE,TRUE),exact(Metadata!L715,"cm"))</f>
        <v>0</v>
      </c>
      <c r="AN715">
        <f>IF(Metadata!M715="",FALSE,TRUE)</f>
        <v>0</v>
      </c>
      <c r="AO715">
        <f>OR(AND(IF(Metadata!N715="",FALSE,TRUE),OR(exact(Metadata!N715,"not applicable"),exact(Metadata!N715,"not collected"),exact(Metadata!N715,"not provided"))),AND(IF(Metadata!N715="",FALSE,IF(ISERROR(INT(Metadata!N715)),FALSE,INT(Metadata!N715)=Metadata!N715)),Metadata!N715&gt;0))</f>
        <v>0</v>
      </c>
      <c r="AP715">
        <f>OR(AND(IF(Metadata!O715="",FALSE,TRUE),OR(exact(Metadata!O715,"not collected"),exact(Metadata!O715,"not provided"))),AND(IF(Metadata!O715="",FALSE,ISNUMBER(VALUE(Metadata!O715))),Metadata!O715&gt;0))</f>
        <v>0</v>
      </c>
      <c r="AQ715">
        <f>AND(IF(Metadata!P715="",FALSE,TRUE),exact(Metadata!P715,"kg"))</f>
        <v>0</v>
      </c>
      <c r="AR715">
        <f>OR(AND(IF(Metadata!Q715="",FALSE,TRUE),OR(exact(Metadata!Q715,"not applicable"),exact(Metadata!Q715,"not collected"),exact(Metadata!Q715,"not provided"),exact(Metadata!Q715,"restricted access"))),IF(Metadata!Q715="",FALSE,IF(ISERROR(INT(Metadata!Q715)),FALSE,INT(Metadata!Q715)=Metadata!Q715)))</f>
        <v>0</v>
      </c>
      <c r="AS715">
        <f>AND(IF(Metadata!R715="",FALSE,TRUE),exact(Metadata!R715,"Not applicable"))</f>
        <v>0</v>
      </c>
    </row>
    <row r="716" spans="1:45">
      <c r="A716" s="4">
        <f>IF(B716=" "," ",HYPERLINK(CONCATENATE("#metadata!",ADDRESS(INDEX($X$2:$X$1001,MATCH(ROWS($V$2:V716),$V$2:$V$1001,0),0),2)),INDEX($AA$2:$AA$1001,MATCH(ROWS($V$2:V716),$V$2:$V$1001,0),0)))</f>
        <v>0</v>
      </c>
      <c r="B716" s="5">
        <f>IF(OR(INDEX($W$2:$W$1001,MATCH(ROWS($V$2:V716),$V$2:$V$1001,0),1)&gt;=100000,INDEX($AC$1005:$AS$1005,1,MATCH(COLUMNS($AC$1006:AC1006),$AC$1006:$AS$1006,0))&gt;=100000), " ",IF(INDEX($AC$2:$AS$1001,MATCH(ROWS($V$2:V716),$V$2:$V$1001,0),MATCH(COLUMNS($AC$1006:AC1006),$AC$1006:$AS$1006,0)), HYPERLINK("#",""), HYPERLINK(CONCATENATE("#Metadata!", ADDRESS(INDEX($X$2:$X$1001,MATCH(ROWS($V$2:V716),$V$2:$V$1001,0),0), INDEX($AC$1004:$AS$1004,1,MATCH(COLUMNS($AC$1006:AC1006),$AC$1006:$AS$1006,0)))),"Fix")))</f>
        <v>0</v>
      </c>
      <c r="C716" s="5">
        <f>IF(OR(INDEX($W$2:$W$1001,MATCH(ROWS($V$2:V716),$V$2:$V$1001,0),1)&gt;=100000,INDEX($AC$1005:$AS$1005,1,MATCH(COLUMNS($AC$1006:AD1006),$AC$1006:$AS$1006,0))&gt;=100000), " ",IF(INDEX($AC$2:$AS$1001,MATCH(ROWS($V$2:V716),$V$2:$V$1001,0),MATCH(COLUMNS($AC$1006:AD1006),$AC$1006:$AS$1006,0)), HYPERLINK("#",""), HYPERLINK(CONCATENATE("#Metadata!", ADDRESS(INDEX($X$2:$X$1001,MATCH(ROWS($V$2:V716),$V$2:$V$1001,0),0), INDEX($AC$1004:$AS$1004,1,MATCH(COLUMNS($AC$1006:AD1006),$AC$1006:$AS$1006,0)))),"Fix")))</f>
        <v>0</v>
      </c>
      <c r="D716" s="5">
        <f>IF(OR(INDEX($W$2:$W$1001,MATCH(ROWS($V$2:V716),$V$2:$V$1001,0),1)&gt;=100000,INDEX($AC$1005:$AS$1005,1,MATCH(COLUMNS($AC$1006:AE1006),$AC$1006:$AS$1006,0))&gt;=100000), " ",IF(INDEX($AC$2:$AS$1001,MATCH(ROWS($V$2:V716),$V$2:$V$1001,0),MATCH(COLUMNS($AC$1006:AE1006),$AC$1006:$AS$1006,0)), HYPERLINK("#",""), HYPERLINK(CONCATENATE("#Metadata!", ADDRESS(INDEX($X$2:$X$1001,MATCH(ROWS($V$2:V716),$V$2:$V$1001,0),0), INDEX($AC$1004:$AS$1004,1,MATCH(COLUMNS($AC$1006:AE1006),$AC$1006:$AS$1006,0)))),"Fix")))</f>
        <v>0</v>
      </c>
      <c r="E716" s="5">
        <f>IF(OR(INDEX($W$2:$W$1001,MATCH(ROWS($V$2:V716),$V$2:$V$1001,0),1)&gt;=100000,INDEX($AC$1005:$AS$1005,1,MATCH(COLUMNS($AC$1006:AF1006),$AC$1006:$AS$1006,0))&gt;=100000), " ",IF(INDEX($AC$2:$AS$1001,MATCH(ROWS($V$2:V716),$V$2:$V$1001,0),MATCH(COLUMNS($AC$1006:AF1006),$AC$1006:$AS$1006,0)), HYPERLINK("#",""), HYPERLINK(CONCATENATE("#Metadata!", ADDRESS(INDEX($X$2:$X$1001,MATCH(ROWS($V$2:V716),$V$2:$V$1001,0),0), INDEX($AC$1004:$AS$1004,1,MATCH(COLUMNS($AC$1006:AF1006),$AC$1006:$AS$1006,0)))),"Fix")))</f>
        <v>0</v>
      </c>
      <c r="F716" s="5">
        <f>IF(OR(INDEX($W$2:$W$1001,MATCH(ROWS($V$2:V716),$V$2:$V$1001,0),1)&gt;=100000,INDEX($AC$1005:$AS$1005,1,MATCH(COLUMNS($AC$1006:AG1006),$AC$1006:$AS$1006,0))&gt;=100000), " ",IF(INDEX($AC$2:$AS$1001,MATCH(ROWS($V$2:V716),$V$2:$V$1001,0),MATCH(COLUMNS($AC$1006:AG1006),$AC$1006:$AS$1006,0)), HYPERLINK("#",""), HYPERLINK(CONCATENATE("#Metadata!", ADDRESS(INDEX($X$2:$X$1001,MATCH(ROWS($V$2:V716),$V$2:$V$1001,0),0), INDEX($AC$1004:$AS$1004,1,MATCH(COLUMNS($AC$1006:AG1006),$AC$1006:$AS$1006,0)))),"Fix")))</f>
        <v>0</v>
      </c>
      <c r="G716" s="5">
        <f>IF(OR(INDEX($W$2:$W$1001,MATCH(ROWS($V$2:V716),$V$2:$V$1001,0),1)&gt;=100000,INDEX($AC$1005:$AS$1005,1,MATCH(COLUMNS($AC$1006:AH1006),$AC$1006:$AS$1006,0))&gt;=100000), " ",IF(INDEX($AC$2:$AS$1001,MATCH(ROWS($V$2:V716),$V$2:$V$1001,0),MATCH(COLUMNS($AC$1006:AH1006),$AC$1006:$AS$1006,0)), HYPERLINK("#",""), HYPERLINK(CONCATENATE("#Metadata!", ADDRESS(INDEX($X$2:$X$1001,MATCH(ROWS($V$2:V716),$V$2:$V$1001,0),0), INDEX($AC$1004:$AS$1004,1,MATCH(COLUMNS($AC$1006:AH1006),$AC$1006:$AS$1006,0)))),"Fix")))</f>
        <v>0</v>
      </c>
      <c r="H716" s="5">
        <f>IF(OR(INDEX($W$2:$W$1001,MATCH(ROWS($V$2:V716),$V$2:$V$1001,0),1)&gt;=100000,INDEX($AC$1005:$AS$1005,1,MATCH(COLUMNS($AC$1006:AI1006),$AC$1006:$AS$1006,0))&gt;=100000), " ",IF(INDEX($AC$2:$AS$1001,MATCH(ROWS($V$2:V716),$V$2:$V$1001,0),MATCH(COLUMNS($AC$1006:AI1006),$AC$1006:$AS$1006,0)), HYPERLINK("#",""), HYPERLINK(CONCATENATE("#Metadata!", ADDRESS(INDEX($X$2:$X$1001,MATCH(ROWS($V$2:V716),$V$2:$V$1001,0),0), INDEX($AC$1004:$AS$1004,1,MATCH(COLUMNS($AC$1006:AI1006),$AC$1006:$AS$1006,0)))),"Fix")))</f>
        <v>0</v>
      </c>
      <c r="I716" s="5">
        <f>IF(OR(INDEX($W$2:$W$1001,MATCH(ROWS($V$2:V716),$V$2:$V$1001,0),1)&gt;=100000,INDEX($AC$1005:$AS$1005,1,MATCH(COLUMNS($AC$1006:AJ1006),$AC$1006:$AS$1006,0))&gt;=100000), " ",IF(INDEX($AC$2:$AS$1001,MATCH(ROWS($V$2:V716),$V$2:$V$1001,0),MATCH(COLUMNS($AC$1006:AJ1006),$AC$1006:$AS$1006,0)), HYPERLINK("#",""), HYPERLINK(CONCATENATE("#Metadata!", ADDRESS(INDEX($X$2:$X$1001,MATCH(ROWS($V$2:V716),$V$2:$V$1001,0),0), INDEX($AC$1004:$AS$1004,1,MATCH(COLUMNS($AC$1006:AJ1006),$AC$1006:$AS$1006,0)))),"Fix")))</f>
        <v>0</v>
      </c>
      <c r="J716" s="5">
        <f>IF(OR(INDEX($W$2:$W$1001,MATCH(ROWS($V$2:V716),$V$2:$V$1001,0),1)&gt;=100000,INDEX($AC$1005:$AS$1005,1,MATCH(COLUMNS($AC$1006:AK1006),$AC$1006:$AS$1006,0))&gt;=100000), " ",IF(INDEX($AC$2:$AS$1001,MATCH(ROWS($V$2:V716),$V$2:$V$1001,0),MATCH(COLUMNS($AC$1006:AK1006),$AC$1006:$AS$1006,0)), HYPERLINK("#",""), HYPERLINK(CONCATENATE("#Metadata!", ADDRESS(INDEX($X$2:$X$1001,MATCH(ROWS($V$2:V716),$V$2:$V$1001,0),0), INDEX($AC$1004:$AS$1004,1,MATCH(COLUMNS($AC$1006:AK1006),$AC$1006:$AS$1006,0)))),"Fix")))</f>
        <v>0</v>
      </c>
      <c r="K716" s="5">
        <f>IF(OR(INDEX($W$2:$W$1001,MATCH(ROWS($V$2:V716),$V$2:$V$1001,0),1)&gt;=100000,INDEX($AC$1005:$AS$1005,1,MATCH(COLUMNS($AC$1006:AL1006),$AC$1006:$AS$1006,0))&gt;=100000), " ",IF(INDEX($AC$2:$AS$1001,MATCH(ROWS($V$2:V716),$V$2:$V$1001,0),MATCH(COLUMNS($AC$1006:AL1006),$AC$1006:$AS$1006,0)), HYPERLINK("#",""), HYPERLINK(CONCATENATE("#Metadata!", ADDRESS(INDEX($X$2:$X$1001,MATCH(ROWS($V$2:V716),$V$2:$V$1001,0),0), INDEX($AC$1004:$AS$1004,1,MATCH(COLUMNS($AC$1006:AL1006),$AC$1006:$AS$1006,0)))),"Fix")))</f>
        <v>0</v>
      </c>
      <c r="L716" s="5">
        <f>IF(OR(INDEX($W$2:$W$1001,MATCH(ROWS($V$2:V716),$V$2:$V$1001,0),1)&gt;=100000,INDEX($AC$1005:$AS$1005,1,MATCH(COLUMNS($AC$1006:AM1006),$AC$1006:$AS$1006,0))&gt;=100000), " ",IF(INDEX($AC$2:$AS$1001,MATCH(ROWS($V$2:V716),$V$2:$V$1001,0),MATCH(COLUMNS($AC$1006:AM1006),$AC$1006:$AS$1006,0)), HYPERLINK("#",""), HYPERLINK(CONCATENATE("#Metadata!", ADDRESS(INDEX($X$2:$X$1001,MATCH(ROWS($V$2:V716),$V$2:$V$1001,0),0), INDEX($AC$1004:$AS$1004,1,MATCH(COLUMNS($AC$1006:AM1006),$AC$1006:$AS$1006,0)))),"Fix")))</f>
        <v>0</v>
      </c>
      <c r="M716" s="5">
        <f>IF(OR(INDEX($W$2:$W$1001,MATCH(ROWS($V$2:V716),$V$2:$V$1001,0),1)&gt;=100000,INDEX($AC$1005:$AS$1005,1,MATCH(COLUMNS($AC$1006:AN1006),$AC$1006:$AS$1006,0))&gt;=100000), " ",IF(INDEX($AC$2:$AS$1001,MATCH(ROWS($V$2:V716),$V$2:$V$1001,0),MATCH(COLUMNS($AC$1006:AN1006),$AC$1006:$AS$1006,0)), HYPERLINK("#",""), HYPERLINK(CONCATENATE("#Metadata!", ADDRESS(INDEX($X$2:$X$1001,MATCH(ROWS($V$2:V716),$V$2:$V$1001,0),0), INDEX($AC$1004:$AS$1004,1,MATCH(COLUMNS($AC$1006:AN1006),$AC$1006:$AS$1006,0)))),"Fix")))</f>
        <v>0</v>
      </c>
      <c r="N716" s="5">
        <f>IF(OR(INDEX($W$2:$W$1001,MATCH(ROWS($V$2:V716),$V$2:$V$1001,0),1)&gt;=100000,INDEX($AC$1005:$AS$1005,1,MATCH(COLUMNS($AC$1006:AO1006),$AC$1006:$AS$1006,0))&gt;=100000), " ",IF(INDEX($AC$2:$AS$1001,MATCH(ROWS($V$2:V716),$V$2:$V$1001,0),MATCH(COLUMNS($AC$1006:AO1006),$AC$1006:$AS$1006,0)), HYPERLINK("#",""), HYPERLINK(CONCATENATE("#Metadata!", ADDRESS(INDEX($X$2:$X$1001,MATCH(ROWS($V$2:V716),$V$2:$V$1001,0),0), INDEX($AC$1004:$AS$1004,1,MATCH(COLUMNS($AC$1006:AO1006),$AC$1006:$AS$1006,0)))),"Fix")))</f>
        <v>0</v>
      </c>
      <c r="O716" s="5">
        <f>IF(OR(INDEX($W$2:$W$1001,MATCH(ROWS($V$2:V716),$V$2:$V$1001,0),1)&gt;=100000,INDEX($AC$1005:$AS$1005,1,MATCH(COLUMNS($AC$1006:AP1006),$AC$1006:$AS$1006,0))&gt;=100000), " ",IF(INDEX($AC$2:$AS$1001,MATCH(ROWS($V$2:V716),$V$2:$V$1001,0),MATCH(COLUMNS($AC$1006:AP1006),$AC$1006:$AS$1006,0)), HYPERLINK("#",""), HYPERLINK(CONCATENATE("#Metadata!", ADDRESS(INDEX($X$2:$X$1001,MATCH(ROWS($V$2:V716),$V$2:$V$1001,0),0), INDEX($AC$1004:$AS$1004,1,MATCH(COLUMNS($AC$1006:AP1006),$AC$1006:$AS$1006,0)))),"Fix")))</f>
        <v>0</v>
      </c>
      <c r="P716" s="5">
        <f>IF(OR(INDEX($W$2:$W$1001,MATCH(ROWS($V$2:V716),$V$2:$V$1001,0),1)&gt;=100000,INDEX($AC$1005:$AS$1005,1,MATCH(COLUMNS($AC$1006:AQ1006),$AC$1006:$AS$1006,0))&gt;=100000), " ",IF(INDEX($AC$2:$AS$1001,MATCH(ROWS($V$2:V716),$V$2:$V$1001,0),MATCH(COLUMNS($AC$1006:AQ1006),$AC$1006:$AS$1006,0)), HYPERLINK("#",""), HYPERLINK(CONCATENATE("#Metadata!", ADDRESS(INDEX($X$2:$X$1001,MATCH(ROWS($V$2:V716),$V$2:$V$1001,0),0), INDEX($AC$1004:$AS$1004,1,MATCH(COLUMNS($AC$1006:AQ1006),$AC$1006:$AS$1006,0)))),"Fix")))</f>
        <v>0</v>
      </c>
      <c r="Q716" s="5">
        <f>IF(OR(INDEX($W$2:$W$1001,MATCH(ROWS($V$2:V716),$V$2:$V$1001,0),1)&gt;=100000,INDEX($AC$1005:$AS$1005,1,MATCH(COLUMNS($AC$1006:AR1006),$AC$1006:$AS$1006,0))&gt;=100000), " ",IF(INDEX($AC$2:$AS$1001,MATCH(ROWS($V$2:V716),$V$2:$V$1001,0),MATCH(COLUMNS($AC$1006:AR1006),$AC$1006:$AS$1006,0)), HYPERLINK("#",""), HYPERLINK(CONCATENATE("#Metadata!", ADDRESS(INDEX($X$2:$X$1001,MATCH(ROWS($V$2:V716),$V$2:$V$1001,0),0), INDEX($AC$1004:$AS$1004,1,MATCH(COLUMNS($AC$1006:AR1006),$AC$1006:$AS$1006,0)))),"Fix")))</f>
        <v>0</v>
      </c>
      <c r="R716" s="5">
        <f>IF(OR(INDEX($W$2:$W$1001,MATCH(ROWS($V$2:V716),$V$2:$V$1001,0),1)&gt;=100000,INDEX($AC$1005:$AS$1005,1,MATCH(COLUMNS($AC$1006:AS1006),$AC$1006:$AS$1006,0))&gt;=100000), " ",IF(INDEX($AC$2:$AS$1001,MATCH(ROWS($V$2:V716),$V$2:$V$1001,0),MATCH(COLUMNS($AC$1006:AS1006),$AC$1006:$AS$1006,0)), HYPERLINK("#",""), HYPERLINK(CONCATENATE("#Metadata!", ADDRESS(INDEX($X$2:$X$1001,MATCH(ROWS($V$2:V716),$V$2:$V$1001,0),0), INDEX($AC$1004:$AS$1004,1,MATCH(COLUMNS($AC$1006:AS1006),$AC$1006:$AS$1006,0)))),"Fix")))</f>
        <v>0</v>
      </c>
      <c r="V716">
        <v>0</v>
      </c>
      <c r="W716">
        <v>0</v>
      </c>
      <c r="X716">
        <v>0</v>
      </c>
      <c r="Y716">
        <f>IF(Z716,TRUE,AND(AC716:AS716))</f>
        <v>0</v>
      </c>
      <c r="Z716">
        <f>COUNTBLANK(Metadata!B716:R716)=COLUMNS(Metadata!B716:R716)</f>
        <v>0</v>
      </c>
      <c r="AA716">
        <v>0</v>
      </c>
      <c r="AC716">
        <f>AND(IF(Metadata!B716="",FALSE,TRUE),COUNTIF(Metadata!B:B, Metadata!B716) = 1,NOT(ISERROR(SUMPRODUCT(SEARCH(MID(Metadata!B716,ROW(INDIRECT("1:"&amp;LEN(Metadata!B716))), 1),"0123456789abcdefghijklmnopqrstuvwxyzABCDEFGHIJKLMNOPQRSTUVWXYZ.")))))</f>
        <v>0</v>
      </c>
      <c r="AD716">
        <f>AND(IF(Metadata!C716="",FALSE,TRUE),exact(Metadata!C716,"Host-associated"))</f>
        <v>0</v>
      </c>
      <c r="AE716">
        <f>AND(IF(Metadata!D716="",FALSE,TRUE),OR(exact(Metadata!D716,"Animal"),exact(Metadata!D716,"Fungus"),exact(Metadata!D716,"Plant")))</f>
        <v>0</v>
      </c>
      <c r="AF716">
        <f>AND(IF(Metadata!E716="",FALSE,TRUE),OR(exact(Metadata!E716,"Plant secretion"),exact(Metadata!E716,"Plant rhizosphere"),exact(Metadata!E716,"Plant surface"),exact(Metadata!E716,"Plant corpus"),exact(Metadata!E716,"Fungus surface"),exact(Metadata!E716,"Fungus corpus"),exact(Metadata!E716,"Animal surface"),exact(Metadata!E716,"Animal proximal gut"),exact(Metadata!E716,"Animal corpus"),exact(Metadata!E716,"Animal distal gut"),exact(Metadata!E716,"Animal secretion")))</f>
        <v>0</v>
      </c>
      <c r="AG716">
        <f>OR(AND(IF(Metadata!F716="",FALSE,TRUE),OR(exact(Metadata!F716,"not collected"),exact(Metadata!F716,"not provided"),exact(Metadata!F716,"restricted access"))),AND(IF(Metadata!F716="",FALSE,TRUE),OR(exact(Metadata!F716,"organism-associated habitat"),exact(Metadata!F716,"plant-associated habitat"),exact(Metadata!F716,"animal-associated habitat"),exact(Metadata!F716,"insecta-associated habitat"),exact(Metadata!F716,"mammalia-associated habitat"),exact(Metadata!F716,"human-associated habitat"),exact(Metadata!F716,"livestock-associated habitat"))))</f>
        <v>0</v>
      </c>
      <c r="AH716">
        <f>AND(IF(Metadata!G716="",FALSE,TRUE),exact(Metadata!G716,"host-associated"))</f>
        <v>0</v>
      </c>
      <c r="AI716">
        <f>OR(AND(IF(Metadata!H716="",FALSE,TRUE),OR(exact(Metadata!H716,"not collected"),exact(Metadata!H716,"not provided"))),AND(IF(Metadata!H716="",FALSE,ISNUMBER(VALUE(Metadata!H716))),Metadata!H716&gt;0))</f>
        <v>0</v>
      </c>
      <c r="AJ716">
        <f>AND(IF(Metadata!I716="",FALSE,TRUE),exact(Metadata!I716,"years"))</f>
        <v>0</v>
      </c>
      <c r="AK716">
        <f>IF(Metadata!J716="",FALSE,TRUE)</f>
        <v>0</v>
      </c>
      <c r="AL716">
        <f>OR(AND(IF(Metadata!K716="",FALSE,TRUE),OR(exact(Metadata!K716,"not collected"),exact(Metadata!K716,"not provided"))),AND(IF(Metadata!K716="",FALSE,ISNUMBER(VALUE(Metadata!K716))),Metadata!K716&gt;0))</f>
        <v>0</v>
      </c>
      <c r="AM716">
        <f>AND(IF(Metadata!L716="",FALSE,TRUE),exact(Metadata!L716,"cm"))</f>
        <v>0</v>
      </c>
      <c r="AN716">
        <f>IF(Metadata!M716="",FALSE,TRUE)</f>
        <v>0</v>
      </c>
      <c r="AO716">
        <f>OR(AND(IF(Metadata!N716="",FALSE,TRUE),OR(exact(Metadata!N716,"not applicable"),exact(Metadata!N716,"not collected"),exact(Metadata!N716,"not provided"))),AND(IF(Metadata!N716="",FALSE,IF(ISERROR(INT(Metadata!N716)),FALSE,INT(Metadata!N716)=Metadata!N716)),Metadata!N716&gt;0))</f>
        <v>0</v>
      </c>
      <c r="AP716">
        <f>OR(AND(IF(Metadata!O716="",FALSE,TRUE),OR(exact(Metadata!O716,"not collected"),exact(Metadata!O716,"not provided"))),AND(IF(Metadata!O716="",FALSE,ISNUMBER(VALUE(Metadata!O716))),Metadata!O716&gt;0))</f>
        <v>0</v>
      </c>
      <c r="AQ716">
        <f>AND(IF(Metadata!P716="",FALSE,TRUE),exact(Metadata!P716,"kg"))</f>
        <v>0</v>
      </c>
      <c r="AR716">
        <f>OR(AND(IF(Metadata!Q716="",FALSE,TRUE),OR(exact(Metadata!Q716,"not applicable"),exact(Metadata!Q716,"not collected"),exact(Metadata!Q716,"not provided"),exact(Metadata!Q716,"restricted access"))),IF(Metadata!Q716="",FALSE,IF(ISERROR(INT(Metadata!Q716)),FALSE,INT(Metadata!Q716)=Metadata!Q716)))</f>
        <v>0</v>
      </c>
      <c r="AS716">
        <f>AND(IF(Metadata!R716="",FALSE,TRUE),exact(Metadata!R716,"Not applicable"))</f>
        <v>0</v>
      </c>
    </row>
    <row r="717" spans="1:45">
      <c r="A717" s="4">
        <f>IF(B717=" "," ",HYPERLINK(CONCATENATE("#metadata!",ADDRESS(INDEX($X$2:$X$1001,MATCH(ROWS($V$2:V717),$V$2:$V$1001,0),0),2)),INDEX($AA$2:$AA$1001,MATCH(ROWS($V$2:V717),$V$2:$V$1001,0),0)))</f>
        <v>0</v>
      </c>
      <c r="B717" s="5">
        <f>IF(OR(INDEX($W$2:$W$1001,MATCH(ROWS($V$2:V717),$V$2:$V$1001,0),1)&gt;=100000,INDEX($AC$1005:$AS$1005,1,MATCH(COLUMNS($AC$1006:AC1006),$AC$1006:$AS$1006,0))&gt;=100000), " ",IF(INDEX($AC$2:$AS$1001,MATCH(ROWS($V$2:V717),$V$2:$V$1001,0),MATCH(COLUMNS($AC$1006:AC1006),$AC$1006:$AS$1006,0)), HYPERLINK("#",""), HYPERLINK(CONCATENATE("#Metadata!", ADDRESS(INDEX($X$2:$X$1001,MATCH(ROWS($V$2:V717),$V$2:$V$1001,0),0), INDEX($AC$1004:$AS$1004,1,MATCH(COLUMNS($AC$1006:AC1006),$AC$1006:$AS$1006,0)))),"Fix")))</f>
        <v>0</v>
      </c>
      <c r="C717" s="5">
        <f>IF(OR(INDEX($W$2:$W$1001,MATCH(ROWS($V$2:V717),$V$2:$V$1001,0),1)&gt;=100000,INDEX($AC$1005:$AS$1005,1,MATCH(COLUMNS($AC$1006:AD1006),$AC$1006:$AS$1006,0))&gt;=100000), " ",IF(INDEX($AC$2:$AS$1001,MATCH(ROWS($V$2:V717),$V$2:$V$1001,0),MATCH(COLUMNS($AC$1006:AD1006),$AC$1006:$AS$1006,0)), HYPERLINK("#",""), HYPERLINK(CONCATENATE("#Metadata!", ADDRESS(INDEX($X$2:$X$1001,MATCH(ROWS($V$2:V717),$V$2:$V$1001,0),0), INDEX($AC$1004:$AS$1004,1,MATCH(COLUMNS($AC$1006:AD1006),$AC$1006:$AS$1006,0)))),"Fix")))</f>
        <v>0</v>
      </c>
      <c r="D717" s="5">
        <f>IF(OR(INDEX($W$2:$W$1001,MATCH(ROWS($V$2:V717),$V$2:$V$1001,0),1)&gt;=100000,INDEX($AC$1005:$AS$1005,1,MATCH(COLUMNS($AC$1006:AE1006),$AC$1006:$AS$1006,0))&gt;=100000), " ",IF(INDEX($AC$2:$AS$1001,MATCH(ROWS($V$2:V717),$V$2:$V$1001,0),MATCH(COLUMNS($AC$1006:AE1006),$AC$1006:$AS$1006,0)), HYPERLINK("#",""), HYPERLINK(CONCATENATE("#Metadata!", ADDRESS(INDEX($X$2:$X$1001,MATCH(ROWS($V$2:V717),$V$2:$V$1001,0),0), INDEX($AC$1004:$AS$1004,1,MATCH(COLUMNS($AC$1006:AE1006),$AC$1006:$AS$1006,0)))),"Fix")))</f>
        <v>0</v>
      </c>
      <c r="E717" s="5">
        <f>IF(OR(INDEX($W$2:$W$1001,MATCH(ROWS($V$2:V717),$V$2:$V$1001,0),1)&gt;=100000,INDEX($AC$1005:$AS$1005,1,MATCH(COLUMNS($AC$1006:AF1006),$AC$1006:$AS$1006,0))&gt;=100000), " ",IF(INDEX($AC$2:$AS$1001,MATCH(ROWS($V$2:V717),$V$2:$V$1001,0),MATCH(COLUMNS($AC$1006:AF1006),$AC$1006:$AS$1006,0)), HYPERLINK("#",""), HYPERLINK(CONCATENATE("#Metadata!", ADDRESS(INDEX($X$2:$X$1001,MATCH(ROWS($V$2:V717),$V$2:$V$1001,0),0), INDEX($AC$1004:$AS$1004,1,MATCH(COLUMNS($AC$1006:AF1006),$AC$1006:$AS$1006,0)))),"Fix")))</f>
        <v>0</v>
      </c>
      <c r="F717" s="5">
        <f>IF(OR(INDEX($W$2:$W$1001,MATCH(ROWS($V$2:V717),$V$2:$V$1001,0),1)&gt;=100000,INDEX($AC$1005:$AS$1005,1,MATCH(COLUMNS($AC$1006:AG1006),$AC$1006:$AS$1006,0))&gt;=100000), " ",IF(INDEX($AC$2:$AS$1001,MATCH(ROWS($V$2:V717),$V$2:$V$1001,0),MATCH(COLUMNS($AC$1006:AG1006),$AC$1006:$AS$1006,0)), HYPERLINK("#",""), HYPERLINK(CONCATENATE("#Metadata!", ADDRESS(INDEX($X$2:$X$1001,MATCH(ROWS($V$2:V717),$V$2:$V$1001,0),0), INDEX($AC$1004:$AS$1004,1,MATCH(COLUMNS($AC$1006:AG1006),$AC$1006:$AS$1006,0)))),"Fix")))</f>
        <v>0</v>
      </c>
      <c r="G717" s="5">
        <f>IF(OR(INDEX($W$2:$W$1001,MATCH(ROWS($V$2:V717),$V$2:$V$1001,0),1)&gt;=100000,INDEX($AC$1005:$AS$1005,1,MATCH(COLUMNS($AC$1006:AH1006),$AC$1006:$AS$1006,0))&gt;=100000), " ",IF(INDEX($AC$2:$AS$1001,MATCH(ROWS($V$2:V717),$V$2:$V$1001,0),MATCH(COLUMNS($AC$1006:AH1006),$AC$1006:$AS$1006,0)), HYPERLINK("#",""), HYPERLINK(CONCATENATE("#Metadata!", ADDRESS(INDEX($X$2:$X$1001,MATCH(ROWS($V$2:V717),$V$2:$V$1001,0),0), INDEX($AC$1004:$AS$1004,1,MATCH(COLUMNS($AC$1006:AH1006),$AC$1006:$AS$1006,0)))),"Fix")))</f>
        <v>0</v>
      </c>
      <c r="H717" s="5">
        <f>IF(OR(INDEX($W$2:$W$1001,MATCH(ROWS($V$2:V717),$V$2:$V$1001,0),1)&gt;=100000,INDEX($AC$1005:$AS$1005,1,MATCH(COLUMNS($AC$1006:AI1006),$AC$1006:$AS$1006,0))&gt;=100000), " ",IF(INDEX($AC$2:$AS$1001,MATCH(ROWS($V$2:V717),$V$2:$V$1001,0),MATCH(COLUMNS($AC$1006:AI1006),$AC$1006:$AS$1006,0)), HYPERLINK("#",""), HYPERLINK(CONCATENATE("#Metadata!", ADDRESS(INDEX($X$2:$X$1001,MATCH(ROWS($V$2:V717),$V$2:$V$1001,0),0), INDEX($AC$1004:$AS$1004,1,MATCH(COLUMNS($AC$1006:AI1006),$AC$1006:$AS$1006,0)))),"Fix")))</f>
        <v>0</v>
      </c>
      <c r="I717" s="5">
        <f>IF(OR(INDEX($W$2:$W$1001,MATCH(ROWS($V$2:V717),$V$2:$V$1001,0),1)&gt;=100000,INDEX($AC$1005:$AS$1005,1,MATCH(COLUMNS($AC$1006:AJ1006),$AC$1006:$AS$1006,0))&gt;=100000), " ",IF(INDEX($AC$2:$AS$1001,MATCH(ROWS($V$2:V717),$V$2:$V$1001,0),MATCH(COLUMNS($AC$1006:AJ1006),$AC$1006:$AS$1006,0)), HYPERLINK("#",""), HYPERLINK(CONCATENATE("#Metadata!", ADDRESS(INDEX($X$2:$X$1001,MATCH(ROWS($V$2:V717),$V$2:$V$1001,0),0), INDEX($AC$1004:$AS$1004,1,MATCH(COLUMNS($AC$1006:AJ1006),$AC$1006:$AS$1006,0)))),"Fix")))</f>
        <v>0</v>
      </c>
      <c r="J717" s="5">
        <f>IF(OR(INDEX($W$2:$W$1001,MATCH(ROWS($V$2:V717),$V$2:$V$1001,0),1)&gt;=100000,INDEX($AC$1005:$AS$1005,1,MATCH(COLUMNS($AC$1006:AK1006),$AC$1006:$AS$1006,0))&gt;=100000), " ",IF(INDEX($AC$2:$AS$1001,MATCH(ROWS($V$2:V717),$V$2:$V$1001,0),MATCH(COLUMNS($AC$1006:AK1006),$AC$1006:$AS$1006,0)), HYPERLINK("#",""), HYPERLINK(CONCATENATE("#Metadata!", ADDRESS(INDEX($X$2:$X$1001,MATCH(ROWS($V$2:V717),$V$2:$V$1001,0),0), INDEX($AC$1004:$AS$1004,1,MATCH(COLUMNS($AC$1006:AK1006),$AC$1006:$AS$1006,0)))),"Fix")))</f>
        <v>0</v>
      </c>
      <c r="K717" s="5">
        <f>IF(OR(INDEX($W$2:$W$1001,MATCH(ROWS($V$2:V717),$V$2:$V$1001,0),1)&gt;=100000,INDEX($AC$1005:$AS$1005,1,MATCH(COLUMNS($AC$1006:AL1006),$AC$1006:$AS$1006,0))&gt;=100000), " ",IF(INDEX($AC$2:$AS$1001,MATCH(ROWS($V$2:V717),$V$2:$V$1001,0),MATCH(COLUMNS($AC$1006:AL1006),$AC$1006:$AS$1006,0)), HYPERLINK("#",""), HYPERLINK(CONCATENATE("#Metadata!", ADDRESS(INDEX($X$2:$X$1001,MATCH(ROWS($V$2:V717),$V$2:$V$1001,0),0), INDEX($AC$1004:$AS$1004,1,MATCH(COLUMNS($AC$1006:AL1006),$AC$1006:$AS$1006,0)))),"Fix")))</f>
        <v>0</v>
      </c>
      <c r="L717" s="5">
        <f>IF(OR(INDEX($W$2:$W$1001,MATCH(ROWS($V$2:V717),$V$2:$V$1001,0),1)&gt;=100000,INDEX($AC$1005:$AS$1005,1,MATCH(COLUMNS($AC$1006:AM1006),$AC$1006:$AS$1006,0))&gt;=100000), " ",IF(INDEX($AC$2:$AS$1001,MATCH(ROWS($V$2:V717),$V$2:$V$1001,0),MATCH(COLUMNS($AC$1006:AM1006),$AC$1006:$AS$1006,0)), HYPERLINK("#",""), HYPERLINK(CONCATENATE("#Metadata!", ADDRESS(INDEX($X$2:$X$1001,MATCH(ROWS($V$2:V717),$V$2:$V$1001,0),0), INDEX($AC$1004:$AS$1004,1,MATCH(COLUMNS($AC$1006:AM1006),$AC$1006:$AS$1006,0)))),"Fix")))</f>
        <v>0</v>
      </c>
      <c r="M717" s="5">
        <f>IF(OR(INDEX($W$2:$W$1001,MATCH(ROWS($V$2:V717),$V$2:$V$1001,0),1)&gt;=100000,INDEX($AC$1005:$AS$1005,1,MATCH(COLUMNS($AC$1006:AN1006),$AC$1006:$AS$1006,0))&gt;=100000), " ",IF(INDEX($AC$2:$AS$1001,MATCH(ROWS($V$2:V717),$V$2:$V$1001,0),MATCH(COLUMNS($AC$1006:AN1006),$AC$1006:$AS$1006,0)), HYPERLINK("#",""), HYPERLINK(CONCATENATE("#Metadata!", ADDRESS(INDEX($X$2:$X$1001,MATCH(ROWS($V$2:V717),$V$2:$V$1001,0),0), INDEX($AC$1004:$AS$1004,1,MATCH(COLUMNS($AC$1006:AN1006),$AC$1006:$AS$1006,0)))),"Fix")))</f>
        <v>0</v>
      </c>
      <c r="N717" s="5">
        <f>IF(OR(INDEX($W$2:$W$1001,MATCH(ROWS($V$2:V717),$V$2:$V$1001,0),1)&gt;=100000,INDEX($AC$1005:$AS$1005,1,MATCH(COLUMNS($AC$1006:AO1006),$AC$1006:$AS$1006,0))&gt;=100000), " ",IF(INDEX($AC$2:$AS$1001,MATCH(ROWS($V$2:V717),$V$2:$V$1001,0),MATCH(COLUMNS($AC$1006:AO1006),$AC$1006:$AS$1006,0)), HYPERLINK("#",""), HYPERLINK(CONCATENATE("#Metadata!", ADDRESS(INDEX($X$2:$X$1001,MATCH(ROWS($V$2:V717),$V$2:$V$1001,0),0), INDEX($AC$1004:$AS$1004,1,MATCH(COLUMNS($AC$1006:AO1006),$AC$1006:$AS$1006,0)))),"Fix")))</f>
        <v>0</v>
      </c>
      <c r="O717" s="5">
        <f>IF(OR(INDEX($W$2:$W$1001,MATCH(ROWS($V$2:V717),$V$2:$V$1001,0),1)&gt;=100000,INDEX($AC$1005:$AS$1005,1,MATCH(COLUMNS($AC$1006:AP1006),$AC$1006:$AS$1006,0))&gt;=100000), " ",IF(INDEX($AC$2:$AS$1001,MATCH(ROWS($V$2:V717),$V$2:$V$1001,0),MATCH(COLUMNS($AC$1006:AP1006),$AC$1006:$AS$1006,0)), HYPERLINK("#",""), HYPERLINK(CONCATENATE("#Metadata!", ADDRESS(INDEX($X$2:$X$1001,MATCH(ROWS($V$2:V717),$V$2:$V$1001,0),0), INDEX($AC$1004:$AS$1004,1,MATCH(COLUMNS($AC$1006:AP1006),$AC$1006:$AS$1006,0)))),"Fix")))</f>
        <v>0</v>
      </c>
      <c r="P717" s="5">
        <f>IF(OR(INDEX($W$2:$W$1001,MATCH(ROWS($V$2:V717),$V$2:$V$1001,0),1)&gt;=100000,INDEX($AC$1005:$AS$1005,1,MATCH(COLUMNS($AC$1006:AQ1006),$AC$1006:$AS$1006,0))&gt;=100000), " ",IF(INDEX($AC$2:$AS$1001,MATCH(ROWS($V$2:V717),$V$2:$V$1001,0),MATCH(COLUMNS($AC$1006:AQ1006),$AC$1006:$AS$1006,0)), HYPERLINK("#",""), HYPERLINK(CONCATENATE("#Metadata!", ADDRESS(INDEX($X$2:$X$1001,MATCH(ROWS($V$2:V717),$V$2:$V$1001,0),0), INDEX($AC$1004:$AS$1004,1,MATCH(COLUMNS($AC$1006:AQ1006),$AC$1006:$AS$1006,0)))),"Fix")))</f>
        <v>0</v>
      </c>
      <c r="Q717" s="5">
        <f>IF(OR(INDEX($W$2:$W$1001,MATCH(ROWS($V$2:V717),$V$2:$V$1001,0),1)&gt;=100000,INDEX($AC$1005:$AS$1005,1,MATCH(COLUMNS($AC$1006:AR1006),$AC$1006:$AS$1006,0))&gt;=100000), " ",IF(INDEX($AC$2:$AS$1001,MATCH(ROWS($V$2:V717),$V$2:$V$1001,0),MATCH(COLUMNS($AC$1006:AR1006),$AC$1006:$AS$1006,0)), HYPERLINK("#",""), HYPERLINK(CONCATENATE("#Metadata!", ADDRESS(INDEX($X$2:$X$1001,MATCH(ROWS($V$2:V717),$V$2:$V$1001,0),0), INDEX($AC$1004:$AS$1004,1,MATCH(COLUMNS($AC$1006:AR1006),$AC$1006:$AS$1006,0)))),"Fix")))</f>
        <v>0</v>
      </c>
      <c r="R717" s="5">
        <f>IF(OR(INDEX($W$2:$W$1001,MATCH(ROWS($V$2:V717),$V$2:$V$1001,0),1)&gt;=100000,INDEX($AC$1005:$AS$1005,1,MATCH(COLUMNS($AC$1006:AS1006),$AC$1006:$AS$1006,0))&gt;=100000), " ",IF(INDEX($AC$2:$AS$1001,MATCH(ROWS($V$2:V717),$V$2:$V$1001,0),MATCH(COLUMNS($AC$1006:AS1006),$AC$1006:$AS$1006,0)), HYPERLINK("#",""), HYPERLINK(CONCATENATE("#Metadata!", ADDRESS(INDEX($X$2:$X$1001,MATCH(ROWS($V$2:V717),$V$2:$V$1001,0),0), INDEX($AC$1004:$AS$1004,1,MATCH(COLUMNS($AC$1006:AS1006),$AC$1006:$AS$1006,0)))),"Fix")))</f>
        <v>0</v>
      </c>
      <c r="V717">
        <v>0</v>
      </c>
      <c r="W717">
        <v>0</v>
      </c>
      <c r="X717">
        <v>0</v>
      </c>
      <c r="Y717">
        <f>IF(Z717,TRUE,AND(AC717:AS717))</f>
        <v>0</v>
      </c>
      <c r="Z717">
        <f>COUNTBLANK(Metadata!B717:R717)=COLUMNS(Metadata!B717:R717)</f>
        <v>0</v>
      </c>
      <c r="AA717">
        <v>0</v>
      </c>
      <c r="AC717">
        <f>AND(IF(Metadata!B717="",FALSE,TRUE),COUNTIF(Metadata!B:B, Metadata!B717) = 1,NOT(ISERROR(SUMPRODUCT(SEARCH(MID(Metadata!B717,ROW(INDIRECT("1:"&amp;LEN(Metadata!B717))), 1),"0123456789abcdefghijklmnopqrstuvwxyzABCDEFGHIJKLMNOPQRSTUVWXYZ.")))))</f>
        <v>0</v>
      </c>
      <c r="AD717">
        <f>AND(IF(Metadata!C717="",FALSE,TRUE),exact(Metadata!C717,"Host-associated"))</f>
        <v>0</v>
      </c>
      <c r="AE717">
        <f>AND(IF(Metadata!D717="",FALSE,TRUE),OR(exact(Metadata!D717,"Animal"),exact(Metadata!D717,"Fungus"),exact(Metadata!D717,"Plant")))</f>
        <v>0</v>
      </c>
      <c r="AF717">
        <f>AND(IF(Metadata!E717="",FALSE,TRUE),OR(exact(Metadata!E717,"Plant secretion"),exact(Metadata!E717,"Plant rhizosphere"),exact(Metadata!E717,"Plant surface"),exact(Metadata!E717,"Plant corpus"),exact(Metadata!E717,"Fungus surface"),exact(Metadata!E717,"Fungus corpus"),exact(Metadata!E717,"Animal surface"),exact(Metadata!E717,"Animal proximal gut"),exact(Metadata!E717,"Animal corpus"),exact(Metadata!E717,"Animal distal gut"),exact(Metadata!E717,"Animal secretion")))</f>
        <v>0</v>
      </c>
      <c r="AG717">
        <f>OR(AND(IF(Metadata!F717="",FALSE,TRUE),OR(exact(Metadata!F717,"not collected"),exact(Metadata!F717,"not provided"),exact(Metadata!F717,"restricted access"))),AND(IF(Metadata!F717="",FALSE,TRUE),OR(exact(Metadata!F717,"organism-associated habitat"),exact(Metadata!F717,"plant-associated habitat"),exact(Metadata!F717,"animal-associated habitat"),exact(Metadata!F717,"insecta-associated habitat"),exact(Metadata!F717,"mammalia-associated habitat"),exact(Metadata!F717,"human-associated habitat"),exact(Metadata!F717,"livestock-associated habitat"))))</f>
        <v>0</v>
      </c>
      <c r="AH717">
        <f>AND(IF(Metadata!G717="",FALSE,TRUE),exact(Metadata!G717,"host-associated"))</f>
        <v>0</v>
      </c>
      <c r="AI717">
        <f>OR(AND(IF(Metadata!H717="",FALSE,TRUE),OR(exact(Metadata!H717,"not collected"),exact(Metadata!H717,"not provided"))),AND(IF(Metadata!H717="",FALSE,ISNUMBER(VALUE(Metadata!H717))),Metadata!H717&gt;0))</f>
        <v>0</v>
      </c>
      <c r="AJ717">
        <f>AND(IF(Metadata!I717="",FALSE,TRUE),exact(Metadata!I717,"years"))</f>
        <v>0</v>
      </c>
      <c r="AK717">
        <f>IF(Metadata!J717="",FALSE,TRUE)</f>
        <v>0</v>
      </c>
      <c r="AL717">
        <f>OR(AND(IF(Metadata!K717="",FALSE,TRUE),OR(exact(Metadata!K717,"not collected"),exact(Metadata!K717,"not provided"))),AND(IF(Metadata!K717="",FALSE,ISNUMBER(VALUE(Metadata!K717))),Metadata!K717&gt;0))</f>
        <v>0</v>
      </c>
      <c r="AM717">
        <f>AND(IF(Metadata!L717="",FALSE,TRUE),exact(Metadata!L717,"cm"))</f>
        <v>0</v>
      </c>
      <c r="AN717">
        <f>IF(Metadata!M717="",FALSE,TRUE)</f>
        <v>0</v>
      </c>
      <c r="AO717">
        <f>OR(AND(IF(Metadata!N717="",FALSE,TRUE),OR(exact(Metadata!N717,"not applicable"),exact(Metadata!N717,"not collected"),exact(Metadata!N717,"not provided"))),AND(IF(Metadata!N717="",FALSE,IF(ISERROR(INT(Metadata!N717)),FALSE,INT(Metadata!N717)=Metadata!N717)),Metadata!N717&gt;0))</f>
        <v>0</v>
      </c>
      <c r="AP717">
        <f>OR(AND(IF(Metadata!O717="",FALSE,TRUE),OR(exact(Metadata!O717,"not collected"),exact(Metadata!O717,"not provided"))),AND(IF(Metadata!O717="",FALSE,ISNUMBER(VALUE(Metadata!O717))),Metadata!O717&gt;0))</f>
        <v>0</v>
      </c>
      <c r="AQ717">
        <f>AND(IF(Metadata!P717="",FALSE,TRUE),exact(Metadata!P717,"kg"))</f>
        <v>0</v>
      </c>
      <c r="AR717">
        <f>OR(AND(IF(Metadata!Q717="",FALSE,TRUE),OR(exact(Metadata!Q717,"not applicable"),exact(Metadata!Q717,"not collected"),exact(Metadata!Q717,"not provided"),exact(Metadata!Q717,"restricted access"))),IF(Metadata!Q717="",FALSE,IF(ISERROR(INT(Metadata!Q717)),FALSE,INT(Metadata!Q717)=Metadata!Q717)))</f>
        <v>0</v>
      </c>
      <c r="AS717">
        <f>AND(IF(Metadata!R717="",FALSE,TRUE),exact(Metadata!R717,"Not applicable"))</f>
        <v>0</v>
      </c>
    </row>
    <row r="718" spans="1:45">
      <c r="A718" s="4">
        <f>IF(B718=" "," ",HYPERLINK(CONCATENATE("#metadata!",ADDRESS(INDEX($X$2:$X$1001,MATCH(ROWS($V$2:V718),$V$2:$V$1001,0),0),2)),INDEX($AA$2:$AA$1001,MATCH(ROWS($V$2:V718),$V$2:$V$1001,0),0)))</f>
        <v>0</v>
      </c>
      <c r="B718" s="5">
        <f>IF(OR(INDEX($W$2:$W$1001,MATCH(ROWS($V$2:V718),$V$2:$V$1001,0),1)&gt;=100000,INDEX($AC$1005:$AS$1005,1,MATCH(COLUMNS($AC$1006:AC1006),$AC$1006:$AS$1006,0))&gt;=100000), " ",IF(INDEX($AC$2:$AS$1001,MATCH(ROWS($V$2:V718),$V$2:$V$1001,0),MATCH(COLUMNS($AC$1006:AC1006),$AC$1006:$AS$1006,0)), HYPERLINK("#",""), HYPERLINK(CONCATENATE("#Metadata!", ADDRESS(INDEX($X$2:$X$1001,MATCH(ROWS($V$2:V718),$V$2:$V$1001,0),0), INDEX($AC$1004:$AS$1004,1,MATCH(COLUMNS($AC$1006:AC1006),$AC$1006:$AS$1006,0)))),"Fix")))</f>
        <v>0</v>
      </c>
      <c r="C718" s="5">
        <f>IF(OR(INDEX($W$2:$W$1001,MATCH(ROWS($V$2:V718),$V$2:$V$1001,0),1)&gt;=100000,INDEX($AC$1005:$AS$1005,1,MATCH(COLUMNS($AC$1006:AD1006),$AC$1006:$AS$1006,0))&gt;=100000), " ",IF(INDEX($AC$2:$AS$1001,MATCH(ROWS($V$2:V718),$V$2:$V$1001,0),MATCH(COLUMNS($AC$1006:AD1006),$AC$1006:$AS$1006,0)), HYPERLINK("#",""), HYPERLINK(CONCATENATE("#Metadata!", ADDRESS(INDEX($X$2:$X$1001,MATCH(ROWS($V$2:V718),$V$2:$V$1001,0),0), INDEX($AC$1004:$AS$1004,1,MATCH(COLUMNS($AC$1006:AD1006),$AC$1006:$AS$1006,0)))),"Fix")))</f>
        <v>0</v>
      </c>
      <c r="D718" s="5">
        <f>IF(OR(INDEX($W$2:$W$1001,MATCH(ROWS($V$2:V718),$V$2:$V$1001,0),1)&gt;=100000,INDEX($AC$1005:$AS$1005,1,MATCH(COLUMNS($AC$1006:AE1006),$AC$1006:$AS$1006,0))&gt;=100000), " ",IF(INDEX($AC$2:$AS$1001,MATCH(ROWS($V$2:V718),$V$2:$V$1001,0),MATCH(COLUMNS($AC$1006:AE1006),$AC$1006:$AS$1006,0)), HYPERLINK("#",""), HYPERLINK(CONCATENATE("#Metadata!", ADDRESS(INDEX($X$2:$X$1001,MATCH(ROWS($V$2:V718),$V$2:$V$1001,0),0), INDEX($AC$1004:$AS$1004,1,MATCH(COLUMNS($AC$1006:AE1006),$AC$1006:$AS$1006,0)))),"Fix")))</f>
        <v>0</v>
      </c>
      <c r="E718" s="5">
        <f>IF(OR(INDEX($W$2:$W$1001,MATCH(ROWS($V$2:V718),$V$2:$V$1001,0),1)&gt;=100000,INDEX($AC$1005:$AS$1005,1,MATCH(COLUMNS($AC$1006:AF1006),$AC$1006:$AS$1006,0))&gt;=100000), " ",IF(INDEX($AC$2:$AS$1001,MATCH(ROWS($V$2:V718),$V$2:$V$1001,0),MATCH(COLUMNS($AC$1006:AF1006),$AC$1006:$AS$1006,0)), HYPERLINK("#",""), HYPERLINK(CONCATENATE("#Metadata!", ADDRESS(INDEX($X$2:$X$1001,MATCH(ROWS($V$2:V718),$V$2:$V$1001,0),0), INDEX($AC$1004:$AS$1004,1,MATCH(COLUMNS($AC$1006:AF1006),$AC$1006:$AS$1006,0)))),"Fix")))</f>
        <v>0</v>
      </c>
      <c r="F718" s="5">
        <f>IF(OR(INDEX($W$2:$W$1001,MATCH(ROWS($V$2:V718),$V$2:$V$1001,0),1)&gt;=100000,INDEX($AC$1005:$AS$1005,1,MATCH(COLUMNS($AC$1006:AG1006),$AC$1006:$AS$1006,0))&gt;=100000), " ",IF(INDEX($AC$2:$AS$1001,MATCH(ROWS($V$2:V718),$V$2:$V$1001,0),MATCH(COLUMNS($AC$1006:AG1006),$AC$1006:$AS$1006,0)), HYPERLINK("#",""), HYPERLINK(CONCATENATE("#Metadata!", ADDRESS(INDEX($X$2:$X$1001,MATCH(ROWS($V$2:V718),$V$2:$V$1001,0),0), INDEX($AC$1004:$AS$1004,1,MATCH(COLUMNS($AC$1006:AG1006),$AC$1006:$AS$1006,0)))),"Fix")))</f>
        <v>0</v>
      </c>
      <c r="G718" s="5">
        <f>IF(OR(INDEX($W$2:$W$1001,MATCH(ROWS($V$2:V718),$V$2:$V$1001,0),1)&gt;=100000,INDEX($AC$1005:$AS$1005,1,MATCH(COLUMNS($AC$1006:AH1006),$AC$1006:$AS$1006,0))&gt;=100000), " ",IF(INDEX($AC$2:$AS$1001,MATCH(ROWS($V$2:V718),$V$2:$V$1001,0),MATCH(COLUMNS($AC$1006:AH1006),$AC$1006:$AS$1006,0)), HYPERLINK("#",""), HYPERLINK(CONCATENATE("#Metadata!", ADDRESS(INDEX($X$2:$X$1001,MATCH(ROWS($V$2:V718),$V$2:$V$1001,0),0), INDEX($AC$1004:$AS$1004,1,MATCH(COLUMNS($AC$1006:AH1006),$AC$1006:$AS$1006,0)))),"Fix")))</f>
        <v>0</v>
      </c>
      <c r="H718" s="5">
        <f>IF(OR(INDEX($W$2:$W$1001,MATCH(ROWS($V$2:V718),$V$2:$V$1001,0),1)&gt;=100000,INDEX($AC$1005:$AS$1005,1,MATCH(COLUMNS($AC$1006:AI1006),$AC$1006:$AS$1006,0))&gt;=100000), " ",IF(INDEX($AC$2:$AS$1001,MATCH(ROWS($V$2:V718),$V$2:$V$1001,0),MATCH(COLUMNS($AC$1006:AI1006),$AC$1006:$AS$1006,0)), HYPERLINK("#",""), HYPERLINK(CONCATENATE("#Metadata!", ADDRESS(INDEX($X$2:$X$1001,MATCH(ROWS($V$2:V718),$V$2:$V$1001,0),0), INDEX($AC$1004:$AS$1004,1,MATCH(COLUMNS($AC$1006:AI1006),$AC$1006:$AS$1006,0)))),"Fix")))</f>
        <v>0</v>
      </c>
      <c r="I718" s="5">
        <f>IF(OR(INDEX($W$2:$W$1001,MATCH(ROWS($V$2:V718),$V$2:$V$1001,0),1)&gt;=100000,INDEX($AC$1005:$AS$1005,1,MATCH(COLUMNS($AC$1006:AJ1006),$AC$1006:$AS$1006,0))&gt;=100000), " ",IF(INDEX($AC$2:$AS$1001,MATCH(ROWS($V$2:V718),$V$2:$V$1001,0),MATCH(COLUMNS($AC$1006:AJ1006),$AC$1006:$AS$1006,0)), HYPERLINK("#",""), HYPERLINK(CONCATENATE("#Metadata!", ADDRESS(INDEX($X$2:$X$1001,MATCH(ROWS($V$2:V718),$V$2:$V$1001,0),0), INDEX($AC$1004:$AS$1004,1,MATCH(COLUMNS($AC$1006:AJ1006),$AC$1006:$AS$1006,0)))),"Fix")))</f>
        <v>0</v>
      </c>
      <c r="J718" s="5">
        <f>IF(OR(INDEX($W$2:$W$1001,MATCH(ROWS($V$2:V718),$V$2:$V$1001,0),1)&gt;=100000,INDEX($AC$1005:$AS$1005,1,MATCH(COLUMNS($AC$1006:AK1006),$AC$1006:$AS$1006,0))&gt;=100000), " ",IF(INDEX($AC$2:$AS$1001,MATCH(ROWS($V$2:V718),$V$2:$V$1001,0),MATCH(COLUMNS($AC$1006:AK1006),$AC$1006:$AS$1006,0)), HYPERLINK("#",""), HYPERLINK(CONCATENATE("#Metadata!", ADDRESS(INDEX($X$2:$X$1001,MATCH(ROWS($V$2:V718),$V$2:$V$1001,0),0), INDEX($AC$1004:$AS$1004,1,MATCH(COLUMNS($AC$1006:AK1006),$AC$1006:$AS$1006,0)))),"Fix")))</f>
        <v>0</v>
      </c>
      <c r="K718" s="5">
        <f>IF(OR(INDEX($W$2:$W$1001,MATCH(ROWS($V$2:V718),$V$2:$V$1001,0),1)&gt;=100000,INDEX($AC$1005:$AS$1005,1,MATCH(COLUMNS($AC$1006:AL1006),$AC$1006:$AS$1006,0))&gt;=100000), " ",IF(INDEX($AC$2:$AS$1001,MATCH(ROWS($V$2:V718),$V$2:$V$1001,0),MATCH(COLUMNS($AC$1006:AL1006),$AC$1006:$AS$1006,0)), HYPERLINK("#",""), HYPERLINK(CONCATENATE("#Metadata!", ADDRESS(INDEX($X$2:$X$1001,MATCH(ROWS($V$2:V718),$V$2:$V$1001,0),0), INDEX($AC$1004:$AS$1004,1,MATCH(COLUMNS($AC$1006:AL1006),$AC$1006:$AS$1006,0)))),"Fix")))</f>
        <v>0</v>
      </c>
      <c r="L718" s="5">
        <f>IF(OR(INDEX($W$2:$W$1001,MATCH(ROWS($V$2:V718),$V$2:$V$1001,0),1)&gt;=100000,INDEX($AC$1005:$AS$1005,1,MATCH(COLUMNS($AC$1006:AM1006),$AC$1006:$AS$1006,0))&gt;=100000), " ",IF(INDEX($AC$2:$AS$1001,MATCH(ROWS($V$2:V718),$V$2:$V$1001,0),MATCH(COLUMNS($AC$1006:AM1006),$AC$1006:$AS$1006,0)), HYPERLINK("#",""), HYPERLINK(CONCATENATE("#Metadata!", ADDRESS(INDEX($X$2:$X$1001,MATCH(ROWS($V$2:V718),$V$2:$V$1001,0),0), INDEX($AC$1004:$AS$1004,1,MATCH(COLUMNS($AC$1006:AM1006),$AC$1006:$AS$1006,0)))),"Fix")))</f>
        <v>0</v>
      </c>
      <c r="M718" s="5">
        <f>IF(OR(INDEX($W$2:$W$1001,MATCH(ROWS($V$2:V718),$V$2:$V$1001,0),1)&gt;=100000,INDEX($AC$1005:$AS$1005,1,MATCH(COLUMNS($AC$1006:AN1006),$AC$1006:$AS$1006,0))&gt;=100000), " ",IF(INDEX($AC$2:$AS$1001,MATCH(ROWS($V$2:V718),$V$2:$V$1001,0),MATCH(COLUMNS($AC$1006:AN1006),$AC$1006:$AS$1006,0)), HYPERLINK("#",""), HYPERLINK(CONCATENATE("#Metadata!", ADDRESS(INDEX($X$2:$X$1001,MATCH(ROWS($V$2:V718),$V$2:$V$1001,0),0), INDEX($AC$1004:$AS$1004,1,MATCH(COLUMNS($AC$1006:AN1006),$AC$1006:$AS$1006,0)))),"Fix")))</f>
        <v>0</v>
      </c>
      <c r="N718" s="5">
        <f>IF(OR(INDEX($W$2:$W$1001,MATCH(ROWS($V$2:V718),$V$2:$V$1001,0),1)&gt;=100000,INDEX($AC$1005:$AS$1005,1,MATCH(COLUMNS($AC$1006:AO1006),$AC$1006:$AS$1006,0))&gt;=100000), " ",IF(INDEX($AC$2:$AS$1001,MATCH(ROWS($V$2:V718),$V$2:$V$1001,0),MATCH(COLUMNS($AC$1006:AO1006),$AC$1006:$AS$1006,0)), HYPERLINK("#",""), HYPERLINK(CONCATENATE("#Metadata!", ADDRESS(INDEX($X$2:$X$1001,MATCH(ROWS($V$2:V718),$V$2:$V$1001,0),0), INDEX($AC$1004:$AS$1004,1,MATCH(COLUMNS($AC$1006:AO1006),$AC$1006:$AS$1006,0)))),"Fix")))</f>
        <v>0</v>
      </c>
      <c r="O718" s="5">
        <f>IF(OR(INDEX($W$2:$W$1001,MATCH(ROWS($V$2:V718),$V$2:$V$1001,0),1)&gt;=100000,INDEX($AC$1005:$AS$1005,1,MATCH(COLUMNS($AC$1006:AP1006),$AC$1006:$AS$1006,0))&gt;=100000), " ",IF(INDEX($AC$2:$AS$1001,MATCH(ROWS($V$2:V718),$V$2:$V$1001,0),MATCH(COLUMNS($AC$1006:AP1006),$AC$1006:$AS$1006,0)), HYPERLINK("#",""), HYPERLINK(CONCATENATE("#Metadata!", ADDRESS(INDEX($X$2:$X$1001,MATCH(ROWS($V$2:V718),$V$2:$V$1001,0),0), INDEX($AC$1004:$AS$1004,1,MATCH(COLUMNS($AC$1006:AP1006),$AC$1006:$AS$1006,0)))),"Fix")))</f>
        <v>0</v>
      </c>
      <c r="P718" s="5">
        <f>IF(OR(INDEX($W$2:$W$1001,MATCH(ROWS($V$2:V718),$V$2:$V$1001,0),1)&gt;=100000,INDEX($AC$1005:$AS$1005,1,MATCH(COLUMNS($AC$1006:AQ1006),$AC$1006:$AS$1006,0))&gt;=100000), " ",IF(INDEX($AC$2:$AS$1001,MATCH(ROWS($V$2:V718),$V$2:$V$1001,0),MATCH(COLUMNS($AC$1006:AQ1006),$AC$1006:$AS$1006,0)), HYPERLINK("#",""), HYPERLINK(CONCATENATE("#Metadata!", ADDRESS(INDEX($X$2:$X$1001,MATCH(ROWS($V$2:V718),$V$2:$V$1001,0),0), INDEX($AC$1004:$AS$1004,1,MATCH(COLUMNS($AC$1006:AQ1006),$AC$1006:$AS$1006,0)))),"Fix")))</f>
        <v>0</v>
      </c>
      <c r="Q718" s="5">
        <f>IF(OR(INDEX($W$2:$W$1001,MATCH(ROWS($V$2:V718),$V$2:$V$1001,0),1)&gt;=100000,INDEX($AC$1005:$AS$1005,1,MATCH(COLUMNS($AC$1006:AR1006),$AC$1006:$AS$1006,0))&gt;=100000), " ",IF(INDEX($AC$2:$AS$1001,MATCH(ROWS($V$2:V718),$V$2:$V$1001,0),MATCH(COLUMNS($AC$1006:AR1006),$AC$1006:$AS$1006,0)), HYPERLINK("#",""), HYPERLINK(CONCATENATE("#Metadata!", ADDRESS(INDEX($X$2:$X$1001,MATCH(ROWS($V$2:V718),$V$2:$V$1001,0),0), INDEX($AC$1004:$AS$1004,1,MATCH(COLUMNS($AC$1006:AR1006),$AC$1006:$AS$1006,0)))),"Fix")))</f>
        <v>0</v>
      </c>
      <c r="R718" s="5">
        <f>IF(OR(INDEX($W$2:$W$1001,MATCH(ROWS($V$2:V718),$V$2:$V$1001,0),1)&gt;=100000,INDEX($AC$1005:$AS$1005,1,MATCH(COLUMNS($AC$1006:AS1006),$AC$1006:$AS$1006,0))&gt;=100000), " ",IF(INDEX($AC$2:$AS$1001,MATCH(ROWS($V$2:V718),$V$2:$V$1001,0),MATCH(COLUMNS($AC$1006:AS1006),$AC$1006:$AS$1006,0)), HYPERLINK("#",""), HYPERLINK(CONCATENATE("#Metadata!", ADDRESS(INDEX($X$2:$X$1001,MATCH(ROWS($V$2:V718),$V$2:$V$1001,0),0), INDEX($AC$1004:$AS$1004,1,MATCH(COLUMNS($AC$1006:AS1006),$AC$1006:$AS$1006,0)))),"Fix")))</f>
        <v>0</v>
      </c>
      <c r="V718">
        <v>0</v>
      </c>
      <c r="W718">
        <v>0</v>
      </c>
      <c r="X718">
        <v>0</v>
      </c>
      <c r="Y718">
        <f>IF(Z718,TRUE,AND(AC718:AS718))</f>
        <v>0</v>
      </c>
      <c r="Z718">
        <f>COUNTBLANK(Metadata!B718:R718)=COLUMNS(Metadata!B718:R718)</f>
        <v>0</v>
      </c>
      <c r="AA718">
        <v>0</v>
      </c>
      <c r="AC718">
        <f>AND(IF(Metadata!B718="",FALSE,TRUE),COUNTIF(Metadata!B:B, Metadata!B718) = 1,NOT(ISERROR(SUMPRODUCT(SEARCH(MID(Metadata!B718,ROW(INDIRECT("1:"&amp;LEN(Metadata!B718))), 1),"0123456789abcdefghijklmnopqrstuvwxyzABCDEFGHIJKLMNOPQRSTUVWXYZ.")))))</f>
        <v>0</v>
      </c>
      <c r="AD718">
        <f>AND(IF(Metadata!C718="",FALSE,TRUE),exact(Metadata!C718,"Host-associated"))</f>
        <v>0</v>
      </c>
      <c r="AE718">
        <f>AND(IF(Metadata!D718="",FALSE,TRUE),OR(exact(Metadata!D718,"Animal"),exact(Metadata!D718,"Fungus"),exact(Metadata!D718,"Plant")))</f>
        <v>0</v>
      </c>
      <c r="AF718">
        <f>AND(IF(Metadata!E718="",FALSE,TRUE),OR(exact(Metadata!E718,"Plant secretion"),exact(Metadata!E718,"Plant rhizosphere"),exact(Metadata!E718,"Plant surface"),exact(Metadata!E718,"Plant corpus"),exact(Metadata!E718,"Fungus surface"),exact(Metadata!E718,"Fungus corpus"),exact(Metadata!E718,"Animal surface"),exact(Metadata!E718,"Animal proximal gut"),exact(Metadata!E718,"Animal corpus"),exact(Metadata!E718,"Animal distal gut"),exact(Metadata!E718,"Animal secretion")))</f>
        <v>0</v>
      </c>
      <c r="AG718">
        <f>OR(AND(IF(Metadata!F718="",FALSE,TRUE),OR(exact(Metadata!F718,"not collected"),exact(Metadata!F718,"not provided"),exact(Metadata!F718,"restricted access"))),AND(IF(Metadata!F718="",FALSE,TRUE),OR(exact(Metadata!F718,"organism-associated habitat"),exact(Metadata!F718,"plant-associated habitat"),exact(Metadata!F718,"animal-associated habitat"),exact(Metadata!F718,"insecta-associated habitat"),exact(Metadata!F718,"mammalia-associated habitat"),exact(Metadata!F718,"human-associated habitat"),exact(Metadata!F718,"livestock-associated habitat"))))</f>
        <v>0</v>
      </c>
      <c r="AH718">
        <f>AND(IF(Metadata!G718="",FALSE,TRUE),exact(Metadata!G718,"host-associated"))</f>
        <v>0</v>
      </c>
      <c r="AI718">
        <f>OR(AND(IF(Metadata!H718="",FALSE,TRUE),OR(exact(Metadata!H718,"not collected"),exact(Metadata!H718,"not provided"))),AND(IF(Metadata!H718="",FALSE,ISNUMBER(VALUE(Metadata!H718))),Metadata!H718&gt;0))</f>
        <v>0</v>
      </c>
      <c r="AJ718">
        <f>AND(IF(Metadata!I718="",FALSE,TRUE),exact(Metadata!I718,"years"))</f>
        <v>0</v>
      </c>
      <c r="AK718">
        <f>IF(Metadata!J718="",FALSE,TRUE)</f>
        <v>0</v>
      </c>
      <c r="AL718">
        <f>OR(AND(IF(Metadata!K718="",FALSE,TRUE),OR(exact(Metadata!K718,"not collected"),exact(Metadata!K718,"not provided"))),AND(IF(Metadata!K718="",FALSE,ISNUMBER(VALUE(Metadata!K718))),Metadata!K718&gt;0))</f>
        <v>0</v>
      </c>
      <c r="AM718">
        <f>AND(IF(Metadata!L718="",FALSE,TRUE),exact(Metadata!L718,"cm"))</f>
        <v>0</v>
      </c>
      <c r="AN718">
        <f>IF(Metadata!M718="",FALSE,TRUE)</f>
        <v>0</v>
      </c>
      <c r="AO718">
        <f>OR(AND(IF(Metadata!N718="",FALSE,TRUE),OR(exact(Metadata!N718,"not applicable"),exact(Metadata!N718,"not collected"),exact(Metadata!N718,"not provided"))),AND(IF(Metadata!N718="",FALSE,IF(ISERROR(INT(Metadata!N718)),FALSE,INT(Metadata!N718)=Metadata!N718)),Metadata!N718&gt;0))</f>
        <v>0</v>
      </c>
      <c r="AP718">
        <f>OR(AND(IF(Metadata!O718="",FALSE,TRUE),OR(exact(Metadata!O718,"not collected"),exact(Metadata!O718,"not provided"))),AND(IF(Metadata!O718="",FALSE,ISNUMBER(VALUE(Metadata!O718))),Metadata!O718&gt;0))</f>
        <v>0</v>
      </c>
      <c r="AQ718">
        <f>AND(IF(Metadata!P718="",FALSE,TRUE),exact(Metadata!P718,"kg"))</f>
        <v>0</v>
      </c>
      <c r="AR718">
        <f>OR(AND(IF(Metadata!Q718="",FALSE,TRUE),OR(exact(Metadata!Q718,"not applicable"),exact(Metadata!Q718,"not collected"),exact(Metadata!Q718,"not provided"),exact(Metadata!Q718,"restricted access"))),IF(Metadata!Q718="",FALSE,IF(ISERROR(INT(Metadata!Q718)),FALSE,INT(Metadata!Q718)=Metadata!Q718)))</f>
        <v>0</v>
      </c>
      <c r="AS718">
        <f>AND(IF(Metadata!R718="",FALSE,TRUE),exact(Metadata!R718,"Not applicable"))</f>
        <v>0</v>
      </c>
    </row>
    <row r="719" spans="1:45">
      <c r="A719" s="4">
        <f>IF(B719=" "," ",HYPERLINK(CONCATENATE("#metadata!",ADDRESS(INDEX($X$2:$X$1001,MATCH(ROWS($V$2:V719),$V$2:$V$1001,0),0),2)),INDEX($AA$2:$AA$1001,MATCH(ROWS($V$2:V719),$V$2:$V$1001,0),0)))</f>
        <v>0</v>
      </c>
      <c r="B719" s="5">
        <f>IF(OR(INDEX($W$2:$W$1001,MATCH(ROWS($V$2:V719),$V$2:$V$1001,0),1)&gt;=100000,INDEX($AC$1005:$AS$1005,1,MATCH(COLUMNS($AC$1006:AC1006),$AC$1006:$AS$1006,0))&gt;=100000), " ",IF(INDEX($AC$2:$AS$1001,MATCH(ROWS($V$2:V719),$V$2:$V$1001,0),MATCH(COLUMNS($AC$1006:AC1006),$AC$1006:$AS$1006,0)), HYPERLINK("#",""), HYPERLINK(CONCATENATE("#Metadata!", ADDRESS(INDEX($X$2:$X$1001,MATCH(ROWS($V$2:V719),$V$2:$V$1001,0),0), INDEX($AC$1004:$AS$1004,1,MATCH(COLUMNS($AC$1006:AC1006),$AC$1006:$AS$1006,0)))),"Fix")))</f>
        <v>0</v>
      </c>
      <c r="C719" s="5">
        <f>IF(OR(INDEX($W$2:$W$1001,MATCH(ROWS($V$2:V719),$V$2:$V$1001,0),1)&gt;=100000,INDEX($AC$1005:$AS$1005,1,MATCH(COLUMNS($AC$1006:AD1006),$AC$1006:$AS$1006,0))&gt;=100000), " ",IF(INDEX($AC$2:$AS$1001,MATCH(ROWS($V$2:V719),$V$2:$V$1001,0),MATCH(COLUMNS($AC$1006:AD1006),$AC$1006:$AS$1006,0)), HYPERLINK("#",""), HYPERLINK(CONCATENATE("#Metadata!", ADDRESS(INDEX($X$2:$X$1001,MATCH(ROWS($V$2:V719),$V$2:$V$1001,0),0), INDEX($AC$1004:$AS$1004,1,MATCH(COLUMNS($AC$1006:AD1006),$AC$1006:$AS$1006,0)))),"Fix")))</f>
        <v>0</v>
      </c>
      <c r="D719" s="5">
        <f>IF(OR(INDEX($W$2:$W$1001,MATCH(ROWS($V$2:V719),$V$2:$V$1001,0),1)&gt;=100000,INDEX($AC$1005:$AS$1005,1,MATCH(COLUMNS($AC$1006:AE1006),$AC$1006:$AS$1006,0))&gt;=100000), " ",IF(INDEX($AC$2:$AS$1001,MATCH(ROWS($V$2:V719),$V$2:$V$1001,0),MATCH(COLUMNS($AC$1006:AE1006),$AC$1006:$AS$1006,0)), HYPERLINK("#",""), HYPERLINK(CONCATENATE("#Metadata!", ADDRESS(INDEX($X$2:$X$1001,MATCH(ROWS($V$2:V719),$V$2:$V$1001,0),0), INDEX($AC$1004:$AS$1004,1,MATCH(COLUMNS($AC$1006:AE1006),$AC$1006:$AS$1006,0)))),"Fix")))</f>
        <v>0</v>
      </c>
      <c r="E719" s="5">
        <f>IF(OR(INDEX($W$2:$W$1001,MATCH(ROWS($V$2:V719),$V$2:$V$1001,0),1)&gt;=100000,INDEX($AC$1005:$AS$1005,1,MATCH(COLUMNS($AC$1006:AF1006),$AC$1006:$AS$1006,0))&gt;=100000), " ",IF(INDEX($AC$2:$AS$1001,MATCH(ROWS($V$2:V719),$V$2:$V$1001,0),MATCH(COLUMNS($AC$1006:AF1006),$AC$1006:$AS$1006,0)), HYPERLINK("#",""), HYPERLINK(CONCATENATE("#Metadata!", ADDRESS(INDEX($X$2:$X$1001,MATCH(ROWS($V$2:V719),$V$2:$V$1001,0),0), INDEX($AC$1004:$AS$1004,1,MATCH(COLUMNS($AC$1006:AF1006),$AC$1006:$AS$1006,0)))),"Fix")))</f>
        <v>0</v>
      </c>
      <c r="F719" s="5">
        <f>IF(OR(INDEX($W$2:$W$1001,MATCH(ROWS($V$2:V719),$V$2:$V$1001,0),1)&gt;=100000,INDEX($AC$1005:$AS$1005,1,MATCH(COLUMNS($AC$1006:AG1006),$AC$1006:$AS$1006,0))&gt;=100000), " ",IF(INDEX($AC$2:$AS$1001,MATCH(ROWS($V$2:V719),$V$2:$V$1001,0),MATCH(COLUMNS($AC$1006:AG1006),$AC$1006:$AS$1006,0)), HYPERLINK("#",""), HYPERLINK(CONCATENATE("#Metadata!", ADDRESS(INDEX($X$2:$X$1001,MATCH(ROWS($V$2:V719),$V$2:$V$1001,0),0), INDEX($AC$1004:$AS$1004,1,MATCH(COLUMNS($AC$1006:AG1006),$AC$1006:$AS$1006,0)))),"Fix")))</f>
        <v>0</v>
      </c>
      <c r="G719" s="5">
        <f>IF(OR(INDEX($W$2:$W$1001,MATCH(ROWS($V$2:V719),$V$2:$V$1001,0),1)&gt;=100000,INDEX($AC$1005:$AS$1005,1,MATCH(COLUMNS($AC$1006:AH1006),$AC$1006:$AS$1006,0))&gt;=100000), " ",IF(INDEX($AC$2:$AS$1001,MATCH(ROWS($V$2:V719),$V$2:$V$1001,0),MATCH(COLUMNS($AC$1006:AH1006),$AC$1006:$AS$1006,0)), HYPERLINK("#",""), HYPERLINK(CONCATENATE("#Metadata!", ADDRESS(INDEX($X$2:$X$1001,MATCH(ROWS($V$2:V719),$V$2:$V$1001,0),0), INDEX($AC$1004:$AS$1004,1,MATCH(COLUMNS($AC$1006:AH1006),$AC$1006:$AS$1006,0)))),"Fix")))</f>
        <v>0</v>
      </c>
      <c r="H719" s="5">
        <f>IF(OR(INDEX($W$2:$W$1001,MATCH(ROWS($V$2:V719),$V$2:$V$1001,0),1)&gt;=100000,INDEX($AC$1005:$AS$1005,1,MATCH(COLUMNS($AC$1006:AI1006),$AC$1006:$AS$1006,0))&gt;=100000), " ",IF(INDEX($AC$2:$AS$1001,MATCH(ROWS($V$2:V719),$V$2:$V$1001,0),MATCH(COLUMNS($AC$1006:AI1006),$AC$1006:$AS$1006,0)), HYPERLINK("#",""), HYPERLINK(CONCATENATE("#Metadata!", ADDRESS(INDEX($X$2:$X$1001,MATCH(ROWS($V$2:V719),$V$2:$V$1001,0),0), INDEX($AC$1004:$AS$1004,1,MATCH(COLUMNS($AC$1006:AI1006),$AC$1006:$AS$1006,0)))),"Fix")))</f>
        <v>0</v>
      </c>
      <c r="I719" s="5">
        <f>IF(OR(INDEX($W$2:$W$1001,MATCH(ROWS($V$2:V719),$V$2:$V$1001,0),1)&gt;=100000,INDEX($AC$1005:$AS$1005,1,MATCH(COLUMNS($AC$1006:AJ1006),$AC$1006:$AS$1006,0))&gt;=100000), " ",IF(INDEX($AC$2:$AS$1001,MATCH(ROWS($V$2:V719),$V$2:$V$1001,0),MATCH(COLUMNS($AC$1006:AJ1006),$AC$1006:$AS$1006,0)), HYPERLINK("#",""), HYPERLINK(CONCATENATE("#Metadata!", ADDRESS(INDEX($X$2:$X$1001,MATCH(ROWS($V$2:V719),$V$2:$V$1001,0),0), INDEX($AC$1004:$AS$1004,1,MATCH(COLUMNS($AC$1006:AJ1006),$AC$1006:$AS$1006,0)))),"Fix")))</f>
        <v>0</v>
      </c>
      <c r="J719" s="5">
        <f>IF(OR(INDEX($W$2:$W$1001,MATCH(ROWS($V$2:V719),$V$2:$V$1001,0),1)&gt;=100000,INDEX($AC$1005:$AS$1005,1,MATCH(COLUMNS($AC$1006:AK1006),$AC$1006:$AS$1006,0))&gt;=100000), " ",IF(INDEX($AC$2:$AS$1001,MATCH(ROWS($V$2:V719),$V$2:$V$1001,0),MATCH(COLUMNS($AC$1006:AK1006),$AC$1006:$AS$1006,0)), HYPERLINK("#",""), HYPERLINK(CONCATENATE("#Metadata!", ADDRESS(INDEX($X$2:$X$1001,MATCH(ROWS($V$2:V719),$V$2:$V$1001,0),0), INDEX($AC$1004:$AS$1004,1,MATCH(COLUMNS($AC$1006:AK1006),$AC$1006:$AS$1006,0)))),"Fix")))</f>
        <v>0</v>
      </c>
      <c r="K719" s="5">
        <f>IF(OR(INDEX($W$2:$W$1001,MATCH(ROWS($V$2:V719),$V$2:$V$1001,0),1)&gt;=100000,INDEX($AC$1005:$AS$1005,1,MATCH(COLUMNS($AC$1006:AL1006),$AC$1006:$AS$1006,0))&gt;=100000), " ",IF(INDEX($AC$2:$AS$1001,MATCH(ROWS($V$2:V719),$V$2:$V$1001,0),MATCH(COLUMNS($AC$1006:AL1006),$AC$1006:$AS$1006,0)), HYPERLINK("#",""), HYPERLINK(CONCATENATE("#Metadata!", ADDRESS(INDEX($X$2:$X$1001,MATCH(ROWS($V$2:V719),$V$2:$V$1001,0),0), INDEX($AC$1004:$AS$1004,1,MATCH(COLUMNS($AC$1006:AL1006),$AC$1006:$AS$1006,0)))),"Fix")))</f>
        <v>0</v>
      </c>
      <c r="L719" s="5">
        <f>IF(OR(INDEX($W$2:$W$1001,MATCH(ROWS($V$2:V719),$V$2:$V$1001,0),1)&gt;=100000,INDEX($AC$1005:$AS$1005,1,MATCH(COLUMNS($AC$1006:AM1006),$AC$1006:$AS$1006,0))&gt;=100000), " ",IF(INDEX($AC$2:$AS$1001,MATCH(ROWS($V$2:V719),$V$2:$V$1001,0),MATCH(COLUMNS($AC$1006:AM1006),$AC$1006:$AS$1006,0)), HYPERLINK("#",""), HYPERLINK(CONCATENATE("#Metadata!", ADDRESS(INDEX($X$2:$X$1001,MATCH(ROWS($V$2:V719),$V$2:$V$1001,0),0), INDEX($AC$1004:$AS$1004,1,MATCH(COLUMNS($AC$1006:AM1006),$AC$1006:$AS$1006,0)))),"Fix")))</f>
        <v>0</v>
      </c>
      <c r="M719" s="5">
        <f>IF(OR(INDEX($W$2:$W$1001,MATCH(ROWS($V$2:V719),$V$2:$V$1001,0),1)&gt;=100000,INDEX($AC$1005:$AS$1005,1,MATCH(COLUMNS($AC$1006:AN1006),$AC$1006:$AS$1006,0))&gt;=100000), " ",IF(INDEX($AC$2:$AS$1001,MATCH(ROWS($V$2:V719),$V$2:$V$1001,0),MATCH(COLUMNS($AC$1006:AN1006),$AC$1006:$AS$1006,0)), HYPERLINK("#",""), HYPERLINK(CONCATENATE("#Metadata!", ADDRESS(INDEX($X$2:$X$1001,MATCH(ROWS($V$2:V719),$V$2:$V$1001,0),0), INDEX($AC$1004:$AS$1004,1,MATCH(COLUMNS($AC$1006:AN1006),$AC$1006:$AS$1006,0)))),"Fix")))</f>
        <v>0</v>
      </c>
      <c r="N719" s="5">
        <f>IF(OR(INDEX($W$2:$W$1001,MATCH(ROWS($V$2:V719),$V$2:$V$1001,0),1)&gt;=100000,INDEX($AC$1005:$AS$1005,1,MATCH(COLUMNS($AC$1006:AO1006),$AC$1006:$AS$1006,0))&gt;=100000), " ",IF(INDEX($AC$2:$AS$1001,MATCH(ROWS($V$2:V719),$V$2:$V$1001,0),MATCH(COLUMNS($AC$1006:AO1006),$AC$1006:$AS$1006,0)), HYPERLINK("#",""), HYPERLINK(CONCATENATE("#Metadata!", ADDRESS(INDEX($X$2:$X$1001,MATCH(ROWS($V$2:V719),$V$2:$V$1001,0),0), INDEX($AC$1004:$AS$1004,1,MATCH(COLUMNS($AC$1006:AO1006),$AC$1006:$AS$1006,0)))),"Fix")))</f>
        <v>0</v>
      </c>
      <c r="O719" s="5">
        <f>IF(OR(INDEX($W$2:$W$1001,MATCH(ROWS($V$2:V719),$V$2:$V$1001,0),1)&gt;=100000,INDEX($AC$1005:$AS$1005,1,MATCH(COLUMNS($AC$1006:AP1006),$AC$1006:$AS$1006,0))&gt;=100000), " ",IF(INDEX($AC$2:$AS$1001,MATCH(ROWS($V$2:V719),$V$2:$V$1001,0),MATCH(COLUMNS($AC$1006:AP1006),$AC$1006:$AS$1006,0)), HYPERLINK("#",""), HYPERLINK(CONCATENATE("#Metadata!", ADDRESS(INDEX($X$2:$X$1001,MATCH(ROWS($V$2:V719),$V$2:$V$1001,0),0), INDEX($AC$1004:$AS$1004,1,MATCH(COLUMNS($AC$1006:AP1006),$AC$1006:$AS$1006,0)))),"Fix")))</f>
        <v>0</v>
      </c>
      <c r="P719" s="5">
        <f>IF(OR(INDEX($W$2:$W$1001,MATCH(ROWS($V$2:V719),$V$2:$V$1001,0),1)&gt;=100000,INDEX($AC$1005:$AS$1005,1,MATCH(COLUMNS($AC$1006:AQ1006),$AC$1006:$AS$1006,0))&gt;=100000), " ",IF(INDEX($AC$2:$AS$1001,MATCH(ROWS($V$2:V719),$V$2:$V$1001,0),MATCH(COLUMNS($AC$1006:AQ1006),$AC$1006:$AS$1006,0)), HYPERLINK("#",""), HYPERLINK(CONCATENATE("#Metadata!", ADDRESS(INDEX($X$2:$X$1001,MATCH(ROWS($V$2:V719),$V$2:$V$1001,0),0), INDEX($AC$1004:$AS$1004,1,MATCH(COLUMNS($AC$1006:AQ1006),$AC$1006:$AS$1006,0)))),"Fix")))</f>
        <v>0</v>
      </c>
      <c r="Q719" s="5">
        <f>IF(OR(INDEX($W$2:$W$1001,MATCH(ROWS($V$2:V719),$V$2:$V$1001,0),1)&gt;=100000,INDEX($AC$1005:$AS$1005,1,MATCH(COLUMNS($AC$1006:AR1006),$AC$1006:$AS$1006,0))&gt;=100000), " ",IF(INDEX($AC$2:$AS$1001,MATCH(ROWS($V$2:V719),$V$2:$V$1001,0),MATCH(COLUMNS($AC$1006:AR1006),$AC$1006:$AS$1006,0)), HYPERLINK("#",""), HYPERLINK(CONCATENATE("#Metadata!", ADDRESS(INDEX($X$2:$X$1001,MATCH(ROWS($V$2:V719),$V$2:$V$1001,0),0), INDEX($AC$1004:$AS$1004,1,MATCH(COLUMNS($AC$1006:AR1006),$AC$1006:$AS$1006,0)))),"Fix")))</f>
        <v>0</v>
      </c>
      <c r="R719" s="5">
        <f>IF(OR(INDEX($W$2:$W$1001,MATCH(ROWS($V$2:V719),$V$2:$V$1001,0),1)&gt;=100000,INDEX($AC$1005:$AS$1005,1,MATCH(COLUMNS($AC$1006:AS1006),$AC$1006:$AS$1006,0))&gt;=100000), " ",IF(INDEX($AC$2:$AS$1001,MATCH(ROWS($V$2:V719),$V$2:$V$1001,0),MATCH(COLUMNS($AC$1006:AS1006),$AC$1006:$AS$1006,0)), HYPERLINK("#",""), HYPERLINK(CONCATENATE("#Metadata!", ADDRESS(INDEX($X$2:$X$1001,MATCH(ROWS($V$2:V719),$V$2:$V$1001,0),0), INDEX($AC$1004:$AS$1004,1,MATCH(COLUMNS($AC$1006:AS1006),$AC$1006:$AS$1006,0)))),"Fix")))</f>
        <v>0</v>
      </c>
      <c r="V719">
        <v>0</v>
      </c>
      <c r="W719">
        <v>0</v>
      </c>
      <c r="X719">
        <v>0</v>
      </c>
      <c r="Y719">
        <f>IF(Z719,TRUE,AND(AC719:AS719))</f>
        <v>0</v>
      </c>
      <c r="Z719">
        <f>COUNTBLANK(Metadata!B719:R719)=COLUMNS(Metadata!B719:R719)</f>
        <v>0</v>
      </c>
      <c r="AA719">
        <v>0</v>
      </c>
      <c r="AC719">
        <f>AND(IF(Metadata!B719="",FALSE,TRUE),COUNTIF(Metadata!B:B, Metadata!B719) = 1,NOT(ISERROR(SUMPRODUCT(SEARCH(MID(Metadata!B719,ROW(INDIRECT("1:"&amp;LEN(Metadata!B719))), 1),"0123456789abcdefghijklmnopqrstuvwxyzABCDEFGHIJKLMNOPQRSTUVWXYZ.")))))</f>
        <v>0</v>
      </c>
      <c r="AD719">
        <f>AND(IF(Metadata!C719="",FALSE,TRUE),exact(Metadata!C719,"Host-associated"))</f>
        <v>0</v>
      </c>
      <c r="AE719">
        <f>AND(IF(Metadata!D719="",FALSE,TRUE),OR(exact(Metadata!D719,"Animal"),exact(Metadata!D719,"Fungus"),exact(Metadata!D719,"Plant")))</f>
        <v>0</v>
      </c>
      <c r="AF719">
        <f>AND(IF(Metadata!E719="",FALSE,TRUE),OR(exact(Metadata!E719,"Plant secretion"),exact(Metadata!E719,"Plant rhizosphere"),exact(Metadata!E719,"Plant surface"),exact(Metadata!E719,"Plant corpus"),exact(Metadata!E719,"Fungus surface"),exact(Metadata!E719,"Fungus corpus"),exact(Metadata!E719,"Animal surface"),exact(Metadata!E719,"Animal proximal gut"),exact(Metadata!E719,"Animal corpus"),exact(Metadata!E719,"Animal distal gut"),exact(Metadata!E719,"Animal secretion")))</f>
        <v>0</v>
      </c>
      <c r="AG719">
        <f>OR(AND(IF(Metadata!F719="",FALSE,TRUE),OR(exact(Metadata!F719,"not collected"),exact(Metadata!F719,"not provided"),exact(Metadata!F719,"restricted access"))),AND(IF(Metadata!F719="",FALSE,TRUE),OR(exact(Metadata!F719,"organism-associated habitat"),exact(Metadata!F719,"plant-associated habitat"),exact(Metadata!F719,"animal-associated habitat"),exact(Metadata!F719,"insecta-associated habitat"),exact(Metadata!F719,"mammalia-associated habitat"),exact(Metadata!F719,"human-associated habitat"),exact(Metadata!F719,"livestock-associated habitat"))))</f>
        <v>0</v>
      </c>
      <c r="AH719">
        <f>AND(IF(Metadata!G719="",FALSE,TRUE),exact(Metadata!G719,"host-associated"))</f>
        <v>0</v>
      </c>
      <c r="AI719">
        <f>OR(AND(IF(Metadata!H719="",FALSE,TRUE),OR(exact(Metadata!H719,"not collected"),exact(Metadata!H719,"not provided"))),AND(IF(Metadata!H719="",FALSE,ISNUMBER(VALUE(Metadata!H719))),Metadata!H719&gt;0))</f>
        <v>0</v>
      </c>
      <c r="AJ719">
        <f>AND(IF(Metadata!I719="",FALSE,TRUE),exact(Metadata!I719,"years"))</f>
        <v>0</v>
      </c>
      <c r="AK719">
        <f>IF(Metadata!J719="",FALSE,TRUE)</f>
        <v>0</v>
      </c>
      <c r="AL719">
        <f>OR(AND(IF(Metadata!K719="",FALSE,TRUE),OR(exact(Metadata!K719,"not collected"),exact(Metadata!K719,"not provided"))),AND(IF(Metadata!K719="",FALSE,ISNUMBER(VALUE(Metadata!K719))),Metadata!K719&gt;0))</f>
        <v>0</v>
      </c>
      <c r="AM719">
        <f>AND(IF(Metadata!L719="",FALSE,TRUE),exact(Metadata!L719,"cm"))</f>
        <v>0</v>
      </c>
      <c r="AN719">
        <f>IF(Metadata!M719="",FALSE,TRUE)</f>
        <v>0</v>
      </c>
      <c r="AO719">
        <f>OR(AND(IF(Metadata!N719="",FALSE,TRUE),OR(exact(Metadata!N719,"not applicable"),exact(Metadata!N719,"not collected"),exact(Metadata!N719,"not provided"))),AND(IF(Metadata!N719="",FALSE,IF(ISERROR(INT(Metadata!N719)),FALSE,INT(Metadata!N719)=Metadata!N719)),Metadata!N719&gt;0))</f>
        <v>0</v>
      </c>
      <c r="AP719">
        <f>OR(AND(IF(Metadata!O719="",FALSE,TRUE),OR(exact(Metadata!O719,"not collected"),exact(Metadata!O719,"not provided"))),AND(IF(Metadata!O719="",FALSE,ISNUMBER(VALUE(Metadata!O719))),Metadata!O719&gt;0))</f>
        <v>0</v>
      </c>
      <c r="AQ719">
        <f>AND(IF(Metadata!P719="",FALSE,TRUE),exact(Metadata!P719,"kg"))</f>
        <v>0</v>
      </c>
      <c r="AR719">
        <f>OR(AND(IF(Metadata!Q719="",FALSE,TRUE),OR(exact(Metadata!Q719,"not applicable"),exact(Metadata!Q719,"not collected"),exact(Metadata!Q719,"not provided"),exact(Metadata!Q719,"restricted access"))),IF(Metadata!Q719="",FALSE,IF(ISERROR(INT(Metadata!Q719)),FALSE,INT(Metadata!Q719)=Metadata!Q719)))</f>
        <v>0</v>
      </c>
      <c r="AS719">
        <f>AND(IF(Metadata!R719="",FALSE,TRUE),exact(Metadata!R719,"Not applicable"))</f>
        <v>0</v>
      </c>
    </row>
    <row r="720" spans="1:45">
      <c r="A720" s="4">
        <f>IF(B720=" "," ",HYPERLINK(CONCATENATE("#metadata!",ADDRESS(INDEX($X$2:$X$1001,MATCH(ROWS($V$2:V720),$V$2:$V$1001,0),0),2)),INDEX($AA$2:$AA$1001,MATCH(ROWS($V$2:V720),$V$2:$V$1001,0),0)))</f>
        <v>0</v>
      </c>
      <c r="B720" s="5">
        <f>IF(OR(INDEX($W$2:$W$1001,MATCH(ROWS($V$2:V720),$V$2:$V$1001,0),1)&gt;=100000,INDEX($AC$1005:$AS$1005,1,MATCH(COLUMNS($AC$1006:AC1006),$AC$1006:$AS$1006,0))&gt;=100000), " ",IF(INDEX($AC$2:$AS$1001,MATCH(ROWS($V$2:V720),$V$2:$V$1001,0),MATCH(COLUMNS($AC$1006:AC1006),$AC$1006:$AS$1006,0)), HYPERLINK("#",""), HYPERLINK(CONCATENATE("#Metadata!", ADDRESS(INDEX($X$2:$X$1001,MATCH(ROWS($V$2:V720),$V$2:$V$1001,0),0), INDEX($AC$1004:$AS$1004,1,MATCH(COLUMNS($AC$1006:AC1006),$AC$1006:$AS$1006,0)))),"Fix")))</f>
        <v>0</v>
      </c>
      <c r="C720" s="5">
        <f>IF(OR(INDEX($W$2:$W$1001,MATCH(ROWS($V$2:V720),$V$2:$V$1001,0),1)&gt;=100000,INDEX($AC$1005:$AS$1005,1,MATCH(COLUMNS($AC$1006:AD1006),$AC$1006:$AS$1006,0))&gt;=100000), " ",IF(INDEX($AC$2:$AS$1001,MATCH(ROWS($V$2:V720),$V$2:$V$1001,0),MATCH(COLUMNS($AC$1006:AD1006),$AC$1006:$AS$1006,0)), HYPERLINK("#",""), HYPERLINK(CONCATENATE("#Metadata!", ADDRESS(INDEX($X$2:$X$1001,MATCH(ROWS($V$2:V720),$V$2:$V$1001,0),0), INDEX($AC$1004:$AS$1004,1,MATCH(COLUMNS($AC$1006:AD1006),$AC$1006:$AS$1006,0)))),"Fix")))</f>
        <v>0</v>
      </c>
      <c r="D720" s="5">
        <f>IF(OR(INDEX($W$2:$W$1001,MATCH(ROWS($V$2:V720),$V$2:$V$1001,0),1)&gt;=100000,INDEX($AC$1005:$AS$1005,1,MATCH(COLUMNS($AC$1006:AE1006),$AC$1006:$AS$1006,0))&gt;=100000), " ",IF(INDEX($AC$2:$AS$1001,MATCH(ROWS($V$2:V720),$V$2:$V$1001,0),MATCH(COLUMNS($AC$1006:AE1006),$AC$1006:$AS$1006,0)), HYPERLINK("#",""), HYPERLINK(CONCATENATE("#Metadata!", ADDRESS(INDEX($X$2:$X$1001,MATCH(ROWS($V$2:V720),$V$2:$V$1001,0),0), INDEX($AC$1004:$AS$1004,1,MATCH(COLUMNS($AC$1006:AE1006),$AC$1006:$AS$1006,0)))),"Fix")))</f>
        <v>0</v>
      </c>
      <c r="E720" s="5">
        <f>IF(OR(INDEX($W$2:$W$1001,MATCH(ROWS($V$2:V720),$V$2:$V$1001,0),1)&gt;=100000,INDEX($AC$1005:$AS$1005,1,MATCH(COLUMNS($AC$1006:AF1006),$AC$1006:$AS$1006,0))&gt;=100000), " ",IF(INDEX($AC$2:$AS$1001,MATCH(ROWS($V$2:V720),$V$2:$V$1001,0),MATCH(COLUMNS($AC$1006:AF1006),$AC$1006:$AS$1006,0)), HYPERLINK("#",""), HYPERLINK(CONCATENATE("#Metadata!", ADDRESS(INDEX($X$2:$X$1001,MATCH(ROWS($V$2:V720),$V$2:$V$1001,0),0), INDEX($AC$1004:$AS$1004,1,MATCH(COLUMNS($AC$1006:AF1006),$AC$1006:$AS$1006,0)))),"Fix")))</f>
        <v>0</v>
      </c>
      <c r="F720" s="5">
        <f>IF(OR(INDEX($W$2:$W$1001,MATCH(ROWS($V$2:V720),$V$2:$V$1001,0),1)&gt;=100000,INDEX($AC$1005:$AS$1005,1,MATCH(COLUMNS($AC$1006:AG1006),$AC$1006:$AS$1006,0))&gt;=100000), " ",IF(INDEX($AC$2:$AS$1001,MATCH(ROWS($V$2:V720),$V$2:$V$1001,0),MATCH(COLUMNS($AC$1006:AG1006),$AC$1006:$AS$1006,0)), HYPERLINK("#",""), HYPERLINK(CONCATENATE("#Metadata!", ADDRESS(INDEX($X$2:$X$1001,MATCH(ROWS($V$2:V720),$V$2:$V$1001,0),0), INDEX($AC$1004:$AS$1004,1,MATCH(COLUMNS($AC$1006:AG1006),$AC$1006:$AS$1006,0)))),"Fix")))</f>
        <v>0</v>
      </c>
      <c r="G720" s="5">
        <f>IF(OR(INDEX($W$2:$W$1001,MATCH(ROWS($V$2:V720),$V$2:$V$1001,0),1)&gt;=100000,INDEX($AC$1005:$AS$1005,1,MATCH(COLUMNS($AC$1006:AH1006),$AC$1006:$AS$1006,0))&gt;=100000), " ",IF(INDEX($AC$2:$AS$1001,MATCH(ROWS($V$2:V720),$V$2:$V$1001,0),MATCH(COLUMNS($AC$1006:AH1006),$AC$1006:$AS$1006,0)), HYPERLINK("#",""), HYPERLINK(CONCATENATE("#Metadata!", ADDRESS(INDEX($X$2:$X$1001,MATCH(ROWS($V$2:V720),$V$2:$V$1001,0),0), INDEX($AC$1004:$AS$1004,1,MATCH(COLUMNS($AC$1006:AH1006),$AC$1006:$AS$1006,0)))),"Fix")))</f>
        <v>0</v>
      </c>
      <c r="H720" s="5">
        <f>IF(OR(INDEX($W$2:$W$1001,MATCH(ROWS($V$2:V720),$V$2:$V$1001,0),1)&gt;=100000,INDEX($AC$1005:$AS$1005,1,MATCH(COLUMNS($AC$1006:AI1006),$AC$1006:$AS$1006,0))&gt;=100000), " ",IF(INDEX($AC$2:$AS$1001,MATCH(ROWS($V$2:V720),$V$2:$V$1001,0),MATCH(COLUMNS($AC$1006:AI1006),$AC$1006:$AS$1006,0)), HYPERLINK("#",""), HYPERLINK(CONCATENATE("#Metadata!", ADDRESS(INDEX($X$2:$X$1001,MATCH(ROWS($V$2:V720),$V$2:$V$1001,0),0), INDEX($AC$1004:$AS$1004,1,MATCH(COLUMNS($AC$1006:AI1006),$AC$1006:$AS$1006,0)))),"Fix")))</f>
        <v>0</v>
      </c>
      <c r="I720" s="5">
        <f>IF(OR(INDEX($W$2:$W$1001,MATCH(ROWS($V$2:V720),$V$2:$V$1001,0),1)&gt;=100000,INDEX($AC$1005:$AS$1005,1,MATCH(COLUMNS($AC$1006:AJ1006),$AC$1006:$AS$1006,0))&gt;=100000), " ",IF(INDEX($AC$2:$AS$1001,MATCH(ROWS($V$2:V720),$V$2:$V$1001,0),MATCH(COLUMNS($AC$1006:AJ1006),$AC$1006:$AS$1006,0)), HYPERLINK("#",""), HYPERLINK(CONCATENATE("#Metadata!", ADDRESS(INDEX($X$2:$X$1001,MATCH(ROWS($V$2:V720),$V$2:$V$1001,0),0), INDEX($AC$1004:$AS$1004,1,MATCH(COLUMNS($AC$1006:AJ1006),$AC$1006:$AS$1006,0)))),"Fix")))</f>
        <v>0</v>
      </c>
      <c r="J720" s="5">
        <f>IF(OR(INDEX($W$2:$W$1001,MATCH(ROWS($V$2:V720),$V$2:$V$1001,0),1)&gt;=100000,INDEX($AC$1005:$AS$1005,1,MATCH(COLUMNS($AC$1006:AK1006),$AC$1006:$AS$1006,0))&gt;=100000), " ",IF(INDEX($AC$2:$AS$1001,MATCH(ROWS($V$2:V720),$V$2:$V$1001,0),MATCH(COLUMNS($AC$1006:AK1006),$AC$1006:$AS$1006,0)), HYPERLINK("#",""), HYPERLINK(CONCATENATE("#Metadata!", ADDRESS(INDEX($X$2:$X$1001,MATCH(ROWS($V$2:V720),$V$2:$V$1001,0),0), INDEX($AC$1004:$AS$1004,1,MATCH(COLUMNS($AC$1006:AK1006),$AC$1006:$AS$1006,0)))),"Fix")))</f>
        <v>0</v>
      </c>
      <c r="K720" s="5">
        <f>IF(OR(INDEX($W$2:$W$1001,MATCH(ROWS($V$2:V720),$V$2:$V$1001,0),1)&gt;=100000,INDEX($AC$1005:$AS$1005,1,MATCH(COLUMNS($AC$1006:AL1006),$AC$1006:$AS$1006,0))&gt;=100000), " ",IF(INDEX($AC$2:$AS$1001,MATCH(ROWS($V$2:V720),$V$2:$V$1001,0),MATCH(COLUMNS($AC$1006:AL1006),$AC$1006:$AS$1006,0)), HYPERLINK("#",""), HYPERLINK(CONCATENATE("#Metadata!", ADDRESS(INDEX($X$2:$X$1001,MATCH(ROWS($V$2:V720),$V$2:$V$1001,0),0), INDEX($AC$1004:$AS$1004,1,MATCH(COLUMNS($AC$1006:AL1006),$AC$1006:$AS$1006,0)))),"Fix")))</f>
        <v>0</v>
      </c>
      <c r="L720" s="5">
        <f>IF(OR(INDEX($W$2:$W$1001,MATCH(ROWS($V$2:V720),$V$2:$V$1001,0),1)&gt;=100000,INDEX($AC$1005:$AS$1005,1,MATCH(COLUMNS($AC$1006:AM1006),$AC$1006:$AS$1006,0))&gt;=100000), " ",IF(INDEX($AC$2:$AS$1001,MATCH(ROWS($V$2:V720),$V$2:$V$1001,0),MATCH(COLUMNS($AC$1006:AM1006),$AC$1006:$AS$1006,0)), HYPERLINK("#",""), HYPERLINK(CONCATENATE("#Metadata!", ADDRESS(INDEX($X$2:$X$1001,MATCH(ROWS($V$2:V720),$V$2:$V$1001,0),0), INDEX($AC$1004:$AS$1004,1,MATCH(COLUMNS($AC$1006:AM1006),$AC$1006:$AS$1006,0)))),"Fix")))</f>
        <v>0</v>
      </c>
      <c r="M720" s="5">
        <f>IF(OR(INDEX($W$2:$W$1001,MATCH(ROWS($V$2:V720),$V$2:$V$1001,0),1)&gt;=100000,INDEX($AC$1005:$AS$1005,1,MATCH(COLUMNS($AC$1006:AN1006),$AC$1006:$AS$1006,0))&gt;=100000), " ",IF(INDEX($AC$2:$AS$1001,MATCH(ROWS($V$2:V720),$V$2:$V$1001,0),MATCH(COLUMNS($AC$1006:AN1006),$AC$1006:$AS$1006,0)), HYPERLINK("#",""), HYPERLINK(CONCATENATE("#Metadata!", ADDRESS(INDEX($X$2:$X$1001,MATCH(ROWS($V$2:V720),$V$2:$V$1001,0),0), INDEX($AC$1004:$AS$1004,1,MATCH(COLUMNS($AC$1006:AN1006),$AC$1006:$AS$1006,0)))),"Fix")))</f>
        <v>0</v>
      </c>
      <c r="N720" s="5">
        <f>IF(OR(INDEX($W$2:$W$1001,MATCH(ROWS($V$2:V720),$V$2:$V$1001,0),1)&gt;=100000,INDEX($AC$1005:$AS$1005,1,MATCH(COLUMNS($AC$1006:AO1006),$AC$1006:$AS$1006,0))&gt;=100000), " ",IF(INDEX($AC$2:$AS$1001,MATCH(ROWS($V$2:V720),$V$2:$V$1001,0),MATCH(COLUMNS($AC$1006:AO1006),$AC$1006:$AS$1006,0)), HYPERLINK("#",""), HYPERLINK(CONCATENATE("#Metadata!", ADDRESS(INDEX($X$2:$X$1001,MATCH(ROWS($V$2:V720),$V$2:$V$1001,0),0), INDEX($AC$1004:$AS$1004,1,MATCH(COLUMNS($AC$1006:AO1006),$AC$1006:$AS$1006,0)))),"Fix")))</f>
        <v>0</v>
      </c>
      <c r="O720" s="5">
        <f>IF(OR(INDEX($W$2:$W$1001,MATCH(ROWS($V$2:V720),$V$2:$V$1001,0),1)&gt;=100000,INDEX($AC$1005:$AS$1005,1,MATCH(COLUMNS($AC$1006:AP1006),$AC$1006:$AS$1006,0))&gt;=100000), " ",IF(INDEX($AC$2:$AS$1001,MATCH(ROWS($V$2:V720),$V$2:$V$1001,0),MATCH(COLUMNS($AC$1006:AP1006),$AC$1006:$AS$1006,0)), HYPERLINK("#",""), HYPERLINK(CONCATENATE("#Metadata!", ADDRESS(INDEX($X$2:$X$1001,MATCH(ROWS($V$2:V720),$V$2:$V$1001,0),0), INDEX($AC$1004:$AS$1004,1,MATCH(COLUMNS($AC$1006:AP1006),$AC$1006:$AS$1006,0)))),"Fix")))</f>
        <v>0</v>
      </c>
      <c r="P720" s="5">
        <f>IF(OR(INDEX($W$2:$W$1001,MATCH(ROWS($V$2:V720),$V$2:$V$1001,0),1)&gt;=100000,INDEX($AC$1005:$AS$1005,1,MATCH(COLUMNS($AC$1006:AQ1006),$AC$1006:$AS$1006,0))&gt;=100000), " ",IF(INDEX($AC$2:$AS$1001,MATCH(ROWS($V$2:V720),$V$2:$V$1001,0),MATCH(COLUMNS($AC$1006:AQ1006),$AC$1006:$AS$1006,0)), HYPERLINK("#",""), HYPERLINK(CONCATENATE("#Metadata!", ADDRESS(INDEX($X$2:$X$1001,MATCH(ROWS($V$2:V720),$V$2:$V$1001,0),0), INDEX($AC$1004:$AS$1004,1,MATCH(COLUMNS($AC$1006:AQ1006),$AC$1006:$AS$1006,0)))),"Fix")))</f>
        <v>0</v>
      </c>
      <c r="Q720" s="5">
        <f>IF(OR(INDEX($W$2:$W$1001,MATCH(ROWS($V$2:V720),$V$2:$V$1001,0),1)&gt;=100000,INDEX($AC$1005:$AS$1005,1,MATCH(COLUMNS($AC$1006:AR1006),$AC$1006:$AS$1006,0))&gt;=100000), " ",IF(INDEX($AC$2:$AS$1001,MATCH(ROWS($V$2:V720),$V$2:$V$1001,0),MATCH(COLUMNS($AC$1006:AR1006),$AC$1006:$AS$1006,0)), HYPERLINK("#",""), HYPERLINK(CONCATENATE("#Metadata!", ADDRESS(INDEX($X$2:$X$1001,MATCH(ROWS($V$2:V720),$V$2:$V$1001,0),0), INDEX($AC$1004:$AS$1004,1,MATCH(COLUMNS($AC$1006:AR1006),$AC$1006:$AS$1006,0)))),"Fix")))</f>
        <v>0</v>
      </c>
      <c r="R720" s="5">
        <f>IF(OR(INDEX($W$2:$W$1001,MATCH(ROWS($V$2:V720),$V$2:$V$1001,0),1)&gt;=100000,INDEX($AC$1005:$AS$1005,1,MATCH(COLUMNS($AC$1006:AS1006),$AC$1006:$AS$1006,0))&gt;=100000), " ",IF(INDEX($AC$2:$AS$1001,MATCH(ROWS($V$2:V720),$V$2:$V$1001,0),MATCH(COLUMNS($AC$1006:AS1006),$AC$1006:$AS$1006,0)), HYPERLINK("#",""), HYPERLINK(CONCATENATE("#Metadata!", ADDRESS(INDEX($X$2:$X$1001,MATCH(ROWS($V$2:V720),$V$2:$V$1001,0),0), INDEX($AC$1004:$AS$1004,1,MATCH(COLUMNS($AC$1006:AS1006),$AC$1006:$AS$1006,0)))),"Fix")))</f>
        <v>0</v>
      </c>
      <c r="V720">
        <v>0</v>
      </c>
      <c r="W720">
        <v>0</v>
      </c>
      <c r="X720">
        <v>0</v>
      </c>
      <c r="Y720">
        <f>IF(Z720,TRUE,AND(AC720:AS720))</f>
        <v>0</v>
      </c>
      <c r="Z720">
        <f>COUNTBLANK(Metadata!B720:R720)=COLUMNS(Metadata!B720:R720)</f>
        <v>0</v>
      </c>
      <c r="AA720">
        <v>0</v>
      </c>
      <c r="AC720">
        <f>AND(IF(Metadata!B720="",FALSE,TRUE),COUNTIF(Metadata!B:B, Metadata!B720) = 1,NOT(ISERROR(SUMPRODUCT(SEARCH(MID(Metadata!B720,ROW(INDIRECT("1:"&amp;LEN(Metadata!B720))), 1),"0123456789abcdefghijklmnopqrstuvwxyzABCDEFGHIJKLMNOPQRSTUVWXYZ.")))))</f>
        <v>0</v>
      </c>
      <c r="AD720">
        <f>AND(IF(Metadata!C720="",FALSE,TRUE),exact(Metadata!C720,"Host-associated"))</f>
        <v>0</v>
      </c>
      <c r="AE720">
        <f>AND(IF(Metadata!D720="",FALSE,TRUE),OR(exact(Metadata!D720,"Animal"),exact(Metadata!D720,"Fungus"),exact(Metadata!D720,"Plant")))</f>
        <v>0</v>
      </c>
      <c r="AF720">
        <f>AND(IF(Metadata!E720="",FALSE,TRUE),OR(exact(Metadata!E720,"Plant secretion"),exact(Metadata!E720,"Plant rhizosphere"),exact(Metadata!E720,"Plant surface"),exact(Metadata!E720,"Plant corpus"),exact(Metadata!E720,"Fungus surface"),exact(Metadata!E720,"Fungus corpus"),exact(Metadata!E720,"Animal surface"),exact(Metadata!E720,"Animal proximal gut"),exact(Metadata!E720,"Animal corpus"),exact(Metadata!E720,"Animal distal gut"),exact(Metadata!E720,"Animal secretion")))</f>
        <v>0</v>
      </c>
      <c r="AG720">
        <f>OR(AND(IF(Metadata!F720="",FALSE,TRUE),OR(exact(Metadata!F720,"not collected"),exact(Metadata!F720,"not provided"),exact(Metadata!F720,"restricted access"))),AND(IF(Metadata!F720="",FALSE,TRUE),OR(exact(Metadata!F720,"organism-associated habitat"),exact(Metadata!F720,"plant-associated habitat"),exact(Metadata!F720,"animal-associated habitat"),exact(Metadata!F720,"insecta-associated habitat"),exact(Metadata!F720,"mammalia-associated habitat"),exact(Metadata!F720,"human-associated habitat"),exact(Metadata!F720,"livestock-associated habitat"))))</f>
        <v>0</v>
      </c>
      <c r="AH720">
        <f>AND(IF(Metadata!G720="",FALSE,TRUE),exact(Metadata!G720,"host-associated"))</f>
        <v>0</v>
      </c>
      <c r="AI720">
        <f>OR(AND(IF(Metadata!H720="",FALSE,TRUE),OR(exact(Metadata!H720,"not collected"),exact(Metadata!H720,"not provided"))),AND(IF(Metadata!H720="",FALSE,ISNUMBER(VALUE(Metadata!H720))),Metadata!H720&gt;0))</f>
        <v>0</v>
      </c>
      <c r="AJ720">
        <f>AND(IF(Metadata!I720="",FALSE,TRUE),exact(Metadata!I720,"years"))</f>
        <v>0</v>
      </c>
      <c r="AK720">
        <f>IF(Metadata!J720="",FALSE,TRUE)</f>
        <v>0</v>
      </c>
      <c r="AL720">
        <f>OR(AND(IF(Metadata!K720="",FALSE,TRUE),OR(exact(Metadata!K720,"not collected"),exact(Metadata!K720,"not provided"))),AND(IF(Metadata!K720="",FALSE,ISNUMBER(VALUE(Metadata!K720))),Metadata!K720&gt;0))</f>
        <v>0</v>
      </c>
      <c r="AM720">
        <f>AND(IF(Metadata!L720="",FALSE,TRUE),exact(Metadata!L720,"cm"))</f>
        <v>0</v>
      </c>
      <c r="AN720">
        <f>IF(Metadata!M720="",FALSE,TRUE)</f>
        <v>0</v>
      </c>
      <c r="AO720">
        <f>OR(AND(IF(Metadata!N720="",FALSE,TRUE),OR(exact(Metadata!N720,"not applicable"),exact(Metadata!N720,"not collected"),exact(Metadata!N720,"not provided"))),AND(IF(Metadata!N720="",FALSE,IF(ISERROR(INT(Metadata!N720)),FALSE,INT(Metadata!N720)=Metadata!N720)),Metadata!N720&gt;0))</f>
        <v>0</v>
      </c>
      <c r="AP720">
        <f>OR(AND(IF(Metadata!O720="",FALSE,TRUE),OR(exact(Metadata!O720,"not collected"),exact(Metadata!O720,"not provided"))),AND(IF(Metadata!O720="",FALSE,ISNUMBER(VALUE(Metadata!O720))),Metadata!O720&gt;0))</f>
        <v>0</v>
      </c>
      <c r="AQ720">
        <f>AND(IF(Metadata!P720="",FALSE,TRUE),exact(Metadata!P720,"kg"))</f>
        <v>0</v>
      </c>
      <c r="AR720">
        <f>OR(AND(IF(Metadata!Q720="",FALSE,TRUE),OR(exact(Metadata!Q720,"not applicable"),exact(Metadata!Q720,"not collected"),exact(Metadata!Q720,"not provided"),exact(Metadata!Q720,"restricted access"))),IF(Metadata!Q720="",FALSE,IF(ISERROR(INT(Metadata!Q720)),FALSE,INT(Metadata!Q720)=Metadata!Q720)))</f>
        <v>0</v>
      </c>
      <c r="AS720">
        <f>AND(IF(Metadata!R720="",FALSE,TRUE),exact(Metadata!R720,"Not applicable"))</f>
        <v>0</v>
      </c>
    </row>
    <row r="721" spans="1:45">
      <c r="A721" s="4">
        <f>IF(B721=" "," ",HYPERLINK(CONCATENATE("#metadata!",ADDRESS(INDEX($X$2:$X$1001,MATCH(ROWS($V$2:V721),$V$2:$V$1001,0),0),2)),INDEX($AA$2:$AA$1001,MATCH(ROWS($V$2:V721),$V$2:$V$1001,0),0)))</f>
        <v>0</v>
      </c>
      <c r="B721" s="5">
        <f>IF(OR(INDEX($W$2:$W$1001,MATCH(ROWS($V$2:V721),$V$2:$V$1001,0),1)&gt;=100000,INDEX($AC$1005:$AS$1005,1,MATCH(COLUMNS($AC$1006:AC1006),$AC$1006:$AS$1006,0))&gt;=100000), " ",IF(INDEX($AC$2:$AS$1001,MATCH(ROWS($V$2:V721),$V$2:$V$1001,0),MATCH(COLUMNS($AC$1006:AC1006),$AC$1006:$AS$1006,0)), HYPERLINK("#",""), HYPERLINK(CONCATENATE("#Metadata!", ADDRESS(INDEX($X$2:$X$1001,MATCH(ROWS($V$2:V721),$V$2:$V$1001,0),0), INDEX($AC$1004:$AS$1004,1,MATCH(COLUMNS($AC$1006:AC1006),$AC$1006:$AS$1006,0)))),"Fix")))</f>
        <v>0</v>
      </c>
      <c r="C721" s="5">
        <f>IF(OR(INDEX($W$2:$W$1001,MATCH(ROWS($V$2:V721),$V$2:$V$1001,0),1)&gt;=100000,INDEX($AC$1005:$AS$1005,1,MATCH(COLUMNS($AC$1006:AD1006),$AC$1006:$AS$1006,0))&gt;=100000), " ",IF(INDEX($AC$2:$AS$1001,MATCH(ROWS($V$2:V721),$V$2:$V$1001,0),MATCH(COLUMNS($AC$1006:AD1006),$AC$1006:$AS$1006,0)), HYPERLINK("#",""), HYPERLINK(CONCATENATE("#Metadata!", ADDRESS(INDEX($X$2:$X$1001,MATCH(ROWS($V$2:V721),$V$2:$V$1001,0),0), INDEX($AC$1004:$AS$1004,1,MATCH(COLUMNS($AC$1006:AD1006),$AC$1006:$AS$1006,0)))),"Fix")))</f>
        <v>0</v>
      </c>
      <c r="D721" s="5">
        <f>IF(OR(INDEX($W$2:$W$1001,MATCH(ROWS($V$2:V721),$V$2:$V$1001,0),1)&gt;=100000,INDEX($AC$1005:$AS$1005,1,MATCH(COLUMNS($AC$1006:AE1006),$AC$1006:$AS$1006,0))&gt;=100000), " ",IF(INDEX($AC$2:$AS$1001,MATCH(ROWS($V$2:V721),$V$2:$V$1001,0),MATCH(COLUMNS($AC$1006:AE1006),$AC$1006:$AS$1006,0)), HYPERLINK("#",""), HYPERLINK(CONCATENATE("#Metadata!", ADDRESS(INDEX($X$2:$X$1001,MATCH(ROWS($V$2:V721),$V$2:$V$1001,0),0), INDEX($AC$1004:$AS$1004,1,MATCH(COLUMNS($AC$1006:AE1006),$AC$1006:$AS$1006,0)))),"Fix")))</f>
        <v>0</v>
      </c>
      <c r="E721" s="5">
        <f>IF(OR(INDEX($W$2:$W$1001,MATCH(ROWS($V$2:V721),$V$2:$V$1001,0),1)&gt;=100000,INDEX($AC$1005:$AS$1005,1,MATCH(COLUMNS($AC$1006:AF1006),$AC$1006:$AS$1006,0))&gt;=100000), " ",IF(INDEX($AC$2:$AS$1001,MATCH(ROWS($V$2:V721),$V$2:$V$1001,0),MATCH(COLUMNS($AC$1006:AF1006),$AC$1006:$AS$1006,0)), HYPERLINK("#",""), HYPERLINK(CONCATENATE("#Metadata!", ADDRESS(INDEX($X$2:$X$1001,MATCH(ROWS($V$2:V721),$V$2:$V$1001,0),0), INDEX($AC$1004:$AS$1004,1,MATCH(COLUMNS($AC$1006:AF1006),$AC$1006:$AS$1006,0)))),"Fix")))</f>
        <v>0</v>
      </c>
      <c r="F721" s="5">
        <f>IF(OR(INDEX($W$2:$W$1001,MATCH(ROWS($V$2:V721),$V$2:$V$1001,0),1)&gt;=100000,INDEX($AC$1005:$AS$1005,1,MATCH(COLUMNS($AC$1006:AG1006),$AC$1006:$AS$1006,0))&gt;=100000), " ",IF(INDEX($AC$2:$AS$1001,MATCH(ROWS($V$2:V721),$V$2:$V$1001,0),MATCH(COLUMNS($AC$1006:AG1006),$AC$1006:$AS$1006,0)), HYPERLINK("#",""), HYPERLINK(CONCATENATE("#Metadata!", ADDRESS(INDEX($X$2:$X$1001,MATCH(ROWS($V$2:V721),$V$2:$V$1001,0),0), INDEX($AC$1004:$AS$1004,1,MATCH(COLUMNS($AC$1006:AG1006),$AC$1006:$AS$1006,0)))),"Fix")))</f>
        <v>0</v>
      </c>
      <c r="G721" s="5">
        <f>IF(OR(INDEX($W$2:$W$1001,MATCH(ROWS($V$2:V721),$V$2:$V$1001,0),1)&gt;=100000,INDEX($AC$1005:$AS$1005,1,MATCH(COLUMNS($AC$1006:AH1006),$AC$1006:$AS$1006,0))&gt;=100000), " ",IF(INDEX($AC$2:$AS$1001,MATCH(ROWS($V$2:V721),$V$2:$V$1001,0),MATCH(COLUMNS($AC$1006:AH1006),$AC$1006:$AS$1006,0)), HYPERLINK("#",""), HYPERLINK(CONCATENATE("#Metadata!", ADDRESS(INDEX($X$2:$X$1001,MATCH(ROWS($V$2:V721),$V$2:$V$1001,0),0), INDEX($AC$1004:$AS$1004,1,MATCH(COLUMNS($AC$1006:AH1006),$AC$1006:$AS$1006,0)))),"Fix")))</f>
        <v>0</v>
      </c>
      <c r="H721" s="5">
        <f>IF(OR(INDEX($W$2:$W$1001,MATCH(ROWS($V$2:V721),$V$2:$V$1001,0),1)&gt;=100000,INDEX($AC$1005:$AS$1005,1,MATCH(COLUMNS($AC$1006:AI1006),$AC$1006:$AS$1006,0))&gt;=100000), " ",IF(INDEX($AC$2:$AS$1001,MATCH(ROWS($V$2:V721),$V$2:$V$1001,0),MATCH(COLUMNS($AC$1006:AI1006),$AC$1006:$AS$1006,0)), HYPERLINK("#",""), HYPERLINK(CONCATENATE("#Metadata!", ADDRESS(INDEX($X$2:$X$1001,MATCH(ROWS($V$2:V721),$V$2:$V$1001,0),0), INDEX($AC$1004:$AS$1004,1,MATCH(COLUMNS($AC$1006:AI1006),$AC$1006:$AS$1006,0)))),"Fix")))</f>
        <v>0</v>
      </c>
      <c r="I721" s="5">
        <f>IF(OR(INDEX($W$2:$W$1001,MATCH(ROWS($V$2:V721),$V$2:$V$1001,0),1)&gt;=100000,INDEX($AC$1005:$AS$1005,1,MATCH(COLUMNS($AC$1006:AJ1006),$AC$1006:$AS$1006,0))&gt;=100000), " ",IF(INDEX($AC$2:$AS$1001,MATCH(ROWS($V$2:V721),$V$2:$V$1001,0),MATCH(COLUMNS($AC$1006:AJ1006),$AC$1006:$AS$1006,0)), HYPERLINK("#",""), HYPERLINK(CONCATENATE("#Metadata!", ADDRESS(INDEX($X$2:$X$1001,MATCH(ROWS($V$2:V721),$V$2:$V$1001,0),0), INDEX($AC$1004:$AS$1004,1,MATCH(COLUMNS($AC$1006:AJ1006),$AC$1006:$AS$1006,0)))),"Fix")))</f>
        <v>0</v>
      </c>
      <c r="J721" s="5">
        <f>IF(OR(INDEX($W$2:$W$1001,MATCH(ROWS($V$2:V721),$V$2:$V$1001,0),1)&gt;=100000,INDEX($AC$1005:$AS$1005,1,MATCH(COLUMNS($AC$1006:AK1006),$AC$1006:$AS$1006,0))&gt;=100000), " ",IF(INDEX($AC$2:$AS$1001,MATCH(ROWS($V$2:V721),$V$2:$V$1001,0),MATCH(COLUMNS($AC$1006:AK1006),$AC$1006:$AS$1006,0)), HYPERLINK("#",""), HYPERLINK(CONCATENATE("#Metadata!", ADDRESS(INDEX($X$2:$X$1001,MATCH(ROWS($V$2:V721),$V$2:$V$1001,0),0), INDEX($AC$1004:$AS$1004,1,MATCH(COLUMNS($AC$1006:AK1006),$AC$1006:$AS$1006,0)))),"Fix")))</f>
        <v>0</v>
      </c>
      <c r="K721" s="5">
        <f>IF(OR(INDEX($W$2:$W$1001,MATCH(ROWS($V$2:V721),$V$2:$V$1001,0),1)&gt;=100000,INDEX($AC$1005:$AS$1005,1,MATCH(COLUMNS($AC$1006:AL1006),$AC$1006:$AS$1006,0))&gt;=100000), " ",IF(INDEX($AC$2:$AS$1001,MATCH(ROWS($V$2:V721),$V$2:$V$1001,0),MATCH(COLUMNS($AC$1006:AL1006),$AC$1006:$AS$1006,0)), HYPERLINK("#",""), HYPERLINK(CONCATENATE("#Metadata!", ADDRESS(INDEX($X$2:$X$1001,MATCH(ROWS($V$2:V721),$V$2:$V$1001,0),0), INDEX($AC$1004:$AS$1004,1,MATCH(COLUMNS($AC$1006:AL1006),$AC$1006:$AS$1006,0)))),"Fix")))</f>
        <v>0</v>
      </c>
      <c r="L721" s="5">
        <f>IF(OR(INDEX($W$2:$W$1001,MATCH(ROWS($V$2:V721),$V$2:$V$1001,0),1)&gt;=100000,INDEX($AC$1005:$AS$1005,1,MATCH(COLUMNS($AC$1006:AM1006),$AC$1006:$AS$1006,0))&gt;=100000), " ",IF(INDEX($AC$2:$AS$1001,MATCH(ROWS($V$2:V721),$V$2:$V$1001,0),MATCH(COLUMNS($AC$1006:AM1006),$AC$1006:$AS$1006,0)), HYPERLINK("#",""), HYPERLINK(CONCATENATE("#Metadata!", ADDRESS(INDEX($X$2:$X$1001,MATCH(ROWS($V$2:V721),$V$2:$V$1001,0),0), INDEX($AC$1004:$AS$1004,1,MATCH(COLUMNS($AC$1006:AM1006),$AC$1006:$AS$1006,0)))),"Fix")))</f>
        <v>0</v>
      </c>
      <c r="M721" s="5">
        <f>IF(OR(INDEX($W$2:$W$1001,MATCH(ROWS($V$2:V721),$V$2:$V$1001,0),1)&gt;=100000,INDEX($AC$1005:$AS$1005,1,MATCH(COLUMNS($AC$1006:AN1006),$AC$1006:$AS$1006,0))&gt;=100000), " ",IF(INDEX($AC$2:$AS$1001,MATCH(ROWS($V$2:V721),$V$2:$V$1001,0),MATCH(COLUMNS($AC$1006:AN1006),$AC$1006:$AS$1006,0)), HYPERLINK("#",""), HYPERLINK(CONCATENATE("#Metadata!", ADDRESS(INDEX($X$2:$X$1001,MATCH(ROWS($V$2:V721),$V$2:$V$1001,0),0), INDEX($AC$1004:$AS$1004,1,MATCH(COLUMNS($AC$1006:AN1006),$AC$1006:$AS$1006,0)))),"Fix")))</f>
        <v>0</v>
      </c>
      <c r="N721" s="5">
        <f>IF(OR(INDEX($W$2:$W$1001,MATCH(ROWS($V$2:V721),$V$2:$V$1001,0),1)&gt;=100000,INDEX($AC$1005:$AS$1005,1,MATCH(COLUMNS($AC$1006:AO1006),$AC$1006:$AS$1006,0))&gt;=100000), " ",IF(INDEX($AC$2:$AS$1001,MATCH(ROWS($V$2:V721),$V$2:$V$1001,0),MATCH(COLUMNS($AC$1006:AO1006),$AC$1006:$AS$1006,0)), HYPERLINK("#",""), HYPERLINK(CONCATENATE("#Metadata!", ADDRESS(INDEX($X$2:$X$1001,MATCH(ROWS($V$2:V721),$V$2:$V$1001,0),0), INDEX($AC$1004:$AS$1004,1,MATCH(COLUMNS($AC$1006:AO1006),$AC$1006:$AS$1006,0)))),"Fix")))</f>
        <v>0</v>
      </c>
      <c r="O721" s="5">
        <f>IF(OR(INDEX($W$2:$W$1001,MATCH(ROWS($V$2:V721),$V$2:$V$1001,0),1)&gt;=100000,INDEX($AC$1005:$AS$1005,1,MATCH(COLUMNS($AC$1006:AP1006),$AC$1006:$AS$1006,0))&gt;=100000), " ",IF(INDEX($AC$2:$AS$1001,MATCH(ROWS($V$2:V721),$V$2:$V$1001,0),MATCH(COLUMNS($AC$1006:AP1006),$AC$1006:$AS$1006,0)), HYPERLINK("#",""), HYPERLINK(CONCATENATE("#Metadata!", ADDRESS(INDEX($X$2:$X$1001,MATCH(ROWS($V$2:V721),$V$2:$V$1001,0),0), INDEX($AC$1004:$AS$1004,1,MATCH(COLUMNS($AC$1006:AP1006),$AC$1006:$AS$1006,0)))),"Fix")))</f>
        <v>0</v>
      </c>
      <c r="P721" s="5">
        <f>IF(OR(INDEX($W$2:$W$1001,MATCH(ROWS($V$2:V721),$V$2:$V$1001,0),1)&gt;=100000,INDEX($AC$1005:$AS$1005,1,MATCH(COLUMNS($AC$1006:AQ1006),$AC$1006:$AS$1006,0))&gt;=100000), " ",IF(INDEX($AC$2:$AS$1001,MATCH(ROWS($V$2:V721),$V$2:$V$1001,0),MATCH(COLUMNS($AC$1006:AQ1006),$AC$1006:$AS$1006,0)), HYPERLINK("#",""), HYPERLINK(CONCATENATE("#Metadata!", ADDRESS(INDEX($X$2:$X$1001,MATCH(ROWS($V$2:V721),$V$2:$V$1001,0),0), INDEX($AC$1004:$AS$1004,1,MATCH(COLUMNS($AC$1006:AQ1006),$AC$1006:$AS$1006,0)))),"Fix")))</f>
        <v>0</v>
      </c>
      <c r="Q721" s="5">
        <f>IF(OR(INDEX($W$2:$W$1001,MATCH(ROWS($V$2:V721),$V$2:$V$1001,0),1)&gt;=100000,INDEX($AC$1005:$AS$1005,1,MATCH(COLUMNS($AC$1006:AR1006),$AC$1006:$AS$1006,0))&gt;=100000), " ",IF(INDEX($AC$2:$AS$1001,MATCH(ROWS($V$2:V721),$V$2:$V$1001,0),MATCH(COLUMNS($AC$1006:AR1006),$AC$1006:$AS$1006,0)), HYPERLINK("#",""), HYPERLINK(CONCATENATE("#Metadata!", ADDRESS(INDEX($X$2:$X$1001,MATCH(ROWS($V$2:V721),$V$2:$V$1001,0),0), INDEX($AC$1004:$AS$1004,1,MATCH(COLUMNS($AC$1006:AR1006),$AC$1006:$AS$1006,0)))),"Fix")))</f>
        <v>0</v>
      </c>
      <c r="R721" s="5">
        <f>IF(OR(INDEX($W$2:$W$1001,MATCH(ROWS($V$2:V721),$V$2:$V$1001,0),1)&gt;=100000,INDEX($AC$1005:$AS$1005,1,MATCH(COLUMNS($AC$1006:AS1006),$AC$1006:$AS$1006,0))&gt;=100000), " ",IF(INDEX($AC$2:$AS$1001,MATCH(ROWS($V$2:V721),$V$2:$V$1001,0),MATCH(COLUMNS($AC$1006:AS1006),$AC$1006:$AS$1006,0)), HYPERLINK("#",""), HYPERLINK(CONCATENATE("#Metadata!", ADDRESS(INDEX($X$2:$X$1001,MATCH(ROWS($V$2:V721),$V$2:$V$1001,0),0), INDEX($AC$1004:$AS$1004,1,MATCH(COLUMNS($AC$1006:AS1006),$AC$1006:$AS$1006,0)))),"Fix")))</f>
        <v>0</v>
      </c>
      <c r="V721">
        <v>0</v>
      </c>
      <c r="W721">
        <v>0</v>
      </c>
      <c r="X721">
        <v>0</v>
      </c>
      <c r="Y721">
        <f>IF(Z721,TRUE,AND(AC721:AS721))</f>
        <v>0</v>
      </c>
      <c r="Z721">
        <f>COUNTBLANK(Metadata!B721:R721)=COLUMNS(Metadata!B721:R721)</f>
        <v>0</v>
      </c>
      <c r="AA721">
        <v>0</v>
      </c>
      <c r="AC721">
        <f>AND(IF(Metadata!B721="",FALSE,TRUE),COUNTIF(Metadata!B:B, Metadata!B721) = 1,NOT(ISERROR(SUMPRODUCT(SEARCH(MID(Metadata!B721,ROW(INDIRECT("1:"&amp;LEN(Metadata!B721))), 1),"0123456789abcdefghijklmnopqrstuvwxyzABCDEFGHIJKLMNOPQRSTUVWXYZ.")))))</f>
        <v>0</v>
      </c>
      <c r="AD721">
        <f>AND(IF(Metadata!C721="",FALSE,TRUE),exact(Metadata!C721,"Host-associated"))</f>
        <v>0</v>
      </c>
      <c r="AE721">
        <f>AND(IF(Metadata!D721="",FALSE,TRUE),OR(exact(Metadata!D721,"Animal"),exact(Metadata!D721,"Fungus"),exact(Metadata!D721,"Plant")))</f>
        <v>0</v>
      </c>
      <c r="AF721">
        <f>AND(IF(Metadata!E721="",FALSE,TRUE),OR(exact(Metadata!E721,"Plant secretion"),exact(Metadata!E721,"Plant rhizosphere"),exact(Metadata!E721,"Plant surface"),exact(Metadata!E721,"Plant corpus"),exact(Metadata!E721,"Fungus surface"),exact(Metadata!E721,"Fungus corpus"),exact(Metadata!E721,"Animal surface"),exact(Metadata!E721,"Animal proximal gut"),exact(Metadata!E721,"Animal corpus"),exact(Metadata!E721,"Animal distal gut"),exact(Metadata!E721,"Animal secretion")))</f>
        <v>0</v>
      </c>
      <c r="AG721">
        <f>OR(AND(IF(Metadata!F721="",FALSE,TRUE),OR(exact(Metadata!F721,"not collected"),exact(Metadata!F721,"not provided"),exact(Metadata!F721,"restricted access"))),AND(IF(Metadata!F721="",FALSE,TRUE),OR(exact(Metadata!F721,"organism-associated habitat"),exact(Metadata!F721,"plant-associated habitat"),exact(Metadata!F721,"animal-associated habitat"),exact(Metadata!F721,"insecta-associated habitat"),exact(Metadata!F721,"mammalia-associated habitat"),exact(Metadata!F721,"human-associated habitat"),exact(Metadata!F721,"livestock-associated habitat"))))</f>
        <v>0</v>
      </c>
      <c r="AH721">
        <f>AND(IF(Metadata!G721="",FALSE,TRUE),exact(Metadata!G721,"host-associated"))</f>
        <v>0</v>
      </c>
      <c r="AI721">
        <f>OR(AND(IF(Metadata!H721="",FALSE,TRUE),OR(exact(Metadata!H721,"not collected"),exact(Metadata!H721,"not provided"))),AND(IF(Metadata!H721="",FALSE,ISNUMBER(VALUE(Metadata!H721))),Metadata!H721&gt;0))</f>
        <v>0</v>
      </c>
      <c r="AJ721">
        <f>AND(IF(Metadata!I721="",FALSE,TRUE),exact(Metadata!I721,"years"))</f>
        <v>0</v>
      </c>
      <c r="AK721">
        <f>IF(Metadata!J721="",FALSE,TRUE)</f>
        <v>0</v>
      </c>
      <c r="AL721">
        <f>OR(AND(IF(Metadata!K721="",FALSE,TRUE),OR(exact(Metadata!K721,"not collected"),exact(Metadata!K721,"not provided"))),AND(IF(Metadata!K721="",FALSE,ISNUMBER(VALUE(Metadata!K721))),Metadata!K721&gt;0))</f>
        <v>0</v>
      </c>
      <c r="AM721">
        <f>AND(IF(Metadata!L721="",FALSE,TRUE),exact(Metadata!L721,"cm"))</f>
        <v>0</v>
      </c>
      <c r="AN721">
        <f>IF(Metadata!M721="",FALSE,TRUE)</f>
        <v>0</v>
      </c>
      <c r="AO721">
        <f>OR(AND(IF(Metadata!N721="",FALSE,TRUE),OR(exact(Metadata!N721,"not applicable"),exact(Metadata!N721,"not collected"),exact(Metadata!N721,"not provided"))),AND(IF(Metadata!N721="",FALSE,IF(ISERROR(INT(Metadata!N721)),FALSE,INT(Metadata!N721)=Metadata!N721)),Metadata!N721&gt;0))</f>
        <v>0</v>
      </c>
      <c r="AP721">
        <f>OR(AND(IF(Metadata!O721="",FALSE,TRUE),OR(exact(Metadata!O721,"not collected"),exact(Metadata!O721,"not provided"))),AND(IF(Metadata!O721="",FALSE,ISNUMBER(VALUE(Metadata!O721))),Metadata!O721&gt;0))</f>
        <v>0</v>
      </c>
      <c r="AQ721">
        <f>AND(IF(Metadata!P721="",FALSE,TRUE),exact(Metadata!P721,"kg"))</f>
        <v>0</v>
      </c>
      <c r="AR721">
        <f>OR(AND(IF(Metadata!Q721="",FALSE,TRUE),OR(exact(Metadata!Q721,"not applicable"),exact(Metadata!Q721,"not collected"),exact(Metadata!Q721,"not provided"),exact(Metadata!Q721,"restricted access"))),IF(Metadata!Q721="",FALSE,IF(ISERROR(INT(Metadata!Q721)),FALSE,INT(Metadata!Q721)=Metadata!Q721)))</f>
        <v>0</v>
      </c>
      <c r="AS721">
        <f>AND(IF(Metadata!R721="",FALSE,TRUE),exact(Metadata!R721,"Not applicable"))</f>
        <v>0</v>
      </c>
    </row>
    <row r="722" spans="1:45">
      <c r="A722" s="4">
        <f>IF(B722=" "," ",HYPERLINK(CONCATENATE("#metadata!",ADDRESS(INDEX($X$2:$X$1001,MATCH(ROWS($V$2:V722),$V$2:$V$1001,0),0),2)),INDEX($AA$2:$AA$1001,MATCH(ROWS($V$2:V722),$V$2:$V$1001,0),0)))</f>
        <v>0</v>
      </c>
      <c r="B722" s="5">
        <f>IF(OR(INDEX($W$2:$W$1001,MATCH(ROWS($V$2:V722),$V$2:$V$1001,0),1)&gt;=100000,INDEX($AC$1005:$AS$1005,1,MATCH(COLUMNS($AC$1006:AC1006),$AC$1006:$AS$1006,0))&gt;=100000), " ",IF(INDEX($AC$2:$AS$1001,MATCH(ROWS($V$2:V722),$V$2:$V$1001,0),MATCH(COLUMNS($AC$1006:AC1006),$AC$1006:$AS$1006,0)), HYPERLINK("#",""), HYPERLINK(CONCATENATE("#Metadata!", ADDRESS(INDEX($X$2:$X$1001,MATCH(ROWS($V$2:V722),$V$2:$V$1001,0),0), INDEX($AC$1004:$AS$1004,1,MATCH(COLUMNS($AC$1006:AC1006),$AC$1006:$AS$1006,0)))),"Fix")))</f>
        <v>0</v>
      </c>
      <c r="C722" s="5">
        <f>IF(OR(INDEX($W$2:$W$1001,MATCH(ROWS($V$2:V722),$V$2:$V$1001,0),1)&gt;=100000,INDEX($AC$1005:$AS$1005,1,MATCH(COLUMNS($AC$1006:AD1006),$AC$1006:$AS$1006,0))&gt;=100000), " ",IF(INDEX($AC$2:$AS$1001,MATCH(ROWS($V$2:V722),$V$2:$V$1001,0),MATCH(COLUMNS($AC$1006:AD1006),$AC$1006:$AS$1006,0)), HYPERLINK("#",""), HYPERLINK(CONCATENATE("#Metadata!", ADDRESS(INDEX($X$2:$X$1001,MATCH(ROWS($V$2:V722),$V$2:$V$1001,0),0), INDEX($AC$1004:$AS$1004,1,MATCH(COLUMNS($AC$1006:AD1006),$AC$1006:$AS$1006,0)))),"Fix")))</f>
        <v>0</v>
      </c>
      <c r="D722" s="5">
        <f>IF(OR(INDEX($W$2:$W$1001,MATCH(ROWS($V$2:V722),$V$2:$V$1001,0),1)&gt;=100000,INDEX($AC$1005:$AS$1005,1,MATCH(COLUMNS($AC$1006:AE1006),$AC$1006:$AS$1006,0))&gt;=100000), " ",IF(INDEX($AC$2:$AS$1001,MATCH(ROWS($V$2:V722),$V$2:$V$1001,0),MATCH(COLUMNS($AC$1006:AE1006),$AC$1006:$AS$1006,0)), HYPERLINK("#",""), HYPERLINK(CONCATENATE("#Metadata!", ADDRESS(INDEX($X$2:$X$1001,MATCH(ROWS($V$2:V722),$V$2:$V$1001,0),0), INDEX($AC$1004:$AS$1004,1,MATCH(COLUMNS($AC$1006:AE1006),$AC$1006:$AS$1006,0)))),"Fix")))</f>
        <v>0</v>
      </c>
      <c r="E722" s="5">
        <f>IF(OR(INDEX($W$2:$W$1001,MATCH(ROWS($V$2:V722),$V$2:$V$1001,0),1)&gt;=100000,INDEX($AC$1005:$AS$1005,1,MATCH(COLUMNS($AC$1006:AF1006),$AC$1006:$AS$1006,0))&gt;=100000), " ",IF(INDEX($AC$2:$AS$1001,MATCH(ROWS($V$2:V722),$V$2:$V$1001,0),MATCH(COLUMNS($AC$1006:AF1006),$AC$1006:$AS$1006,0)), HYPERLINK("#",""), HYPERLINK(CONCATENATE("#Metadata!", ADDRESS(INDEX($X$2:$X$1001,MATCH(ROWS($V$2:V722),$V$2:$V$1001,0),0), INDEX($AC$1004:$AS$1004,1,MATCH(COLUMNS($AC$1006:AF1006),$AC$1006:$AS$1006,0)))),"Fix")))</f>
        <v>0</v>
      </c>
      <c r="F722" s="5">
        <f>IF(OR(INDEX($W$2:$W$1001,MATCH(ROWS($V$2:V722),$V$2:$V$1001,0),1)&gt;=100000,INDEX($AC$1005:$AS$1005,1,MATCH(COLUMNS($AC$1006:AG1006),$AC$1006:$AS$1006,0))&gt;=100000), " ",IF(INDEX($AC$2:$AS$1001,MATCH(ROWS($V$2:V722),$V$2:$V$1001,0),MATCH(COLUMNS($AC$1006:AG1006),$AC$1006:$AS$1006,0)), HYPERLINK("#",""), HYPERLINK(CONCATENATE("#Metadata!", ADDRESS(INDEX($X$2:$X$1001,MATCH(ROWS($V$2:V722),$V$2:$V$1001,0),0), INDEX($AC$1004:$AS$1004,1,MATCH(COLUMNS($AC$1006:AG1006),$AC$1006:$AS$1006,0)))),"Fix")))</f>
        <v>0</v>
      </c>
      <c r="G722" s="5">
        <f>IF(OR(INDEX($W$2:$W$1001,MATCH(ROWS($V$2:V722),$V$2:$V$1001,0),1)&gt;=100000,INDEX($AC$1005:$AS$1005,1,MATCH(COLUMNS($AC$1006:AH1006),$AC$1006:$AS$1006,0))&gt;=100000), " ",IF(INDEX($AC$2:$AS$1001,MATCH(ROWS($V$2:V722),$V$2:$V$1001,0),MATCH(COLUMNS($AC$1006:AH1006),$AC$1006:$AS$1006,0)), HYPERLINK("#",""), HYPERLINK(CONCATENATE("#Metadata!", ADDRESS(INDEX($X$2:$X$1001,MATCH(ROWS($V$2:V722),$V$2:$V$1001,0),0), INDEX($AC$1004:$AS$1004,1,MATCH(COLUMNS($AC$1006:AH1006),$AC$1006:$AS$1006,0)))),"Fix")))</f>
        <v>0</v>
      </c>
      <c r="H722" s="5">
        <f>IF(OR(INDEX($W$2:$W$1001,MATCH(ROWS($V$2:V722),$V$2:$V$1001,0),1)&gt;=100000,INDEX($AC$1005:$AS$1005,1,MATCH(COLUMNS($AC$1006:AI1006),$AC$1006:$AS$1006,0))&gt;=100000), " ",IF(INDEX($AC$2:$AS$1001,MATCH(ROWS($V$2:V722),$V$2:$V$1001,0),MATCH(COLUMNS($AC$1006:AI1006),$AC$1006:$AS$1006,0)), HYPERLINK("#",""), HYPERLINK(CONCATENATE("#Metadata!", ADDRESS(INDEX($X$2:$X$1001,MATCH(ROWS($V$2:V722),$V$2:$V$1001,0),0), INDEX($AC$1004:$AS$1004,1,MATCH(COLUMNS($AC$1006:AI1006),$AC$1006:$AS$1006,0)))),"Fix")))</f>
        <v>0</v>
      </c>
      <c r="I722" s="5">
        <f>IF(OR(INDEX($W$2:$W$1001,MATCH(ROWS($V$2:V722),$V$2:$V$1001,0),1)&gt;=100000,INDEX($AC$1005:$AS$1005,1,MATCH(COLUMNS($AC$1006:AJ1006),$AC$1006:$AS$1006,0))&gt;=100000), " ",IF(INDEX($AC$2:$AS$1001,MATCH(ROWS($V$2:V722),$V$2:$V$1001,0),MATCH(COLUMNS($AC$1006:AJ1006),$AC$1006:$AS$1006,0)), HYPERLINK("#",""), HYPERLINK(CONCATENATE("#Metadata!", ADDRESS(INDEX($X$2:$X$1001,MATCH(ROWS($V$2:V722),$V$2:$V$1001,0),0), INDEX($AC$1004:$AS$1004,1,MATCH(COLUMNS($AC$1006:AJ1006),$AC$1006:$AS$1006,0)))),"Fix")))</f>
        <v>0</v>
      </c>
      <c r="J722" s="5">
        <f>IF(OR(INDEX($W$2:$W$1001,MATCH(ROWS($V$2:V722),$V$2:$V$1001,0),1)&gt;=100000,INDEX($AC$1005:$AS$1005,1,MATCH(COLUMNS($AC$1006:AK1006),$AC$1006:$AS$1006,0))&gt;=100000), " ",IF(INDEX($AC$2:$AS$1001,MATCH(ROWS($V$2:V722),$V$2:$V$1001,0),MATCH(COLUMNS($AC$1006:AK1006),$AC$1006:$AS$1006,0)), HYPERLINK("#",""), HYPERLINK(CONCATENATE("#Metadata!", ADDRESS(INDEX($X$2:$X$1001,MATCH(ROWS($V$2:V722),$V$2:$V$1001,0),0), INDEX($AC$1004:$AS$1004,1,MATCH(COLUMNS($AC$1006:AK1006),$AC$1006:$AS$1006,0)))),"Fix")))</f>
        <v>0</v>
      </c>
      <c r="K722" s="5">
        <f>IF(OR(INDEX($W$2:$W$1001,MATCH(ROWS($V$2:V722),$V$2:$V$1001,0),1)&gt;=100000,INDEX($AC$1005:$AS$1005,1,MATCH(COLUMNS($AC$1006:AL1006),$AC$1006:$AS$1006,0))&gt;=100000), " ",IF(INDEX($AC$2:$AS$1001,MATCH(ROWS($V$2:V722),$V$2:$V$1001,0),MATCH(COLUMNS($AC$1006:AL1006),$AC$1006:$AS$1006,0)), HYPERLINK("#",""), HYPERLINK(CONCATENATE("#Metadata!", ADDRESS(INDEX($X$2:$X$1001,MATCH(ROWS($V$2:V722),$V$2:$V$1001,0),0), INDEX($AC$1004:$AS$1004,1,MATCH(COLUMNS($AC$1006:AL1006),$AC$1006:$AS$1006,0)))),"Fix")))</f>
        <v>0</v>
      </c>
      <c r="L722" s="5">
        <f>IF(OR(INDEX($W$2:$W$1001,MATCH(ROWS($V$2:V722),$V$2:$V$1001,0),1)&gt;=100000,INDEX($AC$1005:$AS$1005,1,MATCH(COLUMNS($AC$1006:AM1006),$AC$1006:$AS$1006,0))&gt;=100000), " ",IF(INDEX($AC$2:$AS$1001,MATCH(ROWS($V$2:V722),$V$2:$V$1001,0),MATCH(COLUMNS($AC$1006:AM1006),$AC$1006:$AS$1006,0)), HYPERLINK("#",""), HYPERLINK(CONCATENATE("#Metadata!", ADDRESS(INDEX($X$2:$X$1001,MATCH(ROWS($V$2:V722),$V$2:$V$1001,0),0), INDEX($AC$1004:$AS$1004,1,MATCH(COLUMNS($AC$1006:AM1006),$AC$1006:$AS$1006,0)))),"Fix")))</f>
        <v>0</v>
      </c>
      <c r="M722" s="5">
        <f>IF(OR(INDEX($W$2:$W$1001,MATCH(ROWS($V$2:V722),$V$2:$V$1001,0),1)&gt;=100000,INDEX($AC$1005:$AS$1005,1,MATCH(COLUMNS($AC$1006:AN1006),$AC$1006:$AS$1006,0))&gt;=100000), " ",IF(INDEX($AC$2:$AS$1001,MATCH(ROWS($V$2:V722),$V$2:$V$1001,0),MATCH(COLUMNS($AC$1006:AN1006),$AC$1006:$AS$1006,0)), HYPERLINK("#",""), HYPERLINK(CONCATENATE("#Metadata!", ADDRESS(INDEX($X$2:$X$1001,MATCH(ROWS($V$2:V722),$V$2:$V$1001,0),0), INDEX($AC$1004:$AS$1004,1,MATCH(COLUMNS($AC$1006:AN1006),$AC$1006:$AS$1006,0)))),"Fix")))</f>
        <v>0</v>
      </c>
      <c r="N722" s="5">
        <f>IF(OR(INDEX($W$2:$W$1001,MATCH(ROWS($V$2:V722),$V$2:$V$1001,0),1)&gt;=100000,INDEX($AC$1005:$AS$1005,1,MATCH(COLUMNS($AC$1006:AO1006),$AC$1006:$AS$1006,0))&gt;=100000), " ",IF(INDEX($AC$2:$AS$1001,MATCH(ROWS($V$2:V722),$V$2:$V$1001,0),MATCH(COLUMNS($AC$1006:AO1006),$AC$1006:$AS$1006,0)), HYPERLINK("#",""), HYPERLINK(CONCATENATE("#Metadata!", ADDRESS(INDEX($X$2:$X$1001,MATCH(ROWS($V$2:V722),$V$2:$V$1001,0),0), INDEX($AC$1004:$AS$1004,1,MATCH(COLUMNS($AC$1006:AO1006),$AC$1006:$AS$1006,0)))),"Fix")))</f>
        <v>0</v>
      </c>
      <c r="O722" s="5">
        <f>IF(OR(INDEX($W$2:$W$1001,MATCH(ROWS($V$2:V722),$V$2:$V$1001,0),1)&gt;=100000,INDEX($AC$1005:$AS$1005,1,MATCH(COLUMNS($AC$1006:AP1006),$AC$1006:$AS$1006,0))&gt;=100000), " ",IF(INDEX($AC$2:$AS$1001,MATCH(ROWS($V$2:V722),$V$2:$V$1001,0),MATCH(COLUMNS($AC$1006:AP1006),$AC$1006:$AS$1006,0)), HYPERLINK("#",""), HYPERLINK(CONCATENATE("#Metadata!", ADDRESS(INDEX($X$2:$X$1001,MATCH(ROWS($V$2:V722),$V$2:$V$1001,0),0), INDEX($AC$1004:$AS$1004,1,MATCH(COLUMNS($AC$1006:AP1006),$AC$1006:$AS$1006,0)))),"Fix")))</f>
        <v>0</v>
      </c>
      <c r="P722" s="5">
        <f>IF(OR(INDEX($W$2:$W$1001,MATCH(ROWS($V$2:V722),$V$2:$V$1001,0),1)&gt;=100000,INDEX($AC$1005:$AS$1005,1,MATCH(COLUMNS($AC$1006:AQ1006),$AC$1006:$AS$1006,0))&gt;=100000), " ",IF(INDEX($AC$2:$AS$1001,MATCH(ROWS($V$2:V722),$V$2:$V$1001,0),MATCH(COLUMNS($AC$1006:AQ1006),$AC$1006:$AS$1006,0)), HYPERLINK("#",""), HYPERLINK(CONCATENATE("#Metadata!", ADDRESS(INDEX($X$2:$X$1001,MATCH(ROWS($V$2:V722),$V$2:$V$1001,0),0), INDEX($AC$1004:$AS$1004,1,MATCH(COLUMNS($AC$1006:AQ1006),$AC$1006:$AS$1006,0)))),"Fix")))</f>
        <v>0</v>
      </c>
      <c r="Q722" s="5">
        <f>IF(OR(INDEX($W$2:$W$1001,MATCH(ROWS($V$2:V722),$V$2:$V$1001,0),1)&gt;=100000,INDEX($AC$1005:$AS$1005,1,MATCH(COLUMNS($AC$1006:AR1006),$AC$1006:$AS$1006,0))&gt;=100000), " ",IF(INDEX($AC$2:$AS$1001,MATCH(ROWS($V$2:V722),$V$2:$V$1001,0),MATCH(COLUMNS($AC$1006:AR1006),$AC$1006:$AS$1006,0)), HYPERLINK("#",""), HYPERLINK(CONCATENATE("#Metadata!", ADDRESS(INDEX($X$2:$X$1001,MATCH(ROWS($V$2:V722),$V$2:$V$1001,0),0), INDEX($AC$1004:$AS$1004,1,MATCH(COLUMNS($AC$1006:AR1006),$AC$1006:$AS$1006,0)))),"Fix")))</f>
        <v>0</v>
      </c>
      <c r="R722" s="5">
        <f>IF(OR(INDEX($W$2:$W$1001,MATCH(ROWS($V$2:V722),$V$2:$V$1001,0),1)&gt;=100000,INDEX($AC$1005:$AS$1005,1,MATCH(COLUMNS($AC$1006:AS1006),$AC$1006:$AS$1006,0))&gt;=100000), " ",IF(INDEX($AC$2:$AS$1001,MATCH(ROWS($V$2:V722),$V$2:$V$1001,0),MATCH(COLUMNS($AC$1006:AS1006),$AC$1006:$AS$1006,0)), HYPERLINK("#",""), HYPERLINK(CONCATENATE("#Metadata!", ADDRESS(INDEX($X$2:$X$1001,MATCH(ROWS($V$2:V722),$V$2:$V$1001,0),0), INDEX($AC$1004:$AS$1004,1,MATCH(COLUMNS($AC$1006:AS1006),$AC$1006:$AS$1006,0)))),"Fix")))</f>
        <v>0</v>
      </c>
      <c r="V722">
        <v>0</v>
      </c>
      <c r="W722">
        <v>0</v>
      </c>
      <c r="X722">
        <v>0</v>
      </c>
      <c r="Y722">
        <f>IF(Z722,TRUE,AND(AC722:AS722))</f>
        <v>0</v>
      </c>
      <c r="Z722">
        <f>COUNTBLANK(Metadata!B722:R722)=COLUMNS(Metadata!B722:R722)</f>
        <v>0</v>
      </c>
      <c r="AA722">
        <v>0</v>
      </c>
      <c r="AC722">
        <f>AND(IF(Metadata!B722="",FALSE,TRUE),COUNTIF(Metadata!B:B, Metadata!B722) = 1,NOT(ISERROR(SUMPRODUCT(SEARCH(MID(Metadata!B722,ROW(INDIRECT("1:"&amp;LEN(Metadata!B722))), 1),"0123456789abcdefghijklmnopqrstuvwxyzABCDEFGHIJKLMNOPQRSTUVWXYZ.")))))</f>
        <v>0</v>
      </c>
      <c r="AD722">
        <f>AND(IF(Metadata!C722="",FALSE,TRUE),exact(Metadata!C722,"Host-associated"))</f>
        <v>0</v>
      </c>
      <c r="AE722">
        <f>AND(IF(Metadata!D722="",FALSE,TRUE),OR(exact(Metadata!D722,"Animal"),exact(Metadata!D722,"Fungus"),exact(Metadata!D722,"Plant")))</f>
        <v>0</v>
      </c>
      <c r="AF722">
        <f>AND(IF(Metadata!E722="",FALSE,TRUE),OR(exact(Metadata!E722,"Plant secretion"),exact(Metadata!E722,"Plant rhizosphere"),exact(Metadata!E722,"Plant surface"),exact(Metadata!E722,"Plant corpus"),exact(Metadata!E722,"Fungus surface"),exact(Metadata!E722,"Fungus corpus"),exact(Metadata!E722,"Animal surface"),exact(Metadata!E722,"Animal proximal gut"),exact(Metadata!E722,"Animal corpus"),exact(Metadata!E722,"Animal distal gut"),exact(Metadata!E722,"Animal secretion")))</f>
        <v>0</v>
      </c>
      <c r="AG722">
        <f>OR(AND(IF(Metadata!F722="",FALSE,TRUE),OR(exact(Metadata!F722,"not collected"),exact(Metadata!F722,"not provided"),exact(Metadata!F722,"restricted access"))),AND(IF(Metadata!F722="",FALSE,TRUE),OR(exact(Metadata!F722,"organism-associated habitat"),exact(Metadata!F722,"plant-associated habitat"),exact(Metadata!F722,"animal-associated habitat"),exact(Metadata!F722,"insecta-associated habitat"),exact(Metadata!F722,"mammalia-associated habitat"),exact(Metadata!F722,"human-associated habitat"),exact(Metadata!F722,"livestock-associated habitat"))))</f>
        <v>0</v>
      </c>
      <c r="AH722">
        <f>AND(IF(Metadata!G722="",FALSE,TRUE),exact(Metadata!G722,"host-associated"))</f>
        <v>0</v>
      </c>
      <c r="AI722">
        <f>OR(AND(IF(Metadata!H722="",FALSE,TRUE),OR(exact(Metadata!H722,"not collected"),exact(Metadata!H722,"not provided"))),AND(IF(Metadata!H722="",FALSE,ISNUMBER(VALUE(Metadata!H722))),Metadata!H722&gt;0))</f>
        <v>0</v>
      </c>
      <c r="AJ722">
        <f>AND(IF(Metadata!I722="",FALSE,TRUE),exact(Metadata!I722,"years"))</f>
        <v>0</v>
      </c>
      <c r="AK722">
        <f>IF(Metadata!J722="",FALSE,TRUE)</f>
        <v>0</v>
      </c>
      <c r="AL722">
        <f>OR(AND(IF(Metadata!K722="",FALSE,TRUE),OR(exact(Metadata!K722,"not collected"),exact(Metadata!K722,"not provided"))),AND(IF(Metadata!K722="",FALSE,ISNUMBER(VALUE(Metadata!K722))),Metadata!K722&gt;0))</f>
        <v>0</v>
      </c>
      <c r="AM722">
        <f>AND(IF(Metadata!L722="",FALSE,TRUE),exact(Metadata!L722,"cm"))</f>
        <v>0</v>
      </c>
      <c r="AN722">
        <f>IF(Metadata!M722="",FALSE,TRUE)</f>
        <v>0</v>
      </c>
      <c r="AO722">
        <f>OR(AND(IF(Metadata!N722="",FALSE,TRUE),OR(exact(Metadata!N722,"not applicable"),exact(Metadata!N722,"not collected"),exact(Metadata!N722,"not provided"))),AND(IF(Metadata!N722="",FALSE,IF(ISERROR(INT(Metadata!N722)),FALSE,INT(Metadata!N722)=Metadata!N722)),Metadata!N722&gt;0))</f>
        <v>0</v>
      </c>
      <c r="AP722">
        <f>OR(AND(IF(Metadata!O722="",FALSE,TRUE),OR(exact(Metadata!O722,"not collected"),exact(Metadata!O722,"not provided"))),AND(IF(Metadata!O722="",FALSE,ISNUMBER(VALUE(Metadata!O722))),Metadata!O722&gt;0))</f>
        <v>0</v>
      </c>
      <c r="AQ722">
        <f>AND(IF(Metadata!P722="",FALSE,TRUE),exact(Metadata!P722,"kg"))</f>
        <v>0</v>
      </c>
      <c r="AR722">
        <f>OR(AND(IF(Metadata!Q722="",FALSE,TRUE),OR(exact(Metadata!Q722,"not applicable"),exact(Metadata!Q722,"not collected"),exact(Metadata!Q722,"not provided"),exact(Metadata!Q722,"restricted access"))),IF(Metadata!Q722="",FALSE,IF(ISERROR(INT(Metadata!Q722)),FALSE,INT(Metadata!Q722)=Metadata!Q722)))</f>
        <v>0</v>
      </c>
      <c r="AS722">
        <f>AND(IF(Metadata!R722="",FALSE,TRUE),exact(Metadata!R722,"Not applicable"))</f>
        <v>0</v>
      </c>
    </row>
    <row r="723" spans="1:45">
      <c r="A723" s="4">
        <f>IF(B723=" "," ",HYPERLINK(CONCATENATE("#metadata!",ADDRESS(INDEX($X$2:$X$1001,MATCH(ROWS($V$2:V723),$V$2:$V$1001,0),0),2)),INDEX($AA$2:$AA$1001,MATCH(ROWS($V$2:V723),$V$2:$V$1001,0),0)))</f>
        <v>0</v>
      </c>
      <c r="B723" s="5">
        <f>IF(OR(INDEX($W$2:$W$1001,MATCH(ROWS($V$2:V723),$V$2:$V$1001,0),1)&gt;=100000,INDEX($AC$1005:$AS$1005,1,MATCH(COLUMNS($AC$1006:AC1006),$AC$1006:$AS$1006,0))&gt;=100000), " ",IF(INDEX($AC$2:$AS$1001,MATCH(ROWS($V$2:V723),$V$2:$V$1001,0),MATCH(COLUMNS($AC$1006:AC1006),$AC$1006:$AS$1006,0)), HYPERLINK("#",""), HYPERLINK(CONCATENATE("#Metadata!", ADDRESS(INDEX($X$2:$X$1001,MATCH(ROWS($V$2:V723),$V$2:$V$1001,0),0), INDEX($AC$1004:$AS$1004,1,MATCH(COLUMNS($AC$1006:AC1006),$AC$1006:$AS$1006,0)))),"Fix")))</f>
        <v>0</v>
      </c>
      <c r="C723" s="5">
        <f>IF(OR(INDEX($W$2:$W$1001,MATCH(ROWS($V$2:V723),$V$2:$V$1001,0),1)&gt;=100000,INDEX($AC$1005:$AS$1005,1,MATCH(COLUMNS($AC$1006:AD1006),$AC$1006:$AS$1006,0))&gt;=100000), " ",IF(INDEX($AC$2:$AS$1001,MATCH(ROWS($V$2:V723),$V$2:$V$1001,0),MATCH(COLUMNS($AC$1006:AD1006),$AC$1006:$AS$1006,0)), HYPERLINK("#",""), HYPERLINK(CONCATENATE("#Metadata!", ADDRESS(INDEX($X$2:$X$1001,MATCH(ROWS($V$2:V723),$V$2:$V$1001,0),0), INDEX($AC$1004:$AS$1004,1,MATCH(COLUMNS($AC$1006:AD1006),$AC$1006:$AS$1006,0)))),"Fix")))</f>
        <v>0</v>
      </c>
      <c r="D723" s="5">
        <f>IF(OR(INDEX($W$2:$W$1001,MATCH(ROWS($V$2:V723),$V$2:$V$1001,0),1)&gt;=100000,INDEX($AC$1005:$AS$1005,1,MATCH(COLUMNS($AC$1006:AE1006),$AC$1006:$AS$1006,0))&gt;=100000), " ",IF(INDEX($AC$2:$AS$1001,MATCH(ROWS($V$2:V723),$V$2:$V$1001,0),MATCH(COLUMNS($AC$1006:AE1006),$AC$1006:$AS$1006,0)), HYPERLINK("#",""), HYPERLINK(CONCATENATE("#Metadata!", ADDRESS(INDEX($X$2:$X$1001,MATCH(ROWS($V$2:V723),$V$2:$V$1001,0),0), INDEX($AC$1004:$AS$1004,1,MATCH(COLUMNS($AC$1006:AE1006),$AC$1006:$AS$1006,0)))),"Fix")))</f>
        <v>0</v>
      </c>
      <c r="E723" s="5">
        <f>IF(OR(INDEX($W$2:$W$1001,MATCH(ROWS($V$2:V723),$V$2:$V$1001,0),1)&gt;=100000,INDEX($AC$1005:$AS$1005,1,MATCH(COLUMNS($AC$1006:AF1006),$AC$1006:$AS$1006,0))&gt;=100000), " ",IF(INDEX($AC$2:$AS$1001,MATCH(ROWS($V$2:V723),$V$2:$V$1001,0),MATCH(COLUMNS($AC$1006:AF1006),$AC$1006:$AS$1006,0)), HYPERLINK("#",""), HYPERLINK(CONCATENATE("#Metadata!", ADDRESS(INDEX($X$2:$X$1001,MATCH(ROWS($V$2:V723),$V$2:$V$1001,0),0), INDEX($AC$1004:$AS$1004,1,MATCH(COLUMNS($AC$1006:AF1006),$AC$1006:$AS$1006,0)))),"Fix")))</f>
        <v>0</v>
      </c>
      <c r="F723" s="5">
        <f>IF(OR(INDEX($W$2:$W$1001,MATCH(ROWS($V$2:V723),$V$2:$V$1001,0),1)&gt;=100000,INDEX($AC$1005:$AS$1005,1,MATCH(COLUMNS($AC$1006:AG1006),$AC$1006:$AS$1006,0))&gt;=100000), " ",IF(INDEX($AC$2:$AS$1001,MATCH(ROWS($V$2:V723),$V$2:$V$1001,0),MATCH(COLUMNS($AC$1006:AG1006),$AC$1006:$AS$1006,0)), HYPERLINK("#",""), HYPERLINK(CONCATENATE("#Metadata!", ADDRESS(INDEX($X$2:$X$1001,MATCH(ROWS($V$2:V723),$V$2:$V$1001,0),0), INDEX($AC$1004:$AS$1004,1,MATCH(COLUMNS($AC$1006:AG1006),$AC$1006:$AS$1006,0)))),"Fix")))</f>
        <v>0</v>
      </c>
      <c r="G723" s="5">
        <f>IF(OR(INDEX($W$2:$W$1001,MATCH(ROWS($V$2:V723),$V$2:$V$1001,0),1)&gt;=100000,INDEX($AC$1005:$AS$1005,1,MATCH(COLUMNS($AC$1006:AH1006),$AC$1006:$AS$1006,0))&gt;=100000), " ",IF(INDEX($AC$2:$AS$1001,MATCH(ROWS($V$2:V723),$V$2:$V$1001,0),MATCH(COLUMNS($AC$1006:AH1006),$AC$1006:$AS$1006,0)), HYPERLINK("#",""), HYPERLINK(CONCATENATE("#Metadata!", ADDRESS(INDEX($X$2:$X$1001,MATCH(ROWS($V$2:V723),$V$2:$V$1001,0),0), INDEX($AC$1004:$AS$1004,1,MATCH(COLUMNS($AC$1006:AH1006),$AC$1006:$AS$1006,0)))),"Fix")))</f>
        <v>0</v>
      </c>
      <c r="H723" s="5">
        <f>IF(OR(INDEX($W$2:$W$1001,MATCH(ROWS($V$2:V723),$V$2:$V$1001,0),1)&gt;=100000,INDEX($AC$1005:$AS$1005,1,MATCH(COLUMNS($AC$1006:AI1006),$AC$1006:$AS$1006,0))&gt;=100000), " ",IF(INDEX($AC$2:$AS$1001,MATCH(ROWS($V$2:V723),$V$2:$V$1001,0),MATCH(COLUMNS($AC$1006:AI1006),$AC$1006:$AS$1006,0)), HYPERLINK("#",""), HYPERLINK(CONCATENATE("#Metadata!", ADDRESS(INDEX($X$2:$X$1001,MATCH(ROWS($V$2:V723),$V$2:$V$1001,0),0), INDEX($AC$1004:$AS$1004,1,MATCH(COLUMNS($AC$1006:AI1006),$AC$1006:$AS$1006,0)))),"Fix")))</f>
        <v>0</v>
      </c>
      <c r="I723" s="5">
        <f>IF(OR(INDEX($W$2:$W$1001,MATCH(ROWS($V$2:V723),$V$2:$V$1001,0),1)&gt;=100000,INDEX($AC$1005:$AS$1005,1,MATCH(COLUMNS($AC$1006:AJ1006),$AC$1006:$AS$1006,0))&gt;=100000), " ",IF(INDEX($AC$2:$AS$1001,MATCH(ROWS($V$2:V723),$V$2:$V$1001,0),MATCH(COLUMNS($AC$1006:AJ1006),$AC$1006:$AS$1006,0)), HYPERLINK("#",""), HYPERLINK(CONCATENATE("#Metadata!", ADDRESS(INDEX($X$2:$X$1001,MATCH(ROWS($V$2:V723),$V$2:$V$1001,0),0), INDEX($AC$1004:$AS$1004,1,MATCH(COLUMNS($AC$1006:AJ1006),$AC$1006:$AS$1006,0)))),"Fix")))</f>
        <v>0</v>
      </c>
      <c r="J723" s="5">
        <f>IF(OR(INDEX($W$2:$W$1001,MATCH(ROWS($V$2:V723),$V$2:$V$1001,0),1)&gt;=100000,INDEX($AC$1005:$AS$1005,1,MATCH(COLUMNS($AC$1006:AK1006),$AC$1006:$AS$1006,0))&gt;=100000), " ",IF(INDEX($AC$2:$AS$1001,MATCH(ROWS($V$2:V723),$V$2:$V$1001,0),MATCH(COLUMNS($AC$1006:AK1006),$AC$1006:$AS$1006,0)), HYPERLINK("#",""), HYPERLINK(CONCATENATE("#Metadata!", ADDRESS(INDEX($X$2:$X$1001,MATCH(ROWS($V$2:V723),$V$2:$V$1001,0),0), INDEX($AC$1004:$AS$1004,1,MATCH(COLUMNS($AC$1006:AK1006),$AC$1006:$AS$1006,0)))),"Fix")))</f>
        <v>0</v>
      </c>
      <c r="K723" s="5">
        <f>IF(OR(INDEX($W$2:$W$1001,MATCH(ROWS($V$2:V723),$V$2:$V$1001,0),1)&gt;=100000,INDEX($AC$1005:$AS$1005,1,MATCH(COLUMNS($AC$1006:AL1006),$AC$1006:$AS$1006,0))&gt;=100000), " ",IF(INDEX($AC$2:$AS$1001,MATCH(ROWS($V$2:V723),$V$2:$V$1001,0),MATCH(COLUMNS($AC$1006:AL1006),$AC$1006:$AS$1006,0)), HYPERLINK("#",""), HYPERLINK(CONCATENATE("#Metadata!", ADDRESS(INDEX($X$2:$X$1001,MATCH(ROWS($V$2:V723),$V$2:$V$1001,0),0), INDEX($AC$1004:$AS$1004,1,MATCH(COLUMNS($AC$1006:AL1006),$AC$1006:$AS$1006,0)))),"Fix")))</f>
        <v>0</v>
      </c>
      <c r="L723" s="5">
        <f>IF(OR(INDEX($W$2:$W$1001,MATCH(ROWS($V$2:V723),$V$2:$V$1001,0),1)&gt;=100000,INDEX($AC$1005:$AS$1005,1,MATCH(COLUMNS($AC$1006:AM1006),$AC$1006:$AS$1006,0))&gt;=100000), " ",IF(INDEX($AC$2:$AS$1001,MATCH(ROWS($V$2:V723),$V$2:$V$1001,0),MATCH(COLUMNS($AC$1006:AM1006),$AC$1006:$AS$1006,0)), HYPERLINK("#",""), HYPERLINK(CONCATENATE("#Metadata!", ADDRESS(INDEX($X$2:$X$1001,MATCH(ROWS($V$2:V723),$V$2:$V$1001,0),0), INDEX($AC$1004:$AS$1004,1,MATCH(COLUMNS($AC$1006:AM1006),$AC$1006:$AS$1006,0)))),"Fix")))</f>
        <v>0</v>
      </c>
      <c r="M723" s="5">
        <f>IF(OR(INDEX($W$2:$W$1001,MATCH(ROWS($V$2:V723),$V$2:$V$1001,0),1)&gt;=100000,INDEX($AC$1005:$AS$1005,1,MATCH(COLUMNS($AC$1006:AN1006),$AC$1006:$AS$1006,0))&gt;=100000), " ",IF(INDEX($AC$2:$AS$1001,MATCH(ROWS($V$2:V723),$V$2:$V$1001,0),MATCH(COLUMNS($AC$1006:AN1006),$AC$1006:$AS$1006,0)), HYPERLINK("#",""), HYPERLINK(CONCATENATE("#Metadata!", ADDRESS(INDEX($X$2:$X$1001,MATCH(ROWS($V$2:V723),$V$2:$V$1001,0),0), INDEX($AC$1004:$AS$1004,1,MATCH(COLUMNS($AC$1006:AN1006),$AC$1006:$AS$1006,0)))),"Fix")))</f>
        <v>0</v>
      </c>
      <c r="N723" s="5">
        <f>IF(OR(INDEX($W$2:$W$1001,MATCH(ROWS($V$2:V723),$V$2:$V$1001,0),1)&gt;=100000,INDEX($AC$1005:$AS$1005,1,MATCH(COLUMNS($AC$1006:AO1006),$AC$1006:$AS$1006,0))&gt;=100000), " ",IF(INDEX($AC$2:$AS$1001,MATCH(ROWS($V$2:V723),$V$2:$V$1001,0),MATCH(COLUMNS($AC$1006:AO1006),$AC$1006:$AS$1006,0)), HYPERLINK("#",""), HYPERLINK(CONCATENATE("#Metadata!", ADDRESS(INDEX($X$2:$X$1001,MATCH(ROWS($V$2:V723),$V$2:$V$1001,0),0), INDEX($AC$1004:$AS$1004,1,MATCH(COLUMNS($AC$1006:AO1006),$AC$1006:$AS$1006,0)))),"Fix")))</f>
        <v>0</v>
      </c>
      <c r="O723" s="5">
        <f>IF(OR(INDEX($W$2:$W$1001,MATCH(ROWS($V$2:V723),$V$2:$V$1001,0),1)&gt;=100000,INDEX($AC$1005:$AS$1005,1,MATCH(COLUMNS($AC$1006:AP1006),$AC$1006:$AS$1006,0))&gt;=100000), " ",IF(INDEX($AC$2:$AS$1001,MATCH(ROWS($V$2:V723),$V$2:$V$1001,0),MATCH(COLUMNS($AC$1006:AP1006),$AC$1006:$AS$1006,0)), HYPERLINK("#",""), HYPERLINK(CONCATENATE("#Metadata!", ADDRESS(INDEX($X$2:$X$1001,MATCH(ROWS($V$2:V723),$V$2:$V$1001,0),0), INDEX($AC$1004:$AS$1004,1,MATCH(COLUMNS($AC$1006:AP1006),$AC$1006:$AS$1006,0)))),"Fix")))</f>
        <v>0</v>
      </c>
      <c r="P723" s="5">
        <f>IF(OR(INDEX($W$2:$W$1001,MATCH(ROWS($V$2:V723),$V$2:$V$1001,0),1)&gt;=100000,INDEX($AC$1005:$AS$1005,1,MATCH(COLUMNS($AC$1006:AQ1006),$AC$1006:$AS$1006,0))&gt;=100000), " ",IF(INDEX($AC$2:$AS$1001,MATCH(ROWS($V$2:V723),$V$2:$V$1001,0),MATCH(COLUMNS($AC$1006:AQ1006),$AC$1006:$AS$1006,0)), HYPERLINK("#",""), HYPERLINK(CONCATENATE("#Metadata!", ADDRESS(INDEX($X$2:$X$1001,MATCH(ROWS($V$2:V723),$V$2:$V$1001,0),0), INDEX($AC$1004:$AS$1004,1,MATCH(COLUMNS($AC$1006:AQ1006),$AC$1006:$AS$1006,0)))),"Fix")))</f>
        <v>0</v>
      </c>
      <c r="Q723" s="5">
        <f>IF(OR(INDEX($W$2:$W$1001,MATCH(ROWS($V$2:V723),$V$2:$V$1001,0),1)&gt;=100000,INDEX($AC$1005:$AS$1005,1,MATCH(COLUMNS($AC$1006:AR1006),$AC$1006:$AS$1006,0))&gt;=100000), " ",IF(INDEX($AC$2:$AS$1001,MATCH(ROWS($V$2:V723),$V$2:$V$1001,0),MATCH(COLUMNS($AC$1006:AR1006),$AC$1006:$AS$1006,0)), HYPERLINK("#",""), HYPERLINK(CONCATENATE("#Metadata!", ADDRESS(INDEX($X$2:$X$1001,MATCH(ROWS($V$2:V723),$V$2:$V$1001,0),0), INDEX($AC$1004:$AS$1004,1,MATCH(COLUMNS($AC$1006:AR1006),$AC$1006:$AS$1006,0)))),"Fix")))</f>
        <v>0</v>
      </c>
      <c r="R723" s="5">
        <f>IF(OR(INDEX($W$2:$W$1001,MATCH(ROWS($V$2:V723),$V$2:$V$1001,0),1)&gt;=100000,INDEX($AC$1005:$AS$1005,1,MATCH(COLUMNS($AC$1006:AS1006),$AC$1006:$AS$1006,0))&gt;=100000), " ",IF(INDEX($AC$2:$AS$1001,MATCH(ROWS($V$2:V723),$V$2:$V$1001,0),MATCH(COLUMNS($AC$1006:AS1006),$AC$1006:$AS$1006,0)), HYPERLINK("#",""), HYPERLINK(CONCATENATE("#Metadata!", ADDRESS(INDEX($X$2:$X$1001,MATCH(ROWS($V$2:V723),$V$2:$V$1001,0),0), INDEX($AC$1004:$AS$1004,1,MATCH(COLUMNS($AC$1006:AS1006),$AC$1006:$AS$1006,0)))),"Fix")))</f>
        <v>0</v>
      </c>
      <c r="V723">
        <v>0</v>
      </c>
      <c r="W723">
        <v>0</v>
      </c>
      <c r="X723">
        <v>0</v>
      </c>
      <c r="Y723">
        <f>IF(Z723,TRUE,AND(AC723:AS723))</f>
        <v>0</v>
      </c>
      <c r="Z723">
        <f>COUNTBLANK(Metadata!B723:R723)=COLUMNS(Metadata!B723:R723)</f>
        <v>0</v>
      </c>
      <c r="AA723">
        <v>0</v>
      </c>
      <c r="AC723">
        <f>AND(IF(Metadata!B723="",FALSE,TRUE),COUNTIF(Metadata!B:B, Metadata!B723) = 1,NOT(ISERROR(SUMPRODUCT(SEARCH(MID(Metadata!B723,ROW(INDIRECT("1:"&amp;LEN(Metadata!B723))), 1),"0123456789abcdefghijklmnopqrstuvwxyzABCDEFGHIJKLMNOPQRSTUVWXYZ.")))))</f>
        <v>0</v>
      </c>
      <c r="AD723">
        <f>AND(IF(Metadata!C723="",FALSE,TRUE),exact(Metadata!C723,"Host-associated"))</f>
        <v>0</v>
      </c>
      <c r="AE723">
        <f>AND(IF(Metadata!D723="",FALSE,TRUE),OR(exact(Metadata!D723,"Animal"),exact(Metadata!D723,"Fungus"),exact(Metadata!D723,"Plant")))</f>
        <v>0</v>
      </c>
      <c r="AF723">
        <f>AND(IF(Metadata!E723="",FALSE,TRUE),OR(exact(Metadata!E723,"Plant secretion"),exact(Metadata!E723,"Plant rhizosphere"),exact(Metadata!E723,"Plant surface"),exact(Metadata!E723,"Plant corpus"),exact(Metadata!E723,"Fungus surface"),exact(Metadata!E723,"Fungus corpus"),exact(Metadata!E723,"Animal surface"),exact(Metadata!E723,"Animal proximal gut"),exact(Metadata!E723,"Animal corpus"),exact(Metadata!E723,"Animal distal gut"),exact(Metadata!E723,"Animal secretion")))</f>
        <v>0</v>
      </c>
      <c r="AG723">
        <f>OR(AND(IF(Metadata!F723="",FALSE,TRUE),OR(exact(Metadata!F723,"not collected"),exact(Metadata!F723,"not provided"),exact(Metadata!F723,"restricted access"))),AND(IF(Metadata!F723="",FALSE,TRUE),OR(exact(Metadata!F723,"organism-associated habitat"),exact(Metadata!F723,"plant-associated habitat"),exact(Metadata!F723,"animal-associated habitat"),exact(Metadata!F723,"insecta-associated habitat"),exact(Metadata!F723,"mammalia-associated habitat"),exact(Metadata!F723,"human-associated habitat"),exact(Metadata!F723,"livestock-associated habitat"))))</f>
        <v>0</v>
      </c>
      <c r="AH723">
        <f>AND(IF(Metadata!G723="",FALSE,TRUE),exact(Metadata!G723,"host-associated"))</f>
        <v>0</v>
      </c>
      <c r="AI723">
        <f>OR(AND(IF(Metadata!H723="",FALSE,TRUE),OR(exact(Metadata!H723,"not collected"),exact(Metadata!H723,"not provided"))),AND(IF(Metadata!H723="",FALSE,ISNUMBER(VALUE(Metadata!H723))),Metadata!H723&gt;0))</f>
        <v>0</v>
      </c>
      <c r="AJ723">
        <f>AND(IF(Metadata!I723="",FALSE,TRUE),exact(Metadata!I723,"years"))</f>
        <v>0</v>
      </c>
      <c r="AK723">
        <f>IF(Metadata!J723="",FALSE,TRUE)</f>
        <v>0</v>
      </c>
      <c r="AL723">
        <f>OR(AND(IF(Metadata!K723="",FALSE,TRUE),OR(exact(Metadata!K723,"not collected"),exact(Metadata!K723,"not provided"))),AND(IF(Metadata!K723="",FALSE,ISNUMBER(VALUE(Metadata!K723))),Metadata!K723&gt;0))</f>
        <v>0</v>
      </c>
      <c r="AM723">
        <f>AND(IF(Metadata!L723="",FALSE,TRUE),exact(Metadata!L723,"cm"))</f>
        <v>0</v>
      </c>
      <c r="AN723">
        <f>IF(Metadata!M723="",FALSE,TRUE)</f>
        <v>0</v>
      </c>
      <c r="AO723">
        <f>OR(AND(IF(Metadata!N723="",FALSE,TRUE),OR(exact(Metadata!N723,"not applicable"),exact(Metadata!N723,"not collected"),exact(Metadata!N723,"not provided"))),AND(IF(Metadata!N723="",FALSE,IF(ISERROR(INT(Metadata!N723)),FALSE,INT(Metadata!N723)=Metadata!N723)),Metadata!N723&gt;0))</f>
        <v>0</v>
      </c>
      <c r="AP723">
        <f>OR(AND(IF(Metadata!O723="",FALSE,TRUE),OR(exact(Metadata!O723,"not collected"),exact(Metadata!O723,"not provided"))),AND(IF(Metadata!O723="",FALSE,ISNUMBER(VALUE(Metadata!O723))),Metadata!O723&gt;0))</f>
        <v>0</v>
      </c>
      <c r="AQ723">
        <f>AND(IF(Metadata!P723="",FALSE,TRUE),exact(Metadata!P723,"kg"))</f>
        <v>0</v>
      </c>
      <c r="AR723">
        <f>OR(AND(IF(Metadata!Q723="",FALSE,TRUE),OR(exact(Metadata!Q723,"not applicable"),exact(Metadata!Q723,"not collected"),exact(Metadata!Q723,"not provided"),exact(Metadata!Q723,"restricted access"))),IF(Metadata!Q723="",FALSE,IF(ISERROR(INT(Metadata!Q723)),FALSE,INT(Metadata!Q723)=Metadata!Q723)))</f>
        <v>0</v>
      </c>
      <c r="AS723">
        <f>AND(IF(Metadata!R723="",FALSE,TRUE),exact(Metadata!R723,"Not applicable"))</f>
        <v>0</v>
      </c>
    </row>
    <row r="724" spans="1:45">
      <c r="A724" s="4">
        <f>IF(B724=" "," ",HYPERLINK(CONCATENATE("#metadata!",ADDRESS(INDEX($X$2:$X$1001,MATCH(ROWS($V$2:V724),$V$2:$V$1001,0),0),2)),INDEX($AA$2:$AA$1001,MATCH(ROWS($V$2:V724),$V$2:$V$1001,0),0)))</f>
        <v>0</v>
      </c>
      <c r="B724" s="5">
        <f>IF(OR(INDEX($W$2:$W$1001,MATCH(ROWS($V$2:V724),$V$2:$V$1001,0),1)&gt;=100000,INDEX($AC$1005:$AS$1005,1,MATCH(COLUMNS($AC$1006:AC1006),$AC$1006:$AS$1006,0))&gt;=100000), " ",IF(INDEX($AC$2:$AS$1001,MATCH(ROWS($V$2:V724),$V$2:$V$1001,0),MATCH(COLUMNS($AC$1006:AC1006),$AC$1006:$AS$1006,0)), HYPERLINK("#",""), HYPERLINK(CONCATENATE("#Metadata!", ADDRESS(INDEX($X$2:$X$1001,MATCH(ROWS($V$2:V724),$V$2:$V$1001,0),0), INDEX($AC$1004:$AS$1004,1,MATCH(COLUMNS($AC$1006:AC1006),$AC$1006:$AS$1006,0)))),"Fix")))</f>
        <v>0</v>
      </c>
      <c r="C724" s="5">
        <f>IF(OR(INDEX($W$2:$W$1001,MATCH(ROWS($V$2:V724),$V$2:$V$1001,0),1)&gt;=100000,INDEX($AC$1005:$AS$1005,1,MATCH(COLUMNS($AC$1006:AD1006),$AC$1006:$AS$1006,0))&gt;=100000), " ",IF(INDEX($AC$2:$AS$1001,MATCH(ROWS($V$2:V724),$V$2:$V$1001,0),MATCH(COLUMNS($AC$1006:AD1006),$AC$1006:$AS$1006,0)), HYPERLINK("#",""), HYPERLINK(CONCATENATE("#Metadata!", ADDRESS(INDEX($X$2:$X$1001,MATCH(ROWS($V$2:V724),$V$2:$V$1001,0),0), INDEX($AC$1004:$AS$1004,1,MATCH(COLUMNS($AC$1006:AD1006),$AC$1006:$AS$1006,0)))),"Fix")))</f>
        <v>0</v>
      </c>
      <c r="D724" s="5">
        <f>IF(OR(INDEX($W$2:$W$1001,MATCH(ROWS($V$2:V724),$V$2:$V$1001,0),1)&gt;=100000,INDEX($AC$1005:$AS$1005,1,MATCH(COLUMNS($AC$1006:AE1006),$AC$1006:$AS$1006,0))&gt;=100000), " ",IF(INDEX($AC$2:$AS$1001,MATCH(ROWS($V$2:V724),$V$2:$V$1001,0),MATCH(COLUMNS($AC$1006:AE1006),$AC$1006:$AS$1006,0)), HYPERLINK("#",""), HYPERLINK(CONCATENATE("#Metadata!", ADDRESS(INDEX($X$2:$X$1001,MATCH(ROWS($V$2:V724),$V$2:$V$1001,0),0), INDEX($AC$1004:$AS$1004,1,MATCH(COLUMNS($AC$1006:AE1006),$AC$1006:$AS$1006,0)))),"Fix")))</f>
        <v>0</v>
      </c>
      <c r="E724" s="5">
        <f>IF(OR(INDEX($W$2:$W$1001,MATCH(ROWS($V$2:V724),$V$2:$V$1001,0),1)&gt;=100000,INDEX($AC$1005:$AS$1005,1,MATCH(COLUMNS($AC$1006:AF1006),$AC$1006:$AS$1006,0))&gt;=100000), " ",IF(INDEX($AC$2:$AS$1001,MATCH(ROWS($V$2:V724),$V$2:$V$1001,0),MATCH(COLUMNS($AC$1006:AF1006),$AC$1006:$AS$1006,0)), HYPERLINK("#",""), HYPERLINK(CONCATENATE("#Metadata!", ADDRESS(INDEX($X$2:$X$1001,MATCH(ROWS($V$2:V724),$V$2:$V$1001,0),0), INDEX($AC$1004:$AS$1004,1,MATCH(COLUMNS($AC$1006:AF1006),$AC$1006:$AS$1006,0)))),"Fix")))</f>
        <v>0</v>
      </c>
      <c r="F724" s="5">
        <f>IF(OR(INDEX($W$2:$W$1001,MATCH(ROWS($V$2:V724),$V$2:$V$1001,0),1)&gt;=100000,INDEX($AC$1005:$AS$1005,1,MATCH(COLUMNS($AC$1006:AG1006),$AC$1006:$AS$1006,0))&gt;=100000), " ",IF(INDEX($AC$2:$AS$1001,MATCH(ROWS($V$2:V724),$V$2:$V$1001,0),MATCH(COLUMNS($AC$1006:AG1006),$AC$1006:$AS$1006,0)), HYPERLINK("#",""), HYPERLINK(CONCATENATE("#Metadata!", ADDRESS(INDEX($X$2:$X$1001,MATCH(ROWS($V$2:V724),$V$2:$V$1001,0),0), INDEX($AC$1004:$AS$1004,1,MATCH(COLUMNS($AC$1006:AG1006),$AC$1006:$AS$1006,0)))),"Fix")))</f>
        <v>0</v>
      </c>
      <c r="G724" s="5">
        <f>IF(OR(INDEX($W$2:$W$1001,MATCH(ROWS($V$2:V724),$V$2:$V$1001,0),1)&gt;=100000,INDEX($AC$1005:$AS$1005,1,MATCH(COLUMNS($AC$1006:AH1006),$AC$1006:$AS$1006,0))&gt;=100000), " ",IF(INDEX($AC$2:$AS$1001,MATCH(ROWS($V$2:V724),$V$2:$V$1001,0),MATCH(COLUMNS($AC$1006:AH1006),$AC$1006:$AS$1006,0)), HYPERLINK("#",""), HYPERLINK(CONCATENATE("#Metadata!", ADDRESS(INDEX($X$2:$X$1001,MATCH(ROWS($V$2:V724),$V$2:$V$1001,0),0), INDEX($AC$1004:$AS$1004,1,MATCH(COLUMNS($AC$1006:AH1006),$AC$1006:$AS$1006,0)))),"Fix")))</f>
        <v>0</v>
      </c>
      <c r="H724" s="5">
        <f>IF(OR(INDEX($W$2:$W$1001,MATCH(ROWS($V$2:V724),$V$2:$V$1001,0),1)&gt;=100000,INDEX($AC$1005:$AS$1005,1,MATCH(COLUMNS($AC$1006:AI1006),$AC$1006:$AS$1006,0))&gt;=100000), " ",IF(INDEX($AC$2:$AS$1001,MATCH(ROWS($V$2:V724),$V$2:$V$1001,0),MATCH(COLUMNS($AC$1006:AI1006),$AC$1006:$AS$1006,0)), HYPERLINK("#",""), HYPERLINK(CONCATENATE("#Metadata!", ADDRESS(INDEX($X$2:$X$1001,MATCH(ROWS($V$2:V724),$V$2:$V$1001,0),0), INDEX($AC$1004:$AS$1004,1,MATCH(COLUMNS($AC$1006:AI1006),$AC$1006:$AS$1006,0)))),"Fix")))</f>
        <v>0</v>
      </c>
      <c r="I724" s="5">
        <f>IF(OR(INDEX($W$2:$W$1001,MATCH(ROWS($V$2:V724),$V$2:$V$1001,0),1)&gt;=100000,INDEX($AC$1005:$AS$1005,1,MATCH(COLUMNS($AC$1006:AJ1006),$AC$1006:$AS$1006,0))&gt;=100000), " ",IF(INDEX($AC$2:$AS$1001,MATCH(ROWS($V$2:V724),$V$2:$V$1001,0),MATCH(COLUMNS($AC$1006:AJ1006),$AC$1006:$AS$1006,0)), HYPERLINK("#",""), HYPERLINK(CONCATENATE("#Metadata!", ADDRESS(INDEX($X$2:$X$1001,MATCH(ROWS($V$2:V724),$V$2:$V$1001,0),0), INDEX($AC$1004:$AS$1004,1,MATCH(COLUMNS($AC$1006:AJ1006),$AC$1006:$AS$1006,0)))),"Fix")))</f>
        <v>0</v>
      </c>
      <c r="J724" s="5">
        <f>IF(OR(INDEX($W$2:$W$1001,MATCH(ROWS($V$2:V724),$V$2:$V$1001,0),1)&gt;=100000,INDEX($AC$1005:$AS$1005,1,MATCH(COLUMNS($AC$1006:AK1006),$AC$1006:$AS$1006,0))&gt;=100000), " ",IF(INDEX($AC$2:$AS$1001,MATCH(ROWS($V$2:V724),$V$2:$V$1001,0),MATCH(COLUMNS($AC$1006:AK1006),$AC$1006:$AS$1006,0)), HYPERLINK("#",""), HYPERLINK(CONCATENATE("#Metadata!", ADDRESS(INDEX($X$2:$X$1001,MATCH(ROWS($V$2:V724),$V$2:$V$1001,0),0), INDEX($AC$1004:$AS$1004,1,MATCH(COLUMNS($AC$1006:AK1006),$AC$1006:$AS$1006,0)))),"Fix")))</f>
        <v>0</v>
      </c>
      <c r="K724" s="5">
        <f>IF(OR(INDEX($W$2:$W$1001,MATCH(ROWS($V$2:V724),$V$2:$V$1001,0),1)&gt;=100000,INDEX($AC$1005:$AS$1005,1,MATCH(COLUMNS($AC$1006:AL1006),$AC$1006:$AS$1006,0))&gt;=100000), " ",IF(INDEX($AC$2:$AS$1001,MATCH(ROWS($V$2:V724),$V$2:$V$1001,0),MATCH(COLUMNS($AC$1006:AL1006),$AC$1006:$AS$1006,0)), HYPERLINK("#",""), HYPERLINK(CONCATENATE("#Metadata!", ADDRESS(INDEX($X$2:$X$1001,MATCH(ROWS($V$2:V724),$V$2:$V$1001,0),0), INDEX($AC$1004:$AS$1004,1,MATCH(COLUMNS($AC$1006:AL1006),$AC$1006:$AS$1006,0)))),"Fix")))</f>
        <v>0</v>
      </c>
      <c r="L724" s="5">
        <f>IF(OR(INDEX($W$2:$W$1001,MATCH(ROWS($V$2:V724),$V$2:$V$1001,0),1)&gt;=100000,INDEX($AC$1005:$AS$1005,1,MATCH(COLUMNS($AC$1006:AM1006),$AC$1006:$AS$1006,0))&gt;=100000), " ",IF(INDEX($AC$2:$AS$1001,MATCH(ROWS($V$2:V724),$V$2:$V$1001,0),MATCH(COLUMNS($AC$1006:AM1006),$AC$1006:$AS$1006,0)), HYPERLINK("#",""), HYPERLINK(CONCATENATE("#Metadata!", ADDRESS(INDEX($X$2:$X$1001,MATCH(ROWS($V$2:V724),$V$2:$V$1001,0),0), INDEX($AC$1004:$AS$1004,1,MATCH(COLUMNS($AC$1006:AM1006),$AC$1006:$AS$1006,0)))),"Fix")))</f>
        <v>0</v>
      </c>
      <c r="M724" s="5">
        <f>IF(OR(INDEX($W$2:$W$1001,MATCH(ROWS($V$2:V724),$V$2:$V$1001,0),1)&gt;=100000,INDEX($AC$1005:$AS$1005,1,MATCH(COLUMNS($AC$1006:AN1006),$AC$1006:$AS$1006,0))&gt;=100000), " ",IF(INDEX($AC$2:$AS$1001,MATCH(ROWS($V$2:V724),$V$2:$V$1001,0),MATCH(COLUMNS($AC$1006:AN1006),$AC$1006:$AS$1006,0)), HYPERLINK("#",""), HYPERLINK(CONCATENATE("#Metadata!", ADDRESS(INDEX($X$2:$X$1001,MATCH(ROWS($V$2:V724),$V$2:$V$1001,0),0), INDEX($AC$1004:$AS$1004,1,MATCH(COLUMNS($AC$1006:AN1006),$AC$1006:$AS$1006,0)))),"Fix")))</f>
        <v>0</v>
      </c>
      <c r="N724" s="5">
        <f>IF(OR(INDEX($W$2:$W$1001,MATCH(ROWS($V$2:V724),$V$2:$V$1001,0),1)&gt;=100000,INDEX($AC$1005:$AS$1005,1,MATCH(COLUMNS($AC$1006:AO1006),$AC$1006:$AS$1006,0))&gt;=100000), " ",IF(INDEX($AC$2:$AS$1001,MATCH(ROWS($V$2:V724),$V$2:$V$1001,0),MATCH(COLUMNS($AC$1006:AO1006),$AC$1006:$AS$1006,0)), HYPERLINK("#",""), HYPERLINK(CONCATENATE("#Metadata!", ADDRESS(INDEX($X$2:$X$1001,MATCH(ROWS($V$2:V724),$V$2:$V$1001,0),0), INDEX($AC$1004:$AS$1004,1,MATCH(COLUMNS($AC$1006:AO1006),$AC$1006:$AS$1006,0)))),"Fix")))</f>
        <v>0</v>
      </c>
      <c r="O724" s="5">
        <f>IF(OR(INDEX($W$2:$W$1001,MATCH(ROWS($V$2:V724),$V$2:$V$1001,0),1)&gt;=100000,INDEX($AC$1005:$AS$1005,1,MATCH(COLUMNS($AC$1006:AP1006),$AC$1006:$AS$1006,0))&gt;=100000), " ",IF(INDEX($AC$2:$AS$1001,MATCH(ROWS($V$2:V724),$V$2:$V$1001,0),MATCH(COLUMNS($AC$1006:AP1006),$AC$1006:$AS$1006,0)), HYPERLINK("#",""), HYPERLINK(CONCATENATE("#Metadata!", ADDRESS(INDEX($X$2:$X$1001,MATCH(ROWS($V$2:V724),$V$2:$V$1001,0),0), INDEX($AC$1004:$AS$1004,1,MATCH(COLUMNS($AC$1006:AP1006),$AC$1006:$AS$1006,0)))),"Fix")))</f>
        <v>0</v>
      </c>
      <c r="P724" s="5">
        <f>IF(OR(INDEX($W$2:$W$1001,MATCH(ROWS($V$2:V724),$V$2:$V$1001,0),1)&gt;=100000,INDEX($AC$1005:$AS$1005,1,MATCH(COLUMNS($AC$1006:AQ1006),$AC$1006:$AS$1006,0))&gt;=100000), " ",IF(INDEX($AC$2:$AS$1001,MATCH(ROWS($V$2:V724),$V$2:$V$1001,0),MATCH(COLUMNS($AC$1006:AQ1006),$AC$1006:$AS$1006,0)), HYPERLINK("#",""), HYPERLINK(CONCATENATE("#Metadata!", ADDRESS(INDEX($X$2:$X$1001,MATCH(ROWS($V$2:V724),$V$2:$V$1001,0),0), INDEX($AC$1004:$AS$1004,1,MATCH(COLUMNS($AC$1006:AQ1006),$AC$1006:$AS$1006,0)))),"Fix")))</f>
        <v>0</v>
      </c>
      <c r="Q724" s="5">
        <f>IF(OR(INDEX($W$2:$W$1001,MATCH(ROWS($V$2:V724),$V$2:$V$1001,0),1)&gt;=100000,INDEX($AC$1005:$AS$1005,1,MATCH(COLUMNS($AC$1006:AR1006),$AC$1006:$AS$1006,0))&gt;=100000), " ",IF(INDEX($AC$2:$AS$1001,MATCH(ROWS($V$2:V724),$V$2:$V$1001,0),MATCH(COLUMNS($AC$1006:AR1006),$AC$1006:$AS$1006,0)), HYPERLINK("#",""), HYPERLINK(CONCATENATE("#Metadata!", ADDRESS(INDEX($X$2:$X$1001,MATCH(ROWS($V$2:V724),$V$2:$V$1001,0),0), INDEX($AC$1004:$AS$1004,1,MATCH(COLUMNS($AC$1006:AR1006),$AC$1006:$AS$1006,0)))),"Fix")))</f>
        <v>0</v>
      </c>
      <c r="R724" s="5">
        <f>IF(OR(INDEX($W$2:$W$1001,MATCH(ROWS($V$2:V724),$V$2:$V$1001,0),1)&gt;=100000,INDEX($AC$1005:$AS$1005,1,MATCH(COLUMNS($AC$1006:AS1006),$AC$1006:$AS$1006,0))&gt;=100000), " ",IF(INDEX($AC$2:$AS$1001,MATCH(ROWS($V$2:V724),$V$2:$V$1001,0),MATCH(COLUMNS($AC$1006:AS1006),$AC$1006:$AS$1006,0)), HYPERLINK("#",""), HYPERLINK(CONCATENATE("#Metadata!", ADDRESS(INDEX($X$2:$X$1001,MATCH(ROWS($V$2:V724),$V$2:$V$1001,0),0), INDEX($AC$1004:$AS$1004,1,MATCH(COLUMNS($AC$1006:AS1006),$AC$1006:$AS$1006,0)))),"Fix")))</f>
        <v>0</v>
      </c>
      <c r="V724">
        <v>0</v>
      </c>
      <c r="W724">
        <v>0</v>
      </c>
      <c r="X724">
        <v>0</v>
      </c>
      <c r="Y724">
        <f>IF(Z724,TRUE,AND(AC724:AS724))</f>
        <v>0</v>
      </c>
      <c r="Z724">
        <f>COUNTBLANK(Metadata!B724:R724)=COLUMNS(Metadata!B724:R724)</f>
        <v>0</v>
      </c>
      <c r="AA724">
        <v>0</v>
      </c>
      <c r="AC724">
        <f>AND(IF(Metadata!B724="",FALSE,TRUE),COUNTIF(Metadata!B:B, Metadata!B724) = 1,NOT(ISERROR(SUMPRODUCT(SEARCH(MID(Metadata!B724,ROW(INDIRECT("1:"&amp;LEN(Metadata!B724))), 1),"0123456789abcdefghijklmnopqrstuvwxyzABCDEFGHIJKLMNOPQRSTUVWXYZ.")))))</f>
        <v>0</v>
      </c>
      <c r="AD724">
        <f>AND(IF(Metadata!C724="",FALSE,TRUE),exact(Metadata!C724,"Host-associated"))</f>
        <v>0</v>
      </c>
      <c r="AE724">
        <f>AND(IF(Metadata!D724="",FALSE,TRUE),OR(exact(Metadata!D724,"Animal"),exact(Metadata!D724,"Fungus"),exact(Metadata!D724,"Plant")))</f>
        <v>0</v>
      </c>
      <c r="AF724">
        <f>AND(IF(Metadata!E724="",FALSE,TRUE),OR(exact(Metadata!E724,"Plant secretion"),exact(Metadata!E724,"Plant rhizosphere"),exact(Metadata!E724,"Plant surface"),exact(Metadata!E724,"Plant corpus"),exact(Metadata!E724,"Fungus surface"),exact(Metadata!E724,"Fungus corpus"),exact(Metadata!E724,"Animal surface"),exact(Metadata!E724,"Animal proximal gut"),exact(Metadata!E724,"Animal corpus"),exact(Metadata!E724,"Animal distal gut"),exact(Metadata!E724,"Animal secretion")))</f>
        <v>0</v>
      </c>
      <c r="AG724">
        <f>OR(AND(IF(Metadata!F724="",FALSE,TRUE),OR(exact(Metadata!F724,"not collected"),exact(Metadata!F724,"not provided"),exact(Metadata!F724,"restricted access"))),AND(IF(Metadata!F724="",FALSE,TRUE),OR(exact(Metadata!F724,"organism-associated habitat"),exact(Metadata!F724,"plant-associated habitat"),exact(Metadata!F724,"animal-associated habitat"),exact(Metadata!F724,"insecta-associated habitat"),exact(Metadata!F724,"mammalia-associated habitat"),exact(Metadata!F724,"human-associated habitat"),exact(Metadata!F724,"livestock-associated habitat"))))</f>
        <v>0</v>
      </c>
      <c r="AH724">
        <f>AND(IF(Metadata!G724="",FALSE,TRUE),exact(Metadata!G724,"host-associated"))</f>
        <v>0</v>
      </c>
      <c r="AI724">
        <f>OR(AND(IF(Metadata!H724="",FALSE,TRUE),OR(exact(Metadata!H724,"not collected"),exact(Metadata!H724,"not provided"))),AND(IF(Metadata!H724="",FALSE,ISNUMBER(VALUE(Metadata!H724))),Metadata!H724&gt;0))</f>
        <v>0</v>
      </c>
      <c r="AJ724">
        <f>AND(IF(Metadata!I724="",FALSE,TRUE),exact(Metadata!I724,"years"))</f>
        <v>0</v>
      </c>
      <c r="AK724">
        <f>IF(Metadata!J724="",FALSE,TRUE)</f>
        <v>0</v>
      </c>
      <c r="AL724">
        <f>OR(AND(IF(Metadata!K724="",FALSE,TRUE),OR(exact(Metadata!K724,"not collected"),exact(Metadata!K724,"not provided"))),AND(IF(Metadata!K724="",FALSE,ISNUMBER(VALUE(Metadata!K724))),Metadata!K724&gt;0))</f>
        <v>0</v>
      </c>
      <c r="AM724">
        <f>AND(IF(Metadata!L724="",FALSE,TRUE),exact(Metadata!L724,"cm"))</f>
        <v>0</v>
      </c>
      <c r="AN724">
        <f>IF(Metadata!M724="",FALSE,TRUE)</f>
        <v>0</v>
      </c>
      <c r="AO724">
        <f>OR(AND(IF(Metadata!N724="",FALSE,TRUE),OR(exact(Metadata!N724,"not applicable"),exact(Metadata!N724,"not collected"),exact(Metadata!N724,"not provided"))),AND(IF(Metadata!N724="",FALSE,IF(ISERROR(INT(Metadata!N724)),FALSE,INT(Metadata!N724)=Metadata!N724)),Metadata!N724&gt;0))</f>
        <v>0</v>
      </c>
      <c r="AP724">
        <f>OR(AND(IF(Metadata!O724="",FALSE,TRUE),OR(exact(Metadata!O724,"not collected"),exact(Metadata!O724,"not provided"))),AND(IF(Metadata!O724="",FALSE,ISNUMBER(VALUE(Metadata!O724))),Metadata!O724&gt;0))</f>
        <v>0</v>
      </c>
      <c r="AQ724">
        <f>AND(IF(Metadata!P724="",FALSE,TRUE),exact(Metadata!P724,"kg"))</f>
        <v>0</v>
      </c>
      <c r="AR724">
        <f>OR(AND(IF(Metadata!Q724="",FALSE,TRUE),OR(exact(Metadata!Q724,"not applicable"),exact(Metadata!Q724,"not collected"),exact(Metadata!Q724,"not provided"),exact(Metadata!Q724,"restricted access"))),IF(Metadata!Q724="",FALSE,IF(ISERROR(INT(Metadata!Q724)),FALSE,INT(Metadata!Q724)=Metadata!Q724)))</f>
        <v>0</v>
      </c>
      <c r="AS724">
        <f>AND(IF(Metadata!R724="",FALSE,TRUE),exact(Metadata!R724,"Not applicable"))</f>
        <v>0</v>
      </c>
    </row>
    <row r="725" spans="1:45">
      <c r="A725" s="4">
        <f>IF(B725=" "," ",HYPERLINK(CONCATENATE("#metadata!",ADDRESS(INDEX($X$2:$X$1001,MATCH(ROWS($V$2:V725),$V$2:$V$1001,0),0),2)),INDEX($AA$2:$AA$1001,MATCH(ROWS($V$2:V725),$V$2:$V$1001,0),0)))</f>
        <v>0</v>
      </c>
      <c r="B725" s="5">
        <f>IF(OR(INDEX($W$2:$W$1001,MATCH(ROWS($V$2:V725),$V$2:$V$1001,0),1)&gt;=100000,INDEX($AC$1005:$AS$1005,1,MATCH(COLUMNS($AC$1006:AC1006),$AC$1006:$AS$1006,0))&gt;=100000), " ",IF(INDEX($AC$2:$AS$1001,MATCH(ROWS($V$2:V725),$V$2:$V$1001,0),MATCH(COLUMNS($AC$1006:AC1006),$AC$1006:$AS$1006,0)), HYPERLINK("#",""), HYPERLINK(CONCATENATE("#Metadata!", ADDRESS(INDEX($X$2:$X$1001,MATCH(ROWS($V$2:V725),$V$2:$V$1001,0),0), INDEX($AC$1004:$AS$1004,1,MATCH(COLUMNS($AC$1006:AC1006),$AC$1006:$AS$1006,0)))),"Fix")))</f>
        <v>0</v>
      </c>
      <c r="C725" s="5">
        <f>IF(OR(INDEX($W$2:$W$1001,MATCH(ROWS($V$2:V725),$V$2:$V$1001,0),1)&gt;=100000,INDEX($AC$1005:$AS$1005,1,MATCH(COLUMNS($AC$1006:AD1006),$AC$1006:$AS$1006,0))&gt;=100000), " ",IF(INDEX($AC$2:$AS$1001,MATCH(ROWS($V$2:V725),$V$2:$V$1001,0),MATCH(COLUMNS($AC$1006:AD1006),$AC$1006:$AS$1006,0)), HYPERLINK("#",""), HYPERLINK(CONCATENATE("#Metadata!", ADDRESS(INDEX($X$2:$X$1001,MATCH(ROWS($V$2:V725),$V$2:$V$1001,0),0), INDEX($AC$1004:$AS$1004,1,MATCH(COLUMNS($AC$1006:AD1006),$AC$1006:$AS$1006,0)))),"Fix")))</f>
        <v>0</v>
      </c>
      <c r="D725" s="5">
        <f>IF(OR(INDEX($W$2:$W$1001,MATCH(ROWS($V$2:V725),$V$2:$V$1001,0),1)&gt;=100000,INDEX($AC$1005:$AS$1005,1,MATCH(COLUMNS($AC$1006:AE1006),$AC$1006:$AS$1006,0))&gt;=100000), " ",IF(INDEX($AC$2:$AS$1001,MATCH(ROWS($V$2:V725),$V$2:$V$1001,0),MATCH(COLUMNS($AC$1006:AE1006),$AC$1006:$AS$1006,0)), HYPERLINK("#",""), HYPERLINK(CONCATENATE("#Metadata!", ADDRESS(INDEX($X$2:$X$1001,MATCH(ROWS($V$2:V725),$V$2:$V$1001,0),0), INDEX($AC$1004:$AS$1004,1,MATCH(COLUMNS($AC$1006:AE1006),$AC$1006:$AS$1006,0)))),"Fix")))</f>
        <v>0</v>
      </c>
      <c r="E725" s="5">
        <f>IF(OR(INDEX($W$2:$W$1001,MATCH(ROWS($V$2:V725),$V$2:$V$1001,0),1)&gt;=100000,INDEX($AC$1005:$AS$1005,1,MATCH(COLUMNS($AC$1006:AF1006),$AC$1006:$AS$1006,0))&gt;=100000), " ",IF(INDEX($AC$2:$AS$1001,MATCH(ROWS($V$2:V725),$V$2:$V$1001,0),MATCH(COLUMNS($AC$1006:AF1006),$AC$1006:$AS$1006,0)), HYPERLINK("#",""), HYPERLINK(CONCATENATE("#Metadata!", ADDRESS(INDEX($X$2:$X$1001,MATCH(ROWS($V$2:V725),$V$2:$V$1001,0),0), INDEX($AC$1004:$AS$1004,1,MATCH(COLUMNS($AC$1006:AF1006),$AC$1006:$AS$1006,0)))),"Fix")))</f>
        <v>0</v>
      </c>
      <c r="F725" s="5">
        <f>IF(OR(INDEX($W$2:$W$1001,MATCH(ROWS($V$2:V725),$V$2:$V$1001,0),1)&gt;=100000,INDEX($AC$1005:$AS$1005,1,MATCH(COLUMNS($AC$1006:AG1006),$AC$1006:$AS$1006,0))&gt;=100000), " ",IF(INDEX($AC$2:$AS$1001,MATCH(ROWS($V$2:V725),$V$2:$V$1001,0),MATCH(COLUMNS($AC$1006:AG1006),$AC$1006:$AS$1006,0)), HYPERLINK("#",""), HYPERLINK(CONCATENATE("#Metadata!", ADDRESS(INDEX($X$2:$X$1001,MATCH(ROWS($V$2:V725),$V$2:$V$1001,0),0), INDEX($AC$1004:$AS$1004,1,MATCH(COLUMNS($AC$1006:AG1006),$AC$1006:$AS$1006,0)))),"Fix")))</f>
        <v>0</v>
      </c>
      <c r="G725" s="5">
        <f>IF(OR(INDEX($W$2:$W$1001,MATCH(ROWS($V$2:V725),$V$2:$V$1001,0),1)&gt;=100000,INDEX($AC$1005:$AS$1005,1,MATCH(COLUMNS($AC$1006:AH1006),$AC$1006:$AS$1006,0))&gt;=100000), " ",IF(INDEX($AC$2:$AS$1001,MATCH(ROWS($V$2:V725),$V$2:$V$1001,0),MATCH(COLUMNS($AC$1006:AH1006),$AC$1006:$AS$1006,0)), HYPERLINK("#",""), HYPERLINK(CONCATENATE("#Metadata!", ADDRESS(INDEX($X$2:$X$1001,MATCH(ROWS($V$2:V725),$V$2:$V$1001,0),0), INDEX($AC$1004:$AS$1004,1,MATCH(COLUMNS($AC$1006:AH1006),$AC$1006:$AS$1006,0)))),"Fix")))</f>
        <v>0</v>
      </c>
      <c r="H725" s="5">
        <f>IF(OR(INDEX($W$2:$W$1001,MATCH(ROWS($V$2:V725),$V$2:$V$1001,0),1)&gt;=100000,INDEX($AC$1005:$AS$1005,1,MATCH(COLUMNS($AC$1006:AI1006),$AC$1006:$AS$1006,0))&gt;=100000), " ",IF(INDEX($AC$2:$AS$1001,MATCH(ROWS($V$2:V725),$V$2:$V$1001,0),MATCH(COLUMNS($AC$1006:AI1006),$AC$1006:$AS$1006,0)), HYPERLINK("#",""), HYPERLINK(CONCATENATE("#Metadata!", ADDRESS(INDEX($X$2:$X$1001,MATCH(ROWS($V$2:V725),$V$2:$V$1001,0),0), INDEX($AC$1004:$AS$1004,1,MATCH(COLUMNS($AC$1006:AI1006),$AC$1006:$AS$1006,0)))),"Fix")))</f>
        <v>0</v>
      </c>
      <c r="I725" s="5">
        <f>IF(OR(INDEX($W$2:$W$1001,MATCH(ROWS($V$2:V725),$V$2:$V$1001,0),1)&gt;=100000,INDEX($AC$1005:$AS$1005,1,MATCH(COLUMNS($AC$1006:AJ1006),$AC$1006:$AS$1006,0))&gt;=100000), " ",IF(INDEX($AC$2:$AS$1001,MATCH(ROWS($V$2:V725),$V$2:$V$1001,0),MATCH(COLUMNS($AC$1006:AJ1006),$AC$1006:$AS$1006,0)), HYPERLINK("#",""), HYPERLINK(CONCATENATE("#Metadata!", ADDRESS(INDEX($X$2:$X$1001,MATCH(ROWS($V$2:V725),$V$2:$V$1001,0),0), INDEX($AC$1004:$AS$1004,1,MATCH(COLUMNS($AC$1006:AJ1006),$AC$1006:$AS$1006,0)))),"Fix")))</f>
        <v>0</v>
      </c>
      <c r="J725" s="5">
        <f>IF(OR(INDEX($W$2:$W$1001,MATCH(ROWS($V$2:V725),$V$2:$V$1001,0),1)&gt;=100000,INDEX($AC$1005:$AS$1005,1,MATCH(COLUMNS($AC$1006:AK1006),$AC$1006:$AS$1006,0))&gt;=100000), " ",IF(INDEX($AC$2:$AS$1001,MATCH(ROWS($V$2:V725),$V$2:$V$1001,0),MATCH(COLUMNS($AC$1006:AK1006),$AC$1006:$AS$1006,0)), HYPERLINK("#",""), HYPERLINK(CONCATENATE("#Metadata!", ADDRESS(INDEX($X$2:$X$1001,MATCH(ROWS($V$2:V725),$V$2:$V$1001,0),0), INDEX($AC$1004:$AS$1004,1,MATCH(COLUMNS($AC$1006:AK1006),$AC$1006:$AS$1006,0)))),"Fix")))</f>
        <v>0</v>
      </c>
      <c r="K725" s="5">
        <f>IF(OR(INDEX($W$2:$W$1001,MATCH(ROWS($V$2:V725),$V$2:$V$1001,0),1)&gt;=100000,INDEX($AC$1005:$AS$1005,1,MATCH(COLUMNS($AC$1006:AL1006),$AC$1006:$AS$1006,0))&gt;=100000), " ",IF(INDEX($AC$2:$AS$1001,MATCH(ROWS($V$2:V725),$V$2:$V$1001,0),MATCH(COLUMNS($AC$1006:AL1006),$AC$1006:$AS$1006,0)), HYPERLINK("#",""), HYPERLINK(CONCATENATE("#Metadata!", ADDRESS(INDEX($X$2:$X$1001,MATCH(ROWS($V$2:V725),$V$2:$V$1001,0),0), INDEX($AC$1004:$AS$1004,1,MATCH(COLUMNS($AC$1006:AL1006),$AC$1006:$AS$1006,0)))),"Fix")))</f>
        <v>0</v>
      </c>
      <c r="L725" s="5">
        <f>IF(OR(INDEX($W$2:$W$1001,MATCH(ROWS($V$2:V725),$V$2:$V$1001,0),1)&gt;=100000,INDEX($AC$1005:$AS$1005,1,MATCH(COLUMNS($AC$1006:AM1006),$AC$1006:$AS$1006,0))&gt;=100000), " ",IF(INDEX($AC$2:$AS$1001,MATCH(ROWS($V$2:V725),$V$2:$V$1001,0),MATCH(COLUMNS($AC$1006:AM1006),$AC$1006:$AS$1006,0)), HYPERLINK("#",""), HYPERLINK(CONCATENATE("#Metadata!", ADDRESS(INDEX($X$2:$X$1001,MATCH(ROWS($V$2:V725),$V$2:$V$1001,0),0), INDEX($AC$1004:$AS$1004,1,MATCH(COLUMNS($AC$1006:AM1006),$AC$1006:$AS$1006,0)))),"Fix")))</f>
        <v>0</v>
      </c>
      <c r="M725" s="5">
        <f>IF(OR(INDEX($W$2:$W$1001,MATCH(ROWS($V$2:V725),$V$2:$V$1001,0),1)&gt;=100000,INDEX($AC$1005:$AS$1005,1,MATCH(COLUMNS($AC$1006:AN1006),$AC$1006:$AS$1006,0))&gt;=100000), " ",IF(INDEX($AC$2:$AS$1001,MATCH(ROWS($V$2:V725),$V$2:$V$1001,0),MATCH(COLUMNS($AC$1006:AN1006),$AC$1006:$AS$1006,0)), HYPERLINK("#",""), HYPERLINK(CONCATENATE("#Metadata!", ADDRESS(INDEX($X$2:$X$1001,MATCH(ROWS($V$2:V725),$V$2:$V$1001,0),0), INDEX($AC$1004:$AS$1004,1,MATCH(COLUMNS($AC$1006:AN1006),$AC$1006:$AS$1006,0)))),"Fix")))</f>
        <v>0</v>
      </c>
      <c r="N725" s="5">
        <f>IF(OR(INDEX($W$2:$W$1001,MATCH(ROWS($V$2:V725),$V$2:$V$1001,0),1)&gt;=100000,INDEX($AC$1005:$AS$1005,1,MATCH(COLUMNS($AC$1006:AO1006),$AC$1006:$AS$1006,0))&gt;=100000), " ",IF(INDEX($AC$2:$AS$1001,MATCH(ROWS($V$2:V725),$V$2:$V$1001,0),MATCH(COLUMNS($AC$1006:AO1006),$AC$1006:$AS$1006,0)), HYPERLINK("#",""), HYPERLINK(CONCATENATE("#Metadata!", ADDRESS(INDEX($X$2:$X$1001,MATCH(ROWS($V$2:V725),$V$2:$V$1001,0),0), INDEX($AC$1004:$AS$1004,1,MATCH(COLUMNS($AC$1006:AO1006),$AC$1006:$AS$1006,0)))),"Fix")))</f>
        <v>0</v>
      </c>
      <c r="O725" s="5">
        <f>IF(OR(INDEX($W$2:$W$1001,MATCH(ROWS($V$2:V725),$V$2:$V$1001,0),1)&gt;=100000,INDEX($AC$1005:$AS$1005,1,MATCH(COLUMNS($AC$1006:AP1006),$AC$1006:$AS$1006,0))&gt;=100000), " ",IF(INDEX($AC$2:$AS$1001,MATCH(ROWS($V$2:V725),$V$2:$V$1001,0),MATCH(COLUMNS($AC$1006:AP1006),$AC$1006:$AS$1006,0)), HYPERLINK("#",""), HYPERLINK(CONCATENATE("#Metadata!", ADDRESS(INDEX($X$2:$X$1001,MATCH(ROWS($V$2:V725),$V$2:$V$1001,0),0), INDEX($AC$1004:$AS$1004,1,MATCH(COLUMNS($AC$1006:AP1006),$AC$1006:$AS$1006,0)))),"Fix")))</f>
        <v>0</v>
      </c>
      <c r="P725" s="5">
        <f>IF(OR(INDEX($W$2:$W$1001,MATCH(ROWS($V$2:V725),$V$2:$V$1001,0),1)&gt;=100000,INDEX($AC$1005:$AS$1005,1,MATCH(COLUMNS($AC$1006:AQ1006),$AC$1006:$AS$1006,0))&gt;=100000), " ",IF(INDEX($AC$2:$AS$1001,MATCH(ROWS($V$2:V725),$V$2:$V$1001,0),MATCH(COLUMNS($AC$1006:AQ1006),$AC$1006:$AS$1006,0)), HYPERLINK("#",""), HYPERLINK(CONCATENATE("#Metadata!", ADDRESS(INDEX($X$2:$X$1001,MATCH(ROWS($V$2:V725),$V$2:$V$1001,0),0), INDEX($AC$1004:$AS$1004,1,MATCH(COLUMNS($AC$1006:AQ1006),$AC$1006:$AS$1006,0)))),"Fix")))</f>
        <v>0</v>
      </c>
      <c r="Q725" s="5">
        <f>IF(OR(INDEX($W$2:$W$1001,MATCH(ROWS($V$2:V725),$V$2:$V$1001,0),1)&gt;=100000,INDEX($AC$1005:$AS$1005,1,MATCH(COLUMNS($AC$1006:AR1006),$AC$1006:$AS$1006,0))&gt;=100000), " ",IF(INDEX($AC$2:$AS$1001,MATCH(ROWS($V$2:V725),$V$2:$V$1001,0),MATCH(COLUMNS($AC$1006:AR1006),$AC$1006:$AS$1006,0)), HYPERLINK("#",""), HYPERLINK(CONCATENATE("#Metadata!", ADDRESS(INDEX($X$2:$X$1001,MATCH(ROWS($V$2:V725),$V$2:$V$1001,0),0), INDEX($AC$1004:$AS$1004,1,MATCH(COLUMNS($AC$1006:AR1006),$AC$1006:$AS$1006,0)))),"Fix")))</f>
        <v>0</v>
      </c>
      <c r="R725" s="5">
        <f>IF(OR(INDEX($W$2:$W$1001,MATCH(ROWS($V$2:V725),$V$2:$V$1001,0),1)&gt;=100000,INDEX($AC$1005:$AS$1005,1,MATCH(COLUMNS($AC$1006:AS1006),$AC$1006:$AS$1006,0))&gt;=100000), " ",IF(INDEX($AC$2:$AS$1001,MATCH(ROWS($V$2:V725),$V$2:$V$1001,0),MATCH(COLUMNS($AC$1006:AS1006),$AC$1006:$AS$1006,0)), HYPERLINK("#",""), HYPERLINK(CONCATENATE("#Metadata!", ADDRESS(INDEX($X$2:$X$1001,MATCH(ROWS($V$2:V725),$V$2:$V$1001,0),0), INDEX($AC$1004:$AS$1004,1,MATCH(COLUMNS($AC$1006:AS1006),$AC$1006:$AS$1006,0)))),"Fix")))</f>
        <v>0</v>
      </c>
      <c r="V725">
        <v>0</v>
      </c>
      <c r="W725">
        <v>0</v>
      </c>
      <c r="X725">
        <v>0</v>
      </c>
      <c r="Y725">
        <f>IF(Z725,TRUE,AND(AC725:AS725))</f>
        <v>0</v>
      </c>
      <c r="Z725">
        <f>COUNTBLANK(Metadata!B725:R725)=COLUMNS(Metadata!B725:R725)</f>
        <v>0</v>
      </c>
      <c r="AA725">
        <v>0</v>
      </c>
      <c r="AC725">
        <f>AND(IF(Metadata!B725="",FALSE,TRUE),COUNTIF(Metadata!B:B, Metadata!B725) = 1,NOT(ISERROR(SUMPRODUCT(SEARCH(MID(Metadata!B725,ROW(INDIRECT("1:"&amp;LEN(Metadata!B725))), 1),"0123456789abcdefghijklmnopqrstuvwxyzABCDEFGHIJKLMNOPQRSTUVWXYZ.")))))</f>
        <v>0</v>
      </c>
      <c r="AD725">
        <f>AND(IF(Metadata!C725="",FALSE,TRUE),exact(Metadata!C725,"Host-associated"))</f>
        <v>0</v>
      </c>
      <c r="AE725">
        <f>AND(IF(Metadata!D725="",FALSE,TRUE),OR(exact(Metadata!D725,"Animal"),exact(Metadata!D725,"Fungus"),exact(Metadata!D725,"Plant")))</f>
        <v>0</v>
      </c>
      <c r="AF725">
        <f>AND(IF(Metadata!E725="",FALSE,TRUE),OR(exact(Metadata!E725,"Plant secretion"),exact(Metadata!E725,"Plant rhizosphere"),exact(Metadata!E725,"Plant surface"),exact(Metadata!E725,"Plant corpus"),exact(Metadata!E725,"Fungus surface"),exact(Metadata!E725,"Fungus corpus"),exact(Metadata!E725,"Animal surface"),exact(Metadata!E725,"Animal proximal gut"),exact(Metadata!E725,"Animal corpus"),exact(Metadata!E725,"Animal distal gut"),exact(Metadata!E725,"Animal secretion")))</f>
        <v>0</v>
      </c>
      <c r="AG725">
        <f>OR(AND(IF(Metadata!F725="",FALSE,TRUE),OR(exact(Metadata!F725,"not collected"),exact(Metadata!F725,"not provided"),exact(Metadata!F725,"restricted access"))),AND(IF(Metadata!F725="",FALSE,TRUE),OR(exact(Metadata!F725,"organism-associated habitat"),exact(Metadata!F725,"plant-associated habitat"),exact(Metadata!F725,"animal-associated habitat"),exact(Metadata!F725,"insecta-associated habitat"),exact(Metadata!F725,"mammalia-associated habitat"),exact(Metadata!F725,"human-associated habitat"),exact(Metadata!F725,"livestock-associated habitat"))))</f>
        <v>0</v>
      </c>
      <c r="AH725">
        <f>AND(IF(Metadata!G725="",FALSE,TRUE),exact(Metadata!G725,"host-associated"))</f>
        <v>0</v>
      </c>
      <c r="AI725">
        <f>OR(AND(IF(Metadata!H725="",FALSE,TRUE),OR(exact(Metadata!H725,"not collected"),exact(Metadata!H725,"not provided"))),AND(IF(Metadata!H725="",FALSE,ISNUMBER(VALUE(Metadata!H725))),Metadata!H725&gt;0))</f>
        <v>0</v>
      </c>
      <c r="AJ725">
        <f>AND(IF(Metadata!I725="",FALSE,TRUE),exact(Metadata!I725,"years"))</f>
        <v>0</v>
      </c>
      <c r="AK725">
        <f>IF(Metadata!J725="",FALSE,TRUE)</f>
        <v>0</v>
      </c>
      <c r="AL725">
        <f>OR(AND(IF(Metadata!K725="",FALSE,TRUE),OR(exact(Metadata!K725,"not collected"),exact(Metadata!K725,"not provided"))),AND(IF(Metadata!K725="",FALSE,ISNUMBER(VALUE(Metadata!K725))),Metadata!K725&gt;0))</f>
        <v>0</v>
      </c>
      <c r="AM725">
        <f>AND(IF(Metadata!L725="",FALSE,TRUE),exact(Metadata!L725,"cm"))</f>
        <v>0</v>
      </c>
      <c r="AN725">
        <f>IF(Metadata!M725="",FALSE,TRUE)</f>
        <v>0</v>
      </c>
      <c r="AO725">
        <f>OR(AND(IF(Metadata!N725="",FALSE,TRUE),OR(exact(Metadata!N725,"not applicable"),exact(Metadata!N725,"not collected"),exact(Metadata!N725,"not provided"))),AND(IF(Metadata!N725="",FALSE,IF(ISERROR(INT(Metadata!N725)),FALSE,INT(Metadata!N725)=Metadata!N725)),Metadata!N725&gt;0))</f>
        <v>0</v>
      </c>
      <c r="AP725">
        <f>OR(AND(IF(Metadata!O725="",FALSE,TRUE),OR(exact(Metadata!O725,"not collected"),exact(Metadata!O725,"not provided"))),AND(IF(Metadata!O725="",FALSE,ISNUMBER(VALUE(Metadata!O725))),Metadata!O725&gt;0))</f>
        <v>0</v>
      </c>
      <c r="AQ725">
        <f>AND(IF(Metadata!P725="",FALSE,TRUE),exact(Metadata!P725,"kg"))</f>
        <v>0</v>
      </c>
      <c r="AR725">
        <f>OR(AND(IF(Metadata!Q725="",FALSE,TRUE),OR(exact(Metadata!Q725,"not applicable"),exact(Metadata!Q725,"not collected"),exact(Metadata!Q725,"not provided"),exact(Metadata!Q725,"restricted access"))),IF(Metadata!Q725="",FALSE,IF(ISERROR(INT(Metadata!Q725)),FALSE,INT(Metadata!Q725)=Metadata!Q725)))</f>
        <v>0</v>
      </c>
      <c r="AS725">
        <f>AND(IF(Metadata!R725="",FALSE,TRUE),exact(Metadata!R725,"Not applicable"))</f>
        <v>0</v>
      </c>
    </row>
    <row r="726" spans="1:45">
      <c r="A726" s="4">
        <f>IF(B726=" "," ",HYPERLINK(CONCATENATE("#metadata!",ADDRESS(INDEX($X$2:$X$1001,MATCH(ROWS($V$2:V726),$V$2:$V$1001,0),0),2)),INDEX($AA$2:$AA$1001,MATCH(ROWS($V$2:V726),$V$2:$V$1001,0),0)))</f>
        <v>0</v>
      </c>
      <c r="B726" s="5">
        <f>IF(OR(INDEX($W$2:$W$1001,MATCH(ROWS($V$2:V726),$V$2:$V$1001,0),1)&gt;=100000,INDEX($AC$1005:$AS$1005,1,MATCH(COLUMNS($AC$1006:AC1006),$AC$1006:$AS$1006,0))&gt;=100000), " ",IF(INDEX($AC$2:$AS$1001,MATCH(ROWS($V$2:V726),$V$2:$V$1001,0),MATCH(COLUMNS($AC$1006:AC1006),$AC$1006:$AS$1006,0)), HYPERLINK("#",""), HYPERLINK(CONCATENATE("#Metadata!", ADDRESS(INDEX($X$2:$X$1001,MATCH(ROWS($V$2:V726),$V$2:$V$1001,0),0), INDEX($AC$1004:$AS$1004,1,MATCH(COLUMNS($AC$1006:AC1006),$AC$1006:$AS$1006,0)))),"Fix")))</f>
        <v>0</v>
      </c>
      <c r="C726" s="5">
        <f>IF(OR(INDEX($W$2:$W$1001,MATCH(ROWS($V$2:V726),$V$2:$V$1001,0),1)&gt;=100000,INDEX($AC$1005:$AS$1005,1,MATCH(COLUMNS($AC$1006:AD1006),$AC$1006:$AS$1006,0))&gt;=100000), " ",IF(INDEX($AC$2:$AS$1001,MATCH(ROWS($V$2:V726),$V$2:$V$1001,0),MATCH(COLUMNS($AC$1006:AD1006),$AC$1006:$AS$1006,0)), HYPERLINK("#",""), HYPERLINK(CONCATENATE("#Metadata!", ADDRESS(INDEX($X$2:$X$1001,MATCH(ROWS($V$2:V726),$V$2:$V$1001,0),0), INDEX($AC$1004:$AS$1004,1,MATCH(COLUMNS($AC$1006:AD1006),$AC$1006:$AS$1006,0)))),"Fix")))</f>
        <v>0</v>
      </c>
      <c r="D726" s="5">
        <f>IF(OR(INDEX($W$2:$W$1001,MATCH(ROWS($V$2:V726),$V$2:$V$1001,0),1)&gt;=100000,INDEX($AC$1005:$AS$1005,1,MATCH(COLUMNS($AC$1006:AE1006),$AC$1006:$AS$1006,0))&gt;=100000), " ",IF(INDEX($AC$2:$AS$1001,MATCH(ROWS($V$2:V726),$V$2:$V$1001,0),MATCH(COLUMNS($AC$1006:AE1006),$AC$1006:$AS$1006,0)), HYPERLINK("#",""), HYPERLINK(CONCATENATE("#Metadata!", ADDRESS(INDEX($X$2:$X$1001,MATCH(ROWS($V$2:V726),$V$2:$V$1001,0),0), INDEX($AC$1004:$AS$1004,1,MATCH(COLUMNS($AC$1006:AE1006),$AC$1006:$AS$1006,0)))),"Fix")))</f>
        <v>0</v>
      </c>
      <c r="E726" s="5">
        <f>IF(OR(INDEX($W$2:$W$1001,MATCH(ROWS($V$2:V726),$V$2:$V$1001,0),1)&gt;=100000,INDEX($AC$1005:$AS$1005,1,MATCH(COLUMNS($AC$1006:AF1006),$AC$1006:$AS$1006,0))&gt;=100000), " ",IF(INDEX($AC$2:$AS$1001,MATCH(ROWS($V$2:V726),$V$2:$V$1001,0),MATCH(COLUMNS($AC$1006:AF1006),$AC$1006:$AS$1006,0)), HYPERLINK("#",""), HYPERLINK(CONCATENATE("#Metadata!", ADDRESS(INDEX($X$2:$X$1001,MATCH(ROWS($V$2:V726),$V$2:$V$1001,0),0), INDEX($AC$1004:$AS$1004,1,MATCH(COLUMNS($AC$1006:AF1006),$AC$1006:$AS$1006,0)))),"Fix")))</f>
        <v>0</v>
      </c>
      <c r="F726" s="5">
        <f>IF(OR(INDEX($W$2:$W$1001,MATCH(ROWS($V$2:V726),$V$2:$V$1001,0),1)&gt;=100000,INDEX($AC$1005:$AS$1005,1,MATCH(COLUMNS($AC$1006:AG1006),$AC$1006:$AS$1006,0))&gt;=100000), " ",IF(INDEX($AC$2:$AS$1001,MATCH(ROWS($V$2:V726),$V$2:$V$1001,0),MATCH(COLUMNS($AC$1006:AG1006),$AC$1006:$AS$1006,0)), HYPERLINK("#",""), HYPERLINK(CONCATENATE("#Metadata!", ADDRESS(INDEX($X$2:$X$1001,MATCH(ROWS($V$2:V726),$V$2:$V$1001,0),0), INDEX($AC$1004:$AS$1004,1,MATCH(COLUMNS($AC$1006:AG1006),$AC$1006:$AS$1006,0)))),"Fix")))</f>
        <v>0</v>
      </c>
      <c r="G726" s="5">
        <f>IF(OR(INDEX($W$2:$W$1001,MATCH(ROWS($V$2:V726),$V$2:$V$1001,0),1)&gt;=100000,INDEX($AC$1005:$AS$1005,1,MATCH(COLUMNS($AC$1006:AH1006),$AC$1006:$AS$1006,0))&gt;=100000), " ",IF(INDEX($AC$2:$AS$1001,MATCH(ROWS($V$2:V726),$V$2:$V$1001,0),MATCH(COLUMNS($AC$1006:AH1006),$AC$1006:$AS$1006,0)), HYPERLINK("#",""), HYPERLINK(CONCATENATE("#Metadata!", ADDRESS(INDEX($X$2:$X$1001,MATCH(ROWS($V$2:V726),$V$2:$V$1001,0),0), INDEX($AC$1004:$AS$1004,1,MATCH(COLUMNS($AC$1006:AH1006),$AC$1006:$AS$1006,0)))),"Fix")))</f>
        <v>0</v>
      </c>
      <c r="H726" s="5">
        <f>IF(OR(INDEX($W$2:$W$1001,MATCH(ROWS($V$2:V726),$V$2:$V$1001,0),1)&gt;=100000,INDEX($AC$1005:$AS$1005,1,MATCH(COLUMNS($AC$1006:AI1006),$AC$1006:$AS$1006,0))&gt;=100000), " ",IF(INDEX($AC$2:$AS$1001,MATCH(ROWS($V$2:V726),$V$2:$V$1001,0),MATCH(COLUMNS($AC$1006:AI1006),$AC$1006:$AS$1006,0)), HYPERLINK("#",""), HYPERLINK(CONCATENATE("#Metadata!", ADDRESS(INDEX($X$2:$X$1001,MATCH(ROWS($V$2:V726),$V$2:$V$1001,0),0), INDEX($AC$1004:$AS$1004,1,MATCH(COLUMNS($AC$1006:AI1006),$AC$1006:$AS$1006,0)))),"Fix")))</f>
        <v>0</v>
      </c>
      <c r="I726" s="5">
        <f>IF(OR(INDEX($W$2:$W$1001,MATCH(ROWS($V$2:V726),$V$2:$V$1001,0),1)&gt;=100000,INDEX($AC$1005:$AS$1005,1,MATCH(COLUMNS($AC$1006:AJ1006),$AC$1006:$AS$1006,0))&gt;=100000), " ",IF(INDEX($AC$2:$AS$1001,MATCH(ROWS($V$2:V726),$V$2:$V$1001,0),MATCH(COLUMNS($AC$1006:AJ1006),$AC$1006:$AS$1006,0)), HYPERLINK("#",""), HYPERLINK(CONCATENATE("#Metadata!", ADDRESS(INDEX($X$2:$X$1001,MATCH(ROWS($V$2:V726),$V$2:$V$1001,0),0), INDEX($AC$1004:$AS$1004,1,MATCH(COLUMNS($AC$1006:AJ1006),$AC$1006:$AS$1006,0)))),"Fix")))</f>
        <v>0</v>
      </c>
      <c r="J726" s="5">
        <f>IF(OR(INDEX($W$2:$W$1001,MATCH(ROWS($V$2:V726),$V$2:$V$1001,0),1)&gt;=100000,INDEX($AC$1005:$AS$1005,1,MATCH(COLUMNS($AC$1006:AK1006),$AC$1006:$AS$1006,0))&gt;=100000), " ",IF(INDEX($AC$2:$AS$1001,MATCH(ROWS($V$2:V726),$V$2:$V$1001,0),MATCH(COLUMNS($AC$1006:AK1006),$AC$1006:$AS$1006,0)), HYPERLINK("#",""), HYPERLINK(CONCATENATE("#Metadata!", ADDRESS(INDEX($X$2:$X$1001,MATCH(ROWS($V$2:V726),$V$2:$V$1001,0),0), INDEX($AC$1004:$AS$1004,1,MATCH(COLUMNS($AC$1006:AK1006),$AC$1006:$AS$1006,0)))),"Fix")))</f>
        <v>0</v>
      </c>
      <c r="K726" s="5">
        <f>IF(OR(INDEX($W$2:$W$1001,MATCH(ROWS($V$2:V726),$V$2:$V$1001,0),1)&gt;=100000,INDEX($AC$1005:$AS$1005,1,MATCH(COLUMNS($AC$1006:AL1006),$AC$1006:$AS$1006,0))&gt;=100000), " ",IF(INDEX($AC$2:$AS$1001,MATCH(ROWS($V$2:V726),$V$2:$V$1001,0),MATCH(COLUMNS($AC$1006:AL1006),$AC$1006:$AS$1006,0)), HYPERLINK("#",""), HYPERLINK(CONCATENATE("#Metadata!", ADDRESS(INDEX($X$2:$X$1001,MATCH(ROWS($V$2:V726),$V$2:$V$1001,0),0), INDEX($AC$1004:$AS$1004,1,MATCH(COLUMNS($AC$1006:AL1006),$AC$1006:$AS$1006,0)))),"Fix")))</f>
        <v>0</v>
      </c>
      <c r="L726" s="5">
        <f>IF(OR(INDEX($W$2:$W$1001,MATCH(ROWS($V$2:V726),$V$2:$V$1001,0),1)&gt;=100000,INDEX($AC$1005:$AS$1005,1,MATCH(COLUMNS($AC$1006:AM1006),$AC$1006:$AS$1006,0))&gt;=100000), " ",IF(INDEX($AC$2:$AS$1001,MATCH(ROWS($V$2:V726),$V$2:$V$1001,0),MATCH(COLUMNS($AC$1006:AM1006),$AC$1006:$AS$1006,0)), HYPERLINK("#",""), HYPERLINK(CONCATENATE("#Metadata!", ADDRESS(INDEX($X$2:$X$1001,MATCH(ROWS($V$2:V726),$V$2:$V$1001,0),0), INDEX($AC$1004:$AS$1004,1,MATCH(COLUMNS($AC$1006:AM1006),$AC$1006:$AS$1006,0)))),"Fix")))</f>
        <v>0</v>
      </c>
      <c r="M726" s="5">
        <f>IF(OR(INDEX($W$2:$W$1001,MATCH(ROWS($V$2:V726),$V$2:$V$1001,0),1)&gt;=100000,INDEX($AC$1005:$AS$1005,1,MATCH(COLUMNS($AC$1006:AN1006),$AC$1006:$AS$1006,0))&gt;=100000), " ",IF(INDEX($AC$2:$AS$1001,MATCH(ROWS($V$2:V726),$V$2:$V$1001,0),MATCH(COLUMNS($AC$1006:AN1006),$AC$1006:$AS$1006,0)), HYPERLINK("#",""), HYPERLINK(CONCATENATE("#Metadata!", ADDRESS(INDEX($X$2:$X$1001,MATCH(ROWS($V$2:V726),$V$2:$V$1001,0),0), INDEX($AC$1004:$AS$1004,1,MATCH(COLUMNS($AC$1006:AN1006),$AC$1006:$AS$1006,0)))),"Fix")))</f>
        <v>0</v>
      </c>
      <c r="N726" s="5">
        <f>IF(OR(INDEX($W$2:$W$1001,MATCH(ROWS($V$2:V726),$V$2:$V$1001,0),1)&gt;=100000,INDEX($AC$1005:$AS$1005,1,MATCH(COLUMNS($AC$1006:AO1006),$AC$1006:$AS$1006,0))&gt;=100000), " ",IF(INDEX($AC$2:$AS$1001,MATCH(ROWS($V$2:V726),$V$2:$V$1001,0),MATCH(COLUMNS($AC$1006:AO1006),$AC$1006:$AS$1006,0)), HYPERLINK("#",""), HYPERLINK(CONCATENATE("#Metadata!", ADDRESS(INDEX($X$2:$X$1001,MATCH(ROWS($V$2:V726),$V$2:$V$1001,0),0), INDEX($AC$1004:$AS$1004,1,MATCH(COLUMNS($AC$1006:AO1006),$AC$1006:$AS$1006,0)))),"Fix")))</f>
        <v>0</v>
      </c>
      <c r="O726" s="5">
        <f>IF(OR(INDEX($W$2:$W$1001,MATCH(ROWS($V$2:V726),$V$2:$V$1001,0),1)&gt;=100000,INDEX($AC$1005:$AS$1005,1,MATCH(COLUMNS($AC$1006:AP1006),$AC$1006:$AS$1006,0))&gt;=100000), " ",IF(INDEX($AC$2:$AS$1001,MATCH(ROWS($V$2:V726),$V$2:$V$1001,0),MATCH(COLUMNS($AC$1006:AP1006),$AC$1006:$AS$1006,0)), HYPERLINK("#",""), HYPERLINK(CONCATENATE("#Metadata!", ADDRESS(INDEX($X$2:$X$1001,MATCH(ROWS($V$2:V726),$V$2:$V$1001,0),0), INDEX($AC$1004:$AS$1004,1,MATCH(COLUMNS($AC$1006:AP1006),$AC$1006:$AS$1006,0)))),"Fix")))</f>
        <v>0</v>
      </c>
      <c r="P726" s="5">
        <f>IF(OR(INDEX($W$2:$W$1001,MATCH(ROWS($V$2:V726),$V$2:$V$1001,0),1)&gt;=100000,INDEX($AC$1005:$AS$1005,1,MATCH(COLUMNS($AC$1006:AQ1006),$AC$1006:$AS$1006,0))&gt;=100000), " ",IF(INDEX($AC$2:$AS$1001,MATCH(ROWS($V$2:V726),$V$2:$V$1001,0),MATCH(COLUMNS($AC$1006:AQ1006),$AC$1006:$AS$1006,0)), HYPERLINK("#",""), HYPERLINK(CONCATENATE("#Metadata!", ADDRESS(INDEX($X$2:$X$1001,MATCH(ROWS($V$2:V726),$V$2:$V$1001,0),0), INDEX($AC$1004:$AS$1004,1,MATCH(COLUMNS($AC$1006:AQ1006),$AC$1006:$AS$1006,0)))),"Fix")))</f>
        <v>0</v>
      </c>
      <c r="Q726" s="5">
        <f>IF(OR(INDEX($W$2:$W$1001,MATCH(ROWS($V$2:V726),$V$2:$V$1001,0),1)&gt;=100000,INDEX($AC$1005:$AS$1005,1,MATCH(COLUMNS($AC$1006:AR1006),$AC$1006:$AS$1006,0))&gt;=100000), " ",IF(INDEX($AC$2:$AS$1001,MATCH(ROWS($V$2:V726),$V$2:$V$1001,0),MATCH(COLUMNS($AC$1006:AR1006),$AC$1006:$AS$1006,0)), HYPERLINK("#",""), HYPERLINK(CONCATENATE("#Metadata!", ADDRESS(INDEX($X$2:$X$1001,MATCH(ROWS($V$2:V726),$V$2:$V$1001,0),0), INDEX($AC$1004:$AS$1004,1,MATCH(COLUMNS($AC$1006:AR1006),$AC$1006:$AS$1006,0)))),"Fix")))</f>
        <v>0</v>
      </c>
      <c r="R726" s="5">
        <f>IF(OR(INDEX($W$2:$W$1001,MATCH(ROWS($V$2:V726),$V$2:$V$1001,0),1)&gt;=100000,INDEX($AC$1005:$AS$1005,1,MATCH(COLUMNS($AC$1006:AS1006),$AC$1006:$AS$1006,0))&gt;=100000), " ",IF(INDEX($AC$2:$AS$1001,MATCH(ROWS($V$2:V726),$V$2:$V$1001,0),MATCH(COLUMNS($AC$1006:AS1006),$AC$1006:$AS$1006,0)), HYPERLINK("#",""), HYPERLINK(CONCATENATE("#Metadata!", ADDRESS(INDEX($X$2:$X$1001,MATCH(ROWS($V$2:V726),$V$2:$V$1001,0),0), INDEX($AC$1004:$AS$1004,1,MATCH(COLUMNS($AC$1006:AS1006),$AC$1006:$AS$1006,0)))),"Fix")))</f>
        <v>0</v>
      </c>
      <c r="V726">
        <v>0</v>
      </c>
      <c r="W726">
        <v>0</v>
      </c>
      <c r="X726">
        <v>0</v>
      </c>
      <c r="Y726">
        <f>IF(Z726,TRUE,AND(AC726:AS726))</f>
        <v>0</v>
      </c>
      <c r="Z726">
        <f>COUNTBLANK(Metadata!B726:R726)=COLUMNS(Metadata!B726:R726)</f>
        <v>0</v>
      </c>
      <c r="AA726">
        <v>0</v>
      </c>
      <c r="AC726">
        <f>AND(IF(Metadata!B726="",FALSE,TRUE),COUNTIF(Metadata!B:B, Metadata!B726) = 1,NOT(ISERROR(SUMPRODUCT(SEARCH(MID(Metadata!B726,ROW(INDIRECT("1:"&amp;LEN(Metadata!B726))), 1),"0123456789abcdefghijklmnopqrstuvwxyzABCDEFGHIJKLMNOPQRSTUVWXYZ.")))))</f>
        <v>0</v>
      </c>
      <c r="AD726">
        <f>AND(IF(Metadata!C726="",FALSE,TRUE),exact(Metadata!C726,"Host-associated"))</f>
        <v>0</v>
      </c>
      <c r="AE726">
        <f>AND(IF(Metadata!D726="",FALSE,TRUE),OR(exact(Metadata!D726,"Animal"),exact(Metadata!D726,"Fungus"),exact(Metadata!D726,"Plant")))</f>
        <v>0</v>
      </c>
      <c r="AF726">
        <f>AND(IF(Metadata!E726="",FALSE,TRUE),OR(exact(Metadata!E726,"Plant secretion"),exact(Metadata!E726,"Plant rhizosphere"),exact(Metadata!E726,"Plant surface"),exact(Metadata!E726,"Plant corpus"),exact(Metadata!E726,"Fungus surface"),exact(Metadata!E726,"Fungus corpus"),exact(Metadata!E726,"Animal surface"),exact(Metadata!E726,"Animal proximal gut"),exact(Metadata!E726,"Animal corpus"),exact(Metadata!E726,"Animal distal gut"),exact(Metadata!E726,"Animal secretion")))</f>
        <v>0</v>
      </c>
      <c r="AG726">
        <f>OR(AND(IF(Metadata!F726="",FALSE,TRUE),OR(exact(Metadata!F726,"not collected"),exact(Metadata!F726,"not provided"),exact(Metadata!F726,"restricted access"))),AND(IF(Metadata!F726="",FALSE,TRUE),OR(exact(Metadata!F726,"organism-associated habitat"),exact(Metadata!F726,"plant-associated habitat"),exact(Metadata!F726,"animal-associated habitat"),exact(Metadata!F726,"insecta-associated habitat"),exact(Metadata!F726,"mammalia-associated habitat"),exact(Metadata!F726,"human-associated habitat"),exact(Metadata!F726,"livestock-associated habitat"))))</f>
        <v>0</v>
      </c>
      <c r="AH726">
        <f>AND(IF(Metadata!G726="",FALSE,TRUE),exact(Metadata!G726,"host-associated"))</f>
        <v>0</v>
      </c>
      <c r="AI726">
        <f>OR(AND(IF(Metadata!H726="",FALSE,TRUE),OR(exact(Metadata!H726,"not collected"),exact(Metadata!H726,"not provided"))),AND(IF(Metadata!H726="",FALSE,ISNUMBER(VALUE(Metadata!H726))),Metadata!H726&gt;0))</f>
        <v>0</v>
      </c>
      <c r="AJ726">
        <f>AND(IF(Metadata!I726="",FALSE,TRUE),exact(Metadata!I726,"years"))</f>
        <v>0</v>
      </c>
      <c r="AK726">
        <f>IF(Metadata!J726="",FALSE,TRUE)</f>
        <v>0</v>
      </c>
      <c r="AL726">
        <f>OR(AND(IF(Metadata!K726="",FALSE,TRUE),OR(exact(Metadata!K726,"not collected"),exact(Metadata!K726,"not provided"))),AND(IF(Metadata!K726="",FALSE,ISNUMBER(VALUE(Metadata!K726))),Metadata!K726&gt;0))</f>
        <v>0</v>
      </c>
      <c r="AM726">
        <f>AND(IF(Metadata!L726="",FALSE,TRUE),exact(Metadata!L726,"cm"))</f>
        <v>0</v>
      </c>
      <c r="AN726">
        <f>IF(Metadata!M726="",FALSE,TRUE)</f>
        <v>0</v>
      </c>
      <c r="AO726">
        <f>OR(AND(IF(Metadata!N726="",FALSE,TRUE),OR(exact(Metadata!N726,"not applicable"),exact(Metadata!N726,"not collected"),exact(Metadata!N726,"not provided"))),AND(IF(Metadata!N726="",FALSE,IF(ISERROR(INT(Metadata!N726)),FALSE,INT(Metadata!N726)=Metadata!N726)),Metadata!N726&gt;0))</f>
        <v>0</v>
      </c>
      <c r="AP726">
        <f>OR(AND(IF(Metadata!O726="",FALSE,TRUE),OR(exact(Metadata!O726,"not collected"),exact(Metadata!O726,"not provided"))),AND(IF(Metadata!O726="",FALSE,ISNUMBER(VALUE(Metadata!O726))),Metadata!O726&gt;0))</f>
        <v>0</v>
      </c>
      <c r="AQ726">
        <f>AND(IF(Metadata!P726="",FALSE,TRUE),exact(Metadata!P726,"kg"))</f>
        <v>0</v>
      </c>
      <c r="AR726">
        <f>OR(AND(IF(Metadata!Q726="",FALSE,TRUE),OR(exact(Metadata!Q726,"not applicable"),exact(Metadata!Q726,"not collected"),exact(Metadata!Q726,"not provided"),exact(Metadata!Q726,"restricted access"))),IF(Metadata!Q726="",FALSE,IF(ISERROR(INT(Metadata!Q726)),FALSE,INT(Metadata!Q726)=Metadata!Q726)))</f>
        <v>0</v>
      </c>
      <c r="AS726">
        <f>AND(IF(Metadata!R726="",FALSE,TRUE),exact(Metadata!R726,"Not applicable"))</f>
        <v>0</v>
      </c>
    </row>
    <row r="727" spans="1:45">
      <c r="A727" s="4">
        <f>IF(B727=" "," ",HYPERLINK(CONCATENATE("#metadata!",ADDRESS(INDEX($X$2:$X$1001,MATCH(ROWS($V$2:V727),$V$2:$V$1001,0),0),2)),INDEX($AA$2:$AA$1001,MATCH(ROWS($V$2:V727),$V$2:$V$1001,0),0)))</f>
        <v>0</v>
      </c>
      <c r="B727" s="5">
        <f>IF(OR(INDEX($W$2:$W$1001,MATCH(ROWS($V$2:V727),$V$2:$V$1001,0),1)&gt;=100000,INDEX($AC$1005:$AS$1005,1,MATCH(COLUMNS($AC$1006:AC1006),$AC$1006:$AS$1006,0))&gt;=100000), " ",IF(INDEX($AC$2:$AS$1001,MATCH(ROWS($V$2:V727),$V$2:$V$1001,0),MATCH(COLUMNS($AC$1006:AC1006),$AC$1006:$AS$1006,0)), HYPERLINK("#",""), HYPERLINK(CONCATENATE("#Metadata!", ADDRESS(INDEX($X$2:$X$1001,MATCH(ROWS($V$2:V727),$V$2:$V$1001,0),0), INDEX($AC$1004:$AS$1004,1,MATCH(COLUMNS($AC$1006:AC1006),$AC$1006:$AS$1006,0)))),"Fix")))</f>
        <v>0</v>
      </c>
      <c r="C727" s="5">
        <f>IF(OR(INDEX($W$2:$W$1001,MATCH(ROWS($V$2:V727),$V$2:$V$1001,0),1)&gt;=100000,INDEX($AC$1005:$AS$1005,1,MATCH(COLUMNS($AC$1006:AD1006),$AC$1006:$AS$1006,0))&gt;=100000), " ",IF(INDEX($AC$2:$AS$1001,MATCH(ROWS($V$2:V727),$V$2:$V$1001,0),MATCH(COLUMNS($AC$1006:AD1006),$AC$1006:$AS$1006,0)), HYPERLINK("#",""), HYPERLINK(CONCATENATE("#Metadata!", ADDRESS(INDEX($X$2:$X$1001,MATCH(ROWS($V$2:V727),$V$2:$V$1001,0),0), INDEX($AC$1004:$AS$1004,1,MATCH(COLUMNS($AC$1006:AD1006),$AC$1006:$AS$1006,0)))),"Fix")))</f>
        <v>0</v>
      </c>
      <c r="D727" s="5">
        <f>IF(OR(INDEX($W$2:$W$1001,MATCH(ROWS($V$2:V727),$V$2:$V$1001,0),1)&gt;=100000,INDEX($AC$1005:$AS$1005,1,MATCH(COLUMNS($AC$1006:AE1006),$AC$1006:$AS$1006,0))&gt;=100000), " ",IF(INDEX($AC$2:$AS$1001,MATCH(ROWS($V$2:V727),$V$2:$V$1001,0),MATCH(COLUMNS($AC$1006:AE1006),$AC$1006:$AS$1006,0)), HYPERLINK("#",""), HYPERLINK(CONCATENATE("#Metadata!", ADDRESS(INDEX($X$2:$X$1001,MATCH(ROWS($V$2:V727),$V$2:$V$1001,0),0), INDEX($AC$1004:$AS$1004,1,MATCH(COLUMNS($AC$1006:AE1006),$AC$1006:$AS$1006,0)))),"Fix")))</f>
        <v>0</v>
      </c>
      <c r="E727" s="5">
        <f>IF(OR(INDEX($W$2:$W$1001,MATCH(ROWS($V$2:V727),$V$2:$V$1001,0),1)&gt;=100000,INDEX($AC$1005:$AS$1005,1,MATCH(COLUMNS($AC$1006:AF1006),$AC$1006:$AS$1006,0))&gt;=100000), " ",IF(INDEX($AC$2:$AS$1001,MATCH(ROWS($V$2:V727),$V$2:$V$1001,0),MATCH(COLUMNS($AC$1006:AF1006),$AC$1006:$AS$1006,0)), HYPERLINK("#",""), HYPERLINK(CONCATENATE("#Metadata!", ADDRESS(INDEX($X$2:$X$1001,MATCH(ROWS($V$2:V727),$V$2:$V$1001,0),0), INDEX($AC$1004:$AS$1004,1,MATCH(COLUMNS($AC$1006:AF1006),$AC$1006:$AS$1006,0)))),"Fix")))</f>
        <v>0</v>
      </c>
      <c r="F727" s="5">
        <f>IF(OR(INDEX($W$2:$W$1001,MATCH(ROWS($V$2:V727),$V$2:$V$1001,0),1)&gt;=100000,INDEX($AC$1005:$AS$1005,1,MATCH(COLUMNS($AC$1006:AG1006),$AC$1006:$AS$1006,0))&gt;=100000), " ",IF(INDEX($AC$2:$AS$1001,MATCH(ROWS($V$2:V727),$V$2:$V$1001,0),MATCH(COLUMNS($AC$1006:AG1006),$AC$1006:$AS$1006,0)), HYPERLINK("#",""), HYPERLINK(CONCATENATE("#Metadata!", ADDRESS(INDEX($X$2:$X$1001,MATCH(ROWS($V$2:V727),$V$2:$V$1001,0),0), INDEX($AC$1004:$AS$1004,1,MATCH(COLUMNS($AC$1006:AG1006),$AC$1006:$AS$1006,0)))),"Fix")))</f>
        <v>0</v>
      </c>
      <c r="G727" s="5">
        <f>IF(OR(INDEX($W$2:$W$1001,MATCH(ROWS($V$2:V727),$V$2:$V$1001,0),1)&gt;=100000,INDEX($AC$1005:$AS$1005,1,MATCH(COLUMNS($AC$1006:AH1006),$AC$1006:$AS$1006,0))&gt;=100000), " ",IF(INDEX($AC$2:$AS$1001,MATCH(ROWS($V$2:V727),$V$2:$V$1001,0),MATCH(COLUMNS($AC$1006:AH1006),$AC$1006:$AS$1006,0)), HYPERLINK("#",""), HYPERLINK(CONCATENATE("#Metadata!", ADDRESS(INDEX($X$2:$X$1001,MATCH(ROWS($V$2:V727),$V$2:$V$1001,0),0), INDEX($AC$1004:$AS$1004,1,MATCH(COLUMNS($AC$1006:AH1006),$AC$1006:$AS$1006,0)))),"Fix")))</f>
        <v>0</v>
      </c>
      <c r="H727" s="5">
        <f>IF(OR(INDEX($W$2:$W$1001,MATCH(ROWS($V$2:V727),$V$2:$V$1001,0),1)&gt;=100000,INDEX($AC$1005:$AS$1005,1,MATCH(COLUMNS($AC$1006:AI1006),$AC$1006:$AS$1006,0))&gt;=100000), " ",IF(INDEX($AC$2:$AS$1001,MATCH(ROWS($V$2:V727),$V$2:$V$1001,0),MATCH(COLUMNS($AC$1006:AI1006),$AC$1006:$AS$1006,0)), HYPERLINK("#",""), HYPERLINK(CONCATENATE("#Metadata!", ADDRESS(INDEX($X$2:$X$1001,MATCH(ROWS($V$2:V727),$V$2:$V$1001,0),0), INDEX($AC$1004:$AS$1004,1,MATCH(COLUMNS($AC$1006:AI1006),$AC$1006:$AS$1006,0)))),"Fix")))</f>
        <v>0</v>
      </c>
      <c r="I727" s="5">
        <f>IF(OR(INDEX($W$2:$W$1001,MATCH(ROWS($V$2:V727),$V$2:$V$1001,0),1)&gt;=100000,INDEX($AC$1005:$AS$1005,1,MATCH(COLUMNS($AC$1006:AJ1006),$AC$1006:$AS$1006,0))&gt;=100000), " ",IF(INDEX($AC$2:$AS$1001,MATCH(ROWS($V$2:V727),$V$2:$V$1001,0),MATCH(COLUMNS($AC$1006:AJ1006),$AC$1006:$AS$1006,0)), HYPERLINK("#",""), HYPERLINK(CONCATENATE("#Metadata!", ADDRESS(INDEX($X$2:$X$1001,MATCH(ROWS($V$2:V727),$V$2:$V$1001,0),0), INDEX($AC$1004:$AS$1004,1,MATCH(COLUMNS($AC$1006:AJ1006),$AC$1006:$AS$1006,0)))),"Fix")))</f>
        <v>0</v>
      </c>
      <c r="J727" s="5">
        <f>IF(OR(INDEX($W$2:$W$1001,MATCH(ROWS($V$2:V727),$V$2:$V$1001,0),1)&gt;=100000,INDEX($AC$1005:$AS$1005,1,MATCH(COLUMNS($AC$1006:AK1006),$AC$1006:$AS$1006,0))&gt;=100000), " ",IF(INDEX($AC$2:$AS$1001,MATCH(ROWS($V$2:V727),$V$2:$V$1001,0),MATCH(COLUMNS($AC$1006:AK1006),$AC$1006:$AS$1006,0)), HYPERLINK("#",""), HYPERLINK(CONCATENATE("#Metadata!", ADDRESS(INDEX($X$2:$X$1001,MATCH(ROWS($V$2:V727),$V$2:$V$1001,0),0), INDEX($AC$1004:$AS$1004,1,MATCH(COLUMNS($AC$1006:AK1006),$AC$1006:$AS$1006,0)))),"Fix")))</f>
        <v>0</v>
      </c>
      <c r="K727" s="5">
        <f>IF(OR(INDEX($W$2:$W$1001,MATCH(ROWS($V$2:V727),$V$2:$V$1001,0),1)&gt;=100000,INDEX($AC$1005:$AS$1005,1,MATCH(COLUMNS($AC$1006:AL1006),$AC$1006:$AS$1006,0))&gt;=100000), " ",IF(INDEX($AC$2:$AS$1001,MATCH(ROWS($V$2:V727),$V$2:$V$1001,0),MATCH(COLUMNS($AC$1006:AL1006),$AC$1006:$AS$1006,0)), HYPERLINK("#",""), HYPERLINK(CONCATENATE("#Metadata!", ADDRESS(INDEX($X$2:$X$1001,MATCH(ROWS($V$2:V727),$V$2:$V$1001,0),0), INDEX($AC$1004:$AS$1004,1,MATCH(COLUMNS($AC$1006:AL1006),$AC$1006:$AS$1006,0)))),"Fix")))</f>
        <v>0</v>
      </c>
      <c r="L727" s="5">
        <f>IF(OR(INDEX($W$2:$W$1001,MATCH(ROWS($V$2:V727),$V$2:$V$1001,0),1)&gt;=100000,INDEX($AC$1005:$AS$1005,1,MATCH(COLUMNS($AC$1006:AM1006),$AC$1006:$AS$1006,0))&gt;=100000), " ",IF(INDEX($AC$2:$AS$1001,MATCH(ROWS($V$2:V727),$V$2:$V$1001,0),MATCH(COLUMNS($AC$1006:AM1006),$AC$1006:$AS$1006,0)), HYPERLINK("#",""), HYPERLINK(CONCATENATE("#Metadata!", ADDRESS(INDEX($X$2:$X$1001,MATCH(ROWS($V$2:V727),$V$2:$V$1001,0),0), INDEX($AC$1004:$AS$1004,1,MATCH(COLUMNS($AC$1006:AM1006),$AC$1006:$AS$1006,0)))),"Fix")))</f>
        <v>0</v>
      </c>
      <c r="M727" s="5">
        <f>IF(OR(INDEX($W$2:$W$1001,MATCH(ROWS($V$2:V727),$V$2:$V$1001,0),1)&gt;=100000,INDEX($AC$1005:$AS$1005,1,MATCH(COLUMNS($AC$1006:AN1006),$AC$1006:$AS$1006,0))&gt;=100000), " ",IF(INDEX($AC$2:$AS$1001,MATCH(ROWS($V$2:V727),$V$2:$V$1001,0),MATCH(COLUMNS($AC$1006:AN1006),$AC$1006:$AS$1006,0)), HYPERLINK("#",""), HYPERLINK(CONCATENATE("#Metadata!", ADDRESS(INDEX($X$2:$X$1001,MATCH(ROWS($V$2:V727),$V$2:$V$1001,0),0), INDEX($AC$1004:$AS$1004,1,MATCH(COLUMNS($AC$1006:AN1006),$AC$1006:$AS$1006,0)))),"Fix")))</f>
        <v>0</v>
      </c>
      <c r="N727" s="5">
        <f>IF(OR(INDEX($W$2:$W$1001,MATCH(ROWS($V$2:V727),$V$2:$V$1001,0),1)&gt;=100000,INDEX($AC$1005:$AS$1005,1,MATCH(COLUMNS($AC$1006:AO1006),$AC$1006:$AS$1006,0))&gt;=100000), " ",IF(INDEX($AC$2:$AS$1001,MATCH(ROWS($V$2:V727),$V$2:$V$1001,0),MATCH(COLUMNS($AC$1006:AO1006),$AC$1006:$AS$1006,0)), HYPERLINK("#",""), HYPERLINK(CONCATENATE("#Metadata!", ADDRESS(INDEX($X$2:$X$1001,MATCH(ROWS($V$2:V727),$V$2:$V$1001,0),0), INDEX($AC$1004:$AS$1004,1,MATCH(COLUMNS($AC$1006:AO1006),$AC$1006:$AS$1006,0)))),"Fix")))</f>
        <v>0</v>
      </c>
      <c r="O727" s="5">
        <f>IF(OR(INDEX($W$2:$W$1001,MATCH(ROWS($V$2:V727),$V$2:$V$1001,0),1)&gt;=100000,INDEX($AC$1005:$AS$1005,1,MATCH(COLUMNS($AC$1006:AP1006),$AC$1006:$AS$1006,0))&gt;=100000), " ",IF(INDEX($AC$2:$AS$1001,MATCH(ROWS($V$2:V727),$V$2:$V$1001,0),MATCH(COLUMNS($AC$1006:AP1006),$AC$1006:$AS$1006,0)), HYPERLINK("#",""), HYPERLINK(CONCATENATE("#Metadata!", ADDRESS(INDEX($X$2:$X$1001,MATCH(ROWS($V$2:V727),$V$2:$V$1001,0),0), INDEX($AC$1004:$AS$1004,1,MATCH(COLUMNS($AC$1006:AP1006),$AC$1006:$AS$1006,0)))),"Fix")))</f>
        <v>0</v>
      </c>
      <c r="P727" s="5">
        <f>IF(OR(INDEX($W$2:$W$1001,MATCH(ROWS($V$2:V727),$V$2:$V$1001,0),1)&gt;=100000,INDEX($AC$1005:$AS$1005,1,MATCH(COLUMNS($AC$1006:AQ1006),$AC$1006:$AS$1006,0))&gt;=100000), " ",IF(INDEX($AC$2:$AS$1001,MATCH(ROWS($V$2:V727),$V$2:$V$1001,0),MATCH(COLUMNS($AC$1006:AQ1006),$AC$1006:$AS$1006,0)), HYPERLINK("#",""), HYPERLINK(CONCATENATE("#Metadata!", ADDRESS(INDEX($X$2:$X$1001,MATCH(ROWS($V$2:V727),$V$2:$V$1001,0),0), INDEX($AC$1004:$AS$1004,1,MATCH(COLUMNS($AC$1006:AQ1006),$AC$1006:$AS$1006,0)))),"Fix")))</f>
        <v>0</v>
      </c>
      <c r="Q727" s="5">
        <f>IF(OR(INDEX($W$2:$W$1001,MATCH(ROWS($V$2:V727),$V$2:$V$1001,0),1)&gt;=100000,INDEX($AC$1005:$AS$1005,1,MATCH(COLUMNS($AC$1006:AR1006),$AC$1006:$AS$1006,0))&gt;=100000), " ",IF(INDEX($AC$2:$AS$1001,MATCH(ROWS($V$2:V727),$V$2:$V$1001,0),MATCH(COLUMNS($AC$1006:AR1006),$AC$1006:$AS$1006,0)), HYPERLINK("#",""), HYPERLINK(CONCATENATE("#Metadata!", ADDRESS(INDEX($X$2:$X$1001,MATCH(ROWS($V$2:V727),$V$2:$V$1001,0),0), INDEX($AC$1004:$AS$1004,1,MATCH(COLUMNS($AC$1006:AR1006),$AC$1006:$AS$1006,0)))),"Fix")))</f>
        <v>0</v>
      </c>
      <c r="R727" s="5">
        <f>IF(OR(INDEX($W$2:$W$1001,MATCH(ROWS($V$2:V727),$V$2:$V$1001,0),1)&gt;=100000,INDEX($AC$1005:$AS$1005,1,MATCH(COLUMNS($AC$1006:AS1006),$AC$1006:$AS$1006,0))&gt;=100000), " ",IF(INDEX($AC$2:$AS$1001,MATCH(ROWS($V$2:V727),$V$2:$V$1001,0),MATCH(COLUMNS($AC$1006:AS1006),$AC$1006:$AS$1006,0)), HYPERLINK("#",""), HYPERLINK(CONCATENATE("#Metadata!", ADDRESS(INDEX($X$2:$X$1001,MATCH(ROWS($V$2:V727),$V$2:$V$1001,0),0), INDEX($AC$1004:$AS$1004,1,MATCH(COLUMNS($AC$1006:AS1006),$AC$1006:$AS$1006,0)))),"Fix")))</f>
        <v>0</v>
      </c>
      <c r="V727">
        <v>0</v>
      </c>
      <c r="W727">
        <v>0</v>
      </c>
      <c r="X727">
        <v>0</v>
      </c>
      <c r="Y727">
        <f>IF(Z727,TRUE,AND(AC727:AS727))</f>
        <v>0</v>
      </c>
      <c r="Z727">
        <f>COUNTBLANK(Metadata!B727:R727)=COLUMNS(Metadata!B727:R727)</f>
        <v>0</v>
      </c>
      <c r="AA727">
        <v>0</v>
      </c>
      <c r="AC727">
        <f>AND(IF(Metadata!B727="",FALSE,TRUE),COUNTIF(Metadata!B:B, Metadata!B727) = 1,NOT(ISERROR(SUMPRODUCT(SEARCH(MID(Metadata!B727,ROW(INDIRECT("1:"&amp;LEN(Metadata!B727))), 1),"0123456789abcdefghijklmnopqrstuvwxyzABCDEFGHIJKLMNOPQRSTUVWXYZ.")))))</f>
        <v>0</v>
      </c>
      <c r="AD727">
        <f>AND(IF(Metadata!C727="",FALSE,TRUE),exact(Metadata!C727,"Host-associated"))</f>
        <v>0</v>
      </c>
      <c r="AE727">
        <f>AND(IF(Metadata!D727="",FALSE,TRUE),OR(exact(Metadata!D727,"Animal"),exact(Metadata!D727,"Fungus"),exact(Metadata!D727,"Plant")))</f>
        <v>0</v>
      </c>
      <c r="AF727">
        <f>AND(IF(Metadata!E727="",FALSE,TRUE),OR(exact(Metadata!E727,"Plant secretion"),exact(Metadata!E727,"Plant rhizosphere"),exact(Metadata!E727,"Plant surface"),exact(Metadata!E727,"Plant corpus"),exact(Metadata!E727,"Fungus surface"),exact(Metadata!E727,"Fungus corpus"),exact(Metadata!E727,"Animal surface"),exact(Metadata!E727,"Animal proximal gut"),exact(Metadata!E727,"Animal corpus"),exact(Metadata!E727,"Animal distal gut"),exact(Metadata!E727,"Animal secretion")))</f>
        <v>0</v>
      </c>
      <c r="AG727">
        <f>OR(AND(IF(Metadata!F727="",FALSE,TRUE),OR(exact(Metadata!F727,"not collected"),exact(Metadata!F727,"not provided"),exact(Metadata!F727,"restricted access"))),AND(IF(Metadata!F727="",FALSE,TRUE),OR(exact(Metadata!F727,"organism-associated habitat"),exact(Metadata!F727,"plant-associated habitat"),exact(Metadata!F727,"animal-associated habitat"),exact(Metadata!F727,"insecta-associated habitat"),exact(Metadata!F727,"mammalia-associated habitat"),exact(Metadata!F727,"human-associated habitat"),exact(Metadata!F727,"livestock-associated habitat"))))</f>
        <v>0</v>
      </c>
      <c r="AH727">
        <f>AND(IF(Metadata!G727="",FALSE,TRUE),exact(Metadata!G727,"host-associated"))</f>
        <v>0</v>
      </c>
      <c r="AI727">
        <f>OR(AND(IF(Metadata!H727="",FALSE,TRUE),OR(exact(Metadata!H727,"not collected"),exact(Metadata!H727,"not provided"))),AND(IF(Metadata!H727="",FALSE,ISNUMBER(VALUE(Metadata!H727))),Metadata!H727&gt;0))</f>
        <v>0</v>
      </c>
      <c r="AJ727">
        <f>AND(IF(Metadata!I727="",FALSE,TRUE),exact(Metadata!I727,"years"))</f>
        <v>0</v>
      </c>
      <c r="AK727">
        <f>IF(Metadata!J727="",FALSE,TRUE)</f>
        <v>0</v>
      </c>
      <c r="AL727">
        <f>OR(AND(IF(Metadata!K727="",FALSE,TRUE),OR(exact(Metadata!K727,"not collected"),exact(Metadata!K727,"not provided"))),AND(IF(Metadata!K727="",FALSE,ISNUMBER(VALUE(Metadata!K727))),Metadata!K727&gt;0))</f>
        <v>0</v>
      </c>
      <c r="AM727">
        <f>AND(IF(Metadata!L727="",FALSE,TRUE),exact(Metadata!L727,"cm"))</f>
        <v>0</v>
      </c>
      <c r="AN727">
        <f>IF(Metadata!M727="",FALSE,TRUE)</f>
        <v>0</v>
      </c>
      <c r="AO727">
        <f>OR(AND(IF(Metadata!N727="",FALSE,TRUE),OR(exact(Metadata!N727,"not applicable"),exact(Metadata!N727,"not collected"),exact(Metadata!N727,"not provided"))),AND(IF(Metadata!N727="",FALSE,IF(ISERROR(INT(Metadata!N727)),FALSE,INT(Metadata!N727)=Metadata!N727)),Metadata!N727&gt;0))</f>
        <v>0</v>
      </c>
      <c r="AP727">
        <f>OR(AND(IF(Metadata!O727="",FALSE,TRUE),OR(exact(Metadata!O727,"not collected"),exact(Metadata!O727,"not provided"))),AND(IF(Metadata!O727="",FALSE,ISNUMBER(VALUE(Metadata!O727))),Metadata!O727&gt;0))</f>
        <v>0</v>
      </c>
      <c r="AQ727">
        <f>AND(IF(Metadata!P727="",FALSE,TRUE),exact(Metadata!P727,"kg"))</f>
        <v>0</v>
      </c>
      <c r="AR727">
        <f>OR(AND(IF(Metadata!Q727="",FALSE,TRUE),OR(exact(Metadata!Q727,"not applicable"),exact(Metadata!Q727,"not collected"),exact(Metadata!Q727,"not provided"),exact(Metadata!Q727,"restricted access"))),IF(Metadata!Q727="",FALSE,IF(ISERROR(INT(Metadata!Q727)),FALSE,INT(Metadata!Q727)=Metadata!Q727)))</f>
        <v>0</v>
      </c>
      <c r="AS727">
        <f>AND(IF(Metadata!R727="",FALSE,TRUE),exact(Metadata!R727,"Not applicable"))</f>
        <v>0</v>
      </c>
    </row>
    <row r="728" spans="1:45">
      <c r="A728" s="4">
        <f>IF(B728=" "," ",HYPERLINK(CONCATENATE("#metadata!",ADDRESS(INDEX($X$2:$X$1001,MATCH(ROWS($V$2:V728),$V$2:$V$1001,0),0),2)),INDEX($AA$2:$AA$1001,MATCH(ROWS($V$2:V728),$V$2:$V$1001,0),0)))</f>
        <v>0</v>
      </c>
      <c r="B728" s="5">
        <f>IF(OR(INDEX($W$2:$W$1001,MATCH(ROWS($V$2:V728),$V$2:$V$1001,0),1)&gt;=100000,INDEX($AC$1005:$AS$1005,1,MATCH(COLUMNS($AC$1006:AC1006),$AC$1006:$AS$1006,0))&gt;=100000), " ",IF(INDEX($AC$2:$AS$1001,MATCH(ROWS($V$2:V728),$V$2:$V$1001,0),MATCH(COLUMNS($AC$1006:AC1006),$AC$1006:$AS$1006,0)), HYPERLINK("#",""), HYPERLINK(CONCATENATE("#Metadata!", ADDRESS(INDEX($X$2:$X$1001,MATCH(ROWS($V$2:V728),$V$2:$V$1001,0),0), INDEX($AC$1004:$AS$1004,1,MATCH(COLUMNS($AC$1006:AC1006),$AC$1006:$AS$1006,0)))),"Fix")))</f>
        <v>0</v>
      </c>
      <c r="C728" s="5">
        <f>IF(OR(INDEX($W$2:$W$1001,MATCH(ROWS($V$2:V728),$V$2:$V$1001,0),1)&gt;=100000,INDEX($AC$1005:$AS$1005,1,MATCH(COLUMNS($AC$1006:AD1006),$AC$1006:$AS$1006,0))&gt;=100000), " ",IF(INDEX($AC$2:$AS$1001,MATCH(ROWS($V$2:V728),$V$2:$V$1001,0),MATCH(COLUMNS($AC$1006:AD1006),$AC$1006:$AS$1006,0)), HYPERLINK("#",""), HYPERLINK(CONCATENATE("#Metadata!", ADDRESS(INDEX($X$2:$X$1001,MATCH(ROWS($V$2:V728),$V$2:$V$1001,0),0), INDEX($AC$1004:$AS$1004,1,MATCH(COLUMNS($AC$1006:AD1006),$AC$1006:$AS$1006,0)))),"Fix")))</f>
        <v>0</v>
      </c>
      <c r="D728" s="5">
        <f>IF(OR(INDEX($W$2:$W$1001,MATCH(ROWS($V$2:V728),$V$2:$V$1001,0),1)&gt;=100000,INDEX($AC$1005:$AS$1005,1,MATCH(COLUMNS($AC$1006:AE1006),$AC$1006:$AS$1006,0))&gt;=100000), " ",IF(INDEX($AC$2:$AS$1001,MATCH(ROWS($V$2:V728),$V$2:$V$1001,0),MATCH(COLUMNS($AC$1006:AE1006),$AC$1006:$AS$1006,0)), HYPERLINK("#",""), HYPERLINK(CONCATENATE("#Metadata!", ADDRESS(INDEX($X$2:$X$1001,MATCH(ROWS($V$2:V728),$V$2:$V$1001,0),0), INDEX($AC$1004:$AS$1004,1,MATCH(COLUMNS($AC$1006:AE1006),$AC$1006:$AS$1006,0)))),"Fix")))</f>
        <v>0</v>
      </c>
      <c r="E728" s="5">
        <f>IF(OR(INDEX($W$2:$W$1001,MATCH(ROWS($V$2:V728),$V$2:$V$1001,0),1)&gt;=100000,INDEX($AC$1005:$AS$1005,1,MATCH(COLUMNS($AC$1006:AF1006),$AC$1006:$AS$1006,0))&gt;=100000), " ",IF(INDEX($AC$2:$AS$1001,MATCH(ROWS($V$2:V728),$V$2:$V$1001,0),MATCH(COLUMNS($AC$1006:AF1006),$AC$1006:$AS$1006,0)), HYPERLINK("#",""), HYPERLINK(CONCATENATE("#Metadata!", ADDRESS(INDEX($X$2:$X$1001,MATCH(ROWS($V$2:V728),$V$2:$V$1001,0),0), INDEX($AC$1004:$AS$1004,1,MATCH(COLUMNS($AC$1006:AF1006),$AC$1006:$AS$1006,0)))),"Fix")))</f>
        <v>0</v>
      </c>
      <c r="F728" s="5">
        <f>IF(OR(INDEX($W$2:$W$1001,MATCH(ROWS($V$2:V728),$V$2:$V$1001,0),1)&gt;=100000,INDEX($AC$1005:$AS$1005,1,MATCH(COLUMNS($AC$1006:AG1006),$AC$1006:$AS$1006,0))&gt;=100000), " ",IF(INDEX($AC$2:$AS$1001,MATCH(ROWS($V$2:V728),$V$2:$V$1001,0),MATCH(COLUMNS($AC$1006:AG1006),$AC$1006:$AS$1006,0)), HYPERLINK("#",""), HYPERLINK(CONCATENATE("#Metadata!", ADDRESS(INDEX($X$2:$X$1001,MATCH(ROWS($V$2:V728),$V$2:$V$1001,0),0), INDEX($AC$1004:$AS$1004,1,MATCH(COLUMNS($AC$1006:AG1006),$AC$1006:$AS$1006,0)))),"Fix")))</f>
        <v>0</v>
      </c>
      <c r="G728" s="5">
        <f>IF(OR(INDEX($W$2:$W$1001,MATCH(ROWS($V$2:V728),$V$2:$V$1001,0),1)&gt;=100000,INDEX($AC$1005:$AS$1005,1,MATCH(COLUMNS($AC$1006:AH1006),$AC$1006:$AS$1006,0))&gt;=100000), " ",IF(INDEX($AC$2:$AS$1001,MATCH(ROWS($V$2:V728),$V$2:$V$1001,0),MATCH(COLUMNS($AC$1006:AH1006),$AC$1006:$AS$1006,0)), HYPERLINK("#",""), HYPERLINK(CONCATENATE("#Metadata!", ADDRESS(INDEX($X$2:$X$1001,MATCH(ROWS($V$2:V728),$V$2:$V$1001,0),0), INDEX($AC$1004:$AS$1004,1,MATCH(COLUMNS($AC$1006:AH1006),$AC$1006:$AS$1006,0)))),"Fix")))</f>
        <v>0</v>
      </c>
      <c r="H728" s="5">
        <f>IF(OR(INDEX($W$2:$W$1001,MATCH(ROWS($V$2:V728),$V$2:$V$1001,0),1)&gt;=100000,INDEX($AC$1005:$AS$1005,1,MATCH(COLUMNS($AC$1006:AI1006),$AC$1006:$AS$1006,0))&gt;=100000), " ",IF(INDEX($AC$2:$AS$1001,MATCH(ROWS($V$2:V728),$V$2:$V$1001,0),MATCH(COLUMNS($AC$1006:AI1006),$AC$1006:$AS$1006,0)), HYPERLINK("#",""), HYPERLINK(CONCATENATE("#Metadata!", ADDRESS(INDEX($X$2:$X$1001,MATCH(ROWS($V$2:V728),$V$2:$V$1001,0),0), INDEX($AC$1004:$AS$1004,1,MATCH(COLUMNS($AC$1006:AI1006),$AC$1006:$AS$1006,0)))),"Fix")))</f>
        <v>0</v>
      </c>
      <c r="I728" s="5">
        <f>IF(OR(INDEX($W$2:$W$1001,MATCH(ROWS($V$2:V728),$V$2:$V$1001,0),1)&gt;=100000,INDEX($AC$1005:$AS$1005,1,MATCH(COLUMNS($AC$1006:AJ1006),$AC$1006:$AS$1006,0))&gt;=100000), " ",IF(INDEX($AC$2:$AS$1001,MATCH(ROWS($V$2:V728),$V$2:$V$1001,0),MATCH(COLUMNS($AC$1006:AJ1006),$AC$1006:$AS$1006,0)), HYPERLINK("#",""), HYPERLINK(CONCATENATE("#Metadata!", ADDRESS(INDEX($X$2:$X$1001,MATCH(ROWS($V$2:V728),$V$2:$V$1001,0),0), INDEX($AC$1004:$AS$1004,1,MATCH(COLUMNS($AC$1006:AJ1006),$AC$1006:$AS$1006,0)))),"Fix")))</f>
        <v>0</v>
      </c>
      <c r="J728" s="5">
        <f>IF(OR(INDEX($W$2:$W$1001,MATCH(ROWS($V$2:V728),$V$2:$V$1001,0),1)&gt;=100000,INDEX($AC$1005:$AS$1005,1,MATCH(COLUMNS($AC$1006:AK1006),$AC$1006:$AS$1006,0))&gt;=100000), " ",IF(INDEX($AC$2:$AS$1001,MATCH(ROWS($V$2:V728),$V$2:$V$1001,0),MATCH(COLUMNS($AC$1006:AK1006),$AC$1006:$AS$1006,0)), HYPERLINK("#",""), HYPERLINK(CONCATENATE("#Metadata!", ADDRESS(INDEX($X$2:$X$1001,MATCH(ROWS($V$2:V728),$V$2:$V$1001,0),0), INDEX($AC$1004:$AS$1004,1,MATCH(COLUMNS($AC$1006:AK1006),$AC$1006:$AS$1006,0)))),"Fix")))</f>
        <v>0</v>
      </c>
      <c r="K728" s="5">
        <f>IF(OR(INDEX($W$2:$W$1001,MATCH(ROWS($V$2:V728),$V$2:$V$1001,0),1)&gt;=100000,INDEX($AC$1005:$AS$1005,1,MATCH(COLUMNS($AC$1006:AL1006),$AC$1006:$AS$1006,0))&gt;=100000), " ",IF(INDEX($AC$2:$AS$1001,MATCH(ROWS($V$2:V728),$V$2:$V$1001,0),MATCH(COLUMNS($AC$1006:AL1006),$AC$1006:$AS$1006,0)), HYPERLINK("#",""), HYPERLINK(CONCATENATE("#Metadata!", ADDRESS(INDEX($X$2:$X$1001,MATCH(ROWS($V$2:V728),$V$2:$V$1001,0),0), INDEX($AC$1004:$AS$1004,1,MATCH(COLUMNS($AC$1006:AL1006),$AC$1006:$AS$1006,0)))),"Fix")))</f>
        <v>0</v>
      </c>
      <c r="L728" s="5">
        <f>IF(OR(INDEX($W$2:$W$1001,MATCH(ROWS($V$2:V728),$V$2:$V$1001,0),1)&gt;=100000,INDEX($AC$1005:$AS$1005,1,MATCH(COLUMNS($AC$1006:AM1006),$AC$1006:$AS$1006,0))&gt;=100000), " ",IF(INDEX($AC$2:$AS$1001,MATCH(ROWS($V$2:V728),$V$2:$V$1001,0),MATCH(COLUMNS($AC$1006:AM1006),$AC$1006:$AS$1006,0)), HYPERLINK("#",""), HYPERLINK(CONCATENATE("#Metadata!", ADDRESS(INDEX($X$2:$X$1001,MATCH(ROWS($V$2:V728),$V$2:$V$1001,0),0), INDEX($AC$1004:$AS$1004,1,MATCH(COLUMNS($AC$1006:AM1006),$AC$1006:$AS$1006,0)))),"Fix")))</f>
        <v>0</v>
      </c>
      <c r="M728" s="5">
        <f>IF(OR(INDEX($W$2:$W$1001,MATCH(ROWS($V$2:V728),$V$2:$V$1001,0),1)&gt;=100000,INDEX($AC$1005:$AS$1005,1,MATCH(COLUMNS($AC$1006:AN1006),$AC$1006:$AS$1006,0))&gt;=100000), " ",IF(INDEX($AC$2:$AS$1001,MATCH(ROWS($V$2:V728),$V$2:$V$1001,0),MATCH(COLUMNS($AC$1006:AN1006),$AC$1006:$AS$1006,0)), HYPERLINK("#",""), HYPERLINK(CONCATENATE("#Metadata!", ADDRESS(INDEX($X$2:$X$1001,MATCH(ROWS($V$2:V728),$V$2:$V$1001,0),0), INDEX($AC$1004:$AS$1004,1,MATCH(COLUMNS($AC$1006:AN1006),$AC$1006:$AS$1006,0)))),"Fix")))</f>
        <v>0</v>
      </c>
      <c r="N728" s="5">
        <f>IF(OR(INDEX($W$2:$W$1001,MATCH(ROWS($V$2:V728),$V$2:$V$1001,0),1)&gt;=100000,INDEX($AC$1005:$AS$1005,1,MATCH(COLUMNS($AC$1006:AO1006),$AC$1006:$AS$1006,0))&gt;=100000), " ",IF(INDEX($AC$2:$AS$1001,MATCH(ROWS($V$2:V728),$V$2:$V$1001,0),MATCH(COLUMNS($AC$1006:AO1006),$AC$1006:$AS$1006,0)), HYPERLINK("#",""), HYPERLINK(CONCATENATE("#Metadata!", ADDRESS(INDEX($X$2:$X$1001,MATCH(ROWS($V$2:V728),$V$2:$V$1001,0),0), INDEX($AC$1004:$AS$1004,1,MATCH(COLUMNS($AC$1006:AO1006),$AC$1006:$AS$1006,0)))),"Fix")))</f>
        <v>0</v>
      </c>
      <c r="O728" s="5">
        <f>IF(OR(INDEX($W$2:$W$1001,MATCH(ROWS($V$2:V728),$V$2:$V$1001,0),1)&gt;=100000,INDEX($AC$1005:$AS$1005,1,MATCH(COLUMNS($AC$1006:AP1006),$AC$1006:$AS$1006,0))&gt;=100000), " ",IF(INDEX($AC$2:$AS$1001,MATCH(ROWS($V$2:V728),$V$2:$V$1001,0),MATCH(COLUMNS($AC$1006:AP1006),$AC$1006:$AS$1006,0)), HYPERLINK("#",""), HYPERLINK(CONCATENATE("#Metadata!", ADDRESS(INDEX($X$2:$X$1001,MATCH(ROWS($V$2:V728),$V$2:$V$1001,0),0), INDEX($AC$1004:$AS$1004,1,MATCH(COLUMNS($AC$1006:AP1006),$AC$1006:$AS$1006,0)))),"Fix")))</f>
        <v>0</v>
      </c>
      <c r="P728" s="5">
        <f>IF(OR(INDEX($W$2:$W$1001,MATCH(ROWS($V$2:V728),$V$2:$V$1001,0),1)&gt;=100000,INDEX($AC$1005:$AS$1005,1,MATCH(COLUMNS($AC$1006:AQ1006),$AC$1006:$AS$1006,0))&gt;=100000), " ",IF(INDEX($AC$2:$AS$1001,MATCH(ROWS($V$2:V728),$V$2:$V$1001,0),MATCH(COLUMNS($AC$1006:AQ1006),$AC$1006:$AS$1006,0)), HYPERLINK("#",""), HYPERLINK(CONCATENATE("#Metadata!", ADDRESS(INDEX($X$2:$X$1001,MATCH(ROWS($V$2:V728),$V$2:$V$1001,0),0), INDEX($AC$1004:$AS$1004,1,MATCH(COLUMNS($AC$1006:AQ1006),$AC$1006:$AS$1006,0)))),"Fix")))</f>
        <v>0</v>
      </c>
      <c r="Q728" s="5">
        <f>IF(OR(INDEX($W$2:$W$1001,MATCH(ROWS($V$2:V728),$V$2:$V$1001,0),1)&gt;=100000,INDEX($AC$1005:$AS$1005,1,MATCH(COLUMNS($AC$1006:AR1006),$AC$1006:$AS$1006,0))&gt;=100000), " ",IF(INDEX($AC$2:$AS$1001,MATCH(ROWS($V$2:V728),$V$2:$V$1001,0),MATCH(COLUMNS($AC$1006:AR1006),$AC$1006:$AS$1006,0)), HYPERLINK("#",""), HYPERLINK(CONCATENATE("#Metadata!", ADDRESS(INDEX($X$2:$X$1001,MATCH(ROWS($V$2:V728),$V$2:$V$1001,0),0), INDEX($AC$1004:$AS$1004,1,MATCH(COLUMNS($AC$1006:AR1006),$AC$1006:$AS$1006,0)))),"Fix")))</f>
        <v>0</v>
      </c>
      <c r="R728" s="5">
        <f>IF(OR(INDEX($W$2:$W$1001,MATCH(ROWS($V$2:V728),$V$2:$V$1001,0),1)&gt;=100000,INDEX($AC$1005:$AS$1005,1,MATCH(COLUMNS($AC$1006:AS1006),$AC$1006:$AS$1006,0))&gt;=100000), " ",IF(INDEX($AC$2:$AS$1001,MATCH(ROWS($V$2:V728),$V$2:$V$1001,0),MATCH(COLUMNS($AC$1006:AS1006),$AC$1006:$AS$1006,0)), HYPERLINK("#",""), HYPERLINK(CONCATENATE("#Metadata!", ADDRESS(INDEX($X$2:$X$1001,MATCH(ROWS($V$2:V728),$V$2:$V$1001,0),0), INDEX($AC$1004:$AS$1004,1,MATCH(COLUMNS($AC$1006:AS1006),$AC$1006:$AS$1006,0)))),"Fix")))</f>
        <v>0</v>
      </c>
      <c r="V728">
        <v>0</v>
      </c>
      <c r="W728">
        <v>0</v>
      </c>
      <c r="X728">
        <v>0</v>
      </c>
      <c r="Y728">
        <f>IF(Z728,TRUE,AND(AC728:AS728))</f>
        <v>0</v>
      </c>
      <c r="Z728">
        <f>COUNTBLANK(Metadata!B728:R728)=COLUMNS(Metadata!B728:R728)</f>
        <v>0</v>
      </c>
      <c r="AA728">
        <v>0</v>
      </c>
      <c r="AC728">
        <f>AND(IF(Metadata!B728="",FALSE,TRUE),COUNTIF(Metadata!B:B, Metadata!B728) = 1,NOT(ISERROR(SUMPRODUCT(SEARCH(MID(Metadata!B728,ROW(INDIRECT("1:"&amp;LEN(Metadata!B728))), 1),"0123456789abcdefghijklmnopqrstuvwxyzABCDEFGHIJKLMNOPQRSTUVWXYZ.")))))</f>
        <v>0</v>
      </c>
      <c r="AD728">
        <f>AND(IF(Metadata!C728="",FALSE,TRUE),exact(Metadata!C728,"Host-associated"))</f>
        <v>0</v>
      </c>
      <c r="AE728">
        <f>AND(IF(Metadata!D728="",FALSE,TRUE),OR(exact(Metadata!D728,"Animal"),exact(Metadata!D728,"Fungus"),exact(Metadata!D728,"Plant")))</f>
        <v>0</v>
      </c>
      <c r="AF728">
        <f>AND(IF(Metadata!E728="",FALSE,TRUE),OR(exact(Metadata!E728,"Plant secretion"),exact(Metadata!E728,"Plant rhizosphere"),exact(Metadata!E728,"Plant surface"),exact(Metadata!E728,"Plant corpus"),exact(Metadata!E728,"Fungus surface"),exact(Metadata!E728,"Fungus corpus"),exact(Metadata!E728,"Animal surface"),exact(Metadata!E728,"Animal proximal gut"),exact(Metadata!E728,"Animal corpus"),exact(Metadata!E728,"Animal distal gut"),exact(Metadata!E728,"Animal secretion")))</f>
        <v>0</v>
      </c>
      <c r="AG728">
        <f>OR(AND(IF(Metadata!F728="",FALSE,TRUE),OR(exact(Metadata!F728,"not collected"),exact(Metadata!F728,"not provided"),exact(Metadata!F728,"restricted access"))),AND(IF(Metadata!F728="",FALSE,TRUE),OR(exact(Metadata!F728,"organism-associated habitat"),exact(Metadata!F728,"plant-associated habitat"),exact(Metadata!F728,"animal-associated habitat"),exact(Metadata!F728,"insecta-associated habitat"),exact(Metadata!F728,"mammalia-associated habitat"),exact(Metadata!F728,"human-associated habitat"),exact(Metadata!F728,"livestock-associated habitat"))))</f>
        <v>0</v>
      </c>
      <c r="AH728">
        <f>AND(IF(Metadata!G728="",FALSE,TRUE),exact(Metadata!G728,"host-associated"))</f>
        <v>0</v>
      </c>
      <c r="AI728">
        <f>OR(AND(IF(Metadata!H728="",FALSE,TRUE),OR(exact(Metadata!H728,"not collected"),exact(Metadata!H728,"not provided"))),AND(IF(Metadata!H728="",FALSE,ISNUMBER(VALUE(Metadata!H728))),Metadata!H728&gt;0))</f>
        <v>0</v>
      </c>
      <c r="AJ728">
        <f>AND(IF(Metadata!I728="",FALSE,TRUE),exact(Metadata!I728,"years"))</f>
        <v>0</v>
      </c>
      <c r="AK728">
        <f>IF(Metadata!J728="",FALSE,TRUE)</f>
        <v>0</v>
      </c>
      <c r="AL728">
        <f>OR(AND(IF(Metadata!K728="",FALSE,TRUE),OR(exact(Metadata!K728,"not collected"),exact(Metadata!K728,"not provided"))),AND(IF(Metadata!K728="",FALSE,ISNUMBER(VALUE(Metadata!K728))),Metadata!K728&gt;0))</f>
        <v>0</v>
      </c>
      <c r="AM728">
        <f>AND(IF(Metadata!L728="",FALSE,TRUE),exact(Metadata!L728,"cm"))</f>
        <v>0</v>
      </c>
      <c r="AN728">
        <f>IF(Metadata!M728="",FALSE,TRUE)</f>
        <v>0</v>
      </c>
      <c r="AO728">
        <f>OR(AND(IF(Metadata!N728="",FALSE,TRUE),OR(exact(Metadata!N728,"not applicable"),exact(Metadata!N728,"not collected"),exact(Metadata!N728,"not provided"))),AND(IF(Metadata!N728="",FALSE,IF(ISERROR(INT(Metadata!N728)),FALSE,INT(Metadata!N728)=Metadata!N728)),Metadata!N728&gt;0))</f>
        <v>0</v>
      </c>
      <c r="AP728">
        <f>OR(AND(IF(Metadata!O728="",FALSE,TRUE),OR(exact(Metadata!O728,"not collected"),exact(Metadata!O728,"not provided"))),AND(IF(Metadata!O728="",FALSE,ISNUMBER(VALUE(Metadata!O728))),Metadata!O728&gt;0))</f>
        <v>0</v>
      </c>
      <c r="AQ728">
        <f>AND(IF(Metadata!P728="",FALSE,TRUE),exact(Metadata!P728,"kg"))</f>
        <v>0</v>
      </c>
      <c r="AR728">
        <f>OR(AND(IF(Metadata!Q728="",FALSE,TRUE),OR(exact(Metadata!Q728,"not applicable"),exact(Metadata!Q728,"not collected"),exact(Metadata!Q728,"not provided"),exact(Metadata!Q728,"restricted access"))),IF(Metadata!Q728="",FALSE,IF(ISERROR(INT(Metadata!Q728)),FALSE,INT(Metadata!Q728)=Metadata!Q728)))</f>
        <v>0</v>
      </c>
      <c r="AS728">
        <f>AND(IF(Metadata!R728="",FALSE,TRUE),exact(Metadata!R728,"Not applicable"))</f>
        <v>0</v>
      </c>
    </row>
    <row r="729" spans="1:45">
      <c r="A729" s="4">
        <f>IF(B729=" "," ",HYPERLINK(CONCATENATE("#metadata!",ADDRESS(INDEX($X$2:$X$1001,MATCH(ROWS($V$2:V729),$V$2:$V$1001,0),0),2)),INDEX($AA$2:$AA$1001,MATCH(ROWS($V$2:V729),$V$2:$V$1001,0),0)))</f>
        <v>0</v>
      </c>
      <c r="B729" s="5">
        <f>IF(OR(INDEX($W$2:$W$1001,MATCH(ROWS($V$2:V729),$V$2:$V$1001,0),1)&gt;=100000,INDEX($AC$1005:$AS$1005,1,MATCH(COLUMNS($AC$1006:AC1006),$AC$1006:$AS$1006,0))&gt;=100000), " ",IF(INDEX($AC$2:$AS$1001,MATCH(ROWS($V$2:V729),$V$2:$V$1001,0),MATCH(COLUMNS($AC$1006:AC1006),$AC$1006:$AS$1006,0)), HYPERLINK("#",""), HYPERLINK(CONCATENATE("#Metadata!", ADDRESS(INDEX($X$2:$X$1001,MATCH(ROWS($V$2:V729),$V$2:$V$1001,0),0), INDEX($AC$1004:$AS$1004,1,MATCH(COLUMNS($AC$1006:AC1006),$AC$1006:$AS$1006,0)))),"Fix")))</f>
        <v>0</v>
      </c>
      <c r="C729" s="5">
        <f>IF(OR(INDEX($W$2:$W$1001,MATCH(ROWS($V$2:V729),$V$2:$V$1001,0),1)&gt;=100000,INDEX($AC$1005:$AS$1005,1,MATCH(COLUMNS($AC$1006:AD1006),$AC$1006:$AS$1006,0))&gt;=100000), " ",IF(INDEX($AC$2:$AS$1001,MATCH(ROWS($V$2:V729),$V$2:$V$1001,0),MATCH(COLUMNS($AC$1006:AD1006),$AC$1006:$AS$1006,0)), HYPERLINK("#",""), HYPERLINK(CONCATENATE("#Metadata!", ADDRESS(INDEX($X$2:$X$1001,MATCH(ROWS($V$2:V729),$V$2:$V$1001,0),0), INDEX($AC$1004:$AS$1004,1,MATCH(COLUMNS($AC$1006:AD1006),$AC$1006:$AS$1006,0)))),"Fix")))</f>
        <v>0</v>
      </c>
      <c r="D729" s="5">
        <f>IF(OR(INDEX($W$2:$W$1001,MATCH(ROWS($V$2:V729),$V$2:$V$1001,0),1)&gt;=100000,INDEX($AC$1005:$AS$1005,1,MATCH(COLUMNS($AC$1006:AE1006),$AC$1006:$AS$1006,0))&gt;=100000), " ",IF(INDEX($AC$2:$AS$1001,MATCH(ROWS($V$2:V729),$V$2:$V$1001,0),MATCH(COLUMNS($AC$1006:AE1006),$AC$1006:$AS$1006,0)), HYPERLINK("#",""), HYPERLINK(CONCATENATE("#Metadata!", ADDRESS(INDEX($X$2:$X$1001,MATCH(ROWS($V$2:V729),$V$2:$V$1001,0),0), INDEX($AC$1004:$AS$1004,1,MATCH(COLUMNS($AC$1006:AE1006),$AC$1006:$AS$1006,0)))),"Fix")))</f>
        <v>0</v>
      </c>
      <c r="E729" s="5">
        <f>IF(OR(INDEX($W$2:$W$1001,MATCH(ROWS($V$2:V729),$V$2:$V$1001,0),1)&gt;=100000,INDEX($AC$1005:$AS$1005,1,MATCH(COLUMNS($AC$1006:AF1006),$AC$1006:$AS$1006,0))&gt;=100000), " ",IF(INDEX($AC$2:$AS$1001,MATCH(ROWS($V$2:V729),$V$2:$V$1001,0),MATCH(COLUMNS($AC$1006:AF1006),$AC$1006:$AS$1006,0)), HYPERLINK("#",""), HYPERLINK(CONCATENATE("#Metadata!", ADDRESS(INDEX($X$2:$X$1001,MATCH(ROWS($V$2:V729),$V$2:$V$1001,0),0), INDEX($AC$1004:$AS$1004,1,MATCH(COLUMNS($AC$1006:AF1006),$AC$1006:$AS$1006,0)))),"Fix")))</f>
        <v>0</v>
      </c>
      <c r="F729" s="5">
        <f>IF(OR(INDEX($W$2:$W$1001,MATCH(ROWS($V$2:V729),$V$2:$V$1001,0),1)&gt;=100000,INDEX($AC$1005:$AS$1005,1,MATCH(COLUMNS($AC$1006:AG1006),$AC$1006:$AS$1006,0))&gt;=100000), " ",IF(INDEX($AC$2:$AS$1001,MATCH(ROWS($V$2:V729),$V$2:$V$1001,0),MATCH(COLUMNS($AC$1006:AG1006),$AC$1006:$AS$1006,0)), HYPERLINK("#",""), HYPERLINK(CONCATENATE("#Metadata!", ADDRESS(INDEX($X$2:$X$1001,MATCH(ROWS($V$2:V729),$V$2:$V$1001,0),0), INDEX($AC$1004:$AS$1004,1,MATCH(COLUMNS($AC$1006:AG1006),$AC$1006:$AS$1006,0)))),"Fix")))</f>
        <v>0</v>
      </c>
      <c r="G729" s="5">
        <f>IF(OR(INDEX($W$2:$W$1001,MATCH(ROWS($V$2:V729),$V$2:$V$1001,0),1)&gt;=100000,INDEX($AC$1005:$AS$1005,1,MATCH(COLUMNS($AC$1006:AH1006),$AC$1006:$AS$1006,0))&gt;=100000), " ",IF(INDEX($AC$2:$AS$1001,MATCH(ROWS($V$2:V729),$V$2:$V$1001,0),MATCH(COLUMNS($AC$1006:AH1006),$AC$1006:$AS$1006,0)), HYPERLINK("#",""), HYPERLINK(CONCATENATE("#Metadata!", ADDRESS(INDEX($X$2:$X$1001,MATCH(ROWS($V$2:V729),$V$2:$V$1001,0),0), INDEX($AC$1004:$AS$1004,1,MATCH(COLUMNS($AC$1006:AH1006),$AC$1006:$AS$1006,0)))),"Fix")))</f>
        <v>0</v>
      </c>
      <c r="H729" s="5">
        <f>IF(OR(INDEX($W$2:$W$1001,MATCH(ROWS($V$2:V729),$V$2:$V$1001,0),1)&gt;=100000,INDEX($AC$1005:$AS$1005,1,MATCH(COLUMNS($AC$1006:AI1006),$AC$1006:$AS$1006,0))&gt;=100000), " ",IF(INDEX($AC$2:$AS$1001,MATCH(ROWS($V$2:V729),$V$2:$V$1001,0),MATCH(COLUMNS($AC$1006:AI1006),$AC$1006:$AS$1006,0)), HYPERLINK("#",""), HYPERLINK(CONCATENATE("#Metadata!", ADDRESS(INDEX($X$2:$X$1001,MATCH(ROWS($V$2:V729),$V$2:$V$1001,0),0), INDEX($AC$1004:$AS$1004,1,MATCH(COLUMNS($AC$1006:AI1006),$AC$1006:$AS$1006,0)))),"Fix")))</f>
        <v>0</v>
      </c>
      <c r="I729" s="5">
        <f>IF(OR(INDEX($W$2:$W$1001,MATCH(ROWS($V$2:V729),$V$2:$V$1001,0),1)&gt;=100000,INDEX($AC$1005:$AS$1005,1,MATCH(COLUMNS($AC$1006:AJ1006),$AC$1006:$AS$1006,0))&gt;=100000), " ",IF(INDEX($AC$2:$AS$1001,MATCH(ROWS($V$2:V729),$V$2:$V$1001,0),MATCH(COLUMNS($AC$1006:AJ1006),$AC$1006:$AS$1006,0)), HYPERLINK("#",""), HYPERLINK(CONCATENATE("#Metadata!", ADDRESS(INDEX($X$2:$X$1001,MATCH(ROWS($V$2:V729),$V$2:$V$1001,0),0), INDEX($AC$1004:$AS$1004,1,MATCH(COLUMNS($AC$1006:AJ1006),$AC$1006:$AS$1006,0)))),"Fix")))</f>
        <v>0</v>
      </c>
      <c r="J729" s="5">
        <f>IF(OR(INDEX($W$2:$W$1001,MATCH(ROWS($V$2:V729),$V$2:$V$1001,0),1)&gt;=100000,INDEX($AC$1005:$AS$1005,1,MATCH(COLUMNS($AC$1006:AK1006),$AC$1006:$AS$1006,0))&gt;=100000), " ",IF(INDEX($AC$2:$AS$1001,MATCH(ROWS($V$2:V729),$V$2:$V$1001,0),MATCH(COLUMNS($AC$1006:AK1006),$AC$1006:$AS$1006,0)), HYPERLINK("#",""), HYPERLINK(CONCATENATE("#Metadata!", ADDRESS(INDEX($X$2:$X$1001,MATCH(ROWS($V$2:V729),$V$2:$V$1001,0),0), INDEX($AC$1004:$AS$1004,1,MATCH(COLUMNS($AC$1006:AK1006),$AC$1006:$AS$1006,0)))),"Fix")))</f>
        <v>0</v>
      </c>
      <c r="K729" s="5">
        <f>IF(OR(INDEX($W$2:$W$1001,MATCH(ROWS($V$2:V729),$V$2:$V$1001,0),1)&gt;=100000,INDEX($AC$1005:$AS$1005,1,MATCH(COLUMNS($AC$1006:AL1006),$AC$1006:$AS$1006,0))&gt;=100000), " ",IF(INDEX($AC$2:$AS$1001,MATCH(ROWS($V$2:V729),$V$2:$V$1001,0),MATCH(COLUMNS($AC$1006:AL1006),$AC$1006:$AS$1006,0)), HYPERLINK("#",""), HYPERLINK(CONCATENATE("#Metadata!", ADDRESS(INDEX($X$2:$X$1001,MATCH(ROWS($V$2:V729),$V$2:$V$1001,0),0), INDEX($AC$1004:$AS$1004,1,MATCH(COLUMNS($AC$1006:AL1006),$AC$1006:$AS$1006,0)))),"Fix")))</f>
        <v>0</v>
      </c>
      <c r="L729" s="5">
        <f>IF(OR(INDEX($W$2:$W$1001,MATCH(ROWS($V$2:V729),$V$2:$V$1001,0),1)&gt;=100000,INDEX($AC$1005:$AS$1005,1,MATCH(COLUMNS($AC$1006:AM1006),$AC$1006:$AS$1006,0))&gt;=100000), " ",IF(INDEX($AC$2:$AS$1001,MATCH(ROWS($V$2:V729),$V$2:$V$1001,0),MATCH(COLUMNS($AC$1006:AM1006),$AC$1006:$AS$1006,0)), HYPERLINK("#",""), HYPERLINK(CONCATENATE("#Metadata!", ADDRESS(INDEX($X$2:$X$1001,MATCH(ROWS($V$2:V729),$V$2:$V$1001,0),0), INDEX($AC$1004:$AS$1004,1,MATCH(COLUMNS($AC$1006:AM1006),$AC$1006:$AS$1006,0)))),"Fix")))</f>
        <v>0</v>
      </c>
      <c r="M729" s="5">
        <f>IF(OR(INDEX($W$2:$W$1001,MATCH(ROWS($V$2:V729),$V$2:$V$1001,0),1)&gt;=100000,INDEX($AC$1005:$AS$1005,1,MATCH(COLUMNS($AC$1006:AN1006),$AC$1006:$AS$1006,0))&gt;=100000), " ",IF(INDEX($AC$2:$AS$1001,MATCH(ROWS($V$2:V729),$V$2:$V$1001,0),MATCH(COLUMNS($AC$1006:AN1006),$AC$1006:$AS$1006,0)), HYPERLINK("#",""), HYPERLINK(CONCATENATE("#Metadata!", ADDRESS(INDEX($X$2:$X$1001,MATCH(ROWS($V$2:V729),$V$2:$V$1001,0),0), INDEX($AC$1004:$AS$1004,1,MATCH(COLUMNS($AC$1006:AN1006),$AC$1006:$AS$1006,0)))),"Fix")))</f>
        <v>0</v>
      </c>
      <c r="N729" s="5">
        <f>IF(OR(INDEX($W$2:$W$1001,MATCH(ROWS($V$2:V729),$V$2:$V$1001,0),1)&gt;=100000,INDEX($AC$1005:$AS$1005,1,MATCH(COLUMNS($AC$1006:AO1006),$AC$1006:$AS$1006,0))&gt;=100000), " ",IF(INDEX($AC$2:$AS$1001,MATCH(ROWS($V$2:V729),$V$2:$V$1001,0),MATCH(COLUMNS($AC$1006:AO1006),$AC$1006:$AS$1006,0)), HYPERLINK("#",""), HYPERLINK(CONCATENATE("#Metadata!", ADDRESS(INDEX($X$2:$X$1001,MATCH(ROWS($V$2:V729),$V$2:$V$1001,0),0), INDEX($AC$1004:$AS$1004,1,MATCH(COLUMNS($AC$1006:AO1006),$AC$1006:$AS$1006,0)))),"Fix")))</f>
        <v>0</v>
      </c>
      <c r="O729" s="5">
        <f>IF(OR(INDEX($W$2:$W$1001,MATCH(ROWS($V$2:V729),$V$2:$V$1001,0),1)&gt;=100000,INDEX($AC$1005:$AS$1005,1,MATCH(COLUMNS($AC$1006:AP1006),$AC$1006:$AS$1006,0))&gt;=100000), " ",IF(INDEX($AC$2:$AS$1001,MATCH(ROWS($V$2:V729),$V$2:$V$1001,0),MATCH(COLUMNS($AC$1006:AP1006),$AC$1006:$AS$1006,0)), HYPERLINK("#",""), HYPERLINK(CONCATENATE("#Metadata!", ADDRESS(INDEX($X$2:$X$1001,MATCH(ROWS($V$2:V729),$V$2:$V$1001,0),0), INDEX($AC$1004:$AS$1004,1,MATCH(COLUMNS($AC$1006:AP1006),$AC$1006:$AS$1006,0)))),"Fix")))</f>
        <v>0</v>
      </c>
      <c r="P729" s="5">
        <f>IF(OR(INDEX($W$2:$W$1001,MATCH(ROWS($V$2:V729),$V$2:$V$1001,0),1)&gt;=100000,INDEX($AC$1005:$AS$1005,1,MATCH(COLUMNS($AC$1006:AQ1006),$AC$1006:$AS$1006,0))&gt;=100000), " ",IF(INDEX($AC$2:$AS$1001,MATCH(ROWS($V$2:V729),$V$2:$V$1001,0),MATCH(COLUMNS($AC$1006:AQ1006),$AC$1006:$AS$1006,0)), HYPERLINK("#",""), HYPERLINK(CONCATENATE("#Metadata!", ADDRESS(INDEX($X$2:$X$1001,MATCH(ROWS($V$2:V729),$V$2:$V$1001,0),0), INDEX($AC$1004:$AS$1004,1,MATCH(COLUMNS($AC$1006:AQ1006),$AC$1006:$AS$1006,0)))),"Fix")))</f>
        <v>0</v>
      </c>
      <c r="Q729" s="5">
        <f>IF(OR(INDEX($W$2:$W$1001,MATCH(ROWS($V$2:V729),$V$2:$V$1001,0),1)&gt;=100000,INDEX($AC$1005:$AS$1005,1,MATCH(COLUMNS($AC$1006:AR1006),$AC$1006:$AS$1006,0))&gt;=100000), " ",IF(INDEX($AC$2:$AS$1001,MATCH(ROWS($V$2:V729),$V$2:$V$1001,0),MATCH(COLUMNS($AC$1006:AR1006),$AC$1006:$AS$1006,0)), HYPERLINK("#",""), HYPERLINK(CONCATENATE("#Metadata!", ADDRESS(INDEX($X$2:$X$1001,MATCH(ROWS($V$2:V729),$V$2:$V$1001,0),0), INDEX($AC$1004:$AS$1004,1,MATCH(COLUMNS($AC$1006:AR1006),$AC$1006:$AS$1006,0)))),"Fix")))</f>
        <v>0</v>
      </c>
      <c r="R729" s="5">
        <f>IF(OR(INDEX($W$2:$W$1001,MATCH(ROWS($V$2:V729),$V$2:$V$1001,0),1)&gt;=100000,INDEX($AC$1005:$AS$1005,1,MATCH(COLUMNS($AC$1006:AS1006),$AC$1006:$AS$1006,0))&gt;=100000), " ",IF(INDEX($AC$2:$AS$1001,MATCH(ROWS($V$2:V729),$V$2:$V$1001,0),MATCH(COLUMNS($AC$1006:AS1006),$AC$1006:$AS$1006,0)), HYPERLINK("#",""), HYPERLINK(CONCATENATE("#Metadata!", ADDRESS(INDEX($X$2:$X$1001,MATCH(ROWS($V$2:V729),$V$2:$V$1001,0),0), INDEX($AC$1004:$AS$1004,1,MATCH(COLUMNS($AC$1006:AS1006),$AC$1006:$AS$1006,0)))),"Fix")))</f>
        <v>0</v>
      </c>
      <c r="V729">
        <v>0</v>
      </c>
      <c r="W729">
        <v>0</v>
      </c>
      <c r="X729">
        <v>0</v>
      </c>
      <c r="Y729">
        <f>IF(Z729,TRUE,AND(AC729:AS729))</f>
        <v>0</v>
      </c>
      <c r="Z729">
        <f>COUNTBLANK(Metadata!B729:R729)=COLUMNS(Metadata!B729:R729)</f>
        <v>0</v>
      </c>
      <c r="AA729">
        <v>0</v>
      </c>
      <c r="AC729">
        <f>AND(IF(Metadata!B729="",FALSE,TRUE),COUNTIF(Metadata!B:B, Metadata!B729) = 1,NOT(ISERROR(SUMPRODUCT(SEARCH(MID(Metadata!B729,ROW(INDIRECT("1:"&amp;LEN(Metadata!B729))), 1),"0123456789abcdefghijklmnopqrstuvwxyzABCDEFGHIJKLMNOPQRSTUVWXYZ.")))))</f>
        <v>0</v>
      </c>
      <c r="AD729">
        <f>AND(IF(Metadata!C729="",FALSE,TRUE),exact(Metadata!C729,"Host-associated"))</f>
        <v>0</v>
      </c>
      <c r="AE729">
        <f>AND(IF(Metadata!D729="",FALSE,TRUE),OR(exact(Metadata!D729,"Animal"),exact(Metadata!D729,"Fungus"),exact(Metadata!D729,"Plant")))</f>
        <v>0</v>
      </c>
      <c r="AF729">
        <f>AND(IF(Metadata!E729="",FALSE,TRUE),OR(exact(Metadata!E729,"Plant secretion"),exact(Metadata!E729,"Plant rhizosphere"),exact(Metadata!E729,"Plant surface"),exact(Metadata!E729,"Plant corpus"),exact(Metadata!E729,"Fungus surface"),exact(Metadata!E729,"Fungus corpus"),exact(Metadata!E729,"Animal surface"),exact(Metadata!E729,"Animal proximal gut"),exact(Metadata!E729,"Animal corpus"),exact(Metadata!E729,"Animal distal gut"),exact(Metadata!E729,"Animal secretion")))</f>
        <v>0</v>
      </c>
      <c r="AG729">
        <f>OR(AND(IF(Metadata!F729="",FALSE,TRUE),OR(exact(Metadata!F729,"not collected"),exact(Metadata!F729,"not provided"),exact(Metadata!F729,"restricted access"))),AND(IF(Metadata!F729="",FALSE,TRUE),OR(exact(Metadata!F729,"organism-associated habitat"),exact(Metadata!F729,"plant-associated habitat"),exact(Metadata!F729,"animal-associated habitat"),exact(Metadata!F729,"insecta-associated habitat"),exact(Metadata!F729,"mammalia-associated habitat"),exact(Metadata!F729,"human-associated habitat"),exact(Metadata!F729,"livestock-associated habitat"))))</f>
        <v>0</v>
      </c>
      <c r="AH729">
        <f>AND(IF(Metadata!G729="",FALSE,TRUE),exact(Metadata!G729,"host-associated"))</f>
        <v>0</v>
      </c>
      <c r="AI729">
        <f>OR(AND(IF(Metadata!H729="",FALSE,TRUE),OR(exact(Metadata!H729,"not collected"),exact(Metadata!H729,"not provided"))),AND(IF(Metadata!H729="",FALSE,ISNUMBER(VALUE(Metadata!H729))),Metadata!H729&gt;0))</f>
        <v>0</v>
      </c>
      <c r="AJ729">
        <f>AND(IF(Metadata!I729="",FALSE,TRUE),exact(Metadata!I729,"years"))</f>
        <v>0</v>
      </c>
      <c r="AK729">
        <f>IF(Metadata!J729="",FALSE,TRUE)</f>
        <v>0</v>
      </c>
      <c r="AL729">
        <f>OR(AND(IF(Metadata!K729="",FALSE,TRUE),OR(exact(Metadata!K729,"not collected"),exact(Metadata!K729,"not provided"))),AND(IF(Metadata!K729="",FALSE,ISNUMBER(VALUE(Metadata!K729))),Metadata!K729&gt;0))</f>
        <v>0</v>
      </c>
      <c r="AM729">
        <f>AND(IF(Metadata!L729="",FALSE,TRUE),exact(Metadata!L729,"cm"))</f>
        <v>0</v>
      </c>
      <c r="AN729">
        <f>IF(Metadata!M729="",FALSE,TRUE)</f>
        <v>0</v>
      </c>
      <c r="AO729">
        <f>OR(AND(IF(Metadata!N729="",FALSE,TRUE),OR(exact(Metadata!N729,"not applicable"),exact(Metadata!N729,"not collected"),exact(Metadata!N729,"not provided"))),AND(IF(Metadata!N729="",FALSE,IF(ISERROR(INT(Metadata!N729)),FALSE,INT(Metadata!N729)=Metadata!N729)),Metadata!N729&gt;0))</f>
        <v>0</v>
      </c>
      <c r="AP729">
        <f>OR(AND(IF(Metadata!O729="",FALSE,TRUE),OR(exact(Metadata!O729,"not collected"),exact(Metadata!O729,"not provided"))),AND(IF(Metadata!O729="",FALSE,ISNUMBER(VALUE(Metadata!O729))),Metadata!O729&gt;0))</f>
        <v>0</v>
      </c>
      <c r="AQ729">
        <f>AND(IF(Metadata!P729="",FALSE,TRUE),exact(Metadata!P729,"kg"))</f>
        <v>0</v>
      </c>
      <c r="AR729">
        <f>OR(AND(IF(Metadata!Q729="",FALSE,TRUE),OR(exact(Metadata!Q729,"not applicable"),exact(Metadata!Q729,"not collected"),exact(Metadata!Q729,"not provided"),exact(Metadata!Q729,"restricted access"))),IF(Metadata!Q729="",FALSE,IF(ISERROR(INT(Metadata!Q729)),FALSE,INT(Metadata!Q729)=Metadata!Q729)))</f>
        <v>0</v>
      </c>
      <c r="AS729">
        <f>AND(IF(Metadata!R729="",FALSE,TRUE),exact(Metadata!R729,"Not applicable"))</f>
        <v>0</v>
      </c>
    </row>
    <row r="730" spans="1:45">
      <c r="A730" s="4">
        <f>IF(B730=" "," ",HYPERLINK(CONCATENATE("#metadata!",ADDRESS(INDEX($X$2:$X$1001,MATCH(ROWS($V$2:V730),$V$2:$V$1001,0),0),2)),INDEX($AA$2:$AA$1001,MATCH(ROWS($V$2:V730),$V$2:$V$1001,0),0)))</f>
        <v>0</v>
      </c>
      <c r="B730" s="5">
        <f>IF(OR(INDEX($W$2:$W$1001,MATCH(ROWS($V$2:V730),$V$2:$V$1001,0),1)&gt;=100000,INDEX($AC$1005:$AS$1005,1,MATCH(COLUMNS($AC$1006:AC1006),$AC$1006:$AS$1006,0))&gt;=100000), " ",IF(INDEX($AC$2:$AS$1001,MATCH(ROWS($V$2:V730),$V$2:$V$1001,0),MATCH(COLUMNS($AC$1006:AC1006),$AC$1006:$AS$1006,0)), HYPERLINK("#",""), HYPERLINK(CONCATENATE("#Metadata!", ADDRESS(INDEX($X$2:$X$1001,MATCH(ROWS($V$2:V730),$V$2:$V$1001,0),0), INDEX($AC$1004:$AS$1004,1,MATCH(COLUMNS($AC$1006:AC1006),$AC$1006:$AS$1006,0)))),"Fix")))</f>
        <v>0</v>
      </c>
      <c r="C730" s="5">
        <f>IF(OR(INDEX($W$2:$W$1001,MATCH(ROWS($V$2:V730),$V$2:$V$1001,0),1)&gt;=100000,INDEX($AC$1005:$AS$1005,1,MATCH(COLUMNS($AC$1006:AD1006),$AC$1006:$AS$1006,0))&gt;=100000), " ",IF(INDEX($AC$2:$AS$1001,MATCH(ROWS($V$2:V730),$V$2:$V$1001,0),MATCH(COLUMNS($AC$1006:AD1006),$AC$1006:$AS$1006,0)), HYPERLINK("#",""), HYPERLINK(CONCATENATE("#Metadata!", ADDRESS(INDEX($X$2:$X$1001,MATCH(ROWS($V$2:V730),$V$2:$V$1001,0),0), INDEX($AC$1004:$AS$1004,1,MATCH(COLUMNS($AC$1006:AD1006),$AC$1006:$AS$1006,0)))),"Fix")))</f>
        <v>0</v>
      </c>
      <c r="D730" s="5">
        <f>IF(OR(INDEX($W$2:$W$1001,MATCH(ROWS($V$2:V730),$V$2:$V$1001,0),1)&gt;=100000,INDEX($AC$1005:$AS$1005,1,MATCH(COLUMNS($AC$1006:AE1006),$AC$1006:$AS$1006,0))&gt;=100000), " ",IF(INDEX($AC$2:$AS$1001,MATCH(ROWS($V$2:V730),$V$2:$V$1001,0),MATCH(COLUMNS($AC$1006:AE1006),$AC$1006:$AS$1006,0)), HYPERLINK("#",""), HYPERLINK(CONCATENATE("#Metadata!", ADDRESS(INDEX($X$2:$X$1001,MATCH(ROWS($V$2:V730),$V$2:$V$1001,0),0), INDEX($AC$1004:$AS$1004,1,MATCH(COLUMNS($AC$1006:AE1006),$AC$1006:$AS$1006,0)))),"Fix")))</f>
        <v>0</v>
      </c>
      <c r="E730" s="5">
        <f>IF(OR(INDEX($W$2:$W$1001,MATCH(ROWS($V$2:V730),$V$2:$V$1001,0),1)&gt;=100000,INDEX($AC$1005:$AS$1005,1,MATCH(COLUMNS($AC$1006:AF1006),$AC$1006:$AS$1006,0))&gt;=100000), " ",IF(INDEX($AC$2:$AS$1001,MATCH(ROWS($V$2:V730),$V$2:$V$1001,0),MATCH(COLUMNS($AC$1006:AF1006),$AC$1006:$AS$1006,0)), HYPERLINK("#",""), HYPERLINK(CONCATENATE("#Metadata!", ADDRESS(INDEX($X$2:$X$1001,MATCH(ROWS($V$2:V730),$V$2:$V$1001,0),0), INDEX($AC$1004:$AS$1004,1,MATCH(COLUMNS($AC$1006:AF1006),$AC$1006:$AS$1006,0)))),"Fix")))</f>
        <v>0</v>
      </c>
      <c r="F730" s="5">
        <f>IF(OR(INDEX($W$2:$W$1001,MATCH(ROWS($V$2:V730),$V$2:$V$1001,0),1)&gt;=100000,INDEX($AC$1005:$AS$1005,1,MATCH(COLUMNS($AC$1006:AG1006),$AC$1006:$AS$1006,0))&gt;=100000), " ",IF(INDEX($AC$2:$AS$1001,MATCH(ROWS($V$2:V730),$V$2:$V$1001,0),MATCH(COLUMNS($AC$1006:AG1006),$AC$1006:$AS$1006,0)), HYPERLINK("#",""), HYPERLINK(CONCATENATE("#Metadata!", ADDRESS(INDEX($X$2:$X$1001,MATCH(ROWS($V$2:V730),$V$2:$V$1001,0),0), INDEX($AC$1004:$AS$1004,1,MATCH(COLUMNS($AC$1006:AG1006),$AC$1006:$AS$1006,0)))),"Fix")))</f>
        <v>0</v>
      </c>
      <c r="G730" s="5">
        <f>IF(OR(INDEX($W$2:$W$1001,MATCH(ROWS($V$2:V730),$V$2:$V$1001,0),1)&gt;=100000,INDEX($AC$1005:$AS$1005,1,MATCH(COLUMNS($AC$1006:AH1006),$AC$1006:$AS$1006,0))&gt;=100000), " ",IF(INDEX($AC$2:$AS$1001,MATCH(ROWS($V$2:V730),$V$2:$V$1001,0),MATCH(COLUMNS($AC$1006:AH1006),$AC$1006:$AS$1006,0)), HYPERLINK("#",""), HYPERLINK(CONCATENATE("#Metadata!", ADDRESS(INDEX($X$2:$X$1001,MATCH(ROWS($V$2:V730),$V$2:$V$1001,0),0), INDEX($AC$1004:$AS$1004,1,MATCH(COLUMNS($AC$1006:AH1006),$AC$1006:$AS$1006,0)))),"Fix")))</f>
        <v>0</v>
      </c>
      <c r="H730" s="5">
        <f>IF(OR(INDEX($W$2:$W$1001,MATCH(ROWS($V$2:V730),$V$2:$V$1001,0),1)&gt;=100000,INDEX($AC$1005:$AS$1005,1,MATCH(COLUMNS($AC$1006:AI1006),$AC$1006:$AS$1006,0))&gt;=100000), " ",IF(INDEX($AC$2:$AS$1001,MATCH(ROWS($V$2:V730),$V$2:$V$1001,0),MATCH(COLUMNS($AC$1006:AI1006),$AC$1006:$AS$1006,0)), HYPERLINK("#",""), HYPERLINK(CONCATENATE("#Metadata!", ADDRESS(INDEX($X$2:$X$1001,MATCH(ROWS($V$2:V730),$V$2:$V$1001,0),0), INDEX($AC$1004:$AS$1004,1,MATCH(COLUMNS($AC$1006:AI1006),$AC$1006:$AS$1006,0)))),"Fix")))</f>
        <v>0</v>
      </c>
      <c r="I730" s="5">
        <f>IF(OR(INDEX($W$2:$W$1001,MATCH(ROWS($V$2:V730),$V$2:$V$1001,0),1)&gt;=100000,INDEX($AC$1005:$AS$1005,1,MATCH(COLUMNS($AC$1006:AJ1006),$AC$1006:$AS$1006,0))&gt;=100000), " ",IF(INDEX($AC$2:$AS$1001,MATCH(ROWS($V$2:V730),$V$2:$V$1001,0),MATCH(COLUMNS($AC$1006:AJ1006),$AC$1006:$AS$1006,0)), HYPERLINK("#",""), HYPERLINK(CONCATENATE("#Metadata!", ADDRESS(INDEX($X$2:$X$1001,MATCH(ROWS($V$2:V730),$V$2:$V$1001,0),0), INDEX($AC$1004:$AS$1004,1,MATCH(COLUMNS($AC$1006:AJ1006),$AC$1006:$AS$1006,0)))),"Fix")))</f>
        <v>0</v>
      </c>
      <c r="J730" s="5">
        <f>IF(OR(INDEX($W$2:$W$1001,MATCH(ROWS($V$2:V730),$V$2:$V$1001,0),1)&gt;=100000,INDEX($AC$1005:$AS$1005,1,MATCH(COLUMNS($AC$1006:AK1006),$AC$1006:$AS$1006,0))&gt;=100000), " ",IF(INDEX($AC$2:$AS$1001,MATCH(ROWS($V$2:V730),$V$2:$V$1001,0),MATCH(COLUMNS($AC$1006:AK1006),$AC$1006:$AS$1006,0)), HYPERLINK("#",""), HYPERLINK(CONCATENATE("#Metadata!", ADDRESS(INDEX($X$2:$X$1001,MATCH(ROWS($V$2:V730),$V$2:$V$1001,0),0), INDEX($AC$1004:$AS$1004,1,MATCH(COLUMNS($AC$1006:AK1006),$AC$1006:$AS$1006,0)))),"Fix")))</f>
        <v>0</v>
      </c>
      <c r="K730" s="5">
        <f>IF(OR(INDEX($W$2:$W$1001,MATCH(ROWS($V$2:V730),$V$2:$V$1001,0),1)&gt;=100000,INDEX($AC$1005:$AS$1005,1,MATCH(COLUMNS($AC$1006:AL1006),$AC$1006:$AS$1006,0))&gt;=100000), " ",IF(INDEX($AC$2:$AS$1001,MATCH(ROWS($V$2:V730),$V$2:$V$1001,0),MATCH(COLUMNS($AC$1006:AL1006),$AC$1006:$AS$1006,0)), HYPERLINK("#",""), HYPERLINK(CONCATENATE("#Metadata!", ADDRESS(INDEX($X$2:$X$1001,MATCH(ROWS($V$2:V730),$V$2:$V$1001,0),0), INDEX($AC$1004:$AS$1004,1,MATCH(COLUMNS($AC$1006:AL1006),$AC$1006:$AS$1006,0)))),"Fix")))</f>
        <v>0</v>
      </c>
      <c r="L730" s="5">
        <f>IF(OR(INDEX($W$2:$W$1001,MATCH(ROWS($V$2:V730),$V$2:$V$1001,0),1)&gt;=100000,INDEX($AC$1005:$AS$1005,1,MATCH(COLUMNS($AC$1006:AM1006),$AC$1006:$AS$1006,0))&gt;=100000), " ",IF(INDEX($AC$2:$AS$1001,MATCH(ROWS($V$2:V730),$V$2:$V$1001,0),MATCH(COLUMNS($AC$1006:AM1006),$AC$1006:$AS$1006,0)), HYPERLINK("#",""), HYPERLINK(CONCATENATE("#Metadata!", ADDRESS(INDEX($X$2:$X$1001,MATCH(ROWS($V$2:V730),$V$2:$V$1001,0),0), INDEX($AC$1004:$AS$1004,1,MATCH(COLUMNS($AC$1006:AM1006),$AC$1006:$AS$1006,0)))),"Fix")))</f>
        <v>0</v>
      </c>
      <c r="M730" s="5">
        <f>IF(OR(INDEX($W$2:$W$1001,MATCH(ROWS($V$2:V730),$V$2:$V$1001,0),1)&gt;=100000,INDEX($AC$1005:$AS$1005,1,MATCH(COLUMNS($AC$1006:AN1006),$AC$1006:$AS$1006,0))&gt;=100000), " ",IF(INDEX($AC$2:$AS$1001,MATCH(ROWS($V$2:V730),$V$2:$V$1001,0),MATCH(COLUMNS($AC$1006:AN1006),$AC$1006:$AS$1006,0)), HYPERLINK("#",""), HYPERLINK(CONCATENATE("#Metadata!", ADDRESS(INDEX($X$2:$X$1001,MATCH(ROWS($V$2:V730),$V$2:$V$1001,0),0), INDEX($AC$1004:$AS$1004,1,MATCH(COLUMNS($AC$1006:AN1006),$AC$1006:$AS$1006,0)))),"Fix")))</f>
        <v>0</v>
      </c>
      <c r="N730" s="5">
        <f>IF(OR(INDEX($W$2:$W$1001,MATCH(ROWS($V$2:V730),$V$2:$V$1001,0),1)&gt;=100000,INDEX($AC$1005:$AS$1005,1,MATCH(COLUMNS($AC$1006:AO1006),$AC$1006:$AS$1006,0))&gt;=100000), " ",IF(INDEX($AC$2:$AS$1001,MATCH(ROWS($V$2:V730),$V$2:$V$1001,0),MATCH(COLUMNS($AC$1006:AO1006),$AC$1006:$AS$1006,0)), HYPERLINK("#",""), HYPERLINK(CONCATENATE("#Metadata!", ADDRESS(INDEX($X$2:$X$1001,MATCH(ROWS($V$2:V730),$V$2:$V$1001,0),0), INDEX($AC$1004:$AS$1004,1,MATCH(COLUMNS($AC$1006:AO1006),$AC$1006:$AS$1006,0)))),"Fix")))</f>
        <v>0</v>
      </c>
      <c r="O730" s="5">
        <f>IF(OR(INDEX($W$2:$W$1001,MATCH(ROWS($V$2:V730),$V$2:$V$1001,0),1)&gt;=100000,INDEX($AC$1005:$AS$1005,1,MATCH(COLUMNS($AC$1006:AP1006),$AC$1006:$AS$1006,0))&gt;=100000), " ",IF(INDEX($AC$2:$AS$1001,MATCH(ROWS($V$2:V730),$V$2:$V$1001,0),MATCH(COLUMNS($AC$1006:AP1006),$AC$1006:$AS$1006,0)), HYPERLINK("#",""), HYPERLINK(CONCATENATE("#Metadata!", ADDRESS(INDEX($X$2:$X$1001,MATCH(ROWS($V$2:V730),$V$2:$V$1001,0),0), INDEX($AC$1004:$AS$1004,1,MATCH(COLUMNS($AC$1006:AP1006),$AC$1006:$AS$1006,0)))),"Fix")))</f>
        <v>0</v>
      </c>
      <c r="P730" s="5">
        <f>IF(OR(INDEX($W$2:$W$1001,MATCH(ROWS($V$2:V730),$V$2:$V$1001,0),1)&gt;=100000,INDEX($AC$1005:$AS$1005,1,MATCH(COLUMNS($AC$1006:AQ1006),$AC$1006:$AS$1006,0))&gt;=100000), " ",IF(INDEX($AC$2:$AS$1001,MATCH(ROWS($V$2:V730),$V$2:$V$1001,0),MATCH(COLUMNS($AC$1006:AQ1006),$AC$1006:$AS$1006,0)), HYPERLINK("#",""), HYPERLINK(CONCATENATE("#Metadata!", ADDRESS(INDEX($X$2:$X$1001,MATCH(ROWS($V$2:V730),$V$2:$V$1001,0),0), INDEX($AC$1004:$AS$1004,1,MATCH(COLUMNS($AC$1006:AQ1006),$AC$1006:$AS$1006,0)))),"Fix")))</f>
        <v>0</v>
      </c>
      <c r="Q730" s="5">
        <f>IF(OR(INDEX($W$2:$W$1001,MATCH(ROWS($V$2:V730),$V$2:$V$1001,0),1)&gt;=100000,INDEX($AC$1005:$AS$1005,1,MATCH(COLUMNS($AC$1006:AR1006),$AC$1006:$AS$1006,0))&gt;=100000), " ",IF(INDEX($AC$2:$AS$1001,MATCH(ROWS($V$2:V730),$V$2:$V$1001,0),MATCH(COLUMNS($AC$1006:AR1006),$AC$1006:$AS$1006,0)), HYPERLINK("#",""), HYPERLINK(CONCATENATE("#Metadata!", ADDRESS(INDEX($X$2:$X$1001,MATCH(ROWS($V$2:V730),$V$2:$V$1001,0),0), INDEX($AC$1004:$AS$1004,1,MATCH(COLUMNS($AC$1006:AR1006),$AC$1006:$AS$1006,0)))),"Fix")))</f>
        <v>0</v>
      </c>
      <c r="R730" s="5">
        <f>IF(OR(INDEX($W$2:$W$1001,MATCH(ROWS($V$2:V730),$V$2:$V$1001,0),1)&gt;=100000,INDEX($AC$1005:$AS$1005,1,MATCH(COLUMNS($AC$1006:AS1006),$AC$1006:$AS$1006,0))&gt;=100000), " ",IF(INDEX($AC$2:$AS$1001,MATCH(ROWS($V$2:V730),$V$2:$V$1001,0),MATCH(COLUMNS($AC$1006:AS1006),$AC$1006:$AS$1006,0)), HYPERLINK("#",""), HYPERLINK(CONCATENATE("#Metadata!", ADDRESS(INDEX($X$2:$X$1001,MATCH(ROWS($V$2:V730),$V$2:$V$1001,0),0), INDEX($AC$1004:$AS$1004,1,MATCH(COLUMNS($AC$1006:AS1006),$AC$1006:$AS$1006,0)))),"Fix")))</f>
        <v>0</v>
      </c>
      <c r="V730">
        <v>0</v>
      </c>
      <c r="W730">
        <v>0</v>
      </c>
      <c r="X730">
        <v>0</v>
      </c>
      <c r="Y730">
        <f>IF(Z730,TRUE,AND(AC730:AS730))</f>
        <v>0</v>
      </c>
      <c r="Z730">
        <f>COUNTBLANK(Metadata!B730:R730)=COLUMNS(Metadata!B730:R730)</f>
        <v>0</v>
      </c>
      <c r="AA730">
        <v>0</v>
      </c>
      <c r="AC730">
        <f>AND(IF(Metadata!B730="",FALSE,TRUE),COUNTIF(Metadata!B:B, Metadata!B730) = 1,NOT(ISERROR(SUMPRODUCT(SEARCH(MID(Metadata!B730,ROW(INDIRECT("1:"&amp;LEN(Metadata!B730))), 1),"0123456789abcdefghijklmnopqrstuvwxyzABCDEFGHIJKLMNOPQRSTUVWXYZ.")))))</f>
        <v>0</v>
      </c>
      <c r="AD730">
        <f>AND(IF(Metadata!C730="",FALSE,TRUE),exact(Metadata!C730,"Host-associated"))</f>
        <v>0</v>
      </c>
      <c r="AE730">
        <f>AND(IF(Metadata!D730="",FALSE,TRUE),OR(exact(Metadata!D730,"Animal"),exact(Metadata!D730,"Fungus"),exact(Metadata!D730,"Plant")))</f>
        <v>0</v>
      </c>
      <c r="AF730">
        <f>AND(IF(Metadata!E730="",FALSE,TRUE),OR(exact(Metadata!E730,"Plant secretion"),exact(Metadata!E730,"Plant rhizosphere"),exact(Metadata!E730,"Plant surface"),exact(Metadata!E730,"Plant corpus"),exact(Metadata!E730,"Fungus surface"),exact(Metadata!E730,"Fungus corpus"),exact(Metadata!E730,"Animal surface"),exact(Metadata!E730,"Animal proximal gut"),exact(Metadata!E730,"Animal corpus"),exact(Metadata!E730,"Animal distal gut"),exact(Metadata!E730,"Animal secretion")))</f>
        <v>0</v>
      </c>
      <c r="AG730">
        <f>OR(AND(IF(Metadata!F730="",FALSE,TRUE),OR(exact(Metadata!F730,"not collected"),exact(Metadata!F730,"not provided"),exact(Metadata!F730,"restricted access"))),AND(IF(Metadata!F730="",FALSE,TRUE),OR(exact(Metadata!F730,"organism-associated habitat"),exact(Metadata!F730,"plant-associated habitat"),exact(Metadata!F730,"animal-associated habitat"),exact(Metadata!F730,"insecta-associated habitat"),exact(Metadata!F730,"mammalia-associated habitat"),exact(Metadata!F730,"human-associated habitat"),exact(Metadata!F730,"livestock-associated habitat"))))</f>
        <v>0</v>
      </c>
      <c r="AH730">
        <f>AND(IF(Metadata!G730="",FALSE,TRUE),exact(Metadata!G730,"host-associated"))</f>
        <v>0</v>
      </c>
      <c r="AI730">
        <f>OR(AND(IF(Metadata!H730="",FALSE,TRUE),OR(exact(Metadata!H730,"not collected"),exact(Metadata!H730,"not provided"))),AND(IF(Metadata!H730="",FALSE,ISNUMBER(VALUE(Metadata!H730))),Metadata!H730&gt;0))</f>
        <v>0</v>
      </c>
      <c r="AJ730">
        <f>AND(IF(Metadata!I730="",FALSE,TRUE),exact(Metadata!I730,"years"))</f>
        <v>0</v>
      </c>
      <c r="AK730">
        <f>IF(Metadata!J730="",FALSE,TRUE)</f>
        <v>0</v>
      </c>
      <c r="AL730">
        <f>OR(AND(IF(Metadata!K730="",FALSE,TRUE),OR(exact(Metadata!K730,"not collected"),exact(Metadata!K730,"not provided"))),AND(IF(Metadata!K730="",FALSE,ISNUMBER(VALUE(Metadata!K730))),Metadata!K730&gt;0))</f>
        <v>0</v>
      </c>
      <c r="AM730">
        <f>AND(IF(Metadata!L730="",FALSE,TRUE),exact(Metadata!L730,"cm"))</f>
        <v>0</v>
      </c>
      <c r="AN730">
        <f>IF(Metadata!M730="",FALSE,TRUE)</f>
        <v>0</v>
      </c>
      <c r="AO730">
        <f>OR(AND(IF(Metadata!N730="",FALSE,TRUE),OR(exact(Metadata!N730,"not applicable"),exact(Metadata!N730,"not collected"),exact(Metadata!N730,"not provided"))),AND(IF(Metadata!N730="",FALSE,IF(ISERROR(INT(Metadata!N730)),FALSE,INT(Metadata!N730)=Metadata!N730)),Metadata!N730&gt;0))</f>
        <v>0</v>
      </c>
      <c r="AP730">
        <f>OR(AND(IF(Metadata!O730="",FALSE,TRUE),OR(exact(Metadata!O730,"not collected"),exact(Metadata!O730,"not provided"))),AND(IF(Metadata!O730="",FALSE,ISNUMBER(VALUE(Metadata!O730))),Metadata!O730&gt;0))</f>
        <v>0</v>
      </c>
      <c r="AQ730">
        <f>AND(IF(Metadata!P730="",FALSE,TRUE),exact(Metadata!P730,"kg"))</f>
        <v>0</v>
      </c>
      <c r="AR730">
        <f>OR(AND(IF(Metadata!Q730="",FALSE,TRUE),OR(exact(Metadata!Q730,"not applicable"),exact(Metadata!Q730,"not collected"),exact(Metadata!Q730,"not provided"),exact(Metadata!Q730,"restricted access"))),IF(Metadata!Q730="",FALSE,IF(ISERROR(INT(Metadata!Q730)),FALSE,INT(Metadata!Q730)=Metadata!Q730)))</f>
        <v>0</v>
      </c>
      <c r="AS730">
        <f>AND(IF(Metadata!R730="",FALSE,TRUE),exact(Metadata!R730,"Not applicable"))</f>
        <v>0</v>
      </c>
    </row>
    <row r="731" spans="1:45">
      <c r="A731" s="4">
        <f>IF(B731=" "," ",HYPERLINK(CONCATENATE("#metadata!",ADDRESS(INDEX($X$2:$X$1001,MATCH(ROWS($V$2:V731),$V$2:$V$1001,0),0),2)),INDEX($AA$2:$AA$1001,MATCH(ROWS($V$2:V731),$V$2:$V$1001,0),0)))</f>
        <v>0</v>
      </c>
      <c r="B731" s="5">
        <f>IF(OR(INDEX($W$2:$W$1001,MATCH(ROWS($V$2:V731),$V$2:$V$1001,0),1)&gt;=100000,INDEX($AC$1005:$AS$1005,1,MATCH(COLUMNS($AC$1006:AC1006),$AC$1006:$AS$1006,0))&gt;=100000), " ",IF(INDEX($AC$2:$AS$1001,MATCH(ROWS($V$2:V731),$V$2:$V$1001,0),MATCH(COLUMNS($AC$1006:AC1006),$AC$1006:$AS$1006,0)), HYPERLINK("#",""), HYPERLINK(CONCATENATE("#Metadata!", ADDRESS(INDEX($X$2:$X$1001,MATCH(ROWS($V$2:V731),$V$2:$V$1001,0),0), INDEX($AC$1004:$AS$1004,1,MATCH(COLUMNS($AC$1006:AC1006),$AC$1006:$AS$1006,0)))),"Fix")))</f>
        <v>0</v>
      </c>
      <c r="C731" s="5">
        <f>IF(OR(INDEX($W$2:$W$1001,MATCH(ROWS($V$2:V731),$V$2:$V$1001,0),1)&gt;=100000,INDEX($AC$1005:$AS$1005,1,MATCH(COLUMNS($AC$1006:AD1006),$AC$1006:$AS$1006,0))&gt;=100000), " ",IF(INDEX($AC$2:$AS$1001,MATCH(ROWS($V$2:V731),$V$2:$V$1001,0),MATCH(COLUMNS($AC$1006:AD1006),$AC$1006:$AS$1006,0)), HYPERLINK("#",""), HYPERLINK(CONCATENATE("#Metadata!", ADDRESS(INDEX($X$2:$X$1001,MATCH(ROWS($V$2:V731),$V$2:$V$1001,0),0), INDEX($AC$1004:$AS$1004,1,MATCH(COLUMNS($AC$1006:AD1006),$AC$1006:$AS$1006,0)))),"Fix")))</f>
        <v>0</v>
      </c>
      <c r="D731" s="5">
        <f>IF(OR(INDEX($W$2:$W$1001,MATCH(ROWS($V$2:V731),$V$2:$V$1001,0),1)&gt;=100000,INDEX($AC$1005:$AS$1005,1,MATCH(COLUMNS($AC$1006:AE1006),$AC$1006:$AS$1006,0))&gt;=100000), " ",IF(INDEX($AC$2:$AS$1001,MATCH(ROWS($V$2:V731),$V$2:$V$1001,0),MATCH(COLUMNS($AC$1006:AE1006),$AC$1006:$AS$1006,0)), HYPERLINK("#",""), HYPERLINK(CONCATENATE("#Metadata!", ADDRESS(INDEX($X$2:$X$1001,MATCH(ROWS($V$2:V731),$V$2:$V$1001,0),0), INDEX($AC$1004:$AS$1004,1,MATCH(COLUMNS($AC$1006:AE1006),$AC$1006:$AS$1006,0)))),"Fix")))</f>
        <v>0</v>
      </c>
      <c r="E731" s="5">
        <f>IF(OR(INDEX($W$2:$W$1001,MATCH(ROWS($V$2:V731),$V$2:$V$1001,0),1)&gt;=100000,INDEX($AC$1005:$AS$1005,1,MATCH(COLUMNS($AC$1006:AF1006),$AC$1006:$AS$1006,0))&gt;=100000), " ",IF(INDEX($AC$2:$AS$1001,MATCH(ROWS($V$2:V731),$V$2:$V$1001,0),MATCH(COLUMNS($AC$1006:AF1006),$AC$1006:$AS$1006,0)), HYPERLINK("#",""), HYPERLINK(CONCATENATE("#Metadata!", ADDRESS(INDEX($X$2:$X$1001,MATCH(ROWS($V$2:V731),$V$2:$V$1001,0),0), INDEX($AC$1004:$AS$1004,1,MATCH(COLUMNS($AC$1006:AF1006),$AC$1006:$AS$1006,0)))),"Fix")))</f>
        <v>0</v>
      </c>
      <c r="F731" s="5">
        <f>IF(OR(INDEX($W$2:$W$1001,MATCH(ROWS($V$2:V731),$V$2:$V$1001,0),1)&gt;=100000,INDEX($AC$1005:$AS$1005,1,MATCH(COLUMNS($AC$1006:AG1006),$AC$1006:$AS$1006,0))&gt;=100000), " ",IF(INDEX($AC$2:$AS$1001,MATCH(ROWS($V$2:V731),$V$2:$V$1001,0),MATCH(COLUMNS($AC$1006:AG1006),$AC$1006:$AS$1006,0)), HYPERLINK("#",""), HYPERLINK(CONCATENATE("#Metadata!", ADDRESS(INDEX($X$2:$X$1001,MATCH(ROWS($V$2:V731),$V$2:$V$1001,0),0), INDEX($AC$1004:$AS$1004,1,MATCH(COLUMNS($AC$1006:AG1006),$AC$1006:$AS$1006,0)))),"Fix")))</f>
        <v>0</v>
      </c>
      <c r="G731" s="5">
        <f>IF(OR(INDEX($W$2:$W$1001,MATCH(ROWS($V$2:V731),$V$2:$V$1001,0),1)&gt;=100000,INDEX($AC$1005:$AS$1005,1,MATCH(COLUMNS($AC$1006:AH1006),$AC$1006:$AS$1006,0))&gt;=100000), " ",IF(INDEX($AC$2:$AS$1001,MATCH(ROWS($V$2:V731),$V$2:$V$1001,0),MATCH(COLUMNS($AC$1006:AH1006),$AC$1006:$AS$1006,0)), HYPERLINK("#",""), HYPERLINK(CONCATENATE("#Metadata!", ADDRESS(INDEX($X$2:$X$1001,MATCH(ROWS($V$2:V731),$V$2:$V$1001,0),0), INDEX($AC$1004:$AS$1004,1,MATCH(COLUMNS($AC$1006:AH1006),$AC$1006:$AS$1006,0)))),"Fix")))</f>
        <v>0</v>
      </c>
      <c r="H731" s="5">
        <f>IF(OR(INDEX($W$2:$W$1001,MATCH(ROWS($V$2:V731),$V$2:$V$1001,0),1)&gt;=100000,INDEX($AC$1005:$AS$1005,1,MATCH(COLUMNS($AC$1006:AI1006),$AC$1006:$AS$1006,0))&gt;=100000), " ",IF(INDEX($AC$2:$AS$1001,MATCH(ROWS($V$2:V731),$V$2:$V$1001,0),MATCH(COLUMNS($AC$1006:AI1006),$AC$1006:$AS$1006,0)), HYPERLINK("#",""), HYPERLINK(CONCATENATE("#Metadata!", ADDRESS(INDEX($X$2:$X$1001,MATCH(ROWS($V$2:V731),$V$2:$V$1001,0),0), INDEX($AC$1004:$AS$1004,1,MATCH(COLUMNS($AC$1006:AI1006),$AC$1006:$AS$1006,0)))),"Fix")))</f>
        <v>0</v>
      </c>
      <c r="I731" s="5">
        <f>IF(OR(INDEX($W$2:$W$1001,MATCH(ROWS($V$2:V731),$V$2:$V$1001,0),1)&gt;=100000,INDEX($AC$1005:$AS$1005,1,MATCH(COLUMNS($AC$1006:AJ1006),$AC$1006:$AS$1006,0))&gt;=100000), " ",IF(INDEX($AC$2:$AS$1001,MATCH(ROWS($V$2:V731),$V$2:$V$1001,0),MATCH(COLUMNS($AC$1006:AJ1006),$AC$1006:$AS$1006,0)), HYPERLINK("#",""), HYPERLINK(CONCATENATE("#Metadata!", ADDRESS(INDEX($X$2:$X$1001,MATCH(ROWS($V$2:V731),$V$2:$V$1001,0),0), INDEX($AC$1004:$AS$1004,1,MATCH(COLUMNS($AC$1006:AJ1006),$AC$1006:$AS$1006,0)))),"Fix")))</f>
        <v>0</v>
      </c>
      <c r="J731" s="5">
        <f>IF(OR(INDEX($W$2:$W$1001,MATCH(ROWS($V$2:V731),$V$2:$V$1001,0),1)&gt;=100000,INDEX($AC$1005:$AS$1005,1,MATCH(COLUMNS($AC$1006:AK1006),$AC$1006:$AS$1006,0))&gt;=100000), " ",IF(INDEX($AC$2:$AS$1001,MATCH(ROWS($V$2:V731),$V$2:$V$1001,0),MATCH(COLUMNS($AC$1006:AK1006),$AC$1006:$AS$1006,0)), HYPERLINK("#",""), HYPERLINK(CONCATENATE("#Metadata!", ADDRESS(INDEX($X$2:$X$1001,MATCH(ROWS($V$2:V731),$V$2:$V$1001,0),0), INDEX($AC$1004:$AS$1004,1,MATCH(COLUMNS($AC$1006:AK1006),$AC$1006:$AS$1006,0)))),"Fix")))</f>
        <v>0</v>
      </c>
      <c r="K731" s="5">
        <f>IF(OR(INDEX($W$2:$W$1001,MATCH(ROWS($V$2:V731),$V$2:$V$1001,0),1)&gt;=100000,INDEX($AC$1005:$AS$1005,1,MATCH(COLUMNS($AC$1006:AL1006),$AC$1006:$AS$1006,0))&gt;=100000), " ",IF(INDEX($AC$2:$AS$1001,MATCH(ROWS($V$2:V731),$V$2:$V$1001,0),MATCH(COLUMNS($AC$1006:AL1006),$AC$1006:$AS$1006,0)), HYPERLINK("#",""), HYPERLINK(CONCATENATE("#Metadata!", ADDRESS(INDEX($X$2:$X$1001,MATCH(ROWS($V$2:V731),$V$2:$V$1001,0),0), INDEX($AC$1004:$AS$1004,1,MATCH(COLUMNS($AC$1006:AL1006),$AC$1006:$AS$1006,0)))),"Fix")))</f>
        <v>0</v>
      </c>
      <c r="L731" s="5">
        <f>IF(OR(INDEX($W$2:$W$1001,MATCH(ROWS($V$2:V731),$V$2:$V$1001,0),1)&gt;=100000,INDEX($AC$1005:$AS$1005,1,MATCH(COLUMNS($AC$1006:AM1006),$AC$1006:$AS$1006,0))&gt;=100000), " ",IF(INDEX($AC$2:$AS$1001,MATCH(ROWS($V$2:V731),$V$2:$V$1001,0),MATCH(COLUMNS($AC$1006:AM1006),$AC$1006:$AS$1006,0)), HYPERLINK("#",""), HYPERLINK(CONCATENATE("#Metadata!", ADDRESS(INDEX($X$2:$X$1001,MATCH(ROWS($V$2:V731),$V$2:$V$1001,0),0), INDEX($AC$1004:$AS$1004,1,MATCH(COLUMNS($AC$1006:AM1006),$AC$1006:$AS$1006,0)))),"Fix")))</f>
        <v>0</v>
      </c>
      <c r="M731" s="5">
        <f>IF(OR(INDEX($W$2:$W$1001,MATCH(ROWS($V$2:V731),$V$2:$V$1001,0),1)&gt;=100000,INDEX($AC$1005:$AS$1005,1,MATCH(COLUMNS($AC$1006:AN1006),$AC$1006:$AS$1006,0))&gt;=100000), " ",IF(INDEX($AC$2:$AS$1001,MATCH(ROWS($V$2:V731),$V$2:$V$1001,0),MATCH(COLUMNS($AC$1006:AN1006),$AC$1006:$AS$1006,0)), HYPERLINK("#",""), HYPERLINK(CONCATENATE("#Metadata!", ADDRESS(INDEX($X$2:$X$1001,MATCH(ROWS($V$2:V731),$V$2:$V$1001,0),0), INDEX($AC$1004:$AS$1004,1,MATCH(COLUMNS($AC$1006:AN1006),$AC$1006:$AS$1006,0)))),"Fix")))</f>
        <v>0</v>
      </c>
      <c r="N731" s="5">
        <f>IF(OR(INDEX($W$2:$W$1001,MATCH(ROWS($V$2:V731),$V$2:$V$1001,0),1)&gt;=100000,INDEX($AC$1005:$AS$1005,1,MATCH(COLUMNS($AC$1006:AO1006),$AC$1006:$AS$1006,0))&gt;=100000), " ",IF(INDEX($AC$2:$AS$1001,MATCH(ROWS($V$2:V731),$V$2:$V$1001,0),MATCH(COLUMNS($AC$1006:AO1006),$AC$1006:$AS$1006,0)), HYPERLINK("#",""), HYPERLINK(CONCATENATE("#Metadata!", ADDRESS(INDEX($X$2:$X$1001,MATCH(ROWS($V$2:V731),$V$2:$V$1001,0),0), INDEX($AC$1004:$AS$1004,1,MATCH(COLUMNS($AC$1006:AO1006),$AC$1006:$AS$1006,0)))),"Fix")))</f>
        <v>0</v>
      </c>
      <c r="O731" s="5">
        <f>IF(OR(INDEX($W$2:$W$1001,MATCH(ROWS($V$2:V731),$V$2:$V$1001,0),1)&gt;=100000,INDEX($AC$1005:$AS$1005,1,MATCH(COLUMNS($AC$1006:AP1006),$AC$1006:$AS$1006,0))&gt;=100000), " ",IF(INDEX($AC$2:$AS$1001,MATCH(ROWS($V$2:V731),$V$2:$V$1001,0),MATCH(COLUMNS($AC$1006:AP1006),$AC$1006:$AS$1006,0)), HYPERLINK("#",""), HYPERLINK(CONCATENATE("#Metadata!", ADDRESS(INDEX($X$2:$X$1001,MATCH(ROWS($V$2:V731),$V$2:$V$1001,0),0), INDEX($AC$1004:$AS$1004,1,MATCH(COLUMNS($AC$1006:AP1006),$AC$1006:$AS$1006,0)))),"Fix")))</f>
        <v>0</v>
      </c>
      <c r="P731" s="5">
        <f>IF(OR(INDEX($W$2:$W$1001,MATCH(ROWS($V$2:V731),$V$2:$V$1001,0),1)&gt;=100000,INDEX($AC$1005:$AS$1005,1,MATCH(COLUMNS($AC$1006:AQ1006),$AC$1006:$AS$1006,0))&gt;=100000), " ",IF(INDEX($AC$2:$AS$1001,MATCH(ROWS($V$2:V731),$V$2:$V$1001,0),MATCH(COLUMNS($AC$1006:AQ1006),$AC$1006:$AS$1006,0)), HYPERLINK("#",""), HYPERLINK(CONCATENATE("#Metadata!", ADDRESS(INDEX($X$2:$X$1001,MATCH(ROWS($V$2:V731),$V$2:$V$1001,0),0), INDEX($AC$1004:$AS$1004,1,MATCH(COLUMNS($AC$1006:AQ1006),$AC$1006:$AS$1006,0)))),"Fix")))</f>
        <v>0</v>
      </c>
      <c r="Q731" s="5">
        <f>IF(OR(INDEX($W$2:$W$1001,MATCH(ROWS($V$2:V731),$V$2:$V$1001,0),1)&gt;=100000,INDEX($AC$1005:$AS$1005,1,MATCH(COLUMNS($AC$1006:AR1006),$AC$1006:$AS$1006,0))&gt;=100000), " ",IF(INDEX($AC$2:$AS$1001,MATCH(ROWS($V$2:V731),$V$2:$V$1001,0),MATCH(COLUMNS($AC$1006:AR1006),$AC$1006:$AS$1006,0)), HYPERLINK("#",""), HYPERLINK(CONCATENATE("#Metadata!", ADDRESS(INDEX($X$2:$X$1001,MATCH(ROWS($V$2:V731),$V$2:$V$1001,0),0), INDEX($AC$1004:$AS$1004,1,MATCH(COLUMNS($AC$1006:AR1006),$AC$1006:$AS$1006,0)))),"Fix")))</f>
        <v>0</v>
      </c>
      <c r="R731" s="5">
        <f>IF(OR(INDEX($W$2:$W$1001,MATCH(ROWS($V$2:V731),$V$2:$V$1001,0),1)&gt;=100000,INDEX($AC$1005:$AS$1005,1,MATCH(COLUMNS($AC$1006:AS1006),$AC$1006:$AS$1006,0))&gt;=100000), " ",IF(INDEX($AC$2:$AS$1001,MATCH(ROWS($V$2:V731),$V$2:$V$1001,0),MATCH(COLUMNS($AC$1006:AS1006),$AC$1006:$AS$1006,0)), HYPERLINK("#",""), HYPERLINK(CONCATENATE("#Metadata!", ADDRESS(INDEX($X$2:$X$1001,MATCH(ROWS($V$2:V731),$V$2:$V$1001,0),0), INDEX($AC$1004:$AS$1004,1,MATCH(COLUMNS($AC$1006:AS1006),$AC$1006:$AS$1006,0)))),"Fix")))</f>
        <v>0</v>
      </c>
      <c r="V731">
        <v>0</v>
      </c>
      <c r="W731">
        <v>0</v>
      </c>
      <c r="X731">
        <v>0</v>
      </c>
      <c r="Y731">
        <f>IF(Z731,TRUE,AND(AC731:AS731))</f>
        <v>0</v>
      </c>
      <c r="Z731">
        <f>COUNTBLANK(Metadata!B731:R731)=COLUMNS(Metadata!B731:R731)</f>
        <v>0</v>
      </c>
      <c r="AA731">
        <v>0</v>
      </c>
      <c r="AC731">
        <f>AND(IF(Metadata!B731="",FALSE,TRUE),COUNTIF(Metadata!B:B, Metadata!B731) = 1,NOT(ISERROR(SUMPRODUCT(SEARCH(MID(Metadata!B731,ROW(INDIRECT("1:"&amp;LEN(Metadata!B731))), 1),"0123456789abcdefghijklmnopqrstuvwxyzABCDEFGHIJKLMNOPQRSTUVWXYZ.")))))</f>
        <v>0</v>
      </c>
      <c r="AD731">
        <f>AND(IF(Metadata!C731="",FALSE,TRUE),exact(Metadata!C731,"Host-associated"))</f>
        <v>0</v>
      </c>
      <c r="AE731">
        <f>AND(IF(Metadata!D731="",FALSE,TRUE),OR(exact(Metadata!D731,"Animal"),exact(Metadata!D731,"Fungus"),exact(Metadata!D731,"Plant")))</f>
        <v>0</v>
      </c>
      <c r="AF731">
        <f>AND(IF(Metadata!E731="",FALSE,TRUE),OR(exact(Metadata!E731,"Plant secretion"),exact(Metadata!E731,"Plant rhizosphere"),exact(Metadata!E731,"Plant surface"),exact(Metadata!E731,"Plant corpus"),exact(Metadata!E731,"Fungus surface"),exact(Metadata!E731,"Fungus corpus"),exact(Metadata!E731,"Animal surface"),exact(Metadata!E731,"Animal proximal gut"),exact(Metadata!E731,"Animal corpus"),exact(Metadata!E731,"Animal distal gut"),exact(Metadata!E731,"Animal secretion")))</f>
        <v>0</v>
      </c>
      <c r="AG731">
        <f>OR(AND(IF(Metadata!F731="",FALSE,TRUE),OR(exact(Metadata!F731,"not collected"),exact(Metadata!F731,"not provided"),exact(Metadata!F731,"restricted access"))),AND(IF(Metadata!F731="",FALSE,TRUE),OR(exact(Metadata!F731,"organism-associated habitat"),exact(Metadata!F731,"plant-associated habitat"),exact(Metadata!F731,"animal-associated habitat"),exact(Metadata!F731,"insecta-associated habitat"),exact(Metadata!F731,"mammalia-associated habitat"),exact(Metadata!F731,"human-associated habitat"),exact(Metadata!F731,"livestock-associated habitat"))))</f>
        <v>0</v>
      </c>
      <c r="AH731">
        <f>AND(IF(Metadata!G731="",FALSE,TRUE),exact(Metadata!G731,"host-associated"))</f>
        <v>0</v>
      </c>
      <c r="AI731">
        <f>OR(AND(IF(Metadata!H731="",FALSE,TRUE),OR(exact(Metadata!H731,"not collected"),exact(Metadata!H731,"not provided"))),AND(IF(Metadata!H731="",FALSE,ISNUMBER(VALUE(Metadata!H731))),Metadata!H731&gt;0))</f>
        <v>0</v>
      </c>
      <c r="AJ731">
        <f>AND(IF(Metadata!I731="",FALSE,TRUE),exact(Metadata!I731,"years"))</f>
        <v>0</v>
      </c>
      <c r="AK731">
        <f>IF(Metadata!J731="",FALSE,TRUE)</f>
        <v>0</v>
      </c>
      <c r="AL731">
        <f>OR(AND(IF(Metadata!K731="",FALSE,TRUE),OR(exact(Metadata!K731,"not collected"),exact(Metadata!K731,"not provided"))),AND(IF(Metadata!K731="",FALSE,ISNUMBER(VALUE(Metadata!K731))),Metadata!K731&gt;0))</f>
        <v>0</v>
      </c>
      <c r="AM731">
        <f>AND(IF(Metadata!L731="",FALSE,TRUE),exact(Metadata!L731,"cm"))</f>
        <v>0</v>
      </c>
      <c r="AN731">
        <f>IF(Metadata!M731="",FALSE,TRUE)</f>
        <v>0</v>
      </c>
      <c r="AO731">
        <f>OR(AND(IF(Metadata!N731="",FALSE,TRUE),OR(exact(Metadata!N731,"not applicable"),exact(Metadata!N731,"not collected"),exact(Metadata!N731,"not provided"))),AND(IF(Metadata!N731="",FALSE,IF(ISERROR(INT(Metadata!N731)),FALSE,INT(Metadata!N731)=Metadata!N731)),Metadata!N731&gt;0))</f>
        <v>0</v>
      </c>
      <c r="AP731">
        <f>OR(AND(IF(Metadata!O731="",FALSE,TRUE),OR(exact(Metadata!O731,"not collected"),exact(Metadata!O731,"not provided"))),AND(IF(Metadata!O731="",FALSE,ISNUMBER(VALUE(Metadata!O731))),Metadata!O731&gt;0))</f>
        <v>0</v>
      </c>
      <c r="AQ731">
        <f>AND(IF(Metadata!P731="",FALSE,TRUE),exact(Metadata!P731,"kg"))</f>
        <v>0</v>
      </c>
      <c r="AR731">
        <f>OR(AND(IF(Metadata!Q731="",FALSE,TRUE),OR(exact(Metadata!Q731,"not applicable"),exact(Metadata!Q731,"not collected"),exact(Metadata!Q731,"not provided"),exact(Metadata!Q731,"restricted access"))),IF(Metadata!Q731="",FALSE,IF(ISERROR(INT(Metadata!Q731)),FALSE,INT(Metadata!Q731)=Metadata!Q731)))</f>
        <v>0</v>
      </c>
      <c r="AS731">
        <f>AND(IF(Metadata!R731="",FALSE,TRUE),exact(Metadata!R731,"Not applicable"))</f>
        <v>0</v>
      </c>
    </row>
    <row r="732" spans="1:45">
      <c r="A732" s="4">
        <f>IF(B732=" "," ",HYPERLINK(CONCATENATE("#metadata!",ADDRESS(INDEX($X$2:$X$1001,MATCH(ROWS($V$2:V732),$V$2:$V$1001,0),0),2)),INDEX($AA$2:$AA$1001,MATCH(ROWS($V$2:V732),$V$2:$V$1001,0),0)))</f>
        <v>0</v>
      </c>
      <c r="B732" s="5">
        <f>IF(OR(INDEX($W$2:$W$1001,MATCH(ROWS($V$2:V732),$V$2:$V$1001,0),1)&gt;=100000,INDEX($AC$1005:$AS$1005,1,MATCH(COLUMNS($AC$1006:AC1006),$AC$1006:$AS$1006,0))&gt;=100000), " ",IF(INDEX($AC$2:$AS$1001,MATCH(ROWS($V$2:V732),$V$2:$V$1001,0),MATCH(COLUMNS($AC$1006:AC1006),$AC$1006:$AS$1006,0)), HYPERLINK("#",""), HYPERLINK(CONCATENATE("#Metadata!", ADDRESS(INDEX($X$2:$X$1001,MATCH(ROWS($V$2:V732),$V$2:$V$1001,0),0), INDEX($AC$1004:$AS$1004,1,MATCH(COLUMNS($AC$1006:AC1006),$AC$1006:$AS$1006,0)))),"Fix")))</f>
        <v>0</v>
      </c>
      <c r="C732" s="5">
        <f>IF(OR(INDEX($W$2:$W$1001,MATCH(ROWS($V$2:V732),$V$2:$V$1001,0),1)&gt;=100000,INDEX($AC$1005:$AS$1005,1,MATCH(COLUMNS($AC$1006:AD1006),$AC$1006:$AS$1006,0))&gt;=100000), " ",IF(INDEX($AC$2:$AS$1001,MATCH(ROWS($V$2:V732),$V$2:$V$1001,0),MATCH(COLUMNS($AC$1006:AD1006),$AC$1006:$AS$1006,0)), HYPERLINK("#",""), HYPERLINK(CONCATENATE("#Metadata!", ADDRESS(INDEX($X$2:$X$1001,MATCH(ROWS($V$2:V732),$V$2:$V$1001,0),0), INDEX($AC$1004:$AS$1004,1,MATCH(COLUMNS($AC$1006:AD1006),$AC$1006:$AS$1006,0)))),"Fix")))</f>
        <v>0</v>
      </c>
      <c r="D732" s="5">
        <f>IF(OR(INDEX($W$2:$W$1001,MATCH(ROWS($V$2:V732),$V$2:$V$1001,0),1)&gt;=100000,INDEX($AC$1005:$AS$1005,1,MATCH(COLUMNS($AC$1006:AE1006),$AC$1006:$AS$1006,0))&gt;=100000), " ",IF(INDEX($AC$2:$AS$1001,MATCH(ROWS($V$2:V732),$V$2:$V$1001,0),MATCH(COLUMNS($AC$1006:AE1006),$AC$1006:$AS$1006,0)), HYPERLINK("#",""), HYPERLINK(CONCATENATE("#Metadata!", ADDRESS(INDEX($X$2:$X$1001,MATCH(ROWS($V$2:V732),$V$2:$V$1001,0),0), INDEX($AC$1004:$AS$1004,1,MATCH(COLUMNS($AC$1006:AE1006),$AC$1006:$AS$1006,0)))),"Fix")))</f>
        <v>0</v>
      </c>
      <c r="E732" s="5">
        <f>IF(OR(INDEX($W$2:$W$1001,MATCH(ROWS($V$2:V732),$V$2:$V$1001,0),1)&gt;=100000,INDEX($AC$1005:$AS$1005,1,MATCH(COLUMNS($AC$1006:AF1006),$AC$1006:$AS$1006,0))&gt;=100000), " ",IF(INDEX($AC$2:$AS$1001,MATCH(ROWS($V$2:V732),$V$2:$V$1001,0),MATCH(COLUMNS($AC$1006:AF1006),$AC$1006:$AS$1006,0)), HYPERLINK("#",""), HYPERLINK(CONCATENATE("#Metadata!", ADDRESS(INDEX($X$2:$X$1001,MATCH(ROWS($V$2:V732),$V$2:$V$1001,0),0), INDEX($AC$1004:$AS$1004,1,MATCH(COLUMNS($AC$1006:AF1006),$AC$1006:$AS$1006,0)))),"Fix")))</f>
        <v>0</v>
      </c>
      <c r="F732" s="5">
        <f>IF(OR(INDEX($W$2:$W$1001,MATCH(ROWS($V$2:V732),$V$2:$V$1001,0),1)&gt;=100000,INDEX($AC$1005:$AS$1005,1,MATCH(COLUMNS($AC$1006:AG1006),$AC$1006:$AS$1006,0))&gt;=100000), " ",IF(INDEX($AC$2:$AS$1001,MATCH(ROWS($V$2:V732),$V$2:$V$1001,0),MATCH(COLUMNS($AC$1006:AG1006),$AC$1006:$AS$1006,0)), HYPERLINK("#",""), HYPERLINK(CONCATENATE("#Metadata!", ADDRESS(INDEX($X$2:$X$1001,MATCH(ROWS($V$2:V732),$V$2:$V$1001,0),0), INDEX($AC$1004:$AS$1004,1,MATCH(COLUMNS($AC$1006:AG1006),$AC$1006:$AS$1006,0)))),"Fix")))</f>
        <v>0</v>
      </c>
      <c r="G732" s="5">
        <f>IF(OR(INDEX($W$2:$W$1001,MATCH(ROWS($V$2:V732),$V$2:$V$1001,0),1)&gt;=100000,INDEX($AC$1005:$AS$1005,1,MATCH(COLUMNS($AC$1006:AH1006),$AC$1006:$AS$1006,0))&gt;=100000), " ",IF(INDEX($AC$2:$AS$1001,MATCH(ROWS($V$2:V732),$V$2:$V$1001,0),MATCH(COLUMNS($AC$1006:AH1006),$AC$1006:$AS$1006,0)), HYPERLINK("#",""), HYPERLINK(CONCATENATE("#Metadata!", ADDRESS(INDEX($X$2:$X$1001,MATCH(ROWS($V$2:V732),$V$2:$V$1001,0),0), INDEX($AC$1004:$AS$1004,1,MATCH(COLUMNS($AC$1006:AH1006),$AC$1006:$AS$1006,0)))),"Fix")))</f>
        <v>0</v>
      </c>
      <c r="H732" s="5">
        <f>IF(OR(INDEX($W$2:$W$1001,MATCH(ROWS($V$2:V732),$V$2:$V$1001,0),1)&gt;=100000,INDEX($AC$1005:$AS$1005,1,MATCH(COLUMNS($AC$1006:AI1006),$AC$1006:$AS$1006,0))&gt;=100000), " ",IF(INDEX($AC$2:$AS$1001,MATCH(ROWS($V$2:V732),$V$2:$V$1001,0),MATCH(COLUMNS($AC$1006:AI1006),$AC$1006:$AS$1006,0)), HYPERLINK("#",""), HYPERLINK(CONCATENATE("#Metadata!", ADDRESS(INDEX($X$2:$X$1001,MATCH(ROWS($V$2:V732),$V$2:$V$1001,0),0), INDEX($AC$1004:$AS$1004,1,MATCH(COLUMNS($AC$1006:AI1006),$AC$1006:$AS$1006,0)))),"Fix")))</f>
        <v>0</v>
      </c>
      <c r="I732" s="5">
        <f>IF(OR(INDEX($W$2:$W$1001,MATCH(ROWS($V$2:V732),$V$2:$V$1001,0),1)&gt;=100000,INDEX($AC$1005:$AS$1005,1,MATCH(COLUMNS($AC$1006:AJ1006),$AC$1006:$AS$1006,0))&gt;=100000), " ",IF(INDEX($AC$2:$AS$1001,MATCH(ROWS($V$2:V732),$V$2:$V$1001,0),MATCH(COLUMNS($AC$1006:AJ1006),$AC$1006:$AS$1006,0)), HYPERLINK("#",""), HYPERLINK(CONCATENATE("#Metadata!", ADDRESS(INDEX($X$2:$X$1001,MATCH(ROWS($V$2:V732),$V$2:$V$1001,0),0), INDEX($AC$1004:$AS$1004,1,MATCH(COLUMNS($AC$1006:AJ1006),$AC$1006:$AS$1006,0)))),"Fix")))</f>
        <v>0</v>
      </c>
      <c r="J732" s="5">
        <f>IF(OR(INDEX($W$2:$W$1001,MATCH(ROWS($V$2:V732),$V$2:$V$1001,0),1)&gt;=100000,INDEX($AC$1005:$AS$1005,1,MATCH(COLUMNS($AC$1006:AK1006),$AC$1006:$AS$1006,0))&gt;=100000), " ",IF(INDEX($AC$2:$AS$1001,MATCH(ROWS($V$2:V732),$V$2:$V$1001,0),MATCH(COLUMNS($AC$1006:AK1006),$AC$1006:$AS$1006,0)), HYPERLINK("#",""), HYPERLINK(CONCATENATE("#Metadata!", ADDRESS(INDEX($X$2:$X$1001,MATCH(ROWS($V$2:V732),$V$2:$V$1001,0),0), INDEX($AC$1004:$AS$1004,1,MATCH(COLUMNS($AC$1006:AK1006),$AC$1006:$AS$1006,0)))),"Fix")))</f>
        <v>0</v>
      </c>
      <c r="K732" s="5">
        <f>IF(OR(INDEX($W$2:$W$1001,MATCH(ROWS($V$2:V732),$V$2:$V$1001,0),1)&gt;=100000,INDEX($AC$1005:$AS$1005,1,MATCH(COLUMNS($AC$1006:AL1006),$AC$1006:$AS$1006,0))&gt;=100000), " ",IF(INDEX($AC$2:$AS$1001,MATCH(ROWS($V$2:V732),$V$2:$V$1001,0),MATCH(COLUMNS($AC$1006:AL1006),$AC$1006:$AS$1006,0)), HYPERLINK("#",""), HYPERLINK(CONCATENATE("#Metadata!", ADDRESS(INDEX($X$2:$X$1001,MATCH(ROWS($V$2:V732),$V$2:$V$1001,0),0), INDEX($AC$1004:$AS$1004,1,MATCH(COLUMNS($AC$1006:AL1006),$AC$1006:$AS$1006,0)))),"Fix")))</f>
        <v>0</v>
      </c>
      <c r="L732" s="5">
        <f>IF(OR(INDEX($W$2:$W$1001,MATCH(ROWS($V$2:V732),$V$2:$V$1001,0),1)&gt;=100000,INDEX($AC$1005:$AS$1005,1,MATCH(COLUMNS($AC$1006:AM1006),$AC$1006:$AS$1006,0))&gt;=100000), " ",IF(INDEX($AC$2:$AS$1001,MATCH(ROWS($V$2:V732),$V$2:$V$1001,0),MATCH(COLUMNS($AC$1006:AM1006),$AC$1006:$AS$1006,0)), HYPERLINK("#",""), HYPERLINK(CONCATENATE("#Metadata!", ADDRESS(INDEX($X$2:$X$1001,MATCH(ROWS($V$2:V732),$V$2:$V$1001,0),0), INDEX($AC$1004:$AS$1004,1,MATCH(COLUMNS($AC$1006:AM1006),$AC$1006:$AS$1006,0)))),"Fix")))</f>
        <v>0</v>
      </c>
      <c r="M732" s="5">
        <f>IF(OR(INDEX($W$2:$W$1001,MATCH(ROWS($V$2:V732),$V$2:$V$1001,0),1)&gt;=100000,INDEX($AC$1005:$AS$1005,1,MATCH(COLUMNS($AC$1006:AN1006),$AC$1006:$AS$1006,0))&gt;=100000), " ",IF(INDEX($AC$2:$AS$1001,MATCH(ROWS($V$2:V732),$V$2:$V$1001,0),MATCH(COLUMNS($AC$1006:AN1006),$AC$1006:$AS$1006,0)), HYPERLINK("#",""), HYPERLINK(CONCATENATE("#Metadata!", ADDRESS(INDEX($X$2:$X$1001,MATCH(ROWS($V$2:V732),$V$2:$V$1001,0),0), INDEX($AC$1004:$AS$1004,1,MATCH(COLUMNS($AC$1006:AN1006),$AC$1006:$AS$1006,0)))),"Fix")))</f>
        <v>0</v>
      </c>
      <c r="N732" s="5">
        <f>IF(OR(INDEX($W$2:$W$1001,MATCH(ROWS($V$2:V732),$V$2:$V$1001,0),1)&gt;=100000,INDEX($AC$1005:$AS$1005,1,MATCH(COLUMNS($AC$1006:AO1006),$AC$1006:$AS$1006,0))&gt;=100000), " ",IF(INDEX($AC$2:$AS$1001,MATCH(ROWS($V$2:V732),$V$2:$V$1001,0),MATCH(COLUMNS($AC$1006:AO1006),$AC$1006:$AS$1006,0)), HYPERLINK("#",""), HYPERLINK(CONCATENATE("#Metadata!", ADDRESS(INDEX($X$2:$X$1001,MATCH(ROWS($V$2:V732),$V$2:$V$1001,0),0), INDEX($AC$1004:$AS$1004,1,MATCH(COLUMNS($AC$1006:AO1006),$AC$1006:$AS$1006,0)))),"Fix")))</f>
        <v>0</v>
      </c>
      <c r="O732" s="5">
        <f>IF(OR(INDEX($W$2:$W$1001,MATCH(ROWS($V$2:V732),$V$2:$V$1001,0),1)&gt;=100000,INDEX($AC$1005:$AS$1005,1,MATCH(COLUMNS($AC$1006:AP1006),$AC$1006:$AS$1006,0))&gt;=100000), " ",IF(INDEX($AC$2:$AS$1001,MATCH(ROWS($V$2:V732),$V$2:$V$1001,0),MATCH(COLUMNS($AC$1006:AP1006),$AC$1006:$AS$1006,0)), HYPERLINK("#",""), HYPERLINK(CONCATENATE("#Metadata!", ADDRESS(INDEX($X$2:$X$1001,MATCH(ROWS($V$2:V732),$V$2:$V$1001,0),0), INDEX($AC$1004:$AS$1004,1,MATCH(COLUMNS($AC$1006:AP1006),$AC$1006:$AS$1006,0)))),"Fix")))</f>
        <v>0</v>
      </c>
      <c r="P732" s="5">
        <f>IF(OR(INDEX($W$2:$W$1001,MATCH(ROWS($V$2:V732),$V$2:$V$1001,0),1)&gt;=100000,INDEX($AC$1005:$AS$1005,1,MATCH(COLUMNS($AC$1006:AQ1006),$AC$1006:$AS$1006,0))&gt;=100000), " ",IF(INDEX($AC$2:$AS$1001,MATCH(ROWS($V$2:V732),$V$2:$V$1001,0),MATCH(COLUMNS($AC$1006:AQ1006),$AC$1006:$AS$1006,0)), HYPERLINK("#",""), HYPERLINK(CONCATENATE("#Metadata!", ADDRESS(INDEX($X$2:$X$1001,MATCH(ROWS($V$2:V732),$V$2:$V$1001,0),0), INDEX($AC$1004:$AS$1004,1,MATCH(COLUMNS($AC$1006:AQ1006),$AC$1006:$AS$1006,0)))),"Fix")))</f>
        <v>0</v>
      </c>
      <c r="Q732" s="5">
        <f>IF(OR(INDEX($W$2:$W$1001,MATCH(ROWS($V$2:V732),$V$2:$V$1001,0),1)&gt;=100000,INDEX($AC$1005:$AS$1005,1,MATCH(COLUMNS($AC$1006:AR1006),$AC$1006:$AS$1006,0))&gt;=100000), " ",IF(INDEX($AC$2:$AS$1001,MATCH(ROWS($V$2:V732),$V$2:$V$1001,0),MATCH(COLUMNS($AC$1006:AR1006),$AC$1006:$AS$1006,0)), HYPERLINK("#",""), HYPERLINK(CONCATENATE("#Metadata!", ADDRESS(INDEX($X$2:$X$1001,MATCH(ROWS($V$2:V732),$V$2:$V$1001,0),0), INDEX($AC$1004:$AS$1004,1,MATCH(COLUMNS($AC$1006:AR1006),$AC$1006:$AS$1006,0)))),"Fix")))</f>
        <v>0</v>
      </c>
      <c r="R732" s="5">
        <f>IF(OR(INDEX($W$2:$W$1001,MATCH(ROWS($V$2:V732),$V$2:$V$1001,0),1)&gt;=100000,INDEX($AC$1005:$AS$1005,1,MATCH(COLUMNS($AC$1006:AS1006),$AC$1006:$AS$1006,0))&gt;=100000), " ",IF(INDEX($AC$2:$AS$1001,MATCH(ROWS($V$2:V732),$V$2:$V$1001,0),MATCH(COLUMNS($AC$1006:AS1006),$AC$1006:$AS$1006,0)), HYPERLINK("#",""), HYPERLINK(CONCATENATE("#Metadata!", ADDRESS(INDEX($X$2:$X$1001,MATCH(ROWS($V$2:V732),$V$2:$V$1001,0),0), INDEX($AC$1004:$AS$1004,1,MATCH(COLUMNS($AC$1006:AS1006),$AC$1006:$AS$1006,0)))),"Fix")))</f>
        <v>0</v>
      </c>
      <c r="V732">
        <v>0</v>
      </c>
      <c r="W732">
        <v>0</v>
      </c>
      <c r="X732">
        <v>0</v>
      </c>
      <c r="Y732">
        <f>IF(Z732,TRUE,AND(AC732:AS732))</f>
        <v>0</v>
      </c>
      <c r="Z732">
        <f>COUNTBLANK(Metadata!B732:R732)=COLUMNS(Metadata!B732:R732)</f>
        <v>0</v>
      </c>
      <c r="AA732">
        <v>0</v>
      </c>
      <c r="AC732">
        <f>AND(IF(Metadata!B732="",FALSE,TRUE),COUNTIF(Metadata!B:B, Metadata!B732) = 1,NOT(ISERROR(SUMPRODUCT(SEARCH(MID(Metadata!B732,ROW(INDIRECT("1:"&amp;LEN(Metadata!B732))), 1),"0123456789abcdefghijklmnopqrstuvwxyzABCDEFGHIJKLMNOPQRSTUVWXYZ.")))))</f>
        <v>0</v>
      </c>
      <c r="AD732">
        <f>AND(IF(Metadata!C732="",FALSE,TRUE),exact(Metadata!C732,"Host-associated"))</f>
        <v>0</v>
      </c>
      <c r="AE732">
        <f>AND(IF(Metadata!D732="",FALSE,TRUE),OR(exact(Metadata!D732,"Animal"),exact(Metadata!D732,"Fungus"),exact(Metadata!D732,"Plant")))</f>
        <v>0</v>
      </c>
      <c r="AF732">
        <f>AND(IF(Metadata!E732="",FALSE,TRUE),OR(exact(Metadata!E732,"Plant secretion"),exact(Metadata!E732,"Plant rhizosphere"),exact(Metadata!E732,"Plant surface"),exact(Metadata!E732,"Plant corpus"),exact(Metadata!E732,"Fungus surface"),exact(Metadata!E732,"Fungus corpus"),exact(Metadata!E732,"Animal surface"),exact(Metadata!E732,"Animal proximal gut"),exact(Metadata!E732,"Animal corpus"),exact(Metadata!E732,"Animal distal gut"),exact(Metadata!E732,"Animal secretion")))</f>
        <v>0</v>
      </c>
      <c r="AG732">
        <f>OR(AND(IF(Metadata!F732="",FALSE,TRUE),OR(exact(Metadata!F732,"not collected"),exact(Metadata!F732,"not provided"),exact(Metadata!F732,"restricted access"))),AND(IF(Metadata!F732="",FALSE,TRUE),OR(exact(Metadata!F732,"organism-associated habitat"),exact(Metadata!F732,"plant-associated habitat"),exact(Metadata!F732,"animal-associated habitat"),exact(Metadata!F732,"insecta-associated habitat"),exact(Metadata!F732,"mammalia-associated habitat"),exact(Metadata!F732,"human-associated habitat"),exact(Metadata!F732,"livestock-associated habitat"))))</f>
        <v>0</v>
      </c>
      <c r="AH732">
        <f>AND(IF(Metadata!G732="",FALSE,TRUE),exact(Metadata!G732,"host-associated"))</f>
        <v>0</v>
      </c>
      <c r="AI732">
        <f>OR(AND(IF(Metadata!H732="",FALSE,TRUE),OR(exact(Metadata!H732,"not collected"),exact(Metadata!H732,"not provided"))),AND(IF(Metadata!H732="",FALSE,ISNUMBER(VALUE(Metadata!H732))),Metadata!H732&gt;0))</f>
        <v>0</v>
      </c>
      <c r="AJ732">
        <f>AND(IF(Metadata!I732="",FALSE,TRUE),exact(Metadata!I732,"years"))</f>
        <v>0</v>
      </c>
      <c r="AK732">
        <f>IF(Metadata!J732="",FALSE,TRUE)</f>
        <v>0</v>
      </c>
      <c r="AL732">
        <f>OR(AND(IF(Metadata!K732="",FALSE,TRUE),OR(exact(Metadata!K732,"not collected"),exact(Metadata!K732,"not provided"))),AND(IF(Metadata!K732="",FALSE,ISNUMBER(VALUE(Metadata!K732))),Metadata!K732&gt;0))</f>
        <v>0</v>
      </c>
      <c r="AM732">
        <f>AND(IF(Metadata!L732="",FALSE,TRUE),exact(Metadata!L732,"cm"))</f>
        <v>0</v>
      </c>
      <c r="AN732">
        <f>IF(Metadata!M732="",FALSE,TRUE)</f>
        <v>0</v>
      </c>
      <c r="AO732">
        <f>OR(AND(IF(Metadata!N732="",FALSE,TRUE),OR(exact(Metadata!N732,"not applicable"),exact(Metadata!N732,"not collected"),exact(Metadata!N732,"not provided"))),AND(IF(Metadata!N732="",FALSE,IF(ISERROR(INT(Metadata!N732)),FALSE,INT(Metadata!N732)=Metadata!N732)),Metadata!N732&gt;0))</f>
        <v>0</v>
      </c>
      <c r="AP732">
        <f>OR(AND(IF(Metadata!O732="",FALSE,TRUE),OR(exact(Metadata!O732,"not collected"),exact(Metadata!O732,"not provided"))),AND(IF(Metadata!O732="",FALSE,ISNUMBER(VALUE(Metadata!O732))),Metadata!O732&gt;0))</f>
        <v>0</v>
      </c>
      <c r="AQ732">
        <f>AND(IF(Metadata!P732="",FALSE,TRUE),exact(Metadata!P732,"kg"))</f>
        <v>0</v>
      </c>
      <c r="AR732">
        <f>OR(AND(IF(Metadata!Q732="",FALSE,TRUE),OR(exact(Metadata!Q732,"not applicable"),exact(Metadata!Q732,"not collected"),exact(Metadata!Q732,"not provided"),exact(Metadata!Q732,"restricted access"))),IF(Metadata!Q732="",FALSE,IF(ISERROR(INT(Metadata!Q732)),FALSE,INT(Metadata!Q732)=Metadata!Q732)))</f>
        <v>0</v>
      </c>
      <c r="AS732">
        <f>AND(IF(Metadata!R732="",FALSE,TRUE),exact(Metadata!R732,"Not applicable"))</f>
        <v>0</v>
      </c>
    </row>
    <row r="733" spans="1:45">
      <c r="A733" s="4">
        <f>IF(B733=" "," ",HYPERLINK(CONCATENATE("#metadata!",ADDRESS(INDEX($X$2:$X$1001,MATCH(ROWS($V$2:V733),$V$2:$V$1001,0),0),2)),INDEX($AA$2:$AA$1001,MATCH(ROWS($V$2:V733),$V$2:$V$1001,0),0)))</f>
        <v>0</v>
      </c>
      <c r="B733" s="5">
        <f>IF(OR(INDEX($W$2:$W$1001,MATCH(ROWS($V$2:V733),$V$2:$V$1001,0),1)&gt;=100000,INDEX($AC$1005:$AS$1005,1,MATCH(COLUMNS($AC$1006:AC1006),$AC$1006:$AS$1006,0))&gt;=100000), " ",IF(INDEX($AC$2:$AS$1001,MATCH(ROWS($V$2:V733),$V$2:$V$1001,0),MATCH(COLUMNS($AC$1006:AC1006),$AC$1006:$AS$1006,0)), HYPERLINK("#",""), HYPERLINK(CONCATENATE("#Metadata!", ADDRESS(INDEX($X$2:$X$1001,MATCH(ROWS($V$2:V733),$V$2:$V$1001,0),0), INDEX($AC$1004:$AS$1004,1,MATCH(COLUMNS($AC$1006:AC1006),$AC$1006:$AS$1006,0)))),"Fix")))</f>
        <v>0</v>
      </c>
      <c r="C733" s="5">
        <f>IF(OR(INDEX($W$2:$W$1001,MATCH(ROWS($V$2:V733),$V$2:$V$1001,0),1)&gt;=100000,INDEX($AC$1005:$AS$1005,1,MATCH(COLUMNS($AC$1006:AD1006),$AC$1006:$AS$1006,0))&gt;=100000), " ",IF(INDEX($AC$2:$AS$1001,MATCH(ROWS($V$2:V733),$V$2:$V$1001,0),MATCH(COLUMNS($AC$1006:AD1006),$AC$1006:$AS$1006,0)), HYPERLINK("#",""), HYPERLINK(CONCATENATE("#Metadata!", ADDRESS(INDEX($X$2:$X$1001,MATCH(ROWS($V$2:V733),$V$2:$V$1001,0),0), INDEX($AC$1004:$AS$1004,1,MATCH(COLUMNS($AC$1006:AD1006),$AC$1006:$AS$1006,0)))),"Fix")))</f>
        <v>0</v>
      </c>
      <c r="D733" s="5">
        <f>IF(OR(INDEX($W$2:$W$1001,MATCH(ROWS($V$2:V733),$V$2:$V$1001,0),1)&gt;=100000,INDEX($AC$1005:$AS$1005,1,MATCH(COLUMNS($AC$1006:AE1006),$AC$1006:$AS$1006,0))&gt;=100000), " ",IF(INDEX($AC$2:$AS$1001,MATCH(ROWS($V$2:V733),$V$2:$V$1001,0),MATCH(COLUMNS($AC$1006:AE1006),$AC$1006:$AS$1006,0)), HYPERLINK("#",""), HYPERLINK(CONCATENATE("#Metadata!", ADDRESS(INDEX($X$2:$X$1001,MATCH(ROWS($V$2:V733),$V$2:$V$1001,0),0), INDEX($AC$1004:$AS$1004,1,MATCH(COLUMNS($AC$1006:AE1006),$AC$1006:$AS$1006,0)))),"Fix")))</f>
        <v>0</v>
      </c>
      <c r="E733" s="5">
        <f>IF(OR(INDEX($W$2:$W$1001,MATCH(ROWS($V$2:V733),$V$2:$V$1001,0),1)&gt;=100000,INDEX($AC$1005:$AS$1005,1,MATCH(COLUMNS($AC$1006:AF1006),$AC$1006:$AS$1006,0))&gt;=100000), " ",IF(INDEX($AC$2:$AS$1001,MATCH(ROWS($V$2:V733),$V$2:$V$1001,0),MATCH(COLUMNS($AC$1006:AF1006),$AC$1006:$AS$1006,0)), HYPERLINK("#",""), HYPERLINK(CONCATENATE("#Metadata!", ADDRESS(INDEX($X$2:$X$1001,MATCH(ROWS($V$2:V733),$V$2:$V$1001,0),0), INDEX($AC$1004:$AS$1004,1,MATCH(COLUMNS($AC$1006:AF1006),$AC$1006:$AS$1006,0)))),"Fix")))</f>
        <v>0</v>
      </c>
      <c r="F733" s="5">
        <f>IF(OR(INDEX($W$2:$W$1001,MATCH(ROWS($V$2:V733),$V$2:$V$1001,0),1)&gt;=100000,INDEX($AC$1005:$AS$1005,1,MATCH(COLUMNS($AC$1006:AG1006),$AC$1006:$AS$1006,0))&gt;=100000), " ",IF(INDEX($AC$2:$AS$1001,MATCH(ROWS($V$2:V733),$V$2:$V$1001,0),MATCH(COLUMNS($AC$1006:AG1006),$AC$1006:$AS$1006,0)), HYPERLINK("#",""), HYPERLINK(CONCATENATE("#Metadata!", ADDRESS(INDEX($X$2:$X$1001,MATCH(ROWS($V$2:V733),$V$2:$V$1001,0),0), INDEX($AC$1004:$AS$1004,1,MATCH(COLUMNS($AC$1006:AG1006),$AC$1006:$AS$1006,0)))),"Fix")))</f>
        <v>0</v>
      </c>
      <c r="G733" s="5">
        <f>IF(OR(INDEX($W$2:$W$1001,MATCH(ROWS($V$2:V733),$V$2:$V$1001,0),1)&gt;=100000,INDEX($AC$1005:$AS$1005,1,MATCH(COLUMNS($AC$1006:AH1006),$AC$1006:$AS$1006,0))&gt;=100000), " ",IF(INDEX($AC$2:$AS$1001,MATCH(ROWS($V$2:V733),$V$2:$V$1001,0),MATCH(COLUMNS($AC$1006:AH1006),$AC$1006:$AS$1006,0)), HYPERLINK("#",""), HYPERLINK(CONCATENATE("#Metadata!", ADDRESS(INDEX($X$2:$X$1001,MATCH(ROWS($V$2:V733),$V$2:$V$1001,0),0), INDEX($AC$1004:$AS$1004,1,MATCH(COLUMNS($AC$1006:AH1006),$AC$1006:$AS$1006,0)))),"Fix")))</f>
        <v>0</v>
      </c>
      <c r="H733" s="5">
        <f>IF(OR(INDEX($W$2:$W$1001,MATCH(ROWS($V$2:V733),$V$2:$V$1001,0),1)&gt;=100000,INDEX($AC$1005:$AS$1005,1,MATCH(COLUMNS($AC$1006:AI1006),$AC$1006:$AS$1006,0))&gt;=100000), " ",IF(INDEX($AC$2:$AS$1001,MATCH(ROWS($V$2:V733),$V$2:$V$1001,0),MATCH(COLUMNS($AC$1006:AI1006),$AC$1006:$AS$1006,0)), HYPERLINK("#",""), HYPERLINK(CONCATENATE("#Metadata!", ADDRESS(INDEX($X$2:$X$1001,MATCH(ROWS($V$2:V733),$V$2:$V$1001,0),0), INDEX($AC$1004:$AS$1004,1,MATCH(COLUMNS($AC$1006:AI1006),$AC$1006:$AS$1006,0)))),"Fix")))</f>
        <v>0</v>
      </c>
      <c r="I733" s="5">
        <f>IF(OR(INDEX($W$2:$W$1001,MATCH(ROWS($V$2:V733),$V$2:$V$1001,0),1)&gt;=100000,INDEX($AC$1005:$AS$1005,1,MATCH(COLUMNS($AC$1006:AJ1006),$AC$1006:$AS$1006,0))&gt;=100000), " ",IF(INDEX($AC$2:$AS$1001,MATCH(ROWS($V$2:V733),$V$2:$V$1001,0),MATCH(COLUMNS($AC$1006:AJ1006),$AC$1006:$AS$1006,0)), HYPERLINK("#",""), HYPERLINK(CONCATENATE("#Metadata!", ADDRESS(INDEX($X$2:$X$1001,MATCH(ROWS($V$2:V733),$V$2:$V$1001,0),0), INDEX($AC$1004:$AS$1004,1,MATCH(COLUMNS($AC$1006:AJ1006),$AC$1006:$AS$1006,0)))),"Fix")))</f>
        <v>0</v>
      </c>
      <c r="J733" s="5">
        <f>IF(OR(INDEX($W$2:$W$1001,MATCH(ROWS($V$2:V733),$V$2:$V$1001,0),1)&gt;=100000,INDEX($AC$1005:$AS$1005,1,MATCH(COLUMNS($AC$1006:AK1006),$AC$1006:$AS$1006,0))&gt;=100000), " ",IF(INDEX($AC$2:$AS$1001,MATCH(ROWS($V$2:V733),$V$2:$V$1001,0),MATCH(COLUMNS($AC$1006:AK1006),$AC$1006:$AS$1006,0)), HYPERLINK("#",""), HYPERLINK(CONCATENATE("#Metadata!", ADDRESS(INDEX($X$2:$X$1001,MATCH(ROWS($V$2:V733),$V$2:$V$1001,0),0), INDEX($AC$1004:$AS$1004,1,MATCH(COLUMNS($AC$1006:AK1006),$AC$1006:$AS$1006,0)))),"Fix")))</f>
        <v>0</v>
      </c>
      <c r="K733" s="5">
        <f>IF(OR(INDEX($W$2:$W$1001,MATCH(ROWS($V$2:V733),$V$2:$V$1001,0),1)&gt;=100000,INDEX($AC$1005:$AS$1005,1,MATCH(COLUMNS($AC$1006:AL1006),$AC$1006:$AS$1006,0))&gt;=100000), " ",IF(INDEX($AC$2:$AS$1001,MATCH(ROWS($V$2:V733),$V$2:$V$1001,0),MATCH(COLUMNS($AC$1006:AL1006),$AC$1006:$AS$1006,0)), HYPERLINK("#",""), HYPERLINK(CONCATENATE("#Metadata!", ADDRESS(INDEX($X$2:$X$1001,MATCH(ROWS($V$2:V733),$V$2:$V$1001,0),0), INDEX($AC$1004:$AS$1004,1,MATCH(COLUMNS($AC$1006:AL1006),$AC$1006:$AS$1006,0)))),"Fix")))</f>
        <v>0</v>
      </c>
      <c r="L733" s="5">
        <f>IF(OR(INDEX($W$2:$W$1001,MATCH(ROWS($V$2:V733),$V$2:$V$1001,0),1)&gt;=100000,INDEX($AC$1005:$AS$1005,1,MATCH(COLUMNS($AC$1006:AM1006),$AC$1006:$AS$1006,0))&gt;=100000), " ",IF(INDEX($AC$2:$AS$1001,MATCH(ROWS($V$2:V733),$V$2:$V$1001,0),MATCH(COLUMNS($AC$1006:AM1006),$AC$1006:$AS$1006,0)), HYPERLINK("#",""), HYPERLINK(CONCATENATE("#Metadata!", ADDRESS(INDEX($X$2:$X$1001,MATCH(ROWS($V$2:V733),$V$2:$V$1001,0),0), INDEX($AC$1004:$AS$1004,1,MATCH(COLUMNS($AC$1006:AM1006),$AC$1006:$AS$1006,0)))),"Fix")))</f>
        <v>0</v>
      </c>
      <c r="M733" s="5">
        <f>IF(OR(INDEX($W$2:$W$1001,MATCH(ROWS($V$2:V733),$V$2:$V$1001,0),1)&gt;=100000,INDEX($AC$1005:$AS$1005,1,MATCH(COLUMNS($AC$1006:AN1006),$AC$1006:$AS$1006,0))&gt;=100000), " ",IF(INDEX($AC$2:$AS$1001,MATCH(ROWS($V$2:V733),$V$2:$V$1001,0),MATCH(COLUMNS($AC$1006:AN1006),$AC$1006:$AS$1006,0)), HYPERLINK("#",""), HYPERLINK(CONCATENATE("#Metadata!", ADDRESS(INDEX($X$2:$X$1001,MATCH(ROWS($V$2:V733),$V$2:$V$1001,0),0), INDEX($AC$1004:$AS$1004,1,MATCH(COLUMNS($AC$1006:AN1006),$AC$1006:$AS$1006,0)))),"Fix")))</f>
        <v>0</v>
      </c>
      <c r="N733" s="5">
        <f>IF(OR(INDEX($W$2:$W$1001,MATCH(ROWS($V$2:V733),$V$2:$V$1001,0),1)&gt;=100000,INDEX($AC$1005:$AS$1005,1,MATCH(COLUMNS($AC$1006:AO1006),$AC$1006:$AS$1006,0))&gt;=100000), " ",IF(INDEX($AC$2:$AS$1001,MATCH(ROWS($V$2:V733),$V$2:$V$1001,0),MATCH(COLUMNS($AC$1006:AO1006),$AC$1006:$AS$1006,0)), HYPERLINK("#",""), HYPERLINK(CONCATENATE("#Metadata!", ADDRESS(INDEX($X$2:$X$1001,MATCH(ROWS($V$2:V733),$V$2:$V$1001,0),0), INDEX($AC$1004:$AS$1004,1,MATCH(COLUMNS($AC$1006:AO1006),$AC$1006:$AS$1006,0)))),"Fix")))</f>
        <v>0</v>
      </c>
      <c r="O733" s="5">
        <f>IF(OR(INDEX($W$2:$W$1001,MATCH(ROWS($V$2:V733),$V$2:$V$1001,0),1)&gt;=100000,INDEX($AC$1005:$AS$1005,1,MATCH(COLUMNS($AC$1006:AP1006),$AC$1006:$AS$1006,0))&gt;=100000), " ",IF(INDEX($AC$2:$AS$1001,MATCH(ROWS($V$2:V733),$V$2:$V$1001,0),MATCH(COLUMNS($AC$1006:AP1006),$AC$1006:$AS$1006,0)), HYPERLINK("#",""), HYPERLINK(CONCATENATE("#Metadata!", ADDRESS(INDEX($X$2:$X$1001,MATCH(ROWS($V$2:V733),$V$2:$V$1001,0),0), INDEX($AC$1004:$AS$1004,1,MATCH(COLUMNS($AC$1006:AP1006),$AC$1006:$AS$1006,0)))),"Fix")))</f>
        <v>0</v>
      </c>
      <c r="P733" s="5">
        <f>IF(OR(INDEX($W$2:$W$1001,MATCH(ROWS($V$2:V733),$V$2:$V$1001,0),1)&gt;=100000,INDEX($AC$1005:$AS$1005,1,MATCH(COLUMNS($AC$1006:AQ1006),$AC$1006:$AS$1006,0))&gt;=100000), " ",IF(INDEX($AC$2:$AS$1001,MATCH(ROWS($V$2:V733),$V$2:$V$1001,0),MATCH(COLUMNS($AC$1006:AQ1006),$AC$1006:$AS$1006,0)), HYPERLINK("#",""), HYPERLINK(CONCATENATE("#Metadata!", ADDRESS(INDEX($X$2:$X$1001,MATCH(ROWS($V$2:V733),$V$2:$V$1001,0),0), INDEX($AC$1004:$AS$1004,1,MATCH(COLUMNS($AC$1006:AQ1006),$AC$1006:$AS$1006,0)))),"Fix")))</f>
        <v>0</v>
      </c>
      <c r="Q733" s="5">
        <f>IF(OR(INDEX($W$2:$W$1001,MATCH(ROWS($V$2:V733),$V$2:$V$1001,0),1)&gt;=100000,INDEX($AC$1005:$AS$1005,1,MATCH(COLUMNS($AC$1006:AR1006),$AC$1006:$AS$1006,0))&gt;=100000), " ",IF(INDEX($AC$2:$AS$1001,MATCH(ROWS($V$2:V733),$V$2:$V$1001,0),MATCH(COLUMNS($AC$1006:AR1006),$AC$1006:$AS$1006,0)), HYPERLINK("#",""), HYPERLINK(CONCATENATE("#Metadata!", ADDRESS(INDEX($X$2:$X$1001,MATCH(ROWS($V$2:V733),$V$2:$V$1001,0),0), INDEX($AC$1004:$AS$1004,1,MATCH(COLUMNS($AC$1006:AR1006),$AC$1006:$AS$1006,0)))),"Fix")))</f>
        <v>0</v>
      </c>
      <c r="R733" s="5">
        <f>IF(OR(INDEX($W$2:$W$1001,MATCH(ROWS($V$2:V733),$V$2:$V$1001,0),1)&gt;=100000,INDEX($AC$1005:$AS$1005,1,MATCH(COLUMNS($AC$1006:AS1006),$AC$1006:$AS$1006,0))&gt;=100000), " ",IF(INDEX($AC$2:$AS$1001,MATCH(ROWS($V$2:V733),$V$2:$V$1001,0),MATCH(COLUMNS($AC$1006:AS1006),$AC$1006:$AS$1006,0)), HYPERLINK("#",""), HYPERLINK(CONCATENATE("#Metadata!", ADDRESS(INDEX($X$2:$X$1001,MATCH(ROWS($V$2:V733),$V$2:$V$1001,0),0), INDEX($AC$1004:$AS$1004,1,MATCH(COLUMNS($AC$1006:AS1006),$AC$1006:$AS$1006,0)))),"Fix")))</f>
        <v>0</v>
      </c>
      <c r="V733">
        <v>0</v>
      </c>
      <c r="W733">
        <v>0</v>
      </c>
      <c r="X733">
        <v>0</v>
      </c>
      <c r="Y733">
        <f>IF(Z733,TRUE,AND(AC733:AS733))</f>
        <v>0</v>
      </c>
      <c r="Z733">
        <f>COUNTBLANK(Metadata!B733:R733)=COLUMNS(Metadata!B733:R733)</f>
        <v>0</v>
      </c>
      <c r="AA733">
        <v>0</v>
      </c>
      <c r="AC733">
        <f>AND(IF(Metadata!B733="",FALSE,TRUE),COUNTIF(Metadata!B:B, Metadata!B733) = 1,NOT(ISERROR(SUMPRODUCT(SEARCH(MID(Metadata!B733,ROW(INDIRECT("1:"&amp;LEN(Metadata!B733))), 1),"0123456789abcdefghijklmnopqrstuvwxyzABCDEFGHIJKLMNOPQRSTUVWXYZ.")))))</f>
        <v>0</v>
      </c>
      <c r="AD733">
        <f>AND(IF(Metadata!C733="",FALSE,TRUE),exact(Metadata!C733,"Host-associated"))</f>
        <v>0</v>
      </c>
      <c r="AE733">
        <f>AND(IF(Metadata!D733="",FALSE,TRUE),OR(exact(Metadata!D733,"Animal"),exact(Metadata!D733,"Fungus"),exact(Metadata!D733,"Plant")))</f>
        <v>0</v>
      </c>
      <c r="AF733">
        <f>AND(IF(Metadata!E733="",FALSE,TRUE),OR(exact(Metadata!E733,"Plant secretion"),exact(Metadata!E733,"Plant rhizosphere"),exact(Metadata!E733,"Plant surface"),exact(Metadata!E733,"Plant corpus"),exact(Metadata!E733,"Fungus surface"),exact(Metadata!E733,"Fungus corpus"),exact(Metadata!E733,"Animal surface"),exact(Metadata!E733,"Animal proximal gut"),exact(Metadata!E733,"Animal corpus"),exact(Metadata!E733,"Animal distal gut"),exact(Metadata!E733,"Animal secretion")))</f>
        <v>0</v>
      </c>
      <c r="AG733">
        <f>OR(AND(IF(Metadata!F733="",FALSE,TRUE),OR(exact(Metadata!F733,"not collected"),exact(Metadata!F733,"not provided"),exact(Metadata!F733,"restricted access"))),AND(IF(Metadata!F733="",FALSE,TRUE),OR(exact(Metadata!F733,"organism-associated habitat"),exact(Metadata!F733,"plant-associated habitat"),exact(Metadata!F733,"animal-associated habitat"),exact(Metadata!F733,"insecta-associated habitat"),exact(Metadata!F733,"mammalia-associated habitat"),exact(Metadata!F733,"human-associated habitat"),exact(Metadata!F733,"livestock-associated habitat"))))</f>
        <v>0</v>
      </c>
      <c r="AH733">
        <f>AND(IF(Metadata!G733="",FALSE,TRUE),exact(Metadata!G733,"host-associated"))</f>
        <v>0</v>
      </c>
      <c r="AI733">
        <f>OR(AND(IF(Metadata!H733="",FALSE,TRUE),OR(exact(Metadata!H733,"not collected"),exact(Metadata!H733,"not provided"))),AND(IF(Metadata!H733="",FALSE,ISNUMBER(VALUE(Metadata!H733))),Metadata!H733&gt;0))</f>
        <v>0</v>
      </c>
      <c r="AJ733">
        <f>AND(IF(Metadata!I733="",FALSE,TRUE),exact(Metadata!I733,"years"))</f>
        <v>0</v>
      </c>
      <c r="AK733">
        <f>IF(Metadata!J733="",FALSE,TRUE)</f>
        <v>0</v>
      </c>
      <c r="AL733">
        <f>OR(AND(IF(Metadata!K733="",FALSE,TRUE),OR(exact(Metadata!K733,"not collected"),exact(Metadata!K733,"not provided"))),AND(IF(Metadata!K733="",FALSE,ISNUMBER(VALUE(Metadata!K733))),Metadata!K733&gt;0))</f>
        <v>0</v>
      </c>
      <c r="AM733">
        <f>AND(IF(Metadata!L733="",FALSE,TRUE),exact(Metadata!L733,"cm"))</f>
        <v>0</v>
      </c>
      <c r="AN733">
        <f>IF(Metadata!M733="",FALSE,TRUE)</f>
        <v>0</v>
      </c>
      <c r="AO733">
        <f>OR(AND(IF(Metadata!N733="",FALSE,TRUE),OR(exact(Metadata!N733,"not applicable"),exact(Metadata!N733,"not collected"),exact(Metadata!N733,"not provided"))),AND(IF(Metadata!N733="",FALSE,IF(ISERROR(INT(Metadata!N733)),FALSE,INT(Metadata!N733)=Metadata!N733)),Metadata!N733&gt;0))</f>
        <v>0</v>
      </c>
      <c r="AP733">
        <f>OR(AND(IF(Metadata!O733="",FALSE,TRUE),OR(exact(Metadata!O733,"not collected"),exact(Metadata!O733,"not provided"))),AND(IF(Metadata!O733="",FALSE,ISNUMBER(VALUE(Metadata!O733))),Metadata!O733&gt;0))</f>
        <v>0</v>
      </c>
      <c r="AQ733">
        <f>AND(IF(Metadata!P733="",FALSE,TRUE),exact(Metadata!P733,"kg"))</f>
        <v>0</v>
      </c>
      <c r="AR733">
        <f>OR(AND(IF(Metadata!Q733="",FALSE,TRUE),OR(exact(Metadata!Q733,"not applicable"),exact(Metadata!Q733,"not collected"),exact(Metadata!Q733,"not provided"),exact(Metadata!Q733,"restricted access"))),IF(Metadata!Q733="",FALSE,IF(ISERROR(INT(Metadata!Q733)),FALSE,INT(Metadata!Q733)=Metadata!Q733)))</f>
        <v>0</v>
      </c>
      <c r="AS733">
        <f>AND(IF(Metadata!R733="",FALSE,TRUE),exact(Metadata!R733,"Not applicable"))</f>
        <v>0</v>
      </c>
    </row>
    <row r="734" spans="1:45">
      <c r="A734" s="4">
        <f>IF(B734=" "," ",HYPERLINK(CONCATENATE("#metadata!",ADDRESS(INDEX($X$2:$X$1001,MATCH(ROWS($V$2:V734),$V$2:$V$1001,0),0),2)),INDEX($AA$2:$AA$1001,MATCH(ROWS($V$2:V734),$V$2:$V$1001,0),0)))</f>
        <v>0</v>
      </c>
      <c r="B734" s="5">
        <f>IF(OR(INDEX($W$2:$W$1001,MATCH(ROWS($V$2:V734),$V$2:$V$1001,0),1)&gt;=100000,INDEX($AC$1005:$AS$1005,1,MATCH(COLUMNS($AC$1006:AC1006),$AC$1006:$AS$1006,0))&gt;=100000), " ",IF(INDEX($AC$2:$AS$1001,MATCH(ROWS($V$2:V734),$V$2:$V$1001,0),MATCH(COLUMNS($AC$1006:AC1006),$AC$1006:$AS$1006,0)), HYPERLINK("#",""), HYPERLINK(CONCATENATE("#Metadata!", ADDRESS(INDEX($X$2:$X$1001,MATCH(ROWS($V$2:V734),$V$2:$V$1001,0),0), INDEX($AC$1004:$AS$1004,1,MATCH(COLUMNS($AC$1006:AC1006),$AC$1006:$AS$1006,0)))),"Fix")))</f>
        <v>0</v>
      </c>
      <c r="C734" s="5">
        <f>IF(OR(INDEX($W$2:$W$1001,MATCH(ROWS($V$2:V734),$V$2:$V$1001,0),1)&gt;=100000,INDEX($AC$1005:$AS$1005,1,MATCH(COLUMNS($AC$1006:AD1006),$AC$1006:$AS$1006,0))&gt;=100000), " ",IF(INDEX($AC$2:$AS$1001,MATCH(ROWS($V$2:V734),$V$2:$V$1001,0),MATCH(COLUMNS($AC$1006:AD1006),$AC$1006:$AS$1006,0)), HYPERLINK("#",""), HYPERLINK(CONCATENATE("#Metadata!", ADDRESS(INDEX($X$2:$X$1001,MATCH(ROWS($V$2:V734),$V$2:$V$1001,0),0), INDEX($AC$1004:$AS$1004,1,MATCH(COLUMNS($AC$1006:AD1006),$AC$1006:$AS$1006,0)))),"Fix")))</f>
        <v>0</v>
      </c>
      <c r="D734" s="5">
        <f>IF(OR(INDEX($W$2:$W$1001,MATCH(ROWS($V$2:V734),$V$2:$V$1001,0),1)&gt;=100000,INDEX($AC$1005:$AS$1005,1,MATCH(COLUMNS($AC$1006:AE1006),$AC$1006:$AS$1006,0))&gt;=100000), " ",IF(INDEX($AC$2:$AS$1001,MATCH(ROWS($V$2:V734),$V$2:$V$1001,0),MATCH(COLUMNS($AC$1006:AE1006),$AC$1006:$AS$1006,0)), HYPERLINK("#",""), HYPERLINK(CONCATENATE("#Metadata!", ADDRESS(INDEX($X$2:$X$1001,MATCH(ROWS($V$2:V734),$V$2:$V$1001,0),0), INDEX($AC$1004:$AS$1004,1,MATCH(COLUMNS($AC$1006:AE1006),$AC$1006:$AS$1006,0)))),"Fix")))</f>
        <v>0</v>
      </c>
      <c r="E734" s="5">
        <f>IF(OR(INDEX($W$2:$W$1001,MATCH(ROWS($V$2:V734),$V$2:$V$1001,0),1)&gt;=100000,INDEX($AC$1005:$AS$1005,1,MATCH(COLUMNS($AC$1006:AF1006),$AC$1006:$AS$1006,0))&gt;=100000), " ",IF(INDEX($AC$2:$AS$1001,MATCH(ROWS($V$2:V734),$V$2:$V$1001,0),MATCH(COLUMNS($AC$1006:AF1006),$AC$1006:$AS$1006,0)), HYPERLINK("#",""), HYPERLINK(CONCATENATE("#Metadata!", ADDRESS(INDEX($X$2:$X$1001,MATCH(ROWS($V$2:V734),$V$2:$V$1001,0),0), INDEX($AC$1004:$AS$1004,1,MATCH(COLUMNS($AC$1006:AF1006),$AC$1006:$AS$1006,0)))),"Fix")))</f>
        <v>0</v>
      </c>
      <c r="F734" s="5">
        <f>IF(OR(INDEX($W$2:$W$1001,MATCH(ROWS($V$2:V734),$V$2:$V$1001,0),1)&gt;=100000,INDEX($AC$1005:$AS$1005,1,MATCH(COLUMNS($AC$1006:AG1006),$AC$1006:$AS$1006,0))&gt;=100000), " ",IF(INDEX($AC$2:$AS$1001,MATCH(ROWS($V$2:V734),$V$2:$V$1001,0),MATCH(COLUMNS($AC$1006:AG1006),$AC$1006:$AS$1006,0)), HYPERLINK("#",""), HYPERLINK(CONCATENATE("#Metadata!", ADDRESS(INDEX($X$2:$X$1001,MATCH(ROWS($V$2:V734),$V$2:$V$1001,0),0), INDEX($AC$1004:$AS$1004,1,MATCH(COLUMNS($AC$1006:AG1006),$AC$1006:$AS$1006,0)))),"Fix")))</f>
        <v>0</v>
      </c>
      <c r="G734" s="5">
        <f>IF(OR(INDEX($W$2:$W$1001,MATCH(ROWS($V$2:V734),$V$2:$V$1001,0),1)&gt;=100000,INDEX($AC$1005:$AS$1005,1,MATCH(COLUMNS($AC$1006:AH1006),$AC$1006:$AS$1006,0))&gt;=100000), " ",IF(INDEX($AC$2:$AS$1001,MATCH(ROWS($V$2:V734),$V$2:$V$1001,0),MATCH(COLUMNS($AC$1006:AH1006),$AC$1006:$AS$1006,0)), HYPERLINK("#",""), HYPERLINK(CONCATENATE("#Metadata!", ADDRESS(INDEX($X$2:$X$1001,MATCH(ROWS($V$2:V734),$V$2:$V$1001,0),0), INDEX($AC$1004:$AS$1004,1,MATCH(COLUMNS($AC$1006:AH1006),$AC$1006:$AS$1006,0)))),"Fix")))</f>
        <v>0</v>
      </c>
      <c r="H734" s="5">
        <f>IF(OR(INDEX($W$2:$W$1001,MATCH(ROWS($V$2:V734),$V$2:$V$1001,0),1)&gt;=100000,INDEX($AC$1005:$AS$1005,1,MATCH(COLUMNS($AC$1006:AI1006),$AC$1006:$AS$1006,0))&gt;=100000), " ",IF(INDEX($AC$2:$AS$1001,MATCH(ROWS($V$2:V734),$V$2:$V$1001,0),MATCH(COLUMNS($AC$1006:AI1006),$AC$1006:$AS$1006,0)), HYPERLINK("#",""), HYPERLINK(CONCATENATE("#Metadata!", ADDRESS(INDEX($X$2:$X$1001,MATCH(ROWS($V$2:V734),$V$2:$V$1001,0),0), INDEX($AC$1004:$AS$1004,1,MATCH(COLUMNS($AC$1006:AI1006),$AC$1006:$AS$1006,0)))),"Fix")))</f>
        <v>0</v>
      </c>
      <c r="I734" s="5">
        <f>IF(OR(INDEX($W$2:$W$1001,MATCH(ROWS($V$2:V734),$V$2:$V$1001,0),1)&gt;=100000,INDEX($AC$1005:$AS$1005,1,MATCH(COLUMNS($AC$1006:AJ1006),$AC$1006:$AS$1006,0))&gt;=100000), " ",IF(INDEX($AC$2:$AS$1001,MATCH(ROWS($V$2:V734),$V$2:$V$1001,0),MATCH(COLUMNS($AC$1006:AJ1006),$AC$1006:$AS$1006,0)), HYPERLINK("#",""), HYPERLINK(CONCATENATE("#Metadata!", ADDRESS(INDEX($X$2:$X$1001,MATCH(ROWS($V$2:V734),$V$2:$V$1001,0),0), INDEX($AC$1004:$AS$1004,1,MATCH(COLUMNS($AC$1006:AJ1006),$AC$1006:$AS$1006,0)))),"Fix")))</f>
        <v>0</v>
      </c>
      <c r="J734" s="5">
        <f>IF(OR(INDEX($W$2:$W$1001,MATCH(ROWS($V$2:V734),$V$2:$V$1001,0),1)&gt;=100000,INDEX($AC$1005:$AS$1005,1,MATCH(COLUMNS($AC$1006:AK1006),$AC$1006:$AS$1006,0))&gt;=100000), " ",IF(INDEX($AC$2:$AS$1001,MATCH(ROWS($V$2:V734),$V$2:$V$1001,0),MATCH(COLUMNS($AC$1006:AK1006),$AC$1006:$AS$1006,0)), HYPERLINK("#",""), HYPERLINK(CONCATENATE("#Metadata!", ADDRESS(INDEX($X$2:$X$1001,MATCH(ROWS($V$2:V734),$V$2:$V$1001,0),0), INDEX($AC$1004:$AS$1004,1,MATCH(COLUMNS($AC$1006:AK1006),$AC$1006:$AS$1006,0)))),"Fix")))</f>
        <v>0</v>
      </c>
      <c r="K734" s="5">
        <f>IF(OR(INDEX($W$2:$W$1001,MATCH(ROWS($V$2:V734),$V$2:$V$1001,0),1)&gt;=100000,INDEX($AC$1005:$AS$1005,1,MATCH(COLUMNS($AC$1006:AL1006),$AC$1006:$AS$1006,0))&gt;=100000), " ",IF(INDEX($AC$2:$AS$1001,MATCH(ROWS($V$2:V734),$V$2:$V$1001,0),MATCH(COLUMNS($AC$1006:AL1006),$AC$1006:$AS$1006,0)), HYPERLINK("#",""), HYPERLINK(CONCATENATE("#Metadata!", ADDRESS(INDEX($X$2:$X$1001,MATCH(ROWS($V$2:V734),$V$2:$V$1001,0),0), INDEX($AC$1004:$AS$1004,1,MATCH(COLUMNS($AC$1006:AL1006),$AC$1006:$AS$1006,0)))),"Fix")))</f>
        <v>0</v>
      </c>
      <c r="L734" s="5">
        <f>IF(OR(INDEX($W$2:$W$1001,MATCH(ROWS($V$2:V734),$V$2:$V$1001,0),1)&gt;=100000,INDEX($AC$1005:$AS$1005,1,MATCH(COLUMNS($AC$1006:AM1006),$AC$1006:$AS$1006,0))&gt;=100000), " ",IF(INDEX($AC$2:$AS$1001,MATCH(ROWS($V$2:V734),$V$2:$V$1001,0),MATCH(COLUMNS($AC$1006:AM1006),$AC$1006:$AS$1006,0)), HYPERLINK("#",""), HYPERLINK(CONCATENATE("#Metadata!", ADDRESS(INDEX($X$2:$X$1001,MATCH(ROWS($V$2:V734),$V$2:$V$1001,0),0), INDEX($AC$1004:$AS$1004,1,MATCH(COLUMNS($AC$1006:AM1006),$AC$1006:$AS$1006,0)))),"Fix")))</f>
        <v>0</v>
      </c>
      <c r="M734" s="5">
        <f>IF(OR(INDEX($W$2:$W$1001,MATCH(ROWS($V$2:V734),$V$2:$V$1001,0),1)&gt;=100000,INDEX($AC$1005:$AS$1005,1,MATCH(COLUMNS($AC$1006:AN1006),$AC$1006:$AS$1006,0))&gt;=100000), " ",IF(INDEX($AC$2:$AS$1001,MATCH(ROWS($V$2:V734),$V$2:$V$1001,0),MATCH(COLUMNS($AC$1006:AN1006),$AC$1006:$AS$1006,0)), HYPERLINK("#",""), HYPERLINK(CONCATENATE("#Metadata!", ADDRESS(INDEX($X$2:$X$1001,MATCH(ROWS($V$2:V734),$V$2:$V$1001,0),0), INDEX($AC$1004:$AS$1004,1,MATCH(COLUMNS($AC$1006:AN1006),$AC$1006:$AS$1006,0)))),"Fix")))</f>
        <v>0</v>
      </c>
      <c r="N734" s="5">
        <f>IF(OR(INDEX($W$2:$W$1001,MATCH(ROWS($V$2:V734),$V$2:$V$1001,0),1)&gt;=100000,INDEX($AC$1005:$AS$1005,1,MATCH(COLUMNS($AC$1006:AO1006),$AC$1006:$AS$1006,0))&gt;=100000), " ",IF(INDEX($AC$2:$AS$1001,MATCH(ROWS($V$2:V734),$V$2:$V$1001,0),MATCH(COLUMNS($AC$1006:AO1006),$AC$1006:$AS$1006,0)), HYPERLINK("#",""), HYPERLINK(CONCATENATE("#Metadata!", ADDRESS(INDEX($X$2:$X$1001,MATCH(ROWS($V$2:V734),$V$2:$V$1001,0),0), INDEX($AC$1004:$AS$1004,1,MATCH(COLUMNS($AC$1006:AO1006),$AC$1006:$AS$1006,0)))),"Fix")))</f>
        <v>0</v>
      </c>
      <c r="O734" s="5">
        <f>IF(OR(INDEX($W$2:$W$1001,MATCH(ROWS($V$2:V734),$V$2:$V$1001,0),1)&gt;=100000,INDEX($AC$1005:$AS$1005,1,MATCH(COLUMNS($AC$1006:AP1006),$AC$1006:$AS$1006,0))&gt;=100000), " ",IF(INDEX($AC$2:$AS$1001,MATCH(ROWS($V$2:V734),$V$2:$V$1001,0),MATCH(COLUMNS($AC$1006:AP1006),$AC$1006:$AS$1006,0)), HYPERLINK("#",""), HYPERLINK(CONCATENATE("#Metadata!", ADDRESS(INDEX($X$2:$X$1001,MATCH(ROWS($V$2:V734),$V$2:$V$1001,0),0), INDEX($AC$1004:$AS$1004,1,MATCH(COLUMNS($AC$1006:AP1006),$AC$1006:$AS$1006,0)))),"Fix")))</f>
        <v>0</v>
      </c>
      <c r="P734" s="5">
        <f>IF(OR(INDEX($W$2:$W$1001,MATCH(ROWS($V$2:V734),$V$2:$V$1001,0),1)&gt;=100000,INDEX($AC$1005:$AS$1005,1,MATCH(COLUMNS($AC$1006:AQ1006),$AC$1006:$AS$1006,0))&gt;=100000), " ",IF(INDEX($AC$2:$AS$1001,MATCH(ROWS($V$2:V734),$V$2:$V$1001,0),MATCH(COLUMNS($AC$1006:AQ1006),$AC$1006:$AS$1006,0)), HYPERLINK("#",""), HYPERLINK(CONCATENATE("#Metadata!", ADDRESS(INDEX($X$2:$X$1001,MATCH(ROWS($V$2:V734),$V$2:$V$1001,0),0), INDEX($AC$1004:$AS$1004,1,MATCH(COLUMNS($AC$1006:AQ1006),$AC$1006:$AS$1006,0)))),"Fix")))</f>
        <v>0</v>
      </c>
      <c r="Q734" s="5">
        <f>IF(OR(INDEX($W$2:$W$1001,MATCH(ROWS($V$2:V734),$V$2:$V$1001,0),1)&gt;=100000,INDEX($AC$1005:$AS$1005,1,MATCH(COLUMNS($AC$1006:AR1006),$AC$1006:$AS$1006,0))&gt;=100000), " ",IF(INDEX($AC$2:$AS$1001,MATCH(ROWS($V$2:V734),$V$2:$V$1001,0),MATCH(COLUMNS($AC$1006:AR1006),$AC$1006:$AS$1006,0)), HYPERLINK("#",""), HYPERLINK(CONCATENATE("#Metadata!", ADDRESS(INDEX($X$2:$X$1001,MATCH(ROWS($V$2:V734),$V$2:$V$1001,0),0), INDEX($AC$1004:$AS$1004,1,MATCH(COLUMNS($AC$1006:AR1006),$AC$1006:$AS$1006,0)))),"Fix")))</f>
        <v>0</v>
      </c>
      <c r="R734" s="5">
        <f>IF(OR(INDEX($W$2:$W$1001,MATCH(ROWS($V$2:V734),$V$2:$V$1001,0),1)&gt;=100000,INDEX($AC$1005:$AS$1005,1,MATCH(COLUMNS($AC$1006:AS1006),$AC$1006:$AS$1006,0))&gt;=100000), " ",IF(INDEX($AC$2:$AS$1001,MATCH(ROWS($V$2:V734),$V$2:$V$1001,0),MATCH(COLUMNS($AC$1006:AS1006),$AC$1006:$AS$1006,0)), HYPERLINK("#",""), HYPERLINK(CONCATENATE("#Metadata!", ADDRESS(INDEX($X$2:$X$1001,MATCH(ROWS($V$2:V734),$V$2:$V$1001,0),0), INDEX($AC$1004:$AS$1004,1,MATCH(COLUMNS($AC$1006:AS1006),$AC$1006:$AS$1006,0)))),"Fix")))</f>
        <v>0</v>
      </c>
      <c r="V734">
        <v>0</v>
      </c>
      <c r="W734">
        <v>0</v>
      </c>
      <c r="X734">
        <v>0</v>
      </c>
      <c r="Y734">
        <f>IF(Z734,TRUE,AND(AC734:AS734))</f>
        <v>0</v>
      </c>
      <c r="Z734">
        <f>COUNTBLANK(Metadata!B734:R734)=COLUMNS(Metadata!B734:R734)</f>
        <v>0</v>
      </c>
      <c r="AA734">
        <v>0</v>
      </c>
      <c r="AC734">
        <f>AND(IF(Metadata!B734="",FALSE,TRUE),COUNTIF(Metadata!B:B, Metadata!B734) = 1,NOT(ISERROR(SUMPRODUCT(SEARCH(MID(Metadata!B734,ROW(INDIRECT("1:"&amp;LEN(Metadata!B734))), 1),"0123456789abcdefghijklmnopqrstuvwxyzABCDEFGHIJKLMNOPQRSTUVWXYZ.")))))</f>
        <v>0</v>
      </c>
      <c r="AD734">
        <f>AND(IF(Metadata!C734="",FALSE,TRUE),exact(Metadata!C734,"Host-associated"))</f>
        <v>0</v>
      </c>
      <c r="AE734">
        <f>AND(IF(Metadata!D734="",FALSE,TRUE),OR(exact(Metadata!D734,"Animal"),exact(Metadata!D734,"Fungus"),exact(Metadata!D734,"Plant")))</f>
        <v>0</v>
      </c>
      <c r="AF734">
        <f>AND(IF(Metadata!E734="",FALSE,TRUE),OR(exact(Metadata!E734,"Plant secretion"),exact(Metadata!E734,"Plant rhizosphere"),exact(Metadata!E734,"Plant surface"),exact(Metadata!E734,"Plant corpus"),exact(Metadata!E734,"Fungus surface"),exact(Metadata!E734,"Fungus corpus"),exact(Metadata!E734,"Animal surface"),exact(Metadata!E734,"Animal proximal gut"),exact(Metadata!E734,"Animal corpus"),exact(Metadata!E734,"Animal distal gut"),exact(Metadata!E734,"Animal secretion")))</f>
        <v>0</v>
      </c>
      <c r="AG734">
        <f>OR(AND(IF(Metadata!F734="",FALSE,TRUE),OR(exact(Metadata!F734,"not collected"),exact(Metadata!F734,"not provided"),exact(Metadata!F734,"restricted access"))),AND(IF(Metadata!F734="",FALSE,TRUE),OR(exact(Metadata!F734,"organism-associated habitat"),exact(Metadata!F734,"plant-associated habitat"),exact(Metadata!F734,"animal-associated habitat"),exact(Metadata!F734,"insecta-associated habitat"),exact(Metadata!F734,"mammalia-associated habitat"),exact(Metadata!F734,"human-associated habitat"),exact(Metadata!F734,"livestock-associated habitat"))))</f>
        <v>0</v>
      </c>
      <c r="AH734">
        <f>AND(IF(Metadata!G734="",FALSE,TRUE),exact(Metadata!G734,"host-associated"))</f>
        <v>0</v>
      </c>
      <c r="AI734">
        <f>OR(AND(IF(Metadata!H734="",FALSE,TRUE),OR(exact(Metadata!H734,"not collected"),exact(Metadata!H734,"not provided"))),AND(IF(Metadata!H734="",FALSE,ISNUMBER(VALUE(Metadata!H734))),Metadata!H734&gt;0))</f>
        <v>0</v>
      </c>
      <c r="AJ734">
        <f>AND(IF(Metadata!I734="",FALSE,TRUE),exact(Metadata!I734,"years"))</f>
        <v>0</v>
      </c>
      <c r="AK734">
        <f>IF(Metadata!J734="",FALSE,TRUE)</f>
        <v>0</v>
      </c>
      <c r="AL734">
        <f>OR(AND(IF(Metadata!K734="",FALSE,TRUE),OR(exact(Metadata!K734,"not collected"),exact(Metadata!K734,"not provided"))),AND(IF(Metadata!K734="",FALSE,ISNUMBER(VALUE(Metadata!K734))),Metadata!K734&gt;0))</f>
        <v>0</v>
      </c>
      <c r="AM734">
        <f>AND(IF(Metadata!L734="",FALSE,TRUE),exact(Metadata!L734,"cm"))</f>
        <v>0</v>
      </c>
      <c r="AN734">
        <f>IF(Metadata!M734="",FALSE,TRUE)</f>
        <v>0</v>
      </c>
      <c r="AO734">
        <f>OR(AND(IF(Metadata!N734="",FALSE,TRUE),OR(exact(Metadata!N734,"not applicable"),exact(Metadata!N734,"not collected"),exact(Metadata!N734,"not provided"))),AND(IF(Metadata!N734="",FALSE,IF(ISERROR(INT(Metadata!N734)),FALSE,INT(Metadata!N734)=Metadata!N734)),Metadata!N734&gt;0))</f>
        <v>0</v>
      </c>
      <c r="AP734">
        <f>OR(AND(IF(Metadata!O734="",FALSE,TRUE),OR(exact(Metadata!O734,"not collected"),exact(Metadata!O734,"not provided"))),AND(IF(Metadata!O734="",FALSE,ISNUMBER(VALUE(Metadata!O734))),Metadata!O734&gt;0))</f>
        <v>0</v>
      </c>
      <c r="AQ734">
        <f>AND(IF(Metadata!P734="",FALSE,TRUE),exact(Metadata!P734,"kg"))</f>
        <v>0</v>
      </c>
      <c r="AR734">
        <f>OR(AND(IF(Metadata!Q734="",FALSE,TRUE),OR(exact(Metadata!Q734,"not applicable"),exact(Metadata!Q734,"not collected"),exact(Metadata!Q734,"not provided"),exact(Metadata!Q734,"restricted access"))),IF(Metadata!Q734="",FALSE,IF(ISERROR(INT(Metadata!Q734)),FALSE,INT(Metadata!Q734)=Metadata!Q734)))</f>
        <v>0</v>
      </c>
      <c r="AS734">
        <f>AND(IF(Metadata!R734="",FALSE,TRUE),exact(Metadata!R734,"Not applicable"))</f>
        <v>0</v>
      </c>
    </row>
    <row r="735" spans="1:45">
      <c r="A735" s="4">
        <f>IF(B735=" "," ",HYPERLINK(CONCATENATE("#metadata!",ADDRESS(INDEX($X$2:$X$1001,MATCH(ROWS($V$2:V735),$V$2:$V$1001,0),0),2)),INDEX($AA$2:$AA$1001,MATCH(ROWS($V$2:V735),$V$2:$V$1001,0),0)))</f>
        <v>0</v>
      </c>
      <c r="B735" s="5">
        <f>IF(OR(INDEX($W$2:$W$1001,MATCH(ROWS($V$2:V735),$V$2:$V$1001,0),1)&gt;=100000,INDEX($AC$1005:$AS$1005,1,MATCH(COLUMNS($AC$1006:AC1006),$AC$1006:$AS$1006,0))&gt;=100000), " ",IF(INDEX($AC$2:$AS$1001,MATCH(ROWS($V$2:V735),$V$2:$V$1001,0),MATCH(COLUMNS($AC$1006:AC1006),$AC$1006:$AS$1006,0)), HYPERLINK("#",""), HYPERLINK(CONCATENATE("#Metadata!", ADDRESS(INDEX($X$2:$X$1001,MATCH(ROWS($V$2:V735),$V$2:$V$1001,0),0), INDEX($AC$1004:$AS$1004,1,MATCH(COLUMNS($AC$1006:AC1006),$AC$1006:$AS$1006,0)))),"Fix")))</f>
        <v>0</v>
      </c>
      <c r="C735" s="5">
        <f>IF(OR(INDEX($W$2:$W$1001,MATCH(ROWS($V$2:V735),$V$2:$V$1001,0),1)&gt;=100000,INDEX($AC$1005:$AS$1005,1,MATCH(COLUMNS($AC$1006:AD1006),$AC$1006:$AS$1006,0))&gt;=100000), " ",IF(INDEX($AC$2:$AS$1001,MATCH(ROWS($V$2:V735),$V$2:$V$1001,0),MATCH(COLUMNS($AC$1006:AD1006),$AC$1006:$AS$1006,0)), HYPERLINK("#",""), HYPERLINK(CONCATENATE("#Metadata!", ADDRESS(INDEX($X$2:$X$1001,MATCH(ROWS($V$2:V735),$V$2:$V$1001,0),0), INDEX($AC$1004:$AS$1004,1,MATCH(COLUMNS($AC$1006:AD1006),$AC$1006:$AS$1006,0)))),"Fix")))</f>
        <v>0</v>
      </c>
      <c r="D735" s="5">
        <f>IF(OR(INDEX($W$2:$W$1001,MATCH(ROWS($V$2:V735),$V$2:$V$1001,0),1)&gt;=100000,INDEX($AC$1005:$AS$1005,1,MATCH(COLUMNS($AC$1006:AE1006),$AC$1006:$AS$1006,0))&gt;=100000), " ",IF(INDEX($AC$2:$AS$1001,MATCH(ROWS($V$2:V735),$V$2:$V$1001,0),MATCH(COLUMNS($AC$1006:AE1006),$AC$1006:$AS$1006,0)), HYPERLINK("#",""), HYPERLINK(CONCATENATE("#Metadata!", ADDRESS(INDEX($X$2:$X$1001,MATCH(ROWS($V$2:V735),$V$2:$V$1001,0),0), INDEX($AC$1004:$AS$1004,1,MATCH(COLUMNS($AC$1006:AE1006),$AC$1006:$AS$1006,0)))),"Fix")))</f>
        <v>0</v>
      </c>
      <c r="E735" s="5">
        <f>IF(OR(INDEX($W$2:$W$1001,MATCH(ROWS($V$2:V735),$V$2:$V$1001,0),1)&gt;=100000,INDEX($AC$1005:$AS$1005,1,MATCH(COLUMNS($AC$1006:AF1006),$AC$1006:$AS$1006,0))&gt;=100000), " ",IF(INDEX($AC$2:$AS$1001,MATCH(ROWS($V$2:V735),$V$2:$V$1001,0),MATCH(COLUMNS($AC$1006:AF1006),$AC$1006:$AS$1006,0)), HYPERLINK("#",""), HYPERLINK(CONCATENATE("#Metadata!", ADDRESS(INDEX($X$2:$X$1001,MATCH(ROWS($V$2:V735),$V$2:$V$1001,0),0), INDEX($AC$1004:$AS$1004,1,MATCH(COLUMNS($AC$1006:AF1006),$AC$1006:$AS$1006,0)))),"Fix")))</f>
        <v>0</v>
      </c>
      <c r="F735" s="5">
        <f>IF(OR(INDEX($W$2:$W$1001,MATCH(ROWS($V$2:V735),$V$2:$V$1001,0),1)&gt;=100000,INDEX($AC$1005:$AS$1005,1,MATCH(COLUMNS($AC$1006:AG1006),$AC$1006:$AS$1006,0))&gt;=100000), " ",IF(INDEX($AC$2:$AS$1001,MATCH(ROWS($V$2:V735),$V$2:$V$1001,0),MATCH(COLUMNS($AC$1006:AG1006),$AC$1006:$AS$1006,0)), HYPERLINK("#",""), HYPERLINK(CONCATENATE("#Metadata!", ADDRESS(INDEX($X$2:$X$1001,MATCH(ROWS($V$2:V735),$V$2:$V$1001,0),0), INDEX($AC$1004:$AS$1004,1,MATCH(COLUMNS($AC$1006:AG1006),$AC$1006:$AS$1006,0)))),"Fix")))</f>
        <v>0</v>
      </c>
      <c r="G735" s="5">
        <f>IF(OR(INDEX($W$2:$W$1001,MATCH(ROWS($V$2:V735),$V$2:$V$1001,0),1)&gt;=100000,INDEX($AC$1005:$AS$1005,1,MATCH(COLUMNS($AC$1006:AH1006),$AC$1006:$AS$1006,0))&gt;=100000), " ",IF(INDEX($AC$2:$AS$1001,MATCH(ROWS($V$2:V735),$V$2:$V$1001,0),MATCH(COLUMNS($AC$1006:AH1006),$AC$1006:$AS$1006,0)), HYPERLINK("#",""), HYPERLINK(CONCATENATE("#Metadata!", ADDRESS(INDEX($X$2:$X$1001,MATCH(ROWS($V$2:V735),$V$2:$V$1001,0),0), INDEX($AC$1004:$AS$1004,1,MATCH(COLUMNS($AC$1006:AH1006),$AC$1006:$AS$1006,0)))),"Fix")))</f>
        <v>0</v>
      </c>
      <c r="H735" s="5">
        <f>IF(OR(INDEX($W$2:$W$1001,MATCH(ROWS($V$2:V735),$V$2:$V$1001,0),1)&gt;=100000,INDEX($AC$1005:$AS$1005,1,MATCH(COLUMNS($AC$1006:AI1006),$AC$1006:$AS$1006,0))&gt;=100000), " ",IF(INDEX($AC$2:$AS$1001,MATCH(ROWS($V$2:V735),$V$2:$V$1001,0),MATCH(COLUMNS($AC$1006:AI1006),$AC$1006:$AS$1006,0)), HYPERLINK("#",""), HYPERLINK(CONCATENATE("#Metadata!", ADDRESS(INDEX($X$2:$X$1001,MATCH(ROWS($V$2:V735),$V$2:$V$1001,0),0), INDEX($AC$1004:$AS$1004,1,MATCH(COLUMNS($AC$1006:AI1006),$AC$1006:$AS$1006,0)))),"Fix")))</f>
        <v>0</v>
      </c>
      <c r="I735" s="5">
        <f>IF(OR(INDEX($W$2:$W$1001,MATCH(ROWS($V$2:V735),$V$2:$V$1001,0),1)&gt;=100000,INDEX($AC$1005:$AS$1005,1,MATCH(COLUMNS($AC$1006:AJ1006),$AC$1006:$AS$1006,0))&gt;=100000), " ",IF(INDEX($AC$2:$AS$1001,MATCH(ROWS($V$2:V735),$V$2:$V$1001,0),MATCH(COLUMNS($AC$1006:AJ1006),$AC$1006:$AS$1006,0)), HYPERLINK("#",""), HYPERLINK(CONCATENATE("#Metadata!", ADDRESS(INDEX($X$2:$X$1001,MATCH(ROWS($V$2:V735),$V$2:$V$1001,0),0), INDEX($AC$1004:$AS$1004,1,MATCH(COLUMNS($AC$1006:AJ1006),$AC$1006:$AS$1006,0)))),"Fix")))</f>
        <v>0</v>
      </c>
      <c r="J735" s="5">
        <f>IF(OR(INDEX($W$2:$W$1001,MATCH(ROWS($V$2:V735),$V$2:$V$1001,0),1)&gt;=100000,INDEX($AC$1005:$AS$1005,1,MATCH(COLUMNS($AC$1006:AK1006),$AC$1006:$AS$1006,0))&gt;=100000), " ",IF(INDEX($AC$2:$AS$1001,MATCH(ROWS($V$2:V735),$V$2:$V$1001,0),MATCH(COLUMNS($AC$1006:AK1006),$AC$1006:$AS$1006,0)), HYPERLINK("#",""), HYPERLINK(CONCATENATE("#Metadata!", ADDRESS(INDEX($X$2:$X$1001,MATCH(ROWS($V$2:V735),$V$2:$V$1001,0),0), INDEX($AC$1004:$AS$1004,1,MATCH(COLUMNS($AC$1006:AK1006),$AC$1006:$AS$1006,0)))),"Fix")))</f>
        <v>0</v>
      </c>
      <c r="K735" s="5">
        <f>IF(OR(INDEX($W$2:$W$1001,MATCH(ROWS($V$2:V735),$V$2:$V$1001,0),1)&gt;=100000,INDEX($AC$1005:$AS$1005,1,MATCH(COLUMNS($AC$1006:AL1006),$AC$1006:$AS$1006,0))&gt;=100000), " ",IF(INDEX($AC$2:$AS$1001,MATCH(ROWS($V$2:V735),$V$2:$V$1001,0),MATCH(COLUMNS($AC$1006:AL1006),$AC$1006:$AS$1006,0)), HYPERLINK("#",""), HYPERLINK(CONCATENATE("#Metadata!", ADDRESS(INDEX($X$2:$X$1001,MATCH(ROWS($V$2:V735),$V$2:$V$1001,0),0), INDEX($AC$1004:$AS$1004,1,MATCH(COLUMNS($AC$1006:AL1006),$AC$1006:$AS$1006,0)))),"Fix")))</f>
        <v>0</v>
      </c>
      <c r="L735" s="5">
        <f>IF(OR(INDEX($W$2:$W$1001,MATCH(ROWS($V$2:V735),$V$2:$V$1001,0),1)&gt;=100000,INDEX($AC$1005:$AS$1005,1,MATCH(COLUMNS($AC$1006:AM1006),$AC$1006:$AS$1006,0))&gt;=100000), " ",IF(INDEX($AC$2:$AS$1001,MATCH(ROWS($V$2:V735),$V$2:$V$1001,0),MATCH(COLUMNS($AC$1006:AM1006),$AC$1006:$AS$1006,0)), HYPERLINK("#",""), HYPERLINK(CONCATENATE("#Metadata!", ADDRESS(INDEX($X$2:$X$1001,MATCH(ROWS($V$2:V735),$V$2:$V$1001,0),0), INDEX($AC$1004:$AS$1004,1,MATCH(COLUMNS($AC$1006:AM1006),$AC$1006:$AS$1006,0)))),"Fix")))</f>
        <v>0</v>
      </c>
      <c r="M735" s="5">
        <f>IF(OR(INDEX($W$2:$W$1001,MATCH(ROWS($V$2:V735),$V$2:$V$1001,0),1)&gt;=100000,INDEX($AC$1005:$AS$1005,1,MATCH(COLUMNS($AC$1006:AN1006),$AC$1006:$AS$1006,0))&gt;=100000), " ",IF(INDEX($AC$2:$AS$1001,MATCH(ROWS($V$2:V735),$V$2:$V$1001,0),MATCH(COLUMNS($AC$1006:AN1006),$AC$1006:$AS$1006,0)), HYPERLINK("#",""), HYPERLINK(CONCATENATE("#Metadata!", ADDRESS(INDEX($X$2:$X$1001,MATCH(ROWS($V$2:V735),$V$2:$V$1001,0),0), INDEX($AC$1004:$AS$1004,1,MATCH(COLUMNS($AC$1006:AN1006),$AC$1006:$AS$1006,0)))),"Fix")))</f>
        <v>0</v>
      </c>
      <c r="N735" s="5">
        <f>IF(OR(INDEX($W$2:$W$1001,MATCH(ROWS($V$2:V735),$V$2:$V$1001,0),1)&gt;=100000,INDEX($AC$1005:$AS$1005,1,MATCH(COLUMNS($AC$1006:AO1006),$AC$1006:$AS$1006,0))&gt;=100000), " ",IF(INDEX($AC$2:$AS$1001,MATCH(ROWS($V$2:V735),$V$2:$V$1001,0),MATCH(COLUMNS($AC$1006:AO1006),$AC$1006:$AS$1006,0)), HYPERLINK("#",""), HYPERLINK(CONCATENATE("#Metadata!", ADDRESS(INDEX($X$2:$X$1001,MATCH(ROWS($V$2:V735),$V$2:$V$1001,0),0), INDEX($AC$1004:$AS$1004,1,MATCH(COLUMNS($AC$1006:AO1006),$AC$1006:$AS$1006,0)))),"Fix")))</f>
        <v>0</v>
      </c>
      <c r="O735" s="5">
        <f>IF(OR(INDEX($W$2:$W$1001,MATCH(ROWS($V$2:V735),$V$2:$V$1001,0),1)&gt;=100000,INDEX($AC$1005:$AS$1005,1,MATCH(COLUMNS($AC$1006:AP1006),$AC$1006:$AS$1006,0))&gt;=100000), " ",IF(INDEX($AC$2:$AS$1001,MATCH(ROWS($V$2:V735),$V$2:$V$1001,0),MATCH(COLUMNS($AC$1006:AP1006),$AC$1006:$AS$1006,0)), HYPERLINK("#",""), HYPERLINK(CONCATENATE("#Metadata!", ADDRESS(INDEX($X$2:$X$1001,MATCH(ROWS($V$2:V735),$V$2:$V$1001,0),0), INDEX($AC$1004:$AS$1004,1,MATCH(COLUMNS($AC$1006:AP1006),$AC$1006:$AS$1006,0)))),"Fix")))</f>
        <v>0</v>
      </c>
      <c r="P735" s="5">
        <f>IF(OR(INDEX($W$2:$W$1001,MATCH(ROWS($V$2:V735),$V$2:$V$1001,0),1)&gt;=100000,INDEX($AC$1005:$AS$1005,1,MATCH(COLUMNS($AC$1006:AQ1006),$AC$1006:$AS$1006,0))&gt;=100000), " ",IF(INDEX($AC$2:$AS$1001,MATCH(ROWS($V$2:V735),$V$2:$V$1001,0),MATCH(COLUMNS($AC$1006:AQ1006),$AC$1006:$AS$1006,0)), HYPERLINK("#",""), HYPERLINK(CONCATENATE("#Metadata!", ADDRESS(INDEX($X$2:$X$1001,MATCH(ROWS($V$2:V735),$V$2:$V$1001,0),0), INDEX($AC$1004:$AS$1004,1,MATCH(COLUMNS($AC$1006:AQ1006),$AC$1006:$AS$1006,0)))),"Fix")))</f>
        <v>0</v>
      </c>
      <c r="Q735" s="5">
        <f>IF(OR(INDEX($W$2:$W$1001,MATCH(ROWS($V$2:V735),$V$2:$V$1001,0),1)&gt;=100000,INDEX($AC$1005:$AS$1005,1,MATCH(COLUMNS($AC$1006:AR1006),$AC$1006:$AS$1006,0))&gt;=100000), " ",IF(INDEX($AC$2:$AS$1001,MATCH(ROWS($V$2:V735),$V$2:$V$1001,0),MATCH(COLUMNS($AC$1006:AR1006),$AC$1006:$AS$1006,0)), HYPERLINK("#",""), HYPERLINK(CONCATENATE("#Metadata!", ADDRESS(INDEX($X$2:$X$1001,MATCH(ROWS($V$2:V735),$V$2:$V$1001,0),0), INDEX($AC$1004:$AS$1004,1,MATCH(COLUMNS($AC$1006:AR1006),$AC$1006:$AS$1006,0)))),"Fix")))</f>
        <v>0</v>
      </c>
      <c r="R735" s="5">
        <f>IF(OR(INDEX($W$2:$W$1001,MATCH(ROWS($V$2:V735),$V$2:$V$1001,0),1)&gt;=100000,INDEX($AC$1005:$AS$1005,1,MATCH(COLUMNS($AC$1006:AS1006),$AC$1006:$AS$1006,0))&gt;=100000), " ",IF(INDEX($AC$2:$AS$1001,MATCH(ROWS($V$2:V735),$V$2:$V$1001,0),MATCH(COLUMNS($AC$1006:AS1006),$AC$1006:$AS$1006,0)), HYPERLINK("#",""), HYPERLINK(CONCATENATE("#Metadata!", ADDRESS(INDEX($X$2:$X$1001,MATCH(ROWS($V$2:V735),$V$2:$V$1001,0),0), INDEX($AC$1004:$AS$1004,1,MATCH(COLUMNS($AC$1006:AS1006),$AC$1006:$AS$1006,0)))),"Fix")))</f>
        <v>0</v>
      </c>
      <c r="V735">
        <v>0</v>
      </c>
      <c r="W735">
        <v>0</v>
      </c>
      <c r="X735">
        <v>0</v>
      </c>
      <c r="Y735">
        <f>IF(Z735,TRUE,AND(AC735:AS735))</f>
        <v>0</v>
      </c>
      <c r="Z735">
        <f>COUNTBLANK(Metadata!B735:R735)=COLUMNS(Metadata!B735:R735)</f>
        <v>0</v>
      </c>
      <c r="AA735">
        <v>0</v>
      </c>
      <c r="AC735">
        <f>AND(IF(Metadata!B735="",FALSE,TRUE),COUNTIF(Metadata!B:B, Metadata!B735) = 1,NOT(ISERROR(SUMPRODUCT(SEARCH(MID(Metadata!B735,ROW(INDIRECT("1:"&amp;LEN(Metadata!B735))), 1),"0123456789abcdefghijklmnopqrstuvwxyzABCDEFGHIJKLMNOPQRSTUVWXYZ.")))))</f>
        <v>0</v>
      </c>
      <c r="AD735">
        <f>AND(IF(Metadata!C735="",FALSE,TRUE),exact(Metadata!C735,"Host-associated"))</f>
        <v>0</v>
      </c>
      <c r="AE735">
        <f>AND(IF(Metadata!D735="",FALSE,TRUE),OR(exact(Metadata!D735,"Animal"),exact(Metadata!D735,"Fungus"),exact(Metadata!D735,"Plant")))</f>
        <v>0</v>
      </c>
      <c r="AF735">
        <f>AND(IF(Metadata!E735="",FALSE,TRUE),OR(exact(Metadata!E735,"Plant secretion"),exact(Metadata!E735,"Plant rhizosphere"),exact(Metadata!E735,"Plant surface"),exact(Metadata!E735,"Plant corpus"),exact(Metadata!E735,"Fungus surface"),exact(Metadata!E735,"Fungus corpus"),exact(Metadata!E735,"Animal surface"),exact(Metadata!E735,"Animal proximal gut"),exact(Metadata!E735,"Animal corpus"),exact(Metadata!E735,"Animal distal gut"),exact(Metadata!E735,"Animal secretion")))</f>
        <v>0</v>
      </c>
      <c r="AG735">
        <f>OR(AND(IF(Metadata!F735="",FALSE,TRUE),OR(exact(Metadata!F735,"not collected"),exact(Metadata!F735,"not provided"),exact(Metadata!F735,"restricted access"))),AND(IF(Metadata!F735="",FALSE,TRUE),OR(exact(Metadata!F735,"organism-associated habitat"),exact(Metadata!F735,"plant-associated habitat"),exact(Metadata!F735,"animal-associated habitat"),exact(Metadata!F735,"insecta-associated habitat"),exact(Metadata!F735,"mammalia-associated habitat"),exact(Metadata!F735,"human-associated habitat"),exact(Metadata!F735,"livestock-associated habitat"))))</f>
        <v>0</v>
      </c>
      <c r="AH735">
        <f>AND(IF(Metadata!G735="",FALSE,TRUE),exact(Metadata!G735,"host-associated"))</f>
        <v>0</v>
      </c>
      <c r="AI735">
        <f>OR(AND(IF(Metadata!H735="",FALSE,TRUE),OR(exact(Metadata!H735,"not collected"),exact(Metadata!H735,"not provided"))),AND(IF(Metadata!H735="",FALSE,ISNUMBER(VALUE(Metadata!H735))),Metadata!H735&gt;0))</f>
        <v>0</v>
      </c>
      <c r="AJ735">
        <f>AND(IF(Metadata!I735="",FALSE,TRUE),exact(Metadata!I735,"years"))</f>
        <v>0</v>
      </c>
      <c r="AK735">
        <f>IF(Metadata!J735="",FALSE,TRUE)</f>
        <v>0</v>
      </c>
      <c r="AL735">
        <f>OR(AND(IF(Metadata!K735="",FALSE,TRUE),OR(exact(Metadata!K735,"not collected"),exact(Metadata!K735,"not provided"))),AND(IF(Metadata!K735="",FALSE,ISNUMBER(VALUE(Metadata!K735))),Metadata!K735&gt;0))</f>
        <v>0</v>
      </c>
      <c r="AM735">
        <f>AND(IF(Metadata!L735="",FALSE,TRUE),exact(Metadata!L735,"cm"))</f>
        <v>0</v>
      </c>
      <c r="AN735">
        <f>IF(Metadata!M735="",FALSE,TRUE)</f>
        <v>0</v>
      </c>
      <c r="AO735">
        <f>OR(AND(IF(Metadata!N735="",FALSE,TRUE),OR(exact(Metadata!N735,"not applicable"),exact(Metadata!N735,"not collected"),exact(Metadata!N735,"not provided"))),AND(IF(Metadata!N735="",FALSE,IF(ISERROR(INT(Metadata!N735)),FALSE,INT(Metadata!N735)=Metadata!N735)),Metadata!N735&gt;0))</f>
        <v>0</v>
      </c>
      <c r="AP735">
        <f>OR(AND(IF(Metadata!O735="",FALSE,TRUE),OR(exact(Metadata!O735,"not collected"),exact(Metadata!O735,"not provided"))),AND(IF(Metadata!O735="",FALSE,ISNUMBER(VALUE(Metadata!O735))),Metadata!O735&gt;0))</f>
        <v>0</v>
      </c>
      <c r="AQ735">
        <f>AND(IF(Metadata!P735="",FALSE,TRUE),exact(Metadata!P735,"kg"))</f>
        <v>0</v>
      </c>
      <c r="AR735">
        <f>OR(AND(IF(Metadata!Q735="",FALSE,TRUE),OR(exact(Metadata!Q735,"not applicable"),exact(Metadata!Q735,"not collected"),exact(Metadata!Q735,"not provided"),exact(Metadata!Q735,"restricted access"))),IF(Metadata!Q735="",FALSE,IF(ISERROR(INT(Metadata!Q735)),FALSE,INT(Metadata!Q735)=Metadata!Q735)))</f>
        <v>0</v>
      </c>
      <c r="AS735">
        <f>AND(IF(Metadata!R735="",FALSE,TRUE),exact(Metadata!R735,"Not applicable"))</f>
        <v>0</v>
      </c>
    </row>
    <row r="736" spans="1:45">
      <c r="A736" s="4">
        <f>IF(B736=" "," ",HYPERLINK(CONCATENATE("#metadata!",ADDRESS(INDEX($X$2:$X$1001,MATCH(ROWS($V$2:V736),$V$2:$V$1001,0),0),2)),INDEX($AA$2:$AA$1001,MATCH(ROWS($V$2:V736),$V$2:$V$1001,0),0)))</f>
        <v>0</v>
      </c>
      <c r="B736" s="5">
        <f>IF(OR(INDEX($W$2:$W$1001,MATCH(ROWS($V$2:V736),$V$2:$V$1001,0),1)&gt;=100000,INDEX($AC$1005:$AS$1005,1,MATCH(COLUMNS($AC$1006:AC1006),$AC$1006:$AS$1006,0))&gt;=100000), " ",IF(INDEX($AC$2:$AS$1001,MATCH(ROWS($V$2:V736),$V$2:$V$1001,0),MATCH(COLUMNS($AC$1006:AC1006),$AC$1006:$AS$1006,0)), HYPERLINK("#",""), HYPERLINK(CONCATENATE("#Metadata!", ADDRESS(INDEX($X$2:$X$1001,MATCH(ROWS($V$2:V736),$V$2:$V$1001,0),0), INDEX($AC$1004:$AS$1004,1,MATCH(COLUMNS($AC$1006:AC1006),$AC$1006:$AS$1006,0)))),"Fix")))</f>
        <v>0</v>
      </c>
      <c r="C736" s="5">
        <f>IF(OR(INDEX($W$2:$W$1001,MATCH(ROWS($V$2:V736),$V$2:$V$1001,0),1)&gt;=100000,INDEX($AC$1005:$AS$1005,1,MATCH(COLUMNS($AC$1006:AD1006),$AC$1006:$AS$1006,0))&gt;=100000), " ",IF(INDEX($AC$2:$AS$1001,MATCH(ROWS($V$2:V736),$V$2:$V$1001,0),MATCH(COLUMNS($AC$1006:AD1006),$AC$1006:$AS$1006,0)), HYPERLINK("#",""), HYPERLINK(CONCATENATE("#Metadata!", ADDRESS(INDEX($X$2:$X$1001,MATCH(ROWS($V$2:V736),$V$2:$V$1001,0),0), INDEX($AC$1004:$AS$1004,1,MATCH(COLUMNS($AC$1006:AD1006),$AC$1006:$AS$1006,0)))),"Fix")))</f>
        <v>0</v>
      </c>
      <c r="D736" s="5">
        <f>IF(OR(INDEX($W$2:$W$1001,MATCH(ROWS($V$2:V736),$V$2:$V$1001,0),1)&gt;=100000,INDEX($AC$1005:$AS$1005,1,MATCH(COLUMNS($AC$1006:AE1006),$AC$1006:$AS$1006,0))&gt;=100000), " ",IF(INDEX($AC$2:$AS$1001,MATCH(ROWS($V$2:V736),$V$2:$V$1001,0),MATCH(COLUMNS($AC$1006:AE1006),$AC$1006:$AS$1006,0)), HYPERLINK("#",""), HYPERLINK(CONCATENATE("#Metadata!", ADDRESS(INDEX($X$2:$X$1001,MATCH(ROWS($V$2:V736),$V$2:$V$1001,0),0), INDEX($AC$1004:$AS$1004,1,MATCH(COLUMNS($AC$1006:AE1006),$AC$1006:$AS$1006,0)))),"Fix")))</f>
        <v>0</v>
      </c>
      <c r="E736" s="5">
        <f>IF(OR(INDEX($W$2:$W$1001,MATCH(ROWS($V$2:V736),$V$2:$V$1001,0),1)&gt;=100000,INDEX($AC$1005:$AS$1005,1,MATCH(COLUMNS($AC$1006:AF1006),$AC$1006:$AS$1006,0))&gt;=100000), " ",IF(INDEX($AC$2:$AS$1001,MATCH(ROWS($V$2:V736),$V$2:$V$1001,0),MATCH(COLUMNS($AC$1006:AF1006),$AC$1006:$AS$1006,0)), HYPERLINK("#",""), HYPERLINK(CONCATENATE("#Metadata!", ADDRESS(INDEX($X$2:$X$1001,MATCH(ROWS($V$2:V736),$V$2:$V$1001,0),0), INDEX($AC$1004:$AS$1004,1,MATCH(COLUMNS($AC$1006:AF1006),$AC$1006:$AS$1006,0)))),"Fix")))</f>
        <v>0</v>
      </c>
      <c r="F736" s="5">
        <f>IF(OR(INDEX($W$2:$W$1001,MATCH(ROWS($V$2:V736),$V$2:$V$1001,0),1)&gt;=100000,INDEX($AC$1005:$AS$1005,1,MATCH(COLUMNS($AC$1006:AG1006),$AC$1006:$AS$1006,0))&gt;=100000), " ",IF(INDEX($AC$2:$AS$1001,MATCH(ROWS($V$2:V736),$V$2:$V$1001,0),MATCH(COLUMNS($AC$1006:AG1006),$AC$1006:$AS$1006,0)), HYPERLINK("#",""), HYPERLINK(CONCATENATE("#Metadata!", ADDRESS(INDEX($X$2:$X$1001,MATCH(ROWS($V$2:V736),$V$2:$V$1001,0),0), INDEX($AC$1004:$AS$1004,1,MATCH(COLUMNS($AC$1006:AG1006),$AC$1006:$AS$1006,0)))),"Fix")))</f>
        <v>0</v>
      </c>
      <c r="G736" s="5">
        <f>IF(OR(INDEX($W$2:$W$1001,MATCH(ROWS($V$2:V736),$V$2:$V$1001,0),1)&gt;=100000,INDEX($AC$1005:$AS$1005,1,MATCH(COLUMNS($AC$1006:AH1006),$AC$1006:$AS$1006,0))&gt;=100000), " ",IF(INDEX($AC$2:$AS$1001,MATCH(ROWS($V$2:V736),$V$2:$V$1001,0),MATCH(COLUMNS($AC$1006:AH1006),$AC$1006:$AS$1006,0)), HYPERLINK("#",""), HYPERLINK(CONCATENATE("#Metadata!", ADDRESS(INDEX($X$2:$X$1001,MATCH(ROWS($V$2:V736),$V$2:$V$1001,0),0), INDEX($AC$1004:$AS$1004,1,MATCH(COLUMNS($AC$1006:AH1006),$AC$1006:$AS$1006,0)))),"Fix")))</f>
        <v>0</v>
      </c>
      <c r="H736" s="5">
        <f>IF(OR(INDEX($W$2:$W$1001,MATCH(ROWS($V$2:V736),$V$2:$V$1001,0),1)&gt;=100000,INDEX($AC$1005:$AS$1005,1,MATCH(COLUMNS($AC$1006:AI1006),$AC$1006:$AS$1006,0))&gt;=100000), " ",IF(INDEX($AC$2:$AS$1001,MATCH(ROWS($V$2:V736),$V$2:$V$1001,0),MATCH(COLUMNS($AC$1006:AI1006),$AC$1006:$AS$1006,0)), HYPERLINK("#",""), HYPERLINK(CONCATENATE("#Metadata!", ADDRESS(INDEX($X$2:$X$1001,MATCH(ROWS($V$2:V736),$V$2:$V$1001,0),0), INDEX($AC$1004:$AS$1004,1,MATCH(COLUMNS($AC$1006:AI1006),$AC$1006:$AS$1006,0)))),"Fix")))</f>
        <v>0</v>
      </c>
      <c r="I736" s="5">
        <f>IF(OR(INDEX($W$2:$W$1001,MATCH(ROWS($V$2:V736),$V$2:$V$1001,0),1)&gt;=100000,INDEX($AC$1005:$AS$1005,1,MATCH(COLUMNS($AC$1006:AJ1006),$AC$1006:$AS$1006,0))&gt;=100000), " ",IF(INDEX($AC$2:$AS$1001,MATCH(ROWS($V$2:V736),$V$2:$V$1001,0),MATCH(COLUMNS($AC$1006:AJ1006),$AC$1006:$AS$1006,0)), HYPERLINK("#",""), HYPERLINK(CONCATENATE("#Metadata!", ADDRESS(INDEX($X$2:$X$1001,MATCH(ROWS($V$2:V736),$V$2:$V$1001,0),0), INDEX($AC$1004:$AS$1004,1,MATCH(COLUMNS($AC$1006:AJ1006),$AC$1006:$AS$1006,0)))),"Fix")))</f>
        <v>0</v>
      </c>
      <c r="J736" s="5">
        <f>IF(OR(INDEX($W$2:$W$1001,MATCH(ROWS($V$2:V736),$V$2:$V$1001,0),1)&gt;=100000,INDEX($AC$1005:$AS$1005,1,MATCH(COLUMNS($AC$1006:AK1006),$AC$1006:$AS$1006,0))&gt;=100000), " ",IF(INDEX($AC$2:$AS$1001,MATCH(ROWS($V$2:V736),$V$2:$V$1001,0),MATCH(COLUMNS($AC$1006:AK1006),$AC$1006:$AS$1006,0)), HYPERLINK("#",""), HYPERLINK(CONCATENATE("#Metadata!", ADDRESS(INDEX($X$2:$X$1001,MATCH(ROWS($V$2:V736),$V$2:$V$1001,0),0), INDEX($AC$1004:$AS$1004,1,MATCH(COLUMNS($AC$1006:AK1006),$AC$1006:$AS$1006,0)))),"Fix")))</f>
        <v>0</v>
      </c>
      <c r="K736" s="5">
        <f>IF(OR(INDEX($W$2:$W$1001,MATCH(ROWS($V$2:V736),$V$2:$V$1001,0),1)&gt;=100000,INDEX($AC$1005:$AS$1005,1,MATCH(COLUMNS($AC$1006:AL1006),$AC$1006:$AS$1006,0))&gt;=100000), " ",IF(INDEX($AC$2:$AS$1001,MATCH(ROWS($V$2:V736),$V$2:$V$1001,0),MATCH(COLUMNS($AC$1006:AL1006),$AC$1006:$AS$1006,0)), HYPERLINK("#",""), HYPERLINK(CONCATENATE("#Metadata!", ADDRESS(INDEX($X$2:$X$1001,MATCH(ROWS($V$2:V736),$V$2:$V$1001,0),0), INDEX($AC$1004:$AS$1004,1,MATCH(COLUMNS($AC$1006:AL1006),$AC$1006:$AS$1006,0)))),"Fix")))</f>
        <v>0</v>
      </c>
      <c r="L736" s="5">
        <f>IF(OR(INDEX($W$2:$W$1001,MATCH(ROWS($V$2:V736),$V$2:$V$1001,0),1)&gt;=100000,INDEX($AC$1005:$AS$1005,1,MATCH(COLUMNS($AC$1006:AM1006),$AC$1006:$AS$1006,0))&gt;=100000), " ",IF(INDEX($AC$2:$AS$1001,MATCH(ROWS($V$2:V736),$V$2:$V$1001,0),MATCH(COLUMNS($AC$1006:AM1006),$AC$1006:$AS$1006,0)), HYPERLINK("#",""), HYPERLINK(CONCATENATE("#Metadata!", ADDRESS(INDEX($X$2:$X$1001,MATCH(ROWS($V$2:V736),$V$2:$V$1001,0),0), INDEX($AC$1004:$AS$1004,1,MATCH(COLUMNS($AC$1006:AM1006),$AC$1006:$AS$1006,0)))),"Fix")))</f>
        <v>0</v>
      </c>
      <c r="M736" s="5">
        <f>IF(OR(INDEX($W$2:$W$1001,MATCH(ROWS($V$2:V736),$V$2:$V$1001,0),1)&gt;=100000,INDEX($AC$1005:$AS$1005,1,MATCH(COLUMNS($AC$1006:AN1006),$AC$1006:$AS$1006,0))&gt;=100000), " ",IF(INDEX($AC$2:$AS$1001,MATCH(ROWS($V$2:V736),$V$2:$V$1001,0),MATCH(COLUMNS($AC$1006:AN1006),$AC$1006:$AS$1006,0)), HYPERLINK("#",""), HYPERLINK(CONCATENATE("#Metadata!", ADDRESS(INDEX($X$2:$X$1001,MATCH(ROWS($V$2:V736),$V$2:$V$1001,0),0), INDEX($AC$1004:$AS$1004,1,MATCH(COLUMNS($AC$1006:AN1006),$AC$1006:$AS$1006,0)))),"Fix")))</f>
        <v>0</v>
      </c>
      <c r="N736" s="5">
        <f>IF(OR(INDEX($W$2:$W$1001,MATCH(ROWS($V$2:V736),$V$2:$V$1001,0),1)&gt;=100000,INDEX($AC$1005:$AS$1005,1,MATCH(COLUMNS($AC$1006:AO1006),$AC$1006:$AS$1006,0))&gt;=100000), " ",IF(INDEX($AC$2:$AS$1001,MATCH(ROWS($V$2:V736),$V$2:$V$1001,0),MATCH(COLUMNS($AC$1006:AO1006),$AC$1006:$AS$1006,0)), HYPERLINK("#",""), HYPERLINK(CONCATENATE("#Metadata!", ADDRESS(INDEX($X$2:$X$1001,MATCH(ROWS($V$2:V736),$V$2:$V$1001,0),0), INDEX($AC$1004:$AS$1004,1,MATCH(COLUMNS($AC$1006:AO1006),$AC$1006:$AS$1006,0)))),"Fix")))</f>
        <v>0</v>
      </c>
      <c r="O736" s="5">
        <f>IF(OR(INDEX($W$2:$W$1001,MATCH(ROWS($V$2:V736),$V$2:$V$1001,0),1)&gt;=100000,INDEX($AC$1005:$AS$1005,1,MATCH(COLUMNS($AC$1006:AP1006),$AC$1006:$AS$1006,0))&gt;=100000), " ",IF(INDEX($AC$2:$AS$1001,MATCH(ROWS($V$2:V736),$V$2:$V$1001,0),MATCH(COLUMNS($AC$1006:AP1006),$AC$1006:$AS$1006,0)), HYPERLINK("#",""), HYPERLINK(CONCATENATE("#Metadata!", ADDRESS(INDEX($X$2:$X$1001,MATCH(ROWS($V$2:V736),$V$2:$V$1001,0),0), INDEX($AC$1004:$AS$1004,1,MATCH(COLUMNS($AC$1006:AP1006),$AC$1006:$AS$1006,0)))),"Fix")))</f>
        <v>0</v>
      </c>
      <c r="P736" s="5">
        <f>IF(OR(INDEX($W$2:$W$1001,MATCH(ROWS($V$2:V736),$V$2:$V$1001,0),1)&gt;=100000,INDEX($AC$1005:$AS$1005,1,MATCH(COLUMNS($AC$1006:AQ1006),$AC$1006:$AS$1006,0))&gt;=100000), " ",IF(INDEX($AC$2:$AS$1001,MATCH(ROWS($V$2:V736),$V$2:$V$1001,0),MATCH(COLUMNS($AC$1006:AQ1006),$AC$1006:$AS$1006,0)), HYPERLINK("#",""), HYPERLINK(CONCATENATE("#Metadata!", ADDRESS(INDEX($X$2:$X$1001,MATCH(ROWS($V$2:V736),$V$2:$V$1001,0),0), INDEX($AC$1004:$AS$1004,1,MATCH(COLUMNS($AC$1006:AQ1006),$AC$1006:$AS$1006,0)))),"Fix")))</f>
        <v>0</v>
      </c>
      <c r="Q736" s="5">
        <f>IF(OR(INDEX($W$2:$W$1001,MATCH(ROWS($V$2:V736),$V$2:$V$1001,0),1)&gt;=100000,INDEX($AC$1005:$AS$1005,1,MATCH(COLUMNS($AC$1006:AR1006),$AC$1006:$AS$1006,0))&gt;=100000), " ",IF(INDEX($AC$2:$AS$1001,MATCH(ROWS($V$2:V736),$V$2:$V$1001,0),MATCH(COLUMNS($AC$1006:AR1006),$AC$1006:$AS$1006,0)), HYPERLINK("#",""), HYPERLINK(CONCATENATE("#Metadata!", ADDRESS(INDEX($X$2:$X$1001,MATCH(ROWS($V$2:V736),$V$2:$V$1001,0),0), INDEX($AC$1004:$AS$1004,1,MATCH(COLUMNS($AC$1006:AR1006),$AC$1006:$AS$1006,0)))),"Fix")))</f>
        <v>0</v>
      </c>
      <c r="R736" s="5">
        <f>IF(OR(INDEX($W$2:$W$1001,MATCH(ROWS($V$2:V736),$V$2:$V$1001,0),1)&gt;=100000,INDEX($AC$1005:$AS$1005,1,MATCH(COLUMNS($AC$1006:AS1006),$AC$1006:$AS$1006,0))&gt;=100000), " ",IF(INDEX($AC$2:$AS$1001,MATCH(ROWS($V$2:V736),$V$2:$V$1001,0),MATCH(COLUMNS($AC$1006:AS1006),$AC$1006:$AS$1006,0)), HYPERLINK("#",""), HYPERLINK(CONCATENATE("#Metadata!", ADDRESS(INDEX($X$2:$X$1001,MATCH(ROWS($V$2:V736),$V$2:$V$1001,0),0), INDEX($AC$1004:$AS$1004,1,MATCH(COLUMNS($AC$1006:AS1006),$AC$1006:$AS$1006,0)))),"Fix")))</f>
        <v>0</v>
      </c>
      <c r="V736">
        <v>0</v>
      </c>
      <c r="W736">
        <v>0</v>
      </c>
      <c r="X736">
        <v>0</v>
      </c>
      <c r="Y736">
        <f>IF(Z736,TRUE,AND(AC736:AS736))</f>
        <v>0</v>
      </c>
      <c r="Z736">
        <f>COUNTBLANK(Metadata!B736:R736)=COLUMNS(Metadata!B736:R736)</f>
        <v>0</v>
      </c>
      <c r="AA736">
        <v>0</v>
      </c>
      <c r="AC736">
        <f>AND(IF(Metadata!B736="",FALSE,TRUE),COUNTIF(Metadata!B:B, Metadata!B736) = 1,NOT(ISERROR(SUMPRODUCT(SEARCH(MID(Metadata!B736,ROW(INDIRECT("1:"&amp;LEN(Metadata!B736))), 1),"0123456789abcdefghijklmnopqrstuvwxyzABCDEFGHIJKLMNOPQRSTUVWXYZ.")))))</f>
        <v>0</v>
      </c>
      <c r="AD736">
        <f>AND(IF(Metadata!C736="",FALSE,TRUE),exact(Metadata!C736,"Host-associated"))</f>
        <v>0</v>
      </c>
      <c r="AE736">
        <f>AND(IF(Metadata!D736="",FALSE,TRUE),OR(exact(Metadata!D736,"Animal"),exact(Metadata!D736,"Fungus"),exact(Metadata!D736,"Plant")))</f>
        <v>0</v>
      </c>
      <c r="AF736">
        <f>AND(IF(Metadata!E736="",FALSE,TRUE),OR(exact(Metadata!E736,"Plant secretion"),exact(Metadata!E736,"Plant rhizosphere"),exact(Metadata!E736,"Plant surface"),exact(Metadata!E736,"Plant corpus"),exact(Metadata!E736,"Fungus surface"),exact(Metadata!E736,"Fungus corpus"),exact(Metadata!E736,"Animal surface"),exact(Metadata!E736,"Animal proximal gut"),exact(Metadata!E736,"Animal corpus"),exact(Metadata!E736,"Animal distal gut"),exact(Metadata!E736,"Animal secretion")))</f>
        <v>0</v>
      </c>
      <c r="AG736">
        <f>OR(AND(IF(Metadata!F736="",FALSE,TRUE),OR(exact(Metadata!F736,"not collected"),exact(Metadata!F736,"not provided"),exact(Metadata!F736,"restricted access"))),AND(IF(Metadata!F736="",FALSE,TRUE),OR(exact(Metadata!F736,"organism-associated habitat"),exact(Metadata!F736,"plant-associated habitat"),exact(Metadata!F736,"animal-associated habitat"),exact(Metadata!F736,"insecta-associated habitat"),exact(Metadata!F736,"mammalia-associated habitat"),exact(Metadata!F736,"human-associated habitat"),exact(Metadata!F736,"livestock-associated habitat"))))</f>
        <v>0</v>
      </c>
      <c r="AH736">
        <f>AND(IF(Metadata!G736="",FALSE,TRUE),exact(Metadata!G736,"host-associated"))</f>
        <v>0</v>
      </c>
      <c r="AI736">
        <f>OR(AND(IF(Metadata!H736="",FALSE,TRUE),OR(exact(Metadata!H736,"not collected"),exact(Metadata!H736,"not provided"))),AND(IF(Metadata!H736="",FALSE,ISNUMBER(VALUE(Metadata!H736))),Metadata!H736&gt;0))</f>
        <v>0</v>
      </c>
      <c r="AJ736">
        <f>AND(IF(Metadata!I736="",FALSE,TRUE),exact(Metadata!I736,"years"))</f>
        <v>0</v>
      </c>
      <c r="AK736">
        <f>IF(Metadata!J736="",FALSE,TRUE)</f>
        <v>0</v>
      </c>
      <c r="AL736">
        <f>OR(AND(IF(Metadata!K736="",FALSE,TRUE),OR(exact(Metadata!K736,"not collected"),exact(Metadata!K736,"not provided"))),AND(IF(Metadata!K736="",FALSE,ISNUMBER(VALUE(Metadata!K736))),Metadata!K736&gt;0))</f>
        <v>0</v>
      </c>
      <c r="AM736">
        <f>AND(IF(Metadata!L736="",FALSE,TRUE),exact(Metadata!L736,"cm"))</f>
        <v>0</v>
      </c>
      <c r="AN736">
        <f>IF(Metadata!M736="",FALSE,TRUE)</f>
        <v>0</v>
      </c>
      <c r="AO736">
        <f>OR(AND(IF(Metadata!N736="",FALSE,TRUE),OR(exact(Metadata!N736,"not applicable"),exact(Metadata!N736,"not collected"),exact(Metadata!N736,"not provided"))),AND(IF(Metadata!N736="",FALSE,IF(ISERROR(INT(Metadata!N736)),FALSE,INT(Metadata!N736)=Metadata!N736)),Metadata!N736&gt;0))</f>
        <v>0</v>
      </c>
      <c r="AP736">
        <f>OR(AND(IF(Metadata!O736="",FALSE,TRUE),OR(exact(Metadata!O736,"not collected"),exact(Metadata!O736,"not provided"))),AND(IF(Metadata!O736="",FALSE,ISNUMBER(VALUE(Metadata!O736))),Metadata!O736&gt;0))</f>
        <v>0</v>
      </c>
      <c r="AQ736">
        <f>AND(IF(Metadata!P736="",FALSE,TRUE),exact(Metadata!P736,"kg"))</f>
        <v>0</v>
      </c>
      <c r="AR736">
        <f>OR(AND(IF(Metadata!Q736="",FALSE,TRUE),OR(exact(Metadata!Q736,"not applicable"),exact(Metadata!Q736,"not collected"),exact(Metadata!Q736,"not provided"),exact(Metadata!Q736,"restricted access"))),IF(Metadata!Q736="",FALSE,IF(ISERROR(INT(Metadata!Q736)),FALSE,INT(Metadata!Q736)=Metadata!Q736)))</f>
        <v>0</v>
      </c>
      <c r="AS736">
        <f>AND(IF(Metadata!R736="",FALSE,TRUE),exact(Metadata!R736,"Not applicable"))</f>
        <v>0</v>
      </c>
    </row>
    <row r="737" spans="1:45">
      <c r="A737" s="4">
        <f>IF(B737=" "," ",HYPERLINK(CONCATENATE("#metadata!",ADDRESS(INDEX($X$2:$X$1001,MATCH(ROWS($V$2:V737),$V$2:$V$1001,0),0),2)),INDEX($AA$2:$AA$1001,MATCH(ROWS($V$2:V737),$V$2:$V$1001,0),0)))</f>
        <v>0</v>
      </c>
      <c r="B737" s="5">
        <f>IF(OR(INDEX($W$2:$W$1001,MATCH(ROWS($V$2:V737),$V$2:$V$1001,0),1)&gt;=100000,INDEX($AC$1005:$AS$1005,1,MATCH(COLUMNS($AC$1006:AC1006),$AC$1006:$AS$1006,0))&gt;=100000), " ",IF(INDEX($AC$2:$AS$1001,MATCH(ROWS($V$2:V737),$V$2:$V$1001,0),MATCH(COLUMNS($AC$1006:AC1006),$AC$1006:$AS$1006,0)), HYPERLINK("#",""), HYPERLINK(CONCATENATE("#Metadata!", ADDRESS(INDEX($X$2:$X$1001,MATCH(ROWS($V$2:V737),$V$2:$V$1001,0),0), INDEX($AC$1004:$AS$1004,1,MATCH(COLUMNS($AC$1006:AC1006),$AC$1006:$AS$1006,0)))),"Fix")))</f>
        <v>0</v>
      </c>
      <c r="C737" s="5">
        <f>IF(OR(INDEX($W$2:$W$1001,MATCH(ROWS($V$2:V737),$V$2:$V$1001,0),1)&gt;=100000,INDEX($AC$1005:$AS$1005,1,MATCH(COLUMNS($AC$1006:AD1006),$AC$1006:$AS$1006,0))&gt;=100000), " ",IF(INDEX($AC$2:$AS$1001,MATCH(ROWS($V$2:V737),$V$2:$V$1001,0),MATCH(COLUMNS($AC$1006:AD1006),$AC$1006:$AS$1006,0)), HYPERLINK("#",""), HYPERLINK(CONCATENATE("#Metadata!", ADDRESS(INDEX($X$2:$X$1001,MATCH(ROWS($V$2:V737),$V$2:$V$1001,0),0), INDEX($AC$1004:$AS$1004,1,MATCH(COLUMNS($AC$1006:AD1006),$AC$1006:$AS$1006,0)))),"Fix")))</f>
        <v>0</v>
      </c>
      <c r="D737" s="5">
        <f>IF(OR(INDEX($W$2:$W$1001,MATCH(ROWS($V$2:V737),$V$2:$V$1001,0),1)&gt;=100000,INDEX($AC$1005:$AS$1005,1,MATCH(COLUMNS($AC$1006:AE1006),$AC$1006:$AS$1006,0))&gt;=100000), " ",IF(INDEX($AC$2:$AS$1001,MATCH(ROWS($V$2:V737),$V$2:$V$1001,0),MATCH(COLUMNS($AC$1006:AE1006),$AC$1006:$AS$1006,0)), HYPERLINK("#",""), HYPERLINK(CONCATENATE("#Metadata!", ADDRESS(INDEX($X$2:$X$1001,MATCH(ROWS($V$2:V737),$V$2:$V$1001,0),0), INDEX($AC$1004:$AS$1004,1,MATCH(COLUMNS($AC$1006:AE1006),$AC$1006:$AS$1006,0)))),"Fix")))</f>
        <v>0</v>
      </c>
      <c r="E737" s="5">
        <f>IF(OR(INDEX($W$2:$W$1001,MATCH(ROWS($V$2:V737),$V$2:$V$1001,0),1)&gt;=100000,INDEX($AC$1005:$AS$1005,1,MATCH(COLUMNS($AC$1006:AF1006),$AC$1006:$AS$1006,0))&gt;=100000), " ",IF(INDEX($AC$2:$AS$1001,MATCH(ROWS($V$2:V737),$V$2:$V$1001,0),MATCH(COLUMNS($AC$1006:AF1006),$AC$1006:$AS$1006,0)), HYPERLINK("#",""), HYPERLINK(CONCATENATE("#Metadata!", ADDRESS(INDEX($X$2:$X$1001,MATCH(ROWS($V$2:V737),$V$2:$V$1001,0),0), INDEX($AC$1004:$AS$1004,1,MATCH(COLUMNS($AC$1006:AF1006),$AC$1006:$AS$1006,0)))),"Fix")))</f>
        <v>0</v>
      </c>
      <c r="F737" s="5">
        <f>IF(OR(INDEX($W$2:$W$1001,MATCH(ROWS($V$2:V737),$V$2:$V$1001,0),1)&gt;=100000,INDEX($AC$1005:$AS$1005,1,MATCH(COLUMNS($AC$1006:AG1006),$AC$1006:$AS$1006,0))&gt;=100000), " ",IF(INDEX($AC$2:$AS$1001,MATCH(ROWS($V$2:V737),$V$2:$V$1001,0),MATCH(COLUMNS($AC$1006:AG1006),$AC$1006:$AS$1006,0)), HYPERLINK("#",""), HYPERLINK(CONCATENATE("#Metadata!", ADDRESS(INDEX($X$2:$X$1001,MATCH(ROWS($V$2:V737),$V$2:$V$1001,0),0), INDEX($AC$1004:$AS$1004,1,MATCH(COLUMNS($AC$1006:AG1006),$AC$1006:$AS$1006,0)))),"Fix")))</f>
        <v>0</v>
      </c>
      <c r="G737" s="5">
        <f>IF(OR(INDEX($W$2:$W$1001,MATCH(ROWS($V$2:V737),$V$2:$V$1001,0),1)&gt;=100000,INDEX($AC$1005:$AS$1005,1,MATCH(COLUMNS($AC$1006:AH1006),$AC$1006:$AS$1006,0))&gt;=100000), " ",IF(INDEX($AC$2:$AS$1001,MATCH(ROWS($V$2:V737),$V$2:$V$1001,0),MATCH(COLUMNS($AC$1006:AH1006),$AC$1006:$AS$1006,0)), HYPERLINK("#",""), HYPERLINK(CONCATENATE("#Metadata!", ADDRESS(INDEX($X$2:$X$1001,MATCH(ROWS($V$2:V737),$V$2:$V$1001,0),0), INDEX($AC$1004:$AS$1004,1,MATCH(COLUMNS($AC$1006:AH1006),$AC$1006:$AS$1006,0)))),"Fix")))</f>
        <v>0</v>
      </c>
      <c r="H737" s="5">
        <f>IF(OR(INDEX($W$2:$W$1001,MATCH(ROWS($V$2:V737),$V$2:$V$1001,0),1)&gt;=100000,INDEX($AC$1005:$AS$1005,1,MATCH(COLUMNS($AC$1006:AI1006),$AC$1006:$AS$1006,0))&gt;=100000), " ",IF(INDEX($AC$2:$AS$1001,MATCH(ROWS($V$2:V737),$V$2:$V$1001,0),MATCH(COLUMNS($AC$1006:AI1006),$AC$1006:$AS$1006,0)), HYPERLINK("#",""), HYPERLINK(CONCATENATE("#Metadata!", ADDRESS(INDEX($X$2:$X$1001,MATCH(ROWS($V$2:V737),$V$2:$V$1001,0),0), INDEX($AC$1004:$AS$1004,1,MATCH(COLUMNS($AC$1006:AI1006),$AC$1006:$AS$1006,0)))),"Fix")))</f>
        <v>0</v>
      </c>
      <c r="I737" s="5">
        <f>IF(OR(INDEX($W$2:$W$1001,MATCH(ROWS($V$2:V737),$V$2:$V$1001,0),1)&gt;=100000,INDEX($AC$1005:$AS$1005,1,MATCH(COLUMNS($AC$1006:AJ1006),$AC$1006:$AS$1006,0))&gt;=100000), " ",IF(INDEX($AC$2:$AS$1001,MATCH(ROWS($V$2:V737),$V$2:$V$1001,0),MATCH(COLUMNS($AC$1006:AJ1006),$AC$1006:$AS$1006,0)), HYPERLINK("#",""), HYPERLINK(CONCATENATE("#Metadata!", ADDRESS(INDEX($X$2:$X$1001,MATCH(ROWS($V$2:V737),$V$2:$V$1001,0),0), INDEX($AC$1004:$AS$1004,1,MATCH(COLUMNS($AC$1006:AJ1006),$AC$1006:$AS$1006,0)))),"Fix")))</f>
        <v>0</v>
      </c>
      <c r="J737" s="5">
        <f>IF(OR(INDEX($W$2:$W$1001,MATCH(ROWS($V$2:V737),$V$2:$V$1001,0),1)&gt;=100000,INDEX($AC$1005:$AS$1005,1,MATCH(COLUMNS($AC$1006:AK1006),$AC$1006:$AS$1006,0))&gt;=100000), " ",IF(INDEX($AC$2:$AS$1001,MATCH(ROWS($V$2:V737),$V$2:$V$1001,0),MATCH(COLUMNS($AC$1006:AK1006),$AC$1006:$AS$1006,0)), HYPERLINK("#",""), HYPERLINK(CONCATENATE("#Metadata!", ADDRESS(INDEX($X$2:$X$1001,MATCH(ROWS($V$2:V737),$V$2:$V$1001,0),0), INDEX($AC$1004:$AS$1004,1,MATCH(COLUMNS($AC$1006:AK1006),$AC$1006:$AS$1006,0)))),"Fix")))</f>
        <v>0</v>
      </c>
      <c r="K737" s="5">
        <f>IF(OR(INDEX($W$2:$W$1001,MATCH(ROWS($V$2:V737),$V$2:$V$1001,0),1)&gt;=100000,INDEX($AC$1005:$AS$1005,1,MATCH(COLUMNS($AC$1006:AL1006),$AC$1006:$AS$1006,0))&gt;=100000), " ",IF(INDEX($AC$2:$AS$1001,MATCH(ROWS($V$2:V737),$V$2:$V$1001,0),MATCH(COLUMNS($AC$1006:AL1006),$AC$1006:$AS$1006,0)), HYPERLINK("#",""), HYPERLINK(CONCATENATE("#Metadata!", ADDRESS(INDEX($X$2:$X$1001,MATCH(ROWS($V$2:V737),$V$2:$V$1001,0),0), INDEX($AC$1004:$AS$1004,1,MATCH(COLUMNS($AC$1006:AL1006),$AC$1006:$AS$1006,0)))),"Fix")))</f>
        <v>0</v>
      </c>
      <c r="L737" s="5">
        <f>IF(OR(INDEX($W$2:$W$1001,MATCH(ROWS($V$2:V737),$V$2:$V$1001,0),1)&gt;=100000,INDEX($AC$1005:$AS$1005,1,MATCH(COLUMNS($AC$1006:AM1006),$AC$1006:$AS$1006,0))&gt;=100000), " ",IF(INDEX($AC$2:$AS$1001,MATCH(ROWS($V$2:V737),$V$2:$V$1001,0),MATCH(COLUMNS($AC$1006:AM1006),$AC$1006:$AS$1006,0)), HYPERLINK("#",""), HYPERLINK(CONCATENATE("#Metadata!", ADDRESS(INDEX($X$2:$X$1001,MATCH(ROWS($V$2:V737),$V$2:$V$1001,0),0), INDEX($AC$1004:$AS$1004,1,MATCH(COLUMNS($AC$1006:AM1006),$AC$1006:$AS$1006,0)))),"Fix")))</f>
        <v>0</v>
      </c>
      <c r="M737" s="5">
        <f>IF(OR(INDEX($W$2:$W$1001,MATCH(ROWS($V$2:V737),$V$2:$V$1001,0),1)&gt;=100000,INDEX($AC$1005:$AS$1005,1,MATCH(COLUMNS($AC$1006:AN1006),$AC$1006:$AS$1006,0))&gt;=100000), " ",IF(INDEX($AC$2:$AS$1001,MATCH(ROWS($V$2:V737),$V$2:$V$1001,0),MATCH(COLUMNS($AC$1006:AN1006),$AC$1006:$AS$1006,0)), HYPERLINK("#",""), HYPERLINK(CONCATENATE("#Metadata!", ADDRESS(INDEX($X$2:$X$1001,MATCH(ROWS($V$2:V737),$V$2:$V$1001,0),0), INDEX($AC$1004:$AS$1004,1,MATCH(COLUMNS($AC$1006:AN1006),$AC$1006:$AS$1006,0)))),"Fix")))</f>
        <v>0</v>
      </c>
      <c r="N737" s="5">
        <f>IF(OR(INDEX($W$2:$W$1001,MATCH(ROWS($V$2:V737),$V$2:$V$1001,0),1)&gt;=100000,INDEX($AC$1005:$AS$1005,1,MATCH(COLUMNS($AC$1006:AO1006),$AC$1006:$AS$1006,0))&gt;=100000), " ",IF(INDEX($AC$2:$AS$1001,MATCH(ROWS($V$2:V737),$V$2:$V$1001,0),MATCH(COLUMNS($AC$1006:AO1006),$AC$1006:$AS$1006,0)), HYPERLINK("#",""), HYPERLINK(CONCATENATE("#Metadata!", ADDRESS(INDEX($X$2:$X$1001,MATCH(ROWS($V$2:V737),$V$2:$V$1001,0),0), INDEX($AC$1004:$AS$1004,1,MATCH(COLUMNS($AC$1006:AO1006),$AC$1006:$AS$1006,0)))),"Fix")))</f>
        <v>0</v>
      </c>
      <c r="O737" s="5">
        <f>IF(OR(INDEX($W$2:$W$1001,MATCH(ROWS($V$2:V737),$V$2:$V$1001,0),1)&gt;=100000,INDEX($AC$1005:$AS$1005,1,MATCH(COLUMNS($AC$1006:AP1006),$AC$1006:$AS$1006,0))&gt;=100000), " ",IF(INDEX($AC$2:$AS$1001,MATCH(ROWS($V$2:V737),$V$2:$V$1001,0),MATCH(COLUMNS($AC$1006:AP1006),$AC$1006:$AS$1006,0)), HYPERLINK("#",""), HYPERLINK(CONCATENATE("#Metadata!", ADDRESS(INDEX($X$2:$X$1001,MATCH(ROWS($V$2:V737),$V$2:$V$1001,0),0), INDEX($AC$1004:$AS$1004,1,MATCH(COLUMNS($AC$1006:AP1006),$AC$1006:$AS$1006,0)))),"Fix")))</f>
        <v>0</v>
      </c>
      <c r="P737" s="5">
        <f>IF(OR(INDEX($W$2:$W$1001,MATCH(ROWS($V$2:V737),$V$2:$V$1001,0),1)&gt;=100000,INDEX($AC$1005:$AS$1005,1,MATCH(COLUMNS($AC$1006:AQ1006),$AC$1006:$AS$1006,0))&gt;=100000), " ",IF(INDEX($AC$2:$AS$1001,MATCH(ROWS($V$2:V737),$V$2:$V$1001,0),MATCH(COLUMNS($AC$1006:AQ1006),$AC$1006:$AS$1006,0)), HYPERLINK("#",""), HYPERLINK(CONCATENATE("#Metadata!", ADDRESS(INDEX($X$2:$X$1001,MATCH(ROWS($V$2:V737),$V$2:$V$1001,0),0), INDEX($AC$1004:$AS$1004,1,MATCH(COLUMNS($AC$1006:AQ1006),$AC$1006:$AS$1006,0)))),"Fix")))</f>
        <v>0</v>
      </c>
      <c r="Q737" s="5">
        <f>IF(OR(INDEX($W$2:$W$1001,MATCH(ROWS($V$2:V737),$V$2:$V$1001,0),1)&gt;=100000,INDEX($AC$1005:$AS$1005,1,MATCH(COLUMNS($AC$1006:AR1006),$AC$1006:$AS$1006,0))&gt;=100000), " ",IF(INDEX($AC$2:$AS$1001,MATCH(ROWS($V$2:V737),$V$2:$V$1001,0),MATCH(COLUMNS($AC$1006:AR1006),$AC$1006:$AS$1006,0)), HYPERLINK("#",""), HYPERLINK(CONCATENATE("#Metadata!", ADDRESS(INDEX($X$2:$X$1001,MATCH(ROWS($V$2:V737),$V$2:$V$1001,0),0), INDEX($AC$1004:$AS$1004,1,MATCH(COLUMNS($AC$1006:AR1006),$AC$1006:$AS$1006,0)))),"Fix")))</f>
        <v>0</v>
      </c>
      <c r="R737" s="5">
        <f>IF(OR(INDEX($W$2:$W$1001,MATCH(ROWS($V$2:V737),$V$2:$V$1001,0),1)&gt;=100000,INDEX($AC$1005:$AS$1005,1,MATCH(COLUMNS($AC$1006:AS1006),$AC$1006:$AS$1006,0))&gt;=100000), " ",IF(INDEX($AC$2:$AS$1001,MATCH(ROWS($V$2:V737),$V$2:$V$1001,0),MATCH(COLUMNS($AC$1006:AS1006),$AC$1006:$AS$1006,0)), HYPERLINK("#",""), HYPERLINK(CONCATENATE("#Metadata!", ADDRESS(INDEX($X$2:$X$1001,MATCH(ROWS($V$2:V737),$V$2:$V$1001,0),0), INDEX($AC$1004:$AS$1004,1,MATCH(COLUMNS($AC$1006:AS1006),$AC$1006:$AS$1006,0)))),"Fix")))</f>
        <v>0</v>
      </c>
      <c r="V737">
        <v>0</v>
      </c>
      <c r="W737">
        <v>0</v>
      </c>
      <c r="X737">
        <v>0</v>
      </c>
      <c r="Y737">
        <f>IF(Z737,TRUE,AND(AC737:AS737))</f>
        <v>0</v>
      </c>
      <c r="Z737">
        <f>COUNTBLANK(Metadata!B737:R737)=COLUMNS(Metadata!B737:R737)</f>
        <v>0</v>
      </c>
      <c r="AA737">
        <v>0</v>
      </c>
      <c r="AC737">
        <f>AND(IF(Metadata!B737="",FALSE,TRUE),COUNTIF(Metadata!B:B, Metadata!B737) = 1,NOT(ISERROR(SUMPRODUCT(SEARCH(MID(Metadata!B737,ROW(INDIRECT("1:"&amp;LEN(Metadata!B737))), 1),"0123456789abcdefghijklmnopqrstuvwxyzABCDEFGHIJKLMNOPQRSTUVWXYZ.")))))</f>
        <v>0</v>
      </c>
      <c r="AD737">
        <f>AND(IF(Metadata!C737="",FALSE,TRUE),exact(Metadata!C737,"Host-associated"))</f>
        <v>0</v>
      </c>
      <c r="AE737">
        <f>AND(IF(Metadata!D737="",FALSE,TRUE),OR(exact(Metadata!D737,"Animal"),exact(Metadata!D737,"Fungus"),exact(Metadata!D737,"Plant")))</f>
        <v>0</v>
      </c>
      <c r="AF737">
        <f>AND(IF(Metadata!E737="",FALSE,TRUE),OR(exact(Metadata!E737,"Plant secretion"),exact(Metadata!E737,"Plant rhizosphere"),exact(Metadata!E737,"Plant surface"),exact(Metadata!E737,"Plant corpus"),exact(Metadata!E737,"Fungus surface"),exact(Metadata!E737,"Fungus corpus"),exact(Metadata!E737,"Animal surface"),exact(Metadata!E737,"Animal proximal gut"),exact(Metadata!E737,"Animal corpus"),exact(Metadata!E737,"Animal distal gut"),exact(Metadata!E737,"Animal secretion")))</f>
        <v>0</v>
      </c>
      <c r="AG737">
        <f>OR(AND(IF(Metadata!F737="",FALSE,TRUE),OR(exact(Metadata!F737,"not collected"),exact(Metadata!F737,"not provided"),exact(Metadata!F737,"restricted access"))),AND(IF(Metadata!F737="",FALSE,TRUE),OR(exact(Metadata!F737,"organism-associated habitat"),exact(Metadata!F737,"plant-associated habitat"),exact(Metadata!F737,"animal-associated habitat"),exact(Metadata!F737,"insecta-associated habitat"),exact(Metadata!F737,"mammalia-associated habitat"),exact(Metadata!F737,"human-associated habitat"),exact(Metadata!F737,"livestock-associated habitat"))))</f>
        <v>0</v>
      </c>
      <c r="AH737">
        <f>AND(IF(Metadata!G737="",FALSE,TRUE),exact(Metadata!G737,"host-associated"))</f>
        <v>0</v>
      </c>
      <c r="AI737">
        <f>OR(AND(IF(Metadata!H737="",FALSE,TRUE),OR(exact(Metadata!H737,"not collected"),exact(Metadata!H737,"not provided"))),AND(IF(Metadata!H737="",FALSE,ISNUMBER(VALUE(Metadata!H737))),Metadata!H737&gt;0))</f>
        <v>0</v>
      </c>
      <c r="AJ737">
        <f>AND(IF(Metadata!I737="",FALSE,TRUE),exact(Metadata!I737,"years"))</f>
        <v>0</v>
      </c>
      <c r="AK737">
        <f>IF(Metadata!J737="",FALSE,TRUE)</f>
        <v>0</v>
      </c>
      <c r="AL737">
        <f>OR(AND(IF(Metadata!K737="",FALSE,TRUE),OR(exact(Metadata!K737,"not collected"),exact(Metadata!K737,"not provided"))),AND(IF(Metadata!K737="",FALSE,ISNUMBER(VALUE(Metadata!K737))),Metadata!K737&gt;0))</f>
        <v>0</v>
      </c>
      <c r="AM737">
        <f>AND(IF(Metadata!L737="",FALSE,TRUE),exact(Metadata!L737,"cm"))</f>
        <v>0</v>
      </c>
      <c r="AN737">
        <f>IF(Metadata!M737="",FALSE,TRUE)</f>
        <v>0</v>
      </c>
      <c r="AO737">
        <f>OR(AND(IF(Metadata!N737="",FALSE,TRUE),OR(exact(Metadata!N737,"not applicable"),exact(Metadata!N737,"not collected"),exact(Metadata!N737,"not provided"))),AND(IF(Metadata!N737="",FALSE,IF(ISERROR(INT(Metadata!N737)),FALSE,INT(Metadata!N737)=Metadata!N737)),Metadata!N737&gt;0))</f>
        <v>0</v>
      </c>
      <c r="AP737">
        <f>OR(AND(IF(Metadata!O737="",FALSE,TRUE),OR(exact(Metadata!O737,"not collected"),exact(Metadata!O737,"not provided"))),AND(IF(Metadata!O737="",FALSE,ISNUMBER(VALUE(Metadata!O737))),Metadata!O737&gt;0))</f>
        <v>0</v>
      </c>
      <c r="AQ737">
        <f>AND(IF(Metadata!P737="",FALSE,TRUE),exact(Metadata!P737,"kg"))</f>
        <v>0</v>
      </c>
      <c r="AR737">
        <f>OR(AND(IF(Metadata!Q737="",FALSE,TRUE),OR(exact(Metadata!Q737,"not applicable"),exact(Metadata!Q737,"not collected"),exact(Metadata!Q737,"not provided"),exact(Metadata!Q737,"restricted access"))),IF(Metadata!Q737="",FALSE,IF(ISERROR(INT(Metadata!Q737)),FALSE,INT(Metadata!Q737)=Metadata!Q737)))</f>
        <v>0</v>
      </c>
      <c r="AS737">
        <f>AND(IF(Metadata!R737="",FALSE,TRUE),exact(Metadata!R737,"Not applicable"))</f>
        <v>0</v>
      </c>
    </row>
    <row r="738" spans="1:45">
      <c r="A738" s="4">
        <f>IF(B738=" "," ",HYPERLINK(CONCATENATE("#metadata!",ADDRESS(INDEX($X$2:$X$1001,MATCH(ROWS($V$2:V738),$V$2:$V$1001,0),0),2)),INDEX($AA$2:$AA$1001,MATCH(ROWS($V$2:V738),$V$2:$V$1001,0),0)))</f>
        <v>0</v>
      </c>
      <c r="B738" s="5">
        <f>IF(OR(INDEX($W$2:$W$1001,MATCH(ROWS($V$2:V738),$V$2:$V$1001,0),1)&gt;=100000,INDEX($AC$1005:$AS$1005,1,MATCH(COLUMNS($AC$1006:AC1006),$AC$1006:$AS$1006,0))&gt;=100000), " ",IF(INDEX($AC$2:$AS$1001,MATCH(ROWS($V$2:V738),$V$2:$V$1001,0),MATCH(COLUMNS($AC$1006:AC1006),$AC$1006:$AS$1006,0)), HYPERLINK("#",""), HYPERLINK(CONCATENATE("#Metadata!", ADDRESS(INDEX($X$2:$X$1001,MATCH(ROWS($V$2:V738),$V$2:$V$1001,0),0), INDEX($AC$1004:$AS$1004,1,MATCH(COLUMNS($AC$1006:AC1006),$AC$1006:$AS$1006,0)))),"Fix")))</f>
        <v>0</v>
      </c>
      <c r="C738" s="5">
        <f>IF(OR(INDEX($W$2:$W$1001,MATCH(ROWS($V$2:V738),$V$2:$V$1001,0),1)&gt;=100000,INDEX($AC$1005:$AS$1005,1,MATCH(COLUMNS($AC$1006:AD1006),$AC$1006:$AS$1006,0))&gt;=100000), " ",IF(INDEX($AC$2:$AS$1001,MATCH(ROWS($V$2:V738),$V$2:$V$1001,0),MATCH(COLUMNS($AC$1006:AD1006),$AC$1006:$AS$1006,0)), HYPERLINK("#",""), HYPERLINK(CONCATENATE("#Metadata!", ADDRESS(INDEX($X$2:$X$1001,MATCH(ROWS($V$2:V738),$V$2:$V$1001,0),0), INDEX($AC$1004:$AS$1004,1,MATCH(COLUMNS($AC$1006:AD1006),$AC$1006:$AS$1006,0)))),"Fix")))</f>
        <v>0</v>
      </c>
      <c r="D738" s="5">
        <f>IF(OR(INDEX($W$2:$W$1001,MATCH(ROWS($V$2:V738),$V$2:$V$1001,0),1)&gt;=100000,INDEX($AC$1005:$AS$1005,1,MATCH(COLUMNS($AC$1006:AE1006),$AC$1006:$AS$1006,0))&gt;=100000), " ",IF(INDEX($AC$2:$AS$1001,MATCH(ROWS($V$2:V738),$V$2:$V$1001,0),MATCH(COLUMNS($AC$1006:AE1006),$AC$1006:$AS$1006,0)), HYPERLINK("#",""), HYPERLINK(CONCATENATE("#Metadata!", ADDRESS(INDEX($X$2:$X$1001,MATCH(ROWS($V$2:V738),$V$2:$V$1001,0),0), INDEX($AC$1004:$AS$1004,1,MATCH(COLUMNS($AC$1006:AE1006),$AC$1006:$AS$1006,0)))),"Fix")))</f>
        <v>0</v>
      </c>
      <c r="E738" s="5">
        <f>IF(OR(INDEX($W$2:$W$1001,MATCH(ROWS($V$2:V738),$V$2:$V$1001,0),1)&gt;=100000,INDEX($AC$1005:$AS$1005,1,MATCH(COLUMNS($AC$1006:AF1006),$AC$1006:$AS$1006,0))&gt;=100000), " ",IF(INDEX($AC$2:$AS$1001,MATCH(ROWS($V$2:V738),$V$2:$V$1001,0),MATCH(COLUMNS($AC$1006:AF1006),$AC$1006:$AS$1006,0)), HYPERLINK("#",""), HYPERLINK(CONCATENATE("#Metadata!", ADDRESS(INDEX($X$2:$X$1001,MATCH(ROWS($V$2:V738),$V$2:$V$1001,0),0), INDEX($AC$1004:$AS$1004,1,MATCH(COLUMNS($AC$1006:AF1006),$AC$1006:$AS$1006,0)))),"Fix")))</f>
        <v>0</v>
      </c>
      <c r="F738" s="5">
        <f>IF(OR(INDEX($W$2:$W$1001,MATCH(ROWS($V$2:V738),$V$2:$V$1001,0),1)&gt;=100000,INDEX($AC$1005:$AS$1005,1,MATCH(COLUMNS($AC$1006:AG1006),$AC$1006:$AS$1006,0))&gt;=100000), " ",IF(INDEX($AC$2:$AS$1001,MATCH(ROWS($V$2:V738),$V$2:$V$1001,0),MATCH(COLUMNS($AC$1006:AG1006),$AC$1006:$AS$1006,0)), HYPERLINK("#",""), HYPERLINK(CONCATENATE("#Metadata!", ADDRESS(INDEX($X$2:$X$1001,MATCH(ROWS($V$2:V738),$V$2:$V$1001,0),0), INDEX($AC$1004:$AS$1004,1,MATCH(COLUMNS($AC$1006:AG1006),$AC$1006:$AS$1006,0)))),"Fix")))</f>
        <v>0</v>
      </c>
      <c r="G738" s="5">
        <f>IF(OR(INDEX($W$2:$W$1001,MATCH(ROWS($V$2:V738),$V$2:$V$1001,0),1)&gt;=100000,INDEX($AC$1005:$AS$1005,1,MATCH(COLUMNS($AC$1006:AH1006),$AC$1006:$AS$1006,0))&gt;=100000), " ",IF(INDEX($AC$2:$AS$1001,MATCH(ROWS($V$2:V738),$V$2:$V$1001,0),MATCH(COLUMNS($AC$1006:AH1006),$AC$1006:$AS$1006,0)), HYPERLINK("#",""), HYPERLINK(CONCATENATE("#Metadata!", ADDRESS(INDEX($X$2:$X$1001,MATCH(ROWS($V$2:V738),$V$2:$V$1001,0),0), INDEX($AC$1004:$AS$1004,1,MATCH(COLUMNS($AC$1006:AH1006),$AC$1006:$AS$1006,0)))),"Fix")))</f>
        <v>0</v>
      </c>
      <c r="H738" s="5">
        <f>IF(OR(INDEX($W$2:$W$1001,MATCH(ROWS($V$2:V738),$V$2:$V$1001,0),1)&gt;=100000,INDEX($AC$1005:$AS$1005,1,MATCH(COLUMNS($AC$1006:AI1006),$AC$1006:$AS$1006,0))&gt;=100000), " ",IF(INDEX($AC$2:$AS$1001,MATCH(ROWS($V$2:V738),$V$2:$V$1001,0),MATCH(COLUMNS($AC$1006:AI1006),$AC$1006:$AS$1006,0)), HYPERLINK("#",""), HYPERLINK(CONCATENATE("#Metadata!", ADDRESS(INDEX($X$2:$X$1001,MATCH(ROWS($V$2:V738),$V$2:$V$1001,0),0), INDEX($AC$1004:$AS$1004,1,MATCH(COLUMNS($AC$1006:AI1006),$AC$1006:$AS$1006,0)))),"Fix")))</f>
        <v>0</v>
      </c>
      <c r="I738" s="5">
        <f>IF(OR(INDEX($W$2:$W$1001,MATCH(ROWS($V$2:V738),$V$2:$V$1001,0),1)&gt;=100000,INDEX($AC$1005:$AS$1005,1,MATCH(COLUMNS($AC$1006:AJ1006),$AC$1006:$AS$1006,0))&gt;=100000), " ",IF(INDEX($AC$2:$AS$1001,MATCH(ROWS($V$2:V738),$V$2:$V$1001,0),MATCH(COLUMNS($AC$1006:AJ1006),$AC$1006:$AS$1006,0)), HYPERLINK("#",""), HYPERLINK(CONCATENATE("#Metadata!", ADDRESS(INDEX($X$2:$X$1001,MATCH(ROWS($V$2:V738),$V$2:$V$1001,0),0), INDEX($AC$1004:$AS$1004,1,MATCH(COLUMNS($AC$1006:AJ1006),$AC$1006:$AS$1006,0)))),"Fix")))</f>
        <v>0</v>
      </c>
      <c r="J738" s="5">
        <f>IF(OR(INDEX($W$2:$W$1001,MATCH(ROWS($V$2:V738),$V$2:$V$1001,0),1)&gt;=100000,INDEX($AC$1005:$AS$1005,1,MATCH(COLUMNS($AC$1006:AK1006),$AC$1006:$AS$1006,0))&gt;=100000), " ",IF(INDEX($AC$2:$AS$1001,MATCH(ROWS($V$2:V738),$V$2:$V$1001,0),MATCH(COLUMNS($AC$1006:AK1006),$AC$1006:$AS$1006,0)), HYPERLINK("#",""), HYPERLINK(CONCATENATE("#Metadata!", ADDRESS(INDEX($X$2:$X$1001,MATCH(ROWS($V$2:V738),$V$2:$V$1001,0),0), INDEX($AC$1004:$AS$1004,1,MATCH(COLUMNS($AC$1006:AK1006),$AC$1006:$AS$1006,0)))),"Fix")))</f>
        <v>0</v>
      </c>
      <c r="K738" s="5">
        <f>IF(OR(INDEX($W$2:$W$1001,MATCH(ROWS($V$2:V738),$V$2:$V$1001,0),1)&gt;=100000,INDEX($AC$1005:$AS$1005,1,MATCH(COLUMNS($AC$1006:AL1006),$AC$1006:$AS$1006,0))&gt;=100000), " ",IF(INDEX($AC$2:$AS$1001,MATCH(ROWS($V$2:V738),$V$2:$V$1001,0),MATCH(COLUMNS($AC$1006:AL1006),$AC$1006:$AS$1006,0)), HYPERLINK("#",""), HYPERLINK(CONCATENATE("#Metadata!", ADDRESS(INDEX($X$2:$X$1001,MATCH(ROWS($V$2:V738),$V$2:$V$1001,0),0), INDEX($AC$1004:$AS$1004,1,MATCH(COLUMNS($AC$1006:AL1006),$AC$1006:$AS$1006,0)))),"Fix")))</f>
        <v>0</v>
      </c>
      <c r="L738" s="5">
        <f>IF(OR(INDEX($W$2:$W$1001,MATCH(ROWS($V$2:V738),$V$2:$V$1001,0),1)&gt;=100000,INDEX($AC$1005:$AS$1005,1,MATCH(COLUMNS($AC$1006:AM1006),$AC$1006:$AS$1006,0))&gt;=100000), " ",IF(INDEX($AC$2:$AS$1001,MATCH(ROWS($V$2:V738),$V$2:$V$1001,0),MATCH(COLUMNS($AC$1006:AM1006),$AC$1006:$AS$1006,0)), HYPERLINK("#",""), HYPERLINK(CONCATENATE("#Metadata!", ADDRESS(INDEX($X$2:$X$1001,MATCH(ROWS($V$2:V738),$V$2:$V$1001,0),0), INDEX($AC$1004:$AS$1004,1,MATCH(COLUMNS($AC$1006:AM1006),$AC$1006:$AS$1006,0)))),"Fix")))</f>
        <v>0</v>
      </c>
      <c r="M738" s="5">
        <f>IF(OR(INDEX($W$2:$W$1001,MATCH(ROWS($V$2:V738),$V$2:$V$1001,0),1)&gt;=100000,INDEX($AC$1005:$AS$1005,1,MATCH(COLUMNS($AC$1006:AN1006),$AC$1006:$AS$1006,0))&gt;=100000), " ",IF(INDEX($AC$2:$AS$1001,MATCH(ROWS($V$2:V738),$V$2:$V$1001,0),MATCH(COLUMNS($AC$1006:AN1006),$AC$1006:$AS$1006,0)), HYPERLINK("#",""), HYPERLINK(CONCATENATE("#Metadata!", ADDRESS(INDEX($X$2:$X$1001,MATCH(ROWS($V$2:V738),$V$2:$V$1001,0),0), INDEX($AC$1004:$AS$1004,1,MATCH(COLUMNS($AC$1006:AN1006),$AC$1006:$AS$1006,0)))),"Fix")))</f>
        <v>0</v>
      </c>
      <c r="N738" s="5">
        <f>IF(OR(INDEX($W$2:$W$1001,MATCH(ROWS($V$2:V738),$V$2:$V$1001,0),1)&gt;=100000,INDEX($AC$1005:$AS$1005,1,MATCH(COLUMNS($AC$1006:AO1006),$AC$1006:$AS$1006,0))&gt;=100000), " ",IF(INDEX($AC$2:$AS$1001,MATCH(ROWS($V$2:V738),$V$2:$V$1001,0),MATCH(COLUMNS($AC$1006:AO1006),$AC$1006:$AS$1006,0)), HYPERLINK("#",""), HYPERLINK(CONCATENATE("#Metadata!", ADDRESS(INDEX($X$2:$X$1001,MATCH(ROWS($V$2:V738),$V$2:$V$1001,0),0), INDEX($AC$1004:$AS$1004,1,MATCH(COLUMNS($AC$1006:AO1006),$AC$1006:$AS$1006,0)))),"Fix")))</f>
        <v>0</v>
      </c>
      <c r="O738" s="5">
        <f>IF(OR(INDEX($W$2:$W$1001,MATCH(ROWS($V$2:V738),$V$2:$V$1001,0),1)&gt;=100000,INDEX($AC$1005:$AS$1005,1,MATCH(COLUMNS($AC$1006:AP1006),$AC$1006:$AS$1006,0))&gt;=100000), " ",IF(INDEX($AC$2:$AS$1001,MATCH(ROWS($V$2:V738),$V$2:$V$1001,0),MATCH(COLUMNS($AC$1006:AP1006),$AC$1006:$AS$1006,0)), HYPERLINK("#",""), HYPERLINK(CONCATENATE("#Metadata!", ADDRESS(INDEX($X$2:$X$1001,MATCH(ROWS($V$2:V738),$V$2:$V$1001,0),0), INDEX($AC$1004:$AS$1004,1,MATCH(COLUMNS($AC$1006:AP1006),$AC$1006:$AS$1006,0)))),"Fix")))</f>
        <v>0</v>
      </c>
      <c r="P738" s="5">
        <f>IF(OR(INDEX($W$2:$W$1001,MATCH(ROWS($V$2:V738),$V$2:$V$1001,0),1)&gt;=100000,INDEX($AC$1005:$AS$1005,1,MATCH(COLUMNS($AC$1006:AQ1006),$AC$1006:$AS$1006,0))&gt;=100000), " ",IF(INDEX($AC$2:$AS$1001,MATCH(ROWS($V$2:V738),$V$2:$V$1001,0),MATCH(COLUMNS($AC$1006:AQ1006),$AC$1006:$AS$1006,0)), HYPERLINK("#",""), HYPERLINK(CONCATENATE("#Metadata!", ADDRESS(INDEX($X$2:$X$1001,MATCH(ROWS($V$2:V738),$V$2:$V$1001,0),0), INDEX($AC$1004:$AS$1004,1,MATCH(COLUMNS($AC$1006:AQ1006),$AC$1006:$AS$1006,0)))),"Fix")))</f>
        <v>0</v>
      </c>
      <c r="Q738" s="5">
        <f>IF(OR(INDEX($W$2:$W$1001,MATCH(ROWS($V$2:V738),$V$2:$V$1001,0),1)&gt;=100000,INDEX($AC$1005:$AS$1005,1,MATCH(COLUMNS($AC$1006:AR1006),$AC$1006:$AS$1006,0))&gt;=100000), " ",IF(INDEX($AC$2:$AS$1001,MATCH(ROWS($V$2:V738),$V$2:$V$1001,0),MATCH(COLUMNS($AC$1006:AR1006),$AC$1006:$AS$1006,0)), HYPERLINK("#",""), HYPERLINK(CONCATENATE("#Metadata!", ADDRESS(INDEX($X$2:$X$1001,MATCH(ROWS($V$2:V738),$V$2:$V$1001,0),0), INDEX($AC$1004:$AS$1004,1,MATCH(COLUMNS($AC$1006:AR1006),$AC$1006:$AS$1006,0)))),"Fix")))</f>
        <v>0</v>
      </c>
      <c r="R738" s="5">
        <f>IF(OR(INDEX($W$2:$W$1001,MATCH(ROWS($V$2:V738),$V$2:$V$1001,0),1)&gt;=100000,INDEX($AC$1005:$AS$1005,1,MATCH(COLUMNS($AC$1006:AS1006),$AC$1006:$AS$1006,0))&gt;=100000), " ",IF(INDEX($AC$2:$AS$1001,MATCH(ROWS($V$2:V738),$V$2:$V$1001,0),MATCH(COLUMNS($AC$1006:AS1006),$AC$1006:$AS$1006,0)), HYPERLINK("#",""), HYPERLINK(CONCATENATE("#Metadata!", ADDRESS(INDEX($X$2:$X$1001,MATCH(ROWS($V$2:V738),$V$2:$V$1001,0),0), INDEX($AC$1004:$AS$1004,1,MATCH(COLUMNS($AC$1006:AS1006),$AC$1006:$AS$1006,0)))),"Fix")))</f>
        <v>0</v>
      </c>
      <c r="V738">
        <v>0</v>
      </c>
      <c r="W738">
        <v>0</v>
      </c>
      <c r="X738">
        <v>0</v>
      </c>
      <c r="Y738">
        <f>IF(Z738,TRUE,AND(AC738:AS738))</f>
        <v>0</v>
      </c>
      <c r="Z738">
        <f>COUNTBLANK(Metadata!B738:R738)=COLUMNS(Metadata!B738:R738)</f>
        <v>0</v>
      </c>
      <c r="AA738">
        <v>0</v>
      </c>
      <c r="AC738">
        <f>AND(IF(Metadata!B738="",FALSE,TRUE),COUNTIF(Metadata!B:B, Metadata!B738) = 1,NOT(ISERROR(SUMPRODUCT(SEARCH(MID(Metadata!B738,ROW(INDIRECT("1:"&amp;LEN(Metadata!B738))), 1),"0123456789abcdefghijklmnopqrstuvwxyzABCDEFGHIJKLMNOPQRSTUVWXYZ.")))))</f>
        <v>0</v>
      </c>
      <c r="AD738">
        <f>AND(IF(Metadata!C738="",FALSE,TRUE),exact(Metadata!C738,"Host-associated"))</f>
        <v>0</v>
      </c>
      <c r="AE738">
        <f>AND(IF(Metadata!D738="",FALSE,TRUE),OR(exact(Metadata!D738,"Animal"),exact(Metadata!D738,"Fungus"),exact(Metadata!D738,"Plant")))</f>
        <v>0</v>
      </c>
      <c r="AF738">
        <f>AND(IF(Metadata!E738="",FALSE,TRUE),OR(exact(Metadata!E738,"Plant secretion"),exact(Metadata!E738,"Plant rhizosphere"),exact(Metadata!E738,"Plant surface"),exact(Metadata!E738,"Plant corpus"),exact(Metadata!E738,"Fungus surface"),exact(Metadata!E738,"Fungus corpus"),exact(Metadata!E738,"Animal surface"),exact(Metadata!E738,"Animal proximal gut"),exact(Metadata!E738,"Animal corpus"),exact(Metadata!E738,"Animal distal gut"),exact(Metadata!E738,"Animal secretion")))</f>
        <v>0</v>
      </c>
      <c r="AG738">
        <f>OR(AND(IF(Metadata!F738="",FALSE,TRUE),OR(exact(Metadata!F738,"not collected"),exact(Metadata!F738,"not provided"),exact(Metadata!F738,"restricted access"))),AND(IF(Metadata!F738="",FALSE,TRUE),OR(exact(Metadata!F738,"organism-associated habitat"),exact(Metadata!F738,"plant-associated habitat"),exact(Metadata!F738,"animal-associated habitat"),exact(Metadata!F738,"insecta-associated habitat"),exact(Metadata!F738,"mammalia-associated habitat"),exact(Metadata!F738,"human-associated habitat"),exact(Metadata!F738,"livestock-associated habitat"))))</f>
        <v>0</v>
      </c>
      <c r="AH738">
        <f>AND(IF(Metadata!G738="",FALSE,TRUE),exact(Metadata!G738,"host-associated"))</f>
        <v>0</v>
      </c>
      <c r="AI738">
        <f>OR(AND(IF(Metadata!H738="",FALSE,TRUE),OR(exact(Metadata!H738,"not collected"),exact(Metadata!H738,"not provided"))),AND(IF(Metadata!H738="",FALSE,ISNUMBER(VALUE(Metadata!H738))),Metadata!H738&gt;0))</f>
        <v>0</v>
      </c>
      <c r="AJ738">
        <f>AND(IF(Metadata!I738="",FALSE,TRUE),exact(Metadata!I738,"years"))</f>
        <v>0</v>
      </c>
      <c r="AK738">
        <f>IF(Metadata!J738="",FALSE,TRUE)</f>
        <v>0</v>
      </c>
      <c r="AL738">
        <f>OR(AND(IF(Metadata!K738="",FALSE,TRUE),OR(exact(Metadata!K738,"not collected"),exact(Metadata!K738,"not provided"))),AND(IF(Metadata!K738="",FALSE,ISNUMBER(VALUE(Metadata!K738))),Metadata!K738&gt;0))</f>
        <v>0</v>
      </c>
      <c r="AM738">
        <f>AND(IF(Metadata!L738="",FALSE,TRUE),exact(Metadata!L738,"cm"))</f>
        <v>0</v>
      </c>
      <c r="AN738">
        <f>IF(Metadata!M738="",FALSE,TRUE)</f>
        <v>0</v>
      </c>
      <c r="AO738">
        <f>OR(AND(IF(Metadata!N738="",FALSE,TRUE),OR(exact(Metadata!N738,"not applicable"),exact(Metadata!N738,"not collected"),exact(Metadata!N738,"not provided"))),AND(IF(Metadata!N738="",FALSE,IF(ISERROR(INT(Metadata!N738)),FALSE,INT(Metadata!N738)=Metadata!N738)),Metadata!N738&gt;0))</f>
        <v>0</v>
      </c>
      <c r="AP738">
        <f>OR(AND(IF(Metadata!O738="",FALSE,TRUE),OR(exact(Metadata!O738,"not collected"),exact(Metadata!O738,"not provided"))),AND(IF(Metadata!O738="",FALSE,ISNUMBER(VALUE(Metadata!O738))),Metadata!O738&gt;0))</f>
        <v>0</v>
      </c>
      <c r="AQ738">
        <f>AND(IF(Metadata!P738="",FALSE,TRUE),exact(Metadata!P738,"kg"))</f>
        <v>0</v>
      </c>
      <c r="AR738">
        <f>OR(AND(IF(Metadata!Q738="",FALSE,TRUE),OR(exact(Metadata!Q738,"not applicable"),exact(Metadata!Q738,"not collected"),exact(Metadata!Q738,"not provided"),exact(Metadata!Q738,"restricted access"))),IF(Metadata!Q738="",FALSE,IF(ISERROR(INT(Metadata!Q738)),FALSE,INT(Metadata!Q738)=Metadata!Q738)))</f>
        <v>0</v>
      </c>
      <c r="AS738">
        <f>AND(IF(Metadata!R738="",FALSE,TRUE),exact(Metadata!R738,"Not applicable"))</f>
        <v>0</v>
      </c>
    </row>
    <row r="739" spans="1:45">
      <c r="A739" s="4">
        <f>IF(B739=" "," ",HYPERLINK(CONCATENATE("#metadata!",ADDRESS(INDEX($X$2:$X$1001,MATCH(ROWS($V$2:V739),$V$2:$V$1001,0),0),2)),INDEX($AA$2:$AA$1001,MATCH(ROWS($V$2:V739),$V$2:$V$1001,0),0)))</f>
        <v>0</v>
      </c>
      <c r="B739" s="5">
        <f>IF(OR(INDEX($W$2:$W$1001,MATCH(ROWS($V$2:V739),$V$2:$V$1001,0),1)&gt;=100000,INDEX($AC$1005:$AS$1005,1,MATCH(COLUMNS($AC$1006:AC1006),$AC$1006:$AS$1006,0))&gt;=100000), " ",IF(INDEX($AC$2:$AS$1001,MATCH(ROWS($V$2:V739),$V$2:$V$1001,0),MATCH(COLUMNS($AC$1006:AC1006),$AC$1006:$AS$1006,0)), HYPERLINK("#",""), HYPERLINK(CONCATENATE("#Metadata!", ADDRESS(INDEX($X$2:$X$1001,MATCH(ROWS($V$2:V739),$V$2:$V$1001,0),0), INDEX($AC$1004:$AS$1004,1,MATCH(COLUMNS($AC$1006:AC1006),$AC$1006:$AS$1006,0)))),"Fix")))</f>
        <v>0</v>
      </c>
      <c r="C739" s="5">
        <f>IF(OR(INDEX($W$2:$W$1001,MATCH(ROWS($V$2:V739),$V$2:$V$1001,0),1)&gt;=100000,INDEX($AC$1005:$AS$1005,1,MATCH(COLUMNS($AC$1006:AD1006),$AC$1006:$AS$1006,0))&gt;=100000), " ",IF(INDEX($AC$2:$AS$1001,MATCH(ROWS($V$2:V739),$V$2:$V$1001,0),MATCH(COLUMNS($AC$1006:AD1006),$AC$1006:$AS$1006,0)), HYPERLINK("#",""), HYPERLINK(CONCATENATE("#Metadata!", ADDRESS(INDEX($X$2:$X$1001,MATCH(ROWS($V$2:V739),$V$2:$V$1001,0),0), INDEX($AC$1004:$AS$1004,1,MATCH(COLUMNS($AC$1006:AD1006),$AC$1006:$AS$1006,0)))),"Fix")))</f>
        <v>0</v>
      </c>
      <c r="D739" s="5">
        <f>IF(OR(INDEX($W$2:$W$1001,MATCH(ROWS($V$2:V739),$V$2:$V$1001,0),1)&gt;=100000,INDEX($AC$1005:$AS$1005,1,MATCH(COLUMNS($AC$1006:AE1006),$AC$1006:$AS$1006,0))&gt;=100000), " ",IF(INDEX($AC$2:$AS$1001,MATCH(ROWS($V$2:V739),$V$2:$V$1001,0),MATCH(COLUMNS($AC$1006:AE1006),$AC$1006:$AS$1006,0)), HYPERLINK("#",""), HYPERLINK(CONCATENATE("#Metadata!", ADDRESS(INDEX($X$2:$X$1001,MATCH(ROWS($V$2:V739),$V$2:$V$1001,0),0), INDEX($AC$1004:$AS$1004,1,MATCH(COLUMNS($AC$1006:AE1006),$AC$1006:$AS$1006,0)))),"Fix")))</f>
        <v>0</v>
      </c>
      <c r="E739" s="5">
        <f>IF(OR(INDEX($W$2:$W$1001,MATCH(ROWS($V$2:V739),$V$2:$V$1001,0),1)&gt;=100000,INDEX($AC$1005:$AS$1005,1,MATCH(COLUMNS($AC$1006:AF1006),$AC$1006:$AS$1006,0))&gt;=100000), " ",IF(INDEX($AC$2:$AS$1001,MATCH(ROWS($V$2:V739),$V$2:$V$1001,0),MATCH(COLUMNS($AC$1006:AF1006),$AC$1006:$AS$1006,0)), HYPERLINK("#",""), HYPERLINK(CONCATENATE("#Metadata!", ADDRESS(INDEX($X$2:$X$1001,MATCH(ROWS($V$2:V739),$V$2:$V$1001,0),0), INDEX($AC$1004:$AS$1004,1,MATCH(COLUMNS($AC$1006:AF1006),$AC$1006:$AS$1006,0)))),"Fix")))</f>
        <v>0</v>
      </c>
      <c r="F739" s="5">
        <f>IF(OR(INDEX($W$2:$W$1001,MATCH(ROWS($V$2:V739),$V$2:$V$1001,0),1)&gt;=100000,INDEX($AC$1005:$AS$1005,1,MATCH(COLUMNS($AC$1006:AG1006),$AC$1006:$AS$1006,0))&gt;=100000), " ",IF(INDEX($AC$2:$AS$1001,MATCH(ROWS($V$2:V739),$V$2:$V$1001,0),MATCH(COLUMNS($AC$1006:AG1006),$AC$1006:$AS$1006,0)), HYPERLINK("#",""), HYPERLINK(CONCATENATE("#Metadata!", ADDRESS(INDEX($X$2:$X$1001,MATCH(ROWS($V$2:V739),$V$2:$V$1001,0),0), INDEX($AC$1004:$AS$1004,1,MATCH(COLUMNS($AC$1006:AG1006),$AC$1006:$AS$1006,0)))),"Fix")))</f>
        <v>0</v>
      </c>
      <c r="G739" s="5">
        <f>IF(OR(INDEX($W$2:$W$1001,MATCH(ROWS($V$2:V739),$V$2:$V$1001,0),1)&gt;=100000,INDEX($AC$1005:$AS$1005,1,MATCH(COLUMNS($AC$1006:AH1006),$AC$1006:$AS$1006,0))&gt;=100000), " ",IF(INDEX($AC$2:$AS$1001,MATCH(ROWS($V$2:V739),$V$2:$V$1001,0),MATCH(COLUMNS($AC$1006:AH1006),$AC$1006:$AS$1006,0)), HYPERLINK("#",""), HYPERLINK(CONCATENATE("#Metadata!", ADDRESS(INDEX($X$2:$X$1001,MATCH(ROWS($V$2:V739),$V$2:$V$1001,0),0), INDEX($AC$1004:$AS$1004,1,MATCH(COLUMNS($AC$1006:AH1006),$AC$1006:$AS$1006,0)))),"Fix")))</f>
        <v>0</v>
      </c>
      <c r="H739" s="5">
        <f>IF(OR(INDEX($W$2:$W$1001,MATCH(ROWS($V$2:V739),$V$2:$V$1001,0),1)&gt;=100000,INDEX($AC$1005:$AS$1005,1,MATCH(COLUMNS($AC$1006:AI1006),$AC$1006:$AS$1006,0))&gt;=100000), " ",IF(INDEX($AC$2:$AS$1001,MATCH(ROWS($V$2:V739),$V$2:$V$1001,0),MATCH(COLUMNS($AC$1006:AI1006),$AC$1006:$AS$1006,0)), HYPERLINK("#",""), HYPERLINK(CONCATENATE("#Metadata!", ADDRESS(INDEX($X$2:$X$1001,MATCH(ROWS($V$2:V739),$V$2:$V$1001,0),0), INDEX($AC$1004:$AS$1004,1,MATCH(COLUMNS($AC$1006:AI1006),$AC$1006:$AS$1006,0)))),"Fix")))</f>
        <v>0</v>
      </c>
      <c r="I739" s="5">
        <f>IF(OR(INDEX($W$2:$W$1001,MATCH(ROWS($V$2:V739),$V$2:$V$1001,0),1)&gt;=100000,INDEX($AC$1005:$AS$1005,1,MATCH(COLUMNS($AC$1006:AJ1006),$AC$1006:$AS$1006,0))&gt;=100000), " ",IF(INDEX($AC$2:$AS$1001,MATCH(ROWS($V$2:V739),$V$2:$V$1001,0),MATCH(COLUMNS($AC$1006:AJ1006),$AC$1006:$AS$1006,0)), HYPERLINK("#",""), HYPERLINK(CONCATENATE("#Metadata!", ADDRESS(INDEX($X$2:$X$1001,MATCH(ROWS($V$2:V739),$V$2:$V$1001,0),0), INDEX($AC$1004:$AS$1004,1,MATCH(COLUMNS($AC$1006:AJ1006),$AC$1006:$AS$1006,0)))),"Fix")))</f>
        <v>0</v>
      </c>
      <c r="J739" s="5">
        <f>IF(OR(INDEX($W$2:$W$1001,MATCH(ROWS($V$2:V739),$V$2:$V$1001,0),1)&gt;=100000,INDEX($AC$1005:$AS$1005,1,MATCH(COLUMNS($AC$1006:AK1006),$AC$1006:$AS$1006,0))&gt;=100000), " ",IF(INDEX($AC$2:$AS$1001,MATCH(ROWS($V$2:V739),$V$2:$V$1001,0),MATCH(COLUMNS($AC$1006:AK1006),$AC$1006:$AS$1006,0)), HYPERLINK("#",""), HYPERLINK(CONCATENATE("#Metadata!", ADDRESS(INDEX($X$2:$X$1001,MATCH(ROWS($V$2:V739),$V$2:$V$1001,0),0), INDEX($AC$1004:$AS$1004,1,MATCH(COLUMNS($AC$1006:AK1006),$AC$1006:$AS$1006,0)))),"Fix")))</f>
        <v>0</v>
      </c>
      <c r="K739" s="5">
        <f>IF(OR(INDEX($W$2:$W$1001,MATCH(ROWS($V$2:V739),$V$2:$V$1001,0),1)&gt;=100000,INDEX($AC$1005:$AS$1005,1,MATCH(COLUMNS($AC$1006:AL1006),$AC$1006:$AS$1006,0))&gt;=100000), " ",IF(INDEX($AC$2:$AS$1001,MATCH(ROWS($V$2:V739),$V$2:$V$1001,0),MATCH(COLUMNS($AC$1006:AL1006),$AC$1006:$AS$1006,0)), HYPERLINK("#",""), HYPERLINK(CONCATENATE("#Metadata!", ADDRESS(INDEX($X$2:$X$1001,MATCH(ROWS($V$2:V739),$V$2:$V$1001,0),0), INDEX($AC$1004:$AS$1004,1,MATCH(COLUMNS($AC$1006:AL1006),$AC$1006:$AS$1006,0)))),"Fix")))</f>
        <v>0</v>
      </c>
      <c r="L739" s="5">
        <f>IF(OR(INDEX($W$2:$W$1001,MATCH(ROWS($V$2:V739),$V$2:$V$1001,0),1)&gt;=100000,INDEX($AC$1005:$AS$1005,1,MATCH(COLUMNS($AC$1006:AM1006),$AC$1006:$AS$1006,0))&gt;=100000), " ",IF(INDEX($AC$2:$AS$1001,MATCH(ROWS($V$2:V739),$V$2:$V$1001,0),MATCH(COLUMNS($AC$1006:AM1006),$AC$1006:$AS$1006,0)), HYPERLINK("#",""), HYPERLINK(CONCATENATE("#Metadata!", ADDRESS(INDEX($X$2:$X$1001,MATCH(ROWS($V$2:V739),$V$2:$V$1001,0),0), INDEX($AC$1004:$AS$1004,1,MATCH(COLUMNS($AC$1006:AM1006),$AC$1006:$AS$1006,0)))),"Fix")))</f>
        <v>0</v>
      </c>
      <c r="M739" s="5">
        <f>IF(OR(INDEX($W$2:$W$1001,MATCH(ROWS($V$2:V739),$V$2:$V$1001,0),1)&gt;=100000,INDEX($AC$1005:$AS$1005,1,MATCH(COLUMNS($AC$1006:AN1006),$AC$1006:$AS$1006,0))&gt;=100000), " ",IF(INDEX($AC$2:$AS$1001,MATCH(ROWS($V$2:V739),$V$2:$V$1001,0),MATCH(COLUMNS($AC$1006:AN1006),$AC$1006:$AS$1006,0)), HYPERLINK("#",""), HYPERLINK(CONCATENATE("#Metadata!", ADDRESS(INDEX($X$2:$X$1001,MATCH(ROWS($V$2:V739),$V$2:$V$1001,0),0), INDEX($AC$1004:$AS$1004,1,MATCH(COLUMNS($AC$1006:AN1006),$AC$1006:$AS$1006,0)))),"Fix")))</f>
        <v>0</v>
      </c>
      <c r="N739" s="5">
        <f>IF(OR(INDEX($W$2:$W$1001,MATCH(ROWS($V$2:V739),$V$2:$V$1001,0),1)&gt;=100000,INDEX($AC$1005:$AS$1005,1,MATCH(COLUMNS($AC$1006:AO1006),$AC$1006:$AS$1006,0))&gt;=100000), " ",IF(INDEX($AC$2:$AS$1001,MATCH(ROWS($V$2:V739),$V$2:$V$1001,0),MATCH(COLUMNS($AC$1006:AO1006),$AC$1006:$AS$1006,0)), HYPERLINK("#",""), HYPERLINK(CONCATENATE("#Metadata!", ADDRESS(INDEX($X$2:$X$1001,MATCH(ROWS($V$2:V739),$V$2:$V$1001,0),0), INDEX($AC$1004:$AS$1004,1,MATCH(COLUMNS($AC$1006:AO1006),$AC$1006:$AS$1006,0)))),"Fix")))</f>
        <v>0</v>
      </c>
      <c r="O739" s="5">
        <f>IF(OR(INDEX($W$2:$W$1001,MATCH(ROWS($V$2:V739),$V$2:$V$1001,0),1)&gt;=100000,INDEX($AC$1005:$AS$1005,1,MATCH(COLUMNS($AC$1006:AP1006),$AC$1006:$AS$1006,0))&gt;=100000), " ",IF(INDEX($AC$2:$AS$1001,MATCH(ROWS($V$2:V739),$V$2:$V$1001,0),MATCH(COLUMNS($AC$1006:AP1006),$AC$1006:$AS$1006,0)), HYPERLINK("#",""), HYPERLINK(CONCATENATE("#Metadata!", ADDRESS(INDEX($X$2:$X$1001,MATCH(ROWS($V$2:V739),$V$2:$V$1001,0),0), INDEX($AC$1004:$AS$1004,1,MATCH(COLUMNS($AC$1006:AP1006),$AC$1006:$AS$1006,0)))),"Fix")))</f>
        <v>0</v>
      </c>
      <c r="P739" s="5">
        <f>IF(OR(INDEX($W$2:$W$1001,MATCH(ROWS($V$2:V739),$V$2:$V$1001,0),1)&gt;=100000,INDEX($AC$1005:$AS$1005,1,MATCH(COLUMNS($AC$1006:AQ1006),$AC$1006:$AS$1006,0))&gt;=100000), " ",IF(INDEX($AC$2:$AS$1001,MATCH(ROWS($V$2:V739),$V$2:$V$1001,0),MATCH(COLUMNS($AC$1006:AQ1006),$AC$1006:$AS$1006,0)), HYPERLINK("#",""), HYPERLINK(CONCATENATE("#Metadata!", ADDRESS(INDEX($X$2:$X$1001,MATCH(ROWS($V$2:V739),$V$2:$V$1001,0),0), INDEX($AC$1004:$AS$1004,1,MATCH(COLUMNS($AC$1006:AQ1006),$AC$1006:$AS$1006,0)))),"Fix")))</f>
        <v>0</v>
      </c>
      <c r="Q739" s="5">
        <f>IF(OR(INDEX($W$2:$W$1001,MATCH(ROWS($V$2:V739),$V$2:$V$1001,0),1)&gt;=100000,INDEX($AC$1005:$AS$1005,1,MATCH(COLUMNS($AC$1006:AR1006),$AC$1006:$AS$1006,0))&gt;=100000), " ",IF(INDEX($AC$2:$AS$1001,MATCH(ROWS($V$2:V739),$V$2:$V$1001,0),MATCH(COLUMNS($AC$1006:AR1006),$AC$1006:$AS$1006,0)), HYPERLINK("#",""), HYPERLINK(CONCATENATE("#Metadata!", ADDRESS(INDEX($X$2:$X$1001,MATCH(ROWS($V$2:V739),$V$2:$V$1001,0),0), INDEX($AC$1004:$AS$1004,1,MATCH(COLUMNS($AC$1006:AR1006),$AC$1006:$AS$1006,0)))),"Fix")))</f>
        <v>0</v>
      </c>
      <c r="R739" s="5">
        <f>IF(OR(INDEX($W$2:$W$1001,MATCH(ROWS($V$2:V739),$V$2:$V$1001,0),1)&gt;=100000,INDEX($AC$1005:$AS$1005,1,MATCH(COLUMNS($AC$1006:AS1006),$AC$1006:$AS$1006,0))&gt;=100000), " ",IF(INDEX($AC$2:$AS$1001,MATCH(ROWS($V$2:V739),$V$2:$V$1001,0),MATCH(COLUMNS($AC$1006:AS1006),$AC$1006:$AS$1006,0)), HYPERLINK("#",""), HYPERLINK(CONCATENATE("#Metadata!", ADDRESS(INDEX($X$2:$X$1001,MATCH(ROWS($V$2:V739),$V$2:$V$1001,0),0), INDEX($AC$1004:$AS$1004,1,MATCH(COLUMNS($AC$1006:AS1006),$AC$1006:$AS$1006,0)))),"Fix")))</f>
        <v>0</v>
      </c>
      <c r="V739">
        <v>0</v>
      </c>
      <c r="W739">
        <v>0</v>
      </c>
      <c r="X739">
        <v>0</v>
      </c>
      <c r="Y739">
        <f>IF(Z739,TRUE,AND(AC739:AS739))</f>
        <v>0</v>
      </c>
      <c r="Z739">
        <f>COUNTBLANK(Metadata!B739:R739)=COLUMNS(Metadata!B739:R739)</f>
        <v>0</v>
      </c>
      <c r="AA739">
        <v>0</v>
      </c>
      <c r="AC739">
        <f>AND(IF(Metadata!B739="",FALSE,TRUE),COUNTIF(Metadata!B:B, Metadata!B739) = 1,NOT(ISERROR(SUMPRODUCT(SEARCH(MID(Metadata!B739,ROW(INDIRECT("1:"&amp;LEN(Metadata!B739))), 1),"0123456789abcdefghijklmnopqrstuvwxyzABCDEFGHIJKLMNOPQRSTUVWXYZ.")))))</f>
        <v>0</v>
      </c>
      <c r="AD739">
        <f>AND(IF(Metadata!C739="",FALSE,TRUE),exact(Metadata!C739,"Host-associated"))</f>
        <v>0</v>
      </c>
      <c r="AE739">
        <f>AND(IF(Metadata!D739="",FALSE,TRUE),OR(exact(Metadata!D739,"Animal"),exact(Metadata!D739,"Fungus"),exact(Metadata!D739,"Plant")))</f>
        <v>0</v>
      </c>
      <c r="AF739">
        <f>AND(IF(Metadata!E739="",FALSE,TRUE),OR(exact(Metadata!E739,"Plant secretion"),exact(Metadata!E739,"Plant rhizosphere"),exact(Metadata!E739,"Plant surface"),exact(Metadata!E739,"Plant corpus"),exact(Metadata!E739,"Fungus surface"),exact(Metadata!E739,"Fungus corpus"),exact(Metadata!E739,"Animal surface"),exact(Metadata!E739,"Animal proximal gut"),exact(Metadata!E739,"Animal corpus"),exact(Metadata!E739,"Animal distal gut"),exact(Metadata!E739,"Animal secretion")))</f>
        <v>0</v>
      </c>
      <c r="AG739">
        <f>OR(AND(IF(Metadata!F739="",FALSE,TRUE),OR(exact(Metadata!F739,"not collected"),exact(Metadata!F739,"not provided"),exact(Metadata!F739,"restricted access"))),AND(IF(Metadata!F739="",FALSE,TRUE),OR(exact(Metadata!F739,"organism-associated habitat"),exact(Metadata!F739,"plant-associated habitat"),exact(Metadata!F739,"animal-associated habitat"),exact(Metadata!F739,"insecta-associated habitat"),exact(Metadata!F739,"mammalia-associated habitat"),exact(Metadata!F739,"human-associated habitat"),exact(Metadata!F739,"livestock-associated habitat"))))</f>
        <v>0</v>
      </c>
      <c r="AH739">
        <f>AND(IF(Metadata!G739="",FALSE,TRUE),exact(Metadata!G739,"host-associated"))</f>
        <v>0</v>
      </c>
      <c r="AI739">
        <f>OR(AND(IF(Metadata!H739="",FALSE,TRUE),OR(exact(Metadata!H739,"not collected"),exact(Metadata!H739,"not provided"))),AND(IF(Metadata!H739="",FALSE,ISNUMBER(VALUE(Metadata!H739))),Metadata!H739&gt;0))</f>
        <v>0</v>
      </c>
      <c r="AJ739">
        <f>AND(IF(Metadata!I739="",FALSE,TRUE),exact(Metadata!I739,"years"))</f>
        <v>0</v>
      </c>
      <c r="AK739">
        <f>IF(Metadata!J739="",FALSE,TRUE)</f>
        <v>0</v>
      </c>
      <c r="AL739">
        <f>OR(AND(IF(Metadata!K739="",FALSE,TRUE),OR(exact(Metadata!K739,"not collected"),exact(Metadata!K739,"not provided"))),AND(IF(Metadata!K739="",FALSE,ISNUMBER(VALUE(Metadata!K739))),Metadata!K739&gt;0))</f>
        <v>0</v>
      </c>
      <c r="AM739">
        <f>AND(IF(Metadata!L739="",FALSE,TRUE),exact(Metadata!L739,"cm"))</f>
        <v>0</v>
      </c>
      <c r="AN739">
        <f>IF(Metadata!M739="",FALSE,TRUE)</f>
        <v>0</v>
      </c>
      <c r="AO739">
        <f>OR(AND(IF(Metadata!N739="",FALSE,TRUE),OR(exact(Metadata!N739,"not applicable"),exact(Metadata!N739,"not collected"),exact(Metadata!N739,"not provided"))),AND(IF(Metadata!N739="",FALSE,IF(ISERROR(INT(Metadata!N739)),FALSE,INT(Metadata!N739)=Metadata!N739)),Metadata!N739&gt;0))</f>
        <v>0</v>
      </c>
      <c r="AP739">
        <f>OR(AND(IF(Metadata!O739="",FALSE,TRUE),OR(exact(Metadata!O739,"not collected"),exact(Metadata!O739,"not provided"))),AND(IF(Metadata!O739="",FALSE,ISNUMBER(VALUE(Metadata!O739))),Metadata!O739&gt;0))</f>
        <v>0</v>
      </c>
      <c r="AQ739">
        <f>AND(IF(Metadata!P739="",FALSE,TRUE),exact(Metadata!P739,"kg"))</f>
        <v>0</v>
      </c>
      <c r="AR739">
        <f>OR(AND(IF(Metadata!Q739="",FALSE,TRUE),OR(exact(Metadata!Q739,"not applicable"),exact(Metadata!Q739,"not collected"),exact(Metadata!Q739,"not provided"),exact(Metadata!Q739,"restricted access"))),IF(Metadata!Q739="",FALSE,IF(ISERROR(INT(Metadata!Q739)),FALSE,INT(Metadata!Q739)=Metadata!Q739)))</f>
        <v>0</v>
      </c>
      <c r="AS739">
        <f>AND(IF(Metadata!R739="",FALSE,TRUE),exact(Metadata!R739,"Not applicable"))</f>
        <v>0</v>
      </c>
    </row>
    <row r="740" spans="1:45">
      <c r="A740" s="4">
        <f>IF(B740=" "," ",HYPERLINK(CONCATENATE("#metadata!",ADDRESS(INDEX($X$2:$X$1001,MATCH(ROWS($V$2:V740),$V$2:$V$1001,0),0),2)),INDEX($AA$2:$AA$1001,MATCH(ROWS($V$2:V740),$V$2:$V$1001,0),0)))</f>
        <v>0</v>
      </c>
      <c r="B740" s="5">
        <f>IF(OR(INDEX($W$2:$W$1001,MATCH(ROWS($V$2:V740),$V$2:$V$1001,0),1)&gt;=100000,INDEX($AC$1005:$AS$1005,1,MATCH(COLUMNS($AC$1006:AC1006),$AC$1006:$AS$1006,0))&gt;=100000), " ",IF(INDEX($AC$2:$AS$1001,MATCH(ROWS($V$2:V740),$V$2:$V$1001,0),MATCH(COLUMNS($AC$1006:AC1006),$AC$1006:$AS$1006,0)), HYPERLINK("#",""), HYPERLINK(CONCATENATE("#Metadata!", ADDRESS(INDEX($X$2:$X$1001,MATCH(ROWS($V$2:V740),$V$2:$V$1001,0),0), INDEX($AC$1004:$AS$1004,1,MATCH(COLUMNS($AC$1006:AC1006),$AC$1006:$AS$1006,0)))),"Fix")))</f>
        <v>0</v>
      </c>
      <c r="C740" s="5">
        <f>IF(OR(INDEX($W$2:$W$1001,MATCH(ROWS($V$2:V740),$V$2:$V$1001,0),1)&gt;=100000,INDEX($AC$1005:$AS$1005,1,MATCH(COLUMNS($AC$1006:AD1006),$AC$1006:$AS$1006,0))&gt;=100000), " ",IF(INDEX($AC$2:$AS$1001,MATCH(ROWS($V$2:V740),$V$2:$V$1001,0),MATCH(COLUMNS($AC$1006:AD1006),$AC$1006:$AS$1006,0)), HYPERLINK("#",""), HYPERLINK(CONCATENATE("#Metadata!", ADDRESS(INDEX($X$2:$X$1001,MATCH(ROWS($V$2:V740),$V$2:$V$1001,0),0), INDEX($AC$1004:$AS$1004,1,MATCH(COLUMNS($AC$1006:AD1006),$AC$1006:$AS$1006,0)))),"Fix")))</f>
        <v>0</v>
      </c>
      <c r="D740" s="5">
        <f>IF(OR(INDEX($W$2:$W$1001,MATCH(ROWS($V$2:V740),$V$2:$V$1001,0),1)&gt;=100000,INDEX($AC$1005:$AS$1005,1,MATCH(COLUMNS($AC$1006:AE1006),$AC$1006:$AS$1006,0))&gt;=100000), " ",IF(INDEX($AC$2:$AS$1001,MATCH(ROWS($V$2:V740),$V$2:$V$1001,0),MATCH(COLUMNS($AC$1006:AE1006),$AC$1006:$AS$1006,0)), HYPERLINK("#",""), HYPERLINK(CONCATENATE("#Metadata!", ADDRESS(INDEX($X$2:$X$1001,MATCH(ROWS($V$2:V740),$V$2:$V$1001,0),0), INDEX($AC$1004:$AS$1004,1,MATCH(COLUMNS($AC$1006:AE1006),$AC$1006:$AS$1006,0)))),"Fix")))</f>
        <v>0</v>
      </c>
      <c r="E740" s="5">
        <f>IF(OR(INDEX($W$2:$W$1001,MATCH(ROWS($V$2:V740),$V$2:$V$1001,0),1)&gt;=100000,INDEX($AC$1005:$AS$1005,1,MATCH(COLUMNS($AC$1006:AF1006),$AC$1006:$AS$1006,0))&gt;=100000), " ",IF(INDEX($AC$2:$AS$1001,MATCH(ROWS($V$2:V740),$V$2:$V$1001,0),MATCH(COLUMNS($AC$1006:AF1006),$AC$1006:$AS$1006,0)), HYPERLINK("#",""), HYPERLINK(CONCATENATE("#Metadata!", ADDRESS(INDEX($X$2:$X$1001,MATCH(ROWS($V$2:V740),$V$2:$V$1001,0),0), INDEX($AC$1004:$AS$1004,1,MATCH(COLUMNS($AC$1006:AF1006),$AC$1006:$AS$1006,0)))),"Fix")))</f>
        <v>0</v>
      </c>
      <c r="F740" s="5">
        <f>IF(OR(INDEX($W$2:$W$1001,MATCH(ROWS($V$2:V740),$V$2:$V$1001,0),1)&gt;=100000,INDEX($AC$1005:$AS$1005,1,MATCH(COLUMNS($AC$1006:AG1006),$AC$1006:$AS$1006,0))&gt;=100000), " ",IF(INDEX($AC$2:$AS$1001,MATCH(ROWS($V$2:V740),$V$2:$V$1001,0),MATCH(COLUMNS($AC$1006:AG1006),$AC$1006:$AS$1006,0)), HYPERLINK("#",""), HYPERLINK(CONCATENATE("#Metadata!", ADDRESS(INDEX($X$2:$X$1001,MATCH(ROWS($V$2:V740),$V$2:$V$1001,0),0), INDEX($AC$1004:$AS$1004,1,MATCH(COLUMNS($AC$1006:AG1006),$AC$1006:$AS$1006,0)))),"Fix")))</f>
        <v>0</v>
      </c>
      <c r="G740" s="5">
        <f>IF(OR(INDEX($W$2:$W$1001,MATCH(ROWS($V$2:V740),$V$2:$V$1001,0),1)&gt;=100000,INDEX($AC$1005:$AS$1005,1,MATCH(COLUMNS($AC$1006:AH1006),$AC$1006:$AS$1006,0))&gt;=100000), " ",IF(INDEX($AC$2:$AS$1001,MATCH(ROWS($V$2:V740),$V$2:$V$1001,0),MATCH(COLUMNS($AC$1006:AH1006),$AC$1006:$AS$1006,0)), HYPERLINK("#",""), HYPERLINK(CONCATENATE("#Metadata!", ADDRESS(INDEX($X$2:$X$1001,MATCH(ROWS($V$2:V740),$V$2:$V$1001,0),0), INDEX($AC$1004:$AS$1004,1,MATCH(COLUMNS($AC$1006:AH1006),$AC$1006:$AS$1006,0)))),"Fix")))</f>
        <v>0</v>
      </c>
      <c r="H740" s="5">
        <f>IF(OR(INDEX($W$2:$W$1001,MATCH(ROWS($V$2:V740),$V$2:$V$1001,0),1)&gt;=100000,INDEX($AC$1005:$AS$1005,1,MATCH(COLUMNS($AC$1006:AI1006),$AC$1006:$AS$1006,0))&gt;=100000), " ",IF(INDEX($AC$2:$AS$1001,MATCH(ROWS($V$2:V740),$V$2:$V$1001,0),MATCH(COLUMNS($AC$1006:AI1006),$AC$1006:$AS$1006,0)), HYPERLINK("#",""), HYPERLINK(CONCATENATE("#Metadata!", ADDRESS(INDEX($X$2:$X$1001,MATCH(ROWS($V$2:V740),$V$2:$V$1001,0),0), INDEX($AC$1004:$AS$1004,1,MATCH(COLUMNS($AC$1006:AI1006),$AC$1006:$AS$1006,0)))),"Fix")))</f>
        <v>0</v>
      </c>
      <c r="I740" s="5">
        <f>IF(OR(INDEX($W$2:$W$1001,MATCH(ROWS($V$2:V740),$V$2:$V$1001,0),1)&gt;=100000,INDEX($AC$1005:$AS$1005,1,MATCH(COLUMNS($AC$1006:AJ1006),$AC$1006:$AS$1006,0))&gt;=100000), " ",IF(INDEX($AC$2:$AS$1001,MATCH(ROWS($V$2:V740),$V$2:$V$1001,0),MATCH(COLUMNS($AC$1006:AJ1006),$AC$1006:$AS$1006,0)), HYPERLINK("#",""), HYPERLINK(CONCATENATE("#Metadata!", ADDRESS(INDEX($X$2:$X$1001,MATCH(ROWS($V$2:V740),$V$2:$V$1001,0),0), INDEX($AC$1004:$AS$1004,1,MATCH(COLUMNS($AC$1006:AJ1006),$AC$1006:$AS$1006,0)))),"Fix")))</f>
        <v>0</v>
      </c>
      <c r="J740" s="5">
        <f>IF(OR(INDEX($W$2:$W$1001,MATCH(ROWS($V$2:V740),$V$2:$V$1001,0),1)&gt;=100000,INDEX($AC$1005:$AS$1005,1,MATCH(COLUMNS($AC$1006:AK1006),$AC$1006:$AS$1006,0))&gt;=100000), " ",IF(INDEX($AC$2:$AS$1001,MATCH(ROWS($V$2:V740),$V$2:$V$1001,0),MATCH(COLUMNS($AC$1006:AK1006),$AC$1006:$AS$1006,0)), HYPERLINK("#",""), HYPERLINK(CONCATENATE("#Metadata!", ADDRESS(INDEX($X$2:$X$1001,MATCH(ROWS($V$2:V740),$V$2:$V$1001,0),0), INDEX($AC$1004:$AS$1004,1,MATCH(COLUMNS($AC$1006:AK1006),$AC$1006:$AS$1006,0)))),"Fix")))</f>
        <v>0</v>
      </c>
      <c r="K740" s="5">
        <f>IF(OR(INDEX($W$2:$W$1001,MATCH(ROWS($V$2:V740),$V$2:$V$1001,0),1)&gt;=100000,INDEX($AC$1005:$AS$1005,1,MATCH(COLUMNS($AC$1006:AL1006),$AC$1006:$AS$1006,0))&gt;=100000), " ",IF(INDEX($AC$2:$AS$1001,MATCH(ROWS($V$2:V740),$V$2:$V$1001,0),MATCH(COLUMNS($AC$1006:AL1006),$AC$1006:$AS$1006,0)), HYPERLINK("#",""), HYPERLINK(CONCATENATE("#Metadata!", ADDRESS(INDEX($X$2:$X$1001,MATCH(ROWS($V$2:V740),$V$2:$V$1001,0),0), INDEX($AC$1004:$AS$1004,1,MATCH(COLUMNS($AC$1006:AL1006),$AC$1006:$AS$1006,0)))),"Fix")))</f>
        <v>0</v>
      </c>
      <c r="L740" s="5">
        <f>IF(OR(INDEX($W$2:$W$1001,MATCH(ROWS($V$2:V740),$V$2:$V$1001,0),1)&gt;=100000,INDEX($AC$1005:$AS$1005,1,MATCH(COLUMNS($AC$1006:AM1006),$AC$1006:$AS$1006,0))&gt;=100000), " ",IF(INDEX($AC$2:$AS$1001,MATCH(ROWS($V$2:V740),$V$2:$V$1001,0),MATCH(COLUMNS($AC$1006:AM1006),$AC$1006:$AS$1006,0)), HYPERLINK("#",""), HYPERLINK(CONCATENATE("#Metadata!", ADDRESS(INDEX($X$2:$X$1001,MATCH(ROWS($V$2:V740),$V$2:$V$1001,0),0), INDEX($AC$1004:$AS$1004,1,MATCH(COLUMNS($AC$1006:AM1006),$AC$1006:$AS$1006,0)))),"Fix")))</f>
        <v>0</v>
      </c>
      <c r="M740" s="5">
        <f>IF(OR(INDEX($W$2:$W$1001,MATCH(ROWS($V$2:V740),$V$2:$V$1001,0),1)&gt;=100000,INDEX($AC$1005:$AS$1005,1,MATCH(COLUMNS($AC$1006:AN1006),$AC$1006:$AS$1006,0))&gt;=100000), " ",IF(INDEX($AC$2:$AS$1001,MATCH(ROWS($V$2:V740),$V$2:$V$1001,0),MATCH(COLUMNS($AC$1006:AN1006),$AC$1006:$AS$1006,0)), HYPERLINK("#",""), HYPERLINK(CONCATENATE("#Metadata!", ADDRESS(INDEX($X$2:$X$1001,MATCH(ROWS($V$2:V740),$V$2:$V$1001,0),0), INDEX($AC$1004:$AS$1004,1,MATCH(COLUMNS($AC$1006:AN1006),$AC$1006:$AS$1006,0)))),"Fix")))</f>
        <v>0</v>
      </c>
      <c r="N740" s="5">
        <f>IF(OR(INDEX($W$2:$W$1001,MATCH(ROWS($V$2:V740),$V$2:$V$1001,0),1)&gt;=100000,INDEX($AC$1005:$AS$1005,1,MATCH(COLUMNS($AC$1006:AO1006),$AC$1006:$AS$1006,0))&gt;=100000), " ",IF(INDEX($AC$2:$AS$1001,MATCH(ROWS($V$2:V740),$V$2:$V$1001,0),MATCH(COLUMNS($AC$1006:AO1006),$AC$1006:$AS$1006,0)), HYPERLINK("#",""), HYPERLINK(CONCATENATE("#Metadata!", ADDRESS(INDEX($X$2:$X$1001,MATCH(ROWS($V$2:V740),$V$2:$V$1001,0),0), INDEX($AC$1004:$AS$1004,1,MATCH(COLUMNS($AC$1006:AO1006),$AC$1006:$AS$1006,0)))),"Fix")))</f>
        <v>0</v>
      </c>
      <c r="O740" s="5">
        <f>IF(OR(INDEX($W$2:$W$1001,MATCH(ROWS($V$2:V740),$V$2:$V$1001,0),1)&gt;=100000,INDEX($AC$1005:$AS$1005,1,MATCH(COLUMNS($AC$1006:AP1006),$AC$1006:$AS$1006,0))&gt;=100000), " ",IF(INDEX($AC$2:$AS$1001,MATCH(ROWS($V$2:V740),$V$2:$V$1001,0),MATCH(COLUMNS($AC$1006:AP1006),$AC$1006:$AS$1006,0)), HYPERLINK("#",""), HYPERLINK(CONCATENATE("#Metadata!", ADDRESS(INDEX($X$2:$X$1001,MATCH(ROWS($V$2:V740),$V$2:$V$1001,0),0), INDEX($AC$1004:$AS$1004,1,MATCH(COLUMNS($AC$1006:AP1006),$AC$1006:$AS$1006,0)))),"Fix")))</f>
        <v>0</v>
      </c>
      <c r="P740" s="5">
        <f>IF(OR(INDEX($W$2:$W$1001,MATCH(ROWS($V$2:V740),$V$2:$V$1001,0),1)&gt;=100000,INDEX($AC$1005:$AS$1005,1,MATCH(COLUMNS($AC$1006:AQ1006),$AC$1006:$AS$1006,0))&gt;=100000), " ",IF(INDEX($AC$2:$AS$1001,MATCH(ROWS($V$2:V740),$V$2:$V$1001,0),MATCH(COLUMNS($AC$1006:AQ1006),$AC$1006:$AS$1006,0)), HYPERLINK("#",""), HYPERLINK(CONCATENATE("#Metadata!", ADDRESS(INDEX($X$2:$X$1001,MATCH(ROWS($V$2:V740),$V$2:$V$1001,0),0), INDEX($AC$1004:$AS$1004,1,MATCH(COLUMNS($AC$1006:AQ1006),$AC$1006:$AS$1006,0)))),"Fix")))</f>
        <v>0</v>
      </c>
      <c r="Q740" s="5">
        <f>IF(OR(INDEX($W$2:$W$1001,MATCH(ROWS($V$2:V740),$V$2:$V$1001,0),1)&gt;=100000,INDEX($AC$1005:$AS$1005,1,MATCH(COLUMNS($AC$1006:AR1006),$AC$1006:$AS$1006,0))&gt;=100000), " ",IF(INDEX($AC$2:$AS$1001,MATCH(ROWS($V$2:V740),$V$2:$V$1001,0),MATCH(COLUMNS($AC$1006:AR1006),$AC$1006:$AS$1006,0)), HYPERLINK("#",""), HYPERLINK(CONCATENATE("#Metadata!", ADDRESS(INDEX($X$2:$X$1001,MATCH(ROWS($V$2:V740),$V$2:$V$1001,0),0), INDEX($AC$1004:$AS$1004,1,MATCH(COLUMNS($AC$1006:AR1006),$AC$1006:$AS$1006,0)))),"Fix")))</f>
        <v>0</v>
      </c>
      <c r="R740" s="5">
        <f>IF(OR(INDEX($W$2:$W$1001,MATCH(ROWS($V$2:V740),$V$2:$V$1001,0),1)&gt;=100000,INDEX($AC$1005:$AS$1005,1,MATCH(COLUMNS($AC$1006:AS1006),$AC$1006:$AS$1006,0))&gt;=100000), " ",IF(INDEX($AC$2:$AS$1001,MATCH(ROWS($V$2:V740),$V$2:$V$1001,0),MATCH(COLUMNS($AC$1006:AS1006),$AC$1006:$AS$1006,0)), HYPERLINK("#",""), HYPERLINK(CONCATENATE("#Metadata!", ADDRESS(INDEX($X$2:$X$1001,MATCH(ROWS($V$2:V740),$V$2:$V$1001,0),0), INDEX($AC$1004:$AS$1004,1,MATCH(COLUMNS($AC$1006:AS1006),$AC$1006:$AS$1006,0)))),"Fix")))</f>
        <v>0</v>
      </c>
      <c r="V740">
        <v>0</v>
      </c>
      <c r="W740">
        <v>0</v>
      </c>
      <c r="X740">
        <v>0</v>
      </c>
      <c r="Y740">
        <f>IF(Z740,TRUE,AND(AC740:AS740))</f>
        <v>0</v>
      </c>
      <c r="Z740">
        <f>COUNTBLANK(Metadata!B740:R740)=COLUMNS(Metadata!B740:R740)</f>
        <v>0</v>
      </c>
      <c r="AA740">
        <v>0</v>
      </c>
      <c r="AC740">
        <f>AND(IF(Metadata!B740="",FALSE,TRUE),COUNTIF(Metadata!B:B, Metadata!B740) = 1,NOT(ISERROR(SUMPRODUCT(SEARCH(MID(Metadata!B740,ROW(INDIRECT("1:"&amp;LEN(Metadata!B740))), 1),"0123456789abcdefghijklmnopqrstuvwxyzABCDEFGHIJKLMNOPQRSTUVWXYZ.")))))</f>
        <v>0</v>
      </c>
      <c r="AD740">
        <f>AND(IF(Metadata!C740="",FALSE,TRUE),exact(Metadata!C740,"Host-associated"))</f>
        <v>0</v>
      </c>
      <c r="AE740">
        <f>AND(IF(Metadata!D740="",FALSE,TRUE),OR(exact(Metadata!D740,"Animal"),exact(Metadata!D740,"Fungus"),exact(Metadata!D740,"Plant")))</f>
        <v>0</v>
      </c>
      <c r="AF740">
        <f>AND(IF(Metadata!E740="",FALSE,TRUE),OR(exact(Metadata!E740,"Plant secretion"),exact(Metadata!E740,"Plant rhizosphere"),exact(Metadata!E740,"Plant surface"),exact(Metadata!E740,"Plant corpus"),exact(Metadata!E740,"Fungus surface"),exact(Metadata!E740,"Fungus corpus"),exact(Metadata!E740,"Animal surface"),exact(Metadata!E740,"Animal proximal gut"),exact(Metadata!E740,"Animal corpus"),exact(Metadata!E740,"Animal distal gut"),exact(Metadata!E740,"Animal secretion")))</f>
        <v>0</v>
      </c>
      <c r="AG740">
        <f>OR(AND(IF(Metadata!F740="",FALSE,TRUE),OR(exact(Metadata!F740,"not collected"),exact(Metadata!F740,"not provided"),exact(Metadata!F740,"restricted access"))),AND(IF(Metadata!F740="",FALSE,TRUE),OR(exact(Metadata!F740,"organism-associated habitat"),exact(Metadata!F740,"plant-associated habitat"),exact(Metadata!F740,"animal-associated habitat"),exact(Metadata!F740,"insecta-associated habitat"),exact(Metadata!F740,"mammalia-associated habitat"),exact(Metadata!F740,"human-associated habitat"),exact(Metadata!F740,"livestock-associated habitat"))))</f>
        <v>0</v>
      </c>
      <c r="AH740">
        <f>AND(IF(Metadata!G740="",FALSE,TRUE),exact(Metadata!G740,"host-associated"))</f>
        <v>0</v>
      </c>
      <c r="AI740">
        <f>OR(AND(IF(Metadata!H740="",FALSE,TRUE),OR(exact(Metadata!H740,"not collected"),exact(Metadata!H740,"not provided"))),AND(IF(Metadata!H740="",FALSE,ISNUMBER(VALUE(Metadata!H740))),Metadata!H740&gt;0))</f>
        <v>0</v>
      </c>
      <c r="AJ740">
        <f>AND(IF(Metadata!I740="",FALSE,TRUE),exact(Metadata!I740,"years"))</f>
        <v>0</v>
      </c>
      <c r="AK740">
        <f>IF(Metadata!J740="",FALSE,TRUE)</f>
        <v>0</v>
      </c>
      <c r="AL740">
        <f>OR(AND(IF(Metadata!K740="",FALSE,TRUE),OR(exact(Metadata!K740,"not collected"),exact(Metadata!K740,"not provided"))),AND(IF(Metadata!K740="",FALSE,ISNUMBER(VALUE(Metadata!K740))),Metadata!K740&gt;0))</f>
        <v>0</v>
      </c>
      <c r="AM740">
        <f>AND(IF(Metadata!L740="",FALSE,TRUE),exact(Metadata!L740,"cm"))</f>
        <v>0</v>
      </c>
      <c r="AN740">
        <f>IF(Metadata!M740="",FALSE,TRUE)</f>
        <v>0</v>
      </c>
      <c r="AO740">
        <f>OR(AND(IF(Metadata!N740="",FALSE,TRUE),OR(exact(Metadata!N740,"not applicable"),exact(Metadata!N740,"not collected"),exact(Metadata!N740,"not provided"))),AND(IF(Metadata!N740="",FALSE,IF(ISERROR(INT(Metadata!N740)),FALSE,INT(Metadata!N740)=Metadata!N740)),Metadata!N740&gt;0))</f>
        <v>0</v>
      </c>
      <c r="AP740">
        <f>OR(AND(IF(Metadata!O740="",FALSE,TRUE),OR(exact(Metadata!O740,"not collected"),exact(Metadata!O740,"not provided"))),AND(IF(Metadata!O740="",FALSE,ISNUMBER(VALUE(Metadata!O740))),Metadata!O740&gt;0))</f>
        <v>0</v>
      </c>
      <c r="AQ740">
        <f>AND(IF(Metadata!P740="",FALSE,TRUE),exact(Metadata!P740,"kg"))</f>
        <v>0</v>
      </c>
      <c r="AR740">
        <f>OR(AND(IF(Metadata!Q740="",FALSE,TRUE),OR(exact(Metadata!Q740,"not applicable"),exact(Metadata!Q740,"not collected"),exact(Metadata!Q740,"not provided"),exact(Metadata!Q740,"restricted access"))),IF(Metadata!Q740="",FALSE,IF(ISERROR(INT(Metadata!Q740)),FALSE,INT(Metadata!Q740)=Metadata!Q740)))</f>
        <v>0</v>
      </c>
      <c r="AS740">
        <f>AND(IF(Metadata!R740="",FALSE,TRUE),exact(Metadata!R740,"Not applicable"))</f>
        <v>0</v>
      </c>
    </row>
    <row r="741" spans="1:45">
      <c r="A741" s="4">
        <f>IF(B741=" "," ",HYPERLINK(CONCATENATE("#metadata!",ADDRESS(INDEX($X$2:$X$1001,MATCH(ROWS($V$2:V741),$V$2:$V$1001,0),0),2)),INDEX($AA$2:$AA$1001,MATCH(ROWS($V$2:V741),$V$2:$V$1001,0),0)))</f>
        <v>0</v>
      </c>
      <c r="B741" s="5">
        <f>IF(OR(INDEX($W$2:$W$1001,MATCH(ROWS($V$2:V741),$V$2:$V$1001,0),1)&gt;=100000,INDEX($AC$1005:$AS$1005,1,MATCH(COLUMNS($AC$1006:AC1006),$AC$1006:$AS$1006,0))&gt;=100000), " ",IF(INDEX($AC$2:$AS$1001,MATCH(ROWS($V$2:V741),$V$2:$V$1001,0),MATCH(COLUMNS($AC$1006:AC1006),$AC$1006:$AS$1006,0)), HYPERLINK("#",""), HYPERLINK(CONCATENATE("#Metadata!", ADDRESS(INDEX($X$2:$X$1001,MATCH(ROWS($V$2:V741),$V$2:$V$1001,0),0), INDEX($AC$1004:$AS$1004,1,MATCH(COLUMNS($AC$1006:AC1006),$AC$1006:$AS$1006,0)))),"Fix")))</f>
        <v>0</v>
      </c>
      <c r="C741" s="5">
        <f>IF(OR(INDEX($W$2:$W$1001,MATCH(ROWS($V$2:V741),$V$2:$V$1001,0),1)&gt;=100000,INDEX($AC$1005:$AS$1005,1,MATCH(COLUMNS($AC$1006:AD1006),$AC$1006:$AS$1006,0))&gt;=100000), " ",IF(INDEX($AC$2:$AS$1001,MATCH(ROWS($V$2:V741),$V$2:$V$1001,0),MATCH(COLUMNS($AC$1006:AD1006),$AC$1006:$AS$1006,0)), HYPERLINK("#",""), HYPERLINK(CONCATENATE("#Metadata!", ADDRESS(INDEX($X$2:$X$1001,MATCH(ROWS($V$2:V741),$V$2:$V$1001,0),0), INDEX($AC$1004:$AS$1004,1,MATCH(COLUMNS($AC$1006:AD1006),$AC$1006:$AS$1006,0)))),"Fix")))</f>
        <v>0</v>
      </c>
      <c r="D741" s="5">
        <f>IF(OR(INDEX($W$2:$W$1001,MATCH(ROWS($V$2:V741),$V$2:$V$1001,0),1)&gt;=100000,INDEX($AC$1005:$AS$1005,1,MATCH(COLUMNS($AC$1006:AE1006),$AC$1006:$AS$1006,0))&gt;=100000), " ",IF(INDEX($AC$2:$AS$1001,MATCH(ROWS($V$2:V741),$V$2:$V$1001,0),MATCH(COLUMNS($AC$1006:AE1006),$AC$1006:$AS$1006,0)), HYPERLINK("#",""), HYPERLINK(CONCATENATE("#Metadata!", ADDRESS(INDEX($X$2:$X$1001,MATCH(ROWS($V$2:V741),$V$2:$V$1001,0),0), INDEX($AC$1004:$AS$1004,1,MATCH(COLUMNS($AC$1006:AE1006),$AC$1006:$AS$1006,0)))),"Fix")))</f>
        <v>0</v>
      </c>
      <c r="E741" s="5">
        <f>IF(OR(INDEX($W$2:$W$1001,MATCH(ROWS($V$2:V741),$V$2:$V$1001,0),1)&gt;=100000,INDEX($AC$1005:$AS$1005,1,MATCH(COLUMNS($AC$1006:AF1006),$AC$1006:$AS$1006,0))&gt;=100000), " ",IF(INDEX($AC$2:$AS$1001,MATCH(ROWS($V$2:V741),$V$2:$V$1001,0),MATCH(COLUMNS($AC$1006:AF1006),$AC$1006:$AS$1006,0)), HYPERLINK("#",""), HYPERLINK(CONCATENATE("#Metadata!", ADDRESS(INDEX($X$2:$X$1001,MATCH(ROWS($V$2:V741),$V$2:$V$1001,0),0), INDEX($AC$1004:$AS$1004,1,MATCH(COLUMNS($AC$1006:AF1006),$AC$1006:$AS$1006,0)))),"Fix")))</f>
        <v>0</v>
      </c>
      <c r="F741" s="5">
        <f>IF(OR(INDEX($W$2:$W$1001,MATCH(ROWS($V$2:V741),$V$2:$V$1001,0),1)&gt;=100000,INDEX($AC$1005:$AS$1005,1,MATCH(COLUMNS($AC$1006:AG1006),$AC$1006:$AS$1006,0))&gt;=100000), " ",IF(INDEX($AC$2:$AS$1001,MATCH(ROWS($V$2:V741),$V$2:$V$1001,0),MATCH(COLUMNS($AC$1006:AG1006),$AC$1006:$AS$1006,0)), HYPERLINK("#",""), HYPERLINK(CONCATENATE("#Metadata!", ADDRESS(INDEX($X$2:$X$1001,MATCH(ROWS($V$2:V741),$V$2:$V$1001,0),0), INDEX($AC$1004:$AS$1004,1,MATCH(COLUMNS($AC$1006:AG1006),$AC$1006:$AS$1006,0)))),"Fix")))</f>
        <v>0</v>
      </c>
      <c r="G741" s="5">
        <f>IF(OR(INDEX($W$2:$W$1001,MATCH(ROWS($V$2:V741),$V$2:$V$1001,0),1)&gt;=100000,INDEX($AC$1005:$AS$1005,1,MATCH(COLUMNS($AC$1006:AH1006),$AC$1006:$AS$1006,0))&gt;=100000), " ",IF(INDEX($AC$2:$AS$1001,MATCH(ROWS($V$2:V741),$V$2:$V$1001,0),MATCH(COLUMNS($AC$1006:AH1006),$AC$1006:$AS$1006,0)), HYPERLINK("#",""), HYPERLINK(CONCATENATE("#Metadata!", ADDRESS(INDEX($X$2:$X$1001,MATCH(ROWS($V$2:V741),$V$2:$V$1001,0),0), INDEX($AC$1004:$AS$1004,1,MATCH(COLUMNS($AC$1006:AH1006),$AC$1006:$AS$1006,0)))),"Fix")))</f>
        <v>0</v>
      </c>
      <c r="H741" s="5">
        <f>IF(OR(INDEX($W$2:$W$1001,MATCH(ROWS($V$2:V741),$V$2:$V$1001,0),1)&gt;=100000,INDEX($AC$1005:$AS$1005,1,MATCH(COLUMNS($AC$1006:AI1006),$AC$1006:$AS$1006,0))&gt;=100000), " ",IF(INDEX($AC$2:$AS$1001,MATCH(ROWS($V$2:V741),$V$2:$V$1001,0),MATCH(COLUMNS($AC$1006:AI1006),$AC$1006:$AS$1006,0)), HYPERLINK("#",""), HYPERLINK(CONCATENATE("#Metadata!", ADDRESS(INDEX($X$2:$X$1001,MATCH(ROWS($V$2:V741),$V$2:$V$1001,0),0), INDEX($AC$1004:$AS$1004,1,MATCH(COLUMNS($AC$1006:AI1006),$AC$1006:$AS$1006,0)))),"Fix")))</f>
        <v>0</v>
      </c>
      <c r="I741" s="5">
        <f>IF(OR(INDEX($W$2:$W$1001,MATCH(ROWS($V$2:V741),$V$2:$V$1001,0),1)&gt;=100000,INDEX($AC$1005:$AS$1005,1,MATCH(COLUMNS($AC$1006:AJ1006),$AC$1006:$AS$1006,0))&gt;=100000), " ",IF(INDEX($AC$2:$AS$1001,MATCH(ROWS($V$2:V741),$V$2:$V$1001,0),MATCH(COLUMNS($AC$1006:AJ1006),$AC$1006:$AS$1006,0)), HYPERLINK("#",""), HYPERLINK(CONCATENATE("#Metadata!", ADDRESS(INDEX($X$2:$X$1001,MATCH(ROWS($V$2:V741),$V$2:$V$1001,0),0), INDEX($AC$1004:$AS$1004,1,MATCH(COLUMNS($AC$1006:AJ1006),$AC$1006:$AS$1006,0)))),"Fix")))</f>
        <v>0</v>
      </c>
      <c r="J741" s="5">
        <f>IF(OR(INDEX($W$2:$W$1001,MATCH(ROWS($V$2:V741),$V$2:$V$1001,0),1)&gt;=100000,INDEX($AC$1005:$AS$1005,1,MATCH(COLUMNS($AC$1006:AK1006),$AC$1006:$AS$1006,0))&gt;=100000), " ",IF(INDEX($AC$2:$AS$1001,MATCH(ROWS($V$2:V741),$V$2:$V$1001,0),MATCH(COLUMNS($AC$1006:AK1006),$AC$1006:$AS$1006,0)), HYPERLINK("#",""), HYPERLINK(CONCATENATE("#Metadata!", ADDRESS(INDEX($X$2:$X$1001,MATCH(ROWS($V$2:V741),$V$2:$V$1001,0),0), INDEX($AC$1004:$AS$1004,1,MATCH(COLUMNS($AC$1006:AK1006),$AC$1006:$AS$1006,0)))),"Fix")))</f>
        <v>0</v>
      </c>
      <c r="K741" s="5">
        <f>IF(OR(INDEX($W$2:$W$1001,MATCH(ROWS($V$2:V741),$V$2:$V$1001,0),1)&gt;=100000,INDEX($AC$1005:$AS$1005,1,MATCH(COLUMNS($AC$1006:AL1006),$AC$1006:$AS$1006,0))&gt;=100000), " ",IF(INDEX($AC$2:$AS$1001,MATCH(ROWS($V$2:V741),$V$2:$V$1001,0),MATCH(COLUMNS($AC$1006:AL1006),$AC$1006:$AS$1006,0)), HYPERLINK("#",""), HYPERLINK(CONCATENATE("#Metadata!", ADDRESS(INDEX($X$2:$X$1001,MATCH(ROWS($V$2:V741),$V$2:$V$1001,0),0), INDEX($AC$1004:$AS$1004,1,MATCH(COLUMNS($AC$1006:AL1006),$AC$1006:$AS$1006,0)))),"Fix")))</f>
        <v>0</v>
      </c>
      <c r="L741" s="5">
        <f>IF(OR(INDEX($W$2:$W$1001,MATCH(ROWS($V$2:V741),$V$2:$V$1001,0),1)&gt;=100000,INDEX($AC$1005:$AS$1005,1,MATCH(COLUMNS($AC$1006:AM1006),$AC$1006:$AS$1006,0))&gt;=100000), " ",IF(INDEX($AC$2:$AS$1001,MATCH(ROWS($V$2:V741),$V$2:$V$1001,0),MATCH(COLUMNS($AC$1006:AM1006),$AC$1006:$AS$1006,0)), HYPERLINK("#",""), HYPERLINK(CONCATENATE("#Metadata!", ADDRESS(INDEX($X$2:$X$1001,MATCH(ROWS($V$2:V741),$V$2:$V$1001,0),0), INDEX($AC$1004:$AS$1004,1,MATCH(COLUMNS($AC$1006:AM1006),$AC$1006:$AS$1006,0)))),"Fix")))</f>
        <v>0</v>
      </c>
      <c r="M741" s="5">
        <f>IF(OR(INDEX($W$2:$W$1001,MATCH(ROWS($V$2:V741),$V$2:$V$1001,0),1)&gt;=100000,INDEX($AC$1005:$AS$1005,1,MATCH(COLUMNS($AC$1006:AN1006),$AC$1006:$AS$1006,0))&gt;=100000), " ",IF(INDEX($AC$2:$AS$1001,MATCH(ROWS($V$2:V741),$V$2:$V$1001,0),MATCH(COLUMNS($AC$1006:AN1006),$AC$1006:$AS$1006,0)), HYPERLINK("#",""), HYPERLINK(CONCATENATE("#Metadata!", ADDRESS(INDEX($X$2:$X$1001,MATCH(ROWS($V$2:V741),$V$2:$V$1001,0),0), INDEX($AC$1004:$AS$1004,1,MATCH(COLUMNS($AC$1006:AN1006),$AC$1006:$AS$1006,0)))),"Fix")))</f>
        <v>0</v>
      </c>
      <c r="N741" s="5">
        <f>IF(OR(INDEX($W$2:$W$1001,MATCH(ROWS($V$2:V741),$V$2:$V$1001,0),1)&gt;=100000,INDEX($AC$1005:$AS$1005,1,MATCH(COLUMNS($AC$1006:AO1006),$AC$1006:$AS$1006,0))&gt;=100000), " ",IF(INDEX($AC$2:$AS$1001,MATCH(ROWS($V$2:V741),$V$2:$V$1001,0),MATCH(COLUMNS($AC$1006:AO1006),$AC$1006:$AS$1006,0)), HYPERLINK("#",""), HYPERLINK(CONCATENATE("#Metadata!", ADDRESS(INDEX($X$2:$X$1001,MATCH(ROWS($V$2:V741),$V$2:$V$1001,0),0), INDEX($AC$1004:$AS$1004,1,MATCH(COLUMNS($AC$1006:AO1006),$AC$1006:$AS$1006,0)))),"Fix")))</f>
        <v>0</v>
      </c>
      <c r="O741" s="5">
        <f>IF(OR(INDEX($W$2:$W$1001,MATCH(ROWS($V$2:V741),$V$2:$V$1001,0),1)&gt;=100000,INDEX($AC$1005:$AS$1005,1,MATCH(COLUMNS($AC$1006:AP1006),$AC$1006:$AS$1006,0))&gt;=100000), " ",IF(INDEX($AC$2:$AS$1001,MATCH(ROWS($V$2:V741),$V$2:$V$1001,0),MATCH(COLUMNS($AC$1006:AP1006),$AC$1006:$AS$1006,0)), HYPERLINK("#",""), HYPERLINK(CONCATENATE("#Metadata!", ADDRESS(INDEX($X$2:$X$1001,MATCH(ROWS($V$2:V741),$V$2:$V$1001,0),0), INDEX($AC$1004:$AS$1004,1,MATCH(COLUMNS($AC$1006:AP1006),$AC$1006:$AS$1006,0)))),"Fix")))</f>
        <v>0</v>
      </c>
      <c r="P741" s="5">
        <f>IF(OR(INDEX($W$2:$W$1001,MATCH(ROWS($V$2:V741),$V$2:$V$1001,0),1)&gt;=100000,INDEX($AC$1005:$AS$1005,1,MATCH(COLUMNS($AC$1006:AQ1006),$AC$1006:$AS$1006,0))&gt;=100000), " ",IF(INDEX($AC$2:$AS$1001,MATCH(ROWS($V$2:V741),$V$2:$V$1001,0),MATCH(COLUMNS($AC$1006:AQ1006),$AC$1006:$AS$1006,0)), HYPERLINK("#",""), HYPERLINK(CONCATENATE("#Metadata!", ADDRESS(INDEX($X$2:$X$1001,MATCH(ROWS($V$2:V741),$V$2:$V$1001,0),0), INDEX($AC$1004:$AS$1004,1,MATCH(COLUMNS($AC$1006:AQ1006),$AC$1006:$AS$1006,0)))),"Fix")))</f>
        <v>0</v>
      </c>
      <c r="Q741" s="5">
        <f>IF(OR(INDEX($W$2:$W$1001,MATCH(ROWS($V$2:V741),$V$2:$V$1001,0),1)&gt;=100000,INDEX($AC$1005:$AS$1005,1,MATCH(COLUMNS($AC$1006:AR1006),$AC$1006:$AS$1006,0))&gt;=100000), " ",IF(INDEX($AC$2:$AS$1001,MATCH(ROWS($V$2:V741),$V$2:$V$1001,0),MATCH(COLUMNS($AC$1006:AR1006),$AC$1006:$AS$1006,0)), HYPERLINK("#",""), HYPERLINK(CONCATENATE("#Metadata!", ADDRESS(INDEX($X$2:$X$1001,MATCH(ROWS($V$2:V741),$V$2:$V$1001,0),0), INDEX($AC$1004:$AS$1004,1,MATCH(COLUMNS($AC$1006:AR1006),$AC$1006:$AS$1006,0)))),"Fix")))</f>
        <v>0</v>
      </c>
      <c r="R741" s="5">
        <f>IF(OR(INDEX($W$2:$W$1001,MATCH(ROWS($V$2:V741),$V$2:$V$1001,0),1)&gt;=100000,INDEX($AC$1005:$AS$1005,1,MATCH(COLUMNS($AC$1006:AS1006),$AC$1006:$AS$1006,0))&gt;=100000), " ",IF(INDEX($AC$2:$AS$1001,MATCH(ROWS($V$2:V741),$V$2:$V$1001,0),MATCH(COLUMNS($AC$1006:AS1006),$AC$1006:$AS$1006,0)), HYPERLINK("#",""), HYPERLINK(CONCATENATE("#Metadata!", ADDRESS(INDEX($X$2:$X$1001,MATCH(ROWS($V$2:V741),$V$2:$V$1001,0),0), INDEX($AC$1004:$AS$1004,1,MATCH(COLUMNS($AC$1006:AS1006),$AC$1006:$AS$1006,0)))),"Fix")))</f>
        <v>0</v>
      </c>
      <c r="V741">
        <v>0</v>
      </c>
      <c r="W741">
        <v>0</v>
      </c>
      <c r="X741">
        <v>0</v>
      </c>
      <c r="Y741">
        <f>IF(Z741,TRUE,AND(AC741:AS741))</f>
        <v>0</v>
      </c>
      <c r="Z741">
        <f>COUNTBLANK(Metadata!B741:R741)=COLUMNS(Metadata!B741:R741)</f>
        <v>0</v>
      </c>
      <c r="AA741">
        <v>0</v>
      </c>
      <c r="AC741">
        <f>AND(IF(Metadata!B741="",FALSE,TRUE),COUNTIF(Metadata!B:B, Metadata!B741) = 1,NOT(ISERROR(SUMPRODUCT(SEARCH(MID(Metadata!B741,ROW(INDIRECT("1:"&amp;LEN(Metadata!B741))), 1),"0123456789abcdefghijklmnopqrstuvwxyzABCDEFGHIJKLMNOPQRSTUVWXYZ.")))))</f>
        <v>0</v>
      </c>
      <c r="AD741">
        <f>AND(IF(Metadata!C741="",FALSE,TRUE),exact(Metadata!C741,"Host-associated"))</f>
        <v>0</v>
      </c>
      <c r="AE741">
        <f>AND(IF(Metadata!D741="",FALSE,TRUE),OR(exact(Metadata!D741,"Animal"),exact(Metadata!D741,"Fungus"),exact(Metadata!D741,"Plant")))</f>
        <v>0</v>
      </c>
      <c r="AF741">
        <f>AND(IF(Metadata!E741="",FALSE,TRUE),OR(exact(Metadata!E741,"Plant secretion"),exact(Metadata!E741,"Plant rhizosphere"),exact(Metadata!E741,"Plant surface"),exact(Metadata!E741,"Plant corpus"),exact(Metadata!E741,"Fungus surface"),exact(Metadata!E741,"Fungus corpus"),exact(Metadata!E741,"Animal surface"),exact(Metadata!E741,"Animal proximal gut"),exact(Metadata!E741,"Animal corpus"),exact(Metadata!E741,"Animal distal gut"),exact(Metadata!E741,"Animal secretion")))</f>
        <v>0</v>
      </c>
      <c r="AG741">
        <f>OR(AND(IF(Metadata!F741="",FALSE,TRUE),OR(exact(Metadata!F741,"not collected"),exact(Metadata!F741,"not provided"),exact(Metadata!F741,"restricted access"))),AND(IF(Metadata!F741="",FALSE,TRUE),OR(exact(Metadata!F741,"organism-associated habitat"),exact(Metadata!F741,"plant-associated habitat"),exact(Metadata!F741,"animal-associated habitat"),exact(Metadata!F741,"insecta-associated habitat"),exact(Metadata!F741,"mammalia-associated habitat"),exact(Metadata!F741,"human-associated habitat"),exact(Metadata!F741,"livestock-associated habitat"))))</f>
        <v>0</v>
      </c>
      <c r="AH741">
        <f>AND(IF(Metadata!G741="",FALSE,TRUE),exact(Metadata!G741,"host-associated"))</f>
        <v>0</v>
      </c>
      <c r="AI741">
        <f>OR(AND(IF(Metadata!H741="",FALSE,TRUE),OR(exact(Metadata!H741,"not collected"),exact(Metadata!H741,"not provided"))),AND(IF(Metadata!H741="",FALSE,ISNUMBER(VALUE(Metadata!H741))),Metadata!H741&gt;0))</f>
        <v>0</v>
      </c>
      <c r="AJ741">
        <f>AND(IF(Metadata!I741="",FALSE,TRUE),exact(Metadata!I741,"years"))</f>
        <v>0</v>
      </c>
      <c r="AK741">
        <f>IF(Metadata!J741="",FALSE,TRUE)</f>
        <v>0</v>
      </c>
      <c r="AL741">
        <f>OR(AND(IF(Metadata!K741="",FALSE,TRUE),OR(exact(Metadata!K741,"not collected"),exact(Metadata!K741,"not provided"))),AND(IF(Metadata!K741="",FALSE,ISNUMBER(VALUE(Metadata!K741))),Metadata!K741&gt;0))</f>
        <v>0</v>
      </c>
      <c r="AM741">
        <f>AND(IF(Metadata!L741="",FALSE,TRUE),exact(Metadata!L741,"cm"))</f>
        <v>0</v>
      </c>
      <c r="AN741">
        <f>IF(Metadata!M741="",FALSE,TRUE)</f>
        <v>0</v>
      </c>
      <c r="AO741">
        <f>OR(AND(IF(Metadata!N741="",FALSE,TRUE),OR(exact(Metadata!N741,"not applicable"),exact(Metadata!N741,"not collected"),exact(Metadata!N741,"not provided"))),AND(IF(Metadata!N741="",FALSE,IF(ISERROR(INT(Metadata!N741)),FALSE,INT(Metadata!N741)=Metadata!N741)),Metadata!N741&gt;0))</f>
        <v>0</v>
      </c>
      <c r="AP741">
        <f>OR(AND(IF(Metadata!O741="",FALSE,TRUE),OR(exact(Metadata!O741,"not collected"),exact(Metadata!O741,"not provided"))),AND(IF(Metadata!O741="",FALSE,ISNUMBER(VALUE(Metadata!O741))),Metadata!O741&gt;0))</f>
        <v>0</v>
      </c>
      <c r="AQ741">
        <f>AND(IF(Metadata!P741="",FALSE,TRUE),exact(Metadata!P741,"kg"))</f>
        <v>0</v>
      </c>
      <c r="AR741">
        <f>OR(AND(IF(Metadata!Q741="",FALSE,TRUE),OR(exact(Metadata!Q741,"not applicable"),exact(Metadata!Q741,"not collected"),exact(Metadata!Q741,"not provided"),exact(Metadata!Q741,"restricted access"))),IF(Metadata!Q741="",FALSE,IF(ISERROR(INT(Metadata!Q741)),FALSE,INT(Metadata!Q741)=Metadata!Q741)))</f>
        <v>0</v>
      </c>
      <c r="AS741">
        <f>AND(IF(Metadata!R741="",FALSE,TRUE),exact(Metadata!R741,"Not applicable"))</f>
        <v>0</v>
      </c>
    </row>
    <row r="742" spans="1:45">
      <c r="A742" s="4">
        <f>IF(B742=" "," ",HYPERLINK(CONCATENATE("#metadata!",ADDRESS(INDEX($X$2:$X$1001,MATCH(ROWS($V$2:V742),$V$2:$V$1001,0),0),2)),INDEX($AA$2:$AA$1001,MATCH(ROWS($V$2:V742),$V$2:$V$1001,0),0)))</f>
        <v>0</v>
      </c>
      <c r="B742" s="5">
        <f>IF(OR(INDEX($W$2:$W$1001,MATCH(ROWS($V$2:V742),$V$2:$V$1001,0),1)&gt;=100000,INDEX($AC$1005:$AS$1005,1,MATCH(COLUMNS($AC$1006:AC1006),$AC$1006:$AS$1006,0))&gt;=100000), " ",IF(INDEX($AC$2:$AS$1001,MATCH(ROWS($V$2:V742),$V$2:$V$1001,0),MATCH(COLUMNS($AC$1006:AC1006),$AC$1006:$AS$1006,0)), HYPERLINK("#",""), HYPERLINK(CONCATENATE("#Metadata!", ADDRESS(INDEX($X$2:$X$1001,MATCH(ROWS($V$2:V742),$V$2:$V$1001,0),0), INDEX($AC$1004:$AS$1004,1,MATCH(COLUMNS($AC$1006:AC1006),$AC$1006:$AS$1006,0)))),"Fix")))</f>
        <v>0</v>
      </c>
      <c r="C742" s="5">
        <f>IF(OR(INDEX($W$2:$W$1001,MATCH(ROWS($V$2:V742),$V$2:$V$1001,0),1)&gt;=100000,INDEX($AC$1005:$AS$1005,1,MATCH(COLUMNS($AC$1006:AD1006),$AC$1006:$AS$1006,0))&gt;=100000), " ",IF(INDEX($AC$2:$AS$1001,MATCH(ROWS($V$2:V742),$V$2:$V$1001,0),MATCH(COLUMNS($AC$1006:AD1006),$AC$1006:$AS$1006,0)), HYPERLINK("#",""), HYPERLINK(CONCATENATE("#Metadata!", ADDRESS(INDEX($X$2:$X$1001,MATCH(ROWS($V$2:V742),$V$2:$V$1001,0),0), INDEX($AC$1004:$AS$1004,1,MATCH(COLUMNS($AC$1006:AD1006),$AC$1006:$AS$1006,0)))),"Fix")))</f>
        <v>0</v>
      </c>
      <c r="D742" s="5">
        <f>IF(OR(INDEX($W$2:$W$1001,MATCH(ROWS($V$2:V742),$V$2:$V$1001,0),1)&gt;=100000,INDEX($AC$1005:$AS$1005,1,MATCH(COLUMNS($AC$1006:AE1006),$AC$1006:$AS$1006,0))&gt;=100000), " ",IF(INDEX($AC$2:$AS$1001,MATCH(ROWS($V$2:V742),$V$2:$V$1001,0),MATCH(COLUMNS($AC$1006:AE1006),$AC$1006:$AS$1006,0)), HYPERLINK("#",""), HYPERLINK(CONCATENATE("#Metadata!", ADDRESS(INDEX($X$2:$X$1001,MATCH(ROWS($V$2:V742),$V$2:$V$1001,0),0), INDEX($AC$1004:$AS$1004,1,MATCH(COLUMNS($AC$1006:AE1006),$AC$1006:$AS$1006,0)))),"Fix")))</f>
        <v>0</v>
      </c>
      <c r="E742" s="5">
        <f>IF(OR(INDEX($W$2:$W$1001,MATCH(ROWS($V$2:V742),$V$2:$V$1001,0),1)&gt;=100000,INDEX($AC$1005:$AS$1005,1,MATCH(COLUMNS($AC$1006:AF1006),$AC$1006:$AS$1006,0))&gt;=100000), " ",IF(INDEX($AC$2:$AS$1001,MATCH(ROWS($V$2:V742),$V$2:$V$1001,0),MATCH(COLUMNS($AC$1006:AF1006),$AC$1006:$AS$1006,0)), HYPERLINK("#",""), HYPERLINK(CONCATENATE("#Metadata!", ADDRESS(INDEX($X$2:$X$1001,MATCH(ROWS($V$2:V742),$V$2:$V$1001,0),0), INDEX($AC$1004:$AS$1004,1,MATCH(COLUMNS($AC$1006:AF1006),$AC$1006:$AS$1006,0)))),"Fix")))</f>
        <v>0</v>
      </c>
      <c r="F742" s="5">
        <f>IF(OR(INDEX($W$2:$W$1001,MATCH(ROWS($V$2:V742),$V$2:$V$1001,0),1)&gt;=100000,INDEX($AC$1005:$AS$1005,1,MATCH(COLUMNS($AC$1006:AG1006),$AC$1006:$AS$1006,0))&gt;=100000), " ",IF(INDEX($AC$2:$AS$1001,MATCH(ROWS($V$2:V742),$V$2:$V$1001,0),MATCH(COLUMNS($AC$1006:AG1006),$AC$1006:$AS$1006,0)), HYPERLINK("#",""), HYPERLINK(CONCATENATE("#Metadata!", ADDRESS(INDEX($X$2:$X$1001,MATCH(ROWS($V$2:V742),$V$2:$V$1001,0),0), INDEX($AC$1004:$AS$1004,1,MATCH(COLUMNS($AC$1006:AG1006),$AC$1006:$AS$1006,0)))),"Fix")))</f>
        <v>0</v>
      </c>
      <c r="G742" s="5">
        <f>IF(OR(INDEX($W$2:$W$1001,MATCH(ROWS($V$2:V742),$V$2:$V$1001,0),1)&gt;=100000,INDEX($AC$1005:$AS$1005,1,MATCH(COLUMNS($AC$1006:AH1006),$AC$1006:$AS$1006,0))&gt;=100000), " ",IF(INDEX($AC$2:$AS$1001,MATCH(ROWS($V$2:V742),$V$2:$V$1001,0),MATCH(COLUMNS($AC$1006:AH1006),$AC$1006:$AS$1006,0)), HYPERLINK("#",""), HYPERLINK(CONCATENATE("#Metadata!", ADDRESS(INDEX($X$2:$X$1001,MATCH(ROWS($V$2:V742),$V$2:$V$1001,0),0), INDEX($AC$1004:$AS$1004,1,MATCH(COLUMNS($AC$1006:AH1006),$AC$1006:$AS$1006,0)))),"Fix")))</f>
        <v>0</v>
      </c>
      <c r="H742" s="5">
        <f>IF(OR(INDEX($W$2:$W$1001,MATCH(ROWS($V$2:V742),$V$2:$V$1001,0),1)&gt;=100000,INDEX($AC$1005:$AS$1005,1,MATCH(COLUMNS($AC$1006:AI1006),$AC$1006:$AS$1006,0))&gt;=100000), " ",IF(INDEX($AC$2:$AS$1001,MATCH(ROWS($V$2:V742),$V$2:$V$1001,0),MATCH(COLUMNS($AC$1006:AI1006),$AC$1006:$AS$1006,0)), HYPERLINK("#",""), HYPERLINK(CONCATENATE("#Metadata!", ADDRESS(INDEX($X$2:$X$1001,MATCH(ROWS($V$2:V742),$V$2:$V$1001,0),0), INDEX($AC$1004:$AS$1004,1,MATCH(COLUMNS($AC$1006:AI1006),$AC$1006:$AS$1006,0)))),"Fix")))</f>
        <v>0</v>
      </c>
      <c r="I742" s="5">
        <f>IF(OR(INDEX($W$2:$W$1001,MATCH(ROWS($V$2:V742),$V$2:$V$1001,0),1)&gt;=100000,INDEX($AC$1005:$AS$1005,1,MATCH(COLUMNS($AC$1006:AJ1006),$AC$1006:$AS$1006,0))&gt;=100000), " ",IF(INDEX($AC$2:$AS$1001,MATCH(ROWS($V$2:V742),$V$2:$V$1001,0),MATCH(COLUMNS($AC$1006:AJ1006),$AC$1006:$AS$1006,0)), HYPERLINK("#",""), HYPERLINK(CONCATENATE("#Metadata!", ADDRESS(INDEX($X$2:$X$1001,MATCH(ROWS($V$2:V742),$V$2:$V$1001,0),0), INDEX($AC$1004:$AS$1004,1,MATCH(COLUMNS($AC$1006:AJ1006),$AC$1006:$AS$1006,0)))),"Fix")))</f>
        <v>0</v>
      </c>
      <c r="J742" s="5">
        <f>IF(OR(INDEX($W$2:$W$1001,MATCH(ROWS($V$2:V742),$V$2:$V$1001,0),1)&gt;=100000,INDEX($AC$1005:$AS$1005,1,MATCH(COLUMNS($AC$1006:AK1006),$AC$1006:$AS$1006,0))&gt;=100000), " ",IF(INDEX($AC$2:$AS$1001,MATCH(ROWS($V$2:V742),$V$2:$V$1001,0),MATCH(COLUMNS($AC$1006:AK1006),$AC$1006:$AS$1006,0)), HYPERLINK("#",""), HYPERLINK(CONCATENATE("#Metadata!", ADDRESS(INDEX($X$2:$X$1001,MATCH(ROWS($V$2:V742),$V$2:$V$1001,0),0), INDEX($AC$1004:$AS$1004,1,MATCH(COLUMNS($AC$1006:AK1006),$AC$1006:$AS$1006,0)))),"Fix")))</f>
        <v>0</v>
      </c>
      <c r="K742" s="5">
        <f>IF(OR(INDEX($W$2:$W$1001,MATCH(ROWS($V$2:V742),$V$2:$V$1001,0),1)&gt;=100000,INDEX($AC$1005:$AS$1005,1,MATCH(COLUMNS($AC$1006:AL1006),$AC$1006:$AS$1006,0))&gt;=100000), " ",IF(INDEX($AC$2:$AS$1001,MATCH(ROWS($V$2:V742),$V$2:$V$1001,0),MATCH(COLUMNS($AC$1006:AL1006),$AC$1006:$AS$1006,0)), HYPERLINK("#",""), HYPERLINK(CONCATENATE("#Metadata!", ADDRESS(INDEX($X$2:$X$1001,MATCH(ROWS($V$2:V742),$V$2:$V$1001,0),0), INDEX($AC$1004:$AS$1004,1,MATCH(COLUMNS($AC$1006:AL1006),$AC$1006:$AS$1006,0)))),"Fix")))</f>
        <v>0</v>
      </c>
      <c r="L742" s="5">
        <f>IF(OR(INDEX($W$2:$W$1001,MATCH(ROWS($V$2:V742),$V$2:$V$1001,0),1)&gt;=100000,INDEX($AC$1005:$AS$1005,1,MATCH(COLUMNS($AC$1006:AM1006),$AC$1006:$AS$1006,0))&gt;=100000), " ",IF(INDEX($AC$2:$AS$1001,MATCH(ROWS($V$2:V742),$V$2:$V$1001,0),MATCH(COLUMNS($AC$1006:AM1006),$AC$1006:$AS$1006,0)), HYPERLINK("#",""), HYPERLINK(CONCATENATE("#Metadata!", ADDRESS(INDEX($X$2:$X$1001,MATCH(ROWS($V$2:V742),$V$2:$V$1001,0),0), INDEX($AC$1004:$AS$1004,1,MATCH(COLUMNS($AC$1006:AM1006),$AC$1006:$AS$1006,0)))),"Fix")))</f>
        <v>0</v>
      </c>
      <c r="M742" s="5">
        <f>IF(OR(INDEX($W$2:$W$1001,MATCH(ROWS($V$2:V742),$V$2:$V$1001,0),1)&gt;=100000,INDEX($AC$1005:$AS$1005,1,MATCH(COLUMNS($AC$1006:AN1006),$AC$1006:$AS$1006,0))&gt;=100000), " ",IF(INDEX($AC$2:$AS$1001,MATCH(ROWS($V$2:V742),$V$2:$V$1001,0),MATCH(COLUMNS($AC$1006:AN1006),$AC$1006:$AS$1006,0)), HYPERLINK("#",""), HYPERLINK(CONCATENATE("#Metadata!", ADDRESS(INDEX($X$2:$X$1001,MATCH(ROWS($V$2:V742),$V$2:$V$1001,0),0), INDEX($AC$1004:$AS$1004,1,MATCH(COLUMNS($AC$1006:AN1006),$AC$1006:$AS$1006,0)))),"Fix")))</f>
        <v>0</v>
      </c>
      <c r="N742" s="5">
        <f>IF(OR(INDEX($W$2:$W$1001,MATCH(ROWS($V$2:V742),$V$2:$V$1001,0),1)&gt;=100000,INDEX($AC$1005:$AS$1005,1,MATCH(COLUMNS($AC$1006:AO1006),$AC$1006:$AS$1006,0))&gt;=100000), " ",IF(INDEX($AC$2:$AS$1001,MATCH(ROWS($V$2:V742),$V$2:$V$1001,0),MATCH(COLUMNS($AC$1006:AO1006),$AC$1006:$AS$1006,0)), HYPERLINK("#",""), HYPERLINK(CONCATENATE("#Metadata!", ADDRESS(INDEX($X$2:$X$1001,MATCH(ROWS($V$2:V742),$V$2:$V$1001,0),0), INDEX($AC$1004:$AS$1004,1,MATCH(COLUMNS($AC$1006:AO1006),$AC$1006:$AS$1006,0)))),"Fix")))</f>
        <v>0</v>
      </c>
      <c r="O742" s="5">
        <f>IF(OR(INDEX($W$2:$W$1001,MATCH(ROWS($V$2:V742),$V$2:$V$1001,0),1)&gt;=100000,INDEX($AC$1005:$AS$1005,1,MATCH(COLUMNS($AC$1006:AP1006),$AC$1006:$AS$1006,0))&gt;=100000), " ",IF(INDEX($AC$2:$AS$1001,MATCH(ROWS($V$2:V742),$V$2:$V$1001,0),MATCH(COLUMNS($AC$1006:AP1006),$AC$1006:$AS$1006,0)), HYPERLINK("#",""), HYPERLINK(CONCATENATE("#Metadata!", ADDRESS(INDEX($X$2:$X$1001,MATCH(ROWS($V$2:V742),$V$2:$V$1001,0),0), INDEX($AC$1004:$AS$1004,1,MATCH(COLUMNS($AC$1006:AP1006),$AC$1006:$AS$1006,0)))),"Fix")))</f>
        <v>0</v>
      </c>
      <c r="P742" s="5">
        <f>IF(OR(INDEX($W$2:$W$1001,MATCH(ROWS($V$2:V742),$V$2:$V$1001,0),1)&gt;=100000,INDEX($AC$1005:$AS$1005,1,MATCH(COLUMNS($AC$1006:AQ1006),$AC$1006:$AS$1006,0))&gt;=100000), " ",IF(INDEX($AC$2:$AS$1001,MATCH(ROWS($V$2:V742),$V$2:$V$1001,0),MATCH(COLUMNS($AC$1006:AQ1006),$AC$1006:$AS$1006,0)), HYPERLINK("#",""), HYPERLINK(CONCATENATE("#Metadata!", ADDRESS(INDEX($X$2:$X$1001,MATCH(ROWS($V$2:V742),$V$2:$V$1001,0),0), INDEX($AC$1004:$AS$1004,1,MATCH(COLUMNS($AC$1006:AQ1006),$AC$1006:$AS$1006,0)))),"Fix")))</f>
        <v>0</v>
      </c>
      <c r="Q742" s="5">
        <f>IF(OR(INDEX($W$2:$W$1001,MATCH(ROWS($V$2:V742),$V$2:$V$1001,0),1)&gt;=100000,INDEX($AC$1005:$AS$1005,1,MATCH(COLUMNS($AC$1006:AR1006),$AC$1006:$AS$1006,0))&gt;=100000), " ",IF(INDEX($AC$2:$AS$1001,MATCH(ROWS($V$2:V742),$V$2:$V$1001,0),MATCH(COLUMNS($AC$1006:AR1006),$AC$1006:$AS$1006,0)), HYPERLINK("#",""), HYPERLINK(CONCATENATE("#Metadata!", ADDRESS(INDEX($X$2:$X$1001,MATCH(ROWS($V$2:V742),$V$2:$V$1001,0),0), INDEX($AC$1004:$AS$1004,1,MATCH(COLUMNS($AC$1006:AR1006),$AC$1006:$AS$1006,0)))),"Fix")))</f>
        <v>0</v>
      </c>
      <c r="R742" s="5">
        <f>IF(OR(INDEX($W$2:$W$1001,MATCH(ROWS($V$2:V742),$V$2:$V$1001,0),1)&gt;=100000,INDEX($AC$1005:$AS$1005,1,MATCH(COLUMNS($AC$1006:AS1006),$AC$1006:$AS$1006,0))&gt;=100000), " ",IF(INDEX($AC$2:$AS$1001,MATCH(ROWS($V$2:V742),$V$2:$V$1001,0),MATCH(COLUMNS($AC$1006:AS1006),$AC$1006:$AS$1006,0)), HYPERLINK("#",""), HYPERLINK(CONCATENATE("#Metadata!", ADDRESS(INDEX($X$2:$X$1001,MATCH(ROWS($V$2:V742),$V$2:$V$1001,0),0), INDEX($AC$1004:$AS$1004,1,MATCH(COLUMNS($AC$1006:AS1006),$AC$1006:$AS$1006,0)))),"Fix")))</f>
        <v>0</v>
      </c>
      <c r="V742">
        <v>0</v>
      </c>
      <c r="W742">
        <v>0</v>
      </c>
      <c r="X742">
        <v>0</v>
      </c>
      <c r="Y742">
        <f>IF(Z742,TRUE,AND(AC742:AS742))</f>
        <v>0</v>
      </c>
      <c r="Z742">
        <f>COUNTBLANK(Metadata!B742:R742)=COLUMNS(Metadata!B742:R742)</f>
        <v>0</v>
      </c>
      <c r="AA742">
        <v>0</v>
      </c>
      <c r="AC742">
        <f>AND(IF(Metadata!B742="",FALSE,TRUE),COUNTIF(Metadata!B:B, Metadata!B742) = 1,NOT(ISERROR(SUMPRODUCT(SEARCH(MID(Metadata!B742,ROW(INDIRECT("1:"&amp;LEN(Metadata!B742))), 1),"0123456789abcdefghijklmnopqrstuvwxyzABCDEFGHIJKLMNOPQRSTUVWXYZ.")))))</f>
        <v>0</v>
      </c>
      <c r="AD742">
        <f>AND(IF(Metadata!C742="",FALSE,TRUE),exact(Metadata!C742,"Host-associated"))</f>
        <v>0</v>
      </c>
      <c r="AE742">
        <f>AND(IF(Metadata!D742="",FALSE,TRUE),OR(exact(Metadata!D742,"Animal"),exact(Metadata!D742,"Fungus"),exact(Metadata!D742,"Plant")))</f>
        <v>0</v>
      </c>
      <c r="AF742">
        <f>AND(IF(Metadata!E742="",FALSE,TRUE),OR(exact(Metadata!E742,"Plant secretion"),exact(Metadata!E742,"Plant rhizosphere"),exact(Metadata!E742,"Plant surface"),exact(Metadata!E742,"Plant corpus"),exact(Metadata!E742,"Fungus surface"),exact(Metadata!E742,"Fungus corpus"),exact(Metadata!E742,"Animal surface"),exact(Metadata!E742,"Animal proximal gut"),exact(Metadata!E742,"Animal corpus"),exact(Metadata!E742,"Animal distal gut"),exact(Metadata!E742,"Animal secretion")))</f>
        <v>0</v>
      </c>
      <c r="AG742">
        <f>OR(AND(IF(Metadata!F742="",FALSE,TRUE),OR(exact(Metadata!F742,"not collected"),exact(Metadata!F742,"not provided"),exact(Metadata!F742,"restricted access"))),AND(IF(Metadata!F742="",FALSE,TRUE),OR(exact(Metadata!F742,"organism-associated habitat"),exact(Metadata!F742,"plant-associated habitat"),exact(Metadata!F742,"animal-associated habitat"),exact(Metadata!F742,"insecta-associated habitat"),exact(Metadata!F742,"mammalia-associated habitat"),exact(Metadata!F742,"human-associated habitat"),exact(Metadata!F742,"livestock-associated habitat"))))</f>
        <v>0</v>
      </c>
      <c r="AH742">
        <f>AND(IF(Metadata!G742="",FALSE,TRUE),exact(Metadata!G742,"host-associated"))</f>
        <v>0</v>
      </c>
      <c r="AI742">
        <f>OR(AND(IF(Metadata!H742="",FALSE,TRUE),OR(exact(Metadata!H742,"not collected"),exact(Metadata!H742,"not provided"))),AND(IF(Metadata!H742="",FALSE,ISNUMBER(VALUE(Metadata!H742))),Metadata!H742&gt;0))</f>
        <v>0</v>
      </c>
      <c r="AJ742">
        <f>AND(IF(Metadata!I742="",FALSE,TRUE),exact(Metadata!I742,"years"))</f>
        <v>0</v>
      </c>
      <c r="AK742">
        <f>IF(Metadata!J742="",FALSE,TRUE)</f>
        <v>0</v>
      </c>
      <c r="AL742">
        <f>OR(AND(IF(Metadata!K742="",FALSE,TRUE),OR(exact(Metadata!K742,"not collected"),exact(Metadata!K742,"not provided"))),AND(IF(Metadata!K742="",FALSE,ISNUMBER(VALUE(Metadata!K742))),Metadata!K742&gt;0))</f>
        <v>0</v>
      </c>
      <c r="AM742">
        <f>AND(IF(Metadata!L742="",FALSE,TRUE),exact(Metadata!L742,"cm"))</f>
        <v>0</v>
      </c>
      <c r="AN742">
        <f>IF(Metadata!M742="",FALSE,TRUE)</f>
        <v>0</v>
      </c>
      <c r="AO742">
        <f>OR(AND(IF(Metadata!N742="",FALSE,TRUE),OR(exact(Metadata!N742,"not applicable"),exact(Metadata!N742,"not collected"),exact(Metadata!N742,"not provided"))),AND(IF(Metadata!N742="",FALSE,IF(ISERROR(INT(Metadata!N742)),FALSE,INT(Metadata!N742)=Metadata!N742)),Metadata!N742&gt;0))</f>
        <v>0</v>
      </c>
      <c r="AP742">
        <f>OR(AND(IF(Metadata!O742="",FALSE,TRUE),OR(exact(Metadata!O742,"not collected"),exact(Metadata!O742,"not provided"))),AND(IF(Metadata!O742="",FALSE,ISNUMBER(VALUE(Metadata!O742))),Metadata!O742&gt;0))</f>
        <v>0</v>
      </c>
      <c r="AQ742">
        <f>AND(IF(Metadata!P742="",FALSE,TRUE),exact(Metadata!P742,"kg"))</f>
        <v>0</v>
      </c>
      <c r="AR742">
        <f>OR(AND(IF(Metadata!Q742="",FALSE,TRUE),OR(exact(Metadata!Q742,"not applicable"),exact(Metadata!Q742,"not collected"),exact(Metadata!Q742,"not provided"),exact(Metadata!Q742,"restricted access"))),IF(Metadata!Q742="",FALSE,IF(ISERROR(INT(Metadata!Q742)),FALSE,INT(Metadata!Q742)=Metadata!Q742)))</f>
        <v>0</v>
      </c>
      <c r="AS742">
        <f>AND(IF(Metadata!R742="",FALSE,TRUE),exact(Metadata!R742,"Not applicable"))</f>
        <v>0</v>
      </c>
    </row>
    <row r="743" spans="1:45">
      <c r="A743" s="4">
        <f>IF(B743=" "," ",HYPERLINK(CONCATENATE("#metadata!",ADDRESS(INDEX($X$2:$X$1001,MATCH(ROWS($V$2:V743),$V$2:$V$1001,0),0),2)),INDEX($AA$2:$AA$1001,MATCH(ROWS($V$2:V743),$V$2:$V$1001,0),0)))</f>
        <v>0</v>
      </c>
      <c r="B743" s="5">
        <f>IF(OR(INDEX($W$2:$W$1001,MATCH(ROWS($V$2:V743),$V$2:$V$1001,0),1)&gt;=100000,INDEX($AC$1005:$AS$1005,1,MATCH(COLUMNS($AC$1006:AC1006),$AC$1006:$AS$1006,0))&gt;=100000), " ",IF(INDEX($AC$2:$AS$1001,MATCH(ROWS($V$2:V743),$V$2:$V$1001,0),MATCH(COLUMNS($AC$1006:AC1006),$AC$1006:$AS$1006,0)), HYPERLINK("#",""), HYPERLINK(CONCATENATE("#Metadata!", ADDRESS(INDEX($X$2:$X$1001,MATCH(ROWS($V$2:V743),$V$2:$V$1001,0),0), INDEX($AC$1004:$AS$1004,1,MATCH(COLUMNS($AC$1006:AC1006),$AC$1006:$AS$1006,0)))),"Fix")))</f>
        <v>0</v>
      </c>
      <c r="C743" s="5">
        <f>IF(OR(INDEX($W$2:$W$1001,MATCH(ROWS($V$2:V743),$V$2:$V$1001,0),1)&gt;=100000,INDEX($AC$1005:$AS$1005,1,MATCH(COLUMNS($AC$1006:AD1006),$AC$1006:$AS$1006,0))&gt;=100000), " ",IF(INDEX($AC$2:$AS$1001,MATCH(ROWS($V$2:V743),$V$2:$V$1001,0),MATCH(COLUMNS($AC$1006:AD1006),$AC$1006:$AS$1006,0)), HYPERLINK("#",""), HYPERLINK(CONCATENATE("#Metadata!", ADDRESS(INDEX($X$2:$X$1001,MATCH(ROWS($V$2:V743),$V$2:$V$1001,0),0), INDEX($AC$1004:$AS$1004,1,MATCH(COLUMNS($AC$1006:AD1006),$AC$1006:$AS$1006,0)))),"Fix")))</f>
        <v>0</v>
      </c>
      <c r="D743" s="5">
        <f>IF(OR(INDEX($W$2:$W$1001,MATCH(ROWS($V$2:V743),$V$2:$V$1001,0),1)&gt;=100000,INDEX($AC$1005:$AS$1005,1,MATCH(COLUMNS($AC$1006:AE1006),$AC$1006:$AS$1006,0))&gt;=100000), " ",IF(INDEX($AC$2:$AS$1001,MATCH(ROWS($V$2:V743),$V$2:$V$1001,0),MATCH(COLUMNS($AC$1006:AE1006),$AC$1006:$AS$1006,0)), HYPERLINK("#",""), HYPERLINK(CONCATENATE("#Metadata!", ADDRESS(INDEX($X$2:$X$1001,MATCH(ROWS($V$2:V743),$V$2:$V$1001,0),0), INDEX($AC$1004:$AS$1004,1,MATCH(COLUMNS($AC$1006:AE1006),$AC$1006:$AS$1006,0)))),"Fix")))</f>
        <v>0</v>
      </c>
      <c r="E743" s="5">
        <f>IF(OR(INDEX($W$2:$W$1001,MATCH(ROWS($V$2:V743),$V$2:$V$1001,0),1)&gt;=100000,INDEX($AC$1005:$AS$1005,1,MATCH(COLUMNS($AC$1006:AF1006),$AC$1006:$AS$1006,0))&gt;=100000), " ",IF(INDEX($AC$2:$AS$1001,MATCH(ROWS($V$2:V743),$V$2:$V$1001,0),MATCH(COLUMNS($AC$1006:AF1006),$AC$1006:$AS$1006,0)), HYPERLINK("#",""), HYPERLINK(CONCATENATE("#Metadata!", ADDRESS(INDEX($X$2:$X$1001,MATCH(ROWS($V$2:V743),$V$2:$V$1001,0),0), INDEX($AC$1004:$AS$1004,1,MATCH(COLUMNS($AC$1006:AF1006),$AC$1006:$AS$1006,0)))),"Fix")))</f>
        <v>0</v>
      </c>
      <c r="F743" s="5">
        <f>IF(OR(INDEX($W$2:$W$1001,MATCH(ROWS($V$2:V743),$V$2:$V$1001,0),1)&gt;=100000,INDEX($AC$1005:$AS$1005,1,MATCH(COLUMNS($AC$1006:AG1006),$AC$1006:$AS$1006,0))&gt;=100000), " ",IF(INDEX($AC$2:$AS$1001,MATCH(ROWS($V$2:V743),$V$2:$V$1001,0),MATCH(COLUMNS($AC$1006:AG1006),$AC$1006:$AS$1006,0)), HYPERLINK("#",""), HYPERLINK(CONCATENATE("#Metadata!", ADDRESS(INDEX($X$2:$X$1001,MATCH(ROWS($V$2:V743),$V$2:$V$1001,0),0), INDEX($AC$1004:$AS$1004,1,MATCH(COLUMNS($AC$1006:AG1006),$AC$1006:$AS$1006,0)))),"Fix")))</f>
        <v>0</v>
      </c>
      <c r="G743" s="5">
        <f>IF(OR(INDEX($W$2:$W$1001,MATCH(ROWS($V$2:V743),$V$2:$V$1001,0),1)&gt;=100000,INDEX($AC$1005:$AS$1005,1,MATCH(COLUMNS($AC$1006:AH1006),$AC$1006:$AS$1006,0))&gt;=100000), " ",IF(INDEX($AC$2:$AS$1001,MATCH(ROWS($V$2:V743),$V$2:$V$1001,0),MATCH(COLUMNS($AC$1006:AH1006),$AC$1006:$AS$1006,0)), HYPERLINK("#",""), HYPERLINK(CONCATENATE("#Metadata!", ADDRESS(INDEX($X$2:$X$1001,MATCH(ROWS($V$2:V743),$V$2:$V$1001,0),0), INDEX($AC$1004:$AS$1004,1,MATCH(COLUMNS($AC$1006:AH1006),$AC$1006:$AS$1006,0)))),"Fix")))</f>
        <v>0</v>
      </c>
      <c r="H743" s="5">
        <f>IF(OR(INDEX($W$2:$W$1001,MATCH(ROWS($V$2:V743),$V$2:$V$1001,0),1)&gt;=100000,INDEX($AC$1005:$AS$1005,1,MATCH(COLUMNS($AC$1006:AI1006),$AC$1006:$AS$1006,0))&gt;=100000), " ",IF(INDEX($AC$2:$AS$1001,MATCH(ROWS($V$2:V743),$V$2:$V$1001,0),MATCH(COLUMNS($AC$1006:AI1006),$AC$1006:$AS$1006,0)), HYPERLINK("#",""), HYPERLINK(CONCATENATE("#Metadata!", ADDRESS(INDEX($X$2:$X$1001,MATCH(ROWS($V$2:V743),$V$2:$V$1001,0),0), INDEX($AC$1004:$AS$1004,1,MATCH(COLUMNS($AC$1006:AI1006),$AC$1006:$AS$1006,0)))),"Fix")))</f>
        <v>0</v>
      </c>
      <c r="I743" s="5">
        <f>IF(OR(INDEX($W$2:$W$1001,MATCH(ROWS($V$2:V743),$V$2:$V$1001,0),1)&gt;=100000,INDEX($AC$1005:$AS$1005,1,MATCH(COLUMNS($AC$1006:AJ1006),$AC$1006:$AS$1006,0))&gt;=100000), " ",IF(INDEX($AC$2:$AS$1001,MATCH(ROWS($V$2:V743),$V$2:$V$1001,0),MATCH(COLUMNS($AC$1006:AJ1006),$AC$1006:$AS$1006,0)), HYPERLINK("#",""), HYPERLINK(CONCATENATE("#Metadata!", ADDRESS(INDEX($X$2:$X$1001,MATCH(ROWS($V$2:V743),$V$2:$V$1001,0),0), INDEX($AC$1004:$AS$1004,1,MATCH(COLUMNS($AC$1006:AJ1006),$AC$1006:$AS$1006,0)))),"Fix")))</f>
        <v>0</v>
      </c>
      <c r="J743" s="5">
        <f>IF(OR(INDEX($W$2:$W$1001,MATCH(ROWS($V$2:V743),$V$2:$V$1001,0),1)&gt;=100000,INDEX($AC$1005:$AS$1005,1,MATCH(COLUMNS($AC$1006:AK1006),$AC$1006:$AS$1006,0))&gt;=100000), " ",IF(INDEX($AC$2:$AS$1001,MATCH(ROWS($V$2:V743),$V$2:$V$1001,0),MATCH(COLUMNS($AC$1006:AK1006),$AC$1006:$AS$1006,0)), HYPERLINK("#",""), HYPERLINK(CONCATENATE("#Metadata!", ADDRESS(INDEX($X$2:$X$1001,MATCH(ROWS($V$2:V743),$V$2:$V$1001,0),0), INDEX($AC$1004:$AS$1004,1,MATCH(COLUMNS($AC$1006:AK1006),$AC$1006:$AS$1006,0)))),"Fix")))</f>
        <v>0</v>
      </c>
      <c r="K743" s="5">
        <f>IF(OR(INDEX($W$2:$W$1001,MATCH(ROWS($V$2:V743),$V$2:$V$1001,0),1)&gt;=100000,INDEX($AC$1005:$AS$1005,1,MATCH(COLUMNS($AC$1006:AL1006),$AC$1006:$AS$1006,0))&gt;=100000), " ",IF(INDEX($AC$2:$AS$1001,MATCH(ROWS($V$2:V743),$V$2:$V$1001,0),MATCH(COLUMNS($AC$1006:AL1006),$AC$1006:$AS$1006,0)), HYPERLINK("#",""), HYPERLINK(CONCATENATE("#Metadata!", ADDRESS(INDEX($X$2:$X$1001,MATCH(ROWS($V$2:V743),$V$2:$V$1001,0),0), INDEX($AC$1004:$AS$1004,1,MATCH(COLUMNS($AC$1006:AL1006),$AC$1006:$AS$1006,0)))),"Fix")))</f>
        <v>0</v>
      </c>
      <c r="L743" s="5">
        <f>IF(OR(INDEX($W$2:$W$1001,MATCH(ROWS($V$2:V743),$V$2:$V$1001,0),1)&gt;=100000,INDEX($AC$1005:$AS$1005,1,MATCH(COLUMNS($AC$1006:AM1006),$AC$1006:$AS$1006,0))&gt;=100000), " ",IF(INDEX($AC$2:$AS$1001,MATCH(ROWS($V$2:V743),$V$2:$V$1001,0),MATCH(COLUMNS($AC$1006:AM1006),$AC$1006:$AS$1006,0)), HYPERLINK("#",""), HYPERLINK(CONCATENATE("#Metadata!", ADDRESS(INDEX($X$2:$X$1001,MATCH(ROWS($V$2:V743),$V$2:$V$1001,0),0), INDEX($AC$1004:$AS$1004,1,MATCH(COLUMNS($AC$1006:AM1006),$AC$1006:$AS$1006,0)))),"Fix")))</f>
        <v>0</v>
      </c>
      <c r="M743" s="5">
        <f>IF(OR(INDEX($W$2:$W$1001,MATCH(ROWS($V$2:V743),$V$2:$V$1001,0),1)&gt;=100000,INDEX($AC$1005:$AS$1005,1,MATCH(COLUMNS($AC$1006:AN1006),$AC$1006:$AS$1006,0))&gt;=100000), " ",IF(INDEX($AC$2:$AS$1001,MATCH(ROWS($V$2:V743),$V$2:$V$1001,0),MATCH(COLUMNS($AC$1006:AN1006),$AC$1006:$AS$1006,0)), HYPERLINK("#",""), HYPERLINK(CONCATENATE("#Metadata!", ADDRESS(INDEX($X$2:$X$1001,MATCH(ROWS($V$2:V743),$V$2:$V$1001,0),0), INDEX($AC$1004:$AS$1004,1,MATCH(COLUMNS($AC$1006:AN1006),$AC$1006:$AS$1006,0)))),"Fix")))</f>
        <v>0</v>
      </c>
      <c r="N743" s="5">
        <f>IF(OR(INDEX($W$2:$W$1001,MATCH(ROWS($V$2:V743),$V$2:$V$1001,0),1)&gt;=100000,INDEX($AC$1005:$AS$1005,1,MATCH(COLUMNS($AC$1006:AO1006),$AC$1006:$AS$1006,0))&gt;=100000), " ",IF(INDEX($AC$2:$AS$1001,MATCH(ROWS($V$2:V743),$V$2:$V$1001,0),MATCH(COLUMNS($AC$1006:AO1006),$AC$1006:$AS$1006,0)), HYPERLINK("#",""), HYPERLINK(CONCATENATE("#Metadata!", ADDRESS(INDEX($X$2:$X$1001,MATCH(ROWS($V$2:V743),$V$2:$V$1001,0),0), INDEX($AC$1004:$AS$1004,1,MATCH(COLUMNS($AC$1006:AO1006),$AC$1006:$AS$1006,0)))),"Fix")))</f>
        <v>0</v>
      </c>
      <c r="O743" s="5">
        <f>IF(OR(INDEX($W$2:$W$1001,MATCH(ROWS($V$2:V743),$V$2:$V$1001,0),1)&gt;=100000,INDEX($AC$1005:$AS$1005,1,MATCH(COLUMNS($AC$1006:AP1006),$AC$1006:$AS$1006,0))&gt;=100000), " ",IF(INDEX($AC$2:$AS$1001,MATCH(ROWS($V$2:V743),$V$2:$V$1001,0),MATCH(COLUMNS($AC$1006:AP1006),$AC$1006:$AS$1006,0)), HYPERLINK("#",""), HYPERLINK(CONCATENATE("#Metadata!", ADDRESS(INDEX($X$2:$X$1001,MATCH(ROWS($V$2:V743),$V$2:$V$1001,0),0), INDEX($AC$1004:$AS$1004,1,MATCH(COLUMNS($AC$1006:AP1006),$AC$1006:$AS$1006,0)))),"Fix")))</f>
        <v>0</v>
      </c>
      <c r="P743" s="5">
        <f>IF(OR(INDEX($W$2:$W$1001,MATCH(ROWS($V$2:V743),$V$2:$V$1001,0),1)&gt;=100000,INDEX($AC$1005:$AS$1005,1,MATCH(COLUMNS($AC$1006:AQ1006),$AC$1006:$AS$1006,0))&gt;=100000), " ",IF(INDEX($AC$2:$AS$1001,MATCH(ROWS($V$2:V743),$V$2:$V$1001,0),MATCH(COLUMNS($AC$1006:AQ1006),$AC$1006:$AS$1006,0)), HYPERLINK("#",""), HYPERLINK(CONCATENATE("#Metadata!", ADDRESS(INDEX($X$2:$X$1001,MATCH(ROWS($V$2:V743),$V$2:$V$1001,0),0), INDEX($AC$1004:$AS$1004,1,MATCH(COLUMNS($AC$1006:AQ1006),$AC$1006:$AS$1006,0)))),"Fix")))</f>
        <v>0</v>
      </c>
      <c r="Q743" s="5">
        <f>IF(OR(INDEX($W$2:$W$1001,MATCH(ROWS($V$2:V743),$V$2:$V$1001,0),1)&gt;=100000,INDEX($AC$1005:$AS$1005,1,MATCH(COLUMNS($AC$1006:AR1006),$AC$1006:$AS$1006,0))&gt;=100000), " ",IF(INDEX($AC$2:$AS$1001,MATCH(ROWS($V$2:V743),$V$2:$V$1001,0),MATCH(COLUMNS($AC$1006:AR1006),$AC$1006:$AS$1006,0)), HYPERLINK("#",""), HYPERLINK(CONCATENATE("#Metadata!", ADDRESS(INDEX($X$2:$X$1001,MATCH(ROWS($V$2:V743),$V$2:$V$1001,0),0), INDEX($AC$1004:$AS$1004,1,MATCH(COLUMNS($AC$1006:AR1006),$AC$1006:$AS$1006,0)))),"Fix")))</f>
        <v>0</v>
      </c>
      <c r="R743" s="5">
        <f>IF(OR(INDEX($W$2:$W$1001,MATCH(ROWS($V$2:V743),$V$2:$V$1001,0),1)&gt;=100000,INDEX($AC$1005:$AS$1005,1,MATCH(COLUMNS($AC$1006:AS1006),$AC$1006:$AS$1006,0))&gt;=100000), " ",IF(INDEX($AC$2:$AS$1001,MATCH(ROWS($V$2:V743),$V$2:$V$1001,0),MATCH(COLUMNS($AC$1006:AS1006),$AC$1006:$AS$1006,0)), HYPERLINK("#",""), HYPERLINK(CONCATENATE("#Metadata!", ADDRESS(INDEX($X$2:$X$1001,MATCH(ROWS($V$2:V743),$V$2:$V$1001,0),0), INDEX($AC$1004:$AS$1004,1,MATCH(COLUMNS($AC$1006:AS1006),$AC$1006:$AS$1006,0)))),"Fix")))</f>
        <v>0</v>
      </c>
      <c r="V743">
        <v>0</v>
      </c>
      <c r="W743">
        <v>0</v>
      </c>
      <c r="X743">
        <v>0</v>
      </c>
      <c r="Y743">
        <f>IF(Z743,TRUE,AND(AC743:AS743))</f>
        <v>0</v>
      </c>
      <c r="Z743">
        <f>COUNTBLANK(Metadata!B743:R743)=COLUMNS(Metadata!B743:R743)</f>
        <v>0</v>
      </c>
      <c r="AA743">
        <v>0</v>
      </c>
      <c r="AC743">
        <f>AND(IF(Metadata!B743="",FALSE,TRUE),COUNTIF(Metadata!B:B, Metadata!B743) = 1,NOT(ISERROR(SUMPRODUCT(SEARCH(MID(Metadata!B743,ROW(INDIRECT("1:"&amp;LEN(Metadata!B743))), 1),"0123456789abcdefghijklmnopqrstuvwxyzABCDEFGHIJKLMNOPQRSTUVWXYZ.")))))</f>
        <v>0</v>
      </c>
      <c r="AD743">
        <f>AND(IF(Metadata!C743="",FALSE,TRUE),exact(Metadata!C743,"Host-associated"))</f>
        <v>0</v>
      </c>
      <c r="AE743">
        <f>AND(IF(Metadata!D743="",FALSE,TRUE),OR(exact(Metadata!D743,"Animal"),exact(Metadata!D743,"Fungus"),exact(Metadata!D743,"Plant")))</f>
        <v>0</v>
      </c>
      <c r="AF743">
        <f>AND(IF(Metadata!E743="",FALSE,TRUE),OR(exact(Metadata!E743,"Plant secretion"),exact(Metadata!E743,"Plant rhizosphere"),exact(Metadata!E743,"Plant surface"),exact(Metadata!E743,"Plant corpus"),exact(Metadata!E743,"Fungus surface"),exact(Metadata!E743,"Fungus corpus"),exact(Metadata!E743,"Animal surface"),exact(Metadata!E743,"Animal proximal gut"),exact(Metadata!E743,"Animal corpus"),exact(Metadata!E743,"Animal distal gut"),exact(Metadata!E743,"Animal secretion")))</f>
        <v>0</v>
      </c>
      <c r="AG743">
        <f>OR(AND(IF(Metadata!F743="",FALSE,TRUE),OR(exact(Metadata!F743,"not collected"),exact(Metadata!F743,"not provided"),exact(Metadata!F743,"restricted access"))),AND(IF(Metadata!F743="",FALSE,TRUE),OR(exact(Metadata!F743,"organism-associated habitat"),exact(Metadata!F743,"plant-associated habitat"),exact(Metadata!F743,"animal-associated habitat"),exact(Metadata!F743,"insecta-associated habitat"),exact(Metadata!F743,"mammalia-associated habitat"),exact(Metadata!F743,"human-associated habitat"),exact(Metadata!F743,"livestock-associated habitat"))))</f>
        <v>0</v>
      </c>
      <c r="AH743">
        <f>AND(IF(Metadata!G743="",FALSE,TRUE),exact(Metadata!G743,"host-associated"))</f>
        <v>0</v>
      </c>
      <c r="AI743">
        <f>OR(AND(IF(Metadata!H743="",FALSE,TRUE),OR(exact(Metadata!H743,"not collected"),exact(Metadata!H743,"not provided"))),AND(IF(Metadata!H743="",FALSE,ISNUMBER(VALUE(Metadata!H743))),Metadata!H743&gt;0))</f>
        <v>0</v>
      </c>
      <c r="AJ743">
        <f>AND(IF(Metadata!I743="",FALSE,TRUE),exact(Metadata!I743,"years"))</f>
        <v>0</v>
      </c>
      <c r="AK743">
        <f>IF(Metadata!J743="",FALSE,TRUE)</f>
        <v>0</v>
      </c>
      <c r="AL743">
        <f>OR(AND(IF(Metadata!K743="",FALSE,TRUE),OR(exact(Metadata!K743,"not collected"),exact(Metadata!K743,"not provided"))),AND(IF(Metadata!K743="",FALSE,ISNUMBER(VALUE(Metadata!K743))),Metadata!K743&gt;0))</f>
        <v>0</v>
      </c>
      <c r="AM743">
        <f>AND(IF(Metadata!L743="",FALSE,TRUE),exact(Metadata!L743,"cm"))</f>
        <v>0</v>
      </c>
      <c r="AN743">
        <f>IF(Metadata!M743="",FALSE,TRUE)</f>
        <v>0</v>
      </c>
      <c r="AO743">
        <f>OR(AND(IF(Metadata!N743="",FALSE,TRUE),OR(exact(Metadata!N743,"not applicable"),exact(Metadata!N743,"not collected"),exact(Metadata!N743,"not provided"))),AND(IF(Metadata!N743="",FALSE,IF(ISERROR(INT(Metadata!N743)),FALSE,INT(Metadata!N743)=Metadata!N743)),Metadata!N743&gt;0))</f>
        <v>0</v>
      </c>
      <c r="AP743">
        <f>OR(AND(IF(Metadata!O743="",FALSE,TRUE),OR(exact(Metadata!O743,"not collected"),exact(Metadata!O743,"not provided"))),AND(IF(Metadata!O743="",FALSE,ISNUMBER(VALUE(Metadata!O743))),Metadata!O743&gt;0))</f>
        <v>0</v>
      </c>
      <c r="AQ743">
        <f>AND(IF(Metadata!P743="",FALSE,TRUE),exact(Metadata!P743,"kg"))</f>
        <v>0</v>
      </c>
      <c r="AR743">
        <f>OR(AND(IF(Metadata!Q743="",FALSE,TRUE),OR(exact(Metadata!Q743,"not applicable"),exact(Metadata!Q743,"not collected"),exact(Metadata!Q743,"not provided"),exact(Metadata!Q743,"restricted access"))),IF(Metadata!Q743="",FALSE,IF(ISERROR(INT(Metadata!Q743)),FALSE,INT(Metadata!Q743)=Metadata!Q743)))</f>
        <v>0</v>
      </c>
      <c r="AS743">
        <f>AND(IF(Metadata!R743="",FALSE,TRUE),exact(Metadata!R743,"Not applicable"))</f>
        <v>0</v>
      </c>
    </row>
    <row r="744" spans="1:45">
      <c r="A744" s="4">
        <f>IF(B744=" "," ",HYPERLINK(CONCATENATE("#metadata!",ADDRESS(INDEX($X$2:$X$1001,MATCH(ROWS($V$2:V744),$V$2:$V$1001,0),0),2)),INDEX($AA$2:$AA$1001,MATCH(ROWS($V$2:V744),$V$2:$V$1001,0),0)))</f>
        <v>0</v>
      </c>
      <c r="B744" s="5">
        <f>IF(OR(INDEX($W$2:$W$1001,MATCH(ROWS($V$2:V744),$V$2:$V$1001,0),1)&gt;=100000,INDEX($AC$1005:$AS$1005,1,MATCH(COLUMNS($AC$1006:AC1006),$AC$1006:$AS$1006,0))&gt;=100000), " ",IF(INDEX($AC$2:$AS$1001,MATCH(ROWS($V$2:V744),$V$2:$V$1001,0),MATCH(COLUMNS($AC$1006:AC1006),$AC$1006:$AS$1006,0)), HYPERLINK("#",""), HYPERLINK(CONCATENATE("#Metadata!", ADDRESS(INDEX($X$2:$X$1001,MATCH(ROWS($V$2:V744),$V$2:$V$1001,0),0), INDEX($AC$1004:$AS$1004,1,MATCH(COLUMNS($AC$1006:AC1006),$AC$1006:$AS$1006,0)))),"Fix")))</f>
        <v>0</v>
      </c>
      <c r="C744" s="5">
        <f>IF(OR(INDEX($W$2:$W$1001,MATCH(ROWS($V$2:V744),$V$2:$V$1001,0),1)&gt;=100000,INDEX($AC$1005:$AS$1005,1,MATCH(COLUMNS($AC$1006:AD1006),$AC$1006:$AS$1006,0))&gt;=100000), " ",IF(INDEX($AC$2:$AS$1001,MATCH(ROWS($V$2:V744),$V$2:$V$1001,0),MATCH(COLUMNS($AC$1006:AD1006),$AC$1006:$AS$1006,0)), HYPERLINK("#",""), HYPERLINK(CONCATENATE("#Metadata!", ADDRESS(INDEX($X$2:$X$1001,MATCH(ROWS($V$2:V744),$V$2:$V$1001,0),0), INDEX($AC$1004:$AS$1004,1,MATCH(COLUMNS($AC$1006:AD1006),$AC$1006:$AS$1006,0)))),"Fix")))</f>
        <v>0</v>
      </c>
      <c r="D744" s="5">
        <f>IF(OR(INDEX($W$2:$W$1001,MATCH(ROWS($V$2:V744),$V$2:$V$1001,0),1)&gt;=100000,INDEX($AC$1005:$AS$1005,1,MATCH(COLUMNS($AC$1006:AE1006),$AC$1006:$AS$1006,0))&gt;=100000), " ",IF(INDEX($AC$2:$AS$1001,MATCH(ROWS($V$2:V744),$V$2:$V$1001,0),MATCH(COLUMNS($AC$1006:AE1006),$AC$1006:$AS$1006,0)), HYPERLINK("#",""), HYPERLINK(CONCATENATE("#Metadata!", ADDRESS(INDEX($X$2:$X$1001,MATCH(ROWS($V$2:V744),$V$2:$V$1001,0),0), INDEX($AC$1004:$AS$1004,1,MATCH(COLUMNS($AC$1006:AE1006),$AC$1006:$AS$1006,0)))),"Fix")))</f>
        <v>0</v>
      </c>
      <c r="E744" s="5">
        <f>IF(OR(INDEX($W$2:$W$1001,MATCH(ROWS($V$2:V744),$V$2:$V$1001,0),1)&gt;=100000,INDEX($AC$1005:$AS$1005,1,MATCH(COLUMNS($AC$1006:AF1006),$AC$1006:$AS$1006,0))&gt;=100000), " ",IF(INDEX($AC$2:$AS$1001,MATCH(ROWS($V$2:V744),$V$2:$V$1001,0),MATCH(COLUMNS($AC$1006:AF1006),$AC$1006:$AS$1006,0)), HYPERLINK("#",""), HYPERLINK(CONCATENATE("#Metadata!", ADDRESS(INDEX($X$2:$X$1001,MATCH(ROWS($V$2:V744),$V$2:$V$1001,0),0), INDEX($AC$1004:$AS$1004,1,MATCH(COLUMNS($AC$1006:AF1006),$AC$1006:$AS$1006,0)))),"Fix")))</f>
        <v>0</v>
      </c>
      <c r="F744" s="5">
        <f>IF(OR(INDEX($W$2:$W$1001,MATCH(ROWS($V$2:V744),$V$2:$V$1001,0),1)&gt;=100000,INDEX($AC$1005:$AS$1005,1,MATCH(COLUMNS($AC$1006:AG1006),$AC$1006:$AS$1006,0))&gt;=100000), " ",IF(INDEX($AC$2:$AS$1001,MATCH(ROWS($V$2:V744),$V$2:$V$1001,0),MATCH(COLUMNS($AC$1006:AG1006),$AC$1006:$AS$1006,0)), HYPERLINK("#",""), HYPERLINK(CONCATENATE("#Metadata!", ADDRESS(INDEX($X$2:$X$1001,MATCH(ROWS($V$2:V744),$V$2:$V$1001,0),0), INDEX($AC$1004:$AS$1004,1,MATCH(COLUMNS($AC$1006:AG1006),$AC$1006:$AS$1006,0)))),"Fix")))</f>
        <v>0</v>
      </c>
      <c r="G744" s="5">
        <f>IF(OR(INDEX($W$2:$W$1001,MATCH(ROWS($V$2:V744),$V$2:$V$1001,0),1)&gt;=100000,INDEX($AC$1005:$AS$1005,1,MATCH(COLUMNS($AC$1006:AH1006),$AC$1006:$AS$1006,0))&gt;=100000), " ",IF(INDEX($AC$2:$AS$1001,MATCH(ROWS($V$2:V744),$V$2:$V$1001,0),MATCH(COLUMNS($AC$1006:AH1006),$AC$1006:$AS$1006,0)), HYPERLINK("#",""), HYPERLINK(CONCATENATE("#Metadata!", ADDRESS(INDEX($X$2:$X$1001,MATCH(ROWS($V$2:V744),$V$2:$V$1001,0),0), INDEX($AC$1004:$AS$1004,1,MATCH(COLUMNS($AC$1006:AH1006),$AC$1006:$AS$1006,0)))),"Fix")))</f>
        <v>0</v>
      </c>
      <c r="H744" s="5">
        <f>IF(OR(INDEX($W$2:$W$1001,MATCH(ROWS($V$2:V744),$V$2:$V$1001,0),1)&gt;=100000,INDEX($AC$1005:$AS$1005,1,MATCH(COLUMNS($AC$1006:AI1006),$AC$1006:$AS$1006,0))&gt;=100000), " ",IF(INDEX($AC$2:$AS$1001,MATCH(ROWS($V$2:V744),$V$2:$V$1001,0),MATCH(COLUMNS($AC$1006:AI1006),$AC$1006:$AS$1006,0)), HYPERLINK("#",""), HYPERLINK(CONCATENATE("#Metadata!", ADDRESS(INDEX($X$2:$X$1001,MATCH(ROWS($V$2:V744),$V$2:$V$1001,0),0), INDEX($AC$1004:$AS$1004,1,MATCH(COLUMNS($AC$1006:AI1006),$AC$1006:$AS$1006,0)))),"Fix")))</f>
        <v>0</v>
      </c>
      <c r="I744" s="5">
        <f>IF(OR(INDEX($W$2:$W$1001,MATCH(ROWS($V$2:V744),$V$2:$V$1001,0),1)&gt;=100000,INDEX($AC$1005:$AS$1005,1,MATCH(COLUMNS($AC$1006:AJ1006),$AC$1006:$AS$1006,0))&gt;=100000), " ",IF(INDEX($AC$2:$AS$1001,MATCH(ROWS($V$2:V744),$V$2:$V$1001,0),MATCH(COLUMNS($AC$1006:AJ1006),$AC$1006:$AS$1006,0)), HYPERLINK("#",""), HYPERLINK(CONCATENATE("#Metadata!", ADDRESS(INDEX($X$2:$X$1001,MATCH(ROWS($V$2:V744),$V$2:$V$1001,0),0), INDEX($AC$1004:$AS$1004,1,MATCH(COLUMNS($AC$1006:AJ1006),$AC$1006:$AS$1006,0)))),"Fix")))</f>
        <v>0</v>
      </c>
      <c r="J744" s="5">
        <f>IF(OR(INDEX($W$2:$W$1001,MATCH(ROWS($V$2:V744),$V$2:$V$1001,0),1)&gt;=100000,INDEX($AC$1005:$AS$1005,1,MATCH(COLUMNS($AC$1006:AK1006),$AC$1006:$AS$1006,0))&gt;=100000), " ",IF(INDEX($AC$2:$AS$1001,MATCH(ROWS($V$2:V744),$V$2:$V$1001,0),MATCH(COLUMNS($AC$1006:AK1006),$AC$1006:$AS$1006,0)), HYPERLINK("#",""), HYPERLINK(CONCATENATE("#Metadata!", ADDRESS(INDEX($X$2:$X$1001,MATCH(ROWS($V$2:V744),$V$2:$V$1001,0),0), INDEX($AC$1004:$AS$1004,1,MATCH(COLUMNS($AC$1006:AK1006),$AC$1006:$AS$1006,0)))),"Fix")))</f>
        <v>0</v>
      </c>
      <c r="K744" s="5">
        <f>IF(OR(INDEX($W$2:$W$1001,MATCH(ROWS($V$2:V744),$V$2:$V$1001,0),1)&gt;=100000,INDEX($AC$1005:$AS$1005,1,MATCH(COLUMNS($AC$1006:AL1006),$AC$1006:$AS$1006,0))&gt;=100000), " ",IF(INDEX($AC$2:$AS$1001,MATCH(ROWS($V$2:V744),$V$2:$V$1001,0),MATCH(COLUMNS($AC$1006:AL1006),$AC$1006:$AS$1006,0)), HYPERLINK("#",""), HYPERLINK(CONCATENATE("#Metadata!", ADDRESS(INDEX($X$2:$X$1001,MATCH(ROWS($V$2:V744),$V$2:$V$1001,0),0), INDEX($AC$1004:$AS$1004,1,MATCH(COLUMNS($AC$1006:AL1006),$AC$1006:$AS$1006,0)))),"Fix")))</f>
        <v>0</v>
      </c>
      <c r="L744" s="5">
        <f>IF(OR(INDEX($W$2:$W$1001,MATCH(ROWS($V$2:V744),$V$2:$V$1001,0),1)&gt;=100000,INDEX($AC$1005:$AS$1005,1,MATCH(COLUMNS($AC$1006:AM1006),$AC$1006:$AS$1006,0))&gt;=100000), " ",IF(INDEX($AC$2:$AS$1001,MATCH(ROWS($V$2:V744),$V$2:$V$1001,0),MATCH(COLUMNS($AC$1006:AM1006),$AC$1006:$AS$1006,0)), HYPERLINK("#",""), HYPERLINK(CONCATENATE("#Metadata!", ADDRESS(INDEX($X$2:$X$1001,MATCH(ROWS($V$2:V744),$V$2:$V$1001,0),0), INDEX($AC$1004:$AS$1004,1,MATCH(COLUMNS($AC$1006:AM1006),$AC$1006:$AS$1006,0)))),"Fix")))</f>
        <v>0</v>
      </c>
      <c r="M744" s="5">
        <f>IF(OR(INDEX($W$2:$W$1001,MATCH(ROWS($V$2:V744),$V$2:$V$1001,0),1)&gt;=100000,INDEX($AC$1005:$AS$1005,1,MATCH(COLUMNS($AC$1006:AN1006),$AC$1006:$AS$1006,0))&gt;=100000), " ",IF(INDEX($AC$2:$AS$1001,MATCH(ROWS($V$2:V744),$V$2:$V$1001,0),MATCH(COLUMNS($AC$1006:AN1006),$AC$1006:$AS$1006,0)), HYPERLINK("#",""), HYPERLINK(CONCATENATE("#Metadata!", ADDRESS(INDEX($X$2:$X$1001,MATCH(ROWS($V$2:V744),$V$2:$V$1001,0),0), INDEX($AC$1004:$AS$1004,1,MATCH(COLUMNS($AC$1006:AN1006),$AC$1006:$AS$1006,0)))),"Fix")))</f>
        <v>0</v>
      </c>
      <c r="N744" s="5">
        <f>IF(OR(INDEX($W$2:$W$1001,MATCH(ROWS($V$2:V744),$V$2:$V$1001,0),1)&gt;=100000,INDEX($AC$1005:$AS$1005,1,MATCH(COLUMNS($AC$1006:AO1006),$AC$1006:$AS$1006,0))&gt;=100000), " ",IF(INDEX($AC$2:$AS$1001,MATCH(ROWS($V$2:V744),$V$2:$V$1001,0),MATCH(COLUMNS($AC$1006:AO1006),$AC$1006:$AS$1006,0)), HYPERLINK("#",""), HYPERLINK(CONCATENATE("#Metadata!", ADDRESS(INDEX($X$2:$X$1001,MATCH(ROWS($V$2:V744),$V$2:$V$1001,0),0), INDEX($AC$1004:$AS$1004,1,MATCH(COLUMNS($AC$1006:AO1006),$AC$1006:$AS$1006,0)))),"Fix")))</f>
        <v>0</v>
      </c>
      <c r="O744" s="5">
        <f>IF(OR(INDEX($W$2:$W$1001,MATCH(ROWS($V$2:V744),$V$2:$V$1001,0),1)&gt;=100000,INDEX($AC$1005:$AS$1005,1,MATCH(COLUMNS($AC$1006:AP1006),$AC$1006:$AS$1006,0))&gt;=100000), " ",IF(INDEX($AC$2:$AS$1001,MATCH(ROWS($V$2:V744),$V$2:$V$1001,0),MATCH(COLUMNS($AC$1006:AP1006),$AC$1006:$AS$1006,0)), HYPERLINK("#",""), HYPERLINK(CONCATENATE("#Metadata!", ADDRESS(INDEX($X$2:$X$1001,MATCH(ROWS($V$2:V744),$V$2:$V$1001,0),0), INDEX($AC$1004:$AS$1004,1,MATCH(COLUMNS($AC$1006:AP1006),$AC$1006:$AS$1006,0)))),"Fix")))</f>
        <v>0</v>
      </c>
      <c r="P744" s="5">
        <f>IF(OR(INDEX($W$2:$W$1001,MATCH(ROWS($V$2:V744),$V$2:$V$1001,0),1)&gt;=100000,INDEX($AC$1005:$AS$1005,1,MATCH(COLUMNS($AC$1006:AQ1006),$AC$1006:$AS$1006,0))&gt;=100000), " ",IF(INDEX($AC$2:$AS$1001,MATCH(ROWS($V$2:V744),$V$2:$V$1001,0),MATCH(COLUMNS($AC$1006:AQ1006),$AC$1006:$AS$1006,0)), HYPERLINK("#",""), HYPERLINK(CONCATENATE("#Metadata!", ADDRESS(INDEX($X$2:$X$1001,MATCH(ROWS($V$2:V744),$V$2:$V$1001,0),0), INDEX($AC$1004:$AS$1004,1,MATCH(COLUMNS($AC$1006:AQ1006),$AC$1006:$AS$1006,0)))),"Fix")))</f>
        <v>0</v>
      </c>
      <c r="Q744" s="5">
        <f>IF(OR(INDEX($W$2:$W$1001,MATCH(ROWS($V$2:V744),$V$2:$V$1001,0),1)&gt;=100000,INDEX($AC$1005:$AS$1005,1,MATCH(COLUMNS($AC$1006:AR1006),$AC$1006:$AS$1006,0))&gt;=100000), " ",IF(INDEX($AC$2:$AS$1001,MATCH(ROWS($V$2:V744),$V$2:$V$1001,0),MATCH(COLUMNS($AC$1006:AR1006),$AC$1006:$AS$1006,0)), HYPERLINK("#",""), HYPERLINK(CONCATENATE("#Metadata!", ADDRESS(INDEX($X$2:$X$1001,MATCH(ROWS($V$2:V744),$V$2:$V$1001,0),0), INDEX($AC$1004:$AS$1004,1,MATCH(COLUMNS($AC$1006:AR1006),$AC$1006:$AS$1006,0)))),"Fix")))</f>
        <v>0</v>
      </c>
      <c r="R744" s="5">
        <f>IF(OR(INDEX($W$2:$W$1001,MATCH(ROWS($V$2:V744),$V$2:$V$1001,0),1)&gt;=100000,INDEX($AC$1005:$AS$1005,1,MATCH(COLUMNS($AC$1006:AS1006),$AC$1006:$AS$1006,0))&gt;=100000), " ",IF(INDEX($AC$2:$AS$1001,MATCH(ROWS($V$2:V744),$V$2:$V$1001,0),MATCH(COLUMNS($AC$1006:AS1006),$AC$1006:$AS$1006,0)), HYPERLINK("#",""), HYPERLINK(CONCATENATE("#Metadata!", ADDRESS(INDEX($X$2:$X$1001,MATCH(ROWS($V$2:V744),$V$2:$V$1001,0),0), INDEX($AC$1004:$AS$1004,1,MATCH(COLUMNS($AC$1006:AS1006),$AC$1006:$AS$1006,0)))),"Fix")))</f>
        <v>0</v>
      </c>
      <c r="V744">
        <v>0</v>
      </c>
      <c r="W744">
        <v>0</v>
      </c>
      <c r="X744">
        <v>0</v>
      </c>
      <c r="Y744">
        <f>IF(Z744,TRUE,AND(AC744:AS744))</f>
        <v>0</v>
      </c>
      <c r="Z744">
        <f>COUNTBLANK(Metadata!B744:R744)=COLUMNS(Metadata!B744:R744)</f>
        <v>0</v>
      </c>
      <c r="AA744">
        <v>0</v>
      </c>
      <c r="AC744">
        <f>AND(IF(Metadata!B744="",FALSE,TRUE),COUNTIF(Metadata!B:B, Metadata!B744) = 1,NOT(ISERROR(SUMPRODUCT(SEARCH(MID(Metadata!B744,ROW(INDIRECT("1:"&amp;LEN(Metadata!B744))), 1),"0123456789abcdefghijklmnopqrstuvwxyzABCDEFGHIJKLMNOPQRSTUVWXYZ.")))))</f>
        <v>0</v>
      </c>
      <c r="AD744">
        <f>AND(IF(Metadata!C744="",FALSE,TRUE),exact(Metadata!C744,"Host-associated"))</f>
        <v>0</v>
      </c>
      <c r="AE744">
        <f>AND(IF(Metadata!D744="",FALSE,TRUE),OR(exact(Metadata!D744,"Animal"),exact(Metadata!D744,"Fungus"),exact(Metadata!D744,"Plant")))</f>
        <v>0</v>
      </c>
      <c r="AF744">
        <f>AND(IF(Metadata!E744="",FALSE,TRUE),OR(exact(Metadata!E744,"Plant secretion"),exact(Metadata!E744,"Plant rhizosphere"),exact(Metadata!E744,"Plant surface"),exact(Metadata!E744,"Plant corpus"),exact(Metadata!E744,"Fungus surface"),exact(Metadata!E744,"Fungus corpus"),exact(Metadata!E744,"Animal surface"),exact(Metadata!E744,"Animal proximal gut"),exact(Metadata!E744,"Animal corpus"),exact(Metadata!E744,"Animal distal gut"),exact(Metadata!E744,"Animal secretion")))</f>
        <v>0</v>
      </c>
      <c r="AG744">
        <f>OR(AND(IF(Metadata!F744="",FALSE,TRUE),OR(exact(Metadata!F744,"not collected"),exact(Metadata!F744,"not provided"),exact(Metadata!F744,"restricted access"))),AND(IF(Metadata!F744="",FALSE,TRUE),OR(exact(Metadata!F744,"organism-associated habitat"),exact(Metadata!F744,"plant-associated habitat"),exact(Metadata!F744,"animal-associated habitat"),exact(Metadata!F744,"insecta-associated habitat"),exact(Metadata!F744,"mammalia-associated habitat"),exact(Metadata!F744,"human-associated habitat"),exact(Metadata!F744,"livestock-associated habitat"))))</f>
        <v>0</v>
      </c>
      <c r="AH744">
        <f>AND(IF(Metadata!G744="",FALSE,TRUE),exact(Metadata!G744,"host-associated"))</f>
        <v>0</v>
      </c>
      <c r="AI744">
        <f>OR(AND(IF(Metadata!H744="",FALSE,TRUE),OR(exact(Metadata!H744,"not collected"),exact(Metadata!H744,"not provided"))),AND(IF(Metadata!H744="",FALSE,ISNUMBER(VALUE(Metadata!H744))),Metadata!H744&gt;0))</f>
        <v>0</v>
      </c>
      <c r="AJ744">
        <f>AND(IF(Metadata!I744="",FALSE,TRUE),exact(Metadata!I744,"years"))</f>
        <v>0</v>
      </c>
      <c r="AK744">
        <f>IF(Metadata!J744="",FALSE,TRUE)</f>
        <v>0</v>
      </c>
      <c r="AL744">
        <f>OR(AND(IF(Metadata!K744="",FALSE,TRUE),OR(exact(Metadata!K744,"not collected"),exact(Metadata!K744,"not provided"))),AND(IF(Metadata!K744="",FALSE,ISNUMBER(VALUE(Metadata!K744))),Metadata!K744&gt;0))</f>
        <v>0</v>
      </c>
      <c r="AM744">
        <f>AND(IF(Metadata!L744="",FALSE,TRUE),exact(Metadata!L744,"cm"))</f>
        <v>0</v>
      </c>
      <c r="AN744">
        <f>IF(Metadata!M744="",FALSE,TRUE)</f>
        <v>0</v>
      </c>
      <c r="AO744">
        <f>OR(AND(IF(Metadata!N744="",FALSE,TRUE),OR(exact(Metadata!N744,"not applicable"),exact(Metadata!N744,"not collected"),exact(Metadata!N744,"not provided"))),AND(IF(Metadata!N744="",FALSE,IF(ISERROR(INT(Metadata!N744)),FALSE,INT(Metadata!N744)=Metadata!N744)),Metadata!N744&gt;0))</f>
        <v>0</v>
      </c>
      <c r="AP744">
        <f>OR(AND(IF(Metadata!O744="",FALSE,TRUE),OR(exact(Metadata!O744,"not collected"),exact(Metadata!O744,"not provided"))),AND(IF(Metadata!O744="",FALSE,ISNUMBER(VALUE(Metadata!O744))),Metadata!O744&gt;0))</f>
        <v>0</v>
      </c>
      <c r="AQ744">
        <f>AND(IF(Metadata!P744="",FALSE,TRUE),exact(Metadata!P744,"kg"))</f>
        <v>0</v>
      </c>
      <c r="AR744">
        <f>OR(AND(IF(Metadata!Q744="",FALSE,TRUE),OR(exact(Metadata!Q744,"not applicable"),exact(Metadata!Q744,"not collected"),exact(Metadata!Q744,"not provided"),exact(Metadata!Q744,"restricted access"))),IF(Metadata!Q744="",FALSE,IF(ISERROR(INT(Metadata!Q744)),FALSE,INT(Metadata!Q744)=Metadata!Q744)))</f>
        <v>0</v>
      </c>
      <c r="AS744">
        <f>AND(IF(Metadata!R744="",FALSE,TRUE),exact(Metadata!R744,"Not applicable"))</f>
        <v>0</v>
      </c>
    </row>
    <row r="745" spans="1:45">
      <c r="A745" s="4">
        <f>IF(B745=" "," ",HYPERLINK(CONCATENATE("#metadata!",ADDRESS(INDEX($X$2:$X$1001,MATCH(ROWS($V$2:V745),$V$2:$V$1001,0),0),2)),INDEX($AA$2:$AA$1001,MATCH(ROWS($V$2:V745),$V$2:$V$1001,0),0)))</f>
        <v>0</v>
      </c>
      <c r="B745" s="5">
        <f>IF(OR(INDEX($W$2:$W$1001,MATCH(ROWS($V$2:V745),$V$2:$V$1001,0),1)&gt;=100000,INDEX($AC$1005:$AS$1005,1,MATCH(COLUMNS($AC$1006:AC1006),$AC$1006:$AS$1006,0))&gt;=100000), " ",IF(INDEX($AC$2:$AS$1001,MATCH(ROWS($V$2:V745),$V$2:$V$1001,0),MATCH(COLUMNS($AC$1006:AC1006),$AC$1006:$AS$1006,0)), HYPERLINK("#",""), HYPERLINK(CONCATENATE("#Metadata!", ADDRESS(INDEX($X$2:$X$1001,MATCH(ROWS($V$2:V745),$V$2:$V$1001,0),0), INDEX($AC$1004:$AS$1004,1,MATCH(COLUMNS($AC$1006:AC1006),$AC$1006:$AS$1006,0)))),"Fix")))</f>
        <v>0</v>
      </c>
      <c r="C745" s="5">
        <f>IF(OR(INDEX($W$2:$W$1001,MATCH(ROWS($V$2:V745),$V$2:$V$1001,0),1)&gt;=100000,INDEX($AC$1005:$AS$1005,1,MATCH(COLUMNS($AC$1006:AD1006),$AC$1006:$AS$1006,0))&gt;=100000), " ",IF(INDEX($AC$2:$AS$1001,MATCH(ROWS($V$2:V745),$V$2:$V$1001,0),MATCH(COLUMNS($AC$1006:AD1006),$AC$1006:$AS$1006,0)), HYPERLINK("#",""), HYPERLINK(CONCATENATE("#Metadata!", ADDRESS(INDEX($X$2:$X$1001,MATCH(ROWS($V$2:V745),$V$2:$V$1001,0),0), INDEX($AC$1004:$AS$1004,1,MATCH(COLUMNS($AC$1006:AD1006),$AC$1006:$AS$1006,0)))),"Fix")))</f>
        <v>0</v>
      </c>
      <c r="D745" s="5">
        <f>IF(OR(INDEX($W$2:$W$1001,MATCH(ROWS($V$2:V745),$V$2:$V$1001,0),1)&gt;=100000,INDEX($AC$1005:$AS$1005,1,MATCH(COLUMNS($AC$1006:AE1006),$AC$1006:$AS$1006,0))&gt;=100000), " ",IF(INDEX($AC$2:$AS$1001,MATCH(ROWS($V$2:V745),$V$2:$V$1001,0),MATCH(COLUMNS($AC$1006:AE1006),$AC$1006:$AS$1006,0)), HYPERLINK("#",""), HYPERLINK(CONCATENATE("#Metadata!", ADDRESS(INDEX($X$2:$X$1001,MATCH(ROWS($V$2:V745),$V$2:$V$1001,0),0), INDEX($AC$1004:$AS$1004,1,MATCH(COLUMNS($AC$1006:AE1006),$AC$1006:$AS$1006,0)))),"Fix")))</f>
        <v>0</v>
      </c>
      <c r="E745" s="5">
        <f>IF(OR(INDEX($W$2:$W$1001,MATCH(ROWS($V$2:V745),$V$2:$V$1001,0),1)&gt;=100000,INDEX($AC$1005:$AS$1005,1,MATCH(COLUMNS($AC$1006:AF1006),$AC$1006:$AS$1006,0))&gt;=100000), " ",IF(INDEX($AC$2:$AS$1001,MATCH(ROWS($V$2:V745),$V$2:$V$1001,0),MATCH(COLUMNS($AC$1006:AF1006),$AC$1006:$AS$1006,0)), HYPERLINK("#",""), HYPERLINK(CONCATENATE("#Metadata!", ADDRESS(INDEX($X$2:$X$1001,MATCH(ROWS($V$2:V745),$V$2:$V$1001,0),0), INDEX($AC$1004:$AS$1004,1,MATCH(COLUMNS($AC$1006:AF1006),$AC$1006:$AS$1006,0)))),"Fix")))</f>
        <v>0</v>
      </c>
      <c r="F745" s="5">
        <f>IF(OR(INDEX($W$2:$W$1001,MATCH(ROWS($V$2:V745),$V$2:$V$1001,0),1)&gt;=100000,INDEX($AC$1005:$AS$1005,1,MATCH(COLUMNS($AC$1006:AG1006),$AC$1006:$AS$1006,0))&gt;=100000), " ",IF(INDEX($AC$2:$AS$1001,MATCH(ROWS($V$2:V745),$V$2:$V$1001,0),MATCH(COLUMNS($AC$1006:AG1006),$AC$1006:$AS$1006,0)), HYPERLINK("#",""), HYPERLINK(CONCATENATE("#Metadata!", ADDRESS(INDEX($X$2:$X$1001,MATCH(ROWS($V$2:V745),$V$2:$V$1001,0),0), INDEX($AC$1004:$AS$1004,1,MATCH(COLUMNS($AC$1006:AG1006),$AC$1006:$AS$1006,0)))),"Fix")))</f>
        <v>0</v>
      </c>
      <c r="G745" s="5">
        <f>IF(OR(INDEX($W$2:$W$1001,MATCH(ROWS($V$2:V745),$V$2:$V$1001,0),1)&gt;=100000,INDEX($AC$1005:$AS$1005,1,MATCH(COLUMNS($AC$1006:AH1006),$AC$1006:$AS$1006,0))&gt;=100000), " ",IF(INDEX($AC$2:$AS$1001,MATCH(ROWS($V$2:V745),$V$2:$V$1001,0),MATCH(COLUMNS($AC$1006:AH1006),$AC$1006:$AS$1006,0)), HYPERLINK("#",""), HYPERLINK(CONCATENATE("#Metadata!", ADDRESS(INDEX($X$2:$X$1001,MATCH(ROWS($V$2:V745),$V$2:$V$1001,0),0), INDEX($AC$1004:$AS$1004,1,MATCH(COLUMNS($AC$1006:AH1006),$AC$1006:$AS$1006,0)))),"Fix")))</f>
        <v>0</v>
      </c>
      <c r="H745" s="5">
        <f>IF(OR(INDEX($W$2:$W$1001,MATCH(ROWS($V$2:V745),$V$2:$V$1001,0),1)&gt;=100000,INDEX($AC$1005:$AS$1005,1,MATCH(COLUMNS($AC$1006:AI1006),$AC$1006:$AS$1006,0))&gt;=100000), " ",IF(INDEX($AC$2:$AS$1001,MATCH(ROWS($V$2:V745),$V$2:$V$1001,0),MATCH(COLUMNS($AC$1006:AI1006),$AC$1006:$AS$1006,0)), HYPERLINK("#",""), HYPERLINK(CONCATENATE("#Metadata!", ADDRESS(INDEX($X$2:$X$1001,MATCH(ROWS($V$2:V745),$V$2:$V$1001,0),0), INDEX($AC$1004:$AS$1004,1,MATCH(COLUMNS($AC$1006:AI1006),$AC$1006:$AS$1006,0)))),"Fix")))</f>
        <v>0</v>
      </c>
      <c r="I745" s="5">
        <f>IF(OR(INDEX($W$2:$W$1001,MATCH(ROWS($V$2:V745),$V$2:$V$1001,0),1)&gt;=100000,INDEX($AC$1005:$AS$1005,1,MATCH(COLUMNS($AC$1006:AJ1006),$AC$1006:$AS$1006,0))&gt;=100000), " ",IF(INDEX($AC$2:$AS$1001,MATCH(ROWS($V$2:V745),$V$2:$V$1001,0),MATCH(COLUMNS($AC$1006:AJ1006),$AC$1006:$AS$1006,0)), HYPERLINK("#",""), HYPERLINK(CONCATENATE("#Metadata!", ADDRESS(INDEX($X$2:$X$1001,MATCH(ROWS($V$2:V745),$V$2:$V$1001,0),0), INDEX($AC$1004:$AS$1004,1,MATCH(COLUMNS($AC$1006:AJ1006),$AC$1006:$AS$1006,0)))),"Fix")))</f>
        <v>0</v>
      </c>
      <c r="J745" s="5">
        <f>IF(OR(INDEX($W$2:$W$1001,MATCH(ROWS($V$2:V745),$V$2:$V$1001,0),1)&gt;=100000,INDEX($AC$1005:$AS$1005,1,MATCH(COLUMNS($AC$1006:AK1006),$AC$1006:$AS$1006,0))&gt;=100000), " ",IF(INDEX($AC$2:$AS$1001,MATCH(ROWS($V$2:V745),$V$2:$V$1001,0),MATCH(COLUMNS($AC$1006:AK1006),$AC$1006:$AS$1006,0)), HYPERLINK("#",""), HYPERLINK(CONCATENATE("#Metadata!", ADDRESS(INDEX($X$2:$X$1001,MATCH(ROWS($V$2:V745),$V$2:$V$1001,0),0), INDEX($AC$1004:$AS$1004,1,MATCH(COLUMNS($AC$1006:AK1006),$AC$1006:$AS$1006,0)))),"Fix")))</f>
        <v>0</v>
      </c>
      <c r="K745" s="5">
        <f>IF(OR(INDEX($W$2:$W$1001,MATCH(ROWS($V$2:V745),$V$2:$V$1001,0),1)&gt;=100000,INDEX($AC$1005:$AS$1005,1,MATCH(COLUMNS($AC$1006:AL1006),$AC$1006:$AS$1006,0))&gt;=100000), " ",IF(INDEX($AC$2:$AS$1001,MATCH(ROWS($V$2:V745),$V$2:$V$1001,0),MATCH(COLUMNS($AC$1006:AL1006),$AC$1006:$AS$1006,0)), HYPERLINK("#",""), HYPERLINK(CONCATENATE("#Metadata!", ADDRESS(INDEX($X$2:$X$1001,MATCH(ROWS($V$2:V745),$V$2:$V$1001,0),0), INDEX($AC$1004:$AS$1004,1,MATCH(COLUMNS($AC$1006:AL1006),$AC$1006:$AS$1006,0)))),"Fix")))</f>
        <v>0</v>
      </c>
      <c r="L745" s="5">
        <f>IF(OR(INDEX($W$2:$W$1001,MATCH(ROWS($V$2:V745),$V$2:$V$1001,0),1)&gt;=100000,INDEX($AC$1005:$AS$1005,1,MATCH(COLUMNS($AC$1006:AM1006),$AC$1006:$AS$1006,0))&gt;=100000), " ",IF(INDEX($AC$2:$AS$1001,MATCH(ROWS($V$2:V745),$V$2:$V$1001,0),MATCH(COLUMNS($AC$1006:AM1006),$AC$1006:$AS$1006,0)), HYPERLINK("#",""), HYPERLINK(CONCATENATE("#Metadata!", ADDRESS(INDEX($X$2:$X$1001,MATCH(ROWS($V$2:V745),$V$2:$V$1001,0),0), INDEX($AC$1004:$AS$1004,1,MATCH(COLUMNS($AC$1006:AM1006),$AC$1006:$AS$1006,0)))),"Fix")))</f>
        <v>0</v>
      </c>
      <c r="M745" s="5">
        <f>IF(OR(INDEX($W$2:$W$1001,MATCH(ROWS($V$2:V745),$V$2:$V$1001,0),1)&gt;=100000,INDEX($AC$1005:$AS$1005,1,MATCH(COLUMNS($AC$1006:AN1006),$AC$1006:$AS$1006,0))&gt;=100000), " ",IF(INDEX($AC$2:$AS$1001,MATCH(ROWS($V$2:V745),$V$2:$V$1001,0),MATCH(COLUMNS($AC$1006:AN1006),$AC$1006:$AS$1006,0)), HYPERLINK("#",""), HYPERLINK(CONCATENATE("#Metadata!", ADDRESS(INDEX($X$2:$X$1001,MATCH(ROWS($V$2:V745),$V$2:$V$1001,0),0), INDEX($AC$1004:$AS$1004,1,MATCH(COLUMNS($AC$1006:AN1006),$AC$1006:$AS$1006,0)))),"Fix")))</f>
        <v>0</v>
      </c>
      <c r="N745" s="5">
        <f>IF(OR(INDEX($W$2:$W$1001,MATCH(ROWS($V$2:V745),$V$2:$V$1001,0),1)&gt;=100000,INDEX($AC$1005:$AS$1005,1,MATCH(COLUMNS($AC$1006:AO1006),$AC$1006:$AS$1006,0))&gt;=100000), " ",IF(INDEX($AC$2:$AS$1001,MATCH(ROWS($V$2:V745),$V$2:$V$1001,0),MATCH(COLUMNS($AC$1006:AO1006),$AC$1006:$AS$1006,0)), HYPERLINK("#",""), HYPERLINK(CONCATENATE("#Metadata!", ADDRESS(INDEX($X$2:$X$1001,MATCH(ROWS($V$2:V745),$V$2:$V$1001,0),0), INDEX($AC$1004:$AS$1004,1,MATCH(COLUMNS($AC$1006:AO1006),$AC$1006:$AS$1006,0)))),"Fix")))</f>
        <v>0</v>
      </c>
      <c r="O745" s="5">
        <f>IF(OR(INDEX($W$2:$W$1001,MATCH(ROWS($V$2:V745),$V$2:$V$1001,0),1)&gt;=100000,INDEX($AC$1005:$AS$1005,1,MATCH(COLUMNS($AC$1006:AP1006),$AC$1006:$AS$1006,0))&gt;=100000), " ",IF(INDEX($AC$2:$AS$1001,MATCH(ROWS($V$2:V745),$V$2:$V$1001,0),MATCH(COLUMNS($AC$1006:AP1006),$AC$1006:$AS$1006,0)), HYPERLINK("#",""), HYPERLINK(CONCATENATE("#Metadata!", ADDRESS(INDEX($X$2:$X$1001,MATCH(ROWS($V$2:V745),$V$2:$V$1001,0),0), INDEX($AC$1004:$AS$1004,1,MATCH(COLUMNS($AC$1006:AP1006),$AC$1006:$AS$1006,0)))),"Fix")))</f>
        <v>0</v>
      </c>
      <c r="P745" s="5">
        <f>IF(OR(INDEX($W$2:$W$1001,MATCH(ROWS($V$2:V745),$V$2:$V$1001,0),1)&gt;=100000,INDEX($AC$1005:$AS$1005,1,MATCH(COLUMNS($AC$1006:AQ1006),$AC$1006:$AS$1006,0))&gt;=100000), " ",IF(INDEX($AC$2:$AS$1001,MATCH(ROWS($V$2:V745),$V$2:$V$1001,0),MATCH(COLUMNS($AC$1006:AQ1006),$AC$1006:$AS$1006,0)), HYPERLINK("#",""), HYPERLINK(CONCATENATE("#Metadata!", ADDRESS(INDEX($X$2:$X$1001,MATCH(ROWS($V$2:V745),$V$2:$V$1001,0),0), INDEX($AC$1004:$AS$1004,1,MATCH(COLUMNS($AC$1006:AQ1006),$AC$1006:$AS$1006,0)))),"Fix")))</f>
        <v>0</v>
      </c>
      <c r="Q745" s="5">
        <f>IF(OR(INDEX($W$2:$W$1001,MATCH(ROWS($V$2:V745),$V$2:$V$1001,0),1)&gt;=100000,INDEX($AC$1005:$AS$1005,1,MATCH(COLUMNS($AC$1006:AR1006),$AC$1006:$AS$1006,0))&gt;=100000), " ",IF(INDEX($AC$2:$AS$1001,MATCH(ROWS($V$2:V745),$V$2:$V$1001,0),MATCH(COLUMNS($AC$1006:AR1006),$AC$1006:$AS$1006,0)), HYPERLINK("#",""), HYPERLINK(CONCATENATE("#Metadata!", ADDRESS(INDEX($X$2:$X$1001,MATCH(ROWS($V$2:V745),$V$2:$V$1001,0),0), INDEX($AC$1004:$AS$1004,1,MATCH(COLUMNS($AC$1006:AR1006),$AC$1006:$AS$1006,0)))),"Fix")))</f>
        <v>0</v>
      </c>
      <c r="R745" s="5">
        <f>IF(OR(INDEX($W$2:$W$1001,MATCH(ROWS($V$2:V745),$V$2:$V$1001,0),1)&gt;=100000,INDEX($AC$1005:$AS$1005,1,MATCH(COLUMNS($AC$1006:AS1006),$AC$1006:$AS$1006,0))&gt;=100000), " ",IF(INDEX($AC$2:$AS$1001,MATCH(ROWS($V$2:V745),$V$2:$V$1001,0),MATCH(COLUMNS($AC$1006:AS1006),$AC$1006:$AS$1006,0)), HYPERLINK("#",""), HYPERLINK(CONCATENATE("#Metadata!", ADDRESS(INDEX($X$2:$X$1001,MATCH(ROWS($V$2:V745),$V$2:$V$1001,0),0), INDEX($AC$1004:$AS$1004,1,MATCH(COLUMNS($AC$1006:AS1006),$AC$1006:$AS$1006,0)))),"Fix")))</f>
        <v>0</v>
      </c>
      <c r="V745">
        <v>0</v>
      </c>
      <c r="W745">
        <v>0</v>
      </c>
      <c r="X745">
        <v>0</v>
      </c>
      <c r="Y745">
        <f>IF(Z745,TRUE,AND(AC745:AS745))</f>
        <v>0</v>
      </c>
      <c r="Z745">
        <f>COUNTBLANK(Metadata!B745:R745)=COLUMNS(Metadata!B745:R745)</f>
        <v>0</v>
      </c>
      <c r="AA745">
        <v>0</v>
      </c>
      <c r="AC745">
        <f>AND(IF(Metadata!B745="",FALSE,TRUE),COUNTIF(Metadata!B:B, Metadata!B745) = 1,NOT(ISERROR(SUMPRODUCT(SEARCH(MID(Metadata!B745,ROW(INDIRECT("1:"&amp;LEN(Metadata!B745))), 1),"0123456789abcdefghijklmnopqrstuvwxyzABCDEFGHIJKLMNOPQRSTUVWXYZ.")))))</f>
        <v>0</v>
      </c>
      <c r="AD745">
        <f>AND(IF(Metadata!C745="",FALSE,TRUE),exact(Metadata!C745,"Host-associated"))</f>
        <v>0</v>
      </c>
      <c r="AE745">
        <f>AND(IF(Metadata!D745="",FALSE,TRUE),OR(exact(Metadata!D745,"Animal"),exact(Metadata!D745,"Fungus"),exact(Metadata!D745,"Plant")))</f>
        <v>0</v>
      </c>
      <c r="AF745">
        <f>AND(IF(Metadata!E745="",FALSE,TRUE),OR(exact(Metadata!E745,"Plant secretion"),exact(Metadata!E745,"Plant rhizosphere"),exact(Metadata!E745,"Plant surface"),exact(Metadata!E745,"Plant corpus"),exact(Metadata!E745,"Fungus surface"),exact(Metadata!E745,"Fungus corpus"),exact(Metadata!E745,"Animal surface"),exact(Metadata!E745,"Animal proximal gut"),exact(Metadata!E745,"Animal corpus"),exact(Metadata!E745,"Animal distal gut"),exact(Metadata!E745,"Animal secretion")))</f>
        <v>0</v>
      </c>
      <c r="AG745">
        <f>OR(AND(IF(Metadata!F745="",FALSE,TRUE),OR(exact(Metadata!F745,"not collected"),exact(Metadata!F745,"not provided"),exact(Metadata!F745,"restricted access"))),AND(IF(Metadata!F745="",FALSE,TRUE),OR(exact(Metadata!F745,"organism-associated habitat"),exact(Metadata!F745,"plant-associated habitat"),exact(Metadata!F745,"animal-associated habitat"),exact(Metadata!F745,"insecta-associated habitat"),exact(Metadata!F745,"mammalia-associated habitat"),exact(Metadata!F745,"human-associated habitat"),exact(Metadata!F745,"livestock-associated habitat"))))</f>
        <v>0</v>
      </c>
      <c r="AH745">
        <f>AND(IF(Metadata!G745="",FALSE,TRUE),exact(Metadata!G745,"host-associated"))</f>
        <v>0</v>
      </c>
      <c r="AI745">
        <f>OR(AND(IF(Metadata!H745="",FALSE,TRUE),OR(exact(Metadata!H745,"not collected"),exact(Metadata!H745,"not provided"))),AND(IF(Metadata!H745="",FALSE,ISNUMBER(VALUE(Metadata!H745))),Metadata!H745&gt;0))</f>
        <v>0</v>
      </c>
      <c r="AJ745">
        <f>AND(IF(Metadata!I745="",FALSE,TRUE),exact(Metadata!I745,"years"))</f>
        <v>0</v>
      </c>
      <c r="AK745">
        <f>IF(Metadata!J745="",FALSE,TRUE)</f>
        <v>0</v>
      </c>
      <c r="AL745">
        <f>OR(AND(IF(Metadata!K745="",FALSE,TRUE),OR(exact(Metadata!K745,"not collected"),exact(Metadata!K745,"not provided"))),AND(IF(Metadata!K745="",FALSE,ISNUMBER(VALUE(Metadata!K745))),Metadata!K745&gt;0))</f>
        <v>0</v>
      </c>
      <c r="AM745">
        <f>AND(IF(Metadata!L745="",FALSE,TRUE),exact(Metadata!L745,"cm"))</f>
        <v>0</v>
      </c>
      <c r="AN745">
        <f>IF(Metadata!M745="",FALSE,TRUE)</f>
        <v>0</v>
      </c>
      <c r="AO745">
        <f>OR(AND(IF(Metadata!N745="",FALSE,TRUE),OR(exact(Metadata!N745,"not applicable"),exact(Metadata!N745,"not collected"),exact(Metadata!N745,"not provided"))),AND(IF(Metadata!N745="",FALSE,IF(ISERROR(INT(Metadata!N745)),FALSE,INT(Metadata!N745)=Metadata!N745)),Metadata!N745&gt;0))</f>
        <v>0</v>
      </c>
      <c r="AP745">
        <f>OR(AND(IF(Metadata!O745="",FALSE,TRUE),OR(exact(Metadata!O745,"not collected"),exact(Metadata!O745,"not provided"))),AND(IF(Metadata!O745="",FALSE,ISNUMBER(VALUE(Metadata!O745))),Metadata!O745&gt;0))</f>
        <v>0</v>
      </c>
      <c r="AQ745">
        <f>AND(IF(Metadata!P745="",FALSE,TRUE),exact(Metadata!P745,"kg"))</f>
        <v>0</v>
      </c>
      <c r="AR745">
        <f>OR(AND(IF(Metadata!Q745="",FALSE,TRUE),OR(exact(Metadata!Q745,"not applicable"),exact(Metadata!Q745,"not collected"),exact(Metadata!Q745,"not provided"),exact(Metadata!Q745,"restricted access"))),IF(Metadata!Q745="",FALSE,IF(ISERROR(INT(Metadata!Q745)),FALSE,INT(Metadata!Q745)=Metadata!Q745)))</f>
        <v>0</v>
      </c>
      <c r="AS745">
        <f>AND(IF(Metadata!R745="",FALSE,TRUE),exact(Metadata!R745,"Not applicable"))</f>
        <v>0</v>
      </c>
    </row>
    <row r="746" spans="1:45">
      <c r="A746" s="4">
        <f>IF(B746=" "," ",HYPERLINK(CONCATENATE("#metadata!",ADDRESS(INDEX($X$2:$X$1001,MATCH(ROWS($V$2:V746),$V$2:$V$1001,0),0),2)),INDEX($AA$2:$AA$1001,MATCH(ROWS($V$2:V746),$V$2:$V$1001,0),0)))</f>
        <v>0</v>
      </c>
      <c r="B746" s="5">
        <f>IF(OR(INDEX($W$2:$W$1001,MATCH(ROWS($V$2:V746),$V$2:$V$1001,0),1)&gt;=100000,INDEX($AC$1005:$AS$1005,1,MATCH(COLUMNS($AC$1006:AC1006),$AC$1006:$AS$1006,0))&gt;=100000), " ",IF(INDEX($AC$2:$AS$1001,MATCH(ROWS($V$2:V746),$V$2:$V$1001,0),MATCH(COLUMNS($AC$1006:AC1006),$AC$1006:$AS$1006,0)), HYPERLINK("#",""), HYPERLINK(CONCATENATE("#Metadata!", ADDRESS(INDEX($X$2:$X$1001,MATCH(ROWS($V$2:V746),$V$2:$V$1001,0),0), INDEX($AC$1004:$AS$1004,1,MATCH(COLUMNS($AC$1006:AC1006),$AC$1006:$AS$1006,0)))),"Fix")))</f>
        <v>0</v>
      </c>
      <c r="C746" s="5">
        <f>IF(OR(INDEX($W$2:$W$1001,MATCH(ROWS($V$2:V746),$V$2:$V$1001,0),1)&gt;=100000,INDEX($AC$1005:$AS$1005,1,MATCH(COLUMNS($AC$1006:AD1006),$AC$1006:$AS$1006,0))&gt;=100000), " ",IF(INDEX($AC$2:$AS$1001,MATCH(ROWS($V$2:V746),$V$2:$V$1001,0),MATCH(COLUMNS($AC$1006:AD1006),$AC$1006:$AS$1006,0)), HYPERLINK("#",""), HYPERLINK(CONCATENATE("#Metadata!", ADDRESS(INDEX($X$2:$X$1001,MATCH(ROWS($V$2:V746),$V$2:$V$1001,0),0), INDEX($AC$1004:$AS$1004,1,MATCH(COLUMNS($AC$1006:AD1006),$AC$1006:$AS$1006,0)))),"Fix")))</f>
        <v>0</v>
      </c>
      <c r="D746" s="5">
        <f>IF(OR(INDEX($W$2:$W$1001,MATCH(ROWS($V$2:V746),$V$2:$V$1001,0),1)&gt;=100000,INDEX($AC$1005:$AS$1005,1,MATCH(COLUMNS($AC$1006:AE1006),$AC$1006:$AS$1006,0))&gt;=100000), " ",IF(INDEX($AC$2:$AS$1001,MATCH(ROWS($V$2:V746),$V$2:$V$1001,0),MATCH(COLUMNS($AC$1006:AE1006),$AC$1006:$AS$1006,0)), HYPERLINK("#",""), HYPERLINK(CONCATENATE("#Metadata!", ADDRESS(INDEX($X$2:$X$1001,MATCH(ROWS($V$2:V746),$V$2:$V$1001,0),0), INDEX($AC$1004:$AS$1004,1,MATCH(COLUMNS($AC$1006:AE1006),$AC$1006:$AS$1006,0)))),"Fix")))</f>
        <v>0</v>
      </c>
      <c r="E746" s="5">
        <f>IF(OR(INDEX($W$2:$W$1001,MATCH(ROWS($V$2:V746),$V$2:$V$1001,0),1)&gt;=100000,INDEX($AC$1005:$AS$1005,1,MATCH(COLUMNS($AC$1006:AF1006),$AC$1006:$AS$1006,0))&gt;=100000), " ",IF(INDEX($AC$2:$AS$1001,MATCH(ROWS($V$2:V746),$V$2:$V$1001,0),MATCH(COLUMNS($AC$1006:AF1006),$AC$1006:$AS$1006,0)), HYPERLINK("#",""), HYPERLINK(CONCATENATE("#Metadata!", ADDRESS(INDEX($X$2:$X$1001,MATCH(ROWS($V$2:V746),$V$2:$V$1001,0),0), INDEX($AC$1004:$AS$1004,1,MATCH(COLUMNS($AC$1006:AF1006),$AC$1006:$AS$1006,0)))),"Fix")))</f>
        <v>0</v>
      </c>
      <c r="F746" s="5">
        <f>IF(OR(INDEX($W$2:$W$1001,MATCH(ROWS($V$2:V746),$V$2:$V$1001,0),1)&gt;=100000,INDEX($AC$1005:$AS$1005,1,MATCH(COLUMNS($AC$1006:AG1006),$AC$1006:$AS$1006,0))&gt;=100000), " ",IF(INDEX($AC$2:$AS$1001,MATCH(ROWS($V$2:V746),$V$2:$V$1001,0),MATCH(COLUMNS($AC$1006:AG1006),$AC$1006:$AS$1006,0)), HYPERLINK("#",""), HYPERLINK(CONCATENATE("#Metadata!", ADDRESS(INDEX($X$2:$X$1001,MATCH(ROWS($V$2:V746),$V$2:$V$1001,0),0), INDEX($AC$1004:$AS$1004,1,MATCH(COLUMNS($AC$1006:AG1006),$AC$1006:$AS$1006,0)))),"Fix")))</f>
        <v>0</v>
      </c>
      <c r="G746" s="5">
        <f>IF(OR(INDEX($W$2:$W$1001,MATCH(ROWS($V$2:V746),$V$2:$V$1001,0),1)&gt;=100000,INDEX($AC$1005:$AS$1005,1,MATCH(COLUMNS($AC$1006:AH1006),$AC$1006:$AS$1006,0))&gt;=100000), " ",IF(INDEX($AC$2:$AS$1001,MATCH(ROWS($V$2:V746),$V$2:$V$1001,0),MATCH(COLUMNS($AC$1006:AH1006),$AC$1006:$AS$1006,0)), HYPERLINK("#",""), HYPERLINK(CONCATENATE("#Metadata!", ADDRESS(INDEX($X$2:$X$1001,MATCH(ROWS($V$2:V746),$V$2:$V$1001,0),0), INDEX($AC$1004:$AS$1004,1,MATCH(COLUMNS($AC$1006:AH1006),$AC$1006:$AS$1006,0)))),"Fix")))</f>
        <v>0</v>
      </c>
      <c r="H746" s="5">
        <f>IF(OR(INDEX($W$2:$W$1001,MATCH(ROWS($V$2:V746),$V$2:$V$1001,0),1)&gt;=100000,INDEX($AC$1005:$AS$1005,1,MATCH(COLUMNS($AC$1006:AI1006),$AC$1006:$AS$1006,0))&gt;=100000), " ",IF(INDEX($AC$2:$AS$1001,MATCH(ROWS($V$2:V746),$V$2:$V$1001,0),MATCH(COLUMNS($AC$1006:AI1006),$AC$1006:$AS$1006,0)), HYPERLINK("#",""), HYPERLINK(CONCATENATE("#Metadata!", ADDRESS(INDEX($X$2:$X$1001,MATCH(ROWS($V$2:V746),$V$2:$V$1001,0),0), INDEX($AC$1004:$AS$1004,1,MATCH(COLUMNS($AC$1006:AI1006),$AC$1006:$AS$1006,0)))),"Fix")))</f>
        <v>0</v>
      </c>
      <c r="I746" s="5">
        <f>IF(OR(INDEX($W$2:$W$1001,MATCH(ROWS($V$2:V746),$V$2:$V$1001,0),1)&gt;=100000,INDEX($AC$1005:$AS$1005,1,MATCH(COLUMNS($AC$1006:AJ1006),$AC$1006:$AS$1006,0))&gt;=100000), " ",IF(INDEX($AC$2:$AS$1001,MATCH(ROWS($V$2:V746),$V$2:$V$1001,0),MATCH(COLUMNS($AC$1006:AJ1006),$AC$1006:$AS$1006,0)), HYPERLINK("#",""), HYPERLINK(CONCATENATE("#Metadata!", ADDRESS(INDEX($X$2:$X$1001,MATCH(ROWS($V$2:V746),$V$2:$V$1001,0),0), INDEX($AC$1004:$AS$1004,1,MATCH(COLUMNS($AC$1006:AJ1006),$AC$1006:$AS$1006,0)))),"Fix")))</f>
        <v>0</v>
      </c>
      <c r="J746" s="5">
        <f>IF(OR(INDEX($W$2:$W$1001,MATCH(ROWS($V$2:V746),$V$2:$V$1001,0),1)&gt;=100000,INDEX($AC$1005:$AS$1005,1,MATCH(COLUMNS($AC$1006:AK1006),$AC$1006:$AS$1006,0))&gt;=100000), " ",IF(INDEX($AC$2:$AS$1001,MATCH(ROWS($V$2:V746),$V$2:$V$1001,0),MATCH(COLUMNS($AC$1006:AK1006),$AC$1006:$AS$1006,0)), HYPERLINK("#",""), HYPERLINK(CONCATENATE("#Metadata!", ADDRESS(INDEX($X$2:$X$1001,MATCH(ROWS($V$2:V746),$V$2:$V$1001,0),0), INDEX($AC$1004:$AS$1004,1,MATCH(COLUMNS($AC$1006:AK1006),$AC$1006:$AS$1006,0)))),"Fix")))</f>
        <v>0</v>
      </c>
      <c r="K746" s="5">
        <f>IF(OR(INDEX($W$2:$W$1001,MATCH(ROWS($V$2:V746),$V$2:$V$1001,0),1)&gt;=100000,INDEX($AC$1005:$AS$1005,1,MATCH(COLUMNS($AC$1006:AL1006),$AC$1006:$AS$1006,0))&gt;=100000), " ",IF(INDEX($AC$2:$AS$1001,MATCH(ROWS($V$2:V746),$V$2:$V$1001,0),MATCH(COLUMNS($AC$1006:AL1006),$AC$1006:$AS$1006,0)), HYPERLINK("#",""), HYPERLINK(CONCATENATE("#Metadata!", ADDRESS(INDEX($X$2:$X$1001,MATCH(ROWS($V$2:V746),$V$2:$V$1001,0),0), INDEX($AC$1004:$AS$1004,1,MATCH(COLUMNS($AC$1006:AL1006),$AC$1006:$AS$1006,0)))),"Fix")))</f>
        <v>0</v>
      </c>
      <c r="L746" s="5">
        <f>IF(OR(INDEX($W$2:$W$1001,MATCH(ROWS($V$2:V746),$V$2:$V$1001,0),1)&gt;=100000,INDEX($AC$1005:$AS$1005,1,MATCH(COLUMNS($AC$1006:AM1006),$AC$1006:$AS$1006,0))&gt;=100000), " ",IF(INDEX($AC$2:$AS$1001,MATCH(ROWS($V$2:V746),$V$2:$V$1001,0),MATCH(COLUMNS($AC$1006:AM1006),$AC$1006:$AS$1006,0)), HYPERLINK("#",""), HYPERLINK(CONCATENATE("#Metadata!", ADDRESS(INDEX($X$2:$X$1001,MATCH(ROWS($V$2:V746),$V$2:$V$1001,0),0), INDEX($AC$1004:$AS$1004,1,MATCH(COLUMNS($AC$1006:AM1006),$AC$1006:$AS$1006,0)))),"Fix")))</f>
        <v>0</v>
      </c>
      <c r="M746" s="5">
        <f>IF(OR(INDEX($W$2:$W$1001,MATCH(ROWS($V$2:V746),$V$2:$V$1001,0),1)&gt;=100000,INDEX($AC$1005:$AS$1005,1,MATCH(COLUMNS($AC$1006:AN1006),$AC$1006:$AS$1006,0))&gt;=100000), " ",IF(INDEX($AC$2:$AS$1001,MATCH(ROWS($V$2:V746),$V$2:$V$1001,0),MATCH(COLUMNS($AC$1006:AN1006),$AC$1006:$AS$1006,0)), HYPERLINK("#",""), HYPERLINK(CONCATENATE("#Metadata!", ADDRESS(INDEX($X$2:$X$1001,MATCH(ROWS($V$2:V746),$V$2:$V$1001,0),0), INDEX($AC$1004:$AS$1004,1,MATCH(COLUMNS($AC$1006:AN1006),$AC$1006:$AS$1006,0)))),"Fix")))</f>
        <v>0</v>
      </c>
      <c r="N746" s="5">
        <f>IF(OR(INDEX($W$2:$W$1001,MATCH(ROWS($V$2:V746),$V$2:$V$1001,0),1)&gt;=100000,INDEX($AC$1005:$AS$1005,1,MATCH(COLUMNS($AC$1006:AO1006),$AC$1006:$AS$1006,0))&gt;=100000), " ",IF(INDEX($AC$2:$AS$1001,MATCH(ROWS($V$2:V746),$V$2:$V$1001,0),MATCH(COLUMNS($AC$1006:AO1006),$AC$1006:$AS$1006,0)), HYPERLINK("#",""), HYPERLINK(CONCATENATE("#Metadata!", ADDRESS(INDEX($X$2:$X$1001,MATCH(ROWS($V$2:V746),$V$2:$V$1001,0),0), INDEX($AC$1004:$AS$1004,1,MATCH(COLUMNS($AC$1006:AO1006),$AC$1006:$AS$1006,0)))),"Fix")))</f>
        <v>0</v>
      </c>
      <c r="O746" s="5">
        <f>IF(OR(INDEX($W$2:$W$1001,MATCH(ROWS($V$2:V746),$V$2:$V$1001,0),1)&gt;=100000,INDEX($AC$1005:$AS$1005,1,MATCH(COLUMNS($AC$1006:AP1006),$AC$1006:$AS$1006,0))&gt;=100000), " ",IF(INDEX($AC$2:$AS$1001,MATCH(ROWS($V$2:V746),$V$2:$V$1001,0),MATCH(COLUMNS($AC$1006:AP1006),$AC$1006:$AS$1006,0)), HYPERLINK("#",""), HYPERLINK(CONCATENATE("#Metadata!", ADDRESS(INDEX($X$2:$X$1001,MATCH(ROWS($V$2:V746),$V$2:$V$1001,0),0), INDEX($AC$1004:$AS$1004,1,MATCH(COLUMNS($AC$1006:AP1006),$AC$1006:$AS$1006,0)))),"Fix")))</f>
        <v>0</v>
      </c>
      <c r="P746" s="5">
        <f>IF(OR(INDEX($W$2:$W$1001,MATCH(ROWS($V$2:V746),$V$2:$V$1001,0),1)&gt;=100000,INDEX($AC$1005:$AS$1005,1,MATCH(COLUMNS($AC$1006:AQ1006),$AC$1006:$AS$1006,0))&gt;=100000), " ",IF(INDEX($AC$2:$AS$1001,MATCH(ROWS($V$2:V746),$V$2:$V$1001,0),MATCH(COLUMNS($AC$1006:AQ1006),$AC$1006:$AS$1006,0)), HYPERLINK("#",""), HYPERLINK(CONCATENATE("#Metadata!", ADDRESS(INDEX($X$2:$X$1001,MATCH(ROWS($V$2:V746),$V$2:$V$1001,0),0), INDEX($AC$1004:$AS$1004,1,MATCH(COLUMNS($AC$1006:AQ1006),$AC$1006:$AS$1006,0)))),"Fix")))</f>
        <v>0</v>
      </c>
      <c r="Q746" s="5">
        <f>IF(OR(INDEX($W$2:$W$1001,MATCH(ROWS($V$2:V746),$V$2:$V$1001,0),1)&gt;=100000,INDEX($AC$1005:$AS$1005,1,MATCH(COLUMNS($AC$1006:AR1006),$AC$1006:$AS$1006,0))&gt;=100000), " ",IF(INDEX($AC$2:$AS$1001,MATCH(ROWS($V$2:V746),$V$2:$V$1001,0),MATCH(COLUMNS($AC$1006:AR1006),$AC$1006:$AS$1006,0)), HYPERLINK("#",""), HYPERLINK(CONCATENATE("#Metadata!", ADDRESS(INDEX($X$2:$X$1001,MATCH(ROWS($V$2:V746),$V$2:$V$1001,0),0), INDEX($AC$1004:$AS$1004,1,MATCH(COLUMNS($AC$1006:AR1006),$AC$1006:$AS$1006,0)))),"Fix")))</f>
        <v>0</v>
      </c>
      <c r="R746" s="5">
        <f>IF(OR(INDEX($W$2:$W$1001,MATCH(ROWS($V$2:V746),$V$2:$V$1001,0),1)&gt;=100000,INDEX($AC$1005:$AS$1005,1,MATCH(COLUMNS($AC$1006:AS1006),$AC$1006:$AS$1006,0))&gt;=100000), " ",IF(INDEX($AC$2:$AS$1001,MATCH(ROWS($V$2:V746),$V$2:$V$1001,0),MATCH(COLUMNS($AC$1006:AS1006),$AC$1006:$AS$1006,0)), HYPERLINK("#",""), HYPERLINK(CONCATENATE("#Metadata!", ADDRESS(INDEX($X$2:$X$1001,MATCH(ROWS($V$2:V746),$V$2:$V$1001,0),0), INDEX($AC$1004:$AS$1004,1,MATCH(COLUMNS($AC$1006:AS1006),$AC$1006:$AS$1006,0)))),"Fix")))</f>
        <v>0</v>
      </c>
      <c r="V746">
        <v>0</v>
      </c>
      <c r="W746">
        <v>0</v>
      </c>
      <c r="X746">
        <v>0</v>
      </c>
      <c r="Y746">
        <f>IF(Z746,TRUE,AND(AC746:AS746))</f>
        <v>0</v>
      </c>
      <c r="Z746">
        <f>COUNTBLANK(Metadata!B746:R746)=COLUMNS(Metadata!B746:R746)</f>
        <v>0</v>
      </c>
      <c r="AA746">
        <v>0</v>
      </c>
      <c r="AC746">
        <f>AND(IF(Metadata!B746="",FALSE,TRUE),COUNTIF(Metadata!B:B, Metadata!B746) = 1,NOT(ISERROR(SUMPRODUCT(SEARCH(MID(Metadata!B746,ROW(INDIRECT("1:"&amp;LEN(Metadata!B746))), 1),"0123456789abcdefghijklmnopqrstuvwxyzABCDEFGHIJKLMNOPQRSTUVWXYZ.")))))</f>
        <v>0</v>
      </c>
      <c r="AD746">
        <f>AND(IF(Metadata!C746="",FALSE,TRUE),exact(Metadata!C746,"Host-associated"))</f>
        <v>0</v>
      </c>
      <c r="AE746">
        <f>AND(IF(Metadata!D746="",FALSE,TRUE),OR(exact(Metadata!D746,"Animal"),exact(Metadata!D746,"Fungus"),exact(Metadata!D746,"Plant")))</f>
        <v>0</v>
      </c>
      <c r="AF746">
        <f>AND(IF(Metadata!E746="",FALSE,TRUE),OR(exact(Metadata!E746,"Plant secretion"),exact(Metadata!E746,"Plant rhizosphere"),exact(Metadata!E746,"Plant surface"),exact(Metadata!E746,"Plant corpus"),exact(Metadata!E746,"Fungus surface"),exact(Metadata!E746,"Fungus corpus"),exact(Metadata!E746,"Animal surface"),exact(Metadata!E746,"Animal proximal gut"),exact(Metadata!E746,"Animal corpus"),exact(Metadata!E746,"Animal distal gut"),exact(Metadata!E746,"Animal secretion")))</f>
        <v>0</v>
      </c>
      <c r="AG746">
        <f>OR(AND(IF(Metadata!F746="",FALSE,TRUE),OR(exact(Metadata!F746,"not collected"),exact(Metadata!F746,"not provided"),exact(Metadata!F746,"restricted access"))),AND(IF(Metadata!F746="",FALSE,TRUE),OR(exact(Metadata!F746,"organism-associated habitat"),exact(Metadata!F746,"plant-associated habitat"),exact(Metadata!F746,"animal-associated habitat"),exact(Metadata!F746,"insecta-associated habitat"),exact(Metadata!F746,"mammalia-associated habitat"),exact(Metadata!F746,"human-associated habitat"),exact(Metadata!F746,"livestock-associated habitat"))))</f>
        <v>0</v>
      </c>
      <c r="AH746">
        <f>AND(IF(Metadata!G746="",FALSE,TRUE),exact(Metadata!G746,"host-associated"))</f>
        <v>0</v>
      </c>
      <c r="AI746">
        <f>OR(AND(IF(Metadata!H746="",FALSE,TRUE),OR(exact(Metadata!H746,"not collected"),exact(Metadata!H746,"not provided"))),AND(IF(Metadata!H746="",FALSE,ISNUMBER(VALUE(Metadata!H746))),Metadata!H746&gt;0))</f>
        <v>0</v>
      </c>
      <c r="AJ746">
        <f>AND(IF(Metadata!I746="",FALSE,TRUE),exact(Metadata!I746,"years"))</f>
        <v>0</v>
      </c>
      <c r="AK746">
        <f>IF(Metadata!J746="",FALSE,TRUE)</f>
        <v>0</v>
      </c>
      <c r="AL746">
        <f>OR(AND(IF(Metadata!K746="",FALSE,TRUE),OR(exact(Metadata!K746,"not collected"),exact(Metadata!K746,"not provided"))),AND(IF(Metadata!K746="",FALSE,ISNUMBER(VALUE(Metadata!K746))),Metadata!K746&gt;0))</f>
        <v>0</v>
      </c>
      <c r="AM746">
        <f>AND(IF(Metadata!L746="",FALSE,TRUE),exact(Metadata!L746,"cm"))</f>
        <v>0</v>
      </c>
      <c r="AN746">
        <f>IF(Metadata!M746="",FALSE,TRUE)</f>
        <v>0</v>
      </c>
      <c r="AO746">
        <f>OR(AND(IF(Metadata!N746="",FALSE,TRUE),OR(exact(Metadata!N746,"not applicable"),exact(Metadata!N746,"not collected"),exact(Metadata!N746,"not provided"))),AND(IF(Metadata!N746="",FALSE,IF(ISERROR(INT(Metadata!N746)),FALSE,INT(Metadata!N746)=Metadata!N746)),Metadata!N746&gt;0))</f>
        <v>0</v>
      </c>
      <c r="AP746">
        <f>OR(AND(IF(Metadata!O746="",FALSE,TRUE),OR(exact(Metadata!O746,"not collected"),exact(Metadata!O746,"not provided"))),AND(IF(Metadata!O746="",FALSE,ISNUMBER(VALUE(Metadata!O746))),Metadata!O746&gt;0))</f>
        <v>0</v>
      </c>
      <c r="AQ746">
        <f>AND(IF(Metadata!P746="",FALSE,TRUE),exact(Metadata!P746,"kg"))</f>
        <v>0</v>
      </c>
      <c r="AR746">
        <f>OR(AND(IF(Metadata!Q746="",FALSE,TRUE),OR(exact(Metadata!Q746,"not applicable"),exact(Metadata!Q746,"not collected"),exact(Metadata!Q746,"not provided"),exact(Metadata!Q746,"restricted access"))),IF(Metadata!Q746="",FALSE,IF(ISERROR(INT(Metadata!Q746)),FALSE,INT(Metadata!Q746)=Metadata!Q746)))</f>
        <v>0</v>
      </c>
      <c r="AS746">
        <f>AND(IF(Metadata!R746="",FALSE,TRUE),exact(Metadata!R746,"Not applicable"))</f>
        <v>0</v>
      </c>
    </row>
    <row r="747" spans="1:45">
      <c r="A747" s="4">
        <f>IF(B747=" "," ",HYPERLINK(CONCATENATE("#metadata!",ADDRESS(INDEX($X$2:$X$1001,MATCH(ROWS($V$2:V747),$V$2:$V$1001,0),0),2)),INDEX($AA$2:$AA$1001,MATCH(ROWS($V$2:V747),$V$2:$V$1001,0),0)))</f>
        <v>0</v>
      </c>
      <c r="B747" s="5">
        <f>IF(OR(INDEX($W$2:$W$1001,MATCH(ROWS($V$2:V747),$V$2:$V$1001,0),1)&gt;=100000,INDEX($AC$1005:$AS$1005,1,MATCH(COLUMNS($AC$1006:AC1006),$AC$1006:$AS$1006,0))&gt;=100000), " ",IF(INDEX($AC$2:$AS$1001,MATCH(ROWS($V$2:V747),$V$2:$V$1001,0),MATCH(COLUMNS($AC$1006:AC1006),$AC$1006:$AS$1006,0)), HYPERLINK("#",""), HYPERLINK(CONCATENATE("#Metadata!", ADDRESS(INDEX($X$2:$X$1001,MATCH(ROWS($V$2:V747),$V$2:$V$1001,0),0), INDEX($AC$1004:$AS$1004,1,MATCH(COLUMNS($AC$1006:AC1006),$AC$1006:$AS$1006,0)))),"Fix")))</f>
        <v>0</v>
      </c>
      <c r="C747" s="5">
        <f>IF(OR(INDEX($W$2:$W$1001,MATCH(ROWS($V$2:V747),$V$2:$V$1001,0),1)&gt;=100000,INDEX($AC$1005:$AS$1005,1,MATCH(COLUMNS($AC$1006:AD1006),$AC$1006:$AS$1006,0))&gt;=100000), " ",IF(INDEX($AC$2:$AS$1001,MATCH(ROWS($V$2:V747),$V$2:$V$1001,0),MATCH(COLUMNS($AC$1006:AD1006),$AC$1006:$AS$1006,0)), HYPERLINK("#",""), HYPERLINK(CONCATENATE("#Metadata!", ADDRESS(INDEX($X$2:$X$1001,MATCH(ROWS($V$2:V747),$V$2:$V$1001,0),0), INDEX($AC$1004:$AS$1004,1,MATCH(COLUMNS($AC$1006:AD1006),$AC$1006:$AS$1006,0)))),"Fix")))</f>
        <v>0</v>
      </c>
      <c r="D747" s="5">
        <f>IF(OR(INDEX($W$2:$W$1001,MATCH(ROWS($V$2:V747),$V$2:$V$1001,0),1)&gt;=100000,INDEX($AC$1005:$AS$1005,1,MATCH(COLUMNS($AC$1006:AE1006),$AC$1006:$AS$1006,0))&gt;=100000), " ",IF(INDEX($AC$2:$AS$1001,MATCH(ROWS($V$2:V747),$V$2:$V$1001,0),MATCH(COLUMNS($AC$1006:AE1006),$AC$1006:$AS$1006,0)), HYPERLINK("#",""), HYPERLINK(CONCATENATE("#Metadata!", ADDRESS(INDEX($X$2:$X$1001,MATCH(ROWS($V$2:V747),$V$2:$V$1001,0),0), INDEX($AC$1004:$AS$1004,1,MATCH(COLUMNS($AC$1006:AE1006),$AC$1006:$AS$1006,0)))),"Fix")))</f>
        <v>0</v>
      </c>
      <c r="E747" s="5">
        <f>IF(OR(INDEX($W$2:$W$1001,MATCH(ROWS($V$2:V747),$V$2:$V$1001,0),1)&gt;=100000,INDEX($AC$1005:$AS$1005,1,MATCH(COLUMNS($AC$1006:AF1006),$AC$1006:$AS$1006,0))&gt;=100000), " ",IF(INDEX($AC$2:$AS$1001,MATCH(ROWS($V$2:V747),$V$2:$V$1001,0),MATCH(COLUMNS($AC$1006:AF1006),$AC$1006:$AS$1006,0)), HYPERLINK("#",""), HYPERLINK(CONCATENATE("#Metadata!", ADDRESS(INDEX($X$2:$X$1001,MATCH(ROWS($V$2:V747),$V$2:$V$1001,0),0), INDEX($AC$1004:$AS$1004,1,MATCH(COLUMNS($AC$1006:AF1006),$AC$1006:$AS$1006,0)))),"Fix")))</f>
        <v>0</v>
      </c>
      <c r="F747" s="5">
        <f>IF(OR(INDEX($W$2:$W$1001,MATCH(ROWS($V$2:V747),$V$2:$V$1001,0),1)&gt;=100000,INDEX($AC$1005:$AS$1005,1,MATCH(COLUMNS($AC$1006:AG1006),$AC$1006:$AS$1006,0))&gt;=100000), " ",IF(INDEX($AC$2:$AS$1001,MATCH(ROWS($V$2:V747),$V$2:$V$1001,0),MATCH(COLUMNS($AC$1006:AG1006),$AC$1006:$AS$1006,0)), HYPERLINK("#",""), HYPERLINK(CONCATENATE("#Metadata!", ADDRESS(INDEX($X$2:$X$1001,MATCH(ROWS($V$2:V747),$V$2:$V$1001,0),0), INDEX($AC$1004:$AS$1004,1,MATCH(COLUMNS($AC$1006:AG1006),$AC$1006:$AS$1006,0)))),"Fix")))</f>
        <v>0</v>
      </c>
      <c r="G747" s="5">
        <f>IF(OR(INDEX($W$2:$W$1001,MATCH(ROWS($V$2:V747),$V$2:$V$1001,0),1)&gt;=100000,INDEX($AC$1005:$AS$1005,1,MATCH(COLUMNS($AC$1006:AH1006),$AC$1006:$AS$1006,0))&gt;=100000), " ",IF(INDEX($AC$2:$AS$1001,MATCH(ROWS($V$2:V747),$V$2:$V$1001,0),MATCH(COLUMNS($AC$1006:AH1006),$AC$1006:$AS$1006,0)), HYPERLINK("#",""), HYPERLINK(CONCATENATE("#Metadata!", ADDRESS(INDEX($X$2:$X$1001,MATCH(ROWS($V$2:V747),$V$2:$V$1001,0),0), INDEX($AC$1004:$AS$1004,1,MATCH(COLUMNS($AC$1006:AH1006),$AC$1006:$AS$1006,0)))),"Fix")))</f>
        <v>0</v>
      </c>
      <c r="H747" s="5">
        <f>IF(OR(INDEX($W$2:$W$1001,MATCH(ROWS($V$2:V747),$V$2:$V$1001,0),1)&gt;=100000,INDEX($AC$1005:$AS$1005,1,MATCH(COLUMNS($AC$1006:AI1006),$AC$1006:$AS$1006,0))&gt;=100000), " ",IF(INDEX($AC$2:$AS$1001,MATCH(ROWS($V$2:V747),$V$2:$V$1001,0),MATCH(COLUMNS($AC$1006:AI1006),$AC$1006:$AS$1006,0)), HYPERLINK("#",""), HYPERLINK(CONCATENATE("#Metadata!", ADDRESS(INDEX($X$2:$X$1001,MATCH(ROWS($V$2:V747),$V$2:$V$1001,0),0), INDEX($AC$1004:$AS$1004,1,MATCH(COLUMNS($AC$1006:AI1006),$AC$1006:$AS$1006,0)))),"Fix")))</f>
        <v>0</v>
      </c>
      <c r="I747" s="5">
        <f>IF(OR(INDEX($W$2:$W$1001,MATCH(ROWS($V$2:V747),$V$2:$V$1001,0),1)&gt;=100000,INDEX($AC$1005:$AS$1005,1,MATCH(COLUMNS($AC$1006:AJ1006),$AC$1006:$AS$1006,0))&gt;=100000), " ",IF(INDEX($AC$2:$AS$1001,MATCH(ROWS($V$2:V747),$V$2:$V$1001,0),MATCH(COLUMNS($AC$1006:AJ1006),$AC$1006:$AS$1006,0)), HYPERLINK("#",""), HYPERLINK(CONCATENATE("#Metadata!", ADDRESS(INDEX($X$2:$X$1001,MATCH(ROWS($V$2:V747),$V$2:$V$1001,0),0), INDEX($AC$1004:$AS$1004,1,MATCH(COLUMNS($AC$1006:AJ1006),$AC$1006:$AS$1006,0)))),"Fix")))</f>
        <v>0</v>
      </c>
      <c r="J747" s="5">
        <f>IF(OR(INDEX($W$2:$W$1001,MATCH(ROWS($V$2:V747),$V$2:$V$1001,0),1)&gt;=100000,INDEX($AC$1005:$AS$1005,1,MATCH(COLUMNS($AC$1006:AK1006),$AC$1006:$AS$1006,0))&gt;=100000), " ",IF(INDEX($AC$2:$AS$1001,MATCH(ROWS($V$2:V747),$V$2:$V$1001,0),MATCH(COLUMNS($AC$1006:AK1006),$AC$1006:$AS$1006,0)), HYPERLINK("#",""), HYPERLINK(CONCATENATE("#Metadata!", ADDRESS(INDEX($X$2:$X$1001,MATCH(ROWS($V$2:V747),$V$2:$V$1001,0),0), INDEX($AC$1004:$AS$1004,1,MATCH(COLUMNS($AC$1006:AK1006),$AC$1006:$AS$1006,0)))),"Fix")))</f>
        <v>0</v>
      </c>
      <c r="K747" s="5">
        <f>IF(OR(INDEX($W$2:$W$1001,MATCH(ROWS($V$2:V747),$V$2:$V$1001,0),1)&gt;=100000,INDEX($AC$1005:$AS$1005,1,MATCH(COLUMNS($AC$1006:AL1006),$AC$1006:$AS$1006,0))&gt;=100000), " ",IF(INDEX($AC$2:$AS$1001,MATCH(ROWS($V$2:V747),$V$2:$V$1001,0),MATCH(COLUMNS($AC$1006:AL1006),$AC$1006:$AS$1006,0)), HYPERLINK("#",""), HYPERLINK(CONCATENATE("#Metadata!", ADDRESS(INDEX($X$2:$X$1001,MATCH(ROWS($V$2:V747),$V$2:$V$1001,0),0), INDEX($AC$1004:$AS$1004,1,MATCH(COLUMNS($AC$1006:AL1006),$AC$1006:$AS$1006,0)))),"Fix")))</f>
        <v>0</v>
      </c>
      <c r="L747" s="5">
        <f>IF(OR(INDEX($W$2:$W$1001,MATCH(ROWS($V$2:V747),$V$2:$V$1001,0),1)&gt;=100000,INDEX($AC$1005:$AS$1005,1,MATCH(COLUMNS($AC$1006:AM1006),$AC$1006:$AS$1006,0))&gt;=100000), " ",IF(INDEX($AC$2:$AS$1001,MATCH(ROWS($V$2:V747),$V$2:$V$1001,0),MATCH(COLUMNS($AC$1006:AM1006),$AC$1006:$AS$1006,0)), HYPERLINK("#",""), HYPERLINK(CONCATENATE("#Metadata!", ADDRESS(INDEX($X$2:$X$1001,MATCH(ROWS($V$2:V747),$V$2:$V$1001,0),0), INDEX($AC$1004:$AS$1004,1,MATCH(COLUMNS($AC$1006:AM1006),$AC$1006:$AS$1006,0)))),"Fix")))</f>
        <v>0</v>
      </c>
      <c r="M747" s="5">
        <f>IF(OR(INDEX($W$2:$W$1001,MATCH(ROWS($V$2:V747),$V$2:$V$1001,0),1)&gt;=100000,INDEX($AC$1005:$AS$1005,1,MATCH(COLUMNS($AC$1006:AN1006),$AC$1006:$AS$1006,0))&gt;=100000), " ",IF(INDEX($AC$2:$AS$1001,MATCH(ROWS($V$2:V747),$V$2:$V$1001,0),MATCH(COLUMNS($AC$1006:AN1006),$AC$1006:$AS$1006,0)), HYPERLINK("#",""), HYPERLINK(CONCATENATE("#Metadata!", ADDRESS(INDEX($X$2:$X$1001,MATCH(ROWS($V$2:V747),$V$2:$V$1001,0),0), INDEX($AC$1004:$AS$1004,1,MATCH(COLUMNS($AC$1006:AN1006),$AC$1006:$AS$1006,0)))),"Fix")))</f>
        <v>0</v>
      </c>
      <c r="N747" s="5">
        <f>IF(OR(INDEX($W$2:$W$1001,MATCH(ROWS($V$2:V747),$V$2:$V$1001,0),1)&gt;=100000,INDEX($AC$1005:$AS$1005,1,MATCH(COLUMNS($AC$1006:AO1006),$AC$1006:$AS$1006,0))&gt;=100000), " ",IF(INDEX($AC$2:$AS$1001,MATCH(ROWS($V$2:V747),$V$2:$V$1001,0),MATCH(COLUMNS($AC$1006:AO1006),$AC$1006:$AS$1006,0)), HYPERLINK("#",""), HYPERLINK(CONCATENATE("#Metadata!", ADDRESS(INDEX($X$2:$X$1001,MATCH(ROWS($V$2:V747),$V$2:$V$1001,0),0), INDEX($AC$1004:$AS$1004,1,MATCH(COLUMNS($AC$1006:AO1006),$AC$1006:$AS$1006,0)))),"Fix")))</f>
        <v>0</v>
      </c>
      <c r="O747" s="5">
        <f>IF(OR(INDEX($W$2:$W$1001,MATCH(ROWS($V$2:V747),$V$2:$V$1001,0),1)&gt;=100000,INDEX($AC$1005:$AS$1005,1,MATCH(COLUMNS($AC$1006:AP1006),$AC$1006:$AS$1006,0))&gt;=100000), " ",IF(INDEX($AC$2:$AS$1001,MATCH(ROWS($V$2:V747),$V$2:$V$1001,0),MATCH(COLUMNS($AC$1006:AP1006),$AC$1006:$AS$1006,0)), HYPERLINK("#",""), HYPERLINK(CONCATENATE("#Metadata!", ADDRESS(INDEX($X$2:$X$1001,MATCH(ROWS($V$2:V747),$V$2:$V$1001,0),0), INDEX($AC$1004:$AS$1004,1,MATCH(COLUMNS($AC$1006:AP1006),$AC$1006:$AS$1006,0)))),"Fix")))</f>
        <v>0</v>
      </c>
      <c r="P747" s="5">
        <f>IF(OR(INDEX($W$2:$W$1001,MATCH(ROWS($V$2:V747),$V$2:$V$1001,0),1)&gt;=100000,INDEX($AC$1005:$AS$1005,1,MATCH(COLUMNS($AC$1006:AQ1006),$AC$1006:$AS$1006,0))&gt;=100000), " ",IF(INDEX($AC$2:$AS$1001,MATCH(ROWS($V$2:V747),$V$2:$V$1001,0),MATCH(COLUMNS($AC$1006:AQ1006),$AC$1006:$AS$1006,0)), HYPERLINK("#",""), HYPERLINK(CONCATENATE("#Metadata!", ADDRESS(INDEX($X$2:$X$1001,MATCH(ROWS($V$2:V747),$V$2:$V$1001,0),0), INDEX($AC$1004:$AS$1004,1,MATCH(COLUMNS($AC$1006:AQ1006),$AC$1006:$AS$1006,0)))),"Fix")))</f>
        <v>0</v>
      </c>
      <c r="Q747" s="5">
        <f>IF(OR(INDEX($W$2:$W$1001,MATCH(ROWS($V$2:V747),$V$2:$V$1001,0),1)&gt;=100000,INDEX($AC$1005:$AS$1005,1,MATCH(COLUMNS($AC$1006:AR1006),$AC$1006:$AS$1006,0))&gt;=100000), " ",IF(INDEX($AC$2:$AS$1001,MATCH(ROWS($V$2:V747),$V$2:$V$1001,0),MATCH(COLUMNS($AC$1006:AR1006),$AC$1006:$AS$1006,0)), HYPERLINK("#",""), HYPERLINK(CONCATENATE("#Metadata!", ADDRESS(INDEX($X$2:$X$1001,MATCH(ROWS($V$2:V747),$V$2:$V$1001,0),0), INDEX($AC$1004:$AS$1004,1,MATCH(COLUMNS($AC$1006:AR1006),$AC$1006:$AS$1006,0)))),"Fix")))</f>
        <v>0</v>
      </c>
      <c r="R747" s="5">
        <f>IF(OR(INDEX($W$2:$W$1001,MATCH(ROWS($V$2:V747),$V$2:$V$1001,0),1)&gt;=100000,INDEX($AC$1005:$AS$1005,1,MATCH(COLUMNS($AC$1006:AS1006),$AC$1006:$AS$1006,0))&gt;=100000), " ",IF(INDEX($AC$2:$AS$1001,MATCH(ROWS($V$2:V747),$V$2:$V$1001,0),MATCH(COLUMNS($AC$1006:AS1006),$AC$1006:$AS$1006,0)), HYPERLINK("#",""), HYPERLINK(CONCATENATE("#Metadata!", ADDRESS(INDEX($X$2:$X$1001,MATCH(ROWS($V$2:V747),$V$2:$V$1001,0),0), INDEX($AC$1004:$AS$1004,1,MATCH(COLUMNS($AC$1006:AS1006),$AC$1006:$AS$1006,0)))),"Fix")))</f>
        <v>0</v>
      </c>
      <c r="V747">
        <v>0</v>
      </c>
      <c r="W747">
        <v>0</v>
      </c>
      <c r="X747">
        <v>0</v>
      </c>
      <c r="Y747">
        <f>IF(Z747,TRUE,AND(AC747:AS747))</f>
        <v>0</v>
      </c>
      <c r="Z747">
        <f>COUNTBLANK(Metadata!B747:R747)=COLUMNS(Metadata!B747:R747)</f>
        <v>0</v>
      </c>
      <c r="AA747">
        <v>0</v>
      </c>
      <c r="AC747">
        <f>AND(IF(Metadata!B747="",FALSE,TRUE),COUNTIF(Metadata!B:B, Metadata!B747) = 1,NOT(ISERROR(SUMPRODUCT(SEARCH(MID(Metadata!B747,ROW(INDIRECT("1:"&amp;LEN(Metadata!B747))), 1),"0123456789abcdefghijklmnopqrstuvwxyzABCDEFGHIJKLMNOPQRSTUVWXYZ.")))))</f>
        <v>0</v>
      </c>
      <c r="AD747">
        <f>AND(IF(Metadata!C747="",FALSE,TRUE),exact(Metadata!C747,"Host-associated"))</f>
        <v>0</v>
      </c>
      <c r="AE747">
        <f>AND(IF(Metadata!D747="",FALSE,TRUE),OR(exact(Metadata!D747,"Animal"),exact(Metadata!D747,"Fungus"),exact(Metadata!D747,"Plant")))</f>
        <v>0</v>
      </c>
      <c r="AF747">
        <f>AND(IF(Metadata!E747="",FALSE,TRUE),OR(exact(Metadata!E747,"Plant secretion"),exact(Metadata!E747,"Plant rhizosphere"),exact(Metadata!E747,"Plant surface"),exact(Metadata!E747,"Plant corpus"),exact(Metadata!E747,"Fungus surface"),exact(Metadata!E747,"Fungus corpus"),exact(Metadata!E747,"Animal surface"),exact(Metadata!E747,"Animal proximal gut"),exact(Metadata!E747,"Animal corpus"),exact(Metadata!E747,"Animal distal gut"),exact(Metadata!E747,"Animal secretion")))</f>
        <v>0</v>
      </c>
      <c r="AG747">
        <f>OR(AND(IF(Metadata!F747="",FALSE,TRUE),OR(exact(Metadata!F747,"not collected"),exact(Metadata!F747,"not provided"),exact(Metadata!F747,"restricted access"))),AND(IF(Metadata!F747="",FALSE,TRUE),OR(exact(Metadata!F747,"organism-associated habitat"),exact(Metadata!F747,"plant-associated habitat"),exact(Metadata!F747,"animal-associated habitat"),exact(Metadata!F747,"insecta-associated habitat"),exact(Metadata!F747,"mammalia-associated habitat"),exact(Metadata!F747,"human-associated habitat"),exact(Metadata!F747,"livestock-associated habitat"))))</f>
        <v>0</v>
      </c>
      <c r="AH747">
        <f>AND(IF(Metadata!G747="",FALSE,TRUE),exact(Metadata!G747,"host-associated"))</f>
        <v>0</v>
      </c>
      <c r="AI747">
        <f>OR(AND(IF(Metadata!H747="",FALSE,TRUE),OR(exact(Metadata!H747,"not collected"),exact(Metadata!H747,"not provided"))),AND(IF(Metadata!H747="",FALSE,ISNUMBER(VALUE(Metadata!H747))),Metadata!H747&gt;0))</f>
        <v>0</v>
      </c>
      <c r="AJ747">
        <f>AND(IF(Metadata!I747="",FALSE,TRUE),exact(Metadata!I747,"years"))</f>
        <v>0</v>
      </c>
      <c r="AK747">
        <f>IF(Metadata!J747="",FALSE,TRUE)</f>
        <v>0</v>
      </c>
      <c r="AL747">
        <f>OR(AND(IF(Metadata!K747="",FALSE,TRUE),OR(exact(Metadata!K747,"not collected"),exact(Metadata!K747,"not provided"))),AND(IF(Metadata!K747="",FALSE,ISNUMBER(VALUE(Metadata!K747))),Metadata!K747&gt;0))</f>
        <v>0</v>
      </c>
      <c r="AM747">
        <f>AND(IF(Metadata!L747="",FALSE,TRUE),exact(Metadata!L747,"cm"))</f>
        <v>0</v>
      </c>
      <c r="AN747">
        <f>IF(Metadata!M747="",FALSE,TRUE)</f>
        <v>0</v>
      </c>
      <c r="AO747">
        <f>OR(AND(IF(Metadata!N747="",FALSE,TRUE),OR(exact(Metadata!N747,"not applicable"),exact(Metadata!N747,"not collected"),exact(Metadata!N747,"not provided"))),AND(IF(Metadata!N747="",FALSE,IF(ISERROR(INT(Metadata!N747)),FALSE,INT(Metadata!N747)=Metadata!N747)),Metadata!N747&gt;0))</f>
        <v>0</v>
      </c>
      <c r="AP747">
        <f>OR(AND(IF(Metadata!O747="",FALSE,TRUE),OR(exact(Metadata!O747,"not collected"),exact(Metadata!O747,"not provided"))),AND(IF(Metadata!O747="",FALSE,ISNUMBER(VALUE(Metadata!O747))),Metadata!O747&gt;0))</f>
        <v>0</v>
      </c>
      <c r="AQ747">
        <f>AND(IF(Metadata!P747="",FALSE,TRUE),exact(Metadata!P747,"kg"))</f>
        <v>0</v>
      </c>
      <c r="AR747">
        <f>OR(AND(IF(Metadata!Q747="",FALSE,TRUE),OR(exact(Metadata!Q747,"not applicable"),exact(Metadata!Q747,"not collected"),exact(Metadata!Q747,"not provided"),exact(Metadata!Q747,"restricted access"))),IF(Metadata!Q747="",FALSE,IF(ISERROR(INT(Metadata!Q747)),FALSE,INT(Metadata!Q747)=Metadata!Q747)))</f>
        <v>0</v>
      </c>
      <c r="AS747">
        <f>AND(IF(Metadata!R747="",FALSE,TRUE),exact(Metadata!R747,"Not applicable"))</f>
        <v>0</v>
      </c>
    </row>
    <row r="748" spans="1:45">
      <c r="A748" s="4">
        <f>IF(B748=" "," ",HYPERLINK(CONCATENATE("#metadata!",ADDRESS(INDEX($X$2:$X$1001,MATCH(ROWS($V$2:V748),$V$2:$V$1001,0),0),2)),INDEX($AA$2:$AA$1001,MATCH(ROWS($V$2:V748),$V$2:$V$1001,0),0)))</f>
        <v>0</v>
      </c>
      <c r="B748" s="5">
        <f>IF(OR(INDEX($W$2:$W$1001,MATCH(ROWS($V$2:V748),$V$2:$V$1001,0),1)&gt;=100000,INDEX($AC$1005:$AS$1005,1,MATCH(COLUMNS($AC$1006:AC1006),$AC$1006:$AS$1006,0))&gt;=100000), " ",IF(INDEX($AC$2:$AS$1001,MATCH(ROWS($V$2:V748),$V$2:$V$1001,0),MATCH(COLUMNS($AC$1006:AC1006),$AC$1006:$AS$1006,0)), HYPERLINK("#",""), HYPERLINK(CONCATENATE("#Metadata!", ADDRESS(INDEX($X$2:$X$1001,MATCH(ROWS($V$2:V748),$V$2:$V$1001,0),0), INDEX($AC$1004:$AS$1004,1,MATCH(COLUMNS($AC$1006:AC1006),$AC$1006:$AS$1006,0)))),"Fix")))</f>
        <v>0</v>
      </c>
      <c r="C748" s="5">
        <f>IF(OR(INDEX($W$2:$W$1001,MATCH(ROWS($V$2:V748),$V$2:$V$1001,0),1)&gt;=100000,INDEX($AC$1005:$AS$1005,1,MATCH(COLUMNS($AC$1006:AD1006),$AC$1006:$AS$1006,0))&gt;=100000), " ",IF(INDEX($AC$2:$AS$1001,MATCH(ROWS($V$2:V748),$V$2:$V$1001,0),MATCH(COLUMNS($AC$1006:AD1006),$AC$1006:$AS$1006,0)), HYPERLINK("#",""), HYPERLINK(CONCATENATE("#Metadata!", ADDRESS(INDEX($X$2:$X$1001,MATCH(ROWS($V$2:V748),$V$2:$V$1001,0),0), INDEX($AC$1004:$AS$1004,1,MATCH(COLUMNS($AC$1006:AD1006),$AC$1006:$AS$1006,0)))),"Fix")))</f>
        <v>0</v>
      </c>
      <c r="D748" s="5">
        <f>IF(OR(INDEX($W$2:$W$1001,MATCH(ROWS($V$2:V748),$V$2:$V$1001,0),1)&gt;=100000,INDEX($AC$1005:$AS$1005,1,MATCH(COLUMNS($AC$1006:AE1006),$AC$1006:$AS$1006,0))&gt;=100000), " ",IF(INDEX($AC$2:$AS$1001,MATCH(ROWS($V$2:V748),$V$2:$V$1001,0),MATCH(COLUMNS($AC$1006:AE1006),$AC$1006:$AS$1006,0)), HYPERLINK("#",""), HYPERLINK(CONCATENATE("#Metadata!", ADDRESS(INDEX($X$2:$X$1001,MATCH(ROWS($V$2:V748),$V$2:$V$1001,0),0), INDEX($AC$1004:$AS$1004,1,MATCH(COLUMNS($AC$1006:AE1006),$AC$1006:$AS$1006,0)))),"Fix")))</f>
        <v>0</v>
      </c>
      <c r="E748" s="5">
        <f>IF(OR(INDEX($W$2:$W$1001,MATCH(ROWS($V$2:V748),$V$2:$V$1001,0),1)&gt;=100000,INDEX($AC$1005:$AS$1005,1,MATCH(COLUMNS($AC$1006:AF1006),$AC$1006:$AS$1006,0))&gt;=100000), " ",IF(INDEX($AC$2:$AS$1001,MATCH(ROWS($V$2:V748),$V$2:$V$1001,0),MATCH(COLUMNS($AC$1006:AF1006),$AC$1006:$AS$1006,0)), HYPERLINK("#",""), HYPERLINK(CONCATENATE("#Metadata!", ADDRESS(INDEX($X$2:$X$1001,MATCH(ROWS($V$2:V748),$V$2:$V$1001,0),0), INDEX($AC$1004:$AS$1004,1,MATCH(COLUMNS($AC$1006:AF1006),$AC$1006:$AS$1006,0)))),"Fix")))</f>
        <v>0</v>
      </c>
      <c r="F748" s="5">
        <f>IF(OR(INDEX($W$2:$W$1001,MATCH(ROWS($V$2:V748),$V$2:$V$1001,0),1)&gt;=100000,INDEX($AC$1005:$AS$1005,1,MATCH(COLUMNS($AC$1006:AG1006),$AC$1006:$AS$1006,0))&gt;=100000), " ",IF(INDEX($AC$2:$AS$1001,MATCH(ROWS($V$2:V748),$V$2:$V$1001,0),MATCH(COLUMNS($AC$1006:AG1006),$AC$1006:$AS$1006,0)), HYPERLINK("#",""), HYPERLINK(CONCATENATE("#Metadata!", ADDRESS(INDEX($X$2:$X$1001,MATCH(ROWS($V$2:V748),$V$2:$V$1001,0),0), INDEX($AC$1004:$AS$1004,1,MATCH(COLUMNS($AC$1006:AG1006),$AC$1006:$AS$1006,0)))),"Fix")))</f>
        <v>0</v>
      </c>
      <c r="G748" s="5">
        <f>IF(OR(INDEX($W$2:$W$1001,MATCH(ROWS($V$2:V748),$V$2:$V$1001,0),1)&gt;=100000,INDEX($AC$1005:$AS$1005,1,MATCH(COLUMNS($AC$1006:AH1006),$AC$1006:$AS$1006,0))&gt;=100000), " ",IF(INDEX($AC$2:$AS$1001,MATCH(ROWS($V$2:V748),$V$2:$V$1001,0),MATCH(COLUMNS($AC$1006:AH1006),$AC$1006:$AS$1006,0)), HYPERLINK("#",""), HYPERLINK(CONCATENATE("#Metadata!", ADDRESS(INDEX($X$2:$X$1001,MATCH(ROWS($V$2:V748),$V$2:$V$1001,0),0), INDEX($AC$1004:$AS$1004,1,MATCH(COLUMNS($AC$1006:AH1006),$AC$1006:$AS$1006,0)))),"Fix")))</f>
        <v>0</v>
      </c>
      <c r="H748" s="5">
        <f>IF(OR(INDEX($W$2:$W$1001,MATCH(ROWS($V$2:V748),$V$2:$V$1001,0),1)&gt;=100000,INDEX($AC$1005:$AS$1005,1,MATCH(COLUMNS($AC$1006:AI1006),$AC$1006:$AS$1006,0))&gt;=100000), " ",IF(INDEX($AC$2:$AS$1001,MATCH(ROWS($V$2:V748),$V$2:$V$1001,0),MATCH(COLUMNS($AC$1006:AI1006),$AC$1006:$AS$1006,0)), HYPERLINK("#",""), HYPERLINK(CONCATENATE("#Metadata!", ADDRESS(INDEX($X$2:$X$1001,MATCH(ROWS($V$2:V748),$V$2:$V$1001,0),0), INDEX($AC$1004:$AS$1004,1,MATCH(COLUMNS($AC$1006:AI1006),$AC$1006:$AS$1006,0)))),"Fix")))</f>
        <v>0</v>
      </c>
      <c r="I748" s="5">
        <f>IF(OR(INDEX($W$2:$W$1001,MATCH(ROWS($V$2:V748),$V$2:$V$1001,0),1)&gt;=100000,INDEX($AC$1005:$AS$1005,1,MATCH(COLUMNS($AC$1006:AJ1006),$AC$1006:$AS$1006,0))&gt;=100000), " ",IF(INDEX($AC$2:$AS$1001,MATCH(ROWS($V$2:V748),$V$2:$V$1001,0),MATCH(COLUMNS($AC$1006:AJ1006),$AC$1006:$AS$1006,0)), HYPERLINK("#",""), HYPERLINK(CONCATENATE("#Metadata!", ADDRESS(INDEX($X$2:$X$1001,MATCH(ROWS($V$2:V748),$V$2:$V$1001,0),0), INDEX($AC$1004:$AS$1004,1,MATCH(COLUMNS($AC$1006:AJ1006),$AC$1006:$AS$1006,0)))),"Fix")))</f>
        <v>0</v>
      </c>
      <c r="J748" s="5">
        <f>IF(OR(INDEX($W$2:$W$1001,MATCH(ROWS($V$2:V748),$V$2:$V$1001,0),1)&gt;=100000,INDEX($AC$1005:$AS$1005,1,MATCH(COLUMNS($AC$1006:AK1006),$AC$1006:$AS$1006,0))&gt;=100000), " ",IF(INDEX($AC$2:$AS$1001,MATCH(ROWS($V$2:V748),$V$2:$V$1001,0),MATCH(COLUMNS($AC$1006:AK1006),$AC$1006:$AS$1006,0)), HYPERLINK("#",""), HYPERLINK(CONCATENATE("#Metadata!", ADDRESS(INDEX($X$2:$X$1001,MATCH(ROWS($V$2:V748),$V$2:$V$1001,0),0), INDEX($AC$1004:$AS$1004,1,MATCH(COLUMNS($AC$1006:AK1006),$AC$1006:$AS$1006,0)))),"Fix")))</f>
        <v>0</v>
      </c>
      <c r="K748" s="5">
        <f>IF(OR(INDEX($W$2:$W$1001,MATCH(ROWS($V$2:V748),$V$2:$V$1001,0),1)&gt;=100000,INDEX($AC$1005:$AS$1005,1,MATCH(COLUMNS($AC$1006:AL1006),$AC$1006:$AS$1006,0))&gt;=100000), " ",IF(INDEX($AC$2:$AS$1001,MATCH(ROWS($V$2:V748),$V$2:$V$1001,0),MATCH(COLUMNS($AC$1006:AL1006),$AC$1006:$AS$1006,0)), HYPERLINK("#",""), HYPERLINK(CONCATENATE("#Metadata!", ADDRESS(INDEX($X$2:$X$1001,MATCH(ROWS($V$2:V748),$V$2:$V$1001,0),0), INDEX($AC$1004:$AS$1004,1,MATCH(COLUMNS($AC$1006:AL1006),$AC$1006:$AS$1006,0)))),"Fix")))</f>
        <v>0</v>
      </c>
      <c r="L748" s="5">
        <f>IF(OR(INDEX($W$2:$W$1001,MATCH(ROWS($V$2:V748),$V$2:$V$1001,0),1)&gt;=100000,INDEX($AC$1005:$AS$1005,1,MATCH(COLUMNS($AC$1006:AM1006),$AC$1006:$AS$1006,0))&gt;=100000), " ",IF(INDEX($AC$2:$AS$1001,MATCH(ROWS($V$2:V748),$V$2:$V$1001,0),MATCH(COLUMNS($AC$1006:AM1006),$AC$1006:$AS$1006,0)), HYPERLINK("#",""), HYPERLINK(CONCATENATE("#Metadata!", ADDRESS(INDEX($X$2:$X$1001,MATCH(ROWS($V$2:V748),$V$2:$V$1001,0),0), INDEX($AC$1004:$AS$1004,1,MATCH(COLUMNS($AC$1006:AM1006),$AC$1006:$AS$1006,0)))),"Fix")))</f>
        <v>0</v>
      </c>
      <c r="M748" s="5">
        <f>IF(OR(INDEX($W$2:$W$1001,MATCH(ROWS($V$2:V748),$V$2:$V$1001,0),1)&gt;=100000,INDEX($AC$1005:$AS$1005,1,MATCH(COLUMNS($AC$1006:AN1006),$AC$1006:$AS$1006,0))&gt;=100000), " ",IF(INDEX($AC$2:$AS$1001,MATCH(ROWS($V$2:V748),$V$2:$V$1001,0),MATCH(COLUMNS($AC$1006:AN1006),$AC$1006:$AS$1006,0)), HYPERLINK("#",""), HYPERLINK(CONCATENATE("#Metadata!", ADDRESS(INDEX($X$2:$X$1001,MATCH(ROWS($V$2:V748),$V$2:$V$1001,0),0), INDEX($AC$1004:$AS$1004,1,MATCH(COLUMNS($AC$1006:AN1006),$AC$1006:$AS$1006,0)))),"Fix")))</f>
        <v>0</v>
      </c>
      <c r="N748" s="5">
        <f>IF(OR(INDEX($W$2:$W$1001,MATCH(ROWS($V$2:V748),$V$2:$V$1001,0),1)&gt;=100000,INDEX($AC$1005:$AS$1005,1,MATCH(COLUMNS($AC$1006:AO1006),$AC$1006:$AS$1006,0))&gt;=100000), " ",IF(INDEX($AC$2:$AS$1001,MATCH(ROWS($V$2:V748),$V$2:$V$1001,0),MATCH(COLUMNS($AC$1006:AO1006),$AC$1006:$AS$1006,0)), HYPERLINK("#",""), HYPERLINK(CONCATENATE("#Metadata!", ADDRESS(INDEX($X$2:$X$1001,MATCH(ROWS($V$2:V748),$V$2:$V$1001,0),0), INDEX($AC$1004:$AS$1004,1,MATCH(COLUMNS($AC$1006:AO1006),$AC$1006:$AS$1006,0)))),"Fix")))</f>
        <v>0</v>
      </c>
      <c r="O748" s="5">
        <f>IF(OR(INDEX($W$2:$W$1001,MATCH(ROWS($V$2:V748),$V$2:$V$1001,0),1)&gt;=100000,INDEX($AC$1005:$AS$1005,1,MATCH(COLUMNS($AC$1006:AP1006),$AC$1006:$AS$1006,0))&gt;=100000), " ",IF(INDEX($AC$2:$AS$1001,MATCH(ROWS($V$2:V748),$V$2:$V$1001,0),MATCH(COLUMNS($AC$1006:AP1006),$AC$1006:$AS$1006,0)), HYPERLINK("#",""), HYPERLINK(CONCATENATE("#Metadata!", ADDRESS(INDEX($X$2:$X$1001,MATCH(ROWS($V$2:V748),$V$2:$V$1001,0),0), INDEX($AC$1004:$AS$1004,1,MATCH(COLUMNS($AC$1006:AP1006),$AC$1006:$AS$1006,0)))),"Fix")))</f>
        <v>0</v>
      </c>
      <c r="P748" s="5">
        <f>IF(OR(INDEX($W$2:$W$1001,MATCH(ROWS($V$2:V748),$V$2:$V$1001,0),1)&gt;=100000,INDEX($AC$1005:$AS$1005,1,MATCH(COLUMNS($AC$1006:AQ1006),$AC$1006:$AS$1006,0))&gt;=100000), " ",IF(INDEX($AC$2:$AS$1001,MATCH(ROWS($V$2:V748),$V$2:$V$1001,0),MATCH(COLUMNS($AC$1006:AQ1006),$AC$1006:$AS$1006,0)), HYPERLINK("#",""), HYPERLINK(CONCATENATE("#Metadata!", ADDRESS(INDEX($X$2:$X$1001,MATCH(ROWS($V$2:V748),$V$2:$V$1001,0),0), INDEX($AC$1004:$AS$1004,1,MATCH(COLUMNS($AC$1006:AQ1006),$AC$1006:$AS$1006,0)))),"Fix")))</f>
        <v>0</v>
      </c>
      <c r="Q748" s="5">
        <f>IF(OR(INDEX($W$2:$W$1001,MATCH(ROWS($V$2:V748),$V$2:$V$1001,0),1)&gt;=100000,INDEX($AC$1005:$AS$1005,1,MATCH(COLUMNS($AC$1006:AR1006),$AC$1006:$AS$1006,0))&gt;=100000), " ",IF(INDEX($AC$2:$AS$1001,MATCH(ROWS($V$2:V748),$V$2:$V$1001,0),MATCH(COLUMNS($AC$1006:AR1006),$AC$1006:$AS$1006,0)), HYPERLINK("#",""), HYPERLINK(CONCATENATE("#Metadata!", ADDRESS(INDEX($X$2:$X$1001,MATCH(ROWS($V$2:V748),$V$2:$V$1001,0),0), INDEX($AC$1004:$AS$1004,1,MATCH(COLUMNS($AC$1006:AR1006),$AC$1006:$AS$1006,0)))),"Fix")))</f>
        <v>0</v>
      </c>
      <c r="R748" s="5">
        <f>IF(OR(INDEX($W$2:$W$1001,MATCH(ROWS($V$2:V748),$V$2:$V$1001,0),1)&gt;=100000,INDEX($AC$1005:$AS$1005,1,MATCH(COLUMNS($AC$1006:AS1006),$AC$1006:$AS$1006,0))&gt;=100000), " ",IF(INDEX($AC$2:$AS$1001,MATCH(ROWS($V$2:V748),$V$2:$V$1001,0),MATCH(COLUMNS($AC$1006:AS1006),$AC$1006:$AS$1006,0)), HYPERLINK("#",""), HYPERLINK(CONCATENATE("#Metadata!", ADDRESS(INDEX($X$2:$X$1001,MATCH(ROWS($V$2:V748),$V$2:$V$1001,0),0), INDEX($AC$1004:$AS$1004,1,MATCH(COLUMNS($AC$1006:AS1006),$AC$1006:$AS$1006,0)))),"Fix")))</f>
        <v>0</v>
      </c>
      <c r="V748">
        <v>0</v>
      </c>
      <c r="W748">
        <v>0</v>
      </c>
      <c r="X748">
        <v>0</v>
      </c>
      <c r="Y748">
        <f>IF(Z748,TRUE,AND(AC748:AS748))</f>
        <v>0</v>
      </c>
      <c r="Z748">
        <f>COUNTBLANK(Metadata!B748:R748)=COLUMNS(Metadata!B748:R748)</f>
        <v>0</v>
      </c>
      <c r="AA748">
        <v>0</v>
      </c>
      <c r="AC748">
        <f>AND(IF(Metadata!B748="",FALSE,TRUE),COUNTIF(Metadata!B:B, Metadata!B748) = 1,NOT(ISERROR(SUMPRODUCT(SEARCH(MID(Metadata!B748,ROW(INDIRECT("1:"&amp;LEN(Metadata!B748))), 1),"0123456789abcdefghijklmnopqrstuvwxyzABCDEFGHIJKLMNOPQRSTUVWXYZ.")))))</f>
        <v>0</v>
      </c>
      <c r="AD748">
        <f>AND(IF(Metadata!C748="",FALSE,TRUE),exact(Metadata!C748,"Host-associated"))</f>
        <v>0</v>
      </c>
      <c r="AE748">
        <f>AND(IF(Metadata!D748="",FALSE,TRUE),OR(exact(Metadata!D748,"Animal"),exact(Metadata!D748,"Fungus"),exact(Metadata!D748,"Plant")))</f>
        <v>0</v>
      </c>
      <c r="AF748">
        <f>AND(IF(Metadata!E748="",FALSE,TRUE),OR(exact(Metadata!E748,"Plant secretion"),exact(Metadata!E748,"Plant rhizosphere"),exact(Metadata!E748,"Plant surface"),exact(Metadata!E748,"Plant corpus"),exact(Metadata!E748,"Fungus surface"),exact(Metadata!E748,"Fungus corpus"),exact(Metadata!E748,"Animal surface"),exact(Metadata!E748,"Animal proximal gut"),exact(Metadata!E748,"Animal corpus"),exact(Metadata!E748,"Animal distal gut"),exact(Metadata!E748,"Animal secretion")))</f>
        <v>0</v>
      </c>
      <c r="AG748">
        <f>OR(AND(IF(Metadata!F748="",FALSE,TRUE),OR(exact(Metadata!F748,"not collected"),exact(Metadata!F748,"not provided"),exact(Metadata!F748,"restricted access"))),AND(IF(Metadata!F748="",FALSE,TRUE),OR(exact(Metadata!F748,"organism-associated habitat"),exact(Metadata!F748,"plant-associated habitat"),exact(Metadata!F748,"animal-associated habitat"),exact(Metadata!F748,"insecta-associated habitat"),exact(Metadata!F748,"mammalia-associated habitat"),exact(Metadata!F748,"human-associated habitat"),exact(Metadata!F748,"livestock-associated habitat"))))</f>
        <v>0</v>
      </c>
      <c r="AH748">
        <f>AND(IF(Metadata!G748="",FALSE,TRUE),exact(Metadata!G748,"host-associated"))</f>
        <v>0</v>
      </c>
      <c r="AI748">
        <f>OR(AND(IF(Metadata!H748="",FALSE,TRUE),OR(exact(Metadata!H748,"not collected"),exact(Metadata!H748,"not provided"))),AND(IF(Metadata!H748="",FALSE,ISNUMBER(VALUE(Metadata!H748))),Metadata!H748&gt;0))</f>
        <v>0</v>
      </c>
      <c r="AJ748">
        <f>AND(IF(Metadata!I748="",FALSE,TRUE),exact(Metadata!I748,"years"))</f>
        <v>0</v>
      </c>
      <c r="AK748">
        <f>IF(Metadata!J748="",FALSE,TRUE)</f>
        <v>0</v>
      </c>
      <c r="AL748">
        <f>OR(AND(IF(Metadata!K748="",FALSE,TRUE),OR(exact(Metadata!K748,"not collected"),exact(Metadata!K748,"not provided"))),AND(IF(Metadata!K748="",FALSE,ISNUMBER(VALUE(Metadata!K748))),Metadata!K748&gt;0))</f>
        <v>0</v>
      </c>
      <c r="AM748">
        <f>AND(IF(Metadata!L748="",FALSE,TRUE),exact(Metadata!L748,"cm"))</f>
        <v>0</v>
      </c>
      <c r="AN748">
        <f>IF(Metadata!M748="",FALSE,TRUE)</f>
        <v>0</v>
      </c>
      <c r="AO748">
        <f>OR(AND(IF(Metadata!N748="",FALSE,TRUE),OR(exact(Metadata!N748,"not applicable"),exact(Metadata!N748,"not collected"),exact(Metadata!N748,"not provided"))),AND(IF(Metadata!N748="",FALSE,IF(ISERROR(INT(Metadata!N748)),FALSE,INT(Metadata!N748)=Metadata!N748)),Metadata!N748&gt;0))</f>
        <v>0</v>
      </c>
      <c r="AP748">
        <f>OR(AND(IF(Metadata!O748="",FALSE,TRUE),OR(exact(Metadata!O748,"not collected"),exact(Metadata!O748,"not provided"))),AND(IF(Metadata!O748="",FALSE,ISNUMBER(VALUE(Metadata!O748))),Metadata!O748&gt;0))</f>
        <v>0</v>
      </c>
      <c r="AQ748">
        <f>AND(IF(Metadata!P748="",FALSE,TRUE),exact(Metadata!P748,"kg"))</f>
        <v>0</v>
      </c>
      <c r="AR748">
        <f>OR(AND(IF(Metadata!Q748="",FALSE,TRUE),OR(exact(Metadata!Q748,"not applicable"),exact(Metadata!Q748,"not collected"),exact(Metadata!Q748,"not provided"),exact(Metadata!Q748,"restricted access"))),IF(Metadata!Q748="",FALSE,IF(ISERROR(INT(Metadata!Q748)),FALSE,INT(Metadata!Q748)=Metadata!Q748)))</f>
        <v>0</v>
      </c>
      <c r="AS748">
        <f>AND(IF(Metadata!R748="",FALSE,TRUE),exact(Metadata!R748,"Not applicable"))</f>
        <v>0</v>
      </c>
    </row>
    <row r="749" spans="1:45">
      <c r="A749" s="4">
        <f>IF(B749=" "," ",HYPERLINK(CONCATENATE("#metadata!",ADDRESS(INDEX($X$2:$X$1001,MATCH(ROWS($V$2:V749),$V$2:$V$1001,0),0),2)),INDEX($AA$2:$AA$1001,MATCH(ROWS($V$2:V749),$V$2:$V$1001,0),0)))</f>
        <v>0</v>
      </c>
      <c r="B749" s="5">
        <f>IF(OR(INDEX($W$2:$W$1001,MATCH(ROWS($V$2:V749),$V$2:$V$1001,0),1)&gt;=100000,INDEX($AC$1005:$AS$1005,1,MATCH(COLUMNS($AC$1006:AC1006),$AC$1006:$AS$1006,0))&gt;=100000), " ",IF(INDEX($AC$2:$AS$1001,MATCH(ROWS($V$2:V749),$V$2:$V$1001,0),MATCH(COLUMNS($AC$1006:AC1006),$AC$1006:$AS$1006,0)), HYPERLINK("#",""), HYPERLINK(CONCATENATE("#Metadata!", ADDRESS(INDEX($X$2:$X$1001,MATCH(ROWS($V$2:V749),$V$2:$V$1001,0),0), INDEX($AC$1004:$AS$1004,1,MATCH(COLUMNS($AC$1006:AC1006),$AC$1006:$AS$1006,0)))),"Fix")))</f>
        <v>0</v>
      </c>
      <c r="C749" s="5">
        <f>IF(OR(INDEX($W$2:$W$1001,MATCH(ROWS($V$2:V749),$V$2:$V$1001,0),1)&gt;=100000,INDEX($AC$1005:$AS$1005,1,MATCH(COLUMNS($AC$1006:AD1006),$AC$1006:$AS$1006,0))&gt;=100000), " ",IF(INDEX($AC$2:$AS$1001,MATCH(ROWS($V$2:V749),$V$2:$V$1001,0),MATCH(COLUMNS($AC$1006:AD1006),$AC$1006:$AS$1006,0)), HYPERLINK("#",""), HYPERLINK(CONCATENATE("#Metadata!", ADDRESS(INDEX($X$2:$X$1001,MATCH(ROWS($V$2:V749),$V$2:$V$1001,0),0), INDEX($AC$1004:$AS$1004,1,MATCH(COLUMNS($AC$1006:AD1006),$AC$1006:$AS$1006,0)))),"Fix")))</f>
        <v>0</v>
      </c>
      <c r="D749" s="5">
        <f>IF(OR(INDEX($W$2:$W$1001,MATCH(ROWS($V$2:V749),$V$2:$V$1001,0),1)&gt;=100000,INDEX($AC$1005:$AS$1005,1,MATCH(COLUMNS($AC$1006:AE1006),$AC$1006:$AS$1006,0))&gt;=100000), " ",IF(INDEX($AC$2:$AS$1001,MATCH(ROWS($V$2:V749),$V$2:$V$1001,0),MATCH(COLUMNS($AC$1006:AE1006),$AC$1006:$AS$1006,0)), HYPERLINK("#",""), HYPERLINK(CONCATENATE("#Metadata!", ADDRESS(INDEX($X$2:$X$1001,MATCH(ROWS($V$2:V749),$V$2:$V$1001,0),0), INDEX($AC$1004:$AS$1004,1,MATCH(COLUMNS($AC$1006:AE1006),$AC$1006:$AS$1006,0)))),"Fix")))</f>
        <v>0</v>
      </c>
      <c r="E749" s="5">
        <f>IF(OR(INDEX($W$2:$W$1001,MATCH(ROWS($V$2:V749),$V$2:$V$1001,0),1)&gt;=100000,INDEX($AC$1005:$AS$1005,1,MATCH(COLUMNS($AC$1006:AF1006),$AC$1006:$AS$1006,0))&gt;=100000), " ",IF(INDEX($AC$2:$AS$1001,MATCH(ROWS($V$2:V749),$V$2:$V$1001,0),MATCH(COLUMNS($AC$1006:AF1006),$AC$1006:$AS$1006,0)), HYPERLINK("#",""), HYPERLINK(CONCATENATE("#Metadata!", ADDRESS(INDEX($X$2:$X$1001,MATCH(ROWS($V$2:V749),$V$2:$V$1001,0),0), INDEX($AC$1004:$AS$1004,1,MATCH(COLUMNS($AC$1006:AF1006),$AC$1006:$AS$1006,0)))),"Fix")))</f>
        <v>0</v>
      </c>
      <c r="F749" s="5">
        <f>IF(OR(INDEX($W$2:$W$1001,MATCH(ROWS($V$2:V749),$V$2:$V$1001,0),1)&gt;=100000,INDEX($AC$1005:$AS$1005,1,MATCH(COLUMNS($AC$1006:AG1006),$AC$1006:$AS$1006,0))&gt;=100000), " ",IF(INDEX($AC$2:$AS$1001,MATCH(ROWS($V$2:V749),$V$2:$V$1001,0),MATCH(COLUMNS($AC$1006:AG1006),$AC$1006:$AS$1006,0)), HYPERLINK("#",""), HYPERLINK(CONCATENATE("#Metadata!", ADDRESS(INDEX($X$2:$X$1001,MATCH(ROWS($V$2:V749),$V$2:$V$1001,0),0), INDEX($AC$1004:$AS$1004,1,MATCH(COLUMNS($AC$1006:AG1006),$AC$1006:$AS$1006,0)))),"Fix")))</f>
        <v>0</v>
      </c>
      <c r="G749" s="5">
        <f>IF(OR(INDEX($W$2:$W$1001,MATCH(ROWS($V$2:V749),$V$2:$V$1001,0),1)&gt;=100000,INDEX($AC$1005:$AS$1005,1,MATCH(COLUMNS($AC$1006:AH1006),$AC$1006:$AS$1006,0))&gt;=100000), " ",IF(INDEX($AC$2:$AS$1001,MATCH(ROWS($V$2:V749),$V$2:$V$1001,0),MATCH(COLUMNS($AC$1006:AH1006),$AC$1006:$AS$1006,0)), HYPERLINK("#",""), HYPERLINK(CONCATENATE("#Metadata!", ADDRESS(INDEX($X$2:$X$1001,MATCH(ROWS($V$2:V749),$V$2:$V$1001,0),0), INDEX($AC$1004:$AS$1004,1,MATCH(COLUMNS($AC$1006:AH1006),$AC$1006:$AS$1006,0)))),"Fix")))</f>
        <v>0</v>
      </c>
      <c r="H749" s="5">
        <f>IF(OR(INDEX($W$2:$W$1001,MATCH(ROWS($V$2:V749),$V$2:$V$1001,0),1)&gt;=100000,INDEX($AC$1005:$AS$1005,1,MATCH(COLUMNS($AC$1006:AI1006),$AC$1006:$AS$1006,0))&gt;=100000), " ",IF(INDEX($AC$2:$AS$1001,MATCH(ROWS($V$2:V749),$V$2:$V$1001,0),MATCH(COLUMNS($AC$1006:AI1006),$AC$1006:$AS$1006,0)), HYPERLINK("#",""), HYPERLINK(CONCATENATE("#Metadata!", ADDRESS(INDEX($X$2:$X$1001,MATCH(ROWS($V$2:V749),$V$2:$V$1001,0),0), INDEX($AC$1004:$AS$1004,1,MATCH(COLUMNS($AC$1006:AI1006),$AC$1006:$AS$1006,0)))),"Fix")))</f>
        <v>0</v>
      </c>
      <c r="I749" s="5">
        <f>IF(OR(INDEX($W$2:$W$1001,MATCH(ROWS($V$2:V749),$V$2:$V$1001,0),1)&gt;=100000,INDEX($AC$1005:$AS$1005,1,MATCH(COLUMNS($AC$1006:AJ1006),$AC$1006:$AS$1006,0))&gt;=100000), " ",IF(INDEX($AC$2:$AS$1001,MATCH(ROWS($V$2:V749),$V$2:$V$1001,0),MATCH(COLUMNS($AC$1006:AJ1006),$AC$1006:$AS$1006,0)), HYPERLINK("#",""), HYPERLINK(CONCATENATE("#Metadata!", ADDRESS(INDEX($X$2:$X$1001,MATCH(ROWS($V$2:V749),$V$2:$V$1001,0),0), INDEX($AC$1004:$AS$1004,1,MATCH(COLUMNS($AC$1006:AJ1006),$AC$1006:$AS$1006,0)))),"Fix")))</f>
        <v>0</v>
      </c>
      <c r="J749" s="5">
        <f>IF(OR(INDEX($W$2:$W$1001,MATCH(ROWS($V$2:V749),$V$2:$V$1001,0),1)&gt;=100000,INDEX($AC$1005:$AS$1005,1,MATCH(COLUMNS($AC$1006:AK1006),$AC$1006:$AS$1006,0))&gt;=100000), " ",IF(INDEX($AC$2:$AS$1001,MATCH(ROWS($V$2:V749),$V$2:$V$1001,0),MATCH(COLUMNS($AC$1006:AK1006),$AC$1006:$AS$1006,0)), HYPERLINK("#",""), HYPERLINK(CONCATENATE("#Metadata!", ADDRESS(INDEX($X$2:$X$1001,MATCH(ROWS($V$2:V749),$V$2:$V$1001,0),0), INDEX($AC$1004:$AS$1004,1,MATCH(COLUMNS($AC$1006:AK1006),$AC$1006:$AS$1006,0)))),"Fix")))</f>
        <v>0</v>
      </c>
      <c r="K749" s="5">
        <f>IF(OR(INDEX($W$2:$W$1001,MATCH(ROWS($V$2:V749),$V$2:$V$1001,0),1)&gt;=100000,INDEX($AC$1005:$AS$1005,1,MATCH(COLUMNS($AC$1006:AL1006),$AC$1006:$AS$1006,0))&gt;=100000), " ",IF(INDEX($AC$2:$AS$1001,MATCH(ROWS($V$2:V749),$V$2:$V$1001,0),MATCH(COLUMNS($AC$1006:AL1006),$AC$1006:$AS$1006,0)), HYPERLINK("#",""), HYPERLINK(CONCATENATE("#Metadata!", ADDRESS(INDEX($X$2:$X$1001,MATCH(ROWS($V$2:V749),$V$2:$V$1001,0),0), INDEX($AC$1004:$AS$1004,1,MATCH(COLUMNS($AC$1006:AL1006),$AC$1006:$AS$1006,0)))),"Fix")))</f>
        <v>0</v>
      </c>
      <c r="L749" s="5">
        <f>IF(OR(INDEX($W$2:$W$1001,MATCH(ROWS($V$2:V749),$V$2:$V$1001,0),1)&gt;=100000,INDEX($AC$1005:$AS$1005,1,MATCH(COLUMNS($AC$1006:AM1006),$AC$1006:$AS$1006,0))&gt;=100000), " ",IF(INDEX($AC$2:$AS$1001,MATCH(ROWS($V$2:V749),$V$2:$V$1001,0),MATCH(COLUMNS($AC$1006:AM1006),$AC$1006:$AS$1006,0)), HYPERLINK("#",""), HYPERLINK(CONCATENATE("#Metadata!", ADDRESS(INDEX($X$2:$X$1001,MATCH(ROWS($V$2:V749),$V$2:$V$1001,0),0), INDEX($AC$1004:$AS$1004,1,MATCH(COLUMNS($AC$1006:AM1006),$AC$1006:$AS$1006,0)))),"Fix")))</f>
        <v>0</v>
      </c>
      <c r="M749" s="5">
        <f>IF(OR(INDEX($W$2:$W$1001,MATCH(ROWS($V$2:V749),$V$2:$V$1001,0),1)&gt;=100000,INDEX($AC$1005:$AS$1005,1,MATCH(COLUMNS($AC$1006:AN1006),$AC$1006:$AS$1006,0))&gt;=100000), " ",IF(INDEX($AC$2:$AS$1001,MATCH(ROWS($V$2:V749),$V$2:$V$1001,0),MATCH(COLUMNS($AC$1006:AN1006),$AC$1006:$AS$1006,0)), HYPERLINK("#",""), HYPERLINK(CONCATENATE("#Metadata!", ADDRESS(INDEX($X$2:$X$1001,MATCH(ROWS($V$2:V749),$V$2:$V$1001,0),0), INDEX($AC$1004:$AS$1004,1,MATCH(COLUMNS($AC$1006:AN1006),$AC$1006:$AS$1006,0)))),"Fix")))</f>
        <v>0</v>
      </c>
      <c r="N749" s="5">
        <f>IF(OR(INDEX($W$2:$W$1001,MATCH(ROWS($V$2:V749),$V$2:$V$1001,0),1)&gt;=100000,INDEX($AC$1005:$AS$1005,1,MATCH(COLUMNS($AC$1006:AO1006),$AC$1006:$AS$1006,0))&gt;=100000), " ",IF(INDEX($AC$2:$AS$1001,MATCH(ROWS($V$2:V749),$V$2:$V$1001,0),MATCH(COLUMNS($AC$1006:AO1006),$AC$1006:$AS$1006,0)), HYPERLINK("#",""), HYPERLINK(CONCATENATE("#Metadata!", ADDRESS(INDEX($X$2:$X$1001,MATCH(ROWS($V$2:V749),$V$2:$V$1001,0),0), INDEX($AC$1004:$AS$1004,1,MATCH(COLUMNS($AC$1006:AO1006),$AC$1006:$AS$1006,0)))),"Fix")))</f>
        <v>0</v>
      </c>
      <c r="O749" s="5">
        <f>IF(OR(INDEX($W$2:$W$1001,MATCH(ROWS($V$2:V749),$V$2:$V$1001,0),1)&gt;=100000,INDEX($AC$1005:$AS$1005,1,MATCH(COLUMNS($AC$1006:AP1006),$AC$1006:$AS$1006,0))&gt;=100000), " ",IF(INDEX($AC$2:$AS$1001,MATCH(ROWS($V$2:V749),$V$2:$V$1001,0),MATCH(COLUMNS($AC$1006:AP1006),$AC$1006:$AS$1006,0)), HYPERLINK("#",""), HYPERLINK(CONCATENATE("#Metadata!", ADDRESS(INDEX($X$2:$X$1001,MATCH(ROWS($V$2:V749),$V$2:$V$1001,0),0), INDEX($AC$1004:$AS$1004,1,MATCH(COLUMNS($AC$1006:AP1006),$AC$1006:$AS$1006,0)))),"Fix")))</f>
        <v>0</v>
      </c>
      <c r="P749" s="5">
        <f>IF(OR(INDEX($W$2:$W$1001,MATCH(ROWS($V$2:V749),$V$2:$V$1001,0),1)&gt;=100000,INDEX($AC$1005:$AS$1005,1,MATCH(COLUMNS($AC$1006:AQ1006),$AC$1006:$AS$1006,0))&gt;=100000), " ",IF(INDEX($AC$2:$AS$1001,MATCH(ROWS($V$2:V749),$V$2:$V$1001,0),MATCH(COLUMNS($AC$1006:AQ1006),$AC$1006:$AS$1006,0)), HYPERLINK("#",""), HYPERLINK(CONCATENATE("#Metadata!", ADDRESS(INDEX($X$2:$X$1001,MATCH(ROWS($V$2:V749),$V$2:$V$1001,0),0), INDEX($AC$1004:$AS$1004,1,MATCH(COLUMNS($AC$1006:AQ1006),$AC$1006:$AS$1006,0)))),"Fix")))</f>
        <v>0</v>
      </c>
      <c r="Q749" s="5">
        <f>IF(OR(INDEX($W$2:$W$1001,MATCH(ROWS($V$2:V749),$V$2:$V$1001,0),1)&gt;=100000,INDEX($AC$1005:$AS$1005,1,MATCH(COLUMNS($AC$1006:AR1006),$AC$1006:$AS$1006,0))&gt;=100000), " ",IF(INDEX($AC$2:$AS$1001,MATCH(ROWS($V$2:V749),$V$2:$V$1001,0),MATCH(COLUMNS($AC$1006:AR1006),$AC$1006:$AS$1006,0)), HYPERLINK("#",""), HYPERLINK(CONCATENATE("#Metadata!", ADDRESS(INDEX($X$2:$X$1001,MATCH(ROWS($V$2:V749),$V$2:$V$1001,0),0), INDEX($AC$1004:$AS$1004,1,MATCH(COLUMNS($AC$1006:AR1006),$AC$1006:$AS$1006,0)))),"Fix")))</f>
        <v>0</v>
      </c>
      <c r="R749" s="5">
        <f>IF(OR(INDEX($W$2:$W$1001,MATCH(ROWS($V$2:V749),$V$2:$V$1001,0),1)&gt;=100000,INDEX($AC$1005:$AS$1005,1,MATCH(COLUMNS($AC$1006:AS1006),$AC$1006:$AS$1006,0))&gt;=100000), " ",IF(INDEX($AC$2:$AS$1001,MATCH(ROWS($V$2:V749),$V$2:$V$1001,0),MATCH(COLUMNS($AC$1006:AS1006),$AC$1006:$AS$1006,0)), HYPERLINK("#",""), HYPERLINK(CONCATENATE("#Metadata!", ADDRESS(INDEX($X$2:$X$1001,MATCH(ROWS($V$2:V749),$V$2:$V$1001,0),0), INDEX($AC$1004:$AS$1004,1,MATCH(COLUMNS($AC$1006:AS1006),$AC$1006:$AS$1006,0)))),"Fix")))</f>
        <v>0</v>
      </c>
      <c r="V749">
        <v>0</v>
      </c>
      <c r="W749">
        <v>0</v>
      </c>
      <c r="X749">
        <v>0</v>
      </c>
      <c r="Y749">
        <f>IF(Z749,TRUE,AND(AC749:AS749))</f>
        <v>0</v>
      </c>
      <c r="Z749">
        <f>COUNTBLANK(Metadata!B749:R749)=COLUMNS(Metadata!B749:R749)</f>
        <v>0</v>
      </c>
      <c r="AA749">
        <v>0</v>
      </c>
      <c r="AC749">
        <f>AND(IF(Metadata!B749="",FALSE,TRUE),COUNTIF(Metadata!B:B, Metadata!B749) = 1,NOT(ISERROR(SUMPRODUCT(SEARCH(MID(Metadata!B749,ROW(INDIRECT("1:"&amp;LEN(Metadata!B749))), 1),"0123456789abcdefghijklmnopqrstuvwxyzABCDEFGHIJKLMNOPQRSTUVWXYZ.")))))</f>
        <v>0</v>
      </c>
      <c r="AD749">
        <f>AND(IF(Metadata!C749="",FALSE,TRUE),exact(Metadata!C749,"Host-associated"))</f>
        <v>0</v>
      </c>
      <c r="AE749">
        <f>AND(IF(Metadata!D749="",FALSE,TRUE),OR(exact(Metadata!D749,"Animal"),exact(Metadata!D749,"Fungus"),exact(Metadata!D749,"Plant")))</f>
        <v>0</v>
      </c>
      <c r="AF749">
        <f>AND(IF(Metadata!E749="",FALSE,TRUE),OR(exact(Metadata!E749,"Plant secretion"),exact(Metadata!E749,"Plant rhizosphere"),exact(Metadata!E749,"Plant surface"),exact(Metadata!E749,"Plant corpus"),exact(Metadata!E749,"Fungus surface"),exact(Metadata!E749,"Fungus corpus"),exact(Metadata!E749,"Animal surface"),exact(Metadata!E749,"Animal proximal gut"),exact(Metadata!E749,"Animal corpus"),exact(Metadata!E749,"Animal distal gut"),exact(Metadata!E749,"Animal secretion")))</f>
        <v>0</v>
      </c>
      <c r="AG749">
        <f>OR(AND(IF(Metadata!F749="",FALSE,TRUE),OR(exact(Metadata!F749,"not collected"),exact(Metadata!F749,"not provided"),exact(Metadata!F749,"restricted access"))),AND(IF(Metadata!F749="",FALSE,TRUE),OR(exact(Metadata!F749,"organism-associated habitat"),exact(Metadata!F749,"plant-associated habitat"),exact(Metadata!F749,"animal-associated habitat"),exact(Metadata!F749,"insecta-associated habitat"),exact(Metadata!F749,"mammalia-associated habitat"),exact(Metadata!F749,"human-associated habitat"),exact(Metadata!F749,"livestock-associated habitat"))))</f>
        <v>0</v>
      </c>
      <c r="AH749">
        <f>AND(IF(Metadata!G749="",FALSE,TRUE),exact(Metadata!G749,"host-associated"))</f>
        <v>0</v>
      </c>
      <c r="AI749">
        <f>OR(AND(IF(Metadata!H749="",FALSE,TRUE),OR(exact(Metadata!H749,"not collected"),exact(Metadata!H749,"not provided"))),AND(IF(Metadata!H749="",FALSE,ISNUMBER(VALUE(Metadata!H749))),Metadata!H749&gt;0))</f>
        <v>0</v>
      </c>
      <c r="AJ749">
        <f>AND(IF(Metadata!I749="",FALSE,TRUE),exact(Metadata!I749,"years"))</f>
        <v>0</v>
      </c>
      <c r="AK749">
        <f>IF(Metadata!J749="",FALSE,TRUE)</f>
        <v>0</v>
      </c>
      <c r="AL749">
        <f>OR(AND(IF(Metadata!K749="",FALSE,TRUE),OR(exact(Metadata!K749,"not collected"),exact(Metadata!K749,"not provided"))),AND(IF(Metadata!K749="",FALSE,ISNUMBER(VALUE(Metadata!K749))),Metadata!K749&gt;0))</f>
        <v>0</v>
      </c>
      <c r="AM749">
        <f>AND(IF(Metadata!L749="",FALSE,TRUE),exact(Metadata!L749,"cm"))</f>
        <v>0</v>
      </c>
      <c r="AN749">
        <f>IF(Metadata!M749="",FALSE,TRUE)</f>
        <v>0</v>
      </c>
      <c r="AO749">
        <f>OR(AND(IF(Metadata!N749="",FALSE,TRUE),OR(exact(Metadata!N749,"not applicable"),exact(Metadata!N749,"not collected"),exact(Metadata!N749,"not provided"))),AND(IF(Metadata!N749="",FALSE,IF(ISERROR(INT(Metadata!N749)),FALSE,INT(Metadata!N749)=Metadata!N749)),Metadata!N749&gt;0))</f>
        <v>0</v>
      </c>
      <c r="AP749">
        <f>OR(AND(IF(Metadata!O749="",FALSE,TRUE),OR(exact(Metadata!O749,"not collected"),exact(Metadata!O749,"not provided"))),AND(IF(Metadata!O749="",FALSE,ISNUMBER(VALUE(Metadata!O749))),Metadata!O749&gt;0))</f>
        <v>0</v>
      </c>
      <c r="AQ749">
        <f>AND(IF(Metadata!P749="",FALSE,TRUE),exact(Metadata!P749,"kg"))</f>
        <v>0</v>
      </c>
      <c r="AR749">
        <f>OR(AND(IF(Metadata!Q749="",FALSE,TRUE),OR(exact(Metadata!Q749,"not applicable"),exact(Metadata!Q749,"not collected"),exact(Metadata!Q749,"not provided"),exact(Metadata!Q749,"restricted access"))),IF(Metadata!Q749="",FALSE,IF(ISERROR(INT(Metadata!Q749)),FALSE,INT(Metadata!Q749)=Metadata!Q749)))</f>
        <v>0</v>
      </c>
      <c r="AS749">
        <f>AND(IF(Metadata!R749="",FALSE,TRUE),exact(Metadata!R749,"Not applicable"))</f>
        <v>0</v>
      </c>
    </row>
    <row r="750" spans="1:45">
      <c r="A750" s="4">
        <f>IF(B750=" "," ",HYPERLINK(CONCATENATE("#metadata!",ADDRESS(INDEX($X$2:$X$1001,MATCH(ROWS($V$2:V750),$V$2:$V$1001,0),0),2)),INDEX($AA$2:$AA$1001,MATCH(ROWS($V$2:V750),$V$2:$V$1001,0),0)))</f>
        <v>0</v>
      </c>
      <c r="B750" s="5">
        <f>IF(OR(INDEX($W$2:$W$1001,MATCH(ROWS($V$2:V750),$V$2:$V$1001,0),1)&gt;=100000,INDEX($AC$1005:$AS$1005,1,MATCH(COLUMNS($AC$1006:AC1006),$AC$1006:$AS$1006,0))&gt;=100000), " ",IF(INDEX($AC$2:$AS$1001,MATCH(ROWS($V$2:V750),$V$2:$V$1001,0),MATCH(COLUMNS($AC$1006:AC1006),$AC$1006:$AS$1006,0)), HYPERLINK("#",""), HYPERLINK(CONCATENATE("#Metadata!", ADDRESS(INDEX($X$2:$X$1001,MATCH(ROWS($V$2:V750),$V$2:$V$1001,0),0), INDEX($AC$1004:$AS$1004,1,MATCH(COLUMNS($AC$1006:AC1006),$AC$1006:$AS$1006,0)))),"Fix")))</f>
        <v>0</v>
      </c>
      <c r="C750" s="5">
        <f>IF(OR(INDEX($W$2:$W$1001,MATCH(ROWS($V$2:V750),$V$2:$V$1001,0),1)&gt;=100000,INDEX($AC$1005:$AS$1005,1,MATCH(COLUMNS($AC$1006:AD1006),$AC$1006:$AS$1006,0))&gt;=100000), " ",IF(INDEX($AC$2:$AS$1001,MATCH(ROWS($V$2:V750),$V$2:$V$1001,0),MATCH(COLUMNS($AC$1006:AD1006),$AC$1006:$AS$1006,0)), HYPERLINK("#",""), HYPERLINK(CONCATENATE("#Metadata!", ADDRESS(INDEX($X$2:$X$1001,MATCH(ROWS($V$2:V750),$V$2:$V$1001,0),0), INDEX($AC$1004:$AS$1004,1,MATCH(COLUMNS($AC$1006:AD1006),$AC$1006:$AS$1006,0)))),"Fix")))</f>
        <v>0</v>
      </c>
      <c r="D750" s="5">
        <f>IF(OR(INDEX($W$2:$W$1001,MATCH(ROWS($V$2:V750),$V$2:$V$1001,0),1)&gt;=100000,INDEX($AC$1005:$AS$1005,1,MATCH(COLUMNS($AC$1006:AE1006),$AC$1006:$AS$1006,0))&gt;=100000), " ",IF(INDEX($AC$2:$AS$1001,MATCH(ROWS($V$2:V750),$V$2:$V$1001,0),MATCH(COLUMNS($AC$1006:AE1006),$AC$1006:$AS$1006,0)), HYPERLINK("#",""), HYPERLINK(CONCATENATE("#Metadata!", ADDRESS(INDEX($X$2:$X$1001,MATCH(ROWS($V$2:V750),$V$2:$V$1001,0),0), INDEX($AC$1004:$AS$1004,1,MATCH(COLUMNS($AC$1006:AE1006),$AC$1006:$AS$1006,0)))),"Fix")))</f>
        <v>0</v>
      </c>
      <c r="E750" s="5">
        <f>IF(OR(INDEX($W$2:$W$1001,MATCH(ROWS($V$2:V750),$V$2:$V$1001,0),1)&gt;=100000,INDEX($AC$1005:$AS$1005,1,MATCH(COLUMNS($AC$1006:AF1006),$AC$1006:$AS$1006,0))&gt;=100000), " ",IF(INDEX($AC$2:$AS$1001,MATCH(ROWS($V$2:V750),$V$2:$V$1001,0),MATCH(COLUMNS($AC$1006:AF1006),$AC$1006:$AS$1006,0)), HYPERLINK("#",""), HYPERLINK(CONCATENATE("#Metadata!", ADDRESS(INDEX($X$2:$X$1001,MATCH(ROWS($V$2:V750),$V$2:$V$1001,0),0), INDEX($AC$1004:$AS$1004,1,MATCH(COLUMNS($AC$1006:AF1006),$AC$1006:$AS$1006,0)))),"Fix")))</f>
        <v>0</v>
      </c>
      <c r="F750" s="5">
        <f>IF(OR(INDEX($W$2:$W$1001,MATCH(ROWS($V$2:V750),$V$2:$V$1001,0),1)&gt;=100000,INDEX($AC$1005:$AS$1005,1,MATCH(COLUMNS($AC$1006:AG1006),$AC$1006:$AS$1006,0))&gt;=100000), " ",IF(INDEX($AC$2:$AS$1001,MATCH(ROWS($V$2:V750),$V$2:$V$1001,0),MATCH(COLUMNS($AC$1006:AG1006),$AC$1006:$AS$1006,0)), HYPERLINK("#",""), HYPERLINK(CONCATENATE("#Metadata!", ADDRESS(INDEX($X$2:$X$1001,MATCH(ROWS($V$2:V750),$V$2:$V$1001,0),0), INDEX($AC$1004:$AS$1004,1,MATCH(COLUMNS($AC$1006:AG1006),$AC$1006:$AS$1006,0)))),"Fix")))</f>
        <v>0</v>
      </c>
      <c r="G750" s="5">
        <f>IF(OR(INDEX($W$2:$W$1001,MATCH(ROWS($V$2:V750),$V$2:$V$1001,0),1)&gt;=100000,INDEX($AC$1005:$AS$1005,1,MATCH(COLUMNS($AC$1006:AH1006),$AC$1006:$AS$1006,0))&gt;=100000), " ",IF(INDEX($AC$2:$AS$1001,MATCH(ROWS($V$2:V750),$V$2:$V$1001,0),MATCH(COLUMNS($AC$1006:AH1006),$AC$1006:$AS$1006,0)), HYPERLINK("#",""), HYPERLINK(CONCATENATE("#Metadata!", ADDRESS(INDEX($X$2:$X$1001,MATCH(ROWS($V$2:V750),$V$2:$V$1001,0),0), INDEX($AC$1004:$AS$1004,1,MATCH(COLUMNS($AC$1006:AH1006),$AC$1006:$AS$1006,0)))),"Fix")))</f>
        <v>0</v>
      </c>
      <c r="H750" s="5">
        <f>IF(OR(INDEX($W$2:$W$1001,MATCH(ROWS($V$2:V750),$V$2:$V$1001,0),1)&gt;=100000,INDEX($AC$1005:$AS$1005,1,MATCH(COLUMNS($AC$1006:AI1006),$AC$1006:$AS$1006,0))&gt;=100000), " ",IF(INDEX($AC$2:$AS$1001,MATCH(ROWS($V$2:V750),$V$2:$V$1001,0),MATCH(COLUMNS($AC$1006:AI1006),$AC$1006:$AS$1006,0)), HYPERLINK("#",""), HYPERLINK(CONCATENATE("#Metadata!", ADDRESS(INDEX($X$2:$X$1001,MATCH(ROWS($V$2:V750),$V$2:$V$1001,0),0), INDEX($AC$1004:$AS$1004,1,MATCH(COLUMNS($AC$1006:AI1006),$AC$1006:$AS$1006,0)))),"Fix")))</f>
        <v>0</v>
      </c>
      <c r="I750" s="5">
        <f>IF(OR(INDEX($W$2:$W$1001,MATCH(ROWS($V$2:V750),$V$2:$V$1001,0),1)&gt;=100000,INDEX($AC$1005:$AS$1005,1,MATCH(COLUMNS($AC$1006:AJ1006),$AC$1006:$AS$1006,0))&gt;=100000), " ",IF(INDEX($AC$2:$AS$1001,MATCH(ROWS($V$2:V750),$V$2:$V$1001,0),MATCH(COLUMNS($AC$1006:AJ1006),$AC$1006:$AS$1006,0)), HYPERLINK("#",""), HYPERLINK(CONCATENATE("#Metadata!", ADDRESS(INDEX($X$2:$X$1001,MATCH(ROWS($V$2:V750),$V$2:$V$1001,0),0), INDEX($AC$1004:$AS$1004,1,MATCH(COLUMNS($AC$1006:AJ1006),$AC$1006:$AS$1006,0)))),"Fix")))</f>
        <v>0</v>
      </c>
      <c r="J750" s="5">
        <f>IF(OR(INDEX($W$2:$W$1001,MATCH(ROWS($V$2:V750),$V$2:$V$1001,0),1)&gt;=100000,INDEX($AC$1005:$AS$1005,1,MATCH(COLUMNS($AC$1006:AK1006),$AC$1006:$AS$1006,0))&gt;=100000), " ",IF(INDEX($AC$2:$AS$1001,MATCH(ROWS($V$2:V750),$V$2:$V$1001,0),MATCH(COLUMNS($AC$1006:AK1006),$AC$1006:$AS$1006,0)), HYPERLINK("#",""), HYPERLINK(CONCATENATE("#Metadata!", ADDRESS(INDEX($X$2:$X$1001,MATCH(ROWS($V$2:V750),$V$2:$V$1001,0),0), INDEX($AC$1004:$AS$1004,1,MATCH(COLUMNS($AC$1006:AK1006),$AC$1006:$AS$1006,0)))),"Fix")))</f>
        <v>0</v>
      </c>
      <c r="K750" s="5">
        <f>IF(OR(INDEX($W$2:$W$1001,MATCH(ROWS($V$2:V750),$V$2:$V$1001,0),1)&gt;=100000,INDEX($AC$1005:$AS$1005,1,MATCH(COLUMNS($AC$1006:AL1006),$AC$1006:$AS$1006,0))&gt;=100000), " ",IF(INDEX($AC$2:$AS$1001,MATCH(ROWS($V$2:V750),$V$2:$V$1001,0),MATCH(COLUMNS($AC$1006:AL1006),$AC$1006:$AS$1006,0)), HYPERLINK("#",""), HYPERLINK(CONCATENATE("#Metadata!", ADDRESS(INDEX($X$2:$X$1001,MATCH(ROWS($V$2:V750),$V$2:$V$1001,0),0), INDEX($AC$1004:$AS$1004,1,MATCH(COLUMNS($AC$1006:AL1006),$AC$1006:$AS$1006,0)))),"Fix")))</f>
        <v>0</v>
      </c>
      <c r="L750" s="5">
        <f>IF(OR(INDEX($W$2:$W$1001,MATCH(ROWS($V$2:V750),$V$2:$V$1001,0),1)&gt;=100000,INDEX($AC$1005:$AS$1005,1,MATCH(COLUMNS($AC$1006:AM1006),$AC$1006:$AS$1006,0))&gt;=100000), " ",IF(INDEX($AC$2:$AS$1001,MATCH(ROWS($V$2:V750),$V$2:$V$1001,0),MATCH(COLUMNS($AC$1006:AM1006),$AC$1006:$AS$1006,0)), HYPERLINK("#",""), HYPERLINK(CONCATENATE("#Metadata!", ADDRESS(INDEX($X$2:$X$1001,MATCH(ROWS($V$2:V750),$V$2:$V$1001,0),0), INDEX($AC$1004:$AS$1004,1,MATCH(COLUMNS($AC$1006:AM1006),$AC$1006:$AS$1006,0)))),"Fix")))</f>
        <v>0</v>
      </c>
      <c r="M750" s="5">
        <f>IF(OR(INDEX($W$2:$W$1001,MATCH(ROWS($V$2:V750),$V$2:$V$1001,0),1)&gt;=100000,INDEX($AC$1005:$AS$1005,1,MATCH(COLUMNS($AC$1006:AN1006),$AC$1006:$AS$1006,0))&gt;=100000), " ",IF(INDEX($AC$2:$AS$1001,MATCH(ROWS($V$2:V750),$V$2:$V$1001,0),MATCH(COLUMNS($AC$1006:AN1006),$AC$1006:$AS$1006,0)), HYPERLINK("#",""), HYPERLINK(CONCATENATE("#Metadata!", ADDRESS(INDEX($X$2:$X$1001,MATCH(ROWS($V$2:V750),$V$2:$V$1001,0),0), INDEX($AC$1004:$AS$1004,1,MATCH(COLUMNS($AC$1006:AN1006),$AC$1006:$AS$1006,0)))),"Fix")))</f>
        <v>0</v>
      </c>
      <c r="N750" s="5">
        <f>IF(OR(INDEX($W$2:$W$1001,MATCH(ROWS($V$2:V750),$V$2:$V$1001,0),1)&gt;=100000,INDEX($AC$1005:$AS$1005,1,MATCH(COLUMNS($AC$1006:AO1006),$AC$1006:$AS$1006,0))&gt;=100000), " ",IF(INDEX($AC$2:$AS$1001,MATCH(ROWS($V$2:V750),$V$2:$V$1001,0),MATCH(COLUMNS($AC$1006:AO1006),$AC$1006:$AS$1006,0)), HYPERLINK("#",""), HYPERLINK(CONCATENATE("#Metadata!", ADDRESS(INDEX($X$2:$X$1001,MATCH(ROWS($V$2:V750),$V$2:$V$1001,0),0), INDEX($AC$1004:$AS$1004,1,MATCH(COLUMNS($AC$1006:AO1006),$AC$1006:$AS$1006,0)))),"Fix")))</f>
        <v>0</v>
      </c>
      <c r="O750" s="5">
        <f>IF(OR(INDEX($W$2:$W$1001,MATCH(ROWS($V$2:V750),$V$2:$V$1001,0),1)&gt;=100000,INDEX($AC$1005:$AS$1005,1,MATCH(COLUMNS($AC$1006:AP1006),$AC$1006:$AS$1006,0))&gt;=100000), " ",IF(INDEX($AC$2:$AS$1001,MATCH(ROWS($V$2:V750),$V$2:$V$1001,0),MATCH(COLUMNS($AC$1006:AP1006),$AC$1006:$AS$1006,0)), HYPERLINK("#",""), HYPERLINK(CONCATENATE("#Metadata!", ADDRESS(INDEX($X$2:$X$1001,MATCH(ROWS($V$2:V750),$V$2:$V$1001,0),0), INDEX($AC$1004:$AS$1004,1,MATCH(COLUMNS($AC$1006:AP1006),$AC$1006:$AS$1006,0)))),"Fix")))</f>
        <v>0</v>
      </c>
      <c r="P750" s="5">
        <f>IF(OR(INDEX($W$2:$W$1001,MATCH(ROWS($V$2:V750),$V$2:$V$1001,0),1)&gt;=100000,INDEX($AC$1005:$AS$1005,1,MATCH(COLUMNS($AC$1006:AQ1006),$AC$1006:$AS$1006,0))&gt;=100000), " ",IF(INDEX($AC$2:$AS$1001,MATCH(ROWS($V$2:V750),$V$2:$V$1001,0),MATCH(COLUMNS($AC$1006:AQ1006),$AC$1006:$AS$1006,0)), HYPERLINK("#",""), HYPERLINK(CONCATENATE("#Metadata!", ADDRESS(INDEX($X$2:$X$1001,MATCH(ROWS($V$2:V750),$V$2:$V$1001,0),0), INDEX($AC$1004:$AS$1004,1,MATCH(COLUMNS($AC$1006:AQ1006),$AC$1006:$AS$1006,0)))),"Fix")))</f>
        <v>0</v>
      </c>
      <c r="Q750" s="5">
        <f>IF(OR(INDEX($W$2:$W$1001,MATCH(ROWS($V$2:V750),$V$2:$V$1001,0),1)&gt;=100000,INDEX($AC$1005:$AS$1005,1,MATCH(COLUMNS($AC$1006:AR1006),$AC$1006:$AS$1006,0))&gt;=100000), " ",IF(INDEX($AC$2:$AS$1001,MATCH(ROWS($V$2:V750),$V$2:$V$1001,0),MATCH(COLUMNS($AC$1006:AR1006),$AC$1006:$AS$1006,0)), HYPERLINK("#",""), HYPERLINK(CONCATENATE("#Metadata!", ADDRESS(INDEX($X$2:$X$1001,MATCH(ROWS($V$2:V750),$V$2:$V$1001,0),0), INDEX($AC$1004:$AS$1004,1,MATCH(COLUMNS($AC$1006:AR1006),$AC$1006:$AS$1006,0)))),"Fix")))</f>
        <v>0</v>
      </c>
      <c r="R750" s="5">
        <f>IF(OR(INDEX($W$2:$W$1001,MATCH(ROWS($V$2:V750),$V$2:$V$1001,0),1)&gt;=100000,INDEX($AC$1005:$AS$1005,1,MATCH(COLUMNS($AC$1006:AS1006),$AC$1006:$AS$1006,0))&gt;=100000), " ",IF(INDEX($AC$2:$AS$1001,MATCH(ROWS($V$2:V750),$V$2:$V$1001,0),MATCH(COLUMNS($AC$1006:AS1006),$AC$1006:$AS$1006,0)), HYPERLINK("#",""), HYPERLINK(CONCATENATE("#Metadata!", ADDRESS(INDEX($X$2:$X$1001,MATCH(ROWS($V$2:V750),$V$2:$V$1001,0),0), INDEX($AC$1004:$AS$1004,1,MATCH(COLUMNS($AC$1006:AS1006),$AC$1006:$AS$1006,0)))),"Fix")))</f>
        <v>0</v>
      </c>
      <c r="V750">
        <v>0</v>
      </c>
      <c r="W750">
        <v>0</v>
      </c>
      <c r="X750">
        <v>0</v>
      </c>
      <c r="Y750">
        <f>IF(Z750,TRUE,AND(AC750:AS750))</f>
        <v>0</v>
      </c>
      <c r="Z750">
        <f>COUNTBLANK(Metadata!B750:R750)=COLUMNS(Metadata!B750:R750)</f>
        <v>0</v>
      </c>
      <c r="AA750">
        <v>0</v>
      </c>
      <c r="AC750">
        <f>AND(IF(Metadata!B750="",FALSE,TRUE),COUNTIF(Metadata!B:B, Metadata!B750) = 1,NOT(ISERROR(SUMPRODUCT(SEARCH(MID(Metadata!B750,ROW(INDIRECT("1:"&amp;LEN(Metadata!B750))), 1),"0123456789abcdefghijklmnopqrstuvwxyzABCDEFGHIJKLMNOPQRSTUVWXYZ.")))))</f>
        <v>0</v>
      </c>
      <c r="AD750">
        <f>AND(IF(Metadata!C750="",FALSE,TRUE),exact(Metadata!C750,"Host-associated"))</f>
        <v>0</v>
      </c>
      <c r="AE750">
        <f>AND(IF(Metadata!D750="",FALSE,TRUE),OR(exact(Metadata!D750,"Animal"),exact(Metadata!D750,"Fungus"),exact(Metadata!D750,"Plant")))</f>
        <v>0</v>
      </c>
      <c r="AF750">
        <f>AND(IF(Metadata!E750="",FALSE,TRUE),OR(exact(Metadata!E750,"Plant secretion"),exact(Metadata!E750,"Plant rhizosphere"),exact(Metadata!E750,"Plant surface"),exact(Metadata!E750,"Plant corpus"),exact(Metadata!E750,"Fungus surface"),exact(Metadata!E750,"Fungus corpus"),exact(Metadata!E750,"Animal surface"),exact(Metadata!E750,"Animal proximal gut"),exact(Metadata!E750,"Animal corpus"),exact(Metadata!E750,"Animal distal gut"),exact(Metadata!E750,"Animal secretion")))</f>
        <v>0</v>
      </c>
      <c r="AG750">
        <f>OR(AND(IF(Metadata!F750="",FALSE,TRUE),OR(exact(Metadata!F750,"not collected"),exact(Metadata!F750,"not provided"),exact(Metadata!F750,"restricted access"))),AND(IF(Metadata!F750="",FALSE,TRUE),OR(exact(Metadata!F750,"organism-associated habitat"),exact(Metadata!F750,"plant-associated habitat"),exact(Metadata!F750,"animal-associated habitat"),exact(Metadata!F750,"insecta-associated habitat"),exact(Metadata!F750,"mammalia-associated habitat"),exact(Metadata!F750,"human-associated habitat"),exact(Metadata!F750,"livestock-associated habitat"))))</f>
        <v>0</v>
      </c>
      <c r="AH750">
        <f>AND(IF(Metadata!G750="",FALSE,TRUE),exact(Metadata!G750,"host-associated"))</f>
        <v>0</v>
      </c>
      <c r="AI750">
        <f>OR(AND(IF(Metadata!H750="",FALSE,TRUE),OR(exact(Metadata!H750,"not collected"),exact(Metadata!H750,"not provided"))),AND(IF(Metadata!H750="",FALSE,ISNUMBER(VALUE(Metadata!H750))),Metadata!H750&gt;0))</f>
        <v>0</v>
      </c>
      <c r="AJ750">
        <f>AND(IF(Metadata!I750="",FALSE,TRUE),exact(Metadata!I750,"years"))</f>
        <v>0</v>
      </c>
      <c r="AK750">
        <f>IF(Metadata!J750="",FALSE,TRUE)</f>
        <v>0</v>
      </c>
      <c r="AL750">
        <f>OR(AND(IF(Metadata!K750="",FALSE,TRUE),OR(exact(Metadata!K750,"not collected"),exact(Metadata!K750,"not provided"))),AND(IF(Metadata!K750="",FALSE,ISNUMBER(VALUE(Metadata!K750))),Metadata!K750&gt;0))</f>
        <v>0</v>
      </c>
      <c r="AM750">
        <f>AND(IF(Metadata!L750="",FALSE,TRUE),exact(Metadata!L750,"cm"))</f>
        <v>0</v>
      </c>
      <c r="AN750">
        <f>IF(Metadata!M750="",FALSE,TRUE)</f>
        <v>0</v>
      </c>
      <c r="AO750">
        <f>OR(AND(IF(Metadata!N750="",FALSE,TRUE),OR(exact(Metadata!N750,"not applicable"),exact(Metadata!N750,"not collected"),exact(Metadata!N750,"not provided"))),AND(IF(Metadata!N750="",FALSE,IF(ISERROR(INT(Metadata!N750)),FALSE,INT(Metadata!N750)=Metadata!N750)),Metadata!N750&gt;0))</f>
        <v>0</v>
      </c>
      <c r="AP750">
        <f>OR(AND(IF(Metadata!O750="",FALSE,TRUE),OR(exact(Metadata!O750,"not collected"),exact(Metadata!O750,"not provided"))),AND(IF(Metadata!O750="",FALSE,ISNUMBER(VALUE(Metadata!O750))),Metadata!O750&gt;0))</f>
        <v>0</v>
      </c>
      <c r="AQ750">
        <f>AND(IF(Metadata!P750="",FALSE,TRUE),exact(Metadata!P750,"kg"))</f>
        <v>0</v>
      </c>
      <c r="AR750">
        <f>OR(AND(IF(Metadata!Q750="",FALSE,TRUE),OR(exact(Metadata!Q750,"not applicable"),exact(Metadata!Q750,"not collected"),exact(Metadata!Q750,"not provided"),exact(Metadata!Q750,"restricted access"))),IF(Metadata!Q750="",FALSE,IF(ISERROR(INT(Metadata!Q750)),FALSE,INT(Metadata!Q750)=Metadata!Q750)))</f>
        <v>0</v>
      </c>
      <c r="AS750">
        <f>AND(IF(Metadata!R750="",FALSE,TRUE),exact(Metadata!R750,"Not applicable"))</f>
        <v>0</v>
      </c>
    </row>
    <row r="751" spans="1:45">
      <c r="A751" s="4">
        <f>IF(B751=" "," ",HYPERLINK(CONCATENATE("#metadata!",ADDRESS(INDEX($X$2:$X$1001,MATCH(ROWS($V$2:V751),$V$2:$V$1001,0),0),2)),INDEX($AA$2:$AA$1001,MATCH(ROWS($V$2:V751),$V$2:$V$1001,0),0)))</f>
        <v>0</v>
      </c>
      <c r="B751" s="5">
        <f>IF(OR(INDEX($W$2:$W$1001,MATCH(ROWS($V$2:V751),$V$2:$V$1001,0),1)&gt;=100000,INDEX($AC$1005:$AS$1005,1,MATCH(COLUMNS($AC$1006:AC1006),$AC$1006:$AS$1006,0))&gt;=100000), " ",IF(INDEX($AC$2:$AS$1001,MATCH(ROWS($V$2:V751),$V$2:$V$1001,0),MATCH(COLUMNS($AC$1006:AC1006),$AC$1006:$AS$1006,0)), HYPERLINK("#",""), HYPERLINK(CONCATENATE("#Metadata!", ADDRESS(INDEX($X$2:$X$1001,MATCH(ROWS($V$2:V751),$V$2:$V$1001,0),0), INDEX($AC$1004:$AS$1004,1,MATCH(COLUMNS($AC$1006:AC1006),$AC$1006:$AS$1006,0)))),"Fix")))</f>
        <v>0</v>
      </c>
      <c r="C751" s="5">
        <f>IF(OR(INDEX($W$2:$W$1001,MATCH(ROWS($V$2:V751),$V$2:$V$1001,0),1)&gt;=100000,INDEX($AC$1005:$AS$1005,1,MATCH(COLUMNS($AC$1006:AD1006),$AC$1006:$AS$1006,0))&gt;=100000), " ",IF(INDEX($AC$2:$AS$1001,MATCH(ROWS($V$2:V751),$V$2:$V$1001,0),MATCH(COLUMNS($AC$1006:AD1006),$AC$1006:$AS$1006,0)), HYPERLINK("#",""), HYPERLINK(CONCATENATE("#Metadata!", ADDRESS(INDEX($X$2:$X$1001,MATCH(ROWS($V$2:V751),$V$2:$V$1001,0),0), INDEX($AC$1004:$AS$1004,1,MATCH(COLUMNS($AC$1006:AD1006),$AC$1006:$AS$1006,0)))),"Fix")))</f>
        <v>0</v>
      </c>
      <c r="D751" s="5">
        <f>IF(OR(INDEX($W$2:$W$1001,MATCH(ROWS($V$2:V751),$V$2:$V$1001,0),1)&gt;=100000,INDEX($AC$1005:$AS$1005,1,MATCH(COLUMNS($AC$1006:AE1006),$AC$1006:$AS$1006,0))&gt;=100000), " ",IF(INDEX($AC$2:$AS$1001,MATCH(ROWS($V$2:V751),$V$2:$V$1001,0),MATCH(COLUMNS($AC$1006:AE1006),$AC$1006:$AS$1006,0)), HYPERLINK("#",""), HYPERLINK(CONCATENATE("#Metadata!", ADDRESS(INDEX($X$2:$X$1001,MATCH(ROWS($V$2:V751),$V$2:$V$1001,0),0), INDEX($AC$1004:$AS$1004,1,MATCH(COLUMNS($AC$1006:AE1006),$AC$1006:$AS$1006,0)))),"Fix")))</f>
        <v>0</v>
      </c>
      <c r="E751" s="5">
        <f>IF(OR(INDEX($W$2:$W$1001,MATCH(ROWS($V$2:V751),$V$2:$V$1001,0),1)&gt;=100000,INDEX($AC$1005:$AS$1005,1,MATCH(COLUMNS($AC$1006:AF1006),$AC$1006:$AS$1006,0))&gt;=100000), " ",IF(INDEX($AC$2:$AS$1001,MATCH(ROWS($V$2:V751),$V$2:$V$1001,0),MATCH(COLUMNS($AC$1006:AF1006),$AC$1006:$AS$1006,0)), HYPERLINK("#",""), HYPERLINK(CONCATENATE("#Metadata!", ADDRESS(INDEX($X$2:$X$1001,MATCH(ROWS($V$2:V751),$V$2:$V$1001,0),0), INDEX($AC$1004:$AS$1004,1,MATCH(COLUMNS($AC$1006:AF1006),$AC$1006:$AS$1006,0)))),"Fix")))</f>
        <v>0</v>
      </c>
      <c r="F751" s="5">
        <f>IF(OR(INDEX($W$2:$W$1001,MATCH(ROWS($V$2:V751),$V$2:$V$1001,0),1)&gt;=100000,INDEX($AC$1005:$AS$1005,1,MATCH(COLUMNS($AC$1006:AG1006),$AC$1006:$AS$1006,0))&gt;=100000), " ",IF(INDEX($AC$2:$AS$1001,MATCH(ROWS($V$2:V751),$V$2:$V$1001,0),MATCH(COLUMNS($AC$1006:AG1006),$AC$1006:$AS$1006,0)), HYPERLINK("#",""), HYPERLINK(CONCATENATE("#Metadata!", ADDRESS(INDEX($X$2:$X$1001,MATCH(ROWS($V$2:V751),$V$2:$V$1001,0),0), INDEX($AC$1004:$AS$1004,1,MATCH(COLUMNS($AC$1006:AG1006),$AC$1006:$AS$1006,0)))),"Fix")))</f>
        <v>0</v>
      </c>
      <c r="G751" s="5">
        <f>IF(OR(INDEX($W$2:$W$1001,MATCH(ROWS($V$2:V751),$V$2:$V$1001,0),1)&gt;=100000,INDEX($AC$1005:$AS$1005,1,MATCH(COLUMNS($AC$1006:AH1006),$AC$1006:$AS$1006,0))&gt;=100000), " ",IF(INDEX($AC$2:$AS$1001,MATCH(ROWS($V$2:V751),$V$2:$V$1001,0),MATCH(COLUMNS($AC$1006:AH1006),$AC$1006:$AS$1006,0)), HYPERLINK("#",""), HYPERLINK(CONCATENATE("#Metadata!", ADDRESS(INDEX($X$2:$X$1001,MATCH(ROWS($V$2:V751),$V$2:$V$1001,0),0), INDEX($AC$1004:$AS$1004,1,MATCH(COLUMNS($AC$1006:AH1006),$AC$1006:$AS$1006,0)))),"Fix")))</f>
        <v>0</v>
      </c>
      <c r="H751" s="5">
        <f>IF(OR(INDEX($W$2:$W$1001,MATCH(ROWS($V$2:V751),$V$2:$V$1001,0),1)&gt;=100000,INDEX($AC$1005:$AS$1005,1,MATCH(COLUMNS($AC$1006:AI1006),$AC$1006:$AS$1006,0))&gt;=100000), " ",IF(INDEX($AC$2:$AS$1001,MATCH(ROWS($V$2:V751),$V$2:$V$1001,0),MATCH(COLUMNS($AC$1006:AI1006),$AC$1006:$AS$1006,0)), HYPERLINK("#",""), HYPERLINK(CONCATENATE("#Metadata!", ADDRESS(INDEX($X$2:$X$1001,MATCH(ROWS($V$2:V751),$V$2:$V$1001,0),0), INDEX($AC$1004:$AS$1004,1,MATCH(COLUMNS($AC$1006:AI1006),$AC$1006:$AS$1006,0)))),"Fix")))</f>
        <v>0</v>
      </c>
      <c r="I751" s="5">
        <f>IF(OR(INDEX($W$2:$W$1001,MATCH(ROWS($V$2:V751),$V$2:$V$1001,0),1)&gt;=100000,INDEX($AC$1005:$AS$1005,1,MATCH(COLUMNS($AC$1006:AJ1006),$AC$1006:$AS$1006,0))&gt;=100000), " ",IF(INDEX($AC$2:$AS$1001,MATCH(ROWS($V$2:V751),$V$2:$V$1001,0),MATCH(COLUMNS($AC$1006:AJ1006),$AC$1006:$AS$1006,0)), HYPERLINK("#",""), HYPERLINK(CONCATENATE("#Metadata!", ADDRESS(INDEX($X$2:$X$1001,MATCH(ROWS($V$2:V751),$V$2:$V$1001,0),0), INDEX($AC$1004:$AS$1004,1,MATCH(COLUMNS($AC$1006:AJ1006),$AC$1006:$AS$1006,0)))),"Fix")))</f>
        <v>0</v>
      </c>
      <c r="J751" s="5">
        <f>IF(OR(INDEX($W$2:$W$1001,MATCH(ROWS($V$2:V751),$V$2:$V$1001,0),1)&gt;=100000,INDEX($AC$1005:$AS$1005,1,MATCH(COLUMNS($AC$1006:AK1006),$AC$1006:$AS$1006,0))&gt;=100000), " ",IF(INDEX($AC$2:$AS$1001,MATCH(ROWS($V$2:V751),$V$2:$V$1001,0),MATCH(COLUMNS($AC$1006:AK1006),$AC$1006:$AS$1006,0)), HYPERLINK("#",""), HYPERLINK(CONCATENATE("#Metadata!", ADDRESS(INDEX($X$2:$X$1001,MATCH(ROWS($V$2:V751),$V$2:$V$1001,0),0), INDEX($AC$1004:$AS$1004,1,MATCH(COLUMNS($AC$1006:AK1006),$AC$1006:$AS$1006,0)))),"Fix")))</f>
        <v>0</v>
      </c>
      <c r="K751" s="5">
        <f>IF(OR(INDEX($W$2:$W$1001,MATCH(ROWS($V$2:V751),$V$2:$V$1001,0),1)&gt;=100000,INDEX($AC$1005:$AS$1005,1,MATCH(COLUMNS($AC$1006:AL1006),$AC$1006:$AS$1006,0))&gt;=100000), " ",IF(INDEX($AC$2:$AS$1001,MATCH(ROWS($V$2:V751),$V$2:$V$1001,0),MATCH(COLUMNS($AC$1006:AL1006),$AC$1006:$AS$1006,0)), HYPERLINK("#",""), HYPERLINK(CONCATENATE("#Metadata!", ADDRESS(INDEX($X$2:$X$1001,MATCH(ROWS($V$2:V751),$V$2:$V$1001,0),0), INDEX($AC$1004:$AS$1004,1,MATCH(COLUMNS($AC$1006:AL1006),$AC$1006:$AS$1006,0)))),"Fix")))</f>
        <v>0</v>
      </c>
      <c r="L751" s="5">
        <f>IF(OR(INDEX($W$2:$W$1001,MATCH(ROWS($V$2:V751),$V$2:$V$1001,0),1)&gt;=100000,INDEX($AC$1005:$AS$1005,1,MATCH(COLUMNS($AC$1006:AM1006),$AC$1006:$AS$1006,0))&gt;=100000), " ",IF(INDEX($AC$2:$AS$1001,MATCH(ROWS($V$2:V751),$V$2:$V$1001,0),MATCH(COLUMNS($AC$1006:AM1006),$AC$1006:$AS$1006,0)), HYPERLINK("#",""), HYPERLINK(CONCATENATE("#Metadata!", ADDRESS(INDEX($X$2:$X$1001,MATCH(ROWS($V$2:V751),$V$2:$V$1001,0),0), INDEX($AC$1004:$AS$1004,1,MATCH(COLUMNS($AC$1006:AM1006),$AC$1006:$AS$1006,0)))),"Fix")))</f>
        <v>0</v>
      </c>
      <c r="M751" s="5">
        <f>IF(OR(INDEX($W$2:$W$1001,MATCH(ROWS($V$2:V751),$V$2:$V$1001,0),1)&gt;=100000,INDEX($AC$1005:$AS$1005,1,MATCH(COLUMNS($AC$1006:AN1006),$AC$1006:$AS$1006,0))&gt;=100000), " ",IF(INDEX($AC$2:$AS$1001,MATCH(ROWS($V$2:V751),$V$2:$V$1001,0),MATCH(COLUMNS($AC$1006:AN1006),$AC$1006:$AS$1006,0)), HYPERLINK("#",""), HYPERLINK(CONCATENATE("#Metadata!", ADDRESS(INDEX($X$2:$X$1001,MATCH(ROWS($V$2:V751),$V$2:$V$1001,0),0), INDEX($AC$1004:$AS$1004,1,MATCH(COLUMNS($AC$1006:AN1006),$AC$1006:$AS$1006,0)))),"Fix")))</f>
        <v>0</v>
      </c>
      <c r="N751" s="5">
        <f>IF(OR(INDEX($W$2:$W$1001,MATCH(ROWS($V$2:V751),$V$2:$V$1001,0),1)&gt;=100000,INDEX($AC$1005:$AS$1005,1,MATCH(COLUMNS($AC$1006:AO1006),$AC$1006:$AS$1006,0))&gt;=100000), " ",IF(INDEX($AC$2:$AS$1001,MATCH(ROWS($V$2:V751),$V$2:$V$1001,0),MATCH(COLUMNS($AC$1006:AO1006),$AC$1006:$AS$1006,0)), HYPERLINK("#",""), HYPERLINK(CONCATENATE("#Metadata!", ADDRESS(INDEX($X$2:$X$1001,MATCH(ROWS($V$2:V751),$V$2:$V$1001,0),0), INDEX($AC$1004:$AS$1004,1,MATCH(COLUMNS($AC$1006:AO1006),$AC$1006:$AS$1006,0)))),"Fix")))</f>
        <v>0</v>
      </c>
      <c r="O751" s="5">
        <f>IF(OR(INDEX($W$2:$W$1001,MATCH(ROWS($V$2:V751),$V$2:$V$1001,0),1)&gt;=100000,INDEX($AC$1005:$AS$1005,1,MATCH(COLUMNS($AC$1006:AP1006),$AC$1006:$AS$1006,0))&gt;=100000), " ",IF(INDEX($AC$2:$AS$1001,MATCH(ROWS($V$2:V751),$V$2:$V$1001,0),MATCH(COLUMNS($AC$1006:AP1006),$AC$1006:$AS$1006,0)), HYPERLINK("#",""), HYPERLINK(CONCATENATE("#Metadata!", ADDRESS(INDEX($X$2:$X$1001,MATCH(ROWS($V$2:V751),$V$2:$V$1001,0),0), INDEX($AC$1004:$AS$1004,1,MATCH(COLUMNS($AC$1006:AP1006),$AC$1006:$AS$1006,0)))),"Fix")))</f>
        <v>0</v>
      </c>
      <c r="P751" s="5">
        <f>IF(OR(INDEX($W$2:$W$1001,MATCH(ROWS($V$2:V751),$V$2:$V$1001,0),1)&gt;=100000,INDEX($AC$1005:$AS$1005,1,MATCH(COLUMNS($AC$1006:AQ1006),$AC$1006:$AS$1006,0))&gt;=100000), " ",IF(INDEX($AC$2:$AS$1001,MATCH(ROWS($V$2:V751),$V$2:$V$1001,0),MATCH(COLUMNS($AC$1006:AQ1006),$AC$1006:$AS$1006,0)), HYPERLINK("#",""), HYPERLINK(CONCATENATE("#Metadata!", ADDRESS(INDEX($X$2:$X$1001,MATCH(ROWS($V$2:V751),$V$2:$V$1001,0),0), INDEX($AC$1004:$AS$1004,1,MATCH(COLUMNS($AC$1006:AQ1006),$AC$1006:$AS$1006,0)))),"Fix")))</f>
        <v>0</v>
      </c>
      <c r="Q751" s="5">
        <f>IF(OR(INDEX($W$2:$W$1001,MATCH(ROWS($V$2:V751),$V$2:$V$1001,0),1)&gt;=100000,INDEX($AC$1005:$AS$1005,1,MATCH(COLUMNS($AC$1006:AR1006),$AC$1006:$AS$1006,0))&gt;=100000), " ",IF(INDEX($AC$2:$AS$1001,MATCH(ROWS($V$2:V751),$V$2:$V$1001,0),MATCH(COLUMNS($AC$1006:AR1006),$AC$1006:$AS$1006,0)), HYPERLINK("#",""), HYPERLINK(CONCATENATE("#Metadata!", ADDRESS(INDEX($X$2:$X$1001,MATCH(ROWS($V$2:V751),$V$2:$V$1001,0),0), INDEX($AC$1004:$AS$1004,1,MATCH(COLUMNS($AC$1006:AR1006),$AC$1006:$AS$1006,0)))),"Fix")))</f>
        <v>0</v>
      </c>
      <c r="R751" s="5">
        <f>IF(OR(INDEX($W$2:$W$1001,MATCH(ROWS($V$2:V751),$V$2:$V$1001,0),1)&gt;=100000,INDEX($AC$1005:$AS$1005,1,MATCH(COLUMNS($AC$1006:AS1006),$AC$1006:$AS$1006,0))&gt;=100000), " ",IF(INDEX($AC$2:$AS$1001,MATCH(ROWS($V$2:V751),$V$2:$V$1001,0),MATCH(COLUMNS($AC$1006:AS1006),$AC$1006:$AS$1006,0)), HYPERLINK("#",""), HYPERLINK(CONCATENATE("#Metadata!", ADDRESS(INDEX($X$2:$X$1001,MATCH(ROWS($V$2:V751),$V$2:$V$1001,0),0), INDEX($AC$1004:$AS$1004,1,MATCH(COLUMNS($AC$1006:AS1006),$AC$1006:$AS$1006,0)))),"Fix")))</f>
        <v>0</v>
      </c>
      <c r="V751">
        <v>0</v>
      </c>
      <c r="W751">
        <v>0</v>
      </c>
      <c r="X751">
        <v>0</v>
      </c>
      <c r="Y751">
        <f>IF(Z751,TRUE,AND(AC751:AS751))</f>
        <v>0</v>
      </c>
      <c r="Z751">
        <f>COUNTBLANK(Metadata!B751:R751)=COLUMNS(Metadata!B751:R751)</f>
        <v>0</v>
      </c>
      <c r="AA751">
        <v>0</v>
      </c>
      <c r="AC751">
        <f>AND(IF(Metadata!B751="",FALSE,TRUE),COUNTIF(Metadata!B:B, Metadata!B751) = 1,NOT(ISERROR(SUMPRODUCT(SEARCH(MID(Metadata!B751,ROW(INDIRECT("1:"&amp;LEN(Metadata!B751))), 1),"0123456789abcdefghijklmnopqrstuvwxyzABCDEFGHIJKLMNOPQRSTUVWXYZ.")))))</f>
        <v>0</v>
      </c>
      <c r="AD751">
        <f>AND(IF(Metadata!C751="",FALSE,TRUE),exact(Metadata!C751,"Host-associated"))</f>
        <v>0</v>
      </c>
      <c r="AE751">
        <f>AND(IF(Metadata!D751="",FALSE,TRUE),OR(exact(Metadata!D751,"Animal"),exact(Metadata!D751,"Fungus"),exact(Metadata!D751,"Plant")))</f>
        <v>0</v>
      </c>
      <c r="AF751">
        <f>AND(IF(Metadata!E751="",FALSE,TRUE),OR(exact(Metadata!E751,"Plant secretion"),exact(Metadata!E751,"Plant rhizosphere"),exact(Metadata!E751,"Plant surface"),exact(Metadata!E751,"Plant corpus"),exact(Metadata!E751,"Fungus surface"),exact(Metadata!E751,"Fungus corpus"),exact(Metadata!E751,"Animal surface"),exact(Metadata!E751,"Animal proximal gut"),exact(Metadata!E751,"Animal corpus"),exact(Metadata!E751,"Animal distal gut"),exact(Metadata!E751,"Animal secretion")))</f>
        <v>0</v>
      </c>
      <c r="AG751">
        <f>OR(AND(IF(Metadata!F751="",FALSE,TRUE),OR(exact(Metadata!F751,"not collected"),exact(Metadata!F751,"not provided"),exact(Metadata!F751,"restricted access"))),AND(IF(Metadata!F751="",FALSE,TRUE),OR(exact(Metadata!F751,"organism-associated habitat"),exact(Metadata!F751,"plant-associated habitat"),exact(Metadata!F751,"animal-associated habitat"),exact(Metadata!F751,"insecta-associated habitat"),exact(Metadata!F751,"mammalia-associated habitat"),exact(Metadata!F751,"human-associated habitat"),exact(Metadata!F751,"livestock-associated habitat"))))</f>
        <v>0</v>
      </c>
      <c r="AH751">
        <f>AND(IF(Metadata!G751="",FALSE,TRUE),exact(Metadata!G751,"host-associated"))</f>
        <v>0</v>
      </c>
      <c r="AI751">
        <f>OR(AND(IF(Metadata!H751="",FALSE,TRUE),OR(exact(Metadata!H751,"not collected"),exact(Metadata!H751,"not provided"))),AND(IF(Metadata!H751="",FALSE,ISNUMBER(VALUE(Metadata!H751))),Metadata!H751&gt;0))</f>
        <v>0</v>
      </c>
      <c r="AJ751">
        <f>AND(IF(Metadata!I751="",FALSE,TRUE),exact(Metadata!I751,"years"))</f>
        <v>0</v>
      </c>
      <c r="AK751">
        <f>IF(Metadata!J751="",FALSE,TRUE)</f>
        <v>0</v>
      </c>
      <c r="AL751">
        <f>OR(AND(IF(Metadata!K751="",FALSE,TRUE),OR(exact(Metadata!K751,"not collected"),exact(Metadata!K751,"not provided"))),AND(IF(Metadata!K751="",FALSE,ISNUMBER(VALUE(Metadata!K751))),Metadata!K751&gt;0))</f>
        <v>0</v>
      </c>
      <c r="AM751">
        <f>AND(IF(Metadata!L751="",FALSE,TRUE),exact(Metadata!L751,"cm"))</f>
        <v>0</v>
      </c>
      <c r="AN751">
        <f>IF(Metadata!M751="",FALSE,TRUE)</f>
        <v>0</v>
      </c>
      <c r="AO751">
        <f>OR(AND(IF(Metadata!N751="",FALSE,TRUE),OR(exact(Metadata!N751,"not applicable"),exact(Metadata!N751,"not collected"),exact(Metadata!N751,"not provided"))),AND(IF(Metadata!N751="",FALSE,IF(ISERROR(INT(Metadata!N751)),FALSE,INT(Metadata!N751)=Metadata!N751)),Metadata!N751&gt;0))</f>
        <v>0</v>
      </c>
      <c r="AP751">
        <f>OR(AND(IF(Metadata!O751="",FALSE,TRUE),OR(exact(Metadata!O751,"not collected"),exact(Metadata!O751,"not provided"))),AND(IF(Metadata!O751="",FALSE,ISNUMBER(VALUE(Metadata!O751))),Metadata!O751&gt;0))</f>
        <v>0</v>
      </c>
      <c r="AQ751">
        <f>AND(IF(Metadata!P751="",FALSE,TRUE),exact(Metadata!P751,"kg"))</f>
        <v>0</v>
      </c>
      <c r="AR751">
        <f>OR(AND(IF(Metadata!Q751="",FALSE,TRUE),OR(exact(Metadata!Q751,"not applicable"),exact(Metadata!Q751,"not collected"),exact(Metadata!Q751,"not provided"),exact(Metadata!Q751,"restricted access"))),IF(Metadata!Q751="",FALSE,IF(ISERROR(INT(Metadata!Q751)),FALSE,INT(Metadata!Q751)=Metadata!Q751)))</f>
        <v>0</v>
      </c>
      <c r="AS751">
        <f>AND(IF(Metadata!R751="",FALSE,TRUE),exact(Metadata!R751,"Not applicable"))</f>
        <v>0</v>
      </c>
    </row>
    <row r="752" spans="1:45">
      <c r="A752" s="4">
        <f>IF(B752=" "," ",HYPERLINK(CONCATENATE("#metadata!",ADDRESS(INDEX($X$2:$X$1001,MATCH(ROWS($V$2:V752),$V$2:$V$1001,0),0),2)),INDEX($AA$2:$AA$1001,MATCH(ROWS($V$2:V752),$V$2:$V$1001,0),0)))</f>
        <v>0</v>
      </c>
      <c r="B752" s="5">
        <f>IF(OR(INDEX($W$2:$W$1001,MATCH(ROWS($V$2:V752),$V$2:$V$1001,0),1)&gt;=100000,INDEX($AC$1005:$AS$1005,1,MATCH(COLUMNS($AC$1006:AC1006),$AC$1006:$AS$1006,0))&gt;=100000), " ",IF(INDEX($AC$2:$AS$1001,MATCH(ROWS($V$2:V752),$V$2:$V$1001,0),MATCH(COLUMNS($AC$1006:AC1006),$AC$1006:$AS$1006,0)), HYPERLINK("#",""), HYPERLINK(CONCATENATE("#Metadata!", ADDRESS(INDEX($X$2:$X$1001,MATCH(ROWS($V$2:V752),$V$2:$V$1001,0),0), INDEX($AC$1004:$AS$1004,1,MATCH(COLUMNS($AC$1006:AC1006),$AC$1006:$AS$1006,0)))),"Fix")))</f>
        <v>0</v>
      </c>
      <c r="C752" s="5">
        <f>IF(OR(INDEX($W$2:$W$1001,MATCH(ROWS($V$2:V752),$V$2:$V$1001,0),1)&gt;=100000,INDEX($AC$1005:$AS$1005,1,MATCH(COLUMNS($AC$1006:AD1006),$AC$1006:$AS$1006,0))&gt;=100000), " ",IF(INDEX($AC$2:$AS$1001,MATCH(ROWS($V$2:V752),$V$2:$V$1001,0),MATCH(COLUMNS($AC$1006:AD1006),$AC$1006:$AS$1006,0)), HYPERLINK("#",""), HYPERLINK(CONCATENATE("#Metadata!", ADDRESS(INDEX($X$2:$X$1001,MATCH(ROWS($V$2:V752),$V$2:$V$1001,0),0), INDEX($AC$1004:$AS$1004,1,MATCH(COLUMNS($AC$1006:AD1006),$AC$1006:$AS$1006,0)))),"Fix")))</f>
        <v>0</v>
      </c>
      <c r="D752" s="5">
        <f>IF(OR(INDEX($W$2:$W$1001,MATCH(ROWS($V$2:V752),$V$2:$V$1001,0),1)&gt;=100000,INDEX($AC$1005:$AS$1005,1,MATCH(COLUMNS($AC$1006:AE1006),$AC$1006:$AS$1006,0))&gt;=100000), " ",IF(INDEX($AC$2:$AS$1001,MATCH(ROWS($V$2:V752),$V$2:$V$1001,0),MATCH(COLUMNS($AC$1006:AE1006),$AC$1006:$AS$1006,0)), HYPERLINK("#",""), HYPERLINK(CONCATENATE("#Metadata!", ADDRESS(INDEX($X$2:$X$1001,MATCH(ROWS($V$2:V752),$V$2:$V$1001,0),0), INDEX($AC$1004:$AS$1004,1,MATCH(COLUMNS($AC$1006:AE1006),$AC$1006:$AS$1006,0)))),"Fix")))</f>
        <v>0</v>
      </c>
      <c r="E752" s="5">
        <f>IF(OR(INDEX($W$2:$W$1001,MATCH(ROWS($V$2:V752),$V$2:$V$1001,0),1)&gt;=100000,INDEX($AC$1005:$AS$1005,1,MATCH(COLUMNS($AC$1006:AF1006),$AC$1006:$AS$1006,0))&gt;=100000), " ",IF(INDEX($AC$2:$AS$1001,MATCH(ROWS($V$2:V752),$V$2:$V$1001,0),MATCH(COLUMNS($AC$1006:AF1006),$AC$1006:$AS$1006,0)), HYPERLINK("#",""), HYPERLINK(CONCATENATE("#Metadata!", ADDRESS(INDEX($X$2:$X$1001,MATCH(ROWS($V$2:V752),$V$2:$V$1001,0),0), INDEX($AC$1004:$AS$1004,1,MATCH(COLUMNS($AC$1006:AF1006),$AC$1006:$AS$1006,0)))),"Fix")))</f>
        <v>0</v>
      </c>
      <c r="F752" s="5">
        <f>IF(OR(INDEX($W$2:$W$1001,MATCH(ROWS($V$2:V752),$V$2:$V$1001,0),1)&gt;=100000,INDEX($AC$1005:$AS$1005,1,MATCH(COLUMNS($AC$1006:AG1006),$AC$1006:$AS$1006,0))&gt;=100000), " ",IF(INDEX($AC$2:$AS$1001,MATCH(ROWS($V$2:V752),$V$2:$V$1001,0),MATCH(COLUMNS($AC$1006:AG1006),$AC$1006:$AS$1006,0)), HYPERLINK("#",""), HYPERLINK(CONCATENATE("#Metadata!", ADDRESS(INDEX($X$2:$X$1001,MATCH(ROWS($V$2:V752),$V$2:$V$1001,0),0), INDEX($AC$1004:$AS$1004,1,MATCH(COLUMNS($AC$1006:AG1006),$AC$1006:$AS$1006,0)))),"Fix")))</f>
        <v>0</v>
      </c>
      <c r="G752" s="5">
        <f>IF(OR(INDEX($W$2:$W$1001,MATCH(ROWS($V$2:V752),$V$2:$V$1001,0),1)&gt;=100000,INDEX($AC$1005:$AS$1005,1,MATCH(COLUMNS($AC$1006:AH1006),$AC$1006:$AS$1006,0))&gt;=100000), " ",IF(INDEX($AC$2:$AS$1001,MATCH(ROWS($V$2:V752),$V$2:$V$1001,0),MATCH(COLUMNS($AC$1006:AH1006),$AC$1006:$AS$1006,0)), HYPERLINK("#",""), HYPERLINK(CONCATENATE("#Metadata!", ADDRESS(INDEX($X$2:$X$1001,MATCH(ROWS($V$2:V752),$V$2:$V$1001,0),0), INDEX($AC$1004:$AS$1004,1,MATCH(COLUMNS($AC$1006:AH1006),$AC$1006:$AS$1006,0)))),"Fix")))</f>
        <v>0</v>
      </c>
      <c r="H752" s="5">
        <f>IF(OR(INDEX($W$2:$W$1001,MATCH(ROWS($V$2:V752),$V$2:$V$1001,0),1)&gt;=100000,INDEX($AC$1005:$AS$1005,1,MATCH(COLUMNS($AC$1006:AI1006),$AC$1006:$AS$1006,0))&gt;=100000), " ",IF(INDEX($AC$2:$AS$1001,MATCH(ROWS($V$2:V752),$V$2:$V$1001,0),MATCH(COLUMNS($AC$1006:AI1006),$AC$1006:$AS$1006,0)), HYPERLINK("#",""), HYPERLINK(CONCATENATE("#Metadata!", ADDRESS(INDEX($X$2:$X$1001,MATCH(ROWS($V$2:V752),$V$2:$V$1001,0),0), INDEX($AC$1004:$AS$1004,1,MATCH(COLUMNS($AC$1006:AI1006),$AC$1006:$AS$1006,0)))),"Fix")))</f>
        <v>0</v>
      </c>
      <c r="I752" s="5">
        <f>IF(OR(INDEX($W$2:$W$1001,MATCH(ROWS($V$2:V752),$V$2:$V$1001,0),1)&gt;=100000,INDEX($AC$1005:$AS$1005,1,MATCH(COLUMNS($AC$1006:AJ1006),$AC$1006:$AS$1006,0))&gt;=100000), " ",IF(INDEX($AC$2:$AS$1001,MATCH(ROWS($V$2:V752),$V$2:$V$1001,0),MATCH(COLUMNS($AC$1006:AJ1006),$AC$1006:$AS$1006,0)), HYPERLINK("#",""), HYPERLINK(CONCATENATE("#Metadata!", ADDRESS(INDEX($X$2:$X$1001,MATCH(ROWS($V$2:V752),$V$2:$V$1001,0),0), INDEX($AC$1004:$AS$1004,1,MATCH(COLUMNS($AC$1006:AJ1006),$AC$1006:$AS$1006,0)))),"Fix")))</f>
        <v>0</v>
      </c>
      <c r="J752" s="5">
        <f>IF(OR(INDEX($W$2:$W$1001,MATCH(ROWS($V$2:V752),$V$2:$V$1001,0),1)&gt;=100000,INDEX($AC$1005:$AS$1005,1,MATCH(COLUMNS($AC$1006:AK1006),$AC$1006:$AS$1006,0))&gt;=100000), " ",IF(INDEX($AC$2:$AS$1001,MATCH(ROWS($V$2:V752),$V$2:$V$1001,0),MATCH(COLUMNS($AC$1006:AK1006),$AC$1006:$AS$1006,0)), HYPERLINK("#",""), HYPERLINK(CONCATENATE("#Metadata!", ADDRESS(INDEX($X$2:$X$1001,MATCH(ROWS($V$2:V752),$V$2:$V$1001,0),0), INDEX($AC$1004:$AS$1004,1,MATCH(COLUMNS($AC$1006:AK1006),$AC$1006:$AS$1006,0)))),"Fix")))</f>
        <v>0</v>
      </c>
      <c r="K752" s="5">
        <f>IF(OR(INDEX($W$2:$W$1001,MATCH(ROWS($V$2:V752),$V$2:$V$1001,0),1)&gt;=100000,INDEX($AC$1005:$AS$1005,1,MATCH(COLUMNS($AC$1006:AL1006),$AC$1006:$AS$1006,0))&gt;=100000), " ",IF(INDEX($AC$2:$AS$1001,MATCH(ROWS($V$2:V752),$V$2:$V$1001,0),MATCH(COLUMNS($AC$1006:AL1006),$AC$1006:$AS$1006,0)), HYPERLINK("#",""), HYPERLINK(CONCATENATE("#Metadata!", ADDRESS(INDEX($X$2:$X$1001,MATCH(ROWS($V$2:V752),$V$2:$V$1001,0),0), INDEX($AC$1004:$AS$1004,1,MATCH(COLUMNS($AC$1006:AL1006),$AC$1006:$AS$1006,0)))),"Fix")))</f>
        <v>0</v>
      </c>
      <c r="L752" s="5">
        <f>IF(OR(INDEX($W$2:$W$1001,MATCH(ROWS($V$2:V752),$V$2:$V$1001,0),1)&gt;=100000,INDEX($AC$1005:$AS$1005,1,MATCH(COLUMNS($AC$1006:AM1006),$AC$1006:$AS$1006,0))&gt;=100000), " ",IF(INDEX($AC$2:$AS$1001,MATCH(ROWS($V$2:V752),$V$2:$V$1001,0),MATCH(COLUMNS($AC$1006:AM1006),$AC$1006:$AS$1006,0)), HYPERLINK("#",""), HYPERLINK(CONCATENATE("#Metadata!", ADDRESS(INDEX($X$2:$X$1001,MATCH(ROWS($V$2:V752),$V$2:$V$1001,0),0), INDEX($AC$1004:$AS$1004,1,MATCH(COLUMNS($AC$1006:AM1006),$AC$1006:$AS$1006,0)))),"Fix")))</f>
        <v>0</v>
      </c>
      <c r="M752" s="5">
        <f>IF(OR(INDEX($W$2:$W$1001,MATCH(ROWS($V$2:V752),$V$2:$V$1001,0),1)&gt;=100000,INDEX($AC$1005:$AS$1005,1,MATCH(COLUMNS($AC$1006:AN1006),$AC$1006:$AS$1006,0))&gt;=100000), " ",IF(INDEX($AC$2:$AS$1001,MATCH(ROWS($V$2:V752),$V$2:$V$1001,0),MATCH(COLUMNS($AC$1006:AN1006),$AC$1006:$AS$1006,0)), HYPERLINK("#",""), HYPERLINK(CONCATENATE("#Metadata!", ADDRESS(INDEX($X$2:$X$1001,MATCH(ROWS($V$2:V752),$V$2:$V$1001,0),0), INDEX($AC$1004:$AS$1004,1,MATCH(COLUMNS($AC$1006:AN1006),$AC$1006:$AS$1006,0)))),"Fix")))</f>
        <v>0</v>
      </c>
      <c r="N752" s="5">
        <f>IF(OR(INDEX($W$2:$W$1001,MATCH(ROWS($V$2:V752),$V$2:$V$1001,0),1)&gt;=100000,INDEX($AC$1005:$AS$1005,1,MATCH(COLUMNS($AC$1006:AO1006),$AC$1006:$AS$1006,0))&gt;=100000), " ",IF(INDEX($AC$2:$AS$1001,MATCH(ROWS($V$2:V752),$V$2:$V$1001,0),MATCH(COLUMNS($AC$1006:AO1006),$AC$1006:$AS$1006,0)), HYPERLINK("#",""), HYPERLINK(CONCATENATE("#Metadata!", ADDRESS(INDEX($X$2:$X$1001,MATCH(ROWS($V$2:V752),$V$2:$V$1001,0),0), INDEX($AC$1004:$AS$1004,1,MATCH(COLUMNS($AC$1006:AO1006),$AC$1006:$AS$1006,0)))),"Fix")))</f>
        <v>0</v>
      </c>
      <c r="O752" s="5">
        <f>IF(OR(INDEX($W$2:$W$1001,MATCH(ROWS($V$2:V752),$V$2:$V$1001,0),1)&gt;=100000,INDEX($AC$1005:$AS$1005,1,MATCH(COLUMNS($AC$1006:AP1006),$AC$1006:$AS$1006,0))&gt;=100000), " ",IF(INDEX($AC$2:$AS$1001,MATCH(ROWS($V$2:V752),$V$2:$V$1001,0),MATCH(COLUMNS($AC$1006:AP1006),$AC$1006:$AS$1006,0)), HYPERLINK("#",""), HYPERLINK(CONCATENATE("#Metadata!", ADDRESS(INDEX($X$2:$X$1001,MATCH(ROWS($V$2:V752),$V$2:$V$1001,0),0), INDEX($AC$1004:$AS$1004,1,MATCH(COLUMNS($AC$1006:AP1006),$AC$1006:$AS$1006,0)))),"Fix")))</f>
        <v>0</v>
      </c>
      <c r="P752" s="5">
        <f>IF(OR(INDEX($W$2:$W$1001,MATCH(ROWS($V$2:V752),$V$2:$V$1001,0),1)&gt;=100000,INDEX($AC$1005:$AS$1005,1,MATCH(COLUMNS($AC$1006:AQ1006),$AC$1006:$AS$1006,0))&gt;=100000), " ",IF(INDEX($AC$2:$AS$1001,MATCH(ROWS($V$2:V752),$V$2:$V$1001,0),MATCH(COLUMNS($AC$1006:AQ1006),$AC$1006:$AS$1006,0)), HYPERLINK("#",""), HYPERLINK(CONCATENATE("#Metadata!", ADDRESS(INDEX($X$2:$X$1001,MATCH(ROWS($V$2:V752),$V$2:$V$1001,0),0), INDEX($AC$1004:$AS$1004,1,MATCH(COLUMNS($AC$1006:AQ1006),$AC$1006:$AS$1006,0)))),"Fix")))</f>
        <v>0</v>
      </c>
      <c r="Q752" s="5">
        <f>IF(OR(INDEX($W$2:$W$1001,MATCH(ROWS($V$2:V752),$V$2:$V$1001,0),1)&gt;=100000,INDEX($AC$1005:$AS$1005,1,MATCH(COLUMNS($AC$1006:AR1006),$AC$1006:$AS$1006,0))&gt;=100000), " ",IF(INDEX($AC$2:$AS$1001,MATCH(ROWS($V$2:V752),$V$2:$V$1001,0),MATCH(COLUMNS($AC$1006:AR1006),$AC$1006:$AS$1006,0)), HYPERLINK("#",""), HYPERLINK(CONCATENATE("#Metadata!", ADDRESS(INDEX($X$2:$X$1001,MATCH(ROWS($V$2:V752),$V$2:$V$1001,0),0), INDEX($AC$1004:$AS$1004,1,MATCH(COLUMNS($AC$1006:AR1006),$AC$1006:$AS$1006,0)))),"Fix")))</f>
        <v>0</v>
      </c>
      <c r="R752" s="5">
        <f>IF(OR(INDEX($W$2:$W$1001,MATCH(ROWS($V$2:V752),$V$2:$V$1001,0),1)&gt;=100000,INDEX($AC$1005:$AS$1005,1,MATCH(COLUMNS($AC$1006:AS1006),$AC$1006:$AS$1006,0))&gt;=100000), " ",IF(INDEX($AC$2:$AS$1001,MATCH(ROWS($V$2:V752),$V$2:$V$1001,0),MATCH(COLUMNS($AC$1006:AS1006),$AC$1006:$AS$1006,0)), HYPERLINK("#",""), HYPERLINK(CONCATENATE("#Metadata!", ADDRESS(INDEX($X$2:$X$1001,MATCH(ROWS($V$2:V752),$V$2:$V$1001,0),0), INDEX($AC$1004:$AS$1004,1,MATCH(COLUMNS($AC$1006:AS1006),$AC$1006:$AS$1006,0)))),"Fix")))</f>
        <v>0</v>
      </c>
      <c r="V752">
        <v>0</v>
      </c>
      <c r="W752">
        <v>0</v>
      </c>
      <c r="X752">
        <v>0</v>
      </c>
      <c r="Y752">
        <f>IF(Z752,TRUE,AND(AC752:AS752))</f>
        <v>0</v>
      </c>
      <c r="Z752">
        <f>COUNTBLANK(Metadata!B752:R752)=COLUMNS(Metadata!B752:R752)</f>
        <v>0</v>
      </c>
      <c r="AA752">
        <v>0</v>
      </c>
      <c r="AC752">
        <f>AND(IF(Metadata!B752="",FALSE,TRUE),COUNTIF(Metadata!B:B, Metadata!B752) = 1,NOT(ISERROR(SUMPRODUCT(SEARCH(MID(Metadata!B752,ROW(INDIRECT("1:"&amp;LEN(Metadata!B752))), 1),"0123456789abcdefghijklmnopqrstuvwxyzABCDEFGHIJKLMNOPQRSTUVWXYZ.")))))</f>
        <v>0</v>
      </c>
      <c r="AD752">
        <f>AND(IF(Metadata!C752="",FALSE,TRUE),exact(Metadata!C752,"Host-associated"))</f>
        <v>0</v>
      </c>
      <c r="AE752">
        <f>AND(IF(Metadata!D752="",FALSE,TRUE),OR(exact(Metadata!D752,"Animal"),exact(Metadata!D752,"Fungus"),exact(Metadata!D752,"Plant")))</f>
        <v>0</v>
      </c>
      <c r="AF752">
        <f>AND(IF(Metadata!E752="",FALSE,TRUE),OR(exact(Metadata!E752,"Plant secretion"),exact(Metadata!E752,"Plant rhizosphere"),exact(Metadata!E752,"Plant surface"),exact(Metadata!E752,"Plant corpus"),exact(Metadata!E752,"Fungus surface"),exact(Metadata!E752,"Fungus corpus"),exact(Metadata!E752,"Animal surface"),exact(Metadata!E752,"Animal proximal gut"),exact(Metadata!E752,"Animal corpus"),exact(Metadata!E752,"Animal distal gut"),exact(Metadata!E752,"Animal secretion")))</f>
        <v>0</v>
      </c>
      <c r="AG752">
        <f>OR(AND(IF(Metadata!F752="",FALSE,TRUE),OR(exact(Metadata!F752,"not collected"),exact(Metadata!F752,"not provided"),exact(Metadata!F752,"restricted access"))),AND(IF(Metadata!F752="",FALSE,TRUE),OR(exact(Metadata!F752,"organism-associated habitat"),exact(Metadata!F752,"plant-associated habitat"),exact(Metadata!F752,"animal-associated habitat"),exact(Metadata!F752,"insecta-associated habitat"),exact(Metadata!F752,"mammalia-associated habitat"),exact(Metadata!F752,"human-associated habitat"),exact(Metadata!F752,"livestock-associated habitat"))))</f>
        <v>0</v>
      </c>
      <c r="AH752">
        <f>AND(IF(Metadata!G752="",FALSE,TRUE),exact(Metadata!G752,"host-associated"))</f>
        <v>0</v>
      </c>
      <c r="AI752">
        <f>OR(AND(IF(Metadata!H752="",FALSE,TRUE),OR(exact(Metadata!H752,"not collected"),exact(Metadata!H752,"not provided"))),AND(IF(Metadata!H752="",FALSE,ISNUMBER(VALUE(Metadata!H752))),Metadata!H752&gt;0))</f>
        <v>0</v>
      </c>
      <c r="AJ752">
        <f>AND(IF(Metadata!I752="",FALSE,TRUE),exact(Metadata!I752,"years"))</f>
        <v>0</v>
      </c>
      <c r="AK752">
        <f>IF(Metadata!J752="",FALSE,TRUE)</f>
        <v>0</v>
      </c>
      <c r="AL752">
        <f>OR(AND(IF(Metadata!K752="",FALSE,TRUE),OR(exact(Metadata!K752,"not collected"),exact(Metadata!K752,"not provided"))),AND(IF(Metadata!K752="",FALSE,ISNUMBER(VALUE(Metadata!K752))),Metadata!K752&gt;0))</f>
        <v>0</v>
      </c>
      <c r="AM752">
        <f>AND(IF(Metadata!L752="",FALSE,TRUE),exact(Metadata!L752,"cm"))</f>
        <v>0</v>
      </c>
      <c r="AN752">
        <f>IF(Metadata!M752="",FALSE,TRUE)</f>
        <v>0</v>
      </c>
      <c r="AO752">
        <f>OR(AND(IF(Metadata!N752="",FALSE,TRUE),OR(exact(Metadata!N752,"not applicable"),exact(Metadata!N752,"not collected"),exact(Metadata!N752,"not provided"))),AND(IF(Metadata!N752="",FALSE,IF(ISERROR(INT(Metadata!N752)),FALSE,INT(Metadata!N752)=Metadata!N752)),Metadata!N752&gt;0))</f>
        <v>0</v>
      </c>
      <c r="AP752">
        <f>OR(AND(IF(Metadata!O752="",FALSE,TRUE),OR(exact(Metadata!O752,"not collected"),exact(Metadata!O752,"not provided"))),AND(IF(Metadata!O752="",FALSE,ISNUMBER(VALUE(Metadata!O752))),Metadata!O752&gt;0))</f>
        <v>0</v>
      </c>
      <c r="AQ752">
        <f>AND(IF(Metadata!P752="",FALSE,TRUE),exact(Metadata!P752,"kg"))</f>
        <v>0</v>
      </c>
      <c r="AR752">
        <f>OR(AND(IF(Metadata!Q752="",FALSE,TRUE),OR(exact(Metadata!Q752,"not applicable"),exact(Metadata!Q752,"not collected"),exact(Metadata!Q752,"not provided"),exact(Metadata!Q752,"restricted access"))),IF(Metadata!Q752="",FALSE,IF(ISERROR(INT(Metadata!Q752)),FALSE,INT(Metadata!Q752)=Metadata!Q752)))</f>
        <v>0</v>
      </c>
      <c r="AS752">
        <f>AND(IF(Metadata!R752="",FALSE,TRUE),exact(Metadata!R752,"Not applicable"))</f>
        <v>0</v>
      </c>
    </row>
    <row r="753" spans="1:45">
      <c r="A753" s="4">
        <f>IF(B753=" "," ",HYPERLINK(CONCATENATE("#metadata!",ADDRESS(INDEX($X$2:$X$1001,MATCH(ROWS($V$2:V753),$V$2:$V$1001,0),0),2)),INDEX($AA$2:$AA$1001,MATCH(ROWS($V$2:V753),$V$2:$V$1001,0),0)))</f>
        <v>0</v>
      </c>
      <c r="B753" s="5">
        <f>IF(OR(INDEX($W$2:$W$1001,MATCH(ROWS($V$2:V753),$V$2:$V$1001,0),1)&gt;=100000,INDEX($AC$1005:$AS$1005,1,MATCH(COLUMNS($AC$1006:AC1006),$AC$1006:$AS$1006,0))&gt;=100000), " ",IF(INDEX($AC$2:$AS$1001,MATCH(ROWS($V$2:V753),$V$2:$V$1001,0),MATCH(COLUMNS($AC$1006:AC1006),$AC$1006:$AS$1006,0)), HYPERLINK("#",""), HYPERLINK(CONCATENATE("#Metadata!", ADDRESS(INDEX($X$2:$X$1001,MATCH(ROWS($V$2:V753),$V$2:$V$1001,0),0), INDEX($AC$1004:$AS$1004,1,MATCH(COLUMNS($AC$1006:AC1006),$AC$1006:$AS$1006,0)))),"Fix")))</f>
        <v>0</v>
      </c>
      <c r="C753" s="5">
        <f>IF(OR(INDEX($W$2:$W$1001,MATCH(ROWS($V$2:V753),$V$2:$V$1001,0),1)&gt;=100000,INDEX($AC$1005:$AS$1005,1,MATCH(COLUMNS($AC$1006:AD1006),$AC$1006:$AS$1006,0))&gt;=100000), " ",IF(INDEX($AC$2:$AS$1001,MATCH(ROWS($V$2:V753),$V$2:$V$1001,0),MATCH(COLUMNS($AC$1006:AD1006),$AC$1006:$AS$1006,0)), HYPERLINK("#",""), HYPERLINK(CONCATENATE("#Metadata!", ADDRESS(INDEX($X$2:$X$1001,MATCH(ROWS($V$2:V753),$V$2:$V$1001,0),0), INDEX($AC$1004:$AS$1004,1,MATCH(COLUMNS($AC$1006:AD1006),$AC$1006:$AS$1006,0)))),"Fix")))</f>
        <v>0</v>
      </c>
      <c r="D753" s="5">
        <f>IF(OR(INDEX($W$2:$W$1001,MATCH(ROWS($V$2:V753),$V$2:$V$1001,0),1)&gt;=100000,INDEX($AC$1005:$AS$1005,1,MATCH(COLUMNS($AC$1006:AE1006),$AC$1006:$AS$1006,0))&gt;=100000), " ",IF(INDEX($AC$2:$AS$1001,MATCH(ROWS($V$2:V753),$V$2:$V$1001,0),MATCH(COLUMNS($AC$1006:AE1006),$AC$1006:$AS$1006,0)), HYPERLINK("#",""), HYPERLINK(CONCATENATE("#Metadata!", ADDRESS(INDEX($X$2:$X$1001,MATCH(ROWS($V$2:V753),$V$2:$V$1001,0),0), INDEX($AC$1004:$AS$1004,1,MATCH(COLUMNS($AC$1006:AE1006),$AC$1006:$AS$1006,0)))),"Fix")))</f>
        <v>0</v>
      </c>
      <c r="E753" s="5">
        <f>IF(OR(INDEX($W$2:$W$1001,MATCH(ROWS($V$2:V753),$V$2:$V$1001,0),1)&gt;=100000,INDEX($AC$1005:$AS$1005,1,MATCH(COLUMNS($AC$1006:AF1006),$AC$1006:$AS$1006,0))&gt;=100000), " ",IF(INDEX($AC$2:$AS$1001,MATCH(ROWS($V$2:V753),$V$2:$V$1001,0),MATCH(COLUMNS($AC$1006:AF1006),$AC$1006:$AS$1006,0)), HYPERLINK("#",""), HYPERLINK(CONCATENATE("#Metadata!", ADDRESS(INDEX($X$2:$X$1001,MATCH(ROWS($V$2:V753),$V$2:$V$1001,0),0), INDEX($AC$1004:$AS$1004,1,MATCH(COLUMNS($AC$1006:AF1006),$AC$1006:$AS$1006,0)))),"Fix")))</f>
        <v>0</v>
      </c>
      <c r="F753" s="5">
        <f>IF(OR(INDEX($W$2:$W$1001,MATCH(ROWS($V$2:V753),$V$2:$V$1001,0),1)&gt;=100000,INDEX($AC$1005:$AS$1005,1,MATCH(COLUMNS($AC$1006:AG1006),$AC$1006:$AS$1006,0))&gt;=100000), " ",IF(INDEX($AC$2:$AS$1001,MATCH(ROWS($V$2:V753),$V$2:$V$1001,0),MATCH(COLUMNS($AC$1006:AG1006),$AC$1006:$AS$1006,0)), HYPERLINK("#",""), HYPERLINK(CONCATENATE("#Metadata!", ADDRESS(INDEX($X$2:$X$1001,MATCH(ROWS($V$2:V753),$V$2:$V$1001,0),0), INDEX($AC$1004:$AS$1004,1,MATCH(COLUMNS($AC$1006:AG1006),$AC$1006:$AS$1006,0)))),"Fix")))</f>
        <v>0</v>
      </c>
      <c r="G753" s="5">
        <f>IF(OR(INDEX($W$2:$W$1001,MATCH(ROWS($V$2:V753),$V$2:$V$1001,0),1)&gt;=100000,INDEX($AC$1005:$AS$1005,1,MATCH(COLUMNS($AC$1006:AH1006),$AC$1006:$AS$1006,0))&gt;=100000), " ",IF(INDEX($AC$2:$AS$1001,MATCH(ROWS($V$2:V753),$V$2:$V$1001,0),MATCH(COLUMNS($AC$1006:AH1006),$AC$1006:$AS$1006,0)), HYPERLINK("#",""), HYPERLINK(CONCATENATE("#Metadata!", ADDRESS(INDEX($X$2:$X$1001,MATCH(ROWS($V$2:V753),$V$2:$V$1001,0),0), INDEX($AC$1004:$AS$1004,1,MATCH(COLUMNS($AC$1006:AH1006),$AC$1006:$AS$1006,0)))),"Fix")))</f>
        <v>0</v>
      </c>
      <c r="H753" s="5">
        <f>IF(OR(INDEX($W$2:$W$1001,MATCH(ROWS($V$2:V753),$V$2:$V$1001,0),1)&gt;=100000,INDEX($AC$1005:$AS$1005,1,MATCH(COLUMNS($AC$1006:AI1006),$AC$1006:$AS$1006,0))&gt;=100000), " ",IF(INDEX($AC$2:$AS$1001,MATCH(ROWS($V$2:V753),$V$2:$V$1001,0),MATCH(COLUMNS($AC$1006:AI1006),$AC$1006:$AS$1006,0)), HYPERLINK("#",""), HYPERLINK(CONCATENATE("#Metadata!", ADDRESS(INDEX($X$2:$X$1001,MATCH(ROWS($V$2:V753),$V$2:$V$1001,0),0), INDEX($AC$1004:$AS$1004,1,MATCH(COLUMNS($AC$1006:AI1006),$AC$1006:$AS$1006,0)))),"Fix")))</f>
        <v>0</v>
      </c>
      <c r="I753" s="5">
        <f>IF(OR(INDEX($W$2:$W$1001,MATCH(ROWS($V$2:V753),$V$2:$V$1001,0),1)&gt;=100000,INDEX($AC$1005:$AS$1005,1,MATCH(COLUMNS($AC$1006:AJ1006),$AC$1006:$AS$1006,0))&gt;=100000), " ",IF(INDEX($AC$2:$AS$1001,MATCH(ROWS($V$2:V753),$V$2:$V$1001,0),MATCH(COLUMNS($AC$1006:AJ1006),$AC$1006:$AS$1006,0)), HYPERLINK("#",""), HYPERLINK(CONCATENATE("#Metadata!", ADDRESS(INDEX($X$2:$X$1001,MATCH(ROWS($V$2:V753),$V$2:$V$1001,0),0), INDEX($AC$1004:$AS$1004,1,MATCH(COLUMNS($AC$1006:AJ1006),$AC$1006:$AS$1006,0)))),"Fix")))</f>
        <v>0</v>
      </c>
      <c r="J753" s="5">
        <f>IF(OR(INDEX($W$2:$W$1001,MATCH(ROWS($V$2:V753),$V$2:$V$1001,0),1)&gt;=100000,INDEX($AC$1005:$AS$1005,1,MATCH(COLUMNS($AC$1006:AK1006),$AC$1006:$AS$1006,0))&gt;=100000), " ",IF(INDEX($AC$2:$AS$1001,MATCH(ROWS($V$2:V753),$V$2:$V$1001,0),MATCH(COLUMNS($AC$1006:AK1006),$AC$1006:$AS$1006,0)), HYPERLINK("#",""), HYPERLINK(CONCATENATE("#Metadata!", ADDRESS(INDEX($X$2:$X$1001,MATCH(ROWS($V$2:V753),$V$2:$V$1001,0),0), INDEX($AC$1004:$AS$1004,1,MATCH(COLUMNS($AC$1006:AK1006),$AC$1006:$AS$1006,0)))),"Fix")))</f>
        <v>0</v>
      </c>
      <c r="K753" s="5">
        <f>IF(OR(INDEX($W$2:$W$1001,MATCH(ROWS($V$2:V753),$V$2:$V$1001,0),1)&gt;=100000,INDEX($AC$1005:$AS$1005,1,MATCH(COLUMNS($AC$1006:AL1006),$AC$1006:$AS$1006,0))&gt;=100000), " ",IF(INDEX($AC$2:$AS$1001,MATCH(ROWS($V$2:V753),$V$2:$V$1001,0),MATCH(COLUMNS($AC$1006:AL1006),$AC$1006:$AS$1006,0)), HYPERLINK("#",""), HYPERLINK(CONCATENATE("#Metadata!", ADDRESS(INDEX($X$2:$X$1001,MATCH(ROWS($V$2:V753),$V$2:$V$1001,0),0), INDEX($AC$1004:$AS$1004,1,MATCH(COLUMNS($AC$1006:AL1006),$AC$1006:$AS$1006,0)))),"Fix")))</f>
        <v>0</v>
      </c>
      <c r="L753" s="5">
        <f>IF(OR(INDEX($W$2:$W$1001,MATCH(ROWS($V$2:V753),$V$2:$V$1001,0),1)&gt;=100000,INDEX($AC$1005:$AS$1005,1,MATCH(COLUMNS($AC$1006:AM1006),$AC$1006:$AS$1006,0))&gt;=100000), " ",IF(INDEX($AC$2:$AS$1001,MATCH(ROWS($V$2:V753),$V$2:$V$1001,0),MATCH(COLUMNS($AC$1006:AM1006),$AC$1006:$AS$1006,0)), HYPERLINK("#",""), HYPERLINK(CONCATENATE("#Metadata!", ADDRESS(INDEX($X$2:$X$1001,MATCH(ROWS($V$2:V753),$V$2:$V$1001,0),0), INDEX($AC$1004:$AS$1004,1,MATCH(COLUMNS($AC$1006:AM1006),$AC$1006:$AS$1006,0)))),"Fix")))</f>
        <v>0</v>
      </c>
      <c r="M753" s="5">
        <f>IF(OR(INDEX($W$2:$W$1001,MATCH(ROWS($V$2:V753),$V$2:$V$1001,0),1)&gt;=100000,INDEX($AC$1005:$AS$1005,1,MATCH(COLUMNS($AC$1006:AN1006),$AC$1006:$AS$1006,0))&gt;=100000), " ",IF(INDEX($AC$2:$AS$1001,MATCH(ROWS($V$2:V753),$V$2:$V$1001,0),MATCH(COLUMNS($AC$1006:AN1006),$AC$1006:$AS$1006,0)), HYPERLINK("#",""), HYPERLINK(CONCATENATE("#Metadata!", ADDRESS(INDEX($X$2:$X$1001,MATCH(ROWS($V$2:V753),$V$2:$V$1001,0),0), INDEX($AC$1004:$AS$1004,1,MATCH(COLUMNS($AC$1006:AN1006),$AC$1006:$AS$1006,0)))),"Fix")))</f>
        <v>0</v>
      </c>
      <c r="N753" s="5">
        <f>IF(OR(INDEX($W$2:$W$1001,MATCH(ROWS($V$2:V753),$V$2:$V$1001,0),1)&gt;=100000,INDEX($AC$1005:$AS$1005,1,MATCH(COLUMNS($AC$1006:AO1006),$AC$1006:$AS$1006,0))&gt;=100000), " ",IF(INDEX($AC$2:$AS$1001,MATCH(ROWS($V$2:V753),$V$2:$V$1001,0),MATCH(COLUMNS($AC$1006:AO1006),$AC$1006:$AS$1006,0)), HYPERLINK("#",""), HYPERLINK(CONCATENATE("#Metadata!", ADDRESS(INDEX($X$2:$X$1001,MATCH(ROWS($V$2:V753),$V$2:$V$1001,0),0), INDEX($AC$1004:$AS$1004,1,MATCH(COLUMNS($AC$1006:AO1006),$AC$1006:$AS$1006,0)))),"Fix")))</f>
        <v>0</v>
      </c>
      <c r="O753" s="5">
        <f>IF(OR(INDEX($W$2:$W$1001,MATCH(ROWS($V$2:V753),$V$2:$V$1001,0),1)&gt;=100000,INDEX($AC$1005:$AS$1005,1,MATCH(COLUMNS($AC$1006:AP1006),$AC$1006:$AS$1006,0))&gt;=100000), " ",IF(INDEX($AC$2:$AS$1001,MATCH(ROWS($V$2:V753),$V$2:$V$1001,0),MATCH(COLUMNS($AC$1006:AP1006),$AC$1006:$AS$1006,0)), HYPERLINK("#",""), HYPERLINK(CONCATENATE("#Metadata!", ADDRESS(INDEX($X$2:$X$1001,MATCH(ROWS($V$2:V753),$V$2:$V$1001,0),0), INDEX($AC$1004:$AS$1004,1,MATCH(COLUMNS($AC$1006:AP1006),$AC$1006:$AS$1006,0)))),"Fix")))</f>
        <v>0</v>
      </c>
      <c r="P753" s="5">
        <f>IF(OR(INDEX($W$2:$W$1001,MATCH(ROWS($V$2:V753),$V$2:$V$1001,0),1)&gt;=100000,INDEX($AC$1005:$AS$1005,1,MATCH(COLUMNS($AC$1006:AQ1006),$AC$1006:$AS$1006,0))&gt;=100000), " ",IF(INDEX($AC$2:$AS$1001,MATCH(ROWS($V$2:V753),$V$2:$V$1001,0),MATCH(COLUMNS($AC$1006:AQ1006),$AC$1006:$AS$1006,0)), HYPERLINK("#",""), HYPERLINK(CONCATENATE("#Metadata!", ADDRESS(INDEX($X$2:$X$1001,MATCH(ROWS($V$2:V753),$V$2:$V$1001,0),0), INDEX($AC$1004:$AS$1004,1,MATCH(COLUMNS($AC$1006:AQ1006),$AC$1006:$AS$1006,0)))),"Fix")))</f>
        <v>0</v>
      </c>
      <c r="Q753" s="5">
        <f>IF(OR(INDEX($W$2:$W$1001,MATCH(ROWS($V$2:V753),$V$2:$V$1001,0),1)&gt;=100000,INDEX($AC$1005:$AS$1005,1,MATCH(COLUMNS($AC$1006:AR1006),$AC$1006:$AS$1006,0))&gt;=100000), " ",IF(INDEX($AC$2:$AS$1001,MATCH(ROWS($V$2:V753),$V$2:$V$1001,0),MATCH(COLUMNS($AC$1006:AR1006),$AC$1006:$AS$1006,0)), HYPERLINK("#",""), HYPERLINK(CONCATENATE("#Metadata!", ADDRESS(INDEX($X$2:$X$1001,MATCH(ROWS($V$2:V753),$V$2:$V$1001,0),0), INDEX($AC$1004:$AS$1004,1,MATCH(COLUMNS($AC$1006:AR1006),$AC$1006:$AS$1006,0)))),"Fix")))</f>
        <v>0</v>
      </c>
      <c r="R753" s="5">
        <f>IF(OR(INDEX($W$2:$W$1001,MATCH(ROWS($V$2:V753),$V$2:$V$1001,0),1)&gt;=100000,INDEX($AC$1005:$AS$1005,1,MATCH(COLUMNS($AC$1006:AS1006),$AC$1006:$AS$1006,0))&gt;=100000), " ",IF(INDEX($AC$2:$AS$1001,MATCH(ROWS($V$2:V753),$V$2:$V$1001,0),MATCH(COLUMNS($AC$1006:AS1006),$AC$1006:$AS$1006,0)), HYPERLINK("#",""), HYPERLINK(CONCATENATE("#Metadata!", ADDRESS(INDEX($X$2:$X$1001,MATCH(ROWS($V$2:V753),$V$2:$V$1001,0),0), INDEX($AC$1004:$AS$1004,1,MATCH(COLUMNS($AC$1006:AS1006),$AC$1006:$AS$1006,0)))),"Fix")))</f>
        <v>0</v>
      </c>
      <c r="V753">
        <v>0</v>
      </c>
      <c r="W753">
        <v>0</v>
      </c>
      <c r="X753">
        <v>0</v>
      </c>
      <c r="Y753">
        <f>IF(Z753,TRUE,AND(AC753:AS753))</f>
        <v>0</v>
      </c>
      <c r="Z753">
        <f>COUNTBLANK(Metadata!B753:R753)=COLUMNS(Metadata!B753:R753)</f>
        <v>0</v>
      </c>
      <c r="AA753">
        <v>0</v>
      </c>
      <c r="AC753">
        <f>AND(IF(Metadata!B753="",FALSE,TRUE),COUNTIF(Metadata!B:B, Metadata!B753) = 1,NOT(ISERROR(SUMPRODUCT(SEARCH(MID(Metadata!B753,ROW(INDIRECT("1:"&amp;LEN(Metadata!B753))), 1),"0123456789abcdefghijklmnopqrstuvwxyzABCDEFGHIJKLMNOPQRSTUVWXYZ.")))))</f>
        <v>0</v>
      </c>
      <c r="AD753">
        <f>AND(IF(Metadata!C753="",FALSE,TRUE),exact(Metadata!C753,"Host-associated"))</f>
        <v>0</v>
      </c>
      <c r="AE753">
        <f>AND(IF(Metadata!D753="",FALSE,TRUE),OR(exact(Metadata!D753,"Animal"),exact(Metadata!D753,"Fungus"),exact(Metadata!D753,"Plant")))</f>
        <v>0</v>
      </c>
      <c r="AF753">
        <f>AND(IF(Metadata!E753="",FALSE,TRUE),OR(exact(Metadata!E753,"Plant secretion"),exact(Metadata!E753,"Plant rhizosphere"),exact(Metadata!E753,"Plant surface"),exact(Metadata!E753,"Plant corpus"),exact(Metadata!E753,"Fungus surface"),exact(Metadata!E753,"Fungus corpus"),exact(Metadata!E753,"Animal surface"),exact(Metadata!E753,"Animal proximal gut"),exact(Metadata!E753,"Animal corpus"),exact(Metadata!E753,"Animal distal gut"),exact(Metadata!E753,"Animal secretion")))</f>
        <v>0</v>
      </c>
      <c r="AG753">
        <f>OR(AND(IF(Metadata!F753="",FALSE,TRUE),OR(exact(Metadata!F753,"not collected"),exact(Metadata!F753,"not provided"),exact(Metadata!F753,"restricted access"))),AND(IF(Metadata!F753="",FALSE,TRUE),OR(exact(Metadata!F753,"organism-associated habitat"),exact(Metadata!F753,"plant-associated habitat"),exact(Metadata!F753,"animal-associated habitat"),exact(Metadata!F753,"insecta-associated habitat"),exact(Metadata!F753,"mammalia-associated habitat"),exact(Metadata!F753,"human-associated habitat"),exact(Metadata!F753,"livestock-associated habitat"))))</f>
        <v>0</v>
      </c>
      <c r="AH753">
        <f>AND(IF(Metadata!G753="",FALSE,TRUE),exact(Metadata!G753,"host-associated"))</f>
        <v>0</v>
      </c>
      <c r="AI753">
        <f>OR(AND(IF(Metadata!H753="",FALSE,TRUE),OR(exact(Metadata!H753,"not collected"),exact(Metadata!H753,"not provided"))),AND(IF(Metadata!H753="",FALSE,ISNUMBER(VALUE(Metadata!H753))),Metadata!H753&gt;0))</f>
        <v>0</v>
      </c>
      <c r="AJ753">
        <f>AND(IF(Metadata!I753="",FALSE,TRUE),exact(Metadata!I753,"years"))</f>
        <v>0</v>
      </c>
      <c r="AK753">
        <f>IF(Metadata!J753="",FALSE,TRUE)</f>
        <v>0</v>
      </c>
      <c r="AL753">
        <f>OR(AND(IF(Metadata!K753="",FALSE,TRUE),OR(exact(Metadata!K753,"not collected"),exact(Metadata!K753,"not provided"))),AND(IF(Metadata!K753="",FALSE,ISNUMBER(VALUE(Metadata!K753))),Metadata!K753&gt;0))</f>
        <v>0</v>
      </c>
      <c r="AM753">
        <f>AND(IF(Metadata!L753="",FALSE,TRUE),exact(Metadata!L753,"cm"))</f>
        <v>0</v>
      </c>
      <c r="AN753">
        <f>IF(Metadata!M753="",FALSE,TRUE)</f>
        <v>0</v>
      </c>
      <c r="AO753">
        <f>OR(AND(IF(Metadata!N753="",FALSE,TRUE),OR(exact(Metadata!N753,"not applicable"),exact(Metadata!N753,"not collected"),exact(Metadata!N753,"not provided"))),AND(IF(Metadata!N753="",FALSE,IF(ISERROR(INT(Metadata!N753)),FALSE,INT(Metadata!N753)=Metadata!N753)),Metadata!N753&gt;0))</f>
        <v>0</v>
      </c>
      <c r="AP753">
        <f>OR(AND(IF(Metadata!O753="",FALSE,TRUE),OR(exact(Metadata!O753,"not collected"),exact(Metadata!O753,"not provided"))),AND(IF(Metadata!O753="",FALSE,ISNUMBER(VALUE(Metadata!O753))),Metadata!O753&gt;0))</f>
        <v>0</v>
      </c>
      <c r="AQ753">
        <f>AND(IF(Metadata!P753="",FALSE,TRUE),exact(Metadata!P753,"kg"))</f>
        <v>0</v>
      </c>
      <c r="AR753">
        <f>OR(AND(IF(Metadata!Q753="",FALSE,TRUE),OR(exact(Metadata!Q753,"not applicable"),exact(Metadata!Q753,"not collected"),exact(Metadata!Q753,"not provided"),exact(Metadata!Q753,"restricted access"))),IF(Metadata!Q753="",FALSE,IF(ISERROR(INT(Metadata!Q753)),FALSE,INT(Metadata!Q753)=Metadata!Q753)))</f>
        <v>0</v>
      </c>
      <c r="AS753">
        <f>AND(IF(Metadata!R753="",FALSE,TRUE),exact(Metadata!R753,"Not applicable"))</f>
        <v>0</v>
      </c>
    </row>
    <row r="754" spans="1:45">
      <c r="A754" s="4">
        <f>IF(B754=" "," ",HYPERLINK(CONCATENATE("#metadata!",ADDRESS(INDEX($X$2:$X$1001,MATCH(ROWS($V$2:V754),$V$2:$V$1001,0),0),2)),INDEX($AA$2:$AA$1001,MATCH(ROWS($V$2:V754),$V$2:$V$1001,0),0)))</f>
        <v>0</v>
      </c>
      <c r="B754" s="5">
        <f>IF(OR(INDEX($W$2:$W$1001,MATCH(ROWS($V$2:V754),$V$2:$V$1001,0),1)&gt;=100000,INDEX($AC$1005:$AS$1005,1,MATCH(COLUMNS($AC$1006:AC1006),$AC$1006:$AS$1006,0))&gt;=100000), " ",IF(INDEX($AC$2:$AS$1001,MATCH(ROWS($V$2:V754),$V$2:$V$1001,0),MATCH(COLUMNS($AC$1006:AC1006),$AC$1006:$AS$1006,0)), HYPERLINK("#",""), HYPERLINK(CONCATENATE("#Metadata!", ADDRESS(INDEX($X$2:$X$1001,MATCH(ROWS($V$2:V754),$V$2:$V$1001,0),0), INDEX($AC$1004:$AS$1004,1,MATCH(COLUMNS($AC$1006:AC1006),$AC$1006:$AS$1006,0)))),"Fix")))</f>
        <v>0</v>
      </c>
      <c r="C754" s="5">
        <f>IF(OR(INDEX($W$2:$W$1001,MATCH(ROWS($V$2:V754),$V$2:$V$1001,0),1)&gt;=100000,INDEX($AC$1005:$AS$1005,1,MATCH(COLUMNS($AC$1006:AD1006),$AC$1006:$AS$1006,0))&gt;=100000), " ",IF(INDEX($AC$2:$AS$1001,MATCH(ROWS($V$2:V754),$V$2:$V$1001,0),MATCH(COLUMNS($AC$1006:AD1006),$AC$1006:$AS$1006,0)), HYPERLINK("#",""), HYPERLINK(CONCATENATE("#Metadata!", ADDRESS(INDEX($X$2:$X$1001,MATCH(ROWS($V$2:V754),$V$2:$V$1001,0),0), INDEX($AC$1004:$AS$1004,1,MATCH(COLUMNS($AC$1006:AD1006),$AC$1006:$AS$1006,0)))),"Fix")))</f>
        <v>0</v>
      </c>
      <c r="D754" s="5">
        <f>IF(OR(INDEX($W$2:$W$1001,MATCH(ROWS($V$2:V754),$V$2:$V$1001,0),1)&gt;=100000,INDEX($AC$1005:$AS$1005,1,MATCH(COLUMNS($AC$1006:AE1006),$AC$1006:$AS$1006,0))&gt;=100000), " ",IF(INDEX($AC$2:$AS$1001,MATCH(ROWS($V$2:V754),$V$2:$V$1001,0),MATCH(COLUMNS($AC$1006:AE1006),$AC$1006:$AS$1006,0)), HYPERLINK("#",""), HYPERLINK(CONCATENATE("#Metadata!", ADDRESS(INDEX($X$2:$X$1001,MATCH(ROWS($V$2:V754),$V$2:$V$1001,0),0), INDEX($AC$1004:$AS$1004,1,MATCH(COLUMNS($AC$1006:AE1006),$AC$1006:$AS$1006,0)))),"Fix")))</f>
        <v>0</v>
      </c>
      <c r="E754" s="5">
        <f>IF(OR(INDEX($W$2:$W$1001,MATCH(ROWS($V$2:V754),$V$2:$V$1001,0),1)&gt;=100000,INDEX($AC$1005:$AS$1005,1,MATCH(COLUMNS($AC$1006:AF1006),$AC$1006:$AS$1006,0))&gt;=100000), " ",IF(INDEX($AC$2:$AS$1001,MATCH(ROWS($V$2:V754),$V$2:$V$1001,0),MATCH(COLUMNS($AC$1006:AF1006),$AC$1006:$AS$1006,0)), HYPERLINK("#",""), HYPERLINK(CONCATENATE("#Metadata!", ADDRESS(INDEX($X$2:$X$1001,MATCH(ROWS($V$2:V754),$V$2:$V$1001,0),0), INDEX($AC$1004:$AS$1004,1,MATCH(COLUMNS($AC$1006:AF1006),$AC$1006:$AS$1006,0)))),"Fix")))</f>
        <v>0</v>
      </c>
      <c r="F754" s="5">
        <f>IF(OR(INDEX($W$2:$W$1001,MATCH(ROWS($V$2:V754),$V$2:$V$1001,0),1)&gt;=100000,INDEX($AC$1005:$AS$1005,1,MATCH(COLUMNS($AC$1006:AG1006),$AC$1006:$AS$1006,0))&gt;=100000), " ",IF(INDEX($AC$2:$AS$1001,MATCH(ROWS($V$2:V754),$V$2:$V$1001,0),MATCH(COLUMNS($AC$1006:AG1006),$AC$1006:$AS$1006,0)), HYPERLINK("#",""), HYPERLINK(CONCATENATE("#Metadata!", ADDRESS(INDEX($X$2:$X$1001,MATCH(ROWS($V$2:V754),$V$2:$V$1001,0),0), INDEX($AC$1004:$AS$1004,1,MATCH(COLUMNS($AC$1006:AG1006),$AC$1006:$AS$1006,0)))),"Fix")))</f>
        <v>0</v>
      </c>
      <c r="G754" s="5">
        <f>IF(OR(INDEX($W$2:$W$1001,MATCH(ROWS($V$2:V754),$V$2:$V$1001,0),1)&gt;=100000,INDEX($AC$1005:$AS$1005,1,MATCH(COLUMNS($AC$1006:AH1006),$AC$1006:$AS$1006,0))&gt;=100000), " ",IF(INDEX($AC$2:$AS$1001,MATCH(ROWS($V$2:V754),$V$2:$V$1001,0),MATCH(COLUMNS($AC$1006:AH1006),$AC$1006:$AS$1006,0)), HYPERLINK("#",""), HYPERLINK(CONCATENATE("#Metadata!", ADDRESS(INDEX($X$2:$X$1001,MATCH(ROWS($V$2:V754),$V$2:$V$1001,0),0), INDEX($AC$1004:$AS$1004,1,MATCH(COLUMNS($AC$1006:AH1006),$AC$1006:$AS$1006,0)))),"Fix")))</f>
        <v>0</v>
      </c>
      <c r="H754" s="5">
        <f>IF(OR(INDEX($W$2:$W$1001,MATCH(ROWS($V$2:V754),$V$2:$V$1001,0),1)&gt;=100000,INDEX($AC$1005:$AS$1005,1,MATCH(COLUMNS($AC$1006:AI1006),$AC$1006:$AS$1006,0))&gt;=100000), " ",IF(INDEX($AC$2:$AS$1001,MATCH(ROWS($V$2:V754),$V$2:$V$1001,0),MATCH(COLUMNS($AC$1006:AI1006),$AC$1006:$AS$1006,0)), HYPERLINK("#",""), HYPERLINK(CONCATENATE("#Metadata!", ADDRESS(INDEX($X$2:$X$1001,MATCH(ROWS($V$2:V754),$V$2:$V$1001,0),0), INDEX($AC$1004:$AS$1004,1,MATCH(COLUMNS($AC$1006:AI1006),$AC$1006:$AS$1006,0)))),"Fix")))</f>
        <v>0</v>
      </c>
      <c r="I754" s="5">
        <f>IF(OR(INDEX($W$2:$W$1001,MATCH(ROWS($V$2:V754),$V$2:$V$1001,0),1)&gt;=100000,INDEX($AC$1005:$AS$1005,1,MATCH(COLUMNS($AC$1006:AJ1006),$AC$1006:$AS$1006,0))&gt;=100000), " ",IF(INDEX($AC$2:$AS$1001,MATCH(ROWS($V$2:V754),$V$2:$V$1001,0),MATCH(COLUMNS($AC$1006:AJ1006),$AC$1006:$AS$1006,0)), HYPERLINK("#",""), HYPERLINK(CONCATENATE("#Metadata!", ADDRESS(INDEX($X$2:$X$1001,MATCH(ROWS($V$2:V754),$V$2:$V$1001,0),0), INDEX($AC$1004:$AS$1004,1,MATCH(COLUMNS($AC$1006:AJ1006),$AC$1006:$AS$1006,0)))),"Fix")))</f>
        <v>0</v>
      </c>
      <c r="J754" s="5">
        <f>IF(OR(INDEX($W$2:$W$1001,MATCH(ROWS($V$2:V754),$V$2:$V$1001,0),1)&gt;=100000,INDEX($AC$1005:$AS$1005,1,MATCH(COLUMNS($AC$1006:AK1006),$AC$1006:$AS$1006,0))&gt;=100000), " ",IF(INDEX($AC$2:$AS$1001,MATCH(ROWS($V$2:V754),$V$2:$V$1001,0),MATCH(COLUMNS($AC$1006:AK1006),$AC$1006:$AS$1006,0)), HYPERLINK("#",""), HYPERLINK(CONCATENATE("#Metadata!", ADDRESS(INDEX($X$2:$X$1001,MATCH(ROWS($V$2:V754),$V$2:$V$1001,0),0), INDEX($AC$1004:$AS$1004,1,MATCH(COLUMNS($AC$1006:AK1006),$AC$1006:$AS$1006,0)))),"Fix")))</f>
        <v>0</v>
      </c>
      <c r="K754" s="5">
        <f>IF(OR(INDEX($W$2:$W$1001,MATCH(ROWS($V$2:V754),$V$2:$V$1001,0),1)&gt;=100000,INDEX($AC$1005:$AS$1005,1,MATCH(COLUMNS($AC$1006:AL1006),$AC$1006:$AS$1006,0))&gt;=100000), " ",IF(INDEX($AC$2:$AS$1001,MATCH(ROWS($V$2:V754),$V$2:$V$1001,0),MATCH(COLUMNS($AC$1006:AL1006),$AC$1006:$AS$1006,0)), HYPERLINK("#",""), HYPERLINK(CONCATENATE("#Metadata!", ADDRESS(INDEX($X$2:$X$1001,MATCH(ROWS($V$2:V754),$V$2:$V$1001,0),0), INDEX($AC$1004:$AS$1004,1,MATCH(COLUMNS($AC$1006:AL1006),$AC$1006:$AS$1006,0)))),"Fix")))</f>
        <v>0</v>
      </c>
      <c r="L754" s="5">
        <f>IF(OR(INDEX($W$2:$W$1001,MATCH(ROWS($V$2:V754),$V$2:$V$1001,0),1)&gt;=100000,INDEX($AC$1005:$AS$1005,1,MATCH(COLUMNS($AC$1006:AM1006),$AC$1006:$AS$1006,0))&gt;=100000), " ",IF(INDEX($AC$2:$AS$1001,MATCH(ROWS($V$2:V754),$V$2:$V$1001,0),MATCH(COLUMNS($AC$1006:AM1006),$AC$1006:$AS$1006,0)), HYPERLINK("#",""), HYPERLINK(CONCATENATE("#Metadata!", ADDRESS(INDEX($X$2:$X$1001,MATCH(ROWS($V$2:V754),$V$2:$V$1001,0),0), INDEX($AC$1004:$AS$1004,1,MATCH(COLUMNS($AC$1006:AM1006),$AC$1006:$AS$1006,0)))),"Fix")))</f>
        <v>0</v>
      </c>
      <c r="M754" s="5">
        <f>IF(OR(INDEX($W$2:$W$1001,MATCH(ROWS($V$2:V754),$V$2:$V$1001,0),1)&gt;=100000,INDEX($AC$1005:$AS$1005,1,MATCH(COLUMNS($AC$1006:AN1006),$AC$1006:$AS$1006,0))&gt;=100000), " ",IF(INDEX($AC$2:$AS$1001,MATCH(ROWS($V$2:V754),$V$2:$V$1001,0),MATCH(COLUMNS($AC$1006:AN1006),$AC$1006:$AS$1006,0)), HYPERLINK("#",""), HYPERLINK(CONCATENATE("#Metadata!", ADDRESS(INDEX($X$2:$X$1001,MATCH(ROWS($V$2:V754),$V$2:$V$1001,0),0), INDEX($AC$1004:$AS$1004,1,MATCH(COLUMNS($AC$1006:AN1006),$AC$1006:$AS$1006,0)))),"Fix")))</f>
        <v>0</v>
      </c>
      <c r="N754" s="5">
        <f>IF(OR(INDEX($W$2:$W$1001,MATCH(ROWS($V$2:V754),$V$2:$V$1001,0),1)&gt;=100000,INDEX($AC$1005:$AS$1005,1,MATCH(COLUMNS($AC$1006:AO1006),$AC$1006:$AS$1006,0))&gt;=100000), " ",IF(INDEX($AC$2:$AS$1001,MATCH(ROWS($V$2:V754),$V$2:$V$1001,0),MATCH(COLUMNS($AC$1006:AO1006),$AC$1006:$AS$1006,0)), HYPERLINK("#",""), HYPERLINK(CONCATENATE("#Metadata!", ADDRESS(INDEX($X$2:$X$1001,MATCH(ROWS($V$2:V754),$V$2:$V$1001,0),0), INDEX($AC$1004:$AS$1004,1,MATCH(COLUMNS($AC$1006:AO1006),$AC$1006:$AS$1006,0)))),"Fix")))</f>
        <v>0</v>
      </c>
      <c r="O754" s="5">
        <f>IF(OR(INDEX($W$2:$W$1001,MATCH(ROWS($V$2:V754),$V$2:$V$1001,0),1)&gt;=100000,INDEX($AC$1005:$AS$1005,1,MATCH(COLUMNS($AC$1006:AP1006),$AC$1006:$AS$1006,0))&gt;=100000), " ",IF(INDEX($AC$2:$AS$1001,MATCH(ROWS($V$2:V754),$V$2:$V$1001,0),MATCH(COLUMNS($AC$1006:AP1006),$AC$1006:$AS$1006,0)), HYPERLINK("#",""), HYPERLINK(CONCATENATE("#Metadata!", ADDRESS(INDEX($X$2:$X$1001,MATCH(ROWS($V$2:V754),$V$2:$V$1001,0),0), INDEX($AC$1004:$AS$1004,1,MATCH(COLUMNS($AC$1006:AP1006),$AC$1006:$AS$1006,0)))),"Fix")))</f>
        <v>0</v>
      </c>
      <c r="P754" s="5">
        <f>IF(OR(INDEX($W$2:$W$1001,MATCH(ROWS($V$2:V754),$V$2:$V$1001,0),1)&gt;=100000,INDEX($AC$1005:$AS$1005,1,MATCH(COLUMNS($AC$1006:AQ1006),$AC$1006:$AS$1006,0))&gt;=100000), " ",IF(INDEX($AC$2:$AS$1001,MATCH(ROWS($V$2:V754),$V$2:$V$1001,0),MATCH(COLUMNS($AC$1006:AQ1006),$AC$1006:$AS$1006,0)), HYPERLINK("#",""), HYPERLINK(CONCATENATE("#Metadata!", ADDRESS(INDEX($X$2:$X$1001,MATCH(ROWS($V$2:V754),$V$2:$V$1001,0),0), INDEX($AC$1004:$AS$1004,1,MATCH(COLUMNS($AC$1006:AQ1006),$AC$1006:$AS$1006,0)))),"Fix")))</f>
        <v>0</v>
      </c>
      <c r="Q754" s="5">
        <f>IF(OR(INDEX($W$2:$W$1001,MATCH(ROWS($V$2:V754),$V$2:$V$1001,0),1)&gt;=100000,INDEX($AC$1005:$AS$1005,1,MATCH(COLUMNS($AC$1006:AR1006),$AC$1006:$AS$1006,0))&gt;=100000), " ",IF(INDEX($AC$2:$AS$1001,MATCH(ROWS($V$2:V754),$V$2:$V$1001,0),MATCH(COLUMNS($AC$1006:AR1006),$AC$1006:$AS$1006,0)), HYPERLINK("#",""), HYPERLINK(CONCATENATE("#Metadata!", ADDRESS(INDEX($X$2:$X$1001,MATCH(ROWS($V$2:V754),$V$2:$V$1001,0),0), INDEX($AC$1004:$AS$1004,1,MATCH(COLUMNS($AC$1006:AR1006),$AC$1006:$AS$1006,0)))),"Fix")))</f>
        <v>0</v>
      </c>
      <c r="R754" s="5">
        <f>IF(OR(INDEX($W$2:$W$1001,MATCH(ROWS($V$2:V754),$V$2:$V$1001,0),1)&gt;=100000,INDEX($AC$1005:$AS$1005,1,MATCH(COLUMNS($AC$1006:AS1006),$AC$1006:$AS$1006,0))&gt;=100000), " ",IF(INDEX($AC$2:$AS$1001,MATCH(ROWS($V$2:V754),$V$2:$V$1001,0),MATCH(COLUMNS($AC$1006:AS1006),$AC$1006:$AS$1006,0)), HYPERLINK("#",""), HYPERLINK(CONCATENATE("#Metadata!", ADDRESS(INDEX($X$2:$X$1001,MATCH(ROWS($V$2:V754),$V$2:$V$1001,0),0), INDEX($AC$1004:$AS$1004,1,MATCH(COLUMNS($AC$1006:AS1006),$AC$1006:$AS$1006,0)))),"Fix")))</f>
        <v>0</v>
      </c>
      <c r="V754">
        <v>0</v>
      </c>
      <c r="W754">
        <v>0</v>
      </c>
      <c r="X754">
        <v>0</v>
      </c>
      <c r="Y754">
        <f>IF(Z754,TRUE,AND(AC754:AS754))</f>
        <v>0</v>
      </c>
      <c r="Z754">
        <f>COUNTBLANK(Metadata!B754:R754)=COLUMNS(Metadata!B754:R754)</f>
        <v>0</v>
      </c>
      <c r="AA754">
        <v>0</v>
      </c>
      <c r="AC754">
        <f>AND(IF(Metadata!B754="",FALSE,TRUE),COUNTIF(Metadata!B:B, Metadata!B754) = 1,NOT(ISERROR(SUMPRODUCT(SEARCH(MID(Metadata!B754,ROW(INDIRECT("1:"&amp;LEN(Metadata!B754))), 1),"0123456789abcdefghijklmnopqrstuvwxyzABCDEFGHIJKLMNOPQRSTUVWXYZ.")))))</f>
        <v>0</v>
      </c>
      <c r="AD754">
        <f>AND(IF(Metadata!C754="",FALSE,TRUE),exact(Metadata!C754,"Host-associated"))</f>
        <v>0</v>
      </c>
      <c r="AE754">
        <f>AND(IF(Metadata!D754="",FALSE,TRUE),OR(exact(Metadata!D754,"Animal"),exact(Metadata!D754,"Fungus"),exact(Metadata!D754,"Plant")))</f>
        <v>0</v>
      </c>
      <c r="AF754">
        <f>AND(IF(Metadata!E754="",FALSE,TRUE),OR(exact(Metadata!E754,"Plant secretion"),exact(Metadata!E754,"Plant rhizosphere"),exact(Metadata!E754,"Plant surface"),exact(Metadata!E754,"Plant corpus"),exact(Metadata!E754,"Fungus surface"),exact(Metadata!E754,"Fungus corpus"),exact(Metadata!E754,"Animal surface"),exact(Metadata!E754,"Animal proximal gut"),exact(Metadata!E754,"Animal corpus"),exact(Metadata!E754,"Animal distal gut"),exact(Metadata!E754,"Animal secretion")))</f>
        <v>0</v>
      </c>
      <c r="AG754">
        <f>OR(AND(IF(Metadata!F754="",FALSE,TRUE),OR(exact(Metadata!F754,"not collected"),exact(Metadata!F754,"not provided"),exact(Metadata!F754,"restricted access"))),AND(IF(Metadata!F754="",FALSE,TRUE),OR(exact(Metadata!F754,"organism-associated habitat"),exact(Metadata!F754,"plant-associated habitat"),exact(Metadata!F754,"animal-associated habitat"),exact(Metadata!F754,"insecta-associated habitat"),exact(Metadata!F754,"mammalia-associated habitat"),exact(Metadata!F754,"human-associated habitat"),exact(Metadata!F754,"livestock-associated habitat"))))</f>
        <v>0</v>
      </c>
      <c r="AH754">
        <f>AND(IF(Metadata!G754="",FALSE,TRUE),exact(Metadata!G754,"host-associated"))</f>
        <v>0</v>
      </c>
      <c r="AI754">
        <f>OR(AND(IF(Metadata!H754="",FALSE,TRUE),OR(exact(Metadata!H754,"not collected"),exact(Metadata!H754,"not provided"))),AND(IF(Metadata!H754="",FALSE,ISNUMBER(VALUE(Metadata!H754))),Metadata!H754&gt;0))</f>
        <v>0</v>
      </c>
      <c r="AJ754">
        <f>AND(IF(Metadata!I754="",FALSE,TRUE),exact(Metadata!I754,"years"))</f>
        <v>0</v>
      </c>
      <c r="AK754">
        <f>IF(Metadata!J754="",FALSE,TRUE)</f>
        <v>0</v>
      </c>
      <c r="AL754">
        <f>OR(AND(IF(Metadata!K754="",FALSE,TRUE),OR(exact(Metadata!K754,"not collected"),exact(Metadata!K754,"not provided"))),AND(IF(Metadata!K754="",FALSE,ISNUMBER(VALUE(Metadata!K754))),Metadata!K754&gt;0))</f>
        <v>0</v>
      </c>
      <c r="AM754">
        <f>AND(IF(Metadata!L754="",FALSE,TRUE),exact(Metadata!L754,"cm"))</f>
        <v>0</v>
      </c>
      <c r="AN754">
        <f>IF(Metadata!M754="",FALSE,TRUE)</f>
        <v>0</v>
      </c>
      <c r="AO754">
        <f>OR(AND(IF(Metadata!N754="",FALSE,TRUE),OR(exact(Metadata!N754,"not applicable"),exact(Metadata!N754,"not collected"),exact(Metadata!N754,"not provided"))),AND(IF(Metadata!N754="",FALSE,IF(ISERROR(INT(Metadata!N754)),FALSE,INT(Metadata!N754)=Metadata!N754)),Metadata!N754&gt;0))</f>
        <v>0</v>
      </c>
      <c r="AP754">
        <f>OR(AND(IF(Metadata!O754="",FALSE,TRUE),OR(exact(Metadata!O754,"not collected"),exact(Metadata!O754,"not provided"))),AND(IF(Metadata!O754="",FALSE,ISNUMBER(VALUE(Metadata!O754))),Metadata!O754&gt;0))</f>
        <v>0</v>
      </c>
      <c r="AQ754">
        <f>AND(IF(Metadata!P754="",FALSE,TRUE),exact(Metadata!P754,"kg"))</f>
        <v>0</v>
      </c>
      <c r="AR754">
        <f>OR(AND(IF(Metadata!Q754="",FALSE,TRUE),OR(exact(Metadata!Q754,"not applicable"),exact(Metadata!Q754,"not collected"),exact(Metadata!Q754,"not provided"),exact(Metadata!Q754,"restricted access"))),IF(Metadata!Q754="",FALSE,IF(ISERROR(INT(Metadata!Q754)),FALSE,INT(Metadata!Q754)=Metadata!Q754)))</f>
        <v>0</v>
      </c>
      <c r="AS754">
        <f>AND(IF(Metadata!R754="",FALSE,TRUE),exact(Metadata!R754,"Not applicable"))</f>
        <v>0</v>
      </c>
    </row>
    <row r="755" spans="1:45">
      <c r="A755" s="4">
        <f>IF(B755=" "," ",HYPERLINK(CONCATENATE("#metadata!",ADDRESS(INDEX($X$2:$X$1001,MATCH(ROWS($V$2:V755),$V$2:$V$1001,0),0),2)),INDEX($AA$2:$AA$1001,MATCH(ROWS($V$2:V755),$V$2:$V$1001,0),0)))</f>
        <v>0</v>
      </c>
      <c r="B755" s="5">
        <f>IF(OR(INDEX($W$2:$W$1001,MATCH(ROWS($V$2:V755),$V$2:$V$1001,0),1)&gt;=100000,INDEX($AC$1005:$AS$1005,1,MATCH(COLUMNS($AC$1006:AC1006),$AC$1006:$AS$1006,0))&gt;=100000), " ",IF(INDEX($AC$2:$AS$1001,MATCH(ROWS($V$2:V755),$V$2:$V$1001,0),MATCH(COLUMNS($AC$1006:AC1006),$AC$1006:$AS$1006,0)), HYPERLINK("#",""), HYPERLINK(CONCATENATE("#Metadata!", ADDRESS(INDEX($X$2:$X$1001,MATCH(ROWS($V$2:V755),$V$2:$V$1001,0),0), INDEX($AC$1004:$AS$1004,1,MATCH(COLUMNS($AC$1006:AC1006),$AC$1006:$AS$1006,0)))),"Fix")))</f>
        <v>0</v>
      </c>
      <c r="C755" s="5">
        <f>IF(OR(INDEX($W$2:$W$1001,MATCH(ROWS($V$2:V755),$V$2:$V$1001,0),1)&gt;=100000,INDEX($AC$1005:$AS$1005,1,MATCH(COLUMNS($AC$1006:AD1006),$AC$1006:$AS$1006,0))&gt;=100000), " ",IF(INDEX($AC$2:$AS$1001,MATCH(ROWS($V$2:V755),$V$2:$V$1001,0),MATCH(COLUMNS($AC$1006:AD1006),$AC$1006:$AS$1006,0)), HYPERLINK("#",""), HYPERLINK(CONCATENATE("#Metadata!", ADDRESS(INDEX($X$2:$X$1001,MATCH(ROWS($V$2:V755),$V$2:$V$1001,0),0), INDEX($AC$1004:$AS$1004,1,MATCH(COLUMNS($AC$1006:AD1006),$AC$1006:$AS$1006,0)))),"Fix")))</f>
        <v>0</v>
      </c>
      <c r="D755" s="5">
        <f>IF(OR(INDEX($W$2:$W$1001,MATCH(ROWS($V$2:V755),$V$2:$V$1001,0),1)&gt;=100000,INDEX($AC$1005:$AS$1005,1,MATCH(COLUMNS($AC$1006:AE1006),$AC$1006:$AS$1006,0))&gt;=100000), " ",IF(INDEX($AC$2:$AS$1001,MATCH(ROWS($V$2:V755),$V$2:$V$1001,0),MATCH(COLUMNS($AC$1006:AE1006),$AC$1006:$AS$1006,0)), HYPERLINK("#",""), HYPERLINK(CONCATENATE("#Metadata!", ADDRESS(INDEX($X$2:$X$1001,MATCH(ROWS($V$2:V755),$V$2:$V$1001,0),0), INDEX($AC$1004:$AS$1004,1,MATCH(COLUMNS($AC$1006:AE1006),$AC$1006:$AS$1006,0)))),"Fix")))</f>
        <v>0</v>
      </c>
      <c r="E755" s="5">
        <f>IF(OR(INDEX($W$2:$W$1001,MATCH(ROWS($V$2:V755),$V$2:$V$1001,0),1)&gt;=100000,INDEX($AC$1005:$AS$1005,1,MATCH(COLUMNS($AC$1006:AF1006),$AC$1006:$AS$1006,0))&gt;=100000), " ",IF(INDEX($AC$2:$AS$1001,MATCH(ROWS($V$2:V755),$V$2:$V$1001,0),MATCH(COLUMNS($AC$1006:AF1006),$AC$1006:$AS$1006,0)), HYPERLINK("#",""), HYPERLINK(CONCATENATE("#Metadata!", ADDRESS(INDEX($X$2:$X$1001,MATCH(ROWS($V$2:V755),$V$2:$V$1001,0),0), INDEX($AC$1004:$AS$1004,1,MATCH(COLUMNS($AC$1006:AF1006),$AC$1006:$AS$1006,0)))),"Fix")))</f>
        <v>0</v>
      </c>
      <c r="F755" s="5">
        <f>IF(OR(INDEX($W$2:$W$1001,MATCH(ROWS($V$2:V755),$V$2:$V$1001,0),1)&gt;=100000,INDEX($AC$1005:$AS$1005,1,MATCH(COLUMNS($AC$1006:AG1006),$AC$1006:$AS$1006,0))&gt;=100000), " ",IF(INDEX($AC$2:$AS$1001,MATCH(ROWS($V$2:V755),$V$2:$V$1001,0),MATCH(COLUMNS($AC$1006:AG1006),$AC$1006:$AS$1006,0)), HYPERLINK("#",""), HYPERLINK(CONCATENATE("#Metadata!", ADDRESS(INDEX($X$2:$X$1001,MATCH(ROWS($V$2:V755),$V$2:$V$1001,0),0), INDEX($AC$1004:$AS$1004,1,MATCH(COLUMNS($AC$1006:AG1006),$AC$1006:$AS$1006,0)))),"Fix")))</f>
        <v>0</v>
      </c>
      <c r="G755" s="5">
        <f>IF(OR(INDEX($W$2:$W$1001,MATCH(ROWS($V$2:V755),$V$2:$V$1001,0),1)&gt;=100000,INDEX($AC$1005:$AS$1005,1,MATCH(COLUMNS($AC$1006:AH1006),$AC$1006:$AS$1006,0))&gt;=100000), " ",IF(INDEX($AC$2:$AS$1001,MATCH(ROWS($V$2:V755),$V$2:$V$1001,0),MATCH(COLUMNS($AC$1006:AH1006),$AC$1006:$AS$1006,0)), HYPERLINK("#",""), HYPERLINK(CONCATENATE("#Metadata!", ADDRESS(INDEX($X$2:$X$1001,MATCH(ROWS($V$2:V755),$V$2:$V$1001,0),0), INDEX($AC$1004:$AS$1004,1,MATCH(COLUMNS($AC$1006:AH1006),$AC$1006:$AS$1006,0)))),"Fix")))</f>
        <v>0</v>
      </c>
      <c r="H755" s="5">
        <f>IF(OR(INDEX($W$2:$W$1001,MATCH(ROWS($V$2:V755),$V$2:$V$1001,0),1)&gt;=100000,INDEX($AC$1005:$AS$1005,1,MATCH(COLUMNS($AC$1006:AI1006),$AC$1006:$AS$1006,0))&gt;=100000), " ",IF(INDEX($AC$2:$AS$1001,MATCH(ROWS($V$2:V755),$V$2:$V$1001,0),MATCH(COLUMNS($AC$1006:AI1006),$AC$1006:$AS$1006,0)), HYPERLINK("#",""), HYPERLINK(CONCATENATE("#Metadata!", ADDRESS(INDEX($X$2:$X$1001,MATCH(ROWS($V$2:V755),$V$2:$V$1001,0),0), INDEX($AC$1004:$AS$1004,1,MATCH(COLUMNS($AC$1006:AI1006),$AC$1006:$AS$1006,0)))),"Fix")))</f>
        <v>0</v>
      </c>
      <c r="I755" s="5">
        <f>IF(OR(INDEX($W$2:$W$1001,MATCH(ROWS($V$2:V755),$V$2:$V$1001,0),1)&gt;=100000,INDEX($AC$1005:$AS$1005,1,MATCH(COLUMNS($AC$1006:AJ1006),$AC$1006:$AS$1006,0))&gt;=100000), " ",IF(INDEX($AC$2:$AS$1001,MATCH(ROWS($V$2:V755),$V$2:$V$1001,0),MATCH(COLUMNS($AC$1006:AJ1006),$AC$1006:$AS$1006,0)), HYPERLINK("#",""), HYPERLINK(CONCATENATE("#Metadata!", ADDRESS(INDEX($X$2:$X$1001,MATCH(ROWS($V$2:V755),$V$2:$V$1001,0),0), INDEX($AC$1004:$AS$1004,1,MATCH(COLUMNS($AC$1006:AJ1006),$AC$1006:$AS$1006,0)))),"Fix")))</f>
        <v>0</v>
      </c>
      <c r="J755" s="5">
        <f>IF(OR(INDEX($W$2:$W$1001,MATCH(ROWS($V$2:V755),$V$2:$V$1001,0),1)&gt;=100000,INDEX($AC$1005:$AS$1005,1,MATCH(COLUMNS($AC$1006:AK1006),$AC$1006:$AS$1006,0))&gt;=100000), " ",IF(INDEX($AC$2:$AS$1001,MATCH(ROWS($V$2:V755),$V$2:$V$1001,0),MATCH(COLUMNS($AC$1006:AK1006),$AC$1006:$AS$1006,0)), HYPERLINK("#",""), HYPERLINK(CONCATENATE("#Metadata!", ADDRESS(INDEX($X$2:$X$1001,MATCH(ROWS($V$2:V755),$V$2:$V$1001,0),0), INDEX($AC$1004:$AS$1004,1,MATCH(COLUMNS($AC$1006:AK1006),$AC$1006:$AS$1006,0)))),"Fix")))</f>
        <v>0</v>
      </c>
      <c r="K755" s="5">
        <f>IF(OR(INDEX($W$2:$W$1001,MATCH(ROWS($V$2:V755),$V$2:$V$1001,0),1)&gt;=100000,INDEX($AC$1005:$AS$1005,1,MATCH(COLUMNS($AC$1006:AL1006),$AC$1006:$AS$1006,0))&gt;=100000), " ",IF(INDEX($AC$2:$AS$1001,MATCH(ROWS($V$2:V755),$V$2:$V$1001,0),MATCH(COLUMNS($AC$1006:AL1006),$AC$1006:$AS$1006,0)), HYPERLINK("#",""), HYPERLINK(CONCATENATE("#Metadata!", ADDRESS(INDEX($X$2:$X$1001,MATCH(ROWS($V$2:V755),$V$2:$V$1001,0),0), INDEX($AC$1004:$AS$1004,1,MATCH(COLUMNS($AC$1006:AL1006),$AC$1006:$AS$1006,0)))),"Fix")))</f>
        <v>0</v>
      </c>
      <c r="L755" s="5">
        <f>IF(OR(INDEX($W$2:$W$1001,MATCH(ROWS($V$2:V755),$V$2:$V$1001,0),1)&gt;=100000,INDEX($AC$1005:$AS$1005,1,MATCH(COLUMNS($AC$1006:AM1006),$AC$1006:$AS$1006,0))&gt;=100000), " ",IF(INDEX($AC$2:$AS$1001,MATCH(ROWS($V$2:V755),$V$2:$V$1001,0),MATCH(COLUMNS($AC$1006:AM1006),$AC$1006:$AS$1006,0)), HYPERLINK("#",""), HYPERLINK(CONCATENATE("#Metadata!", ADDRESS(INDEX($X$2:$X$1001,MATCH(ROWS($V$2:V755),$V$2:$V$1001,0),0), INDEX($AC$1004:$AS$1004,1,MATCH(COLUMNS($AC$1006:AM1006),$AC$1006:$AS$1006,0)))),"Fix")))</f>
        <v>0</v>
      </c>
      <c r="M755" s="5">
        <f>IF(OR(INDEX($W$2:$W$1001,MATCH(ROWS($V$2:V755),$V$2:$V$1001,0),1)&gt;=100000,INDEX($AC$1005:$AS$1005,1,MATCH(COLUMNS($AC$1006:AN1006),$AC$1006:$AS$1006,0))&gt;=100000), " ",IF(INDEX($AC$2:$AS$1001,MATCH(ROWS($V$2:V755),$V$2:$V$1001,0),MATCH(COLUMNS($AC$1006:AN1006),$AC$1006:$AS$1006,0)), HYPERLINK("#",""), HYPERLINK(CONCATENATE("#Metadata!", ADDRESS(INDEX($X$2:$X$1001,MATCH(ROWS($V$2:V755),$V$2:$V$1001,0),0), INDEX($AC$1004:$AS$1004,1,MATCH(COLUMNS($AC$1006:AN1006),$AC$1006:$AS$1006,0)))),"Fix")))</f>
        <v>0</v>
      </c>
      <c r="N755" s="5">
        <f>IF(OR(INDEX($W$2:$W$1001,MATCH(ROWS($V$2:V755),$V$2:$V$1001,0),1)&gt;=100000,INDEX($AC$1005:$AS$1005,1,MATCH(COLUMNS($AC$1006:AO1006),$AC$1006:$AS$1006,0))&gt;=100000), " ",IF(INDEX($AC$2:$AS$1001,MATCH(ROWS($V$2:V755),$V$2:$V$1001,0),MATCH(COLUMNS($AC$1006:AO1006),$AC$1006:$AS$1006,0)), HYPERLINK("#",""), HYPERLINK(CONCATENATE("#Metadata!", ADDRESS(INDEX($X$2:$X$1001,MATCH(ROWS($V$2:V755),$V$2:$V$1001,0),0), INDEX($AC$1004:$AS$1004,1,MATCH(COLUMNS($AC$1006:AO1006),$AC$1006:$AS$1006,0)))),"Fix")))</f>
        <v>0</v>
      </c>
      <c r="O755" s="5">
        <f>IF(OR(INDEX($W$2:$W$1001,MATCH(ROWS($V$2:V755),$V$2:$V$1001,0),1)&gt;=100000,INDEX($AC$1005:$AS$1005,1,MATCH(COLUMNS($AC$1006:AP1006),$AC$1006:$AS$1006,0))&gt;=100000), " ",IF(INDEX($AC$2:$AS$1001,MATCH(ROWS($V$2:V755),$V$2:$V$1001,0),MATCH(COLUMNS($AC$1006:AP1006),$AC$1006:$AS$1006,0)), HYPERLINK("#",""), HYPERLINK(CONCATENATE("#Metadata!", ADDRESS(INDEX($X$2:$X$1001,MATCH(ROWS($V$2:V755),$V$2:$V$1001,0),0), INDEX($AC$1004:$AS$1004,1,MATCH(COLUMNS($AC$1006:AP1006),$AC$1006:$AS$1006,0)))),"Fix")))</f>
        <v>0</v>
      </c>
      <c r="P755" s="5">
        <f>IF(OR(INDEX($W$2:$W$1001,MATCH(ROWS($V$2:V755),$V$2:$V$1001,0),1)&gt;=100000,INDEX($AC$1005:$AS$1005,1,MATCH(COLUMNS($AC$1006:AQ1006),$AC$1006:$AS$1006,0))&gt;=100000), " ",IF(INDEX($AC$2:$AS$1001,MATCH(ROWS($V$2:V755),$V$2:$V$1001,0),MATCH(COLUMNS($AC$1006:AQ1006),$AC$1006:$AS$1006,0)), HYPERLINK("#",""), HYPERLINK(CONCATENATE("#Metadata!", ADDRESS(INDEX($X$2:$X$1001,MATCH(ROWS($V$2:V755),$V$2:$V$1001,0),0), INDEX($AC$1004:$AS$1004,1,MATCH(COLUMNS($AC$1006:AQ1006),$AC$1006:$AS$1006,0)))),"Fix")))</f>
        <v>0</v>
      </c>
      <c r="Q755" s="5">
        <f>IF(OR(INDEX($W$2:$W$1001,MATCH(ROWS($V$2:V755),$V$2:$V$1001,0),1)&gt;=100000,INDEX($AC$1005:$AS$1005,1,MATCH(COLUMNS($AC$1006:AR1006),$AC$1006:$AS$1006,0))&gt;=100000), " ",IF(INDEX($AC$2:$AS$1001,MATCH(ROWS($V$2:V755),$V$2:$V$1001,0),MATCH(COLUMNS($AC$1006:AR1006),$AC$1006:$AS$1006,0)), HYPERLINK("#",""), HYPERLINK(CONCATENATE("#Metadata!", ADDRESS(INDEX($X$2:$X$1001,MATCH(ROWS($V$2:V755),$V$2:$V$1001,0),0), INDEX($AC$1004:$AS$1004,1,MATCH(COLUMNS($AC$1006:AR1006),$AC$1006:$AS$1006,0)))),"Fix")))</f>
        <v>0</v>
      </c>
      <c r="R755" s="5">
        <f>IF(OR(INDEX($W$2:$W$1001,MATCH(ROWS($V$2:V755),$V$2:$V$1001,0),1)&gt;=100000,INDEX($AC$1005:$AS$1005,1,MATCH(COLUMNS($AC$1006:AS1006),$AC$1006:$AS$1006,0))&gt;=100000), " ",IF(INDEX($AC$2:$AS$1001,MATCH(ROWS($V$2:V755),$V$2:$V$1001,0),MATCH(COLUMNS($AC$1006:AS1006),$AC$1006:$AS$1006,0)), HYPERLINK("#",""), HYPERLINK(CONCATENATE("#Metadata!", ADDRESS(INDEX($X$2:$X$1001,MATCH(ROWS($V$2:V755),$V$2:$V$1001,0),0), INDEX($AC$1004:$AS$1004,1,MATCH(COLUMNS($AC$1006:AS1006),$AC$1006:$AS$1006,0)))),"Fix")))</f>
        <v>0</v>
      </c>
      <c r="V755">
        <v>0</v>
      </c>
      <c r="W755">
        <v>0</v>
      </c>
      <c r="X755">
        <v>0</v>
      </c>
      <c r="Y755">
        <f>IF(Z755,TRUE,AND(AC755:AS755))</f>
        <v>0</v>
      </c>
      <c r="Z755">
        <f>COUNTBLANK(Metadata!B755:R755)=COLUMNS(Metadata!B755:R755)</f>
        <v>0</v>
      </c>
      <c r="AA755">
        <v>0</v>
      </c>
      <c r="AC755">
        <f>AND(IF(Metadata!B755="",FALSE,TRUE),COUNTIF(Metadata!B:B, Metadata!B755) = 1,NOT(ISERROR(SUMPRODUCT(SEARCH(MID(Metadata!B755,ROW(INDIRECT("1:"&amp;LEN(Metadata!B755))), 1),"0123456789abcdefghijklmnopqrstuvwxyzABCDEFGHIJKLMNOPQRSTUVWXYZ.")))))</f>
        <v>0</v>
      </c>
      <c r="AD755">
        <f>AND(IF(Metadata!C755="",FALSE,TRUE),exact(Metadata!C755,"Host-associated"))</f>
        <v>0</v>
      </c>
      <c r="AE755">
        <f>AND(IF(Metadata!D755="",FALSE,TRUE),OR(exact(Metadata!D755,"Animal"),exact(Metadata!D755,"Fungus"),exact(Metadata!D755,"Plant")))</f>
        <v>0</v>
      </c>
      <c r="AF755">
        <f>AND(IF(Metadata!E755="",FALSE,TRUE),OR(exact(Metadata!E755,"Plant secretion"),exact(Metadata!E755,"Plant rhizosphere"),exact(Metadata!E755,"Plant surface"),exact(Metadata!E755,"Plant corpus"),exact(Metadata!E755,"Fungus surface"),exact(Metadata!E755,"Fungus corpus"),exact(Metadata!E755,"Animal surface"),exact(Metadata!E755,"Animal proximal gut"),exact(Metadata!E755,"Animal corpus"),exact(Metadata!E755,"Animal distal gut"),exact(Metadata!E755,"Animal secretion")))</f>
        <v>0</v>
      </c>
      <c r="AG755">
        <f>OR(AND(IF(Metadata!F755="",FALSE,TRUE),OR(exact(Metadata!F755,"not collected"),exact(Metadata!F755,"not provided"),exact(Metadata!F755,"restricted access"))),AND(IF(Metadata!F755="",FALSE,TRUE),OR(exact(Metadata!F755,"organism-associated habitat"),exact(Metadata!F755,"plant-associated habitat"),exact(Metadata!F755,"animal-associated habitat"),exact(Metadata!F755,"insecta-associated habitat"),exact(Metadata!F755,"mammalia-associated habitat"),exact(Metadata!F755,"human-associated habitat"),exact(Metadata!F755,"livestock-associated habitat"))))</f>
        <v>0</v>
      </c>
      <c r="AH755">
        <f>AND(IF(Metadata!G755="",FALSE,TRUE),exact(Metadata!G755,"host-associated"))</f>
        <v>0</v>
      </c>
      <c r="AI755">
        <f>OR(AND(IF(Metadata!H755="",FALSE,TRUE),OR(exact(Metadata!H755,"not collected"),exact(Metadata!H755,"not provided"))),AND(IF(Metadata!H755="",FALSE,ISNUMBER(VALUE(Metadata!H755))),Metadata!H755&gt;0))</f>
        <v>0</v>
      </c>
      <c r="AJ755">
        <f>AND(IF(Metadata!I755="",FALSE,TRUE),exact(Metadata!I755,"years"))</f>
        <v>0</v>
      </c>
      <c r="AK755">
        <f>IF(Metadata!J755="",FALSE,TRUE)</f>
        <v>0</v>
      </c>
      <c r="AL755">
        <f>OR(AND(IF(Metadata!K755="",FALSE,TRUE),OR(exact(Metadata!K755,"not collected"),exact(Metadata!K755,"not provided"))),AND(IF(Metadata!K755="",FALSE,ISNUMBER(VALUE(Metadata!K755))),Metadata!K755&gt;0))</f>
        <v>0</v>
      </c>
      <c r="AM755">
        <f>AND(IF(Metadata!L755="",FALSE,TRUE),exact(Metadata!L755,"cm"))</f>
        <v>0</v>
      </c>
      <c r="AN755">
        <f>IF(Metadata!M755="",FALSE,TRUE)</f>
        <v>0</v>
      </c>
      <c r="AO755">
        <f>OR(AND(IF(Metadata!N755="",FALSE,TRUE),OR(exact(Metadata!N755,"not applicable"),exact(Metadata!N755,"not collected"),exact(Metadata!N755,"not provided"))),AND(IF(Metadata!N755="",FALSE,IF(ISERROR(INT(Metadata!N755)),FALSE,INT(Metadata!N755)=Metadata!N755)),Metadata!N755&gt;0))</f>
        <v>0</v>
      </c>
      <c r="AP755">
        <f>OR(AND(IF(Metadata!O755="",FALSE,TRUE),OR(exact(Metadata!O755,"not collected"),exact(Metadata!O755,"not provided"))),AND(IF(Metadata!O755="",FALSE,ISNUMBER(VALUE(Metadata!O755))),Metadata!O755&gt;0))</f>
        <v>0</v>
      </c>
      <c r="AQ755">
        <f>AND(IF(Metadata!P755="",FALSE,TRUE),exact(Metadata!P755,"kg"))</f>
        <v>0</v>
      </c>
      <c r="AR755">
        <f>OR(AND(IF(Metadata!Q755="",FALSE,TRUE),OR(exact(Metadata!Q755,"not applicable"),exact(Metadata!Q755,"not collected"),exact(Metadata!Q755,"not provided"),exact(Metadata!Q755,"restricted access"))),IF(Metadata!Q755="",FALSE,IF(ISERROR(INT(Metadata!Q755)),FALSE,INT(Metadata!Q755)=Metadata!Q755)))</f>
        <v>0</v>
      </c>
      <c r="AS755">
        <f>AND(IF(Metadata!R755="",FALSE,TRUE),exact(Metadata!R755,"Not applicable"))</f>
        <v>0</v>
      </c>
    </row>
    <row r="756" spans="1:45">
      <c r="A756" s="4">
        <f>IF(B756=" "," ",HYPERLINK(CONCATENATE("#metadata!",ADDRESS(INDEX($X$2:$X$1001,MATCH(ROWS($V$2:V756),$V$2:$V$1001,0),0),2)),INDEX($AA$2:$AA$1001,MATCH(ROWS($V$2:V756),$V$2:$V$1001,0),0)))</f>
        <v>0</v>
      </c>
      <c r="B756" s="5">
        <f>IF(OR(INDEX($W$2:$W$1001,MATCH(ROWS($V$2:V756),$V$2:$V$1001,0),1)&gt;=100000,INDEX($AC$1005:$AS$1005,1,MATCH(COLUMNS($AC$1006:AC1006),$AC$1006:$AS$1006,0))&gt;=100000), " ",IF(INDEX($AC$2:$AS$1001,MATCH(ROWS($V$2:V756),$V$2:$V$1001,0),MATCH(COLUMNS($AC$1006:AC1006),$AC$1006:$AS$1006,0)), HYPERLINK("#",""), HYPERLINK(CONCATENATE("#Metadata!", ADDRESS(INDEX($X$2:$X$1001,MATCH(ROWS($V$2:V756),$V$2:$V$1001,0),0), INDEX($AC$1004:$AS$1004,1,MATCH(COLUMNS($AC$1006:AC1006),$AC$1006:$AS$1006,0)))),"Fix")))</f>
        <v>0</v>
      </c>
      <c r="C756" s="5">
        <f>IF(OR(INDEX($W$2:$W$1001,MATCH(ROWS($V$2:V756),$V$2:$V$1001,0),1)&gt;=100000,INDEX($AC$1005:$AS$1005,1,MATCH(COLUMNS($AC$1006:AD1006),$AC$1006:$AS$1006,0))&gt;=100000), " ",IF(INDEX($AC$2:$AS$1001,MATCH(ROWS($V$2:V756),$V$2:$V$1001,0),MATCH(COLUMNS($AC$1006:AD1006),$AC$1006:$AS$1006,0)), HYPERLINK("#",""), HYPERLINK(CONCATENATE("#Metadata!", ADDRESS(INDEX($X$2:$X$1001,MATCH(ROWS($V$2:V756),$V$2:$V$1001,0),0), INDEX($AC$1004:$AS$1004,1,MATCH(COLUMNS($AC$1006:AD1006),$AC$1006:$AS$1006,0)))),"Fix")))</f>
        <v>0</v>
      </c>
      <c r="D756" s="5">
        <f>IF(OR(INDEX($W$2:$W$1001,MATCH(ROWS($V$2:V756),$V$2:$V$1001,0),1)&gt;=100000,INDEX($AC$1005:$AS$1005,1,MATCH(COLUMNS($AC$1006:AE1006),$AC$1006:$AS$1006,0))&gt;=100000), " ",IF(INDEX($AC$2:$AS$1001,MATCH(ROWS($V$2:V756),$V$2:$V$1001,0),MATCH(COLUMNS($AC$1006:AE1006),$AC$1006:$AS$1006,0)), HYPERLINK("#",""), HYPERLINK(CONCATENATE("#Metadata!", ADDRESS(INDEX($X$2:$X$1001,MATCH(ROWS($V$2:V756),$V$2:$V$1001,0),0), INDEX($AC$1004:$AS$1004,1,MATCH(COLUMNS($AC$1006:AE1006),$AC$1006:$AS$1006,0)))),"Fix")))</f>
        <v>0</v>
      </c>
      <c r="E756" s="5">
        <f>IF(OR(INDEX($W$2:$W$1001,MATCH(ROWS($V$2:V756),$V$2:$V$1001,0),1)&gt;=100000,INDEX($AC$1005:$AS$1005,1,MATCH(COLUMNS($AC$1006:AF1006),$AC$1006:$AS$1006,0))&gt;=100000), " ",IF(INDEX($AC$2:$AS$1001,MATCH(ROWS($V$2:V756),$V$2:$V$1001,0),MATCH(COLUMNS($AC$1006:AF1006),$AC$1006:$AS$1006,0)), HYPERLINK("#",""), HYPERLINK(CONCATENATE("#Metadata!", ADDRESS(INDEX($X$2:$X$1001,MATCH(ROWS($V$2:V756),$V$2:$V$1001,0),0), INDEX($AC$1004:$AS$1004,1,MATCH(COLUMNS($AC$1006:AF1006),$AC$1006:$AS$1006,0)))),"Fix")))</f>
        <v>0</v>
      </c>
      <c r="F756" s="5">
        <f>IF(OR(INDEX($W$2:$W$1001,MATCH(ROWS($V$2:V756),$V$2:$V$1001,0),1)&gt;=100000,INDEX($AC$1005:$AS$1005,1,MATCH(COLUMNS($AC$1006:AG1006),$AC$1006:$AS$1006,0))&gt;=100000), " ",IF(INDEX($AC$2:$AS$1001,MATCH(ROWS($V$2:V756),$V$2:$V$1001,0),MATCH(COLUMNS($AC$1006:AG1006),$AC$1006:$AS$1006,0)), HYPERLINK("#",""), HYPERLINK(CONCATENATE("#Metadata!", ADDRESS(INDEX($X$2:$X$1001,MATCH(ROWS($V$2:V756),$V$2:$V$1001,0),0), INDEX($AC$1004:$AS$1004,1,MATCH(COLUMNS($AC$1006:AG1006),$AC$1006:$AS$1006,0)))),"Fix")))</f>
        <v>0</v>
      </c>
      <c r="G756" s="5">
        <f>IF(OR(INDEX($W$2:$W$1001,MATCH(ROWS($V$2:V756),$V$2:$V$1001,0),1)&gt;=100000,INDEX($AC$1005:$AS$1005,1,MATCH(COLUMNS($AC$1006:AH1006),$AC$1006:$AS$1006,0))&gt;=100000), " ",IF(INDEX($AC$2:$AS$1001,MATCH(ROWS($V$2:V756),$V$2:$V$1001,0),MATCH(COLUMNS($AC$1006:AH1006),$AC$1006:$AS$1006,0)), HYPERLINK("#",""), HYPERLINK(CONCATENATE("#Metadata!", ADDRESS(INDEX($X$2:$X$1001,MATCH(ROWS($V$2:V756),$V$2:$V$1001,0),0), INDEX($AC$1004:$AS$1004,1,MATCH(COLUMNS($AC$1006:AH1006),$AC$1006:$AS$1006,0)))),"Fix")))</f>
        <v>0</v>
      </c>
      <c r="H756" s="5">
        <f>IF(OR(INDEX($W$2:$W$1001,MATCH(ROWS($V$2:V756),$V$2:$V$1001,0),1)&gt;=100000,INDEX($AC$1005:$AS$1005,1,MATCH(COLUMNS($AC$1006:AI1006),$AC$1006:$AS$1006,0))&gt;=100000), " ",IF(INDEX($AC$2:$AS$1001,MATCH(ROWS($V$2:V756),$V$2:$V$1001,0),MATCH(COLUMNS($AC$1006:AI1006),$AC$1006:$AS$1006,0)), HYPERLINK("#",""), HYPERLINK(CONCATENATE("#Metadata!", ADDRESS(INDEX($X$2:$X$1001,MATCH(ROWS($V$2:V756),$V$2:$V$1001,0),0), INDEX($AC$1004:$AS$1004,1,MATCH(COLUMNS($AC$1006:AI1006),$AC$1006:$AS$1006,0)))),"Fix")))</f>
        <v>0</v>
      </c>
      <c r="I756" s="5">
        <f>IF(OR(INDEX($W$2:$W$1001,MATCH(ROWS($V$2:V756),$V$2:$V$1001,0),1)&gt;=100000,INDEX($AC$1005:$AS$1005,1,MATCH(COLUMNS($AC$1006:AJ1006),$AC$1006:$AS$1006,0))&gt;=100000), " ",IF(INDEX($AC$2:$AS$1001,MATCH(ROWS($V$2:V756),$V$2:$V$1001,0),MATCH(COLUMNS($AC$1006:AJ1006),$AC$1006:$AS$1006,0)), HYPERLINK("#",""), HYPERLINK(CONCATENATE("#Metadata!", ADDRESS(INDEX($X$2:$X$1001,MATCH(ROWS($V$2:V756),$V$2:$V$1001,0),0), INDEX($AC$1004:$AS$1004,1,MATCH(COLUMNS($AC$1006:AJ1006),$AC$1006:$AS$1006,0)))),"Fix")))</f>
        <v>0</v>
      </c>
      <c r="J756" s="5">
        <f>IF(OR(INDEX($W$2:$W$1001,MATCH(ROWS($V$2:V756),$V$2:$V$1001,0),1)&gt;=100000,INDEX($AC$1005:$AS$1005,1,MATCH(COLUMNS($AC$1006:AK1006),$AC$1006:$AS$1006,0))&gt;=100000), " ",IF(INDEX($AC$2:$AS$1001,MATCH(ROWS($V$2:V756),$V$2:$V$1001,0),MATCH(COLUMNS($AC$1006:AK1006),$AC$1006:$AS$1006,0)), HYPERLINK("#",""), HYPERLINK(CONCATENATE("#Metadata!", ADDRESS(INDEX($X$2:$X$1001,MATCH(ROWS($V$2:V756),$V$2:$V$1001,0),0), INDEX($AC$1004:$AS$1004,1,MATCH(COLUMNS($AC$1006:AK1006),$AC$1006:$AS$1006,0)))),"Fix")))</f>
        <v>0</v>
      </c>
      <c r="K756" s="5">
        <f>IF(OR(INDEX($W$2:$W$1001,MATCH(ROWS($V$2:V756),$V$2:$V$1001,0),1)&gt;=100000,INDEX($AC$1005:$AS$1005,1,MATCH(COLUMNS($AC$1006:AL1006),$AC$1006:$AS$1006,0))&gt;=100000), " ",IF(INDEX($AC$2:$AS$1001,MATCH(ROWS($V$2:V756),$V$2:$V$1001,0),MATCH(COLUMNS($AC$1006:AL1006),$AC$1006:$AS$1006,0)), HYPERLINK("#",""), HYPERLINK(CONCATENATE("#Metadata!", ADDRESS(INDEX($X$2:$X$1001,MATCH(ROWS($V$2:V756),$V$2:$V$1001,0),0), INDEX($AC$1004:$AS$1004,1,MATCH(COLUMNS($AC$1006:AL1006),$AC$1006:$AS$1006,0)))),"Fix")))</f>
        <v>0</v>
      </c>
      <c r="L756" s="5">
        <f>IF(OR(INDEX($W$2:$W$1001,MATCH(ROWS($V$2:V756),$V$2:$V$1001,0),1)&gt;=100000,INDEX($AC$1005:$AS$1005,1,MATCH(COLUMNS($AC$1006:AM1006),$AC$1006:$AS$1006,0))&gt;=100000), " ",IF(INDEX($AC$2:$AS$1001,MATCH(ROWS($V$2:V756),$V$2:$V$1001,0),MATCH(COLUMNS($AC$1006:AM1006),$AC$1006:$AS$1006,0)), HYPERLINK("#",""), HYPERLINK(CONCATENATE("#Metadata!", ADDRESS(INDEX($X$2:$X$1001,MATCH(ROWS($V$2:V756),$V$2:$V$1001,0),0), INDEX($AC$1004:$AS$1004,1,MATCH(COLUMNS($AC$1006:AM1006),$AC$1006:$AS$1006,0)))),"Fix")))</f>
        <v>0</v>
      </c>
      <c r="M756" s="5">
        <f>IF(OR(INDEX($W$2:$W$1001,MATCH(ROWS($V$2:V756),$V$2:$V$1001,0),1)&gt;=100000,INDEX($AC$1005:$AS$1005,1,MATCH(COLUMNS($AC$1006:AN1006),$AC$1006:$AS$1006,0))&gt;=100000), " ",IF(INDEX($AC$2:$AS$1001,MATCH(ROWS($V$2:V756),$V$2:$V$1001,0),MATCH(COLUMNS($AC$1006:AN1006),$AC$1006:$AS$1006,0)), HYPERLINK("#",""), HYPERLINK(CONCATENATE("#Metadata!", ADDRESS(INDEX($X$2:$X$1001,MATCH(ROWS($V$2:V756),$V$2:$V$1001,0),0), INDEX($AC$1004:$AS$1004,1,MATCH(COLUMNS($AC$1006:AN1006),$AC$1006:$AS$1006,0)))),"Fix")))</f>
        <v>0</v>
      </c>
      <c r="N756" s="5">
        <f>IF(OR(INDEX($W$2:$W$1001,MATCH(ROWS($V$2:V756),$V$2:$V$1001,0),1)&gt;=100000,INDEX($AC$1005:$AS$1005,1,MATCH(COLUMNS($AC$1006:AO1006),$AC$1006:$AS$1006,0))&gt;=100000), " ",IF(INDEX($AC$2:$AS$1001,MATCH(ROWS($V$2:V756),$V$2:$V$1001,0),MATCH(COLUMNS($AC$1006:AO1006),$AC$1006:$AS$1006,0)), HYPERLINK("#",""), HYPERLINK(CONCATENATE("#Metadata!", ADDRESS(INDEX($X$2:$X$1001,MATCH(ROWS($V$2:V756),$V$2:$V$1001,0),0), INDEX($AC$1004:$AS$1004,1,MATCH(COLUMNS($AC$1006:AO1006),$AC$1006:$AS$1006,0)))),"Fix")))</f>
        <v>0</v>
      </c>
      <c r="O756" s="5">
        <f>IF(OR(INDEX($W$2:$W$1001,MATCH(ROWS($V$2:V756),$V$2:$V$1001,0),1)&gt;=100000,INDEX($AC$1005:$AS$1005,1,MATCH(COLUMNS($AC$1006:AP1006),$AC$1006:$AS$1006,0))&gt;=100000), " ",IF(INDEX($AC$2:$AS$1001,MATCH(ROWS($V$2:V756),$V$2:$V$1001,0),MATCH(COLUMNS($AC$1006:AP1006),$AC$1006:$AS$1006,0)), HYPERLINK("#",""), HYPERLINK(CONCATENATE("#Metadata!", ADDRESS(INDEX($X$2:$X$1001,MATCH(ROWS($V$2:V756),$V$2:$V$1001,0),0), INDEX($AC$1004:$AS$1004,1,MATCH(COLUMNS($AC$1006:AP1006),$AC$1006:$AS$1006,0)))),"Fix")))</f>
        <v>0</v>
      </c>
      <c r="P756" s="5">
        <f>IF(OR(INDEX($W$2:$W$1001,MATCH(ROWS($V$2:V756),$V$2:$V$1001,0),1)&gt;=100000,INDEX($AC$1005:$AS$1005,1,MATCH(COLUMNS($AC$1006:AQ1006),$AC$1006:$AS$1006,0))&gt;=100000), " ",IF(INDEX($AC$2:$AS$1001,MATCH(ROWS($V$2:V756),$V$2:$V$1001,0),MATCH(COLUMNS($AC$1006:AQ1006),$AC$1006:$AS$1006,0)), HYPERLINK("#",""), HYPERLINK(CONCATENATE("#Metadata!", ADDRESS(INDEX($X$2:$X$1001,MATCH(ROWS($V$2:V756),$V$2:$V$1001,0),0), INDEX($AC$1004:$AS$1004,1,MATCH(COLUMNS($AC$1006:AQ1006),$AC$1006:$AS$1006,0)))),"Fix")))</f>
        <v>0</v>
      </c>
      <c r="Q756" s="5">
        <f>IF(OR(INDEX($W$2:$W$1001,MATCH(ROWS($V$2:V756),$V$2:$V$1001,0),1)&gt;=100000,INDEX($AC$1005:$AS$1005,1,MATCH(COLUMNS($AC$1006:AR1006),$AC$1006:$AS$1006,0))&gt;=100000), " ",IF(INDEX($AC$2:$AS$1001,MATCH(ROWS($V$2:V756),$V$2:$V$1001,0),MATCH(COLUMNS($AC$1006:AR1006),$AC$1006:$AS$1006,0)), HYPERLINK("#",""), HYPERLINK(CONCATENATE("#Metadata!", ADDRESS(INDEX($X$2:$X$1001,MATCH(ROWS($V$2:V756),$V$2:$V$1001,0),0), INDEX($AC$1004:$AS$1004,1,MATCH(COLUMNS($AC$1006:AR1006),$AC$1006:$AS$1006,0)))),"Fix")))</f>
        <v>0</v>
      </c>
      <c r="R756" s="5">
        <f>IF(OR(INDEX($W$2:$W$1001,MATCH(ROWS($V$2:V756),$V$2:$V$1001,0),1)&gt;=100000,INDEX($AC$1005:$AS$1005,1,MATCH(COLUMNS($AC$1006:AS1006),$AC$1006:$AS$1006,0))&gt;=100000), " ",IF(INDEX($AC$2:$AS$1001,MATCH(ROWS($V$2:V756),$V$2:$V$1001,0),MATCH(COLUMNS($AC$1006:AS1006),$AC$1006:$AS$1006,0)), HYPERLINK("#",""), HYPERLINK(CONCATENATE("#Metadata!", ADDRESS(INDEX($X$2:$X$1001,MATCH(ROWS($V$2:V756),$V$2:$V$1001,0),0), INDEX($AC$1004:$AS$1004,1,MATCH(COLUMNS($AC$1006:AS1006),$AC$1006:$AS$1006,0)))),"Fix")))</f>
        <v>0</v>
      </c>
      <c r="V756">
        <v>0</v>
      </c>
      <c r="W756">
        <v>0</v>
      </c>
      <c r="X756">
        <v>0</v>
      </c>
      <c r="Y756">
        <f>IF(Z756,TRUE,AND(AC756:AS756))</f>
        <v>0</v>
      </c>
      <c r="Z756">
        <f>COUNTBLANK(Metadata!B756:R756)=COLUMNS(Metadata!B756:R756)</f>
        <v>0</v>
      </c>
      <c r="AA756">
        <v>0</v>
      </c>
      <c r="AC756">
        <f>AND(IF(Metadata!B756="",FALSE,TRUE),COUNTIF(Metadata!B:B, Metadata!B756) = 1,NOT(ISERROR(SUMPRODUCT(SEARCH(MID(Metadata!B756,ROW(INDIRECT("1:"&amp;LEN(Metadata!B756))), 1),"0123456789abcdefghijklmnopqrstuvwxyzABCDEFGHIJKLMNOPQRSTUVWXYZ.")))))</f>
        <v>0</v>
      </c>
      <c r="AD756">
        <f>AND(IF(Metadata!C756="",FALSE,TRUE),exact(Metadata!C756,"Host-associated"))</f>
        <v>0</v>
      </c>
      <c r="AE756">
        <f>AND(IF(Metadata!D756="",FALSE,TRUE),OR(exact(Metadata!D756,"Animal"),exact(Metadata!D756,"Fungus"),exact(Metadata!D756,"Plant")))</f>
        <v>0</v>
      </c>
      <c r="AF756">
        <f>AND(IF(Metadata!E756="",FALSE,TRUE),OR(exact(Metadata!E756,"Plant secretion"),exact(Metadata!E756,"Plant rhizosphere"),exact(Metadata!E756,"Plant surface"),exact(Metadata!E756,"Plant corpus"),exact(Metadata!E756,"Fungus surface"),exact(Metadata!E756,"Fungus corpus"),exact(Metadata!E756,"Animal surface"),exact(Metadata!E756,"Animal proximal gut"),exact(Metadata!E756,"Animal corpus"),exact(Metadata!E756,"Animal distal gut"),exact(Metadata!E756,"Animal secretion")))</f>
        <v>0</v>
      </c>
      <c r="AG756">
        <f>OR(AND(IF(Metadata!F756="",FALSE,TRUE),OR(exact(Metadata!F756,"not collected"),exact(Metadata!F756,"not provided"),exact(Metadata!F756,"restricted access"))),AND(IF(Metadata!F756="",FALSE,TRUE),OR(exact(Metadata!F756,"organism-associated habitat"),exact(Metadata!F756,"plant-associated habitat"),exact(Metadata!F756,"animal-associated habitat"),exact(Metadata!F756,"insecta-associated habitat"),exact(Metadata!F756,"mammalia-associated habitat"),exact(Metadata!F756,"human-associated habitat"),exact(Metadata!F756,"livestock-associated habitat"))))</f>
        <v>0</v>
      </c>
      <c r="AH756">
        <f>AND(IF(Metadata!G756="",FALSE,TRUE),exact(Metadata!G756,"host-associated"))</f>
        <v>0</v>
      </c>
      <c r="AI756">
        <f>OR(AND(IF(Metadata!H756="",FALSE,TRUE),OR(exact(Metadata!H756,"not collected"),exact(Metadata!H756,"not provided"))),AND(IF(Metadata!H756="",FALSE,ISNUMBER(VALUE(Metadata!H756))),Metadata!H756&gt;0))</f>
        <v>0</v>
      </c>
      <c r="AJ756">
        <f>AND(IF(Metadata!I756="",FALSE,TRUE),exact(Metadata!I756,"years"))</f>
        <v>0</v>
      </c>
      <c r="AK756">
        <f>IF(Metadata!J756="",FALSE,TRUE)</f>
        <v>0</v>
      </c>
      <c r="AL756">
        <f>OR(AND(IF(Metadata!K756="",FALSE,TRUE),OR(exact(Metadata!K756,"not collected"),exact(Metadata!K756,"not provided"))),AND(IF(Metadata!K756="",FALSE,ISNUMBER(VALUE(Metadata!K756))),Metadata!K756&gt;0))</f>
        <v>0</v>
      </c>
      <c r="AM756">
        <f>AND(IF(Metadata!L756="",FALSE,TRUE),exact(Metadata!L756,"cm"))</f>
        <v>0</v>
      </c>
      <c r="AN756">
        <f>IF(Metadata!M756="",FALSE,TRUE)</f>
        <v>0</v>
      </c>
      <c r="AO756">
        <f>OR(AND(IF(Metadata!N756="",FALSE,TRUE),OR(exact(Metadata!N756,"not applicable"),exact(Metadata!N756,"not collected"),exact(Metadata!N756,"not provided"))),AND(IF(Metadata!N756="",FALSE,IF(ISERROR(INT(Metadata!N756)),FALSE,INT(Metadata!N756)=Metadata!N756)),Metadata!N756&gt;0))</f>
        <v>0</v>
      </c>
      <c r="AP756">
        <f>OR(AND(IF(Metadata!O756="",FALSE,TRUE),OR(exact(Metadata!O756,"not collected"),exact(Metadata!O756,"not provided"))),AND(IF(Metadata!O756="",FALSE,ISNUMBER(VALUE(Metadata!O756))),Metadata!O756&gt;0))</f>
        <v>0</v>
      </c>
      <c r="AQ756">
        <f>AND(IF(Metadata!P756="",FALSE,TRUE),exact(Metadata!P756,"kg"))</f>
        <v>0</v>
      </c>
      <c r="AR756">
        <f>OR(AND(IF(Metadata!Q756="",FALSE,TRUE),OR(exact(Metadata!Q756,"not applicable"),exact(Metadata!Q756,"not collected"),exact(Metadata!Q756,"not provided"),exact(Metadata!Q756,"restricted access"))),IF(Metadata!Q756="",FALSE,IF(ISERROR(INT(Metadata!Q756)),FALSE,INT(Metadata!Q756)=Metadata!Q756)))</f>
        <v>0</v>
      </c>
      <c r="AS756">
        <f>AND(IF(Metadata!R756="",FALSE,TRUE),exact(Metadata!R756,"Not applicable"))</f>
        <v>0</v>
      </c>
    </row>
    <row r="757" spans="1:45">
      <c r="A757" s="4">
        <f>IF(B757=" "," ",HYPERLINK(CONCATENATE("#metadata!",ADDRESS(INDEX($X$2:$X$1001,MATCH(ROWS($V$2:V757),$V$2:$V$1001,0),0),2)),INDEX($AA$2:$AA$1001,MATCH(ROWS($V$2:V757),$V$2:$V$1001,0),0)))</f>
        <v>0</v>
      </c>
      <c r="B757" s="5">
        <f>IF(OR(INDEX($W$2:$W$1001,MATCH(ROWS($V$2:V757),$V$2:$V$1001,0),1)&gt;=100000,INDEX($AC$1005:$AS$1005,1,MATCH(COLUMNS($AC$1006:AC1006),$AC$1006:$AS$1006,0))&gt;=100000), " ",IF(INDEX($AC$2:$AS$1001,MATCH(ROWS($V$2:V757),$V$2:$V$1001,0),MATCH(COLUMNS($AC$1006:AC1006),$AC$1006:$AS$1006,0)), HYPERLINK("#",""), HYPERLINK(CONCATENATE("#Metadata!", ADDRESS(INDEX($X$2:$X$1001,MATCH(ROWS($V$2:V757),$V$2:$V$1001,0),0), INDEX($AC$1004:$AS$1004,1,MATCH(COLUMNS($AC$1006:AC1006),$AC$1006:$AS$1006,0)))),"Fix")))</f>
        <v>0</v>
      </c>
      <c r="C757" s="5">
        <f>IF(OR(INDEX($W$2:$W$1001,MATCH(ROWS($V$2:V757),$V$2:$V$1001,0),1)&gt;=100000,INDEX($AC$1005:$AS$1005,1,MATCH(COLUMNS($AC$1006:AD1006),$AC$1006:$AS$1006,0))&gt;=100000), " ",IF(INDEX($AC$2:$AS$1001,MATCH(ROWS($V$2:V757),$V$2:$V$1001,0),MATCH(COLUMNS($AC$1006:AD1006),$AC$1006:$AS$1006,0)), HYPERLINK("#",""), HYPERLINK(CONCATENATE("#Metadata!", ADDRESS(INDEX($X$2:$X$1001,MATCH(ROWS($V$2:V757),$V$2:$V$1001,0),0), INDEX($AC$1004:$AS$1004,1,MATCH(COLUMNS($AC$1006:AD1006),$AC$1006:$AS$1006,0)))),"Fix")))</f>
        <v>0</v>
      </c>
      <c r="D757" s="5">
        <f>IF(OR(INDEX($W$2:$W$1001,MATCH(ROWS($V$2:V757),$V$2:$V$1001,0),1)&gt;=100000,INDEX($AC$1005:$AS$1005,1,MATCH(COLUMNS($AC$1006:AE1006),$AC$1006:$AS$1006,0))&gt;=100000), " ",IF(INDEX($AC$2:$AS$1001,MATCH(ROWS($V$2:V757),$V$2:$V$1001,0),MATCH(COLUMNS($AC$1006:AE1006),$AC$1006:$AS$1006,0)), HYPERLINK("#",""), HYPERLINK(CONCATENATE("#Metadata!", ADDRESS(INDEX($X$2:$X$1001,MATCH(ROWS($V$2:V757),$V$2:$V$1001,0),0), INDEX($AC$1004:$AS$1004,1,MATCH(COLUMNS($AC$1006:AE1006),$AC$1006:$AS$1006,0)))),"Fix")))</f>
        <v>0</v>
      </c>
      <c r="E757" s="5">
        <f>IF(OR(INDEX($W$2:$W$1001,MATCH(ROWS($V$2:V757),$V$2:$V$1001,0),1)&gt;=100000,INDEX($AC$1005:$AS$1005,1,MATCH(COLUMNS($AC$1006:AF1006),$AC$1006:$AS$1006,0))&gt;=100000), " ",IF(INDEX($AC$2:$AS$1001,MATCH(ROWS($V$2:V757),$V$2:$V$1001,0),MATCH(COLUMNS($AC$1006:AF1006),$AC$1006:$AS$1006,0)), HYPERLINK("#",""), HYPERLINK(CONCATENATE("#Metadata!", ADDRESS(INDEX($X$2:$X$1001,MATCH(ROWS($V$2:V757),$V$2:$V$1001,0),0), INDEX($AC$1004:$AS$1004,1,MATCH(COLUMNS($AC$1006:AF1006),$AC$1006:$AS$1006,0)))),"Fix")))</f>
        <v>0</v>
      </c>
      <c r="F757" s="5">
        <f>IF(OR(INDEX($W$2:$W$1001,MATCH(ROWS($V$2:V757),$V$2:$V$1001,0),1)&gt;=100000,INDEX($AC$1005:$AS$1005,1,MATCH(COLUMNS($AC$1006:AG1006),$AC$1006:$AS$1006,0))&gt;=100000), " ",IF(INDEX($AC$2:$AS$1001,MATCH(ROWS($V$2:V757),$V$2:$V$1001,0),MATCH(COLUMNS($AC$1006:AG1006),$AC$1006:$AS$1006,0)), HYPERLINK("#",""), HYPERLINK(CONCATENATE("#Metadata!", ADDRESS(INDEX($X$2:$X$1001,MATCH(ROWS($V$2:V757),$V$2:$V$1001,0),0), INDEX($AC$1004:$AS$1004,1,MATCH(COLUMNS($AC$1006:AG1006),$AC$1006:$AS$1006,0)))),"Fix")))</f>
        <v>0</v>
      </c>
      <c r="G757" s="5">
        <f>IF(OR(INDEX($W$2:$W$1001,MATCH(ROWS($V$2:V757),$V$2:$V$1001,0),1)&gt;=100000,INDEX($AC$1005:$AS$1005,1,MATCH(COLUMNS($AC$1006:AH1006),$AC$1006:$AS$1006,0))&gt;=100000), " ",IF(INDEX($AC$2:$AS$1001,MATCH(ROWS($V$2:V757),$V$2:$V$1001,0),MATCH(COLUMNS($AC$1006:AH1006),$AC$1006:$AS$1006,0)), HYPERLINK("#",""), HYPERLINK(CONCATENATE("#Metadata!", ADDRESS(INDEX($X$2:$X$1001,MATCH(ROWS($V$2:V757),$V$2:$V$1001,0),0), INDEX($AC$1004:$AS$1004,1,MATCH(COLUMNS($AC$1006:AH1006),$AC$1006:$AS$1006,0)))),"Fix")))</f>
        <v>0</v>
      </c>
      <c r="H757" s="5">
        <f>IF(OR(INDEX($W$2:$W$1001,MATCH(ROWS($V$2:V757),$V$2:$V$1001,0),1)&gt;=100000,INDEX($AC$1005:$AS$1005,1,MATCH(COLUMNS($AC$1006:AI1006),$AC$1006:$AS$1006,0))&gt;=100000), " ",IF(INDEX($AC$2:$AS$1001,MATCH(ROWS($V$2:V757),$V$2:$V$1001,0),MATCH(COLUMNS($AC$1006:AI1006),$AC$1006:$AS$1006,0)), HYPERLINK("#",""), HYPERLINK(CONCATENATE("#Metadata!", ADDRESS(INDEX($X$2:$X$1001,MATCH(ROWS($V$2:V757),$V$2:$V$1001,0),0), INDEX($AC$1004:$AS$1004,1,MATCH(COLUMNS($AC$1006:AI1006),$AC$1006:$AS$1006,0)))),"Fix")))</f>
        <v>0</v>
      </c>
      <c r="I757" s="5">
        <f>IF(OR(INDEX($W$2:$W$1001,MATCH(ROWS($V$2:V757),$V$2:$V$1001,0),1)&gt;=100000,INDEX($AC$1005:$AS$1005,1,MATCH(COLUMNS($AC$1006:AJ1006),$AC$1006:$AS$1006,0))&gt;=100000), " ",IF(INDEX($AC$2:$AS$1001,MATCH(ROWS($V$2:V757),$V$2:$V$1001,0),MATCH(COLUMNS($AC$1006:AJ1006),$AC$1006:$AS$1006,0)), HYPERLINK("#",""), HYPERLINK(CONCATENATE("#Metadata!", ADDRESS(INDEX($X$2:$X$1001,MATCH(ROWS($V$2:V757),$V$2:$V$1001,0),0), INDEX($AC$1004:$AS$1004,1,MATCH(COLUMNS($AC$1006:AJ1006),$AC$1006:$AS$1006,0)))),"Fix")))</f>
        <v>0</v>
      </c>
      <c r="J757" s="5">
        <f>IF(OR(INDEX($W$2:$W$1001,MATCH(ROWS($V$2:V757),$V$2:$V$1001,0),1)&gt;=100000,INDEX($AC$1005:$AS$1005,1,MATCH(COLUMNS($AC$1006:AK1006),$AC$1006:$AS$1006,0))&gt;=100000), " ",IF(INDEX($AC$2:$AS$1001,MATCH(ROWS($V$2:V757),$V$2:$V$1001,0),MATCH(COLUMNS($AC$1006:AK1006),$AC$1006:$AS$1006,0)), HYPERLINK("#",""), HYPERLINK(CONCATENATE("#Metadata!", ADDRESS(INDEX($X$2:$X$1001,MATCH(ROWS($V$2:V757),$V$2:$V$1001,0),0), INDEX($AC$1004:$AS$1004,1,MATCH(COLUMNS($AC$1006:AK1006),$AC$1006:$AS$1006,0)))),"Fix")))</f>
        <v>0</v>
      </c>
      <c r="K757" s="5">
        <f>IF(OR(INDEX($W$2:$W$1001,MATCH(ROWS($V$2:V757),$V$2:$V$1001,0),1)&gt;=100000,INDEX($AC$1005:$AS$1005,1,MATCH(COLUMNS($AC$1006:AL1006),$AC$1006:$AS$1006,0))&gt;=100000), " ",IF(INDEX($AC$2:$AS$1001,MATCH(ROWS($V$2:V757),$V$2:$V$1001,0),MATCH(COLUMNS($AC$1006:AL1006),$AC$1006:$AS$1006,0)), HYPERLINK("#",""), HYPERLINK(CONCATENATE("#Metadata!", ADDRESS(INDEX($X$2:$X$1001,MATCH(ROWS($V$2:V757),$V$2:$V$1001,0),0), INDEX($AC$1004:$AS$1004,1,MATCH(COLUMNS($AC$1006:AL1006),$AC$1006:$AS$1006,0)))),"Fix")))</f>
        <v>0</v>
      </c>
      <c r="L757" s="5">
        <f>IF(OR(INDEX($W$2:$W$1001,MATCH(ROWS($V$2:V757),$V$2:$V$1001,0),1)&gt;=100000,INDEX($AC$1005:$AS$1005,1,MATCH(COLUMNS($AC$1006:AM1006),$AC$1006:$AS$1006,0))&gt;=100000), " ",IF(INDEX($AC$2:$AS$1001,MATCH(ROWS($V$2:V757),$V$2:$V$1001,0),MATCH(COLUMNS($AC$1006:AM1006),$AC$1006:$AS$1006,0)), HYPERLINK("#",""), HYPERLINK(CONCATENATE("#Metadata!", ADDRESS(INDEX($X$2:$X$1001,MATCH(ROWS($V$2:V757),$V$2:$V$1001,0),0), INDEX($AC$1004:$AS$1004,1,MATCH(COLUMNS($AC$1006:AM1006),$AC$1006:$AS$1006,0)))),"Fix")))</f>
        <v>0</v>
      </c>
      <c r="M757" s="5">
        <f>IF(OR(INDEX($W$2:$W$1001,MATCH(ROWS($V$2:V757),$V$2:$V$1001,0),1)&gt;=100000,INDEX($AC$1005:$AS$1005,1,MATCH(COLUMNS($AC$1006:AN1006),$AC$1006:$AS$1006,0))&gt;=100000), " ",IF(INDEX($AC$2:$AS$1001,MATCH(ROWS($V$2:V757),$V$2:$V$1001,0),MATCH(COLUMNS($AC$1006:AN1006),$AC$1006:$AS$1006,0)), HYPERLINK("#",""), HYPERLINK(CONCATENATE("#Metadata!", ADDRESS(INDEX($X$2:$X$1001,MATCH(ROWS($V$2:V757),$V$2:$V$1001,0),0), INDEX($AC$1004:$AS$1004,1,MATCH(COLUMNS($AC$1006:AN1006),$AC$1006:$AS$1006,0)))),"Fix")))</f>
        <v>0</v>
      </c>
      <c r="N757" s="5">
        <f>IF(OR(INDEX($W$2:$W$1001,MATCH(ROWS($V$2:V757),$V$2:$V$1001,0),1)&gt;=100000,INDEX($AC$1005:$AS$1005,1,MATCH(COLUMNS($AC$1006:AO1006),$AC$1006:$AS$1006,0))&gt;=100000), " ",IF(INDEX($AC$2:$AS$1001,MATCH(ROWS($V$2:V757),$V$2:$V$1001,0),MATCH(COLUMNS($AC$1006:AO1006),$AC$1006:$AS$1006,0)), HYPERLINK("#",""), HYPERLINK(CONCATENATE("#Metadata!", ADDRESS(INDEX($X$2:$X$1001,MATCH(ROWS($V$2:V757),$V$2:$V$1001,0),0), INDEX($AC$1004:$AS$1004,1,MATCH(COLUMNS($AC$1006:AO1006),$AC$1006:$AS$1006,0)))),"Fix")))</f>
        <v>0</v>
      </c>
      <c r="O757" s="5">
        <f>IF(OR(INDEX($W$2:$W$1001,MATCH(ROWS($V$2:V757),$V$2:$V$1001,0),1)&gt;=100000,INDEX($AC$1005:$AS$1005,1,MATCH(COLUMNS($AC$1006:AP1006),$AC$1006:$AS$1006,0))&gt;=100000), " ",IF(INDEX($AC$2:$AS$1001,MATCH(ROWS($V$2:V757),$V$2:$V$1001,0),MATCH(COLUMNS($AC$1006:AP1006),$AC$1006:$AS$1006,0)), HYPERLINK("#",""), HYPERLINK(CONCATENATE("#Metadata!", ADDRESS(INDEX($X$2:$X$1001,MATCH(ROWS($V$2:V757),$V$2:$V$1001,0),0), INDEX($AC$1004:$AS$1004,1,MATCH(COLUMNS($AC$1006:AP1006),$AC$1006:$AS$1006,0)))),"Fix")))</f>
        <v>0</v>
      </c>
      <c r="P757" s="5">
        <f>IF(OR(INDEX($W$2:$W$1001,MATCH(ROWS($V$2:V757),$V$2:$V$1001,0),1)&gt;=100000,INDEX($AC$1005:$AS$1005,1,MATCH(COLUMNS($AC$1006:AQ1006),$AC$1006:$AS$1006,0))&gt;=100000), " ",IF(INDEX($AC$2:$AS$1001,MATCH(ROWS($V$2:V757),$V$2:$V$1001,0),MATCH(COLUMNS($AC$1006:AQ1006),$AC$1006:$AS$1006,0)), HYPERLINK("#",""), HYPERLINK(CONCATENATE("#Metadata!", ADDRESS(INDEX($X$2:$X$1001,MATCH(ROWS($V$2:V757),$V$2:$V$1001,0),0), INDEX($AC$1004:$AS$1004,1,MATCH(COLUMNS($AC$1006:AQ1006),$AC$1006:$AS$1006,0)))),"Fix")))</f>
        <v>0</v>
      </c>
      <c r="Q757" s="5">
        <f>IF(OR(INDEX($W$2:$W$1001,MATCH(ROWS($V$2:V757),$V$2:$V$1001,0),1)&gt;=100000,INDEX($AC$1005:$AS$1005,1,MATCH(COLUMNS($AC$1006:AR1006),$AC$1006:$AS$1006,0))&gt;=100000), " ",IF(INDEX($AC$2:$AS$1001,MATCH(ROWS($V$2:V757),$V$2:$V$1001,0),MATCH(COLUMNS($AC$1006:AR1006),$AC$1006:$AS$1006,0)), HYPERLINK("#",""), HYPERLINK(CONCATENATE("#Metadata!", ADDRESS(INDEX($X$2:$X$1001,MATCH(ROWS($V$2:V757),$V$2:$V$1001,0),0), INDEX($AC$1004:$AS$1004,1,MATCH(COLUMNS($AC$1006:AR1006),$AC$1006:$AS$1006,0)))),"Fix")))</f>
        <v>0</v>
      </c>
      <c r="R757" s="5">
        <f>IF(OR(INDEX($W$2:$W$1001,MATCH(ROWS($V$2:V757),$V$2:$V$1001,0),1)&gt;=100000,INDEX($AC$1005:$AS$1005,1,MATCH(COLUMNS($AC$1006:AS1006),$AC$1006:$AS$1006,0))&gt;=100000), " ",IF(INDEX($AC$2:$AS$1001,MATCH(ROWS($V$2:V757),$V$2:$V$1001,0),MATCH(COLUMNS($AC$1006:AS1006),$AC$1006:$AS$1006,0)), HYPERLINK("#",""), HYPERLINK(CONCATENATE("#Metadata!", ADDRESS(INDEX($X$2:$X$1001,MATCH(ROWS($V$2:V757),$V$2:$V$1001,0),0), INDEX($AC$1004:$AS$1004,1,MATCH(COLUMNS($AC$1006:AS1006),$AC$1006:$AS$1006,0)))),"Fix")))</f>
        <v>0</v>
      </c>
      <c r="V757">
        <v>0</v>
      </c>
      <c r="W757">
        <v>0</v>
      </c>
      <c r="X757">
        <v>0</v>
      </c>
      <c r="Y757">
        <f>IF(Z757,TRUE,AND(AC757:AS757))</f>
        <v>0</v>
      </c>
      <c r="Z757">
        <f>COUNTBLANK(Metadata!B757:R757)=COLUMNS(Metadata!B757:R757)</f>
        <v>0</v>
      </c>
      <c r="AA757">
        <v>0</v>
      </c>
      <c r="AC757">
        <f>AND(IF(Metadata!B757="",FALSE,TRUE),COUNTIF(Metadata!B:B, Metadata!B757) = 1,NOT(ISERROR(SUMPRODUCT(SEARCH(MID(Metadata!B757,ROW(INDIRECT("1:"&amp;LEN(Metadata!B757))), 1),"0123456789abcdefghijklmnopqrstuvwxyzABCDEFGHIJKLMNOPQRSTUVWXYZ.")))))</f>
        <v>0</v>
      </c>
      <c r="AD757">
        <f>AND(IF(Metadata!C757="",FALSE,TRUE),exact(Metadata!C757,"Host-associated"))</f>
        <v>0</v>
      </c>
      <c r="AE757">
        <f>AND(IF(Metadata!D757="",FALSE,TRUE),OR(exact(Metadata!D757,"Animal"),exact(Metadata!D757,"Fungus"),exact(Metadata!D757,"Plant")))</f>
        <v>0</v>
      </c>
      <c r="AF757">
        <f>AND(IF(Metadata!E757="",FALSE,TRUE),OR(exact(Metadata!E757,"Plant secretion"),exact(Metadata!E757,"Plant rhizosphere"),exact(Metadata!E757,"Plant surface"),exact(Metadata!E757,"Plant corpus"),exact(Metadata!E757,"Fungus surface"),exact(Metadata!E757,"Fungus corpus"),exact(Metadata!E757,"Animal surface"),exact(Metadata!E757,"Animal proximal gut"),exact(Metadata!E757,"Animal corpus"),exact(Metadata!E757,"Animal distal gut"),exact(Metadata!E757,"Animal secretion")))</f>
        <v>0</v>
      </c>
      <c r="AG757">
        <f>OR(AND(IF(Metadata!F757="",FALSE,TRUE),OR(exact(Metadata!F757,"not collected"),exact(Metadata!F757,"not provided"),exact(Metadata!F757,"restricted access"))),AND(IF(Metadata!F757="",FALSE,TRUE),OR(exact(Metadata!F757,"organism-associated habitat"),exact(Metadata!F757,"plant-associated habitat"),exact(Metadata!F757,"animal-associated habitat"),exact(Metadata!F757,"insecta-associated habitat"),exact(Metadata!F757,"mammalia-associated habitat"),exact(Metadata!F757,"human-associated habitat"),exact(Metadata!F757,"livestock-associated habitat"))))</f>
        <v>0</v>
      </c>
      <c r="AH757">
        <f>AND(IF(Metadata!G757="",FALSE,TRUE),exact(Metadata!G757,"host-associated"))</f>
        <v>0</v>
      </c>
      <c r="AI757">
        <f>OR(AND(IF(Metadata!H757="",FALSE,TRUE),OR(exact(Metadata!H757,"not collected"),exact(Metadata!H757,"not provided"))),AND(IF(Metadata!H757="",FALSE,ISNUMBER(VALUE(Metadata!H757))),Metadata!H757&gt;0))</f>
        <v>0</v>
      </c>
      <c r="AJ757">
        <f>AND(IF(Metadata!I757="",FALSE,TRUE),exact(Metadata!I757,"years"))</f>
        <v>0</v>
      </c>
      <c r="AK757">
        <f>IF(Metadata!J757="",FALSE,TRUE)</f>
        <v>0</v>
      </c>
      <c r="AL757">
        <f>OR(AND(IF(Metadata!K757="",FALSE,TRUE),OR(exact(Metadata!K757,"not collected"),exact(Metadata!K757,"not provided"))),AND(IF(Metadata!K757="",FALSE,ISNUMBER(VALUE(Metadata!K757))),Metadata!K757&gt;0))</f>
        <v>0</v>
      </c>
      <c r="AM757">
        <f>AND(IF(Metadata!L757="",FALSE,TRUE),exact(Metadata!L757,"cm"))</f>
        <v>0</v>
      </c>
      <c r="AN757">
        <f>IF(Metadata!M757="",FALSE,TRUE)</f>
        <v>0</v>
      </c>
      <c r="AO757">
        <f>OR(AND(IF(Metadata!N757="",FALSE,TRUE),OR(exact(Metadata!N757,"not applicable"),exact(Metadata!N757,"not collected"),exact(Metadata!N757,"not provided"))),AND(IF(Metadata!N757="",FALSE,IF(ISERROR(INT(Metadata!N757)),FALSE,INT(Metadata!N757)=Metadata!N757)),Metadata!N757&gt;0))</f>
        <v>0</v>
      </c>
      <c r="AP757">
        <f>OR(AND(IF(Metadata!O757="",FALSE,TRUE),OR(exact(Metadata!O757,"not collected"),exact(Metadata!O757,"not provided"))),AND(IF(Metadata!O757="",FALSE,ISNUMBER(VALUE(Metadata!O757))),Metadata!O757&gt;0))</f>
        <v>0</v>
      </c>
      <c r="AQ757">
        <f>AND(IF(Metadata!P757="",FALSE,TRUE),exact(Metadata!P757,"kg"))</f>
        <v>0</v>
      </c>
      <c r="AR757">
        <f>OR(AND(IF(Metadata!Q757="",FALSE,TRUE),OR(exact(Metadata!Q757,"not applicable"),exact(Metadata!Q757,"not collected"),exact(Metadata!Q757,"not provided"),exact(Metadata!Q757,"restricted access"))),IF(Metadata!Q757="",FALSE,IF(ISERROR(INT(Metadata!Q757)),FALSE,INT(Metadata!Q757)=Metadata!Q757)))</f>
        <v>0</v>
      </c>
      <c r="AS757">
        <f>AND(IF(Metadata!R757="",FALSE,TRUE),exact(Metadata!R757,"Not applicable"))</f>
        <v>0</v>
      </c>
    </row>
    <row r="758" spans="1:45">
      <c r="A758" s="4">
        <f>IF(B758=" "," ",HYPERLINK(CONCATENATE("#metadata!",ADDRESS(INDEX($X$2:$X$1001,MATCH(ROWS($V$2:V758),$V$2:$V$1001,0),0),2)),INDEX($AA$2:$AA$1001,MATCH(ROWS($V$2:V758),$V$2:$V$1001,0),0)))</f>
        <v>0</v>
      </c>
      <c r="B758" s="5">
        <f>IF(OR(INDEX($W$2:$W$1001,MATCH(ROWS($V$2:V758),$V$2:$V$1001,0),1)&gt;=100000,INDEX($AC$1005:$AS$1005,1,MATCH(COLUMNS($AC$1006:AC1006),$AC$1006:$AS$1006,0))&gt;=100000), " ",IF(INDEX($AC$2:$AS$1001,MATCH(ROWS($V$2:V758),$V$2:$V$1001,0),MATCH(COLUMNS($AC$1006:AC1006),$AC$1006:$AS$1006,0)), HYPERLINK("#",""), HYPERLINK(CONCATENATE("#Metadata!", ADDRESS(INDEX($X$2:$X$1001,MATCH(ROWS($V$2:V758),$V$2:$V$1001,0),0), INDEX($AC$1004:$AS$1004,1,MATCH(COLUMNS($AC$1006:AC1006),$AC$1006:$AS$1006,0)))),"Fix")))</f>
        <v>0</v>
      </c>
      <c r="C758" s="5">
        <f>IF(OR(INDEX($W$2:$W$1001,MATCH(ROWS($V$2:V758),$V$2:$V$1001,0),1)&gt;=100000,INDEX($AC$1005:$AS$1005,1,MATCH(COLUMNS($AC$1006:AD1006),$AC$1006:$AS$1006,0))&gt;=100000), " ",IF(INDEX($AC$2:$AS$1001,MATCH(ROWS($V$2:V758),$V$2:$V$1001,0),MATCH(COLUMNS($AC$1006:AD1006),$AC$1006:$AS$1006,0)), HYPERLINK("#",""), HYPERLINK(CONCATENATE("#Metadata!", ADDRESS(INDEX($X$2:$X$1001,MATCH(ROWS($V$2:V758),$V$2:$V$1001,0),0), INDEX($AC$1004:$AS$1004,1,MATCH(COLUMNS($AC$1006:AD1006),$AC$1006:$AS$1006,0)))),"Fix")))</f>
        <v>0</v>
      </c>
      <c r="D758" s="5">
        <f>IF(OR(INDEX($W$2:$W$1001,MATCH(ROWS($V$2:V758),$V$2:$V$1001,0),1)&gt;=100000,INDEX($AC$1005:$AS$1005,1,MATCH(COLUMNS($AC$1006:AE1006),$AC$1006:$AS$1006,0))&gt;=100000), " ",IF(INDEX($AC$2:$AS$1001,MATCH(ROWS($V$2:V758),$V$2:$V$1001,0),MATCH(COLUMNS($AC$1006:AE1006),$AC$1006:$AS$1006,0)), HYPERLINK("#",""), HYPERLINK(CONCATENATE("#Metadata!", ADDRESS(INDEX($X$2:$X$1001,MATCH(ROWS($V$2:V758),$V$2:$V$1001,0),0), INDEX($AC$1004:$AS$1004,1,MATCH(COLUMNS($AC$1006:AE1006),$AC$1006:$AS$1006,0)))),"Fix")))</f>
        <v>0</v>
      </c>
      <c r="E758" s="5">
        <f>IF(OR(INDEX($W$2:$W$1001,MATCH(ROWS($V$2:V758),$V$2:$V$1001,0),1)&gt;=100000,INDEX($AC$1005:$AS$1005,1,MATCH(COLUMNS($AC$1006:AF1006),$AC$1006:$AS$1006,0))&gt;=100000), " ",IF(INDEX($AC$2:$AS$1001,MATCH(ROWS($V$2:V758),$V$2:$V$1001,0),MATCH(COLUMNS($AC$1006:AF1006),$AC$1006:$AS$1006,0)), HYPERLINK("#",""), HYPERLINK(CONCATENATE("#Metadata!", ADDRESS(INDEX($X$2:$X$1001,MATCH(ROWS($V$2:V758),$V$2:$V$1001,0),0), INDEX($AC$1004:$AS$1004,1,MATCH(COLUMNS($AC$1006:AF1006),$AC$1006:$AS$1006,0)))),"Fix")))</f>
        <v>0</v>
      </c>
      <c r="F758" s="5">
        <f>IF(OR(INDEX($W$2:$W$1001,MATCH(ROWS($V$2:V758),$V$2:$V$1001,0),1)&gt;=100000,INDEX($AC$1005:$AS$1005,1,MATCH(COLUMNS($AC$1006:AG1006),$AC$1006:$AS$1006,0))&gt;=100000), " ",IF(INDEX($AC$2:$AS$1001,MATCH(ROWS($V$2:V758),$V$2:$V$1001,0),MATCH(COLUMNS($AC$1006:AG1006),$AC$1006:$AS$1006,0)), HYPERLINK("#",""), HYPERLINK(CONCATENATE("#Metadata!", ADDRESS(INDEX($X$2:$X$1001,MATCH(ROWS($V$2:V758),$V$2:$V$1001,0),0), INDEX($AC$1004:$AS$1004,1,MATCH(COLUMNS($AC$1006:AG1006),$AC$1006:$AS$1006,0)))),"Fix")))</f>
        <v>0</v>
      </c>
      <c r="G758" s="5">
        <f>IF(OR(INDEX($W$2:$W$1001,MATCH(ROWS($V$2:V758),$V$2:$V$1001,0),1)&gt;=100000,INDEX($AC$1005:$AS$1005,1,MATCH(COLUMNS($AC$1006:AH1006),$AC$1006:$AS$1006,0))&gt;=100000), " ",IF(INDEX($AC$2:$AS$1001,MATCH(ROWS($V$2:V758),$V$2:$V$1001,0),MATCH(COLUMNS($AC$1006:AH1006),$AC$1006:$AS$1006,0)), HYPERLINK("#",""), HYPERLINK(CONCATENATE("#Metadata!", ADDRESS(INDEX($X$2:$X$1001,MATCH(ROWS($V$2:V758),$V$2:$V$1001,0),0), INDEX($AC$1004:$AS$1004,1,MATCH(COLUMNS($AC$1006:AH1006),$AC$1006:$AS$1006,0)))),"Fix")))</f>
        <v>0</v>
      </c>
      <c r="H758" s="5">
        <f>IF(OR(INDEX($W$2:$W$1001,MATCH(ROWS($V$2:V758),$V$2:$V$1001,0),1)&gt;=100000,INDEX($AC$1005:$AS$1005,1,MATCH(COLUMNS($AC$1006:AI1006),$AC$1006:$AS$1006,0))&gt;=100000), " ",IF(INDEX($AC$2:$AS$1001,MATCH(ROWS($V$2:V758),$V$2:$V$1001,0),MATCH(COLUMNS($AC$1006:AI1006),$AC$1006:$AS$1006,0)), HYPERLINK("#",""), HYPERLINK(CONCATENATE("#Metadata!", ADDRESS(INDEX($X$2:$X$1001,MATCH(ROWS($V$2:V758),$V$2:$V$1001,0),0), INDEX($AC$1004:$AS$1004,1,MATCH(COLUMNS($AC$1006:AI1006),$AC$1006:$AS$1006,0)))),"Fix")))</f>
        <v>0</v>
      </c>
      <c r="I758" s="5">
        <f>IF(OR(INDEX($W$2:$W$1001,MATCH(ROWS($V$2:V758),$V$2:$V$1001,0),1)&gt;=100000,INDEX($AC$1005:$AS$1005,1,MATCH(COLUMNS($AC$1006:AJ1006),$AC$1006:$AS$1006,0))&gt;=100000), " ",IF(INDEX($AC$2:$AS$1001,MATCH(ROWS($V$2:V758),$V$2:$V$1001,0),MATCH(COLUMNS($AC$1006:AJ1006),$AC$1006:$AS$1006,0)), HYPERLINK("#",""), HYPERLINK(CONCATENATE("#Metadata!", ADDRESS(INDEX($X$2:$X$1001,MATCH(ROWS($V$2:V758),$V$2:$V$1001,0),0), INDEX($AC$1004:$AS$1004,1,MATCH(COLUMNS($AC$1006:AJ1006),$AC$1006:$AS$1006,0)))),"Fix")))</f>
        <v>0</v>
      </c>
      <c r="J758" s="5">
        <f>IF(OR(INDEX($W$2:$W$1001,MATCH(ROWS($V$2:V758),$V$2:$V$1001,0),1)&gt;=100000,INDEX($AC$1005:$AS$1005,1,MATCH(COLUMNS($AC$1006:AK1006),$AC$1006:$AS$1006,0))&gt;=100000), " ",IF(INDEX($AC$2:$AS$1001,MATCH(ROWS($V$2:V758),$V$2:$V$1001,0),MATCH(COLUMNS($AC$1006:AK1006),$AC$1006:$AS$1006,0)), HYPERLINK("#",""), HYPERLINK(CONCATENATE("#Metadata!", ADDRESS(INDEX($X$2:$X$1001,MATCH(ROWS($V$2:V758),$V$2:$V$1001,0),0), INDEX($AC$1004:$AS$1004,1,MATCH(COLUMNS($AC$1006:AK1006),$AC$1006:$AS$1006,0)))),"Fix")))</f>
        <v>0</v>
      </c>
      <c r="K758" s="5">
        <f>IF(OR(INDEX($W$2:$W$1001,MATCH(ROWS($V$2:V758),$V$2:$V$1001,0),1)&gt;=100000,INDEX($AC$1005:$AS$1005,1,MATCH(COLUMNS($AC$1006:AL1006),$AC$1006:$AS$1006,0))&gt;=100000), " ",IF(INDEX($AC$2:$AS$1001,MATCH(ROWS($V$2:V758),$V$2:$V$1001,0),MATCH(COLUMNS($AC$1006:AL1006),$AC$1006:$AS$1006,0)), HYPERLINK("#",""), HYPERLINK(CONCATENATE("#Metadata!", ADDRESS(INDEX($X$2:$X$1001,MATCH(ROWS($V$2:V758),$V$2:$V$1001,0),0), INDEX($AC$1004:$AS$1004,1,MATCH(COLUMNS($AC$1006:AL1006),$AC$1006:$AS$1006,0)))),"Fix")))</f>
        <v>0</v>
      </c>
      <c r="L758" s="5">
        <f>IF(OR(INDEX($W$2:$W$1001,MATCH(ROWS($V$2:V758),$V$2:$V$1001,0),1)&gt;=100000,INDEX($AC$1005:$AS$1005,1,MATCH(COLUMNS($AC$1006:AM1006),$AC$1006:$AS$1006,0))&gt;=100000), " ",IF(INDEX($AC$2:$AS$1001,MATCH(ROWS($V$2:V758),$V$2:$V$1001,0),MATCH(COLUMNS($AC$1006:AM1006),$AC$1006:$AS$1006,0)), HYPERLINK("#",""), HYPERLINK(CONCATENATE("#Metadata!", ADDRESS(INDEX($X$2:$X$1001,MATCH(ROWS($V$2:V758),$V$2:$V$1001,0),0), INDEX($AC$1004:$AS$1004,1,MATCH(COLUMNS($AC$1006:AM1006),$AC$1006:$AS$1006,0)))),"Fix")))</f>
        <v>0</v>
      </c>
      <c r="M758" s="5">
        <f>IF(OR(INDEX($W$2:$W$1001,MATCH(ROWS($V$2:V758),$V$2:$V$1001,0),1)&gt;=100000,INDEX($AC$1005:$AS$1005,1,MATCH(COLUMNS($AC$1006:AN1006),$AC$1006:$AS$1006,0))&gt;=100000), " ",IF(INDEX($AC$2:$AS$1001,MATCH(ROWS($V$2:V758),$V$2:$V$1001,0),MATCH(COLUMNS($AC$1006:AN1006),$AC$1006:$AS$1006,0)), HYPERLINK("#",""), HYPERLINK(CONCATENATE("#Metadata!", ADDRESS(INDEX($X$2:$X$1001,MATCH(ROWS($V$2:V758),$V$2:$V$1001,0),0), INDEX($AC$1004:$AS$1004,1,MATCH(COLUMNS($AC$1006:AN1006),$AC$1006:$AS$1006,0)))),"Fix")))</f>
        <v>0</v>
      </c>
      <c r="N758" s="5">
        <f>IF(OR(INDEX($W$2:$W$1001,MATCH(ROWS($V$2:V758),$V$2:$V$1001,0),1)&gt;=100000,INDEX($AC$1005:$AS$1005,1,MATCH(COLUMNS($AC$1006:AO1006),$AC$1006:$AS$1006,0))&gt;=100000), " ",IF(INDEX($AC$2:$AS$1001,MATCH(ROWS($V$2:V758),$V$2:$V$1001,0),MATCH(COLUMNS($AC$1006:AO1006),$AC$1006:$AS$1006,0)), HYPERLINK("#",""), HYPERLINK(CONCATENATE("#Metadata!", ADDRESS(INDEX($X$2:$X$1001,MATCH(ROWS($V$2:V758),$V$2:$V$1001,0),0), INDEX($AC$1004:$AS$1004,1,MATCH(COLUMNS($AC$1006:AO1006),$AC$1006:$AS$1006,0)))),"Fix")))</f>
        <v>0</v>
      </c>
      <c r="O758" s="5">
        <f>IF(OR(INDEX($W$2:$W$1001,MATCH(ROWS($V$2:V758),$V$2:$V$1001,0),1)&gt;=100000,INDEX($AC$1005:$AS$1005,1,MATCH(COLUMNS($AC$1006:AP1006),$AC$1006:$AS$1006,0))&gt;=100000), " ",IF(INDEX($AC$2:$AS$1001,MATCH(ROWS($V$2:V758),$V$2:$V$1001,0),MATCH(COLUMNS($AC$1006:AP1006),$AC$1006:$AS$1006,0)), HYPERLINK("#",""), HYPERLINK(CONCATENATE("#Metadata!", ADDRESS(INDEX($X$2:$X$1001,MATCH(ROWS($V$2:V758),$V$2:$V$1001,0),0), INDEX($AC$1004:$AS$1004,1,MATCH(COLUMNS($AC$1006:AP1006),$AC$1006:$AS$1006,0)))),"Fix")))</f>
        <v>0</v>
      </c>
      <c r="P758" s="5">
        <f>IF(OR(INDEX($W$2:$W$1001,MATCH(ROWS($V$2:V758),$V$2:$V$1001,0),1)&gt;=100000,INDEX($AC$1005:$AS$1005,1,MATCH(COLUMNS($AC$1006:AQ1006),$AC$1006:$AS$1006,0))&gt;=100000), " ",IF(INDEX($AC$2:$AS$1001,MATCH(ROWS($V$2:V758),$V$2:$V$1001,0),MATCH(COLUMNS($AC$1006:AQ1006),$AC$1006:$AS$1006,0)), HYPERLINK("#",""), HYPERLINK(CONCATENATE("#Metadata!", ADDRESS(INDEX($X$2:$X$1001,MATCH(ROWS($V$2:V758),$V$2:$V$1001,0),0), INDEX($AC$1004:$AS$1004,1,MATCH(COLUMNS($AC$1006:AQ1006),$AC$1006:$AS$1006,0)))),"Fix")))</f>
        <v>0</v>
      </c>
      <c r="Q758" s="5">
        <f>IF(OR(INDEX($W$2:$W$1001,MATCH(ROWS($V$2:V758),$V$2:$V$1001,0),1)&gt;=100000,INDEX($AC$1005:$AS$1005,1,MATCH(COLUMNS($AC$1006:AR1006),$AC$1006:$AS$1006,0))&gt;=100000), " ",IF(INDEX($AC$2:$AS$1001,MATCH(ROWS($V$2:V758),$V$2:$V$1001,0),MATCH(COLUMNS($AC$1006:AR1006),$AC$1006:$AS$1006,0)), HYPERLINK("#",""), HYPERLINK(CONCATENATE("#Metadata!", ADDRESS(INDEX($X$2:$X$1001,MATCH(ROWS($V$2:V758),$V$2:$V$1001,0),0), INDEX($AC$1004:$AS$1004,1,MATCH(COLUMNS($AC$1006:AR1006),$AC$1006:$AS$1006,0)))),"Fix")))</f>
        <v>0</v>
      </c>
      <c r="R758" s="5">
        <f>IF(OR(INDEX($W$2:$W$1001,MATCH(ROWS($V$2:V758),$V$2:$V$1001,0),1)&gt;=100000,INDEX($AC$1005:$AS$1005,1,MATCH(COLUMNS($AC$1006:AS1006),$AC$1006:$AS$1006,0))&gt;=100000), " ",IF(INDEX($AC$2:$AS$1001,MATCH(ROWS($V$2:V758),$V$2:$V$1001,0),MATCH(COLUMNS($AC$1006:AS1006),$AC$1006:$AS$1006,0)), HYPERLINK("#",""), HYPERLINK(CONCATENATE("#Metadata!", ADDRESS(INDEX($X$2:$X$1001,MATCH(ROWS($V$2:V758),$V$2:$V$1001,0),0), INDEX($AC$1004:$AS$1004,1,MATCH(COLUMNS($AC$1006:AS1006),$AC$1006:$AS$1006,0)))),"Fix")))</f>
        <v>0</v>
      </c>
      <c r="V758">
        <v>0</v>
      </c>
      <c r="W758">
        <v>0</v>
      </c>
      <c r="X758">
        <v>0</v>
      </c>
      <c r="Y758">
        <f>IF(Z758,TRUE,AND(AC758:AS758))</f>
        <v>0</v>
      </c>
      <c r="Z758">
        <f>COUNTBLANK(Metadata!B758:R758)=COLUMNS(Metadata!B758:R758)</f>
        <v>0</v>
      </c>
      <c r="AA758">
        <v>0</v>
      </c>
      <c r="AC758">
        <f>AND(IF(Metadata!B758="",FALSE,TRUE),COUNTIF(Metadata!B:B, Metadata!B758) = 1,NOT(ISERROR(SUMPRODUCT(SEARCH(MID(Metadata!B758,ROW(INDIRECT("1:"&amp;LEN(Metadata!B758))), 1),"0123456789abcdefghijklmnopqrstuvwxyzABCDEFGHIJKLMNOPQRSTUVWXYZ.")))))</f>
        <v>0</v>
      </c>
      <c r="AD758">
        <f>AND(IF(Metadata!C758="",FALSE,TRUE),exact(Metadata!C758,"Host-associated"))</f>
        <v>0</v>
      </c>
      <c r="AE758">
        <f>AND(IF(Metadata!D758="",FALSE,TRUE),OR(exact(Metadata!D758,"Animal"),exact(Metadata!D758,"Fungus"),exact(Metadata!D758,"Plant")))</f>
        <v>0</v>
      </c>
      <c r="AF758">
        <f>AND(IF(Metadata!E758="",FALSE,TRUE),OR(exact(Metadata!E758,"Plant secretion"),exact(Metadata!E758,"Plant rhizosphere"),exact(Metadata!E758,"Plant surface"),exact(Metadata!E758,"Plant corpus"),exact(Metadata!E758,"Fungus surface"),exact(Metadata!E758,"Fungus corpus"),exact(Metadata!E758,"Animal surface"),exact(Metadata!E758,"Animal proximal gut"),exact(Metadata!E758,"Animal corpus"),exact(Metadata!E758,"Animal distal gut"),exact(Metadata!E758,"Animal secretion")))</f>
        <v>0</v>
      </c>
      <c r="AG758">
        <f>OR(AND(IF(Metadata!F758="",FALSE,TRUE),OR(exact(Metadata!F758,"not collected"),exact(Metadata!F758,"not provided"),exact(Metadata!F758,"restricted access"))),AND(IF(Metadata!F758="",FALSE,TRUE),OR(exact(Metadata!F758,"organism-associated habitat"),exact(Metadata!F758,"plant-associated habitat"),exact(Metadata!F758,"animal-associated habitat"),exact(Metadata!F758,"insecta-associated habitat"),exact(Metadata!F758,"mammalia-associated habitat"),exact(Metadata!F758,"human-associated habitat"),exact(Metadata!F758,"livestock-associated habitat"))))</f>
        <v>0</v>
      </c>
      <c r="AH758">
        <f>AND(IF(Metadata!G758="",FALSE,TRUE),exact(Metadata!G758,"host-associated"))</f>
        <v>0</v>
      </c>
      <c r="AI758">
        <f>OR(AND(IF(Metadata!H758="",FALSE,TRUE),OR(exact(Metadata!H758,"not collected"),exact(Metadata!H758,"not provided"))),AND(IF(Metadata!H758="",FALSE,ISNUMBER(VALUE(Metadata!H758))),Metadata!H758&gt;0))</f>
        <v>0</v>
      </c>
      <c r="AJ758">
        <f>AND(IF(Metadata!I758="",FALSE,TRUE),exact(Metadata!I758,"years"))</f>
        <v>0</v>
      </c>
      <c r="AK758">
        <f>IF(Metadata!J758="",FALSE,TRUE)</f>
        <v>0</v>
      </c>
      <c r="AL758">
        <f>OR(AND(IF(Metadata!K758="",FALSE,TRUE),OR(exact(Metadata!K758,"not collected"),exact(Metadata!K758,"not provided"))),AND(IF(Metadata!K758="",FALSE,ISNUMBER(VALUE(Metadata!K758))),Metadata!K758&gt;0))</f>
        <v>0</v>
      </c>
      <c r="AM758">
        <f>AND(IF(Metadata!L758="",FALSE,TRUE),exact(Metadata!L758,"cm"))</f>
        <v>0</v>
      </c>
      <c r="AN758">
        <f>IF(Metadata!M758="",FALSE,TRUE)</f>
        <v>0</v>
      </c>
      <c r="AO758">
        <f>OR(AND(IF(Metadata!N758="",FALSE,TRUE),OR(exact(Metadata!N758,"not applicable"),exact(Metadata!N758,"not collected"),exact(Metadata!N758,"not provided"))),AND(IF(Metadata!N758="",FALSE,IF(ISERROR(INT(Metadata!N758)),FALSE,INT(Metadata!N758)=Metadata!N758)),Metadata!N758&gt;0))</f>
        <v>0</v>
      </c>
      <c r="AP758">
        <f>OR(AND(IF(Metadata!O758="",FALSE,TRUE),OR(exact(Metadata!O758,"not collected"),exact(Metadata!O758,"not provided"))),AND(IF(Metadata!O758="",FALSE,ISNUMBER(VALUE(Metadata!O758))),Metadata!O758&gt;0))</f>
        <v>0</v>
      </c>
      <c r="AQ758">
        <f>AND(IF(Metadata!P758="",FALSE,TRUE),exact(Metadata!P758,"kg"))</f>
        <v>0</v>
      </c>
      <c r="AR758">
        <f>OR(AND(IF(Metadata!Q758="",FALSE,TRUE),OR(exact(Metadata!Q758,"not applicable"),exact(Metadata!Q758,"not collected"),exact(Metadata!Q758,"not provided"),exact(Metadata!Q758,"restricted access"))),IF(Metadata!Q758="",FALSE,IF(ISERROR(INT(Metadata!Q758)),FALSE,INT(Metadata!Q758)=Metadata!Q758)))</f>
        <v>0</v>
      </c>
      <c r="AS758">
        <f>AND(IF(Metadata!R758="",FALSE,TRUE),exact(Metadata!R758,"Not applicable"))</f>
        <v>0</v>
      </c>
    </row>
    <row r="759" spans="1:45">
      <c r="A759" s="4">
        <f>IF(B759=" "," ",HYPERLINK(CONCATENATE("#metadata!",ADDRESS(INDEX($X$2:$X$1001,MATCH(ROWS($V$2:V759),$V$2:$V$1001,0),0),2)),INDEX($AA$2:$AA$1001,MATCH(ROWS($V$2:V759),$V$2:$V$1001,0),0)))</f>
        <v>0</v>
      </c>
      <c r="B759" s="5">
        <f>IF(OR(INDEX($W$2:$W$1001,MATCH(ROWS($V$2:V759),$V$2:$V$1001,0),1)&gt;=100000,INDEX($AC$1005:$AS$1005,1,MATCH(COLUMNS($AC$1006:AC1006),$AC$1006:$AS$1006,0))&gt;=100000), " ",IF(INDEX($AC$2:$AS$1001,MATCH(ROWS($V$2:V759),$V$2:$V$1001,0),MATCH(COLUMNS($AC$1006:AC1006),$AC$1006:$AS$1006,0)), HYPERLINK("#",""), HYPERLINK(CONCATENATE("#Metadata!", ADDRESS(INDEX($X$2:$X$1001,MATCH(ROWS($V$2:V759),$V$2:$V$1001,0),0), INDEX($AC$1004:$AS$1004,1,MATCH(COLUMNS($AC$1006:AC1006),$AC$1006:$AS$1006,0)))),"Fix")))</f>
        <v>0</v>
      </c>
      <c r="C759" s="5">
        <f>IF(OR(INDEX($W$2:$W$1001,MATCH(ROWS($V$2:V759),$V$2:$V$1001,0),1)&gt;=100000,INDEX($AC$1005:$AS$1005,1,MATCH(COLUMNS($AC$1006:AD1006),$AC$1006:$AS$1006,0))&gt;=100000), " ",IF(INDEX($AC$2:$AS$1001,MATCH(ROWS($V$2:V759),$V$2:$V$1001,0),MATCH(COLUMNS($AC$1006:AD1006),$AC$1006:$AS$1006,0)), HYPERLINK("#",""), HYPERLINK(CONCATENATE("#Metadata!", ADDRESS(INDEX($X$2:$X$1001,MATCH(ROWS($V$2:V759),$V$2:$V$1001,0),0), INDEX($AC$1004:$AS$1004,1,MATCH(COLUMNS($AC$1006:AD1006),$AC$1006:$AS$1006,0)))),"Fix")))</f>
        <v>0</v>
      </c>
      <c r="D759" s="5">
        <f>IF(OR(INDEX($W$2:$W$1001,MATCH(ROWS($V$2:V759),$V$2:$V$1001,0),1)&gt;=100000,INDEX($AC$1005:$AS$1005,1,MATCH(COLUMNS($AC$1006:AE1006),$AC$1006:$AS$1006,0))&gt;=100000), " ",IF(INDEX($AC$2:$AS$1001,MATCH(ROWS($V$2:V759),$V$2:$V$1001,0),MATCH(COLUMNS($AC$1006:AE1006),$AC$1006:$AS$1006,0)), HYPERLINK("#",""), HYPERLINK(CONCATENATE("#Metadata!", ADDRESS(INDEX($X$2:$X$1001,MATCH(ROWS($V$2:V759),$V$2:$V$1001,0),0), INDEX($AC$1004:$AS$1004,1,MATCH(COLUMNS($AC$1006:AE1006),$AC$1006:$AS$1006,0)))),"Fix")))</f>
        <v>0</v>
      </c>
      <c r="E759" s="5">
        <f>IF(OR(INDEX($W$2:$W$1001,MATCH(ROWS($V$2:V759),$V$2:$V$1001,0),1)&gt;=100000,INDEX($AC$1005:$AS$1005,1,MATCH(COLUMNS($AC$1006:AF1006),$AC$1006:$AS$1006,0))&gt;=100000), " ",IF(INDEX($AC$2:$AS$1001,MATCH(ROWS($V$2:V759),$V$2:$V$1001,0),MATCH(COLUMNS($AC$1006:AF1006),$AC$1006:$AS$1006,0)), HYPERLINK("#",""), HYPERLINK(CONCATENATE("#Metadata!", ADDRESS(INDEX($X$2:$X$1001,MATCH(ROWS($V$2:V759),$V$2:$V$1001,0),0), INDEX($AC$1004:$AS$1004,1,MATCH(COLUMNS($AC$1006:AF1006),$AC$1006:$AS$1006,0)))),"Fix")))</f>
        <v>0</v>
      </c>
      <c r="F759" s="5">
        <f>IF(OR(INDEX($W$2:$W$1001,MATCH(ROWS($V$2:V759),$V$2:$V$1001,0),1)&gt;=100000,INDEX($AC$1005:$AS$1005,1,MATCH(COLUMNS($AC$1006:AG1006),$AC$1006:$AS$1006,0))&gt;=100000), " ",IF(INDEX($AC$2:$AS$1001,MATCH(ROWS($V$2:V759),$V$2:$V$1001,0),MATCH(COLUMNS($AC$1006:AG1006),$AC$1006:$AS$1006,0)), HYPERLINK("#",""), HYPERLINK(CONCATENATE("#Metadata!", ADDRESS(INDEX($X$2:$X$1001,MATCH(ROWS($V$2:V759),$V$2:$V$1001,0),0), INDEX($AC$1004:$AS$1004,1,MATCH(COLUMNS($AC$1006:AG1006),$AC$1006:$AS$1006,0)))),"Fix")))</f>
        <v>0</v>
      </c>
      <c r="G759" s="5">
        <f>IF(OR(INDEX($W$2:$W$1001,MATCH(ROWS($V$2:V759),$V$2:$V$1001,0),1)&gt;=100000,INDEX($AC$1005:$AS$1005,1,MATCH(COLUMNS($AC$1006:AH1006),$AC$1006:$AS$1006,0))&gt;=100000), " ",IF(INDEX($AC$2:$AS$1001,MATCH(ROWS($V$2:V759),$V$2:$V$1001,0),MATCH(COLUMNS($AC$1006:AH1006),$AC$1006:$AS$1006,0)), HYPERLINK("#",""), HYPERLINK(CONCATENATE("#Metadata!", ADDRESS(INDEX($X$2:$X$1001,MATCH(ROWS($V$2:V759),$V$2:$V$1001,0),0), INDEX($AC$1004:$AS$1004,1,MATCH(COLUMNS($AC$1006:AH1006),$AC$1006:$AS$1006,0)))),"Fix")))</f>
        <v>0</v>
      </c>
      <c r="H759" s="5">
        <f>IF(OR(INDEX($W$2:$W$1001,MATCH(ROWS($V$2:V759),$V$2:$V$1001,0),1)&gt;=100000,INDEX($AC$1005:$AS$1005,1,MATCH(COLUMNS($AC$1006:AI1006),$AC$1006:$AS$1006,0))&gt;=100000), " ",IF(INDEX($AC$2:$AS$1001,MATCH(ROWS($V$2:V759),$V$2:$V$1001,0),MATCH(COLUMNS($AC$1006:AI1006),$AC$1006:$AS$1006,0)), HYPERLINK("#",""), HYPERLINK(CONCATENATE("#Metadata!", ADDRESS(INDEX($X$2:$X$1001,MATCH(ROWS($V$2:V759),$V$2:$V$1001,0),0), INDEX($AC$1004:$AS$1004,1,MATCH(COLUMNS($AC$1006:AI1006),$AC$1006:$AS$1006,0)))),"Fix")))</f>
        <v>0</v>
      </c>
      <c r="I759" s="5">
        <f>IF(OR(INDEX($W$2:$W$1001,MATCH(ROWS($V$2:V759),$V$2:$V$1001,0),1)&gt;=100000,INDEX($AC$1005:$AS$1005,1,MATCH(COLUMNS($AC$1006:AJ1006),$AC$1006:$AS$1006,0))&gt;=100000), " ",IF(INDEX($AC$2:$AS$1001,MATCH(ROWS($V$2:V759),$V$2:$V$1001,0),MATCH(COLUMNS($AC$1006:AJ1006),$AC$1006:$AS$1006,0)), HYPERLINK("#",""), HYPERLINK(CONCATENATE("#Metadata!", ADDRESS(INDEX($X$2:$X$1001,MATCH(ROWS($V$2:V759),$V$2:$V$1001,0),0), INDEX($AC$1004:$AS$1004,1,MATCH(COLUMNS($AC$1006:AJ1006),$AC$1006:$AS$1006,0)))),"Fix")))</f>
        <v>0</v>
      </c>
      <c r="J759" s="5">
        <f>IF(OR(INDEX($W$2:$W$1001,MATCH(ROWS($V$2:V759),$V$2:$V$1001,0),1)&gt;=100000,INDEX($AC$1005:$AS$1005,1,MATCH(COLUMNS($AC$1006:AK1006),$AC$1006:$AS$1006,0))&gt;=100000), " ",IF(INDEX($AC$2:$AS$1001,MATCH(ROWS($V$2:V759),$V$2:$V$1001,0),MATCH(COLUMNS($AC$1006:AK1006),$AC$1006:$AS$1006,0)), HYPERLINK("#",""), HYPERLINK(CONCATENATE("#Metadata!", ADDRESS(INDEX($X$2:$X$1001,MATCH(ROWS($V$2:V759),$V$2:$V$1001,0),0), INDEX($AC$1004:$AS$1004,1,MATCH(COLUMNS($AC$1006:AK1006),$AC$1006:$AS$1006,0)))),"Fix")))</f>
        <v>0</v>
      </c>
      <c r="K759" s="5">
        <f>IF(OR(INDEX($W$2:$W$1001,MATCH(ROWS($V$2:V759),$V$2:$V$1001,0),1)&gt;=100000,INDEX($AC$1005:$AS$1005,1,MATCH(COLUMNS($AC$1006:AL1006),$AC$1006:$AS$1006,0))&gt;=100000), " ",IF(INDEX($AC$2:$AS$1001,MATCH(ROWS($V$2:V759),$V$2:$V$1001,0),MATCH(COLUMNS($AC$1006:AL1006),$AC$1006:$AS$1006,0)), HYPERLINK("#",""), HYPERLINK(CONCATENATE("#Metadata!", ADDRESS(INDEX($X$2:$X$1001,MATCH(ROWS($V$2:V759),$V$2:$V$1001,0),0), INDEX($AC$1004:$AS$1004,1,MATCH(COLUMNS($AC$1006:AL1006),$AC$1006:$AS$1006,0)))),"Fix")))</f>
        <v>0</v>
      </c>
      <c r="L759" s="5">
        <f>IF(OR(INDEX($W$2:$W$1001,MATCH(ROWS($V$2:V759),$V$2:$V$1001,0),1)&gt;=100000,INDEX($AC$1005:$AS$1005,1,MATCH(COLUMNS($AC$1006:AM1006),$AC$1006:$AS$1006,0))&gt;=100000), " ",IF(INDEX($AC$2:$AS$1001,MATCH(ROWS($V$2:V759),$V$2:$V$1001,0),MATCH(COLUMNS($AC$1006:AM1006),$AC$1006:$AS$1006,0)), HYPERLINK("#",""), HYPERLINK(CONCATENATE("#Metadata!", ADDRESS(INDEX($X$2:$X$1001,MATCH(ROWS($V$2:V759),$V$2:$V$1001,0),0), INDEX($AC$1004:$AS$1004,1,MATCH(COLUMNS($AC$1006:AM1006),$AC$1006:$AS$1006,0)))),"Fix")))</f>
        <v>0</v>
      </c>
      <c r="M759" s="5">
        <f>IF(OR(INDEX($W$2:$W$1001,MATCH(ROWS($V$2:V759),$V$2:$V$1001,0),1)&gt;=100000,INDEX($AC$1005:$AS$1005,1,MATCH(COLUMNS($AC$1006:AN1006),$AC$1006:$AS$1006,0))&gt;=100000), " ",IF(INDEX($AC$2:$AS$1001,MATCH(ROWS($V$2:V759),$V$2:$V$1001,0),MATCH(COLUMNS($AC$1006:AN1006),$AC$1006:$AS$1006,0)), HYPERLINK("#",""), HYPERLINK(CONCATENATE("#Metadata!", ADDRESS(INDEX($X$2:$X$1001,MATCH(ROWS($V$2:V759),$V$2:$V$1001,0),0), INDEX($AC$1004:$AS$1004,1,MATCH(COLUMNS($AC$1006:AN1006),$AC$1006:$AS$1006,0)))),"Fix")))</f>
        <v>0</v>
      </c>
      <c r="N759" s="5">
        <f>IF(OR(INDEX($W$2:$W$1001,MATCH(ROWS($V$2:V759),$V$2:$V$1001,0),1)&gt;=100000,INDEX($AC$1005:$AS$1005,1,MATCH(COLUMNS($AC$1006:AO1006),$AC$1006:$AS$1006,0))&gt;=100000), " ",IF(INDEX($AC$2:$AS$1001,MATCH(ROWS($V$2:V759),$V$2:$V$1001,0),MATCH(COLUMNS($AC$1006:AO1006),$AC$1006:$AS$1006,0)), HYPERLINK("#",""), HYPERLINK(CONCATENATE("#Metadata!", ADDRESS(INDEX($X$2:$X$1001,MATCH(ROWS($V$2:V759),$V$2:$V$1001,0),0), INDEX($AC$1004:$AS$1004,1,MATCH(COLUMNS($AC$1006:AO1006),$AC$1006:$AS$1006,0)))),"Fix")))</f>
        <v>0</v>
      </c>
      <c r="O759" s="5">
        <f>IF(OR(INDEX($W$2:$W$1001,MATCH(ROWS($V$2:V759),$V$2:$V$1001,0),1)&gt;=100000,INDEX($AC$1005:$AS$1005,1,MATCH(COLUMNS($AC$1006:AP1006),$AC$1006:$AS$1006,0))&gt;=100000), " ",IF(INDEX($AC$2:$AS$1001,MATCH(ROWS($V$2:V759),$V$2:$V$1001,0),MATCH(COLUMNS($AC$1006:AP1006),$AC$1006:$AS$1006,0)), HYPERLINK("#",""), HYPERLINK(CONCATENATE("#Metadata!", ADDRESS(INDEX($X$2:$X$1001,MATCH(ROWS($V$2:V759),$V$2:$V$1001,0),0), INDEX($AC$1004:$AS$1004,1,MATCH(COLUMNS($AC$1006:AP1006),$AC$1006:$AS$1006,0)))),"Fix")))</f>
        <v>0</v>
      </c>
      <c r="P759" s="5">
        <f>IF(OR(INDEX($W$2:$W$1001,MATCH(ROWS($V$2:V759),$V$2:$V$1001,0),1)&gt;=100000,INDEX($AC$1005:$AS$1005,1,MATCH(COLUMNS($AC$1006:AQ1006),$AC$1006:$AS$1006,0))&gt;=100000), " ",IF(INDEX($AC$2:$AS$1001,MATCH(ROWS($V$2:V759),$V$2:$V$1001,0),MATCH(COLUMNS($AC$1006:AQ1006),$AC$1006:$AS$1006,0)), HYPERLINK("#",""), HYPERLINK(CONCATENATE("#Metadata!", ADDRESS(INDEX($X$2:$X$1001,MATCH(ROWS($V$2:V759),$V$2:$V$1001,0),0), INDEX($AC$1004:$AS$1004,1,MATCH(COLUMNS($AC$1006:AQ1006),$AC$1006:$AS$1006,0)))),"Fix")))</f>
        <v>0</v>
      </c>
      <c r="Q759" s="5">
        <f>IF(OR(INDEX($W$2:$W$1001,MATCH(ROWS($V$2:V759),$V$2:$V$1001,0),1)&gt;=100000,INDEX($AC$1005:$AS$1005,1,MATCH(COLUMNS($AC$1006:AR1006),$AC$1006:$AS$1006,0))&gt;=100000), " ",IF(INDEX($AC$2:$AS$1001,MATCH(ROWS($V$2:V759),$V$2:$V$1001,0),MATCH(COLUMNS($AC$1006:AR1006),$AC$1006:$AS$1006,0)), HYPERLINK("#",""), HYPERLINK(CONCATENATE("#Metadata!", ADDRESS(INDEX($X$2:$X$1001,MATCH(ROWS($V$2:V759),$V$2:$V$1001,0),0), INDEX($AC$1004:$AS$1004,1,MATCH(COLUMNS($AC$1006:AR1006),$AC$1006:$AS$1006,0)))),"Fix")))</f>
        <v>0</v>
      </c>
      <c r="R759" s="5">
        <f>IF(OR(INDEX($W$2:$W$1001,MATCH(ROWS($V$2:V759),$V$2:$V$1001,0),1)&gt;=100000,INDEX($AC$1005:$AS$1005,1,MATCH(COLUMNS($AC$1006:AS1006),$AC$1006:$AS$1006,0))&gt;=100000), " ",IF(INDEX($AC$2:$AS$1001,MATCH(ROWS($V$2:V759),$V$2:$V$1001,0),MATCH(COLUMNS($AC$1006:AS1006),$AC$1006:$AS$1006,0)), HYPERLINK("#",""), HYPERLINK(CONCATENATE("#Metadata!", ADDRESS(INDEX($X$2:$X$1001,MATCH(ROWS($V$2:V759),$V$2:$V$1001,0),0), INDEX($AC$1004:$AS$1004,1,MATCH(COLUMNS($AC$1006:AS1006),$AC$1006:$AS$1006,0)))),"Fix")))</f>
        <v>0</v>
      </c>
      <c r="V759">
        <v>0</v>
      </c>
      <c r="W759">
        <v>0</v>
      </c>
      <c r="X759">
        <v>0</v>
      </c>
      <c r="Y759">
        <f>IF(Z759,TRUE,AND(AC759:AS759))</f>
        <v>0</v>
      </c>
      <c r="Z759">
        <f>COUNTBLANK(Metadata!B759:R759)=COLUMNS(Metadata!B759:R759)</f>
        <v>0</v>
      </c>
      <c r="AA759">
        <v>0</v>
      </c>
      <c r="AC759">
        <f>AND(IF(Metadata!B759="",FALSE,TRUE),COUNTIF(Metadata!B:B, Metadata!B759) = 1,NOT(ISERROR(SUMPRODUCT(SEARCH(MID(Metadata!B759,ROW(INDIRECT("1:"&amp;LEN(Metadata!B759))), 1),"0123456789abcdefghijklmnopqrstuvwxyzABCDEFGHIJKLMNOPQRSTUVWXYZ.")))))</f>
        <v>0</v>
      </c>
      <c r="AD759">
        <f>AND(IF(Metadata!C759="",FALSE,TRUE),exact(Metadata!C759,"Host-associated"))</f>
        <v>0</v>
      </c>
      <c r="AE759">
        <f>AND(IF(Metadata!D759="",FALSE,TRUE),OR(exact(Metadata!D759,"Animal"),exact(Metadata!D759,"Fungus"),exact(Metadata!D759,"Plant")))</f>
        <v>0</v>
      </c>
      <c r="AF759">
        <f>AND(IF(Metadata!E759="",FALSE,TRUE),OR(exact(Metadata!E759,"Plant secretion"),exact(Metadata!E759,"Plant rhizosphere"),exact(Metadata!E759,"Plant surface"),exact(Metadata!E759,"Plant corpus"),exact(Metadata!E759,"Fungus surface"),exact(Metadata!E759,"Fungus corpus"),exact(Metadata!E759,"Animal surface"),exact(Metadata!E759,"Animal proximal gut"),exact(Metadata!E759,"Animal corpus"),exact(Metadata!E759,"Animal distal gut"),exact(Metadata!E759,"Animal secretion")))</f>
        <v>0</v>
      </c>
      <c r="AG759">
        <f>OR(AND(IF(Metadata!F759="",FALSE,TRUE),OR(exact(Metadata!F759,"not collected"),exact(Metadata!F759,"not provided"),exact(Metadata!F759,"restricted access"))),AND(IF(Metadata!F759="",FALSE,TRUE),OR(exact(Metadata!F759,"organism-associated habitat"),exact(Metadata!F759,"plant-associated habitat"),exact(Metadata!F759,"animal-associated habitat"),exact(Metadata!F759,"insecta-associated habitat"),exact(Metadata!F759,"mammalia-associated habitat"),exact(Metadata!F759,"human-associated habitat"),exact(Metadata!F759,"livestock-associated habitat"))))</f>
        <v>0</v>
      </c>
      <c r="AH759">
        <f>AND(IF(Metadata!G759="",FALSE,TRUE),exact(Metadata!G759,"host-associated"))</f>
        <v>0</v>
      </c>
      <c r="AI759">
        <f>OR(AND(IF(Metadata!H759="",FALSE,TRUE),OR(exact(Metadata!H759,"not collected"),exact(Metadata!H759,"not provided"))),AND(IF(Metadata!H759="",FALSE,ISNUMBER(VALUE(Metadata!H759))),Metadata!H759&gt;0))</f>
        <v>0</v>
      </c>
      <c r="AJ759">
        <f>AND(IF(Metadata!I759="",FALSE,TRUE),exact(Metadata!I759,"years"))</f>
        <v>0</v>
      </c>
      <c r="AK759">
        <f>IF(Metadata!J759="",FALSE,TRUE)</f>
        <v>0</v>
      </c>
      <c r="AL759">
        <f>OR(AND(IF(Metadata!K759="",FALSE,TRUE),OR(exact(Metadata!K759,"not collected"),exact(Metadata!K759,"not provided"))),AND(IF(Metadata!K759="",FALSE,ISNUMBER(VALUE(Metadata!K759))),Metadata!K759&gt;0))</f>
        <v>0</v>
      </c>
      <c r="AM759">
        <f>AND(IF(Metadata!L759="",FALSE,TRUE),exact(Metadata!L759,"cm"))</f>
        <v>0</v>
      </c>
      <c r="AN759">
        <f>IF(Metadata!M759="",FALSE,TRUE)</f>
        <v>0</v>
      </c>
      <c r="AO759">
        <f>OR(AND(IF(Metadata!N759="",FALSE,TRUE),OR(exact(Metadata!N759,"not applicable"),exact(Metadata!N759,"not collected"),exact(Metadata!N759,"not provided"))),AND(IF(Metadata!N759="",FALSE,IF(ISERROR(INT(Metadata!N759)),FALSE,INT(Metadata!N759)=Metadata!N759)),Metadata!N759&gt;0))</f>
        <v>0</v>
      </c>
      <c r="AP759">
        <f>OR(AND(IF(Metadata!O759="",FALSE,TRUE),OR(exact(Metadata!O759,"not collected"),exact(Metadata!O759,"not provided"))),AND(IF(Metadata!O759="",FALSE,ISNUMBER(VALUE(Metadata!O759))),Metadata!O759&gt;0))</f>
        <v>0</v>
      </c>
      <c r="AQ759">
        <f>AND(IF(Metadata!P759="",FALSE,TRUE),exact(Metadata!P759,"kg"))</f>
        <v>0</v>
      </c>
      <c r="AR759">
        <f>OR(AND(IF(Metadata!Q759="",FALSE,TRUE),OR(exact(Metadata!Q759,"not applicable"),exact(Metadata!Q759,"not collected"),exact(Metadata!Q759,"not provided"),exact(Metadata!Q759,"restricted access"))),IF(Metadata!Q759="",FALSE,IF(ISERROR(INT(Metadata!Q759)),FALSE,INT(Metadata!Q759)=Metadata!Q759)))</f>
        <v>0</v>
      </c>
      <c r="AS759">
        <f>AND(IF(Metadata!R759="",FALSE,TRUE),exact(Metadata!R759,"Not applicable"))</f>
        <v>0</v>
      </c>
    </row>
    <row r="760" spans="1:45">
      <c r="A760" s="4">
        <f>IF(B760=" "," ",HYPERLINK(CONCATENATE("#metadata!",ADDRESS(INDEX($X$2:$X$1001,MATCH(ROWS($V$2:V760),$V$2:$V$1001,0),0),2)),INDEX($AA$2:$AA$1001,MATCH(ROWS($V$2:V760),$V$2:$V$1001,0),0)))</f>
        <v>0</v>
      </c>
      <c r="B760" s="5">
        <f>IF(OR(INDEX($W$2:$W$1001,MATCH(ROWS($V$2:V760),$V$2:$V$1001,0),1)&gt;=100000,INDEX($AC$1005:$AS$1005,1,MATCH(COLUMNS($AC$1006:AC1006),$AC$1006:$AS$1006,0))&gt;=100000), " ",IF(INDEX($AC$2:$AS$1001,MATCH(ROWS($V$2:V760),$V$2:$V$1001,0),MATCH(COLUMNS($AC$1006:AC1006),$AC$1006:$AS$1006,0)), HYPERLINK("#",""), HYPERLINK(CONCATENATE("#Metadata!", ADDRESS(INDEX($X$2:$X$1001,MATCH(ROWS($V$2:V760),$V$2:$V$1001,0),0), INDEX($AC$1004:$AS$1004,1,MATCH(COLUMNS($AC$1006:AC1006),$AC$1006:$AS$1006,0)))),"Fix")))</f>
        <v>0</v>
      </c>
      <c r="C760" s="5">
        <f>IF(OR(INDEX($W$2:$W$1001,MATCH(ROWS($V$2:V760),$V$2:$V$1001,0),1)&gt;=100000,INDEX($AC$1005:$AS$1005,1,MATCH(COLUMNS($AC$1006:AD1006),$AC$1006:$AS$1006,0))&gt;=100000), " ",IF(INDEX($AC$2:$AS$1001,MATCH(ROWS($V$2:V760),$V$2:$V$1001,0),MATCH(COLUMNS($AC$1006:AD1006),$AC$1006:$AS$1006,0)), HYPERLINK("#",""), HYPERLINK(CONCATENATE("#Metadata!", ADDRESS(INDEX($X$2:$X$1001,MATCH(ROWS($V$2:V760),$V$2:$V$1001,0),0), INDEX($AC$1004:$AS$1004,1,MATCH(COLUMNS($AC$1006:AD1006),$AC$1006:$AS$1006,0)))),"Fix")))</f>
        <v>0</v>
      </c>
      <c r="D760" s="5">
        <f>IF(OR(INDEX($W$2:$W$1001,MATCH(ROWS($V$2:V760),$V$2:$V$1001,0),1)&gt;=100000,INDEX($AC$1005:$AS$1005,1,MATCH(COLUMNS($AC$1006:AE1006),$AC$1006:$AS$1006,0))&gt;=100000), " ",IF(INDEX($AC$2:$AS$1001,MATCH(ROWS($V$2:V760),$V$2:$V$1001,0),MATCH(COLUMNS($AC$1006:AE1006),$AC$1006:$AS$1006,0)), HYPERLINK("#",""), HYPERLINK(CONCATENATE("#Metadata!", ADDRESS(INDEX($X$2:$X$1001,MATCH(ROWS($V$2:V760),$V$2:$V$1001,0),0), INDEX($AC$1004:$AS$1004,1,MATCH(COLUMNS($AC$1006:AE1006),$AC$1006:$AS$1006,0)))),"Fix")))</f>
        <v>0</v>
      </c>
      <c r="E760" s="5">
        <f>IF(OR(INDEX($W$2:$W$1001,MATCH(ROWS($V$2:V760),$V$2:$V$1001,0),1)&gt;=100000,INDEX($AC$1005:$AS$1005,1,MATCH(COLUMNS($AC$1006:AF1006),$AC$1006:$AS$1006,0))&gt;=100000), " ",IF(INDEX($AC$2:$AS$1001,MATCH(ROWS($V$2:V760),$V$2:$V$1001,0),MATCH(COLUMNS($AC$1006:AF1006),$AC$1006:$AS$1006,0)), HYPERLINK("#",""), HYPERLINK(CONCATENATE("#Metadata!", ADDRESS(INDEX($X$2:$X$1001,MATCH(ROWS($V$2:V760),$V$2:$V$1001,0),0), INDEX($AC$1004:$AS$1004,1,MATCH(COLUMNS($AC$1006:AF1006),$AC$1006:$AS$1006,0)))),"Fix")))</f>
        <v>0</v>
      </c>
      <c r="F760" s="5">
        <f>IF(OR(INDEX($W$2:$W$1001,MATCH(ROWS($V$2:V760),$V$2:$V$1001,0),1)&gt;=100000,INDEX($AC$1005:$AS$1005,1,MATCH(COLUMNS($AC$1006:AG1006),$AC$1006:$AS$1006,0))&gt;=100000), " ",IF(INDEX($AC$2:$AS$1001,MATCH(ROWS($V$2:V760),$V$2:$V$1001,0),MATCH(COLUMNS($AC$1006:AG1006),$AC$1006:$AS$1006,0)), HYPERLINK("#",""), HYPERLINK(CONCATENATE("#Metadata!", ADDRESS(INDEX($X$2:$X$1001,MATCH(ROWS($V$2:V760),$V$2:$V$1001,0),0), INDEX($AC$1004:$AS$1004,1,MATCH(COLUMNS($AC$1006:AG1006),$AC$1006:$AS$1006,0)))),"Fix")))</f>
        <v>0</v>
      </c>
      <c r="G760" s="5">
        <f>IF(OR(INDEX($W$2:$W$1001,MATCH(ROWS($V$2:V760),$V$2:$V$1001,0),1)&gt;=100000,INDEX($AC$1005:$AS$1005,1,MATCH(COLUMNS($AC$1006:AH1006),$AC$1006:$AS$1006,0))&gt;=100000), " ",IF(INDEX($AC$2:$AS$1001,MATCH(ROWS($V$2:V760),$V$2:$V$1001,0),MATCH(COLUMNS($AC$1006:AH1006),$AC$1006:$AS$1006,0)), HYPERLINK("#",""), HYPERLINK(CONCATENATE("#Metadata!", ADDRESS(INDEX($X$2:$X$1001,MATCH(ROWS($V$2:V760),$V$2:$V$1001,0),0), INDEX($AC$1004:$AS$1004,1,MATCH(COLUMNS($AC$1006:AH1006),$AC$1006:$AS$1006,0)))),"Fix")))</f>
        <v>0</v>
      </c>
      <c r="H760" s="5">
        <f>IF(OR(INDEX($W$2:$W$1001,MATCH(ROWS($V$2:V760),$V$2:$V$1001,0),1)&gt;=100000,INDEX($AC$1005:$AS$1005,1,MATCH(COLUMNS($AC$1006:AI1006),$AC$1006:$AS$1006,0))&gt;=100000), " ",IF(INDEX($AC$2:$AS$1001,MATCH(ROWS($V$2:V760),$V$2:$V$1001,0),MATCH(COLUMNS($AC$1006:AI1006),$AC$1006:$AS$1006,0)), HYPERLINK("#",""), HYPERLINK(CONCATENATE("#Metadata!", ADDRESS(INDEX($X$2:$X$1001,MATCH(ROWS($V$2:V760),$V$2:$V$1001,0),0), INDEX($AC$1004:$AS$1004,1,MATCH(COLUMNS($AC$1006:AI1006),$AC$1006:$AS$1006,0)))),"Fix")))</f>
        <v>0</v>
      </c>
      <c r="I760" s="5">
        <f>IF(OR(INDEX($W$2:$W$1001,MATCH(ROWS($V$2:V760),$V$2:$V$1001,0),1)&gt;=100000,INDEX($AC$1005:$AS$1005,1,MATCH(COLUMNS($AC$1006:AJ1006),$AC$1006:$AS$1006,0))&gt;=100000), " ",IF(INDEX($AC$2:$AS$1001,MATCH(ROWS($V$2:V760),$V$2:$V$1001,0),MATCH(COLUMNS($AC$1006:AJ1006),$AC$1006:$AS$1006,0)), HYPERLINK("#",""), HYPERLINK(CONCATENATE("#Metadata!", ADDRESS(INDEX($X$2:$X$1001,MATCH(ROWS($V$2:V760),$V$2:$V$1001,0),0), INDEX($AC$1004:$AS$1004,1,MATCH(COLUMNS($AC$1006:AJ1006),$AC$1006:$AS$1006,0)))),"Fix")))</f>
        <v>0</v>
      </c>
      <c r="J760" s="5">
        <f>IF(OR(INDEX($W$2:$W$1001,MATCH(ROWS($V$2:V760),$V$2:$V$1001,0),1)&gt;=100000,INDEX($AC$1005:$AS$1005,1,MATCH(COLUMNS($AC$1006:AK1006),$AC$1006:$AS$1006,0))&gt;=100000), " ",IF(INDEX($AC$2:$AS$1001,MATCH(ROWS($V$2:V760),$V$2:$V$1001,0),MATCH(COLUMNS($AC$1006:AK1006),$AC$1006:$AS$1006,0)), HYPERLINK("#",""), HYPERLINK(CONCATENATE("#Metadata!", ADDRESS(INDEX($X$2:$X$1001,MATCH(ROWS($V$2:V760),$V$2:$V$1001,0),0), INDEX($AC$1004:$AS$1004,1,MATCH(COLUMNS($AC$1006:AK1006),$AC$1006:$AS$1006,0)))),"Fix")))</f>
        <v>0</v>
      </c>
      <c r="K760" s="5">
        <f>IF(OR(INDEX($W$2:$W$1001,MATCH(ROWS($V$2:V760),$V$2:$V$1001,0),1)&gt;=100000,INDEX($AC$1005:$AS$1005,1,MATCH(COLUMNS($AC$1006:AL1006),$AC$1006:$AS$1006,0))&gt;=100000), " ",IF(INDEX($AC$2:$AS$1001,MATCH(ROWS($V$2:V760),$V$2:$V$1001,0),MATCH(COLUMNS($AC$1006:AL1006),$AC$1006:$AS$1006,0)), HYPERLINK("#",""), HYPERLINK(CONCATENATE("#Metadata!", ADDRESS(INDEX($X$2:$X$1001,MATCH(ROWS($V$2:V760),$V$2:$V$1001,0),0), INDEX($AC$1004:$AS$1004,1,MATCH(COLUMNS($AC$1006:AL1006),$AC$1006:$AS$1006,0)))),"Fix")))</f>
        <v>0</v>
      </c>
      <c r="L760" s="5">
        <f>IF(OR(INDEX($W$2:$W$1001,MATCH(ROWS($V$2:V760),$V$2:$V$1001,0),1)&gt;=100000,INDEX($AC$1005:$AS$1005,1,MATCH(COLUMNS($AC$1006:AM1006),$AC$1006:$AS$1006,0))&gt;=100000), " ",IF(INDEX($AC$2:$AS$1001,MATCH(ROWS($V$2:V760),$V$2:$V$1001,0),MATCH(COLUMNS($AC$1006:AM1006),$AC$1006:$AS$1006,0)), HYPERLINK("#",""), HYPERLINK(CONCATENATE("#Metadata!", ADDRESS(INDEX($X$2:$X$1001,MATCH(ROWS($V$2:V760),$V$2:$V$1001,0),0), INDEX($AC$1004:$AS$1004,1,MATCH(COLUMNS($AC$1006:AM1006),$AC$1006:$AS$1006,0)))),"Fix")))</f>
        <v>0</v>
      </c>
      <c r="M760" s="5">
        <f>IF(OR(INDEX($W$2:$W$1001,MATCH(ROWS($V$2:V760),$V$2:$V$1001,0),1)&gt;=100000,INDEX($AC$1005:$AS$1005,1,MATCH(COLUMNS($AC$1006:AN1006),$AC$1006:$AS$1006,0))&gt;=100000), " ",IF(INDEX($AC$2:$AS$1001,MATCH(ROWS($V$2:V760),$V$2:$V$1001,0),MATCH(COLUMNS($AC$1006:AN1006),$AC$1006:$AS$1006,0)), HYPERLINK("#",""), HYPERLINK(CONCATENATE("#Metadata!", ADDRESS(INDEX($X$2:$X$1001,MATCH(ROWS($V$2:V760),$V$2:$V$1001,0),0), INDEX($AC$1004:$AS$1004,1,MATCH(COLUMNS($AC$1006:AN1006),$AC$1006:$AS$1006,0)))),"Fix")))</f>
        <v>0</v>
      </c>
      <c r="N760" s="5">
        <f>IF(OR(INDEX($W$2:$W$1001,MATCH(ROWS($V$2:V760),$V$2:$V$1001,0),1)&gt;=100000,INDEX($AC$1005:$AS$1005,1,MATCH(COLUMNS($AC$1006:AO1006),$AC$1006:$AS$1006,0))&gt;=100000), " ",IF(INDEX($AC$2:$AS$1001,MATCH(ROWS($V$2:V760),$V$2:$V$1001,0),MATCH(COLUMNS($AC$1006:AO1006),$AC$1006:$AS$1006,0)), HYPERLINK("#",""), HYPERLINK(CONCATENATE("#Metadata!", ADDRESS(INDEX($X$2:$X$1001,MATCH(ROWS($V$2:V760),$V$2:$V$1001,0),0), INDEX($AC$1004:$AS$1004,1,MATCH(COLUMNS($AC$1006:AO1006),$AC$1006:$AS$1006,0)))),"Fix")))</f>
        <v>0</v>
      </c>
      <c r="O760" s="5">
        <f>IF(OR(INDEX($W$2:$W$1001,MATCH(ROWS($V$2:V760),$V$2:$V$1001,0),1)&gt;=100000,INDEX($AC$1005:$AS$1005,1,MATCH(COLUMNS($AC$1006:AP1006),$AC$1006:$AS$1006,0))&gt;=100000), " ",IF(INDEX($AC$2:$AS$1001,MATCH(ROWS($V$2:V760),$V$2:$V$1001,0),MATCH(COLUMNS($AC$1006:AP1006),$AC$1006:$AS$1006,0)), HYPERLINK("#",""), HYPERLINK(CONCATENATE("#Metadata!", ADDRESS(INDEX($X$2:$X$1001,MATCH(ROWS($V$2:V760),$V$2:$V$1001,0),0), INDEX($AC$1004:$AS$1004,1,MATCH(COLUMNS($AC$1006:AP1006),$AC$1006:$AS$1006,0)))),"Fix")))</f>
        <v>0</v>
      </c>
      <c r="P760" s="5">
        <f>IF(OR(INDEX($W$2:$W$1001,MATCH(ROWS($V$2:V760),$V$2:$V$1001,0),1)&gt;=100000,INDEX($AC$1005:$AS$1005,1,MATCH(COLUMNS($AC$1006:AQ1006),$AC$1006:$AS$1006,0))&gt;=100000), " ",IF(INDEX($AC$2:$AS$1001,MATCH(ROWS($V$2:V760),$V$2:$V$1001,0),MATCH(COLUMNS($AC$1006:AQ1006),$AC$1006:$AS$1006,0)), HYPERLINK("#",""), HYPERLINK(CONCATENATE("#Metadata!", ADDRESS(INDEX($X$2:$X$1001,MATCH(ROWS($V$2:V760),$V$2:$V$1001,0),0), INDEX($AC$1004:$AS$1004,1,MATCH(COLUMNS($AC$1006:AQ1006),$AC$1006:$AS$1006,0)))),"Fix")))</f>
        <v>0</v>
      </c>
      <c r="Q760" s="5">
        <f>IF(OR(INDEX($W$2:$W$1001,MATCH(ROWS($V$2:V760),$V$2:$V$1001,0),1)&gt;=100000,INDEX($AC$1005:$AS$1005,1,MATCH(COLUMNS($AC$1006:AR1006),$AC$1006:$AS$1006,0))&gt;=100000), " ",IF(INDEX($AC$2:$AS$1001,MATCH(ROWS($V$2:V760),$V$2:$V$1001,0),MATCH(COLUMNS($AC$1006:AR1006),$AC$1006:$AS$1006,0)), HYPERLINK("#",""), HYPERLINK(CONCATENATE("#Metadata!", ADDRESS(INDEX($X$2:$X$1001,MATCH(ROWS($V$2:V760),$V$2:$V$1001,0),0), INDEX($AC$1004:$AS$1004,1,MATCH(COLUMNS($AC$1006:AR1006),$AC$1006:$AS$1006,0)))),"Fix")))</f>
        <v>0</v>
      </c>
      <c r="R760" s="5">
        <f>IF(OR(INDEX($W$2:$W$1001,MATCH(ROWS($V$2:V760),$V$2:$V$1001,0),1)&gt;=100000,INDEX($AC$1005:$AS$1005,1,MATCH(COLUMNS($AC$1006:AS1006),$AC$1006:$AS$1006,0))&gt;=100000), " ",IF(INDEX($AC$2:$AS$1001,MATCH(ROWS($V$2:V760),$V$2:$V$1001,0),MATCH(COLUMNS($AC$1006:AS1006),$AC$1006:$AS$1006,0)), HYPERLINK("#",""), HYPERLINK(CONCATENATE("#Metadata!", ADDRESS(INDEX($X$2:$X$1001,MATCH(ROWS($V$2:V760),$V$2:$V$1001,0),0), INDEX($AC$1004:$AS$1004,1,MATCH(COLUMNS($AC$1006:AS1006),$AC$1006:$AS$1006,0)))),"Fix")))</f>
        <v>0</v>
      </c>
      <c r="V760">
        <v>0</v>
      </c>
      <c r="W760">
        <v>0</v>
      </c>
      <c r="X760">
        <v>0</v>
      </c>
      <c r="Y760">
        <f>IF(Z760,TRUE,AND(AC760:AS760))</f>
        <v>0</v>
      </c>
      <c r="Z760">
        <f>COUNTBLANK(Metadata!B760:R760)=COLUMNS(Metadata!B760:R760)</f>
        <v>0</v>
      </c>
      <c r="AA760">
        <v>0</v>
      </c>
      <c r="AC760">
        <f>AND(IF(Metadata!B760="",FALSE,TRUE),COUNTIF(Metadata!B:B, Metadata!B760) = 1,NOT(ISERROR(SUMPRODUCT(SEARCH(MID(Metadata!B760,ROW(INDIRECT("1:"&amp;LEN(Metadata!B760))), 1),"0123456789abcdefghijklmnopqrstuvwxyzABCDEFGHIJKLMNOPQRSTUVWXYZ.")))))</f>
        <v>0</v>
      </c>
      <c r="AD760">
        <f>AND(IF(Metadata!C760="",FALSE,TRUE),exact(Metadata!C760,"Host-associated"))</f>
        <v>0</v>
      </c>
      <c r="AE760">
        <f>AND(IF(Metadata!D760="",FALSE,TRUE),OR(exact(Metadata!D760,"Animal"),exact(Metadata!D760,"Fungus"),exact(Metadata!D760,"Plant")))</f>
        <v>0</v>
      </c>
      <c r="AF760">
        <f>AND(IF(Metadata!E760="",FALSE,TRUE),OR(exact(Metadata!E760,"Plant secretion"),exact(Metadata!E760,"Plant rhizosphere"),exact(Metadata!E760,"Plant surface"),exact(Metadata!E760,"Plant corpus"),exact(Metadata!E760,"Fungus surface"),exact(Metadata!E760,"Fungus corpus"),exact(Metadata!E760,"Animal surface"),exact(Metadata!E760,"Animal proximal gut"),exact(Metadata!E760,"Animal corpus"),exact(Metadata!E760,"Animal distal gut"),exact(Metadata!E760,"Animal secretion")))</f>
        <v>0</v>
      </c>
      <c r="AG760">
        <f>OR(AND(IF(Metadata!F760="",FALSE,TRUE),OR(exact(Metadata!F760,"not collected"),exact(Metadata!F760,"not provided"),exact(Metadata!F760,"restricted access"))),AND(IF(Metadata!F760="",FALSE,TRUE),OR(exact(Metadata!F760,"organism-associated habitat"),exact(Metadata!F760,"plant-associated habitat"),exact(Metadata!F760,"animal-associated habitat"),exact(Metadata!F760,"insecta-associated habitat"),exact(Metadata!F760,"mammalia-associated habitat"),exact(Metadata!F760,"human-associated habitat"),exact(Metadata!F760,"livestock-associated habitat"))))</f>
        <v>0</v>
      </c>
      <c r="AH760">
        <f>AND(IF(Metadata!G760="",FALSE,TRUE),exact(Metadata!G760,"host-associated"))</f>
        <v>0</v>
      </c>
      <c r="AI760">
        <f>OR(AND(IF(Metadata!H760="",FALSE,TRUE),OR(exact(Metadata!H760,"not collected"),exact(Metadata!H760,"not provided"))),AND(IF(Metadata!H760="",FALSE,ISNUMBER(VALUE(Metadata!H760))),Metadata!H760&gt;0))</f>
        <v>0</v>
      </c>
      <c r="AJ760">
        <f>AND(IF(Metadata!I760="",FALSE,TRUE),exact(Metadata!I760,"years"))</f>
        <v>0</v>
      </c>
      <c r="AK760">
        <f>IF(Metadata!J760="",FALSE,TRUE)</f>
        <v>0</v>
      </c>
      <c r="AL760">
        <f>OR(AND(IF(Metadata!K760="",FALSE,TRUE),OR(exact(Metadata!K760,"not collected"),exact(Metadata!K760,"not provided"))),AND(IF(Metadata!K760="",FALSE,ISNUMBER(VALUE(Metadata!K760))),Metadata!K760&gt;0))</f>
        <v>0</v>
      </c>
      <c r="AM760">
        <f>AND(IF(Metadata!L760="",FALSE,TRUE),exact(Metadata!L760,"cm"))</f>
        <v>0</v>
      </c>
      <c r="AN760">
        <f>IF(Metadata!M760="",FALSE,TRUE)</f>
        <v>0</v>
      </c>
      <c r="AO760">
        <f>OR(AND(IF(Metadata!N760="",FALSE,TRUE),OR(exact(Metadata!N760,"not applicable"),exact(Metadata!N760,"not collected"),exact(Metadata!N760,"not provided"))),AND(IF(Metadata!N760="",FALSE,IF(ISERROR(INT(Metadata!N760)),FALSE,INT(Metadata!N760)=Metadata!N760)),Metadata!N760&gt;0))</f>
        <v>0</v>
      </c>
      <c r="AP760">
        <f>OR(AND(IF(Metadata!O760="",FALSE,TRUE),OR(exact(Metadata!O760,"not collected"),exact(Metadata!O760,"not provided"))),AND(IF(Metadata!O760="",FALSE,ISNUMBER(VALUE(Metadata!O760))),Metadata!O760&gt;0))</f>
        <v>0</v>
      </c>
      <c r="AQ760">
        <f>AND(IF(Metadata!P760="",FALSE,TRUE),exact(Metadata!P760,"kg"))</f>
        <v>0</v>
      </c>
      <c r="AR760">
        <f>OR(AND(IF(Metadata!Q760="",FALSE,TRUE),OR(exact(Metadata!Q760,"not applicable"),exact(Metadata!Q760,"not collected"),exact(Metadata!Q760,"not provided"),exact(Metadata!Q760,"restricted access"))),IF(Metadata!Q760="",FALSE,IF(ISERROR(INT(Metadata!Q760)),FALSE,INT(Metadata!Q760)=Metadata!Q760)))</f>
        <v>0</v>
      </c>
      <c r="AS760">
        <f>AND(IF(Metadata!R760="",FALSE,TRUE),exact(Metadata!R760,"Not applicable"))</f>
        <v>0</v>
      </c>
    </row>
    <row r="761" spans="1:45">
      <c r="A761" s="4">
        <f>IF(B761=" "," ",HYPERLINK(CONCATENATE("#metadata!",ADDRESS(INDEX($X$2:$X$1001,MATCH(ROWS($V$2:V761),$V$2:$V$1001,0),0),2)),INDEX($AA$2:$AA$1001,MATCH(ROWS($V$2:V761),$V$2:$V$1001,0),0)))</f>
        <v>0</v>
      </c>
      <c r="B761" s="5">
        <f>IF(OR(INDEX($W$2:$W$1001,MATCH(ROWS($V$2:V761),$V$2:$V$1001,0),1)&gt;=100000,INDEX($AC$1005:$AS$1005,1,MATCH(COLUMNS($AC$1006:AC1006),$AC$1006:$AS$1006,0))&gt;=100000), " ",IF(INDEX($AC$2:$AS$1001,MATCH(ROWS($V$2:V761),$V$2:$V$1001,0),MATCH(COLUMNS($AC$1006:AC1006),$AC$1006:$AS$1006,0)), HYPERLINK("#",""), HYPERLINK(CONCATENATE("#Metadata!", ADDRESS(INDEX($X$2:$X$1001,MATCH(ROWS($V$2:V761),$V$2:$V$1001,0),0), INDEX($AC$1004:$AS$1004,1,MATCH(COLUMNS($AC$1006:AC1006),$AC$1006:$AS$1006,0)))),"Fix")))</f>
        <v>0</v>
      </c>
      <c r="C761" s="5">
        <f>IF(OR(INDEX($W$2:$W$1001,MATCH(ROWS($V$2:V761),$V$2:$V$1001,0),1)&gt;=100000,INDEX($AC$1005:$AS$1005,1,MATCH(COLUMNS($AC$1006:AD1006),$AC$1006:$AS$1006,0))&gt;=100000), " ",IF(INDEX($AC$2:$AS$1001,MATCH(ROWS($V$2:V761),$V$2:$V$1001,0),MATCH(COLUMNS($AC$1006:AD1006),$AC$1006:$AS$1006,0)), HYPERLINK("#",""), HYPERLINK(CONCATENATE("#Metadata!", ADDRESS(INDEX($X$2:$X$1001,MATCH(ROWS($V$2:V761),$V$2:$V$1001,0),0), INDEX($AC$1004:$AS$1004,1,MATCH(COLUMNS($AC$1006:AD1006),$AC$1006:$AS$1006,0)))),"Fix")))</f>
        <v>0</v>
      </c>
      <c r="D761" s="5">
        <f>IF(OR(INDEX($W$2:$W$1001,MATCH(ROWS($V$2:V761),$V$2:$V$1001,0),1)&gt;=100000,INDEX($AC$1005:$AS$1005,1,MATCH(COLUMNS($AC$1006:AE1006),$AC$1006:$AS$1006,0))&gt;=100000), " ",IF(INDEX($AC$2:$AS$1001,MATCH(ROWS($V$2:V761),$V$2:$V$1001,0),MATCH(COLUMNS($AC$1006:AE1006),$AC$1006:$AS$1006,0)), HYPERLINK("#",""), HYPERLINK(CONCATENATE("#Metadata!", ADDRESS(INDEX($X$2:$X$1001,MATCH(ROWS($V$2:V761),$V$2:$V$1001,0),0), INDEX($AC$1004:$AS$1004,1,MATCH(COLUMNS($AC$1006:AE1006),$AC$1006:$AS$1006,0)))),"Fix")))</f>
        <v>0</v>
      </c>
      <c r="E761" s="5">
        <f>IF(OR(INDEX($W$2:$W$1001,MATCH(ROWS($V$2:V761),$V$2:$V$1001,0),1)&gt;=100000,INDEX($AC$1005:$AS$1005,1,MATCH(COLUMNS($AC$1006:AF1006),$AC$1006:$AS$1006,0))&gt;=100000), " ",IF(INDEX($AC$2:$AS$1001,MATCH(ROWS($V$2:V761),$V$2:$V$1001,0),MATCH(COLUMNS($AC$1006:AF1006),$AC$1006:$AS$1006,0)), HYPERLINK("#",""), HYPERLINK(CONCATENATE("#Metadata!", ADDRESS(INDEX($X$2:$X$1001,MATCH(ROWS($V$2:V761),$V$2:$V$1001,0),0), INDEX($AC$1004:$AS$1004,1,MATCH(COLUMNS($AC$1006:AF1006),$AC$1006:$AS$1006,0)))),"Fix")))</f>
        <v>0</v>
      </c>
      <c r="F761" s="5">
        <f>IF(OR(INDEX($W$2:$W$1001,MATCH(ROWS($V$2:V761),$V$2:$V$1001,0),1)&gt;=100000,INDEX($AC$1005:$AS$1005,1,MATCH(COLUMNS($AC$1006:AG1006),$AC$1006:$AS$1006,0))&gt;=100000), " ",IF(INDEX($AC$2:$AS$1001,MATCH(ROWS($V$2:V761),$V$2:$V$1001,0),MATCH(COLUMNS($AC$1006:AG1006),$AC$1006:$AS$1006,0)), HYPERLINK("#",""), HYPERLINK(CONCATENATE("#Metadata!", ADDRESS(INDEX($X$2:$X$1001,MATCH(ROWS($V$2:V761),$V$2:$V$1001,0),0), INDEX($AC$1004:$AS$1004,1,MATCH(COLUMNS($AC$1006:AG1006),$AC$1006:$AS$1006,0)))),"Fix")))</f>
        <v>0</v>
      </c>
      <c r="G761" s="5">
        <f>IF(OR(INDEX($W$2:$W$1001,MATCH(ROWS($V$2:V761),$V$2:$V$1001,0),1)&gt;=100000,INDEX($AC$1005:$AS$1005,1,MATCH(COLUMNS($AC$1006:AH1006),$AC$1006:$AS$1006,0))&gt;=100000), " ",IF(INDEX($AC$2:$AS$1001,MATCH(ROWS($V$2:V761),$V$2:$V$1001,0),MATCH(COLUMNS($AC$1006:AH1006),$AC$1006:$AS$1006,0)), HYPERLINK("#",""), HYPERLINK(CONCATENATE("#Metadata!", ADDRESS(INDEX($X$2:$X$1001,MATCH(ROWS($V$2:V761),$V$2:$V$1001,0),0), INDEX($AC$1004:$AS$1004,1,MATCH(COLUMNS($AC$1006:AH1006),$AC$1006:$AS$1006,0)))),"Fix")))</f>
        <v>0</v>
      </c>
      <c r="H761" s="5">
        <f>IF(OR(INDEX($W$2:$W$1001,MATCH(ROWS($V$2:V761),$V$2:$V$1001,0),1)&gt;=100000,INDEX($AC$1005:$AS$1005,1,MATCH(COLUMNS($AC$1006:AI1006),$AC$1006:$AS$1006,0))&gt;=100000), " ",IF(INDEX($AC$2:$AS$1001,MATCH(ROWS($V$2:V761),$V$2:$V$1001,0),MATCH(COLUMNS($AC$1006:AI1006),$AC$1006:$AS$1006,0)), HYPERLINK("#",""), HYPERLINK(CONCATENATE("#Metadata!", ADDRESS(INDEX($X$2:$X$1001,MATCH(ROWS($V$2:V761),$V$2:$V$1001,0),0), INDEX($AC$1004:$AS$1004,1,MATCH(COLUMNS($AC$1006:AI1006),$AC$1006:$AS$1006,0)))),"Fix")))</f>
        <v>0</v>
      </c>
      <c r="I761" s="5">
        <f>IF(OR(INDEX($W$2:$W$1001,MATCH(ROWS($V$2:V761),$V$2:$V$1001,0),1)&gt;=100000,INDEX($AC$1005:$AS$1005,1,MATCH(COLUMNS($AC$1006:AJ1006),$AC$1006:$AS$1006,0))&gt;=100000), " ",IF(INDEX($AC$2:$AS$1001,MATCH(ROWS($V$2:V761),$V$2:$V$1001,0),MATCH(COLUMNS($AC$1006:AJ1006),$AC$1006:$AS$1006,0)), HYPERLINK("#",""), HYPERLINK(CONCATENATE("#Metadata!", ADDRESS(INDEX($X$2:$X$1001,MATCH(ROWS($V$2:V761),$V$2:$V$1001,0),0), INDEX($AC$1004:$AS$1004,1,MATCH(COLUMNS($AC$1006:AJ1006),$AC$1006:$AS$1006,0)))),"Fix")))</f>
        <v>0</v>
      </c>
      <c r="J761" s="5">
        <f>IF(OR(INDEX($W$2:$W$1001,MATCH(ROWS($V$2:V761),$V$2:$V$1001,0),1)&gt;=100000,INDEX($AC$1005:$AS$1005,1,MATCH(COLUMNS($AC$1006:AK1006),$AC$1006:$AS$1006,0))&gt;=100000), " ",IF(INDEX($AC$2:$AS$1001,MATCH(ROWS($V$2:V761),$V$2:$V$1001,0),MATCH(COLUMNS($AC$1006:AK1006),$AC$1006:$AS$1006,0)), HYPERLINK("#",""), HYPERLINK(CONCATENATE("#Metadata!", ADDRESS(INDEX($X$2:$X$1001,MATCH(ROWS($V$2:V761),$V$2:$V$1001,0),0), INDEX($AC$1004:$AS$1004,1,MATCH(COLUMNS($AC$1006:AK1006),$AC$1006:$AS$1006,0)))),"Fix")))</f>
        <v>0</v>
      </c>
      <c r="K761" s="5">
        <f>IF(OR(INDEX($W$2:$W$1001,MATCH(ROWS($V$2:V761),$V$2:$V$1001,0),1)&gt;=100000,INDEX($AC$1005:$AS$1005,1,MATCH(COLUMNS($AC$1006:AL1006),$AC$1006:$AS$1006,0))&gt;=100000), " ",IF(INDEX($AC$2:$AS$1001,MATCH(ROWS($V$2:V761),$V$2:$V$1001,0),MATCH(COLUMNS($AC$1006:AL1006),$AC$1006:$AS$1006,0)), HYPERLINK("#",""), HYPERLINK(CONCATENATE("#Metadata!", ADDRESS(INDEX($X$2:$X$1001,MATCH(ROWS($V$2:V761),$V$2:$V$1001,0),0), INDEX($AC$1004:$AS$1004,1,MATCH(COLUMNS($AC$1006:AL1006),$AC$1006:$AS$1006,0)))),"Fix")))</f>
        <v>0</v>
      </c>
      <c r="L761" s="5">
        <f>IF(OR(INDEX($W$2:$W$1001,MATCH(ROWS($V$2:V761),$V$2:$V$1001,0),1)&gt;=100000,INDEX($AC$1005:$AS$1005,1,MATCH(COLUMNS($AC$1006:AM1006),$AC$1006:$AS$1006,0))&gt;=100000), " ",IF(INDEX($AC$2:$AS$1001,MATCH(ROWS($V$2:V761),$V$2:$V$1001,0),MATCH(COLUMNS($AC$1006:AM1006),$AC$1006:$AS$1006,0)), HYPERLINK("#",""), HYPERLINK(CONCATENATE("#Metadata!", ADDRESS(INDEX($X$2:$X$1001,MATCH(ROWS($V$2:V761),$V$2:$V$1001,0),0), INDEX($AC$1004:$AS$1004,1,MATCH(COLUMNS($AC$1006:AM1006),$AC$1006:$AS$1006,0)))),"Fix")))</f>
        <v>0</v>
      </c>
      <c r="M761" s="5">
        <f>IF(OR(INDEX($W$2:$W$1001,MATCH(ROWS($V$2:V761),$V$2:$V$1001,0),1)&gt;=100000,INDEX($AC$1005:$AS$1005,1,MATCH(COLUMNS($AC$1006:AN1006),$AC$1006:$AS$1006,0))&gt;=100000), " ",IF(INDEX($AC$2:$AS$1001,MATCH(ROWS($V$2:V761),$V$2:$V$1001,0),MATCH(COLUMNS($AC$1006:AN1006),$AC$1006:$AS$1006,0)), HYPERLINK("#",""), HYPERLINK(CONCATENATE("#Metadata!", ADDRESS(INDEX($X$2:$X$1001,MATCH(ROWS($V$2:V761),$V$2:$V$1001,0),0), INDEX($AC$1004:$AS$1004,1,MATCH(COLUMNS($AC$1006:AN1006),$AC$1006:$AS$1006,0)))),"Fix")))</f>
        <v>0</v>
      </c>
      <c r="N761" s="5">
        <f>IF(OR(INDEX($W$2:$W$1001,MATCH(ROWS($V$2:V761),$V$2:$V$1001,0),1)&gt;=100000,INDEX($AC$1005:$AS$1005,1,MATCH(COLUMNS($AC$1006:AO1006),$AC$1006:$AS$1006,0))&gt;=100000), " ",IF(INDEX($AC$2:$AS$1001,MATCH(ROWS($V$2:V761),$V$2:$V$1001,0),MATCH(COLUMNS($AC$1006:AO1006),$AC$1006:$AS$1006,0)), HYPERLINK("#",""), HYPERLINK(CONCATENATE("#Metadata!", ADDRESS(INDEX($X$2:$X$1001,MATCH(ROWS($V$2:V761),$V$2:$V$1001,0),0), INDEX($AC$1004:$AS$1004,1,MATCH(COLUMNS($AC$1006:AO1006),$AC$1006:$AS$1006,0)))),"Fix")))</f>
        <v>0</v>
      </c>
      <c r="O761" s="5">
        <f>IF(OR(INDEX($W$2:$W$1001,MATCH(ROWS($V$2:V761),$V$2:$V$1001,0),1)&gt;=100000,INDEX($AC$1005:$AS$1005,1,MATCH(COLUMNS($AC$1006:AP1006),$AC$1006:$AS$1006,0))&gt;=100000), " ",IF(INDEX($AC$2:$AS$1001,MATCH(ROWS($V$2:V761),$V$2:$V$1001,0),MATCH(COLUMNS($AC$1006:AP1006),$AC$1006:$AS$1006,0)), HYPERLINK("#",""), HYPERLINK(CONCATENATE("#Metadata!", ADDRESS(INDEX($X$2:$X$1001,MATCH(ROWS($V$2:V761),$V$2:$V$1001,0),0), INDEX($AC$1004:$AS$1004,1,MATCH(COLUMNS($AC$1006:AP1006),$AC$1006:$AS$1006,0)))),"Fix")))</f>
        <v>0</v>
      </c>
      <c r="P761" s="5">
        <f>IF(OR(INDEX($W$2:$W$1001,MATCH(ROWS($V$2:V761),$V$2:$V$1001,0),1)&gt;=100000,INDEX($AC$1005:$AS$1005,1,MATCH(COLUMNS($AC$1006:AQ1006),$AC$1006:$AS$1006,0))&gt;=100000), " ",IF(INDEX($AC$2:$AS$1001,MATCH(ROWS($V$2:V761),$V$2:$V$1001,0),MATCH(COLUMNS($AC$1006:AQ1006),$AC$1006:$AS$1006,0)), HYPERLINK("#",""), HYPERLINK(CONCATENATE("#Metadata!", ADDRESS(INDEX($X$2:$X$1001,MATCH(ROWS($V$2:V761),$V$2:$V$1001,0),0), INDEX($AC$1004:$AS$1004,1,MATCH(COLUMNS($AC$1006:AQ1006),$AC$1006:$AS$1006,0)))),"Fix")))</f>
        <v>0</v>
      </c>
      <c r="Q761" s="5">
        <f>IF(OR(INDEX($W$2:$W$1001,MATCH(ROWS($V$2:V761),$V$2:$V$1001,0),1)&gt;=100000,INDEX($AC$1005:$AS$1005,1,MATCH(COLUMNS($AC$1006:AR1006),$AC$1006:$AS$1006,0))&gt;=100000), " ",IF(INDEX($AC$2:$AS$1001,MATCH(ROWS($V$2:V761),$V$2:$V$1001,0),MATCH(COLUMNS($AC$1006:AR1006),$AC$1006:$AS$1006,0)), HYPERLINK("#",""), HYPERLINK(CONCATENATE("#Metadata!", ADDRESS(INDEX($X$2:$X$1001,MATCH(ROWS($V$2:V761),$V$2:$V$1001,0),0), INDEX($AC$1004:$AS$1004,1,MATCH(COLUMNS($AC$1006:AR1006),$AC$1006:$AS$1006,0)))),"Fix")))</f>
        <v>0</v>
      </c>
      <c r="R761" s="5">
        <f>IF(OR(INDEX($W$2:$W$1001,MATCH(ROWS($V$2:V761),$V$2:$V$1001,0),1)&gt;=100000,INDEX($AC$1005:$AS$1005,1,MATCH(COLUMNS($AC$1006:AS1006),$AC$1006:$AS$1006,0))&gt;=100000), " ",IF(INDEX($AC$2:$AS$1001,MATCH(ROWS($V$2:V761),$V$2:$V$1001,0),MATCH(COLUMNS($AC$1006:AS1006),$AC$1006:$AS$1006,0)), HYPERLINK("#",""), HYPERLINK(CONCATENATE("#Metadata!", ADDRESS(INDEX($X$2:$X$1001,MATCH(ROWS($V$2:V761),$V$2:$V$1001,0),0), INDEX($AC$1004:$AS$1004,1,MATCH(COLUMNS($AC$1006:AS1006),$AC$1006:$AS$1006,0)))),"Fix")))</f>
        <v>0</v>
      </c>
      <c r="V761">
        <v>0</v>
      </c>
      <c r="W761">
        <v>0</v>
      </c>
      <c r="X761">
        <v>0</v>
      </c>
      <c r="Y761">
        <f>IF(Z761,TRUE,AND(AC761:AS761))</f>
        <v>0</v>
      </c>
      <c r="Z761">
        <f>COUNTBLANK(Metadata!B761:R761)=COLUMNS(Metadata!B761:R761)</f>
        <v>0</v>
      </c>
      <c r="AA761">
        <v>0</v>
      </c>
      <c r="AC761">
        <f>AND(IF(Metadata!B761="",FALSE,TRUE),COUNTIF(Metadata!B:B, Metadata!B761) = 1,NOT(ISERROR(SUMPRODUCT(SEARCH(MID(Metadata!B761,ROW(INDIRECT("1:"&amp;LEN(Metadata!B761))), 1),"0123456789abcdefghijklmnopqrstuvwxyzABCDEFGHIJKLMNOPQRSTUVWXYZ.")))))</f>
        <v>0</v>
      </c>
      <c r="AD761">
        <f>AND(IF(Metadata!C761="",FALSE,TRUE),exact(Metadata!C761,"Host-associated"))</f>
        <v>0</v>
      </c>
      <c r="AE761">
        <f>AND(IF(Metadata!D761="",FALSE,TRUE),OR(exact(Metadata!D761,"Animal"),exact(Metadata!D761,"Fungus"),exact(Metadata!D761,"Plant")))</f>
        <v>0</v>
      </c>
      <c r="AF761">
        <f>AND(IF(Metadata!E761="",FALSE,TRUE),OR(exact(Metadata!E761,"Plant secretion"),exact(Metadata!E761,"Plant rhizosphere"),exact(Metadata!E761,"Plant surface"),exact(Metadata!E761,"Plant corpus"),exact(Metadata!E761,"Fungus surface"),exact(Metadata!E761,"Fungus corpus"),exact(Metadata!E761,"Animal surface"),exact(Metadata!E761,"Animal proximal gut"),exact(Metadata!E761,"Animal corpus"),exact(Metadata!E761,"Animal distal gut"),exact(Metadata!E761,"Animal secretion")))</f>
        <v>0</v>
      </c>
      <c r="AG761">
        <f>OR(AND(IF(Metadata!F761="",FALSE,TRUE),OR(exact(Metadata!F761,"not collected"),exact(Metadata!F761,"not provided"),exact(Metadata!F761,"restricted access"))),AND(IF(Metadata!F761="",FALSE,TRUE),OR(exact(Metadata!F761,"organism-associated habitat"),exact(Metadata!F761,"plant-associated habitat"),exact(Metadata!F761,"animal-associated habitat"),exact(Metadata!F761,"insecta-associated habitat"),exact(Metadata!F761,"mammalia-associated habitat"),exact(Metadata!F761,"human-associated habitat"),exact(Metadata!F761,"livestock-associated habitat"))))</f>
        <v>0</v>
      </c>
      <c r="AH761">
        <f>AND(IF(Metadata!G761="",FALSE,TRUE),exact(Metadata!G761,"host-associated"))</f>
        <v>0</v>
      </c>
      <c r="AI761">
        <f>OR(AND(IF(Metadata!H761="",FALSE,TRUE),OR(exact(Metadata!H761,"not collected"),exact(Metadata!H761,"not provided"))),AND(IF(Metadata!H761="",FALSE,ISNUMBER(VALUE(Metadata!H761))),Metadata!H761&gt;0))</f>
        <v>0</v>
      </c>
      <c r="AJ761">
        <f>AND(IF(Metadata!I761="",FALSE,TRUE),exact(Metadata!I761,"years"))</f>
        <v>0</v>
      </c>
      <c r="AK761">
        <f>IF(Metadata!J761="",FALSE,TRUE)</f>
        <v>0</v>
      </c>
      <c r="AL761">
        <f>OR(AND(IF(Metadata!K761="",FALSE,TRUE),OR(exact(Metadata!K761,"not collected"),exact(Metadata!K761,"not provided"))),AND(IF(Metadata!K761="",FALSE,ISNUMBER(VALUE(Metadata!K761))),Metadata!K761&gt;0))</f>
        <v>0</v>
      </c>
      <c r="AM761">
        <f>AND(IF(Metadata!L761="",FALSE,TRUE),exact(Metadata!L761,"cm"))</f>
        <v>0</v>
      </c>
      <c r="AN761">
        <f>IF(Metadata!M761="",FALSE,TRUE)</f>
        <v>0</v>
      </c>
      <c r="AO761">
        <f>OR(AND(IF(Metadata!N761="",FALSE,TRUE),OR(exact(Metadata!N761,"not applicable"),exact(Metadata!N761,"not collected"),exact(Metadata!N761,"not provided"))),AND(IF(Metadata!N761="",FALSE,IF(ISERROR(INT(Metadata!N761)),FALSE,INT(Metadata!N761)=Metadata!N761)),Metadata!N761&gt;0))</f>
        <v>0</v>
      </c>
      <c r="AP761">
        <f>OR(AND(IF(Metadata!O761="",FALSE,TRUE),OR(exact(Metadata!O761,"not collected"),exact(Metadata!O761,"not provided"))),AND(IF(Metadata!O761="",FALSE,ISNUMBER(VALUE(Metadata!O761))),Metadata!O761&gt;0))</f>
        <v>0</v>
      </c>
      <c r="AQ761">
        <f>AND(IF(Metadata!P761="",FALSE,TRUE),exact(Metadata!P761,"kg"))</f>
        <v>0</v>
      </c>
      <c r="AR761">
        <f>OR(AND(IF(Metadata!Q761="",FALSE,TRUE),OR(exact(Metadata!Q761,"not applicable"),exact(Metadata!Q761,"not collected"),exact(Metadata!Q761,"not provided"),exact(Metadata!Q761,"restricted access"))),IF(Metadata!Q761="",FALSE,IF(ISERROR(INT(Metadata!Q761)),FALSE,INT(Metadata!Q761)=Metadata!Q761)))</f>
        <v>0</v>
      </c>
      <c r="AS761">
        <f>AND(IF(Metadata!R761="",FALSE,TRUE),exact(Metadata!R761,"Not applicable"))</f>
        <v>0</v>
      </c>
    </row>
    <row r="762" spans="1:45">
      <c r="A762" s="4">
        <f>IF(B762=" "," ",HYPERLINK(CONCATENATE("#metadata!",ADDRESS(INDEX($X$2:$X$1001,MATCH(ROWS($V$2:V762),$V$2:$V$1001,0),0),2)),INDEX($AA$2:$AA$1001,MATCH(ROWS($V$2:V762),$V$2:$V$1001,0),0)))</f>
        <v>0</v>
      </c>
      <c r="B762" s="5">
        <f>IF(OR(INDEX($W$2:$W$1001,MATCH(ROWS($V$2:V762),$V$2:$V$1001,0),1)&gt;=100000,INDEX($AC$1005:$AS$1005,1,MATCH(COLUMNS($AC$1006:AC1006),$AC$1006:$AS$1006,0))&gt;=100000), " ",IF(INDEX($AC$2:$AS$1001,MATCH(ROWS($V$2:V762),$V$2:$V$1001,0),MATCH(COLUMNS($AC$1006:AC1006),$AC$1006:$AS$1006,0)), HYPERLINK("#",""), HYPERLINK(CONCATENATE("#Metadata!", ADDRESS(INDEX($X$2:$X$1001,MATCH(ROWS($V$2:V762),$V$2:$V$1001,0),0), INDEX($AC$1004:$AS$1004,1,MATCH(COLUMNS($AC$1006:AC1006),$AC$1006:$AS$1006,0)))),"Fix")))</f>
        <v>0</v>
      </c>
      <c r="C762" s="5">
        <f>IF(OR(INDEX($W$2:$W$1001,MATCH(ROWS($V$2:V762),$V$2:$V$1001,0),1)&gt;=100000,INDEX($AC$1005:$AS$1005,1,MATCH(COLUMNS($AC$1006:AD1006),$AC$1006:$AS$1006,0))&gt;=100000), " ",IF(INDEX($AC$2:$AS$1001,MATCH(ROWS($V$2:V762),$V$2:$V$1001,0),MATCH(COLUMNS($AC$1006:AD1006),$AC$1006:$AS$1006,0)), HYPERLINK("#",""), HYPERLINK(CONCATENATE("#Metadata!", ADDRESS(INDEX($X$2:$X$1001,MATCH(ROWS($V$2:V762),$V$2:$V$1001,0),0), INDEX($AC$1004:$AS$1004,1,MATCH(COLUMNS($AC$1006:AD1006),$AC$1006:$AS$1006,0)))),"Fix")))</f>
        <v>0</v>
      </c>
      <c r="D762" s="5">
        <f>IF(OR(INDEX($W$2:$W$1001,MATCH(ROWS($V$2:V762),$V$2:$V$1001,0),1)&gt;=100000,INDEX($AC$1005:$AS$1005,1,MATCH(COLUMNS($AC$1006:AE1006),$AC$1006:$AS$1006,0))&gt;=100000), " ",IF(INDEX($AC$2:$AS$1001,MATCH(ROWS($V$2:V762),$V$2:$V$1001,0),MATCH(COLUMNS($AC$1006:AE1006),$AC$1006:$AS$1006,0)), HYPERLINK("#",""), HYPERLINK(CONCATENATE("#Metadata!", ADDRESS(INDEX($X$2:$X$1001,MATCH(ROWS($V$2:V762),$V$2:$V$1001,0),0), INDEX($AC$1004:$AS$1004,1,MATCH(COLUMNS($AC$1006:AE1006),$AC$1006:$AS$1006,0)))),"Fix")))</f>
        <v>0</v>
      </c>
      <c r="E762" s="5">
        <f>IF(OR(INDEX($W$2:$W$1001,MATCH(ROWS($V$2:V762),$V$2:$V$1001,0),1)&gt;=100000,INDEX($AC$1005:$AS$1005,1,MATCH(COLUMNS($AC$1006:AF1006),$AC$1006:$AS$1006,0))&gt;=100000), " ",IF(INDEX($AC$2:$AS$1001,MATCH(ROWS($V$2:V762),$V$2:$V$1001,0),MATCH(COLUMNS($AC$1006:AF1006),$AC$1006:$AS$1006,0)), HYPERLINK("#",""), HYPERLINK(CONCATENATE("#Metadata!", ADDRESS(INDEX($X$2:$X$1001,MATCH(ROWS($V$2:V762),$V$2:$V$1001,0),0), INDEX($AC$1004:$AS$1004,1,MATCH(COLUMNS($AC$1006:AF1006),$AC$1006:$AS$1006,0)))),"Fix")))</f>
        <v>0</v>
      </c>
      <c r="F762" s="5">
        <f>IF(OR(INDEX($W$2:$W$1001,MATCH(ROWS($V$2:V762),$V$2:$V$1001,0),1)&gt;=100000,INDEX($AC$1005:$AS$1005,1,MATCH(COLUMNS($AC$1006:AG1006),$AC$1006:$AS$1006,0))&gt;=100000), " ",IF(INDEX($AC$2:$AS$1001,MATCH(ROWS($V$2:V762),$V$2:$V$1001,0),MATCH(COLUMNS($AC$1006:AG1006),$AC$1006:$AS$1006,0)), HYPERLINK("#",""), HYPERLINK(CONCATENATE("#Metadata!", ADDRESS(INDEX($X$2:$X$1001,MATCH(ROWS($V$2:V762),$V$2:$V$1001,0),0), INDEX($AC$1004:$AS$1004,1,MATCH(COLUMNS($AC$1006:AG1006),$AC$1006:$AS$1006,0)))),"Fix")))</f>
        <v>0</v>
      </c>
      <c r="G762" s="5">
        <f>IF(OR(INDEX($W$2:$W$1001,MATCH(ROWS($V$2:V762),$V$2:$V$1001,0),1)&gt;=100000,INDEX($AC$1005:$AS$1005,1,MATCH(COLUMNS($AC$1006:AH1006),$AC$1006:$AS$1006,0))&gt;=100000), " ",IF(INDEX($AC$2:$AS$1001,MATCH(ROWS($V$2:V762),$V$2:$V$1001,0),MATCH(COLUMNS($AC$1006:AH1006),$AC$1006:$AS$1006,0)), HYPERLINK("#",""), HYPERLINK(CONCATENATE("#Metadata!", ADDRESS(INDEX($X$2:$X$1001,MATCH(ROWS($V$2:V762),$V$2:$V$1001,0),0), INDEX($AC$1004:$AS$1004,1,MATCH(COLUMNS($AC$1006:AH1006),$AC$1006:$AS$1006,0)))),"Fix")))</f>
        <v>0</v>
      </c>
      <c r="H762" s="5">
        <f>IF(OR(INDEX($W$2:$W$1001,MATCH(ROWS($V$2:V762),$V$2:$V$1001,0),1)&gt;=100000,INDEX($AC$1005:$AS$1005,1,MATCH(COLUMNS($AC$1006:AI1006),$AC$1006:$AS$1006,0))&gt;=100000), " ",IF(INDEX($AC$2:$AS$1001,MATCH(ROWS($V$2:V762),$V$2:$V$1001,0),MATCH(COLUMNS($AC$1006:AI1006),$AC$1006:$AS$1006,0)), HYPERLINK("#",""), HYPERLINK(CONCATENATE("#Metadata!", ADDRESS(INDEX($X$2:$X$1001,MATCH(ROWS($V$2:V762),$V$2:$V$1001,0),0), INDEX($AC$1004:$AS$1004,1,MATCH(COLUMNS($AC$1006:AI1006),$AC$1006:$AS$1006,0)))),"Fix")))</f>
        <v>0</v>
      </c>
      <c r="I762" s="5">
        <f>IF(OR(INDEX($W$2:$W$1001,MATCH(ROWS($V$2:V762),$V$2:$V$1001,0),1)&gt;=100000,INDEX($AC$1005:$AS$1005,1,MATCH(COLUMNS($AC$1006:AJ1006),$AC$1006:$AS$1006,0))&gt;=100000), " ",IF(INDEX($AC$2:$AS$1001,MATCH(ROWS($V$2:V762),$V$2:$V$1001,0),MATCH(COLUMNS($AC$1006:AJ1006),$AC$1006:$AS$1006,0)), HYPERLINK("#",""), HYPERLINK(CONCATENATE("#Metadata!", ADDRESS(INDEX($X$2:$X$1001,MATCH(ROWS($V$2:V762),$V$2:$V$1001,0),0), INDEX($AC$1004:$AS$1004,1,MATCH(COLUMNS($AC$1006:AJ1006),$AC$1006:$AS$1006,0)))),"Fix")))</f>
        <v>0</v>
      </c>
      <c r="J762" s="5">
        <f>IF(OR(INDEX($W$2:$W$1001,MATCH(ROWS($V$2:V762),$V$2:$V$1001,0),1)&gt;=100000,INDEX($AC$1005:$AS$1005,1,MATCH(COLUMNS($AC$1006:AK1006),$AC$1006:$AS$1006,0))&gt;=100000), " ",IF(INDEX($AC$2:$AS$1001,MATCH(ROWS($V$2:V762),$V$2:$V$1001,0),MATCH(COLUMNS($AC$1006:AK1006),$AC$1006:$AS$1006,0)), HYPERLINK("#",""), HYPERLINK(CONCATENATE("#Metadata!", ADDRESS(INDEX($X$2:$X$1001,MATCH(ROWS($V$2:V762),$V$2:$V$1001,0),0), INDEX($AC$1004:$AS$1004,1,MATCH(COLUMNS($AC$1006:AK1006),$AC$1006:$AS$1006,0)))),"Fix")))</f>
        <v>0</v>
      </c>
      <c r="K762" s="5">
        <f>IF(OR(INDEX($W$2:$W$1001,MATCH(ROWS($V$2:V762),$V$2:$V$1001,0),1)&gt;=100000,INDEX($AC$1005:$AS$1005,1,MATCH(COLUMNS($AC$1006:AL1006),$AC$1006:$AS$1006,0))&gt;=100000), " ",IF(INDEX($AC$2:$AS$1001,MATCH(ROWS($V$2:V762),$V$2:$V$1001,0),MATCH(COLUMNS($AC$1006:AL1006),$AC$1006:$AS$1006,0)), HYPERLINK("#",""), HYPERLINK(CONCATENATE("#Metadata!", ADDRESS(INDEX($X$2:$X$1001,MATCH(ROWS($V$2:V762),$V$2:$V$1001,0),0), INDEX($AC$1004:$AS$1004,1,MATCH(COLUMNS($AC$1006:AL1006),$AC$1006:$AS$1006,0)))),"Fix")))</f>
        <v>0</v>
      </c>
      <c r="L762" s="5">
        <f>IF(OR(INDEX($W$2:$W$1001,MATCH(ROWS($V$2:V762),$V$2:$V$1001,0),1)&gt;=100000,INDEX($AC$1005:$AS$1005,1,MATCH(COLUMNS($AC$1006:AM1006),$AC$1006:$AS$1006,0))&gt;=100000), " ",IF(INDEX($AC$2:$AS$1001,MATCH(ROWS($V$2:V762),$V$2:$V$1001,0),MATCH(COLUMNS($AC$1006:AM1006),$AC$1006:$AS$1006,0)), HYPERLINK("#",""), HYPERLINK(CONCATENATE("#Metadata!", ADDRESS(INDEX($X$2:$X$1001,MATCH(ROWS($V$2:V762),$V$2:$V$1001,0),0), INDEX($AC$1004:$AS$1004,1,MATCH(COLUMNS($AC$1006:AM1006),$AC$1006:$AS$1006,0)))),"Fix")))</f>
        <v>0</v>
      </c>
      <c r="M762" s="5">
        <f>IF(OR(INDEX($W$2:$W$1001,MATCH(ROWS($V$2:V762),$V$2:$V$1001,0),1)&gt;=100000,INDEX($AC$1005:$AS$1005,1,MATCH(COLUMNS($AC$1006:AN1006),$AC$1006:$AS$1006,0))&gt;=100000), " ",IF(INDEX($AC$2:$AS$1001,MATCH(ROWS($V$2:V762),$V$2:$V$1001,0),MATCH(COLUMNS($AC$1006:AN1006),$AC$1006:$AS$1006,0)), HYPERLINK("#",""), HYPERLINK(CONCATENATE("#Metadata!", ADDRESS(INDEX($X$2:$X$1001,MATCH(ROWS($V$2:V762),$V$2:$V$1001,0),0), INDEX($AC$1004:$AS$1004,1,MATCH(COLUMNS($AC$1006:AN1006),$AC$1006:$AS$1006,0)))),"Fix")))</f>
        <v>0</v>
      </c>
      <c r="N762" s="5">
        <f>IF(OR(INDEX($W$2:$W$1001,MATCH(ROWS($V$2:V762),$V$2:$V$1001,0),1)&gt;=100000,INDEX($AC$1005:$AS$1005,1,MATCH(COLUMNS($AC$1006:AO1006),$AC$1006:$AS$1006,0))&gt;=100000), " ",IF(INDEX($AC$2:$AS$1001,MATCH(ROWS($V$2:V762),$V$2:$V$1001,0),MATCH(COLUMNS($AC$1006:AO1006),$AC$1006:$AS$1006,0)), HYPERLINK("#",""), HYPERLINK(CONCATENATE("#Metadata!", ADDRESS(INDEX($X$2:$X$1001,MATCH(ROWS($V$2:V762),$V$2:$V$1001,0),0), INDEX($AC$1004:$AS$1004,1,MATCH(COLUMNS($AC$1006:AO1006),$AC$1006:$AS$1006,0)))),"Fix")))</f>
        <v>0</v>
      </c>
      <c r="O762" s="5">
        <f>IF(OR(INDEX($W$2:$W$1001,MATCH(ROWS($V$2:V762),$V$2:$V$1001,0),1)&gt;=100000,INDEX($AC$1005:$AS$1005,1,MATCH(COLUMNS($AC$1006:AP1006),$AC$1006:$AS$1006,0))&gt;=100000), " ",IF(INDEX($AC$2:$AS$1001,MATCH(ROWS($V$2:V762),$V$2:$V$1001,0),MATCH(COLUMNS($AC$1006:AP1006),$AC$1006:$AS$1006,0)), HYPERLINK("#",""), HYPERLINK(CONCATENATE("#Metadata!", ADDRESS(INDEX($X$2:$X$1001,MATCH(ROWS($V$2:V762),$V$2:$V$1001,0),0), INDEX($AC$1004:$AS$1004,1,MATCH(COLUMNS($AC$1006:AP1006),$AC$1006:$AS$1006,0)))),"Fix")))</f>
        <v>0</v>
      </c>
      <c r="P762" s="5">
        <f>IF(OR(INDEX($W$2:$W$1001,MATCH(ROWS($V$2:V762),$V$2:$V$1001,0),1)&gt;=100000,INDEX($AC$1005:$AS$1005,1,MATCH(COLUMNS($AC$1006:AQ1006),$AC$1006:$AS$1006,0))&gt;=100000), " ",IF(INDEX($AC$2:$AS$1001,MATCH(ROWS($V$2:V762),$V$2:$V$1001,0),MATCH(COLUMNS($AC$1006:AQ1006),$AC$1006:$AS$1006,0)), HYPERLINK("#",""), HYPERLINK(CONCATENATE("#Metadata!", ADDRESS(INDEX($X$2:$X$1001,MATCH(ROWS($V$2:V762),$V$2:$V$1001,0),0), INDEX($AC$1004:$AS$1004,1,MATCH(COLUMNS($AC$1006:AQ1006),$AC$1006:$AS$1006,0)))),"Fix")))</f>
        <v>0</v>
      </c>
      <c r="Q762" s="5">
        <f>IF(OR(INDEX($W$2:$W$1001,MATCH(ROWS($V$2:V762),$V$2:$V$1001,0),1)&gt;=100000,INDEX($AC$1005:$AS$1005,1,MATCH(COLUMNS($AC$1006:AR1006),$AC$1006:$AS$1006,0))&gt;=100000), " ",IF(INDEX($AC$2:$AS$1001,MATCH(ROWS($V$2:V762),$V$2:$V$1001,0),MATCH(COLUMNS($AC$1006:AR1006),$AC$1006:$AS$1006,0)), HYPERLINK("#",""), HYPERLINK(CONCATENATE("#Metadata!", ADDRESS(INDEX($X$2:$X$1001,MATCH(ROWS($V$2:V762),$V$2:$V$1001,0),0), INDEX($AC$1004:$AS$1004,1,MATCH(COLUMNS($AC$1006:AR1006),$AC$1006:$AS$1006,0)))),"Fix")))</f>
        <v>0</v>
      </c>
      <c r="R762" s="5">
        <f>IF(OR(INDEX($W$2:$W$1001,MATCH(ROWS($V$2:V762),$V$2:$V$1001,0),1)&gt;=100000,INDEX($AC$1005:$AS$1005,1,MATCH(COLUMNS($AC$1006:AS1006),$AC$1006:$AS$1006,0))&gt;=100000), " ",IF(INDEX($AC$2:$AS$1001,MATCH(ROWS($V$2:V762),$V$2:$V$1001,0),MATCH(COLUMNS($AC$1006:AS1006),$AC$1006:$AS$1006,0)), HYPERLINK("#",""), HYPERLINK(CONCATENATE("#Metadata!", ADDRESS(INDEX($X$2:$X$1001,MATCH(ROWS($V$2:V762),$V$2:$V$1001,0),0), INDEX($AC$1004:$AS$1004,1,MATCH(COLUMNS($AC$1006:AS1006),$AC$1006:$AS$1006,0)))),"Fix")))</f>
        <v>0</v>
      </c>
      <c r="V762">
        <v>0</v>
      </c>
      <c r="W762">
        <v>0</v>
      </c>
      <c r="X762">
        <v>0</v>
      </c>
      <c r="Y762">
        <f>IF(Z762,TRUE,AND(AC762:AS762))</f>
        <v>0</v>
      </c>
      <c r="Z762">
        <f>COUNTBLANK(Metadata!B762:R762)=COLUMNS(Metadata!B762:R762)</f>
        <v>0</v>
      </c>
      <c r="AA762">
        <v>0</v>
      </c>
      <c r="AC762">
        <f>AND(IF(Metadata!B762="",FALSE,TRUE),COUNTIF(Metadata!B:B, Metadata!B762) = 1,NOT(ISERROR(SUMPRODUCT(SEARCH(MID(Metadata!B762,ROW(INDIRECT("1:"&amp;LEN(Metadata!B762))), 1),"0123456789abcdefghijklmnopqrstuvwxyzABCDEFGHIJKLMNOPQRSTUVWXYZ.")))))</f>
        <v>0</v>
      </c>
      <c r="AD762">
        <f>AND(IF(Metadata!C762="",FALSE,TRUE),exact(Metadata!C762,"Host-associated"))</f>
        <v>0</v>
      </c>
      <c r="AE762">
        <f>AND(IF(Metadata!D762="",FALSE,TRUE),OR(exact(Metadata!D762,"Animal"),exact(Metadata!D762,"Fungus"),exact(Metadata!D762,"Plant")))</f>
        <v>0</v>
      </c>
      <c r="AF762">
        <f>AND(IF(Metadata!E762="",FALSE,TRUE),OR(exact(Metadata!E762,"Plant secretion"),exact(Metadata!E762,"Plant rhizosphere"),exact(Metadata!E762,"Plant surface"),exact(Metadata!E762,"Plant corpus"),exact(Metadata!E762,"Fungus surface"),exact(Metadata!E762,"Fungus corpus"),exact(Metadata!E762,"Animal surface"),exact(Metadata!E762,"Animal proximal gut"),exact(Metadata!E762,"Animal corpus"),exact(Metadata!E762,"Animal distal gut"),exact(Metadata!E762,"Animal secretion")))</f>
        <v>0</v>
      </c>
      <c r="AG762">
        <f>OR(AND(IF(Metadata!F762="",FALSE,TRUE),OR(exact(Metadata!F762,"not collected"),exact(Metadata!F762,"not provided"),exact(Metadata!F762,"restricted access"))),AND(IF(Metadata!F762="",FALSE,TRUE),OR(exact(Metadata!F762,"organism-associated habitat"),exact(Metadata!F762,"plant-associated habitat"),exact(Metadata!F762,"animal-associated habitat"),exact(Metadata!F762,"insecta-associated habitat"),exact(Metadata!F762,"mammalia-associated habitat"),exact(Metadata!F762,"human-associated habitat"),exact(Metadata!F762,"livestock-associated habitat"))))</f>
        <v>0</v>
      </c>
      <c r="AH762">
        <f>AND(IF(Metadata!G762="",FALSE,TRUE),exact(Metadata!G762,"host-associated"))</f>
        <v>0</v>
      </c>
      <c r="AI762">
        <f>OR(AND(IF(Metadata!H762="",FALSE,TRUE),OR(exact(Metadata!H762,"not collected"),exact(Metadata!H762,"not provided"))),AND(IF(Metadata!H762="",FALSE,ISNUMBER(VALUE(Metadata!H762))),Metadata!H762&gt;0))</f>
        <v>0</v>
      </c>
      <c r="AJ762">
        <f>AND(IF(Metadata!I762="",FALSE,TRUE),exact(Metadata!I762,"years"))</f>
        <v>0</v>
      </c>
      <c r="AK762">
        <f>IF(Metadata!J762="",FALSE,TRUE)</f>
        <v>0</v>
      </c>
      <c r="AL762">
        <f>OR(AND(IF(Metadata!K762="",FALSE,TRUE),OR(exact(Metadata!K762,"not collected"),exact(Metadata!K762,"not provided"))),AND(IF(Metadata!K762="",FALSE,ISNUMBER(VALUE(Metadata!K762))),Metadata!K762&gt;0))</f>
        <v>0</v>
      </c>
      <c r="AM762">
        <f>AND(IF(Metadata!L762="",FALSE,TRUE),exact(Metadata!L762,"cm"))</f>
        <v>0</v>
      </c>
      <c r="AN762">
        <f>IF(Metadata!M762="",FALSE,TRUE)</f>
        <v>0</v>
      </c>
      <c r="AO762">
        <f>OR(AND(IF(Metadata!N762="",FALSE,TRUE),OR(exact(Metadata!N762,"not applicable"),exact(Metadata!N762,"not collected"),exact(Metadata!N762,"not provided"))),AND(IF(Metadata!N762="",FALSE,IF(ISERROR(INT(Metadata!N762)),FALSE,INT(Metadata!N762)=Metadata!N762)),Metadata!N762&gt;0))</f>
        <v>0</v>
      </c>
      <c r="AP762">
        <f>OR(AND(IF(Metadata!O762="",FALSE,TRUE),OR(exact(Metadata!O762,"not collected"),exact(Metadata!O762,"not provided"))),AND(IF(Metadata!O762="",FALSE,ISNUMBER(VALUE(Metadata!O762))),Metadata!O762&gt;0))</f>
        <v>0</v>
      </c>
      <c r="AQ762">
        <f>AND(IF(Metadata!P762="",FALSE,TRUE),exact(Metadata!P762,"kg"))</f>
        <v>0</v>
      </c>
      <c r="AR762">
        <f>OR(AND(IF(Metadata!Q762="",FALSE,TRUE),OR(exact(Metadata!Q762,"not applicable"),exact(Metadata!Q762,"not collected"),exact(Metadata!Q762,"not provided"),exact(Metadata!Q762,"restricted access"))),IF(Metadata!Q762="",FALSE,IF(ISERROR(INT(Metadata!Q762)),FALSE,INT(Metadata!Q762)=Metadata!Q762)))</f>
        <v>0</v>
      </c>
      <c r="AS762">
        <f>AND(IF(Metadata!R762="",FALSE,TRUE),exact(Metadata!R762,"Not applicable"))</f>
        <v>0</v>
      </c>
    </row>
    <row r="763" spans="1:45">
      <c r="A763" s="4">
        <f>IF(B763=" "," ",HYPERLINK(CONCATENATE("#metadata!",ADDRESS(INDEX($X$2:$X$1001,MATCH(ROWS($V$2:V763),$V$2:$V$1001,0),0),2)),INDEX($AA$2:$AA$1001,MATCH(ROWS($V$2:V763),$V$2:$V$1001,0),0)))</f>
        <v>0</v>
      </c>
      <c r="B763" s="5">
        <f>IF(OR(INDEX($W$2:$W$1001,MATCH(ROWS($V$2:V763),$V$2:$V$1001,0),1)&gt;=100000,INDEX($AC$1005:$AS$1005,1,MATCH(COLUMNS($AC$1006:AC1006),$AC$1006:$AS$1006,0))&gt;=100000), " ",IF(INDEX($AC$2:$AS$1001,MATCH(ROWS($V$2:V763),$V$2:$V$1001,0),MATCH(COLUMNS($AC$1006:AC1006),$AC$1006:$AS$1006,0)), HYPERLINK("#",""), HYPERLINK(CONCATENATE("#Metadata!", ADDRESS(INDEX($X$2:$X$1001,MATCH(ROWS($V$2:V763),$V$2:$V$1001,0),0), INDEX($AC$1004:$AS$1004,1,MATCH(COLUMNS($AC$1006:AC1006),$AC$1006:$AS$1006,0)))),"Fix")))</f>
        <v>0</v>
      </c>
      <c r="C763" s="5">
        <f>IF(OR(INDEX($W$2:$W$1001,MATCH(ROWS($V$2:V763),$V$2:$V$1001,0),1)&gt;=100000,INDEX($AC$1005:$AS$1005,1,MATCH(COLUMNS($AC$1006:AD1006),$AC$1006:$AS$1006,0))&gt;=100000), " ",IF(INDEX($AC$2:$AS$1001,MATCH(ROWS($V$2:V763),$V$2:$V$1001,0),MATCH(COLUMNS($AC$1006:AD1006),$AC$1006:$AS$1006,0)), HYPERLINK("#",""), HYPERLINK(CONCATENATE("#Metadata!", ADDRESS(INDEX($X$2:$X$1001,MATCH(ROWS($V$2:V763),$V$2:$V$1001,0),0), INDEX($AC$1004:$AS$1004,1,MATCH(COLUMNS($AC$1006:AD1006),$AC$1006:$AS$1006,0)))),"Fix")))</f>
        <v>0</v>
      </c>
      <c r="D763" s="5">
        <f>IF(OR(INDEX($W$2:$W$1001,MATCH(ROWS($V$2:V763),$V$2:$V$1001,0),1)&gt;=100000,INDEX($AC$1005:$AS$1005,1,MATCH(COLUMNS($AC$1006:AE1006),$AC$1006:$AS$1006,0))&gt;=100000), " ",IF(INDEX($AC$2:$AS$1001,MATCH(ROWS($V$2:V763),$V$2:$V$1001,0),MATCH(COLUMNS($AC$1006:AE1006),$AC$1006:$AS$1006,0)), HYPERLINK("#",""), HYPERLINK(CONCATENATE("#Metadata!", ADDRESS(INDEX($X$2:$X$1001,MATCH(ROWS($V$2:V763),$V$2:$V$1001,0),0), INDEX($AC$1004:$AS$1004,1,MATCH(COLUMNS($AC$1006:AE1006),$AC$1006:$AS$1006,0)))),"Fix")))</f>
        <v>0</v>
      </c>
      <c r="E763" s="5">
        <f>IF(OR(INDEX($W$2:$W$1001,MATCH(ROWS($V$2:V763),$V$2:$V$1001,0),1)&gt;=100000,INDEX($AC$1005:$AS$1005,1,MATCH(COLUMNS($AC$1006:AF1006),$AC$1006:$AS$1006,0))&gt;=100000), " ",IF(INDEX($AC$2:$AS$1001,MATCH(ROWS($V$2:V763),$V$2:$V$1001,0),MATCH(COLUMNS($AC$1006:AF1006),$AC$1006:$AS$1006,0)), HYPERLINK("#",""), HYPERLINK(CONCATENATE("#Metadata!", ADDRESS(INDEX($X$2:$X$1001,MATCH(ROWS($V$2:V763),$V$2:$V$1001,0),0), INDEX($AC$1004:$AS$1004,1,MATCH(COLUMNS($AC$1006:AF1006),$AC$1006:$AS$1006,0)))),"Fix")))</f>
        <v>0</v>
      </c>
      <c r="F763" s="5">
        <f>IF(OR(INDEX($W$2:$W$1001,MATCH(ROWS($V$2:V763),$V$2:$V$1001,0),1)&gt;=100000,INDEX($AC$1005:$AS$1005,1,MATCH(COLUMNS($AC$1006:AG1006),$AC$1006:$AS$1006,0))&gt;=100000), " ",IF(INDEX($AC$2:$AS$1001,MATCH(ROWS($V$2:V763),$V$2:$V$1001,0),MATCH(COLUMNS($AC$1006:AG1006),$AC$1006:$AS$1006,0)), HYPERLINK("#",""), HYPERLINK(CONCATENATE("#Metadata!", ADDRESS(INDEX($X$2:$X$1001,MATCH(ROWS($V$2:V763),$V$2:$V$1001,0),0), INDEX($AC$1004:$AS$1004,1,MATCH(COLUMNS($AC$1006:AG1006),$AC$1006:$AS$1006,0)))),"Fix")))</f>
        <v>0</v>
      </c>
      <c r="G763" s="5">
        <f>IF(OR(INDEX($W$2:$W$1001,MATCH(ROWS($V$2:V763),$V$2:$V$1001,0),1)&gt;=100000,INDEX($AC$1005:$AS$1005,1,MATCH(COLUMNS($AC$1006:AH1006),$AC$1006:$AS$1006,0))&gt;=100000), " ",IF(INDEX($AC$2:$AS$1001,MATCH(ROWS($V$2:V763),$V$2:$V$1001,0),MATCH(COLUMNS($AC$1006:AH1006),$AC$1006:$AS$1006,0)), HYPERLINK("#",""), HYPERLINK(CONCATENATE("#Metadata!", ADDRESS(INDEX($X$2:$X$1001,MATCH(ROWS($V$2:V763),$V$2:$V$1001,0),0), INDEX($AC$1004:$AS$1004,1,MATCH(COLUMNS($AC$1006:AH1006),$AC$1006:$AS$1006,0)))),"Fix")))</f>
        <v>0</v>
      </c>
      <c r="H763" s="5">
        <f>IF(OR(INDEX($W$2:$W$1001,MATCH(ROWS($V$2:V763),$V$2:$V$1001,0),1)&gt;=100000,INDEX($AC$1005:$AS$1005,1,MATCH(COLUMNS($AC$1006:AI1006),$AC$1006:$AS$1006,0))&gt;=100000), " ",IF(INDEX($AC$2:$AS$1001,MATCH(ROWS($V$2:V763),$V$2:$V$1001,0),MATCH(COLUMNS($AC$1006:AI1006),$AC$1006:$AS$1006,0)), HYPERLINK("#",""), HYPERLINK(CONCATENATE("#Metadata!", ADDRESS(INDEX($X$2:$X$1001,MATCH(ROWS($V$2:V763),$V$2:$V$1001,0),0), INDEX($AC$1004:$AS$1004,1,MATCH(COLUMNS($AC$1006:AI1006),$AC$1006:$AS$1006,0)))),"Fix")))</f>
        <v>0</v>
      </c>
      <c r="I763" s="5">
        <f>IF(OR(INDEX($W$2:$W$1001,MATCH(ROWS($V$2:V763),$V$2:$V$1001,0),1)&gt;=100000,INDEX($AC$1005:$AS$1005,1,MATCH(COLUMNS($AC$1006:AJ1006),$AC$1006:$AS$1006,0))&gt;=100000), " ",IF(INDEX($AC$2:$AS$1001,MATCH(ROWS($V$2:V763),$V$2:$V$1001,0),MATCH(COLUMNS($AC$1006:AJ1006),$AC$1006:$AS$1006,0)), HYPERLINK("#",""), HYPERLINK(CONCATENATE("#Metadata!", ADDRESS(INDEX($X$2:$X$1001,MATCH(ROWS($V$2:V763),$V$2:$V$1001,0),0), INDEX($AC$1004:$AS$1004,1,MATCH(COLUMNS($AC$1006:AJ1006),$AC$1006:$AS$1006,0)))),"Fix")))</f>
        <v>0</v>
      </c>
      <c r="J763" s="5">
        <f>IF(OR(INDEX($W$2:$W$1001,MATCH(ROWS($V$2:V763),$V$2:$V$1001,0),1)&gt;=100000,INDEX($AC$1005:$AS$1005,1,MATCH(COLUMNS($AC$1006:AK1006),$AC$1006:$AS$1006,0))&gt;=100000), " ",IF(INDEX($AC$2:$AS$1001,MATCH(ROWS($V$2:V763),$V$2:$V$1001,0),MATCH(COLUMNS($AC$1006:AK1006),$AC$1006:$AS$1006,0)), HYPERLINK("#",""), HYPERLINK(CONCATENATE("#Metadata!", ADDRESS(INDEX($X$2:$X$1001,MATCH(ROWS($V$2:V763),$V$2:$V$1001,0),0), INDEX($AC$1004:$AS$1004,1,MATCH(COLUMNS($AC$1006:AK1006),$AC$1006:$AS$1006,0)))),"Fix")))</f>
        <v>0</v>
      </c>
      <c r="K763" s="5">
        <f>IF(OR(INDEX($W$2:$W$1001,MATCH(ROWS($V$2:V763),$V$2:$V$1001,0),1)&gt;=100000,INDEX($AC$1005:$AS$1005,1,MATCH(COLUMNS($AC$1006:AL1006),$AC$1006:$AS$1006,0))&gt;=100000), " ",IF(INDEX($AC$2:$AS$1001,MATCH(ROWS($V$2:V763),$V$2:$V$1001,0),MATCH(COLUMNS($AC$1006:AL1006),$AC$1006:$AS$1006,0)), HYPERLINK("#",""), HYPERLINK(CONCATENATE("#Metadata!", ADDRESS(INDEX($X$2:$X$1001,MATCH(ROWS($V$2:V763),$V$2:$V$1001,0),0), INDEX($AC$1004:$AS$1004,1,MATCH(COLUMNS($AC$1006:AL1006),$AC$1006:$AS$1006,0)))),"Fix")))</f>
        <v>0</v>
      </c>
      <c r="L763" s="5">
        <f>IF(OR(INDEX($W$2:$W$1001,MATCH(ROWS($V$2:V763),$V$2:$V$1001,0),1)&gt;=100000,INDEX($AC$1005:$AS$1005,1,MATCH(COLUMNS($AC$1006:AM1006),$AC$1006:$AS$1006,0))&gt;=100000), " ",IF(INDEX($AC$2:$AS$1001,MATCH(ROWS($V$2:V763),$V$2:$V$1001,0),MATCH(COLUMNS($AC$1006:AM1006),$AC$1006:$AS$1006,0)), HYPERLINK("#",""), HYPERLINK(CONCATENATE("#Metadata!", ADDRESS(INDEX($X$2:$X$1001,MATCH(ROWS($V$2:V763),$V$2:$V$1001,0),0), INDEX($AC$1004:$AS$1004,1,MATCH(COLUMNS($AC$1006:AM1006),$AC$1006:$AS$1006,0)))),"Fix")))</f>
        <v>0</v>
      </c>
      <c r="M763" s="5">
        <f>IF(OR(INDEX($W$2:$W$1001,MATCH(ROWS($V$2:V763),$V$2:$V$1001,0),1)&gt;=100000,INDEX($AC$1005:$AS$1005,1,MATCH(COLUMNS($AC$1006:AN1006),$AC$1006:$AS$1006,0))&gt;=100000), " ",IF(INDEX($AC$2:$AS$1001,MATCH(ROWS($V$2:V763),$V$2:$V$1001,0),MATCH(COLUMNS($AC$1006:AN1006),$AC$1006:$AS$1006,0)), HYPERLINK("#",""), HYPERLINK(CONCATENATE("#Metadata!", ADDRESS(INDEX($X$2:$X$1001,MATCH(ROWS($V$2:V763),$V$2:$V$1001,0),0), INDEX($AC$1004:$AS$1004,1,MATCH(COLUMNS($AC$1006:AN1006),$AC$1006:$AS$1006,0)))),"Fix")))</f>
        <v>0</v>
      </c>
      <c r="N763" s="5">
        <f>IF(OR(INDEX($W$2:$W$1001,MATCH(ROWS($V$2:V763),$V$2:$V$1001,0),1)&gt;=100000,INDEX($AC$1005:$AS$1005,1,MATCH(COLUMNS($AC$1006:AO1006),$AC$1006:$AS$1006,0))&gt;=100000), " ",IF(INDEX($AC$2:$AS$1001,MATCH(ROWS($V$2:V763),$V$2:$V$1001,0),MATCH(COLUMNS($AC$1006:AO1006),$AC$1006:$AS$1006,0)), HYPERLINK("#",""), HYPERLINK(CONCATENATE("#Metadata!", ADDRESS(INDEX($X$2:$X$1001,MATCH(ROWS($V$2:V763),$V$2:$V$1001,0),0), INDEX($AC$1004:$AS$1004,1,MATCH(COLUMNS($AC$1006:AO1006),$AC$1006:$AS$1006,0)))),"Fix")))</f>
        <v>0</v>
      </c>
      <c r="O763" s="5">
        <f>IF(OR(INDEX($W$2:$W$1001,MATCH(ROWS($V$2:V763),$V$2:$V$1001,0),1)&gt;=100000,INDEX($AC$1005:$AS$1005,1,MATCH(COLUMNS($AC$1006:AP1006),$AC$1006:$AS$1006,0))&gt;=100000), " ",IF(INDEX($AC$2:$AS$1001,MATCH(ROWS($V$2:V763),$V$2:$V$1001,0),MATCH(COLUMNS($AC$1006:AP1006),$AC$1006:$AS$1006,0)), HYPERLINK("#",""), HYPERLINK(CONCATENATE("#Metadata!", ADDRESS(INDEX($X$2:$X$1001,MATCH(ROWS($V$2:V763),$V$2:$V$1001,0),0), INDEX($AC$1004:$AS$1004,1,MATCH(COLUMNS($AC$1006:AP1006),$AC$1006:$AS$1006,0)))),"Fix")))</f>
        <v>0</v>
      </c>
      <c r="P763" s="5">
        <f>IF(OR(INDEX($W$2:$W$1001,MATCH(ROWS($V$2:V763),$V$2:$V$1001,0),1)&gt;=100000,INDEX($AC$1005:$AS$1005,1,MATCH(COLUMNS($AC$1006:AQ1006),$AC$1006:$AS$1006,0))&gt;=100000), " ",IF(INDEX($AC$2:$AS$1001,MATCH(ROWS($V$2:V763),$V$2:$V$1001,0),MATCH(COLUMNS($AC$1006:AQ1006),$AC$1006:$AS$1006,0)), HYPERLINK("#",""), HYPERLINK(CONCATENATE("#Metadata!", ADDRESS(INDEX($X$2:$X$1001,MATCH(ROWS($V$2:V763),$V$2:$V$1001,0),0), INDEX($AC$1004:$AS$1004,1,MATCH(COLUMNS($AC$1006:AQ1006),$AC$1006:$AS$1006,0)))),"Fix")))</f>
        <v>0</v>
      </c>
      <c r="Q763" s="5">
        <f>IF(OR(INDEX($W$2:$W$1001,MATCH(ROWS($V$2:V763),$V$2:$V$1001,0),1)&gt;=100000,INDEX($AC$1005:$AS$1005,1,MATCH(COLUMNS($AC$1006:AR1006),$AC$1006:$AS$1006,0))&gt;=100000), " ",IF(INDEX($AC$2:$AS$1001,MATCH(ROWS($V$2:V763),$V$2:$V$1001,0),MATCH(COLUMNS($AC$1006:AR1006),$AC$1006:$AS$1006,0)), HYPERLINK("#",""), HYPERLINK(CONCATENATE("#Metadata!", ADDRESS(INDEX($X$2:$X$1001,MATCH(ROWS($V$2:V763),$V$2:$V$1001,0),0), INDEX($AC$1004:$AS$1004,1,MATCH(COLUMNS($AC$1006:AR1006),$AC$1006:$AS$1006,0)))),"Fix")))</f>
        <v>0</v>
      </c>
      <c r="R763" s="5">
        <f>IF(OR(INDEX($W$2:$W$1001,MATCH(ROWS($V$2:V763),$V$2:$V$1001,0),1)&gt;=100000,INDEX($AC$1005:$AS$1005,1,MATCH(COLUMNS($AC$1006:AS1006),$AC$1006:$AS$1006,0))&gt;=100000), " ",IF(INDEX($AC$2:$AS$1001,MATCH(ROWS($V$2:V763),$V$2:$V$1001,0),MATCH(COLUMNS($AC$1006:AS1006),$AC$1006:$AS$1006,0)), HYPERLINK("#",""), HYPERLINK(CONCATENATE("#Metadata!", ADDRESS(INDEX($X$2:$X$1001,MATCH(ROWS($V$2:V763),$V$2:$V$1001,0),0), INDEX($AC$1004:$AS$1004,1,MATCH(COLUMNS($AC$1006:AS1006),$AC$1006:$AS$1006,0)))),"Fix")))</f>
        <v>0</v>
      </c>
      <c r="V763">
        <v>0</v>
      </c>
      <c r="W763">
        <v>0</v>
      </c>
      <c r="X763">
        <v>0</v>
      </c>
      <c r="Y763">
        <f>IF(Z763,TRUE,AND(AC763:AS763))</f>
        <v>0</v>
      </c>
      <c r="Z763">
        <f>COUNTBLANK(Metadata!B763:R763)=COLUMNS(Metadata!B763:R763)</f>
        <v>0</v>
      </c>
      <c r="AA763">
        <v>0</v>
      </c>
      <c r="AC763">
        <f>AND(IF(Metadata!B763="",FALSE,TRUE),COUNTIF(Metadata!B:B, Metadata!B763) = 1,NOT(ISERROR(SUMPRODUCT(SEARCH(MID(Metadata!B763,ROW(INDIRECT("1:"&amp;LEN(Metadata!B763))), 1),"0123456789abcdefghijklmnopqrstuvwxyzABCDEFGHIJKLMNOPQRSTUVWXYZ.")))))</f>
        <v>0</v>
      </c>
      <c r="AD763">
        <f>AND(IF(Metadata!C763="",FALSE,TRUE),exact(Metadata!C763,"Host-associated"))</f>
        <v>0</v>
      </c>
      <c r="AE763">
        <f>AND(IF(Metadata!D763="",FALSE,TRUE),OR(exact(Metadata!D763,"Animal"),exact(Metadata!D763,"Fungus"),exact(Metadata!D763,"Plant")))</f>
        <v>0</v>
      </c>
      <c r="AF763">
        <f>AND(IF(Metadata!E763="",FALSE,TRUE),OR(exact(Metadata!E763,"Plant secretion"),exact(Metadata!E763,"Plant rhizosphere"),exact(Metadata!E763,"Plant surface"),exact(Metadata!E763,"Plant corpus"),exact(Metadata!E763,"Fungus surface"),exact(Metadata!E763,"Fungus corpus"),exact(Metadata!E763,"Animal surface"),exact(Metadata!E763,"Animal proximal gut"),exact(Metadata!E763,"Animal corpus"),exact(Metadata!E763,"Animal distal gut"),exact(Metadata!E763,"Animal secretion")))</f>
        <v>0</v>
      </c>
      <c r="AG763">
        <f>OR(AND(IF(Metadata!F763="",FALSE,TRUE),OR(exact(Metadata!F763,"not collected"),exact(Metadata!F763,"not provided"),exact(Metadata!F763,"restricted access"))),AND(IF(Metadata!F763="",FALSE,TRUE),OR(exact(Metadata!F763,"organism-associated habitat"),exact(Metadata!F763,"plant-associated habitat"),exact(Metadata!F763,"animal-associated habitat"),exact(Metadata!F763,"insecta-associated habitat"),exact(Metadata!F763,"mammalia-associated habitat"),exact(Metadata!F763,"human-associated habitat"),exact(Metadata!F763,"livestock-associated habitat"))))</f>
        <v>0</v>
      </c>
      <c r="AH763">
        <f>AND(IF(Metadata!G763="",FALSE,TRUE),exact(Metadata!G763,"host-associated"))</f>
        <v>0</v>
      </c>
      <c r="AI763">
        <f>OR(AND(IF(Metadata!H763="",FALSE,TRUE),OR(exact(Metadata!H763,"not collected"),exact(Metadata!H763,"not provided"))),AND(IF(Metadata!H763="",FALSE,ISNUMBER(VALUE(Metadata!H763))),Metadata!H763&gt;0))</f>
        <v>0</v>
      </c>
      <c r="AJ763">
        <f>AND(IF(Metadata!I763="",FALSE,TRUE),exact(Metadata!I763,"years"))</f>
        <v>0</v>
      </c>
      <c r="AK763">
        <f>IF(Metadata!J763="",FALSE,TRUE)</f>
        <v>0</v>
      </c>
      <c r="AL763">
        <f>OR(AND(IF(Metadata!K763="",FALSE,TRUE),OR(exact(Metadata!K763,"not collected"),exact(Metadata!K763,"not provided"))),AND(IF(Metadata!K763="",FALSE,ISNUMBER(VALUE(Metadata!K763))),Metadata!K763&gt;0))</f>
        <v>0</v>
      </c>
      <c r="AM763">
        <f>AND(IF(Metadata!L763="",FALSE,TRUE),exact(Metadata!L763,"cm"))</f>
        <v>0</v>
      </c>
      <c r="AN763">
        <f>IF(Metadata!M763="",FALSE,TRUE)</f>
        <v>0</v>
      </c>
      <c r="AO763">
        <f>OR(AND(IF(Metadata!N763="",FALSE,TRUE),OR(exact(Metadata!N763,"not applicable"),exact(Metadata!N763,"not collected"),exact(Metadata!N763,"not provided"))),AND(IF(Metadata!N763="",FALSE,IF(ISERROR(INT(Metadata!N763)),FALSE,INT(Metadata!N763)=Metadata!N763)),Metadata!N763&gt;0))</f>
        <v>0</v>
      </c>
      <c r="AP763">
        <f>OR(AND(IF(Metadata!O763="",FALSE,TRUE),OR(exact(Metadata!O763,"not collected"),exact(Metadata!O763,"not provided"))),AND(IF(Metadata!O763="",FALSE,ISNUMBER(VALUE(Metadata!O763))),Metadata!O763&gt;0))</f>
        <v>0</v>
      </c>
      <c r="AQ763">
        <f>AND(IF(Metadata!P763="",FALSE,TRUE),exact(Metadata!P763,"kg"))</f>
        <v>0</v>
      </c>
      <c r="AR763">
        <f>OR(AND(IF(Metadata!Q763="",FALSE,TRUE),OR(exact(Metadata!Q763,"not applicable"),exact(Metadata!Q763,"not collected"),exact(Metadata!Q763,"not provided"),exact(Metadata!Q763,"restricted access"))),IF(Metadata!Q763="",FALSE,IF(ISERROR(INT(Metadata!Q763)),FALSE,INT(Metadata!Q763)=Metadata!Q763)))</f>
        <v>0</v>
      </c>
      <c r="AS763">
        <f>AND(IF(Metadata!R763="",FALSE,TRUE),exact(Metadata!R763,"Not applicable"))</f>
        <v>0</v>
      </c>
    </row>
    <row r="764" spans="1:45">
      <c r="A764" s="4">
        <f>IF(B764=" "," ",HYPERLINK(CONCATENATE("#metadata!",ADDRESS(INDEX($X$2:$X$1001,MATCH(ROWS($V$2:V764),$V$2:$V$1001,0),0),2)),INDEX($AA$2:$AA$1001,MATCH(ROWS($V$2:V764),$V$2:$V$1001,0),0)))</f>
        <v>0</v>
      </c>
      <c r="B764" s="5">
        <f>IF(OR(INDEX($W$2:$W$1001,MATCH(ROWS($V$2:V764),$V$2:$V$1001,0),1)&gt;=100000,INDEX($AC$1005:$AS$1005,1,MATCH(COLUMNS($AC$1006:AC1006),$AC$1006:$AS$1006,0))&gt;=100000), " ",IF(INDEX($AC$2:$AS$1001,MATCH(ROWS($V$2:V764),$V$2:$V$1001,0),MATCH(COLUMNS($AC$1006:AC1006),$AC$1006:$AS$1006,0)), HYPERLINK("#",""), HYPERLINK(CONCATENATE("#Metadata!", ADDRESS(INDEX($X$2:$X$1001,MATCH(ROWS($V$2:V764),$V$2:$V$1001,0),0), INDEX($AC$1004:$AS$1004,1,MATCH(COLUMNS($AC$1006:AC1006),$AC$1006:$AS$1006,0)))),"Fix")))</f>
        <v>0</v>
      </c>
      <c r="C764" s="5">
        <f>IF(OR(INDEX($W$2:$W$1001,MATCH(ROWS($V$2:V764),$V$2:$V$1001,0),1)&gt;=100000,INDEX($AC$1005:$AS$1005,1,MATCH(COLUMNS($AC$1006:AD1006),$AC$1006:$AS$1006,0))&gt;=100000), " ",IF(INDEX($AC$2:$AS$1001,MATCH(ROWS($V$2:V764),$V$2:$V$1001,0),MATCH(COLUMNS($AC$1006:AD1006),$AC$1006:$AS$1006,0)), HYPERLINK("#",""), HYPERLINK(CONCATENATE("#Metadata!", ADDRESS(INDEX($X$2:$X$1001,MATCH(ROWS($V$2:V764),$V$2:$V$1001,0),0), INDEX($AC$1004:$AS$1004,1,MATCH(COLUMNS($AC$1006:AD1006),$AC$1006:$AS$1006,0)))),"Fix")))</f>
        <v>0</v>
      </c>
      <c r="D764" s="5">
        <f>IF(OR(INDEX($W$2:$W$1001,MATCH(ROWS($V$2:V764),$V$2:$V$1001,0),1)&gt;=100000,INDEX($AC$1005:$AS$1005,1,MATCH(COLUMNS($AC$1006:AE1006),$AC$1006:$AS$1006,0))&gt;=100000), " ",IF(INDEX($AC$2:$AS$1001,MATCH(ROWS($V$2:V764),$V$2:$V$1001,0),MATCH(COLUMNS($AC$1006:AE1006),$AC$1006:$AS$1006,0)), HYPERLINK("#",""), HYPERLINK(CONCATENATE("#Metadata!", ADDRESS(INDEX($X$2:$X$1001,MATCH(ROWS($V$2:V764),$V$2:$V$1001,0),0), INDEX($AC$1004:$AS$1004,1,MATCH(COLUMNS($AC$1006:AE1006),$AC$1006:$AS$1006,0)))),"Fix")))</f>
        <v>0</v>
      </c>
      <c r="E764" s="5">
        <f>IF(OR(INDEX($W$2:$W$1001,MATCH(ROWS($V$2:V764),$V$2:$V$1001,0),1)&gt;=100000,INDEX($AC$1005:$AS$1005,1,MATCH(COLUMNS($AC$1006:AF1006),$AC$1006:$AS$1006,0))&gt;=100000), " ",IF(INDEX($AC$2:$AS$1001,MATCH(ROWS($V$2:V764),$V$2:$V$1001,0),MATCH(COLUMNS($AC$1006:AF1006),$AC$1006:$AS$1006,0)), HYPERLINK("#",""), HYPERLINK(CONCATENATE("#Metadata!", ADDRESS(INDEX($X$2:$X$1001,MATCH(ROWS($V$2:V764),$V$2:$V$1001,0),0), INDEX($AC$1004:$AS$1004,1,MATCH(COLUMNS($AC$1006:AF1006),$AC$1006:$AS$1006,0)))),"Fix")))</f>
        <v>0</v>
      </c>
      <c r="F764" s="5">
        <f>IF(OR(INDEX($W$2:$W$1001,MATCH(ROWS($V$2:V764),$V$2:$V$1001,0),1)&gt;=100000,INDEX($AC$1005:$AS$1005,1,MATCH(COLUMNS($AC$1006:AG1006),$AC$1006:$AS$1006,0))&gt;=100000), " ",IF(INDEX($AC$2:$AS$1001,MATCH(ROWS($V$2:V764),$V$2:$V$1001,0),MATCH(COLUMNS($AC$1006:AG1006),$AC$1006:$AS$1006,0)), HYPERLINK("#",""), HYPERLINK(CONCATENATE("#Metadata!", ADDRESS(INDEX($X$2:$X$1001,MATCH(ROWS($V$2:V764),$V$2:$V$1001,0),0), INDEX($AC$1004:$AS$1004,1,MATCH(COLUMNS($AC$1006:AG1006),$AC$1006:$AS$1006,0)))),"Fix")))</f>
        <v>0</v>
      </c>
      <c r="G764" s="5">
        <f>IF(OR(INDEX($W$2:$W$1001,MATCH(ROWS($V$2:V764),$V$2:$V$1001,0),1)&gt;=100000,INDEX($AC$1005:$AS$1005,1,MATCH(COLUMNS($AC$1006:AH1006),$AC$1006:$AS$1006,0))&gt;=100000), " ",IF(INDEX($AC$2:$AS$1001,MATCH(ROWS($V$2:V764),$V$2:$V$1001,0),MATCH(COLUMNS($AC$1006:AH1006),$AC$1006:$AS$1006,0)), HYPERLINK("#",""), HYPERLINK(CONCATENATE("#Metadata!", ADDRESS(INDEX($X$2:$X$1001,MATCH(ROWS($V$2:V764),$V$2:$V$1001,0),0), INDEX($AC$1004:$AS$1004,1,MATCH(COLUMNS($AC$1006:AH1006),$AC$1006:$AS$1006,0)))),"Fix")))</f>
        <v>0</v>
      </c>
      <c r="H764" s="5">
        <f>IF(OR(INDEX($W$2:$W$1001,MATCH(ROWS($V$2:V764),$V$2:$V$1001,0),1)&gt;=100000,INDEX($AC$1005:$AS$1005,1,MATCH(COLUMNS($AC$1006:AI1006),$AC$1006:$AS$1006,0))&gt;=100000), " ",IF(INDEX($AC$2:$AS$1001,MATCH(ROWS($V$2:V764),$V$2:$V$1001,0),MATCH(COLUMNS($AC$1006:AI1006),$AC$1006:$AS$1006,0)), HYPERLINK("#",""), HYPERLINK(CONCATENATE("#Metadata!", ADDRESS(INDEX($X$2:$X$1001,MATCH(ROWS($V$2:V764),$V$2:$V$1001,0),0), INDEX($AC$1004:$AS$1004,1,MATCH(COLUMNS($AC$1006:AI1006),$AC$1006:$AS$1006,0)))),"Fix")))</f>
        <v>0</v>
      </c>
      <c r="I764" s="5">
        <f>IF(OR(INDEX($W$2:$W$1001,MATCH(ROWS($V$2:V764),$V$2:$V$1001,0),1)&gt;=100000,INDEX($AC$1005:$AS$1005,1,MATCH(COLUMNS($AC$1006:AJ1006),$AC$1006:$AS$1006,0))&gt;=100000), " ",IF(INDEX($AC$2:$AS$1001,MATCH(ROWS($V$2:V764),$V$2:$V$1001,0),MATCH(COLUMNS($AC$1006:AJ1006),$AC$1006:$AS$1006,0)), HYPERLINK("#",""), HYPERLINK(CONCATENATE("#Metadata!", ADDRESS(INDEX($X$2:$X$1001,MATCH(ROWS($V$2:V764),$V$2:$V$1001,0),0), INDEX($AC$1004:$AS$1004,1,MATCH(COLUMNS($AC$1006:AJ1006),$AC$1006:$AS$1006,0)))),"Fix")))</f>
        <v>0</v>
      </c>
      <c r="J764" s="5">
        <f>IF(OR(INDEX($W$2:$W$1001,MATCH(ROWS($V$2:V764),$V$2:$V$1001,0),1)&gt;=100000,INDEX($AC$1005:$AS$1005,1,MATCH(COLUMNS($AC$1006:AK1006),$AC$1006:$AS$1006,0))&gt;=100000), " ",IF(INDEX($AC$2:$AS$1001,MATCH(ROWS($V$2:V764),$V$2:$V$1001,0),MATCH(COLUMNS($AC$1006:AK1006),$AC$1006:$AS$1006,0)), HYPERLINK("#",""), HYPERLINK(CONCATENATE("#Metadata!", ADDRESS(INDEX($X$2:$X$1001,MATCH(ROWS($V$2:V764),$V$2:$V$1001,0),0), INDEX($AC$1004:$AS$1004,1,MATCH(COLUMNS($AC$1006:AK1006),$AC$1006:$AS$1006,0)))),"Fix")))</f>
        <v>0</v>
      </c>
      <c r="K764" s="5">
        <f>IF(OR(INDEX($W$2:$W$1001,MATCH(ROWS($V$2:V764),$V$2:$V$1001,0),1)&gt;=100000,INDEX($AC$1005:$AS$1005,1,MATCH(COLUMNS($AC$1006:AL1006),$AC$1006:$AS$1006,0))&gt;=100000), " ",IF(INDEX($AC$2:$AS$1001,MATCH(ROWS($V$2:V764),$V$2:$V$1001,0),MATCH(COLUMNS($AC$1006:AL1006),$AC$1006:$AS$1006,0)), HYPERLINK("#",""), HYPERLINK(CONCATENATE("#Metadata!", ADDRESS(INDEX($X$2:$X$1001,MATCH(ROWS($V$2:V764),$V$2:$V$1001,0),0), INDEX($AC$1004:$AS$1004,1,MATCH(COLUMNS($AC$1006:AL1006),$AC$1006:$AS$1006,0)))),"Fix")))</f>
        <v>0</v>
      </c>
      <c r="L764" s="5">
        <f>IF(OR(INDEX($W$2:$W$1001,MATCH(ROWS($V$2:V764),$V$2:$V$1001,0),1)&gt;=100000,INDEX($AC$1005:$AS$1005,1,MATCH(COLUMNS($AC$1006:AM1006),$AC$1006:$AS$1006,0))&gt;=100000), " ",IF(INDEX($AC$2:$AS$1001,MATCH(ROWS($V$2:V764),$V$2:$V$1001,0),MATCH(COLUMNS($AC$1006:AM1006),$AC$1006:$AS$1006,0)), HYPERLINK("#",""), HYPERLINK(CONCATENATE("#Metadata!", ADDRESS(INDEX($X$2:$X$1001,MATCH(ROWS($V$2:V764),$V$2:$V$1001,0),0), INDEX($AC$1004:$AS$1004,1,MATCH(COLUMNS($AC$1006:AM1006),$AC$1006:$AS$1006,0)))),"Fix")))</f>
        <v>0</v>
      </c>
      <c r="M764" s="5">
        <f>IF(OR(INDEX($W$2:$W$1001,MATCH(ROWS($V$2:V764),$V$2:$V$1001,0),1)&gt;=100000,INDEX($AC$1005:$AS$1005,1,MATCH(COLUMNS($AC$1006:AN1006),$AC$1006:$AS$1006,0))&gt;=100000), " ",IF(INDEX($AC$2:$AS$1001,MATCH(ROWS($V$2:V764),$V$2:$V$1001,0),MATCH(COLUMNS($AC$1006:AN1006),$AC$1006:$AS$1006,0)), HYPERLINK("#",""), HYPERLINK(CONCATENATE("#Metadata!", ADDRESS(INDEX($X$2:$X$1001,MATCH(ROWS($V$2:V764),$V$2:$V$1001,0),0), INDEX($AC$1004:$AS$1004,1,MATCH(COLUMNS($AC$1006:AN1006),$AC$1006:$AS$1006,0)))),"Fix")))</f>
        <v>0</v>
      </c>
      <c r="N764" s="5">
        <f>IF(OR(INDEX($W$2:$W$1001,MATCH(ROWS($V$2:V764),$V$2:$V$1001,0),1)&gt;=100000,INDEX($AC$1005:$AS$1005,1,MATCH(COLUMNS($AC$1006:AO1006),$AC$1006:$AS$1006,0))&gt;=100000), " ",IF(INDEX($AC$2:$AS$1001,MATCH(ROWS($V$2:V764),$V$2:$V$1001,0),MATCH(COLUMNS($AC$1006:AO1006),$AC$1006:$AS$1006,0)), HYPERLINK("#",""), HYPERLINK(CONCATENATE("#Metadata!", ADDRESS(INDEX($X$2:$X$1001,MATCH(ROWS($V$2:V764),$V$2:$V$1001,0),0), INDEX($AC$1004:$AS$1004,1,MATCH(COLUMNS($AC$1006:AO1006),$AC$1006:$AS$1006,0)))),"Fix")))</f>
        <v>0</v>
      </c>
      <c r="O764" s="5">
        <f>IF(OR(INDEX($W$2:$W$1001,MATCH(ROWS($V$2:V764),$V$2:$V$1001,0),1)&gt;=100000,INDEX($AC$1005:$AS$1005,1,MATCH(COLUMNS($AC$1006:AP1006),$AC$1006:$AS$1006,0))&gt;=100000), " ",IF(INDEX($AC$2:$AS$1001,MATCH(ROWS($V$2:V764),$V$2:$V$1001,0),MATCH(COLUMNS($AC$1006:AP1006),$AC$1006:$AS$1006,0)), HYPERLINK("#",""), HYPERLINK(CONCATENATE("#Metadata!", ADDRESS(INDEX($X$2:$X$1001,MATCH(ROWS($V$2:V764),$V$2:$V$1001,0),0), INDEX($AC$1004:$AS$1004,1,MATCH(COLUMNS($AC$1006:AP1006),$AC$1006:$AS$1006,0)))),"Fix")))</f>
        <v>0</v>
      </c>
      <c r="P764" s="5">
        <f>IF(OR(INDEX($W$2:$W$1001,MATCH(ROWS($V$2:V764),$V$2:$V$1001,0),1)&gt;=100000,INDEX($AC$1005:$AS$1005,1,MATCH(COLUMNS($AC$1006:AQ1006),$AC$1006:$AS$1006,0))&gt;=100000), " ",IF(INDEX($AC$2:$AS$1001,MATCH(ROWS($V$2:V764),$V$2:$V$1001,0),MATCH(COLUMNS($AC$1006:AQ1006),$AC$1006:$AS$1006,0)), HYPERLINK("#",""), HYPERLINK(CONCATENATE("#Metadata!", ADDRESS(INDEX($X$2:$X$1001,MATCH(ROWS($V$2:V764),$V$2:$V$1001,0),0), INDEX($AC$1004:$AS$1004,1,MATCH(COLUMNS($AC$1006:AQ1006),$AC$1006:$AS$1006,0)))),"Fix")))</f>
        <v>0</v>
      </c>
      <c r="Q764" s="5">
        <f>IF(OR(INDEX($W$2:$W$1001,MATCH(ROWS($V$2:V764),$V$2:$V$1001,0),1)&gt;=100000,INDEX($AC$1005:$AS$1005,1,MATCH(COLUMNS($AC$1006:AR1006),$AC$1006:$AS$1006,0))&gt;=100000), " ",IF(INDEX($AC$2:$AS$1001,MATCH(ROWS($V$2:V764),$V$2:$V$1001,0),MATCH(COLUMNS($AC$1006:AR1006),$AC$1006:$AS$1006,0)), HYPERLINK("#",""), HYPERLINK(CONCATENATE("#Metadata!", ADDRESS(INDEX($X$2:$X$1001,MATCH(ROWS($V$2:V764),$V$2:$V$1001,0),0), INDEX($AC$1004:$AS$1004,1,MATCH(COLUMNS($AC$1006:AR1006),$AC$1006:$AS$1006,0)))),"Fix")))</f>
        <v>0</v>
      </c>
      <c r="R764" s="5">
        <f>IF(OR(INDEX($W$2:$W$1001,MATCH(ROWS($V$2:V764),$V$2:$V$1001,0),1)&gt;=100000,INDEX($AC$1005:$AS$1005,1,MATCH(COLUMNS($AC$1006:AS1006),$AC$1006:$AS$1006,0))&gt;=100000), " ",IF(INDEX($AC$2:$AS$1001,MATCH(ROWS($V$2:V764),$V$2:$V$1001,0),MATCH(COLUMNS($AC$1006:AS1006),$AC$1006:$AS$1006,0)), HYPERLINK("#",""), HYPERLINK(CONCATENATE("#Metadata!", ADDRESS(INDEX($X$2:$X$1001,MATCH(ROWS($V$2:V764),$V$2:$V$1001,0),0), INDEX($AC$1004:$AS$1004,1,MATCH(COLUMNS($AC$1006:AS1006),$AC$1006:$AS$1006,0)))),"Fix")))</f>
        <v>0</v>
      </c>
      <c r="V764">
        <v>0</v>
      </c>
      <c r="W764">
        <v>0</v>
      </c>
      <c r="X764">
        <v>0</v>
      </c>
      <c r="Y764">
        <f>IF(Z764,TRUE,AND(AC764:AS764))</f>
        <v>0</v>
      </c>
      <c r="Z764">
        <f>COUNTBLANK(Metadata!B764:R764)=COLUMNS(Metadata!B764:R764)</f>
        <v>0</v>
      </c>
      <c r="AA764">
        <v>0</v>
      </c>
      <c r="AC764">
        <f>AND(IF(Metadata!B764="",FALSE,TRUE),COUNTIF(Metadata!B:B, Metadata!B764) = 1,NOT(ISERROR(SUMPRODUCT(SEARCH(MID(Metadata!B764,ROW(INDIRECT("1:"&amp;LEN(Metadata!B764))), 1),"0123456789abcdefghijklmnopqrstuvwxyzABCDEFGHIJKLMNOPQRSTUVWXYZ.")))))</f>
        <v>0</v>
      </c>
      <c r="AD764">
        <f>AND(IF(Metadata!C764="",FALSE,TRUE),exact(Metadata!C764,"Host-associated"))</f>
        <v>0</v>
      </c>
      <c r="AE764">
        <f>AND(IF(Metadata!D764="",FALSE,TRUE),OR(exact(Metadata!D764,"Animal"),exact(Metadata!D764,"Fungus"),exact(Metadata!D764,"Plant")))</f>
        <v>0</v>
      </c>
      <c r="AF764">
        <f>AND(IF(Metadata!E764="",FALSE,TRUE),OR(exact(Metadata!E764,"Plant secretion"),exact(Metadata!E764,"Plant rhizosphere"),exact(Metadata!E764,"Plant surface"),exact(Metadata!E764,"Plant corpus"),exact(Metadata!E764,"Fungus surface"),exact(Metadata!E764,"Fungus corpus"),exact(Metadata!E764,"Animal surface"),exact(Metadata!E764,"Animal proximal gut"),exact(Metadata!E764,"Animal corpus"),exact(Metadata!E764,"Animal distal gut"),exact(Metadata!E764,"Animal secretion")))</f>
        <v>0</v>
      </c>
      <c r="AG764">
        <f>OR(AND(IF(Metadata!F764="",FALSE,TRUE),OR(exact(Metadata!F764,"not collected"),exact(Metadata!F764,"not provided"),exact(Metadata!F764,"restricted access"))),AND(IF(Metadata!F764="",FALSE,TRUE),OR(exact(Metadata!F764,"organism-associated habitat"),exact(Metadata!F764,"plant-associated habitat"),exact(Metadata!F764,"animal-associated habitat"),exact(Metadata!F764,"insecta-associated habitat"),exact(Metadata!F764,"mammalia-associated habitat"),exact(Metadata!F764,"human-associated habitat"),exact(Metadata!F764,"livestock-associated habitat"))))</f>
        <v>0</v>
      </c>
      <c r="AH764">
        <f>AND(IF(Metadata!G764="",FALSE,TRUE),exact(Metadata!G764,"host-associated"))</f>
        <v>0</v>
      </c>
      <c r="AI764">
        <f>OR(AND(IF(Metadata!H764="",FALSE,TRUE),OR(exact(Metadata!H764,"not collected"),exact(Metadata!H764,"not provided"))),AND(IF(Metadata!H764="",FALSE,ISNUMBER(VALUE(Metadata!H764))),Metadata!H764&gt;0))</f>
        <v>0</v>
      </c>
      <c r="AJ764">
        <f>AND(IF(Metadata!I764="",FALSE,TRUE),exact(Metadata!I764,"years"))</f>
        <v>0</v>
      </c>
      <c r="AK764">
        <f>IF(Metadata!J764="",FALSE,TRUE)</f>
        <v>0</v>
      </c>
      <c r="AL764">
        <f>OR(AND(IF(Metadata!K764="",FALSE,TRUE),OR(exact(Metadata!K764,"not collected"),exact(Metadata!K764,"not provided"))),AND(IF(Metadata!K764="",FALSE,ISNUMBER(VALUE(Metadata!K764))),Metadata!K764&gt;0))</f>
        <v>0</v>
      </c>
      <c r="AM764">
        <f>AND(IF(Metadata!L764="",FALSE,TRUE),exact(Metadata!L764,"cm"))</f>
        <v>0</v>
      </c>
      <c r="AN764">
        <f>IF(Metadata!M764="",FALSE,TRUE)</f>
        <v>0</v>
      </c>
      <c r="AO764">
        <f>OR(AND(IF(Metadata!N764="",FALSE,TRUE),OR(exact(Metadata!N764,"not applicable"),exact(Metadata!N764,"not collected"),exact(Metadata!N764,"not provided"))),AND(IF(Metadata!N764="",FALSE,IF(ISERROR(INT(Metadata!N764)),FALSE,INT(Metadata!N764)=Metadata!N764)),Metadata!N764&gt;0))</f>
        <v>0</v>
      </c>
      <c r="AP764">
        <f>OR(AND(IF(Metadata!O764="",FALSE,TRUE),OR(exact(Metadata!O764,"not collected"),exact(Metadata!O764,"not provided"))),AND(IF(Metadata!O764="",FALSE,ISNUMBER(VALUE(Metadata!O764))),Metadata!O764&gt;0))</f>
        <v>0</v>
      </c>
      <c r="AQ764">
        <f>AND(IF(Metadata!P764="",FALSE,TRUE),exact(Metadata!P764,"kg"))</f>
        <v>0</v>
      </c>
      <c r="AR764">
        <f>OR(AND(IF(Metadata!Q764="",FALSE,TRUE),OR(exact(Metadata!Q764,"not applicable"),exact(Metadata!Q764,"not collected"),exact(Metadata!Q764,"not provided"),exact(Metadata!Q764,"restricted access"))),IF(Metadata!Q764="",FALSE,IF(ISERROR(INT(Metadata!Q764)),FALSE,INT(Metadata!Q764)=Metadata!Q764)))</f>
        <v>0</v>
      </c>
      <c r="AS764">
        <f>AND(IF(Metadata!R764="",FALSE,TRUE),exact(Metadata!R764,"Not applicable"))</f>
        <v>0</v>
      </c>
    </row>
    <row r="765" spans="1:45">
      <c r="A765" s="4">
        <f>IF(B765=" "," ",HYPERLINK(CONCATENATE("#metadata!",ADDRESS(INDEX($X$2:$X$1001,MATCH(ROWS($V$2:V765),$V$2:$V$1001,0),0),2)),INDEX($AA$2:$AA$1001,MATCH(ROWS($V$2:V765),$V$2:$V$1001,0),0)))</f>
        <v>0</v>
      </c>
      <c r="B765" s="5">
        <f>IF(OR(INDEX($W$2:$W$1001,MATCH(ROWS($V$2:V765),$V$2:$V$1001,0),1)&gt;=100000,INDEX($AC$1005:$AS$1005,1,MATCH(COLUMNS($AC$1006:AC1006),$AC$1006:$AS$1006,0))&gt;=100000), " ",IF(INDEX($AC$2:$AS$1001,MATCH(ROWS($V$2:V765),$V$2:$V$1001,0),MATCH(COLUMNS($AC$1006:AC1006),$AC$1006:$AS$1006,0)), HYPERLINK("#",""), HYPERLINK(CONCATENATE("#Metadata!", ADDRESS(INDEX($X$2:$X$1001,MATCH(ROWS($V$2:V765),$V$2:$V$1001,0),0), INDEX($AC$1004:$AS$1004,1,MATCH(COLUMNS($AC$1006:AC1006),$AC$1006:$AS$1006,0)))),"Fix")))</f>
        <v>0</v>
      </c>
      <c r="C765" s="5">
        <f>IF(OR(INDEX($W$2:$W$1001,MATCH(ROWS($V$2:V765),$V$2:$V$1001,0),1)&gt;=100000,INDEX($AC$1005:$AS$1005,1,MATCH(COLUMNS($AC$1006:AD1006),$AC$1006:$AS$1006,0))&gt;=100000), " ",IF(INDEX($AC$2:$AS$1001,MATCH(ROWS($V$2:V765),$V$2:$V$1001,0),MATCH(COLUMNS($AC$1006:AD1006),$AC$1006:$AS$1006,0)), HYPERLINK("#",""), HYPERLINK(CONCATENATE("#Metadata!", ADDRESS(INDEX($X$2:$X$1001,MATCH(ROWS($V$2:V765),$V$2:$V$1001,0),0), INDEX($AC$1004:$AS$1004,1,MATCH(COLUMNS($AC$1006:AD1006),$AC$1006:$AS$1006,0)))),"Fix")))</f>
        <v>0</v>
      </c>
      <c r="D765" s="5">
        <f>IF(OR(INDEX($W$2:$W$1001,MATCH(ROWS($V$2:V765),$V$2:$V$1001,0),1)&gt;=100000,INDEX($AC$1005:$AS$1005,1,MATCH(COLUMNS($AC$1006:AE1006),$AC$1006:$AS$1006,0))&gt;=100000), " ",IF(INDEX($AC$2:$AS$1001,MATCH(ROWS($V$2:V765),$V$2:$V$1001,0),MATCH(COLUMNS($AC$1006:AE1006),$AC$1006:$AS$1006,0)), HYPERLINK("#",""), HYPERLINK(CONCATENATE("#Metadata!", ADDRESS(INDEX($X$2:$X$1001,MATCH(ROWS($V$2:V765),$V$2:$V$1001,0),0), INDEX($AC$1004:$AS$1004,1,MATCH(COLUMNS($AC$1006:AE1006),$AC$1006:$AS$1006,0)))),"Fix")))</f>
        <v>0</v>
      </c>
      <c r="E765" s="5">
        <f>IF(OR(INDEX($W$2:$W$1001,MATCH(ROWS($V$2:V765),$V$2:$V$1001,0),1)&gt;=100000,INDEX($AC$1005:$AS$1005,1,MATCH(COLUMNS($AC$1006:AF1006),$AC$1006:$AS$1006,0))&gt;=100000), " ",IF(INDEX($AC$2:$AS$1001,MATCH(ROWS($V$2:V765),$V$2:$V$1001,0),MATCH(COLUMNS($AC$1006:AF1006),$AC$1006:$AS$1006,0)), HYPERLINK("#",""), HYPERLINK(CONCATENATE("#Metadata!", ADDRESS(INDEX($X$2:$X$1001,MATCH(ROWS($V$2:V765),$V$2:$V$1001,0),0), INDEX($AC$1004:$AS$1004,1,MATCH(COLUMNS($AC$1006:AF1006),$AC$1006:$AS$1006,0)))),"Fix")))</f>
        <v>0</v>
      </c>
      <c r="F765" s="5">
        <f>IF(OR(INDEX($W$2:$W$1001,MATCH(ROWS($V$2:V765),$V$2:$V$1001,0),1)&gt;=100000,INDEX($AC$1005:$AS$1005,1,MATCH(COLUMNS($AC$1006:AG1006),$AC$1006:$AS$1006,0))&gt;=100000), " ",IF(INDEX($AC$2:$AS$1001,MATCH(ROWS($V$2:V765),$V$2:$V$1001,0),MATCH(COLUMNS($AC$1006:AG1006),$AC$1006:$AS$1006,0)), HYPERLINK("#",""), HYPERLINK(CONCATENATE("#Metadata!", ADDRESS(INDEX($X$2:$X$1001,MATCH(ROWS($V$2:V765),$V$2:$V$1001,0),0), INDEX($AC$1004:$AS$1004,1,MATCH(COLUMNS($AC$1006:AG1006),$AC$1006:$AS$1006,0)))),"Fix")))</f>
        <v>0</v>
      </c>
      <c r="G765" s="5">
        <f>IF(OR(INDEX($W$2:$W$1001,MATCH(ROWS($V$2:V765),$V$2:$V$1001,0),1)&gt;=100000,INDEX($AC$1005:$AS$1005,1,MATCH(COLUMNS($AC$1006:AH1006),$AC$1006:$AS$1006,0))&gt;=100000), " ",IF(INDEX($AC$2:$AS$1001,MATCH(ROWS($V$2:V765),$V$2:$V$1001,0),MATCH(COLUMNS($AC$1006:AH1006),$AC$1006:$AS$1006,0)), HYPERLINK("#",""), HYPERLINK(CONCATENATE("#Metadata!", ADDRESS(INDEX($X$2:$X$1001,MATCH(ROWS($V$2:V765),$V$2:$V$1001,0),0), INDEX($AC$1004:$AS$1004,1,MATCH(COLUMNS($AC$1006:AH1006),$AC$1006:$AS$1006,0)))),"Fix")))</f>
        <v>0</v>
      </c>
      <c r="H765" s="5">
        <f>IF(OR(INDEX($W$2:$W$1001,MATCH(ROWS($V$2:V765),$V$2:$V$1001,0),1)&gt;=100000,INDEX($AC$1005:$AS$1005,1,MATCH(COLUMNS($AC$1006:AI1006),$AC$1006:$AS$1006,0))&gt;=100000), " ",IF(INDEX($AC$2:$AS$1001,MATCH(ROWS($V$2:V765),$V$2:$V$1001,0),MATCH(COLUMNS($AC$1006:AI1006),$AC$1006:$AS$1006,0)), HYPERLINK("#",""), HYPERLINK(CONCATENATE("#Metadata!", ADDRESS(INDEX($X$2:$X$1001,MATCH(ROWS($V$2:V765),$V$2:$V$1001,0),0), INDEX($AC$1004:$AS$1004,1,MATCH(COLUMNS($AC$1006:AI1006),$AC$1006:$AS$1006,0)))),"Fix")))</f>
        <v>0</v>
      </c>
      <c r="I765" s="5">
        <f>IF(OR(INDEX($W$2:$W$1001,MATCH(ROWS($V$2:V765),$V$2:$V$1001,0),1)&gt;=100000,INDEX($AC$1005:$AS$1005,1,MATCH(COLUMNS($AC$1006:AJ1006),$AC$1006:$AS$1006,0))&gt;=100000), " ",IF(INDEX($AC$2:$AS$1001,MATCH(ROWS($V$2:V765),$V$2:$V$1001,0),MATCH(COLUMNS($AC$1006:AJ1006),$AC$1006:$AS$1006,0)), HYPERLINK("#",""), HYPERLINK(CONCATENATE("#Metadata!", ADDRESS(INDEX($X$2:$X$1001,MATCH(ROWS($V$2:V765),$V$2:$V$1001,0),0), INDEX($AC$1004:$AS$1004,1,MATCH(COLUMNS($AC$1006:AJ1006),$AC$1006:$AS$1006,0)))),"Fix")))</f>
        <v>0</v>
      </c>
      <c r="J765" s="5">
        <f>IF(OR(INDEX($W$2:$W$1001,MATCH(ROWS($V$2:V765),$V$2:$V$1001,0),1)&gt;=100000,INDEX($AC$1005:$AS$1005,1,MATCH(COLUMNS($AC$1006:AK1006),$AC$1006:$AS$1006,0))&gt;=100000), " ",IF(INDEX($AC$2:$AS$1001,MATCH(ROWS($V$2:V765),$V$2:$V$1001,0),MATCH(COLUMNS($AC$1006:AK1006),$AC$1006:$AS$1006,0)), HYPERLINK("#",""), HYPERLINK(CONCATENATE("#Metadata!", ADDRESS(INDEX($X$2:$X$1001,MATCH(ROWS($V$2:V765),$V$2:$V$1001,0),0), INDEX($AC$1004:$AS$1004,1,MATCH(COLUMNS($AC$1006:AK1006),$AC$1006:$AS$1006,0)))),"Fix")))</f>
        <v>0</v>
      </c>
      <c r="K765" s="5">
        <f>IF(OR(INDEX($W$2:$W$1001,MATCH(ROWS($V$2:V765),$V$2:$V$1001,0),1)&gt;=100000,INDEX($AC$1005:$AS$1005,1,MATCH(COLUMNS($AC$1006:AL1006),$AC$1006:$AS$1006,0))&gt;=100000), " ",IF(INDEX($AC$2:$AS$1001,MATCH(ROWS($V$2:V765),$V$2:$V$1001,0),MATCH(COLUMNS($AC$1006:AL1006),$AC$1006:$AS$1006,0)), HYPERLINK("#",""), HYPERLINK(CONCATENATE("#Metadata!", ADDRESS(INDEX($X$2:$X$1001,MATCH(ROWS($V$2:V765),$V$2:$V$1001,0),0), INDEX($AC$1004:$AS$1004,1,MATCH(COLUMNS($AC$1006:AL1006),$AC$1006:$AS$1006,0)))),"Fix")))</f>
        <v>0</v>
      </c>
      <c r="L765" s="5">
        <f>IF(OR(INDEX($W$2:$W$1001,MATCH(ROWS($V$2:V765),$V$2:$V$1001,0),1)&gt;=100000,INDEX($AC$1005:$AS$1005,1,MATCH(COLUMNS($AC$1006:AM1006),$AC$1006:$AS$1006,0))&gt;=100000), " ",IF(INDEX($AC$2:$AS$1001,MATCH(ROWS($V$2:V765),$V$2:$V$1001,0),MATCH(COLUMNS($AC$1006:AM1006),$AC$1006:$AS$1006,0)), HYPERLINK("#",""), HYPERLINK(CONCATENATE("#Metadata!", ADDRESS(INDEX($X$2:$X$1001,MATCH(ROWS($V$2:V765),$V$2:$V$1001,0),0), INDEX($AC$1004:$AS$1004,1,MATCH(COLUMNS($AC$1006:AM1006),$AC$1006:$AS$1006,0)))),"Fix")))</f>
        <v>0</v>
      </c>
      <c r="M765" s="5">
        <f>IF(OR(INDEX($W$2:$W$1001,MATCH(ROWS($V$2:V765),$V$2:$V$1001,0),1)&gt;=100000,INDEX($AC$1005:$AS$1005,1,MATCH(COLUMNS($AC$1006:AN1006),$AC$1006:$AS$1006,0))&gt;=100000), " ",IF(INDEX($AC$2:$AS$1001,MATCH(ROWS($V$2:V765),$V$2:$V$1001,0),MATCH(COLUMNS($AC$1006:AN1006),$AC$1006:$AS$1006,0)), HYPERLINK("#",""), HYPERLINK(CONCATENATE("#Metadata!", ADDRESS(INDEX($X$2:$X$1001,MATCH(ROWS($V$2:V765),$V$2:$V$1001,0),0), INDEX($AC$1004:$AS$1004,1,MATCH(COLUMNS($AC$1006:AN1006),$AC$1006:$AS$1006,0)))),"Fix")))</f>
        <v>0</v>
      </c>
      <c r="N765" s="5">
        <f>IF(OR(INDEX($W$2:$W$1001,MATCH(ROWS($V$2:V765),$V$2:$V$1001,0),1)&gt;=100000,INDEX($AC$1005:$AS$1005,1,MATCH(COLUMNS($AC$1006:AO1006),$AC$1006:$AS$1006,0))&gt;=100000), " ",IF(INDEX($AC$2:$AS$1001,MATCH(ROWS($V$2:V765),$V$2:$V$1001,0),MATCH(COLUMNS($AC$1006:AO1006),$AC$1006:$AS$1006,0)), HYPERLINK("#",""), HYPERLINK(CONCATENATE("#Metadata!", ADDRESS(INDEX($X$2:$X$1001,MATCH(ROWS($V$2:V765),$V$2:$V$1001,0),0), INDEX($AC$1004:$AS$1004,1,MATCH(COLUMNS($AC$1006:AO1006),$AC$1006:$AS$1006,0)))),"Fix")))</f>
        <v>0</v>
      </c>
      <c r="O765" s="5">
        <f>IF(OR(INDEX($W$2:$W$1001,MATCH(ROWS($V$2:V765),$V$2:$V$1001,0),1)&gt;=100000,INDEX($AC$1005:$AS$1005,1,MATCH(COLUMNS($AC$1006:AP1006),$AC$1006:$AS$1006,0))&gt;=100000), " ",IF(INDEX($AC$2:$AS$1001,MATCH(ROWS($V$2:V765),$V$2:$V$1001,0),MATCH(COLUMNS($AC$1006:AP1006),$AC$1006:$AS$1006,0)), HYPERLINK("#",""), HYPERLINK(CONCATENATE("#Metadata!", ADDRESS(INDEX($X$2:$X$1001,MATCH(ROWS($V$2:V765),$V$2:$V$1001,0),0), INDEX($AC$1004:$AS$1004,1,MATCH(COLUMNS($AC$1006:AP1006),$AC$1006:$AS$1006,0)))),"Fix")))</f>
        <v>0</v>
      </c>
      <c r="P765" s="5">
        <f>IF(OR(INDEX($W$2:$W$1001,MATCH(ROWS($V$2:V765),$V$2:$V$1001,0),1)&gt;=100000,INDEX($AC$1005:$AS$1005,1,MATCH(COLUMNS($AC$1006:AQ1006),$AC$1006:$AS$1006,0))&gt;=100000), " ",IF(INDEX($AC$2:$AS$1001,MATCH(ROWS($V$2:V765),$V$2:$V$1001,0),MATCH(COLUMNS($AC$1006:AQ1006),$AC$1006:$AS$1006,0)), HYPERLINK("#",""), HYPERLINK(CONCATENATE("#Metadata!", ADDRESS(INDEX($X$2:$X$1001,MATCH(ROWS($V$2:V765),$V$2:$V$1001,0),0), INDEX($AC$1004:$AS$1004,1,MATCH(COLUMNS($AC$1006:AQ1006),$AC$1006:$AS$1006,0)))),"Fix")))</f>
        <v>0</v>
      </c>
      <c r="Q765" s="5">
        <f>IF(OR(INDEX($W$2:$W$1001,MATCH(ROWS($V$2:V765),$V$2:$V$1001,0),1)&gt;=100000,INDEX($AC$1005:$AS$1005,1,MATCH(COLUMNS($AC$1006:AR1006),$AC$1006:$AS$1006,0))&gt;=100000), " ",IF(INDEX($AC$2:$AS$1001,MATCH(ROWS($V$2:V765),$V$2:$V$1001,0),MATCH(COLUMNS($AC$1006:AR1006),$AC$1006:$AS$1006,0)), HYPERLINK("#",""), HYPERLINK(CONCATENATE("#Metadata!", ADDRESS(INDEX($X$2:$X$1001,MATCH(ROWS($V$2:V765),$V$2:$V$1001,0),0), INDEX($AC$1004:$AS$1004,1,MATCH(COLUMNS($AC$1006:AR1006),$AC$1006:$AS$1006,0)))),"Fix")))</f>
        <v>0</v>
      </c>
      <c r="R765" s="5">
        <f>IF(OR(INDEX($W$2:$W$1001,MATCH(ROWS($V$2:V765),$V$2:$V$1001,0),1)&gt;=100000,INDEX($AC$1005:$AS$1005,1,MATCH(COLUMNS($AC$1006:AS1006),$AC$1006:$AS$1006,0))&gt;=100000), " ",IF(INDEX($AC$2:$AS$1001,MATCH(ROWS($V$2:V765),$V$2:$V$1001,0),MATCH(COLUMNS($AC$1006:AS1006),$AC$1006:$AS$1006,0)), HYPERLINK("#",""), HYPERLINK(CONCATENATE("#Metadata!", ADDRESS(INDEX($X$2:$X$1001,MATCH(ROWS($V$2:V765),$V$2:$V$1001,0),0), INDEX($AC$1004:$AS$1004,1,MATCH(COLUMNS($AC$1006:AS1006),$AC$1006:$AS$1006,0)))),"Fix")))</f>
        <v>0</v>
      </c>
      <c r="V765">
        <v>0</v>
      </c>
      <c r="W765">
        <v>0</v>
      </c>
      <c r="X765">
        <v>0</v>
      </c>
      <c r="Y765">
        <f>IF(Z765,TRUE,AND(AC765:AS765))</f>
        <v>0</v>
      </c>
      <c r="Z765">
        <f>COUNTBLANK(Metadata!B765:R765)=COLUMNS(Metadata!B765:R765)</f>
        <v>0</v>
      </c>
      <c r="AA765">
        <v>0</v>
      </c>
      <c r="AC765">
        <f>AND(IF(Metadata!B765="",FALSE,TRUE),COUNTIF(Metadata!B:B, Metadata!B765) = 1,NOT(ISERROR(SUMPRODUCT(SEARCH(MID(Metadata!B765,ROW(INDIRECT("1:"&amp;LEN(Metadata!B765))), 1),"0123456789abcdefghijklmnopqrstuvwxyzABCDEFGHIJKLMNOPQRSTUVWXYZ.")))))</f>
        <v>0</v>
      </c>
      <c r="AD765">
        <f>AND(IF(Metadata!C765="",FALSE,TRUE),exact(Metadata!C765,"Host-associated"))</f>
        <v>0</v>
      </c>
      <c r="AE765">
        <f>AND(IF(Metadata!D765="",FALSE,TRUE),OR(exact(Metadata!D765,"Animal"),exact(Metadata!D765,"Fungus"),exact(Metadata!D765,"Plant")))</f>
        <v>0</v>
      </c>
      <c r="AF765">
        <f>AND(IF(Metadata!E765="",FALSE,TRUE),OR(exact(Metadata!E765,"Plant secretion"),exact(Metadata!E765,"Plant rhizosphere"),exact(Metadata!E765,"Plant surface"),exact(Metadata!E765,"Plant corpus"),exact(Metadata!E765,"Fungus surface"),exact(Metadata!E765,"Fungus corpus"),exact(Metadata!E765,"Animal surface"),exact(Metadata!E765,"Animal proximal gut"),exact(Metadata!E765,"Animal corpus"),exact(Metadata!E765,"Animal distal gut"),exact(Metadata!E765,"Animal secretion")))</f>
        <v>0</v>
      </c>
      <c r="AG765">
        <f>OR(AND(IF(Metadata!F765="",FALSE,TRUE),OR(exact(Metadata!F765,"not collected"),exact(Metadata!F765,"not provided"),exact(Metadata!F765,"restricted access"))),AND(IF(Metadata!F765="",FALSE,TRUE),OR(exact(Metadata!F765,"organism-associated habitat"),exact(Metadata!F765,"plant-associated habitat"),exact(Metadata!F765,"animal-associated habitat"),exact(Metadata!F765,"insecta-associated habitat"),exact(Metadata!F765,"mammalia-associated habitat"),exact(Metadata!F765,"human-associated habitat"),exact(Metadata!F765,"livestock-associated habitat"))))</f>
        <v>0</v>
      </c>
      <c r="AH765">
        <f>AND(IF(Metadata!G765="",FALSE,TRUE),exact(Metadata!G765,"host-associated"))</f>
        <v>0</v>
      </c>
      <c r="AI765">
        <f>OR(AND(IF(Metadata!H765="",FALSE,TRUE),OR(exact(Metadata!H765,"not collected"),exact(Metadata!H765,"not provided"))),AND(IF(Metadata!H765="",FALSE,ISNUMBER(VALUE(Metadata!H765))),Metadata!H765&gt;0))</f>
        <v>0</v>
      </c>
      <c r="AJ765">
        <f>AND(IF(Metadata!I765="",FALSE,TRUE),exact(Metadata!I765,"years"))</f>
        <v>0</v>
      </c>
      <c r="AK765">
        <f>IF(Metadata!J765="",FALSE,TRUE)</f>
        <v>0</v>
      </c>
      <c r="AL765">
        <f>OR(AND(IF(Metadata!K765="",FALSE,TRUE),OR(exact(Metadata!K765,"not collected"),exact(Metadata!K765,"not provided"))),AND(IF(Metadata!K765="",FALSE,ISNUMBER(VALUE(Metadata!K765))),Metadata!K765&gt;0))</f>
        <v>0</v>
      </c>
      <c r="AM765">
        <f>AND(IF(Metadata!L765="",FALSE,TRUE),exact(Metadata!L765,"cm"))</f>
        <v>0</v>
      </c>
      <c r="AN765">
        <f>IF(Metadata!M765="",FALSE,TRUE)</f>
        <v>0</v>
      </c>
      <c r="AO765">
        <f>OR(AND(IF(Metadata!N765="",FALSE,TRUE),OR(exact(Metadata!N765,"not applicable"),exact(Metadata!N765,"not collected"),exact(Metadata!N765,"not provided"))),AND(IF(Metadata!N765="",FALSE,IF(ISERROR(INT(Metadata!N765)),FALSE,INT(Metadata!N765)=Metadata!N765)),Metadata!N765&gt;0))</f>
        <v>0</v>
      </c>
      <c r="AP765">
        <f>OR(AND(IF(Metadata!O765="",FALSE,TRUE),OR(exact(Metadata!O765,"not collected"),exact(Metadata!O765,"not provided"))),AND(IF(Metadata!O765="",FALSE,ISNUMBER(VALUE(Metadata!O765))),Metadata!O765&gt;0))</f>
        <v>0</v>
      </c>
      <c r="AQ765">
        <f>AND(IF(Metadata!P765="",FALSE,TRUE),exact(Metadata!P765,"kg"))</f>
        <v>0</v>
      </c>
      <c r="AR765">
        <f>OR(AND(IF(Metadata!Q765="",FALSE,TRUE),OR(exact(Metadata!Q765,"not applicable"),exact(Metadata!Q765,"not collected"),exact(Metadata!Q765,"not provided"),exact(Metadata!Q765,"restricted access"))),IF(Metadata!Q765="",FALSE,IF(ISERROR(INT(Metadata!Q765)),FALSE,INT(Metadata!Q765)=Metadata!Q765)))</f>
        <v>0</v>
      </c>
      <c r="AS765">
        <f>AND(IF(Metadata!R765="",FALSE,TRUE),exact(Metadata!R765,"Not applicable"))</f>
        <v>0</v>
      </c>
    </row>
    <row r="766" spans="1:45">
      <c r="A766" s="4">
        <f>IF(B766=" "," ",HYPERLINK(CONCATENATE("#metadata!",ADDRESS(INDEX($X$2:$X$1001,MATCH(ROWS($V$2:V766),$V$2:$V$1001,0),0),2)),INDEX($AA$2:$AA$1001,MATCH(ROWS($V$2:V766),$V$2:$V$1001,0),0)))</f>
        <v>0</v>
      </c>
      <c r="B766" s="5">
        <f>IF(OR(INDEX($W$2:$W$1001,MATCH(ROWS($V$2:V766),$V$2:$V$1001,0),1)&gt;=100000,INDEX($AC$1005:$AS$1005,1,MATCH(COLUMNS($AC$1006:AC1006),$AC$1006:$AS$1006,0))&gt;=100000), " ",IF(INDEX($AC$2:$AS$1001,MATCH(ROWS($V$2:V766),$V$2:$V$1001,0),MATCH(COLUMNS($AC$1006:AC1006),$AC$1006:$AS$1006,0)), HYPERLINK("#",""), HYPERLINK(CONCATENATE("#Metadata!", ADDRESS(INDEX($X$2:$X$1001,MATCH(ROWS($V$2:V766),$V$2:$V$1001,0),0), INDEX($AC$1004:$AS$1004,1,MATCH(COLUMNS($AC$1006:AC1006),$AC$1006:$AS$1006,0)))),"Fix")))</f>
        <v>0</v>
      </c>
      <c r="C766" s="5">
        <f>IF(OR(INDEX($W$2:$W$1001,MATCH(ROWS($V$2:V766),$V$2:$V$1001,0),1)&gt;=100000,INDEX($AC$1005:$AS$1005,1,MATCH(COLUMNS($AC$1006:AD1006),$AC$1006:$AS$1006,0))&gt;=100000), " ",IF(INDEX($AC$2:$AS$1001,MATCH(ROWS($V$2:V766),$V$2:$V$1001,0),MATCH(COLUMNS($AC$1006:AD1006),$AC$1006:$AS$1006,0)), HYPERLINK("#",""), HYPERLINK(CONCATENATE("#Metadata!", ADDRESS(INDEX($X$2:$X$1001,MATCH(ROWS($V$2:V766),$V$2:$V$1001,0),0), INDEX($AC$1004:$AS$1004,1,MATCH(COLUMNS($AC$1006:AD1006),$AC$1006:$AS$1006,0)))),"Fix")))</f>
        <v>0</v>
      </c>
      <c r="D766" s="5">
        <f>IF(OR(INDEX($W$2:$W$1001,MATCH(ROWS($V$2:V766),$V$2:$V$1001,0),1)&gt;=100000,INDEX($AC$1005:$AS$1005,1,MATCH(COLUMNS($AC$1006:AE1006),$AC$1006:$AS$1006,0))&gt;=100000), " ",IF(INDEX($AC$2:$AS$1001,MATCH(ROWS($V$2:V766),$V$2:$V$1001,0),MATCH(COLUMNS($AC$1006:AE1006),$AC$1006:$AS$1006,0)), HYPERLINK("#",""), HYPERLINK(CONCATENATE("#Metadata!", ADDRESS(INDEX($X$2:$X$1001,MATCH(ROWS($V$2:V766),$V$2:$V$1001,0),0), INDEX($AC$1004:$AS$1004,1,MATCH(COLUMNS($AC$1006:AE1006),$AC$1006:$AS$1006,0)))),"Fix")))</f>
        <v>0</v>
      </c>
      <c r="E766" s="5">
        <f>IF(OR(INDEX($W$2:$W$1001,MATCH(ROWS($V$2:V766),$V$2:$V$1001,0),1)&gt;=100000,INDEX($AC$1005:$AS$1005,1,MATCH(COLUMNS($AC$1006:AF1006),$AC$1006:$AS$1006,0))&gt;=100000), " ",IF(INDEX($AC$2:$AS$1001,MATCH(ROWS($V$2:V766),$V$2:$V$1001,0),MATCH(COLUMNS($AC$1006:AF1006),$AC$1006:$AS$1006,0)), HYPERLINK("#",""), HYPERLINK(CONCATENATE("#Metadata!", ADDRESS(INDEX($X$2:$X$1001,MATCH(ROWS($V$2:V766),$V$2:$V$1001,0),0), INDEX($AC$1004:$AS$1004,1,MATCH(COLUMNS($AC$1006:AF1006),$AC$1006:$AS$1006,0)))),"Fix")))</f>
        <v>0</v>
      </c>
      <c r="F766" s="5">
        <f>IF(OR(INDEX($W$2:$W$1001,MATCH(ROWS($V$2:V766),$V$2:$V$1001,0),1)&gt;=100000,INDEX($AC$1005:$AS$1005,1,MATCH(COLUMNS($AC$1006:AG1006),$AC$1006:$AS$1006,0))&gt;=100000), " ",IF(INDEX($AC$2:$AS$1001,MATCH(ROWS($V$2:V766),$V$2:$V$1001,0),MATCH(COLUMNS($AC$1006:AG1006),$AC$1006:$AS$1006,0)), HYPERLINK("#",""), HYPERLINK(CONCATENATE("#Metadata!", ADDRESS(INDEX($X$2:$X$1001,MATCH(ROWS($V$2:V766),$V$2:$V$1001,0),0), INDEX($AC$1004:$AS$1004,1,MATCH(COLUMNS($AC$1006:AG1006),$AC$1006:$AS$1006,0)))),"Fix")))</f>
        <v>0</v>
      </c>
      <c r="G766" s="5">
        <f>IF(OR(INDEX($W$2:$W$1001,MATCH(ROWS($V$2:V766),$V$2:$V$1001,0),1)&gt;=100000,INDEX($AC$1005:$AS$1005,1,MATCH(COLUMNS($AC$1006:AH1006),$AC$1006:$AS$1006,0))&gt;=100000), " ",IF(INDEX($AC$2:$AS$1001,MATCH(ROWS($V$2:V766),$V$2:$V$1001,0),MATCH(COLUMNS($AC$1006:AH1006),$AC$1006:$AS$1006,0)), HYPERLINK("#",""), HYPERLINK(CONCATENATE("#Metadata!", ADDRESS(INDEX($X$2:$X$1001,MATCH(ROWS($V$2:V766),$V$2:$V$1001,0),0), INDEX($AC$1004:$AS$1004,1,MATCH(COLUMNS($AC$1006:AH1006),$AC$1006:$AS$1006,0)))),"Fix")))</f>
        <v>0</v>
      </c>
      <c r="H766" s="5">
        <f>IF(OR(INDEX($W$2:$W$1001,MATCH(ROWS($V$2:V766),$V$2:$V$1001,0),1)&gt;=100000,INDEX($AC$1005:$AS$1005,1,MATCH(COLUMNS($AC$1006:AI1006),$AC$1006:$AS$1006,0))&gt;=100000), " ",IF(INDEX($AC$2:$AS$1001,MATCH(ROWS($V$2:V766),$V$2:$V$1001,0),MATCH(COLUMNS($AC$1006:AI1006),$AC$1006:$AS$1006,0)), HYPERLINK("#",""), HYPERLINK(CONCATENATE("#Metadata!", ADDRESS(INDEX($X$2:$X$1001,MATCH(ROWS($V$2:V766),$V$2:$V$1001,0),0), INDEX($AC$1004:$AS$1004,1,MATCH(COLUMNS($AC$1006:AI1006),$AC$1006:$AS$1006,0)))),"Fix")))</f>
        <v>0</v>
      </c>
      <c r="I766" s="5">
        <f>IF(OR(INDEX($W$2:$W$1001,MATCH(ROWS($V$2:V766),$V$2:$V$1001,0),1)&gt;=100000,INDEX($AC$1005:$AS$1005,1,MATCH(COLUMNS($AC$1006:AJ1006),$AC$1006:$AS$1006,0))&gt;=100000), " ",IF(INDEX($AC$2:$AS$1001,MATCH(ROWS($V$2:V766),$V$2:$V$1001,0),MATCH(COLUMNS($AC$1006:AJ1006),$AC$1006:$AS$1006,0)), HYPERLINK("#",""), HYPERLINK(CONCATENATE("#Metadata!", ADDRESS(INDEX($X$2:$X$1001,MATCH(ROWS($V$2:V766),$V$2:$V$1001,0),0), INDEX($AC$1004:$AS$1004,1,MATCH(COLUMNS($AC$1006:AJ1006),$AC$1006:$AS$1006,0)))),"Fix")))</f>
        <v>0</v>
      </c>
      <c r="J766" s="5">
        <f>IF(OR(INDEX($W$2:$W$1001,MATCH(ROWS($V$2:V766),$V$2:$V$1001,0),1)&gt;=100000,INDEX($AC$1005:$AS$1005,1,MATCH(COLUMNS($AC$1006:AK1006),$AC$1006:$AS$1006,0))&gt;=100000), " ",IF(INDEX($AC$2:$AS$1001,MATCH(ROWS($V$2:V766),$V$2:$V$1001,0),MATCH(COLUMNS($AC$1006:AK1006),$AC$1006:$AS$1006,0)), HYPERLINK("#",""), HYPERLINK(CONCATENATE("#Metadata!", ADDRESS(INDEX($X$2:$X$1001,MATCH(ROWS($V$2:V766),$V$2:$V$1001,0),0), INDEX($AC$1004:$AS$1004,1,MATCH(COLUMNS($AC$1006:AK1006),$AC$1006:$AS$1006,0)))),"Fix")))</f>
        <v>0</v>
      </c>
      <c r="K766" s="5">
        <f>IF(OR(INDEX($W$2:$W$1001,MATCH(ROWS($V$2:V766),$V$2:$V$1001,0),1)&gt;=100000,INDEX($AC$1005:$AS$1005,1,MATCH(COLUMNS($AC$1006:AL1006),$AC$1006:$AS$1006,0))&gt;=100000), " ",IF(INDEX($AC$2:$AS$1001,MATCH(ROWS($V$2:V766),$V$2:$V$1001,0),MATCH(COLUMNS($AC$1006:AL1006),$AC$1006:$AS$1006,0)), HYPERLINK("#",""), HYPERLINK(CONCATENATE("#Metadata!", ADDRESS(INDEX($X$2:$X$1001,MATCH(ROWS($V$2:V766),$V$2:$V$1001,0),0), INDEX($AC$1004:$AS$1004,1,MATCH(COLUMNS($AC$1006:AL1006),$AC$1006:$AS$1006,0)))),"Fix")))</f>
        <v>0</v>
      </c>
      <c r="L766" s="5">
        <f>IF(OR(INDEX($W$2:$W$1001,MATCH(ROWS($V$2:V766),$V$2:$V$1001,0),1)&gt;=100000,INDEX($AC$1005:$AS$1005,1,MATCH(COLUMNS($AC$1006:AM1006),$AC$1006:$AS$1006,0))&gt;=100000), " ",IF(INDEX($AC$2:$AS$1001,MATCH(ROWS($V$2:V766),$V$2:$V$1001,0),MATCH(COLUMNS($AC$1006:AM1006),$AC$1006:$AS$1006,0)), HYPERLINK("#",""), HYPERLINK(CONCATENATE("#Metadata!", ADDRESS(INDEX($X$2:$X$1001,MATCH(ROWS($V$2:V766),$V$2:$V$1001,0),0), INDEX($AC$1004:$AS$1004,1,MATCH(COLUMNS($AC$1006:AM1006),$AC$1006:$AS$1006,0)))),"Fix")))</f>
        <v>0</v>
      </c>
      <c r="M766" s="5">
        <f>IF(OR(INDEX($W$2:$W$1001,MATCH(ROWS($V$2:V766),$V$2:$V$1001,0),1)&gt;=100000,INDEX($AC$1005:$AS$1005,1,MATCH(COLUMNS($AC$1006:AN1006),$AC$1006:$AS$1006,0))&gt;=100000), " ",IF(INDEX($AC$2:$AS$1001,MATCH(ROWS($V$2:V766),$V$2:$V$1001,0),MATCH(COLUMNS($AC$1006:AN1006),$AC$1006:$AS$1006,0)), HYPERLINK("#",""), HYPERLINK(CONCATENATE("#Metadata!", ADDRESS(INDEX($X$2:$X$1001,MATCH(ROWS($V$2:V766),$V$2:$V$1001,0),0), INDEX($AC$1004:$AS$1004,1,MATCH(COLUMNS($AC$1006:AN1006),$AC$1006:$AS$1006,0)))),"Fix")))</f>
        <v>0</v>
      </c>
      <c r="N766" s="5">
        <f>IF(OR(INDEX($W$2:$W$1001,MATCH(ROWS($V$2:V766),$V$2:$V$1001,0),1)&gt;=100000,INDEX($AC$1005:$AS$1005,1,MATCH(COLUMNS($AC$1006:AO1006),$AC$1006:$AS$1006,0))&gt;=100000), " ",IF(INDEX($AC$2:$AS$1001,MATCH(ROWS($V$2:V766),$V$2:$V$1001,0),MATCH(COLUMNS($AC$1006:AO1006),$AC$1006:$AS$1006,0)), HYPERLINK("#",""), HYPERLINK(CONCATENATE("#Metadata!", ADDRESS(INDEX($X$2:$X$1001,MATCH(ROWS($V$2:V766),$V$2:$V$1001,0),0), INDEX($AC$1004:$AS$1004,1,MATCH(COLUMNS($AC$1006:AO1006),$AC$1006:$AS$1006,0)))),"Fix")))</f>
        <v>0</v>
      </c>
      <c r="O766" s="5">
        <f>IF(OR(INDEX($W$2:$W$1001,MATCH(ROWS($V$2:V766),$V$2:$V$1001,0),1)&gt;=100000,INDEX($AC$1005:$AS$1005,1,MATCH(COLUMNS($AC$1006:AP1006),$AC$1006:$AS$1006,0))&gt;=100000), " ",IF(INDEX($AC$2:$AS$1001,MATCH(ROWS($V$2:V766),$V$2:$V$1001,0),MATCH(COLUMNS($AC$1006:AP1006),$AC$1006:$AS$1006,0)), HYPERLINK("#",""), HYPERLINK(CONCATENATE("#Metadata!", ADDRESS(INDEX($X$2:$X$1001,MATCH(ROWS($V$2:V766),$V$2:$V$1001,0),0), INDEX($AC$1004:$AS$1004,1,MATCH(COLUMNS($AC$1006:AP1006),$AC$1006:$AS$1006,0)))),"Fix")))</f>
        <v>0</v>
      </c>
      <c r="P766" s="5">
        <f>IF(OR(INDEX($W$2:$W$1001,MATCH(ROWS($V$2:V766),$V$2:$V$1001,0),1)&gt;=100000,INDEX($AC$1005:$AS$1005,1,MATCH(COLUMNS($AC$1006:AQ1006),$AC$1006:$AS$1006,0))&gt;=100000), " ",IF(INDEX($AC$2:$AS$1001,MATCH(ROWS($V$2:V766),$V$2:$V$1001,0),MATCH(COLUMNS($AC$1006:AQ1006),$AC$1006:$AS$1006,0)), HYPERLINK("#",""), HYPERLINK(CONCATENATE("#Metadata!", ADDRESS(INDEX($X$2:$X$1001,MATCH(ROWS($V$2:V766),$V$2:$V$1001,0),0), INDEX($AC$1004:$AS$1004,1,MATCH(COLUMNS($AC$1006:AQ1006),$AC$1006:$AS$1006,0)))),"Fix")))</f>
        <v>0</v>
      </c>
      <c r="Q766" s="5">
        <f>IF(OR(INDEX($W$2:$W$1001,MATCH(ROWS($V$2:V766),$V$2:$V$1001,0),1)&gt;=100000,INDEX($AC$1005:$AS$1005,1,MATCH(COLUMNS($AC$1006:AR1006),$AC$1006:$AS$1006,0))&gt;=100000), " ",IF(INDEX($AC$2:$AS$1001,MATCH(ROWS($V$2:V766),$V$2:$V$1001,0),MATCH(COLUMNS($AC$1006:AR1006),$AC$1006:$AS$1006,0)), HYPERLINK("#",""), HYPERLINK(CONCATENATE("#Metadata!", ADDRESS(INDEX($X$2:$X$1001,MATCH(ROWS($V$2:V766),$V$2:$V$1001,0),0), INDEX($AC$1004:$AS$1004,1,MATCH(COLUMNS($AC$1006:AR1006),$AC$1006:$AS$1006,0)))),"Fix")))</f>
        <v>0</v>
      </c>
      <c r="R766" s="5">
        <f>IF(OR(INDEX($W$2:$W$1001,MATCH(ROWS($V$2:V766),$V$2:$V$1001,0),1)&gt;=100000,INDEX($AC$1005:$AS$1005,1,MATCH(COLUMNS($AC$1006:AS1006),$AC$1006:$AS$1006,0))&gt;=100000), " ",IF(INDEX($AC$2:$AS$1001,MATCH(ROWS($V$2:V766),$V$2:$V$1001,0),MATCH(COLUMNS($AC$1006:AS1006),$AC$1006:$AS$1006,0)), HYPERLINK("#",""), HYPERLINK(CONCATENATE("#Metadata!", ADDRESS(INDEX($X$2:$X$1001,MATCH(ROWS($V$2:V766),$V$2:$V$1001,0),0), INDEX($AC$1004:$AS$1004,1,MATCH(COLUMNS($AC$1006:AS1006),$AC$1006:$AS$1006,0)))),"Fix")))</f>
        <v>0</v>
      </c>
      <c r="V766">
        <v>0</v>
      </c>
      <c r="W766">
        <v>0</v>
      </c>
      <c r="X766">
        <v>0</v>
      </c>
      <c r="Y766">
        <f>IF(Z766,TRUE,AND(AC766:AS766))</f>
        <v>0</v>
      </c>
      <c r="Z766">
        <f>COUNTBLANK(Metadata!B766:R766)=COLUMNS(Metadata!B766:R766)</f>
        <v>0</v>
      </c>
      <c r="AA766">
        <v>0</v>
      </c>
      <c r="AC766">
        <f>AND(IF(Metadata!B766="",FALSE,TRUE),COUNTIF(Metadata!B:B, Metadata!B766) = 1,NOT(ISERROR(SUMPRODUCT(SEARCH(MID(Metadata!B766,ROW(INDIRECT("1:"&amp;LEN(Metadata!B766))), 1),"0123456789abcdefghijklmnopqrstuvwxyzABCDEFGHIJKLMNOPQRSTUVWXYZ.")))))</f>
        <v>0</v>
      </c>
      <c r="AD766">
        <f>AND(IF(Metadata!C766="",FALSE,TRUE),exact(Metadata!C766,"Host-associated"))</f>
        <v>0</v>
      </c>
      <c r="AE766">
        <f>AND(IF(Metadata!D766="",FALSE,TRUE),OR(exact(Metadata!D766,"Animal"),exact(Metadata!D766,"Fungus"),exact(Metadata!D766,"Plant")))</f>
        <v>0</v>
      </c>
      <c r="AF766">
        <f>AND(IF(Metadata!E766="",FALSE,TRUE),OR(exact(Metadata!E766,"Plant secretion"),exact(Metadata!E766,"Plant rhizosphere"),exact(Metadata!E766,"Plant surface"),exact(Metadata!E766,"Plant corpus"),exact(Metadata!E766,"Fungus surface"),exact(Metadata!E766,"Fungus corpus"),exact(Metadata!E766,"Animal surface"),exact(Metadata!E766,"Animal proximal gut"),exact(Metadata!E766,"Animal corpus"),exact(Metadata!E766,"Animal distal gut"),exact(Metadata!E766,"Animal secretion")))</f>
        <v>0</v>
      </c>
      <c r="AG766">
        <f>OR(AND(IF(Metadata!F766="",FALSE,TRUE),OR(exact(Metadata!F766,"not collected"),exact(Metadata!F766,"not provided"),exact(Metadata!F766,"restricted access"))),AND(IF(Metadata!F766="",FALSE,TRUE),OR(exact(Metadata!F766,"organism-associated habitat"),exact(Metadata!F766,"plant-associated habitat"),exact(Metadata!F766,"animal-associated habitat"),exact(Metadata!F766,"insecta-associated habitat"),exact(Metadata!F766,"mammalia-associated habitat"),exact(Metadata!F766,"human-associated habitat"),exact(Metadata!F766,"livestock-associated habitat"))))</f>
        <v>0</v>
      </c>
      <c r="AH766">
        <f>AND(IF(Metadata!G766="",FALSE,TRUE),exact(Metadata!G766,"host-associated"))</f>
        <v>0</v>
      </c>
      <c r="AI766">
        <f>OR(AND(IF(Metadata!H766="",FALSE,TRUE),OR(exact(Metadata!H766,"not collected"),exact(Metadata!H766,"not provided"))),AND(IF(Metadata!H766="",FALSE,ISNUMBER(VALUE(Metadata!H766))),Metadata!H766&gt;0))</f>
        <v>0</v>
      </c>
      <c r="AJ766">
        <f>AND(IF(Metadata!I766="",FALSE,TRUE),exact(Metadata!I766,"years"))</f>
        <v>0</v>
      </c>
      <c r="AK766">
        <f>IF(Metadata!J766="",FALSE,TRUE)</f>
        <v>0</v>
      </c>
      <c r="AL766">
        <f>OR(AND(IF(Metadata!K766="",FALSE,TRUE),OR(exact(Metadata!K766,"not collected"),exact(Metadata!K766,"not provided"))),AND(IF(Metadata!K766="",FALSE,ISNUMBER(VALUE(Metadata!K766))),Metadata!K766&gt;0))</f>
        <v>0</v>
      </c>
      <c r="AM766">
        <f>AND(IF(Metadata!L766="",FALSE,TRUE),exact(Metadata!L766,"cm"))</f>
        <v>0</v>
      </c>
      <c r="AN766">
        <f>IF(Metadata!M766="",FALSE,TRUE)</f>
        <v>0</v>
      </c>
      <c r="AO766">
        <f>OR(AND(IF(Metadata!N766="",FALSE,TRUE),OR(exact(Metadata!N766,"not applicable"),exact(Metadata!N766,"not collected"),exact(Metadata!N766,"not provided"))),AND(IF(Metadata!N766="",FALSE,IF(ISERROR(INT(Metadata!N766)),FALSE,INT(Metadata!N766)=Metadata!N766)),Metadata!N766&gt;0))</f>
        <v>0</v>
      </c>
      <c r="AP766">
        <f>OR(AND(IF(Metadata!O766="",FALSE,TRUE),OR(exact(Metadata!O766,"not collected"),exact(Metadata!O766,"not provided"))),AND(IF(Metadata!O766="",FALSE,ISNUMBER(VALUE(Metadata!O766))),Metadata!O766&gt;0))</f>
        <v>0</v>
      </c>
      <c r="AQ766">
        <f>AND(IF(Metadata!P766="",FALSE,TRUE),exact(Metadata!P766,"kg"))</f>
        <v>0</v>
      </c>
      <c r="AR766">
        <f>OR(AND(IF(Metadata!Q766="",FALSE,TRUE),OR(exact(Metadata!Q766,"not applicable"),exact(Metadata!Q766,"not collected"),exact(Metadata!Q766,"not provided"),exact(Metadata!Q766,"restricted access"))),IF(Metadata!Q766="",FALSE,IF(ISERROR(INT(Metadata!Q766)),FALSE,INT(Metadata!Q766)=Metadata!Q766)))</f>
        <v>0</v>
      </c>
      <c r="AS766">
        <f>AND(IF(Metadata!R766="",FALSE,TRUE),exact(Metadata!R766,"Not applicable"))</f>
        <v>0</v>
      </c>
    </row>
    <row r="767" spans="1:45">
      <c r="A767" s="4">
        <f>IF(B767=" "," ",HYPERLINK(CONCATENATE("#metadata!",ADDRESS(INDEX($X$2:$X$1001,MATCH(ROWS($V$2:V767),$V$2:$V$1001,0),0),2)),INDEX($AA$2:$AA$1001,MATCH(ROWS($V$2:V767),$V$2:$V$1001,0),0)))</f>
        <v>0</v>
      </c>
      <c r="B767" s="5">
        <f>IF(OR(INDEX($W$2:$W$1001,MATCH(ROWS($V$2:V767),$V$2:$V$1001,0),1)&gt;=100000,INDEX($AC$1005:$AS$1005,1,MATCH(COLUMNS($AC$1006:AC1006),$AC$1006:$AS$1006,0))&gt;=100000), " ",IF(INDEX($AC$2:$AS$1001,MATCH(ROWS($V$2:V767),$V$2:$V$1001,0),MATCH(COLUMNS($AC$1006:AC1006),$AC$1006:$AS$1006,0)), HYPERLINK("#",""), HYPERLINK(CONCATENATE("#Metadata!", ADDRESS(INDEX($X$2:$X$1001,MATCH(ROWS($V$2:V767),$V$2:$V$1001,0),0), INDEX($AC$1004:$AS$1004,1,MATCH(COLUMNS($AC$1006:AC1006),$AC$1006:$AS$1006,0)))),"Fix")))</f>
        <v>0</v>
      </c>
      <c r="C767" s="5">
        <f>IF(OR(INDEX($W$2:$W$1001,MATCH(ROWS($V$2:V767),$V$2:$V$1001,0),1)&gt;=100000,INDEX($AC$1005:$AS$1005,1,MATCH(COLUMNS($AC$1006:AD1006),$AC$1006:$AS$1006,0))&gt;=100000), " ",IF(INDEX($AC$2:$AS$1001,MATCH(ROWS($V$2:V767),$V$2:$V$1001,0),MATCH(COLUMNS($AC$1006:AD1006),$AC$1006:$AS$1006,0)), HYPERLINK("#",""), HYPERLINK(CONCATENATE("#Metadata!", ADDRESS(INDEX($X$2:$X$1001,MATCH(ROWS($V$2:V767),$V$2:$V$1001,0),0), INDEX($AC$1004:$AS$1004,1,MATCH(COLUMNS($AC$1006:AD1006),$AC$1006:$AS$1006,0)))),"Fix")))</f>
        <v>0</v>
      </c>
      <c r="D767" s="5">
        <f>IF(OR(INDEX($W$2:$W$1001,MATCH(ROWS($V$2:V767),$V$2:$V$1001,0),1)&gt;=100000,INDEX($AC$1005:$AS$1005,1,MATCH(COLUMNS($AC$1006:AE1006),$AC$1006:$AS$1006,0))&gt;=100000), " ",IF(INDEX($AC$2:$AS$1001,MATCH(ROWS($V$2:V767),$V$2:$V$1001,0),MATCH(COLUMNS($AC$1006:AE1006),$AC$1006:$AS$1006,0)), HYPERLINK("#",""), HYPERLINK(CONCATENATE("#Metadata!", ADDRESS(INDEX($X$2:$X$1001,MATCH(ROWS($V$2:V767),$V$2:$V$1001,0),0), INDEX($AC$1004:$AS$1004,1,MATCH(COLUMNS($AC$1006:AE1006),$AC$1006:$AS$1006,0)))),"Fix")))</f>
        <v>0</v>
      </c>
      <c r="E767" s="5">
        <f>IF(OR(INDEX($W$2:$W$1001,MATCH(ROWS($V$2:V767),$V$2:$V$1001,0),1)&gt;=100000,INDEX($AC$1005:$AS$1005,1,MATCH(COLUMNS($AC$1006:AF1006),$AC$1006:$AS$1006,0))&gt;=100000), " ",IF(INDEX($AC$2:$AS$1001,MATCH(ROWS($V$2:V767),$V$2:$V$1001,0),MATCH(COLUMNS($AC$1006:AF1006),$AC$1006:$AS$1006,0)), HYPERLINK("#",""), HYPERLINK(CONCATENATE("#Metadata!", ADDRESS(INDEX($X$2:$X$1001,MATCH(ROWS($V$2:V767),$V$2:$V$1001,0),0), INDEX($AC$1004:$AS$1004,1,MATCH(COLUMNS($AC$1006:AF1006),$AC$1006:$AS$1006,0)))),"Fix")))</f>
        <v>0</v>
      </c>
      <c r="F767" s="5">
        <f>IF(OR(INDEX($W$2:$W$1001,MATCH(ROWS($V$2:V767),$V$2:$V$1001,0),1)&gt;=100000,INDEX($AC$1005:$AS$1005,1,MATCH(COLUMNS($AC$1006:AG1006),$AC$1006:$AS$1006,0))&gt;=100000), " ",IF(INDEX($AC$2:$AS$1001,MATCH(ROWS($V$2:V767),$V$2:$V$1001,0),MATCH(COLUMNS($AC$1006:AG1006),$AC$1006:$AS$1006,0)), HYPERLINK("#",""), HYPERLINK(CONCATENATE("#Metadata!", ADDRESS(INDEX($X$2:$X$1001,MATCH(ROWS($V$2:V767),$V$2:$V$1001,0),0), INDEX($AC$1004:$AS$1004,1,MATCH(COLUMNS($AC$1006:AG1006),$AC$1006:$AS$1006,0)))),"Fix")))</f>
        <v>0</v>
      </c>
      <c r="G767" s="5">
        <f>IF(OR(INDEX($W$2:$W$1001,MATCH(ROWS($V$2:V767),$V$2:$V$1001,0),1)&gt;=100000,INDEX($AC$1005:$AS$1005,1,MATCH(COLUMNS($AC$1006:AH1006),$AC$1006:$AS$1006,0))&gt;=100000), " ",IF(INDEX($AC$2:$AS$1001,MATCH(ROWS($V$2:V767),$V$2:$V$1001,0),MATCH(COLUMNS($AC$1006:AH1006),$AC$1006:$AS$1006,0)), HYPERLINK("#",""), HYPERLINK(CONCATENATE("#Metadata!", ADDRESS(INDEX($X$2:$X$1001,MATCH(ROWS($V$2:V767),$V$2:$V$1001,0),0), INDEX($AC$1004:$AS$1004,1,MATCH(COLUMNS($AC$1006:AH1006),$AC$1006:$AS$1006,0)))),"Fix")))</f>
        <v>0</v>
      </c>
      <c r="H767" s="5">
        <f>IF(OR(INDEX($W$2:$W$1001,MATCH(ROWS($V$2:V767),$V$2:$V$1001,0),1)&gt;=100000,INDEX($AC$1005:$AS$1005,1,MATCH(COLUMNS($AC$1006:AI1006),$AC$1006:$AS$1006,0))&gt;=100000), " ",IF(INDEX($AC$2:$AS$1001,MATCH(ROWS($V$2:V767),$V$2:$V$1001,0),MATCH(COLUMNS($AC$1006:AI1006),$AC$1006:$AS$1006,0)), HYPERLINK("#",""), HYPERLINK(CONCATENATE("#Metadata!", ADDRESS(INDEX($X$2:$X$1001,MATCH(ROWS($V$2:V767),$V$2:$V$1001,0),0), INDEX($AC$1004:$AS$1004,1,MATCH(COLUMNS($AC$1006:AI1006),$AC$1006:$AS$1006,0)))),"Fix")))</f>
        <v>0</v>
      </c>
      <c r="I767" s="5">
        <f>IF(OR(INDEX($W$2:$W$1001,MATCH(ROWS($V$2:V767),$V$2:$V$1001,0),1)&gt;=100000,INDEX($AC$1005:$AS$1005,1,MATCH(COLUMNS($AC$1006:AJ1006),$AC$1006:$AS$1006,0))&gt;=100000), " ",IF(INDEX($AC$2:$AS$1001,MATCH(ROWS($V$2:V767),$V$2:$V$1001,0),MATCH(COLUMNS($AC$1006:AJ1006),$AC$1006:$AS$1006,0)), HYPERLINK("#",""), HYPERLINK(CONCATENATE("#Metadata!", ADDRESS(INDEX($X$2:$X$1001,MATCH(ROWS($V$2:V767),$V$2:$V$1001,0),0), INDEX($AC$1004:$AS$1004,1,MATCH(COLUMNS($AC$1006:AJ1006),$AC$1006:$AS$1006,0)))),"Fix")))</f>
        <v>0</v>
      </c>
      <c r="J767" s="5">
        <f>IF(OR(INDEX($W$2:$W$1001,MATCH(ROWS($V$2:V767),$V$2:$V$1001,0),1)&gt;=100000,INDEX($AC$1005:$AS$1005,1,MATCH(COLUMNS($AC$1006:AK1006),$AC$1006:$AS$1006,0))&gt;=100000), " ",IF(INDEX($AC$2:$AS$1001,MATCH(ROWS($V$2:V767),$V$2:$V$1001,0),MATCH(COLUMNS($AC$1006:AK1006),$AC$1006:$AS$1006,0)), HYPERLINK("#",""), HYPERLINK(CONCATENATE("#Metadata!", ADDRESS(INDEX($X$2:$X$1001,MATCH(ROWS($V$2:V767),$V$2:$V$1001,0),0), INDEX($AC$1004:$AS$1004,1,MATCH(COLUMNS($AC$1006:AK1006),$AC$1006:$AS$1006,0)))),"Fix")))</f>
        <v>0</v>
      </c>
      <c r="K767" s="5">
        <f>IF(OR(INDEX($W$2:$W$1001,MATCH(ROWS($V$2:V767),$V$2:$V$1001,0),1)&gt;=100000,INDEX($AC$1005:$AS$1005,1,MATCH(COLUMNS($AC$1006:AL1006),$AC$1006:$AS$1006,0))&gt;=100000), " ",IF(INDEX($AC$2:$AS$1001,MATCH(ROWS($V$2:V767),$V$2:$V$1001,0),MATCH(COLUMNS($AC$1006:AL1006),$AC$1006:$AS$1006,0)), HYPERLINK("#",""), HYPERLINK(CONCATENATE("#Metadata!", ADDRESS(INDEX($X$2:$X$1001,MATCH(ROWS($V$2:V767),$V$2:$V$1001,0),0), INDEX($AC$1004:$AS$1004,1,MATCH(COLUMNS($AC$1006:AL1006),$AC$1006:$AS$1006,0)))),"Fix")))</f>
        <v>0</v>
      </c>
      <c r="L767" s="5">
        <f>IF(OR(INDEX($W$2:$W$1001,MATCH(ROWS($V$2:V767),$V$2:$V$1001,0),1)&gt;=100000,INDEX($AC$1005:$AS$1005,1,MATCH(COLUMNS($AC$1006:AM1006),$AC$1006:$AS$1006,0))&gt;=100000), " ",IF(INDEX($AC$2:$AS$1001,MATCH(ROWS($V$2:V767),$V$2:$V$1001,0),MATCH(COLUMNS($AC$1006:AM1006),$AC$1006:$AS$1006,0)), HYPERLINK("#",""), HYPERLINK(CONCATENATE("#Metadata!", ADDRESS(INDEX($X$2:$X$1001,MATCH(ROWS($V$2:V767),$V$2:$V$1001,0),0), INDEX($AC$1004:$AS$1004,1,MATCH(COLUMNS($AC$1006:AM1006),$AC$1006:$AS$1006,0)))),"Fix")))</f>
        <v>0</v>
      </c>
      <c r="M767" s="5">
        <f>IF(OR(INDEX($W$2:$W$1001,MATCH(ROWS($V$2:V767),$V$2:$V$1001,0),1)&gt;=100000,INDEX($AC$1005:$AS$1005,1,MATCH(COLUMNS($AC$1006:AN1006),$AC$1006:$AS$1006,0))&gt;=100000), " ",IF(INDEX($AC$2:$AS$1001,MATCH(ROWS($V$2:V767),$V$2:$V$1001,0),MATCH(COLUMNS($AC$1006:AN1006),$AC$1006:$AS$1006,0)), HYPERLINK("#",""), HYPERLINK(CONCATENATE("#Metadata!", ADDRESS(INDEX($X$2:$X$1001,MATCH(ROWS($V$2:V767),$V$2:$V$1001,0),0), INDEX($AC$1004:$AS$1004,1,MATCH(COLUMNS($AC$1006:AN1006),$AC$1006:$AS$1006,0)))),"Fix")))</f>
        <v>0</v>
      </c>
      <c r="N767" s="5">
        <f>IF(OR(INDEX($W$2:$W$1001,MATCH(ROWS($V$2:V767),$V$2:$V$1001,0),1)&gt;=100000,INDEX($AC$1005:$AS$1005,1,MATCH(COLUMNS($AC$1006:AO1006),$AC$1006:$AS$1006,0))&gt;=100000), " ",IF(INDEX($AC$2:$AS$1001,MATCH(ROWS($V$2:V767),$V$2:$V$1001,0),MATCH(COLUMNS($AC$1006:AO1006),$AC$1006:$AS$1006,0)), HYPERLINK("#",""), HYPERLINK(CONCATENATE("#Metadata!", ADDRESS(INDEX($X$2:$X$1001,MATCH(ROWS($V$2:V767),$V$2:$V$1001,0),0), INDEX($AC$1004:$AS$1004,1,MATCH(COLUMNS($AC$1006:AO1006),$AC$1006:$AS$1006,0)))),"Fix")))</f>
        <v>0</v>
      </c>
      <c r="O767" s="5">
        <f>IF(OR(INDEX($W$2:$W$1001,MATCH(ROWS($V$2:V767),$V$2:$V$1001,0),1)&gt;=100000,INDEX($AC$1005:$AS$1005,1,MATCH(COLUMNS($AC$1006:AP1006),$AC$1006:$AS$1006,0))&gt;=100000), " ",IF(INDEX($AC$2:$AS$1001,MATCH(ROWS($V$2:V767),$V$2:$V$1001,0),MATCH(COLUMNS($AC$1006:AP1006),$AC$1006:$AS$1006,0)), HYPERLINK("#",""), HYPERLINK(CONCATENATE("#Metadata!", ADDRESS(INDEX($X$2:$X$1001,MATCH(ROWS($V$2:V767),$V$2:$V$1001,0),0), INDEX($AC$1004:$AS$1004,1,MATCH(COLUMNS($AC$1006:AP1006),$AC$1006:$AS$1006,0)))),"Fix")))</f>
        <v>0</v>
      </c>
      <c r="P767" s="5">
        <f>IF(OR(INDEX($W$2:$W$1001,MATCH(ROWS($V$2:V767),$V$2:$V$1001,0),1)&gt;=100000,INDEX($AC$1005:$AS$1005,1,MATCH(COLUMNS($AC$1006:AQ1006),$AC$1006:$AS$1006,0))&gt;=100000), " ",IF(INDEX($AC$2:$AS$1001,MATCH(ROWS($V$2:V767),$V$2:$V$1001,0),MATCH(COLUMNS($AC$1006:AQ1006),$AC$1006:$AS$1006,0)), HYPERLINK("#",""), HYPERLINK(CONCATENATE("#Metadata!", ADDRESS(INDEX($X$2:$X$1001,MATCH(ROWS($V$2:V767),$V$2:$V$1001,0),0), INDEX($AC$1004:$AS$1004,1,MATCH(COLUMNS($AC$1006:AQ1006),$AC$1006:$AS$1006,0)))),"Fix")))</f>
        <v>0</v>
      </c>
      <c r="Q767" s="5">
        <f>IF(OR(INDEX($W$2:$W$1001,MATCH(ROWS($V$2:V767),$V$2:$V$1001,0),1)&gt;=100000,INDEX($AC$1005:$AS$1005,1,MATCH(COLUMNS($AC$1006:AR1006),$AC$1006:$AS$1006,0))&gt;=100000), " ",IF(INDEX($AC$2:$AS$1001,MATCH(ROWS($V$2:V767),$V$2:$V$1001,0),MATCH(COLUMNS($AC$1006:AR1006),$AC$1006:$AS$1006,0)), HYPERLINK("#",""), HYPERLINK(CONCATENATE("#Metadata!", ADDRESS(INDEX($X$2:$X$1001,MATCH(ROWS($V$2:V767),$V$2:$V$1001,0),0), INDEX($AC$1004:$AS$1004,1,MATCH(COLUMNS($AC$1006:AR1006),$AC$1006:$AS$1006,0)))),"Fix")))</f>
        <v>0</v>
      </c>
      <c r="R767" s="5">
        <f>IF(OR(INDEX($W$2:$W$1001,MATCH(ROWS($V$2:V767),$V$2:$V$1001,0),1)&gt;=100000,INDEX($AC$1005:$AS$1005,1,MATCH(COLUMNS($AC$1006:AS1006),$AC$1006:$AS$1006,0))&gt;=100000), " ",IF(INDEX($AC$2:$AS$1001,MATCH(ROWS($V$2:V767),$V$2:$V$1001,0),MATCH(COLUMNS($AC$1006:AS1006),$AC$1006:$AS$1006,0)), HYPERLINK("#",""), HYPERLINK(CONCATENATE("#Metadata!", ADDRESS(INDEX($X$2:$X$1001,MATCH(ROWS($V$2:V767),$V$2:$V$1001,0),0), INDEX($AC$1004:$AS$1004,1,MATCH(COLUMNS($AC$1006:AS1006),$AC$1006:$AS$1006,0)))),"Fix")))</f>
        <v>0</v>
      </c>
      <c r="V767">
        <v>0</v>
      </c>
      <c r="W767">
        <v>0</v>
      </c>
      <c r="X767">
        <v>0</v>
      </c>
      <c r="Y767">
        <f>IF(Z767,TRUE,AND(AC767:AS767))</f>
        <v>0</v>
      </c>
      <c r="Z767">
        <f>COUNTBLANK(Metadata!B767:R767)=COLUMNS(Metadata!B767:R767)</f>
        <v>0</v>
      </c>
      <c r="AA767">
        <v>0</v>
      </c>
      <c r="AC767">
        <f>AND(IF(Metadata!B767="",FALSE,TRUE),COUNTIF(Metadata!B:B, Metadata!B767) = 1,NOT(ISERROR(SUMPRODUCT(SEARCH(MID(Metadata!B767,ROW(INDIRECT("1:"&amp;LEN(Metadata!B767))), 1),"0123456789abcdefghijklmnopqrstuvwxyzABCDEFGHIJKLMNOPQRSTUVWXYZ.")))))</f>
        <v>0</v>
      </c>
      <c r="AD767">
        <f>AND(IF(Metadata!C767="",FALSE,TRUE),exact(Metadata!C767,"Host-associated"))</f>
        <v>0</v>
      </c>
      <c r="AE767">
        <f>AND(IF(Metadata!D767="",FALSE,TRUE),OR(exact(Metadata!D767,"Animal"),exact(Metadata!D767,"Fungus"),exact(Metadata!D767,"Plant")))</f>
        <v>0</v>
      </c>
      <c r="AF767">
        <f>AND(IF(Metadata!E767="",FALSE,TRUE),OR(exact(Metadata!E767,"Plant secretion"),exact(Metadata!E767,"Plant rhizosphere"),exact(Metadata!E767,"Plant surface"),exact(Metadata!E767,"Plant corpus"),exact(Metadata!E767,"Fungus surface"),exact(Metadata!E767,"Fungus corpus"),exact(Metadata!E767,"Animal surface"),exact(Metadata!E767,"Animal proximal gut"),exact(Metadata!E767,"Animal corpus"),exact(Metadata!E767,"Animal distal gut"),exact(Metadata!E767,"Animal secretion")))</f>
        <v>0</v>
      </c>
      <c r="AG767">
        <f>OR(AND(IF(Metadata!F767="",FALSE,TRUE),OR(exact(Metadata!F767,"not collected"),exact(Metadata!F767,"not provided"),exact(Metadata!F767,"restricted access"))),AND(IF(Metadata!F767="",FALSE,TRUE),OR(exact(Metadata!F767,"organism-associated habitat"),exact(Metadata!F767,"plant-associated habitat"),exact(Metadata!F767,"animal-associated habitat"),exact(Metadata!F767,"insecta-associated habitat"),exact(Metadata!F767,"mammalia-associated habitat"),exact(Metadata!F767,"human-associated habitat"),exact(Metadata!F767,"livestock-associated habitat"))))</f>
        <v>0</v>
      </c>
      <c r="AH767">
        <f>AND(IF(Metadata!G767="",FALSE,TRUE),exact(Metadata!G767,"host-associated"))</f>
        <v>0</v>
      </c>
      <c r="AI767">
        <f>OR(AND(IF(Metadata!H767="",FALSE,TRUE),OR(exact(Metadata!H767,"not collected"),exact(Metadata!H767,"not provided"))),AND(IF(Metadata!H767="",FALSE,ISNUMBER(VALUE(Metadata!H767))),Metadata!H767&gt;0))</f>
        <v>0</v>
      </c>
      <c r="AJ767">
        <f>AND(IF(Metadata!I767="",FALSE,TRUE),exact(Metadata!I767,"years"))</f>
        <v>0</v>
      </c>
      <c r="AK767">
        <f>IF(Metadata!J767="",FALSE,TRUE)</f>
        <v>0</v>
      </c>
      <c r="AL767">
        <f>OR(AND(IF(Metadata!K767="",FALSE,TRUE),OR(exact(Metadata!K767,"not collected"),exact(Metadata!K767,"not provided"))),AND(IF(Metadata!K767="",FALSE,ISNUMBER(VALUE(Metadata!K767))),Metadata!K767&gt;0))</f>
        <v>0</v>
      </c>
      <c r="AM767">
        <f>AND(IF(Metadata!L767="",FALSE,TRUE),exact(Metadata!L767,"cm"))</f>
        <v>0</v>
      </c>
      <c r="AN767">
        <f>IF(Metadata!M767="",FALSE,TRUE)</f>
        <v>0</v>
      </c>
      <c r="AO767">
        <f>OR(AND(IF(Metadata!N767="",FALSE,TRUE),OR(exact(Metadata!N767,"not applicable"),exact(Metadata!N767,"not collected"),exact(Metadata!N767,"not provided"))),AND(IF(Metadata!N767="",FALSE,IF(ISERROR(INT(Metadata!N767)),FALSE,INT(Metadata!N767)=Metadata!N767)),Metadata!N767&gt;0))</f>
        <v>0</v>
      </c>
      <c r="AP767">
        <f>OR(AND(IF(Metadata!O767="",FALSE,TRUE),OR(exact(Metadata!O767,"not collected"),exact(Metadata!O767,"not provided"))),AND(IF(Metadata!O767="",FALSE,ISNUMBER(VALUE(Metadata!O767))),Metadata!O767&gt;0))</f>
        <v>0</v>
      </c>
      <c r="AQ767">
        <f>AND(IF(Metadata!P767="",FALSE,TRUE),exact(Metadata!P767,"kg"))</f>
        <v>0</v>
      </c>
      <c r="AR767">
        <f>OR(AND(IF(Metadata!Q767="",FALSE,TRUE),OR(exact(Metadata!Q767,"not applicable"),exact(Metadata!Q767,"not collected"),exact(Metadata!Q767,"not provided"),exact(Metadata!Q767,"restricted access"))),IF(Metadata!Q767="",FALSE,IF(ISERROR(INT(Metadata!Q767)),FALSE,INT(Metadata!Q767)=Metadata!Q767)))</f>
        <v>0</v>
      </c>
      <c r="AS767">
        <f>AND(IF(Metadata!R767="",FALSE,TRUE),exact(Metadata!R767,"Not applicable"))</f>
        <v>0</v>
      </c>
    </row>
    <row r="768" spans="1:45">
      <c r="A768" s="4">
        <f>IF(B768=" "," ",HYPERLINK(CONCATENATE("#metadata!",ADDRESS(INDEX($X$2:$X$1001,MATCH(ROWS($V$2:V768),$V$2:$V$1001,0),0),2)),INDEX($AA$2:$AA$1001,MATCH(ROWS($V$2:V768),$V$2:$V$1001,0),0)))</f>
        <v>0</v>
      </c>
      <c r="B768" s="5">
        <f>IF(OR(INDEX($W$2:$W$1001,MATCH(ROWS($V$2:V768),$V$2:$V$1001,0),1)&gt;=100000,INDEX($AC$1005:$AS$1005,1,MATCH(COLUMNS($AC$1006:AC1006),$AC$1006:$AS$1006,0))&gt;=100000), " ",IF(INDEX($AC$2:$AS$1001,MATCH(ROWS($V$2:V768),$V$2:$V$1001,0),MATCH(COLUMNS($AC$1006:AC1006),$AC$1006:$AS$1006,0)), HYPERLINK("#",""), HYPERLINK(CONCATENATE("#Metadata!", ADDRESS(INDEX($X$2:$X$1001,MATCH(ROWS($V$2:V768),$V$2:$V$1001,0),0), INDEX($AC$1004:$AS$1004,1,MATCH(COLUMNS($AC$1006:AC1006),$AC$1006:$AS$1006,0)))),"Fix")))</f>
        <v>0</v>
      </c>
      <c r="C768" s="5">
        <f>IF(OR(INDEX($W$2:$W$1001,MATCH(ROWS($V$2:V768),$V$2:$V$1001,0),1)&gt;=100000,INDEX($AC$1005:$AS$1005,1,MATCH(COLUMNS($AC$1006:AD1006),$AC$1006:$AS$1006,0))&gt;=100000), " ",IF(INDEX($AC$2:$AS$1001,MATCH(ROWS($V$2:V768),$V$2:$V$1001,0),MATCH(COLUMNS($AC$1006:AD1006),$AC$1006:$AS$1006,0)), HYPERLINK("#",""), HYPERLINK(CONCATENATE("#Metadata!", ADDRESS(INDEX($X$2:$X$1001,MATCH(ROWS($V$2:V768),$V$2:$V$1001,0),0), INDEX($AC$1004:$AS$1004,1,MATCH(COLUMNS($AC$1006:AD1006),$AC$1006:$AS$1006,0)))),"Fix")))</f>
        <v>0</v>
      </c>
      <c r="D768" s="5">
        <f>IF(OR(INDEX($W$2:$W$1001,MATCH(ROWS($V$2:V768),$V$2:$V$1001,0),1)&gt;=100000,INDEX($AC$1005:$AS$1005,1,MATCH(COLUMNS($AC$1006:AE1006),$AC$1006:$AS$1006,0))&gt;=100000), " ",IF(INDEX($AC$2:$AS$1001,MATCH(ROWS($V$2:V768),$V$2:$V$1001,0),MATCH(COLUMNS($AC$1006:AE1006),$AC$1006:$AS$1006,0)), HYPERLINK("#",""), HYPERLINK(CONCATENATE("#Metadata!", ADDRESS(INDEX($X$2:$X$1001,MATCH(ROWS($V$2:V768),$V$2:$V$1001,0),0), INDEX($AC$1004:$AS$1004,1,MATCH(COLUMNS($AC$1006:AE1006),$AC$1006:$AS$1006,0)))),"Fix")))</f>
        <v>0</v>
      </c>
      <c r="E768" s="5">
        <f>IF(OR(INDEX($W$2:$W$1001,MATCH(ROWS($V$2:V768),$V$2:$V$1001,0),1)&gt;=100000,INDEX($AC$1005:$AS$1005,1,MATCH(COLUMNS($AC$1006:AF1006),$AC$1006:$AS$1006,0))&gt;=100000), " ",IF(INDEX($AC$2:$AS$1001,MATCH(ROWS($V$2:V768),$V$2:$V$1001,0),MATCH(COLUMNS($AC$1006:AF1006),$AC$1006:$AS$1006,0)), HYPERLINK("#",""), HYPERLINK(CONCATENATE("#Metadata!", ADDRESS(INDEX($X$2:$X$1001,MATCH(ROWS($V$2:V768),$V$2:$V$1001,0),0), INDEX($AC$1004:$AS$1004,1,MATCH(COLUMNS($AC$1006:AF1006),$AC$1006:$AS$1006,0)))),"Fix")))</f>
        <v>0</v>
      </c>
      <c r="F768" s="5">
        <f>IF(OR(INDEX($W$2:$W$1001,MATCH(ROWS($V$2:V768),$V$2:$V$1001,0),1)&gt;=100000,INDEX($AC$1005:$AS$1005,1,MATCH(COLUMNS($AC$1006:AG1006),$AC$1006:$AS$1006,0))&gt;=100000), " ",IF(INDEX($AC$2:$AS$1001,MATCH(ROWS($V$2:V768),$V$2:$V$1001,0),MATCH(COLUMNS($AC$1006:AG1006),$AC$1006:$AS$1006,0)), HYPERLINK("#",""), HYPERLINK(CONCATENATE("#Metadata!", ADDRESS(INDEX($X$2:$X$1001,MATCH(ROWS($V$2:V768),$V$2:$V$1001,0),0), INDEX($AC$1004:$AS$1004,1,MATCH(COLUMNS($AC$1006:AG1006),$AC$1006:$AS$1006,0)))),"Fix")))</f>
        <v>0</v>
      </c>
      <c r="G768" s="5">
        <f>IF(OR(INDEX($W$2:$W$1001,MATCH(ROWS($V$2:V768),$V$2:$V$1001,0),1)&gt;=100000,INDEX($AC$1005:$AS$1005,1,MATCH(COLUMNS($AC$1006:AH1006),$AC$1006:$AS$1006,0))&gt;=100000), " ",IF(INDEX($AC$2:$AS$1001,MATCH(ROWS($V$2:V768),$V$2:$V$1001,0),MATCH(COLUMNS($AC$1006:AH1006),$AC$1006:$AS$1006,0)), HYPERLINK("#",""), HYPERLINK(CONCATENATE("#Metadata!", ADDRESS(INDEX($X$2:$X$1001,MATCH(ROWS($V$2:V768),$V$2:$V$1001,0),0), INDEX($AC$1004:$AS$1004,1,MATCH(COLUMNS($AC$1006:AH1006),$AC$1006:$AS$1006,0)))),"Fix")))</f>
        <v>0</v>
      </c>
      <c r="H768" s="5">
        <f>IF(OR(INDEX($W$2:$W$1001,MATCH(ROWS($V$2:V768),$V$2:$V$1001,0),1)&gt;=100000,INDEX($AC$1005:$AS$1005,1,MATCH(COLUMNS($AC$1006:AI1006),$AC$1006:$AS$1006,0))&gt;=100000), " ",IF(INDEX($AC$2:$AS$1001,MATCH(ROWS($V$2:V768),$V$2:$V$1001,0),MATCH(COLUMNS($AC$1006:AI1006),$AC$1006:$AS$1006,0)), HYPERLINK("#",""), HYPERLINK(CONCATENATE("#Metadata!", ADDRESS(INDEX($X$2:$X$1001,MATCH(ROWS($V$2:V768),$V$2:$V$1001,0),0), INDEX($AC$1004:$AS$1004,1,MATCH(COLUMNS($AC$1006:AI1006),$AC$1006:$AS$1006,0)))),"Fix")))</f>
        <v>0</v>
      </c>
      <c r="I768" s="5">
        <f>IF(OR(INDEX($W$2:$W$1001,MATCH(ROWS($V$2:V768),$V$2:$V$1001,0),1)&gt;=100000,INDEX($AC$1005:$AS$1005,1,MATCH(COLUMNS($AC$1006:AJ1006),$AC$1006:$AS$1006,0))&gt;=100000), " ",IF(INDEX($AC$2:$AS$1001,MATCH(ROWS($V$2:V768),$V$2:$V$1001,0),MATCH(COLUMNS($AC$1006:AJ1006),$AC$1006:$AS$1006,0)), HYPERLINK("#",""), HYPERLINK(CONCATENATE("#Metadata!", ADDRESS(INDEX($X$2:$X$1001,MATCH(ROWS($V$2:V768),$V$2:$V$1001,0),0), INDEX($AC$1004:$AS$1004,1,MATCH(COLUMNS($AC$1006:AJ1006),$AC$1006:$AS$1006,0)))),"Fix")))</f>
        <v>0</v>
      </c>
      <c r="J768" s="5">
        <f>IF(OR(INDEX($W$2:$W$1001,MATCH(ROWS($V$2:V768),$V$2:$V$1001,0),1)&gt;=100000,INDEX($AC$1005:$AS$1005,1,MATCH(COLUMNS($AC$1006:AK1006),$AC$1006:$AS$1006,0))&gt;=100000), " ",IF(INDEX($AC$2:$AS$1001,MATCH(ROWS($V$2:V768),$V$2:$V$1001,0),MATCH(COLUMNS($AC$1006:AK1006),$AC$1006:$AS$1006,0)), HYPERLINK("#",""), HYPERLINK(CONCATENATE("#Metadata!", ADDRESS(INDEX($X$2:$X$1001,MATCH(ROWS($V$2:V768),$V$2:$V$1001,0),0), INDEX($AC$1004:$AS$1004,1,MATCH(COLUMNS($AC$1006:AK1006),$AC$1006:$AS$1006,0)))),"Fix")))</f>
        <v>0</v>
      </c>
      <c r="K768" s="5">
        <f>IF(OR(INDEX($W$2:$W$1001,MATCH(ROWS($V$2:V768),$V$2:$V$1001,0),1)&gt;=100000,INDEX($AC$1005:$AS$1005,1,MATCH(COLUMNS($AC$1006:AL1006),$AC$1006:$AS$1006,0))&gt;=100000), " ",IF(INDEX($AC$2:$AS$1001,MATCH(ROWS($V$2:V768),$V$2:$V$1001,0),MATCH(COLUMNS($AC$1006:AL1006),$AC$1006:$AS$1006,0)), HYPERLINK("#",""), HYPERLINK(CONCATENATE("#Metadata!", ADDRESS(INDEX($X$2:$X$1001,MATCH(ROWS($V$2:V768),$V$2:$V$1001,0),0), INDEX($AC$1004:$AS$1004,1,MATCH(COLUMNS($AC$1006:AL1006),$AC$1006:$AS$1006,0)))),"Fix")))</f>
        <v>0</v>
      </c>
      <c r="L768" s="5">
        <f>IF(OR(INDEX($W$2:$W$1001,MATCH(ROWS($V$2:V768),$V$2:$V$1001,0),1)&gt;=100000,INDEX($AC$1005:$AS$1005,1,MATCH(COLUMNS($AC$1006:AM1006),$AC$1006:$AS$1006,0))&gt;=100000), " ",IF(INDEX($AC$2:$AS$1001,MATCH(ROWS($V$2:V768),$V$2:$V$1001,0),MATCH(COLUMNS($AC$1006:AM1006),$AC$1006:$AS$1006,0)), HYPERLINK("#",""), HYPERLINK(CONCATENATE("#Metadata!", ADDRESS(INDEX($X$2:$X$1001,MATCH(ROWS($V$2:V768),$V$2:$V$1001,0),0), INDEX($AC$1004:$AS$1004,1,MATCH(COLUMNS($AC$1006:AM1006),$AC$1006:$AS$1006,0)))),"Fix")))</f>
        <v>0</v>
      </c>
      <c r="M768" s="5">
        <f>IF(OR(INDEX($W$2:$W$1001,MATCH(ROWS($V$2:V768),$V$2:$V$1001,0),1)&gt;=100000,INDEX($AC$1005:$AS$1005,1,MATCH(COLUMNS($AC$1006:AN1006),$AC$1006:$AS$1006,0))&gt;=100000), " ",IF(INDEX($AC$2:$AS$1001,MATCH(ROWS($V$2:V768),$V$2:$V$1001,0),MATCH(COLUMNS($AC$1006:AN1006),$AC$1006:$AS$1006,0)), HYPERLINK("#",""), HYPERLINK(CONCATENATE("#Metadata!", ADDRESS(INDEX($X$2:$X$1001,MATCH(ROWS($V$2:V768),$V$2:$V$1001,0),0), INDEX($AC$1004:$AS$1004,1,MATCH(COLUMNS($AC$1006:AN1006),$AC$1006:$AS$1006,0)))),"Fix")))</f>
        <v>0</v>
      </c>
      <c r="N768" s="5">
        <f>IF(OR(INDEX($W$2:$W$1001,MATCH(ROWS($V$2:V768),$V$2:$V$1001,0),1)&gt;=100000,INDEX($AC$1005:$AS$1005,1,MATCH(COLUMNS($AC$1006:AO1006),$AC$1006:$AS$1006,0))&gt;=100000), " ",IF(INDEX($AC$2:$AS$1001,MATCH(ROWS($V$2:V768),$V$2:$V$1001,0),MATCH(COLUMNS($AC$1006:AO1006),$AC$1006:$AS$1006,0)), HYPERLINK("#",""), HYPERLINK(CONCATENATE("#Metadata!", ADDRESS(INDEX($X$2:$X$1001,MATCH(ROWS($V$2:V768),$V$2:$V$1001,0),0), INDEX($AC$1004:$AS$1004,1,MATCH(COLUMNS($AC$1006:AO1006),$AC$1006:$AS$1006,0)))),"Fix")))</f>
        <v>0</v>
      </c>
      <c r="O768" s="5">
        <f>IF(OR(INDEX($W$2:$W$1001,MATCH(ROWS($V$2:V768),$V$2:$V$1001,0),1)&gt;=100000,INDEX($AC$1005:$AS$1005,1,MATCH(COLUMNS($AC$1006:AP1006),$AC$1006:$AS$1006,0))&gt;=100000), " ",IF(INDEX($AC$2:$AS$1001,MATCH(ROWS($V$2:V768),$V$2:$V$1001,0),MATCH(COLUMNS($AC$1006:AP1006),$AC$1006:$AS$1006,0)), HYPERLINK("#",""), HYPERLINK(CONCATENATE("#Metadata!", ADDRESS(INDEX($X$2:$X$1001,MATCH(ROWS($V$2:V768),$V$2:$V$1001,0),0), INDEX($AC$1004:$AS$1004,1,MATCH(COLUMNS($AC$1006:AP1006),$AC$1006:$AS$1006,0)))),"Fix")))</f>
        <v>0</v>
      </c>
      <c r="P768" s="5">
        <f>IF(OR(INDEX($W$2:$W$1001,MATCH(ROWS($V$2:V768),$V$2:$V$1001,0),1)&gt;=100000,INDEX($AC$1005:$AS$1005,1,MATCH(COLUMNS($AC$1006:AQ1006),$AC$1006:$AS$1006,0))&gt;=100000), " ",IF(INDEX($AC$2:$AS$1001,MATCH(ROWS($V$2:V768),$V$2:$V$1001,0),MATCH(COLUMNS($AC$1006:AQ1006),$AC$1006:$AS$1006,0)), HYPERLINK("#",""), HYPERLINK(CONCATENATE("#Metadata!", ADDRESS(INDEX($X$2:$X$1001,MATCH(ROWS($V$2:V768),$V$2:$V$1001,0),0), INDEX($AC$1004:$AS$1004,1,MATCH(COLUMNS($AC$1006:AQ1006),$AC$1006:$AS$1006,0)))),"Fix")))</f>
        <v>0</v>
      </c>
      <c r="Q768" s="5">
        <f>IF(OR(INDEX($W$2:$W$1001,MATCH(ROWS($V$2:V768),$V$2:$V$1001,0),1)&gt;=100000,INDEX($AC$1005:$AS$1005,1,MATCH(COLUMNS($AC$1006:AR1006),$AC$1006:$AS$1006,0))&gt;=100000), " ",IF(INDEX($AC$2:$AS$1001,MATCH(ROWS($V$2:V768),$V$2:$V$1001,0),MATCH(COLUMNS($AC$1006:AR1006),$AC$1006:$AS$1006,0)), HYPERLINK("#",""), HYPERLINK(CONCATENATE("#Metadata!", ADDRESS(INDEX($X$2:$X$1001,MATCH(ROWS($V$2:V768),$V$2:$V$1001,0),0), INDEX($AC$1004:$AS$1004,1,MATCH(COLUMNS($AC$1006:AR1006),$AC$1006:$AS$1006,0)))),"Fix")))</f>
        <v>0</v>
      </c>
      <c r="R768" s="5">
        <f>IF(OR(INDEX($W$2:$W$1001,MATCH(ROWS($V$2:V768),$V$2:$V$1001,0),1)&gt;=100000,INDEX($AC$1005:$AS$1005,1,MATCH(COLUMNS($AC$1006:AS1006),$AC$1006:$AS$1006,0))&gt;=100000), " ",IF(INDEX($AC$2:$AS$1001,MATCH(ROWS($V$2:V768),$V$2:$V$1001,0),MATCH(COLUMNS($AC$1006:AS1006),$AC$1006:$AS$1006,0)), HYPERLINK("#",""), HYPERLINK(CONCATENATE("#Metadata!", ADDRESS(INDEX($X$2:$X$1001,MATCH(ROWS($V$2:V768),$V$2:$V$1001,0),0), INDEX($AC$1004:$AS$1004,1,MATCH(COLUMNS($AC$1006:AS1006),$AC$1006:$AS$1006,0)))),"Fix")))</f>
        <v>0</v>
      </c>
      <c r="V768">
        <v>0</v>
      </c>
      <c r="W768">
        <v>0</v>
      </c>
      <c r="X768">
        <v>0</v>
      </c>
      <c r="Y768">
        <f>IF(Z768,TRUE,AND(AC768:AS768))</f>
        <v>0</v>
      </c>
      <c r="Z768">
        <f>COUNTBLANK(Metadata!B768:R768)=COLUMNS(Metadata!B768:R768)</f>
        <v>0</v>
      </c>
      <c r="AA768">
        <v>0</v>
      </c>
      <c r="AC768">
        <f>AND(IF(Metadata!B768="",FALSE,TRUE),COUNTIF(Metadata!B:B, Metadata!B768) = 1,NOT(ISERROR(SUMPRODUCT(SEARCH(MID(Metadata!B768,ROW(INDIRECT("1:"&amp;LEN(Metadata!B768))), 1),"0123456789abcdefghijklmnopqrstuvwxyzABCDEFGHIJKLMNOPQRSTUVWXYZ.")))))</f>
        <v>0</v>
      </c>
      <c r="AD768">
        <f>AND(IF(Metadata!C768="",FALSE,TRUE),exact(Metadata!C768,"Host-associated"))</f>
        <v>0</v>
      </c>
      <c r="AE768">
        <f>AND(IF(Metadata!D768="",FALSE,TRUE),OR(exact(Metadata!D768,"Animal"),exact(Metadata!D768,"Fungus"),exact(Metadata!D768,"Plant")))</f>
        <v>0</v>
      </c>
      <c r="AF768">
        <f>AND(IF(Metadata!E768="",FALSE,TRUE),OR(exact(Metadata!E768,"Plant secretion"),exact(Metadata!E768,"Plant rhizosphere"),exact(Metadata!E768,"Plant surface"),exact(Metadata!E768,"Plant corpus"),exact(Metadata!E768,"Fungus surface"),exact(Metadata!E768,"Fungus corpus"),exact(Metadata!E768,"Animal surface"),exact(Metadata!E768,"Animal proximal gut"),exact(Metadata!E768,"Animal corpus"),exact(Metadata!E768,"Animal distal gut"),exact(Metadata!E768,"Animal secretion")))</f>
        <v>0</v>
      </c>
      <c r="AG768">
        <f>OR(AND(IF(Metadata!F768="",FALSE,TRUE),OR(exact(Metadata!F768,"not collected"),exact(Metadata!F768,"not provided"),exact(Metadata!F768,"restricted access"))),AND(IF(Metadata!F768="",FALSE,TRUE),OR(exact(Metadata!F768,"organism-associated habitat"),exact(Metadata!F768,"plant-associated habitat"),exact(Metadata!F768,"animal-associated habitat"),exact(Metadata!F768,"insecta-associated habitat"),exact(Metadata!F768,"mammalia-associated habitat"),exact(Metadata!F768,"human-associated habitat"),exact(Metadata!F768,"livestock-associated habitat"))))</f>
        <v>0</v>
      </c>
      <c r="AH768">
        <f>AND(IF(Metadata!G768="",FALSE,TRUE),exact(Metadata!G768,"host-associated"))</f>
        <v>0</v>
      </c>
      <c r="AI768">
        <f>OR(AND(IF(Metadata!H768="",FALSE,TRUE),OR(exact(Metadata!H768,"not collected"),exact(Metadata!H768,"not provided"))),AND(IF(Metadata!H768="",FALSE,ISNUMBER(VALUE(Metadata!H768))),Metadata!H768&gt;0))</f>
        <v>0</v>
      </c>
      <c r="AJ768">
        <f>AND(IF(Metadata!I768="",FALSE,TRUE),exact(Metadata!I768,"years"))</f>
        <v>0</v>
      </c>
      <c r="AK768">
        <f>IF(Metadata!J768="",FALSE,TRUE)</f>
        <v>0</v>
      </c>
      <c r="AL768">
        <f>OR(AND(IF(Metadata!K768="",FALSE,TRUE),OR(exact(Metadata!K768,"not collected"),exact(Metadata!K768,"not provided"))),AND(IF(Metadata!K768="",FALSE,ISNUMBER(VALUE(Metadata!K768))),Metadata!K768&gt;0))</f>
        <v>0</v>
      </c>
      <c r="AM768">
        <f>AND(IF(Metadata!L768="",FALSE,TRUE),exact(Metadata!L768,"cm"))</f>
        <v>0</v>
      </c>
      <c r="AN768">
        <f>IF(Metadata!M768="",FALSE,TRUE)</f>
        <v>0</v>
      </c>
      <c r="AO768">
        <f>OR(AND(IF(Metadata!N768="",FALSE,TRUE),OR(exact(Metadata!N768,"not applicable"),exact(Metadata!N768,"not collected"),exact(Metadata!N768,"not provided"))),AND(IF(Metadata!N768="",FALSE,IF(ISERROR(INT(Metadata!N768)),FALSE,INT(Metadata!N768)=Metadata!N768)),Metadata!N768&gt;0))</f>
        <v>0</v>
      </c>
      <c r="AP768">
        <f>OR(AND(IF(Metadata!O768="",FALSE,TRUE),OR(exact(Metadata!O768,"not collected"),exact(Metadata!O768,"not provided"))),AND(IF(Metadata!O768="",FALSE,ISNUMBER(VALUE(Metadata!O768))),Metadata!O768&gt;0))</f>
        <v>0</v>
      </c>
      <c r="AQ768">
        <f>AND(IF(Metadata!P768="",FALSE,TRUE),exact(Metadata!P768,"kg"))</f>
        <v>0</v>
      </c>
      <c r="AR768">
        <f>OR(AND(IF(Metadata!Q768="",FALSE,TRUE),OR(exact(Metadata!Q768,"not applicable"),exact(Metadata!Q768,"not collected"),exact(Metadata!Q768,"not provided"),exact(Metadata!Q768,"restricted access"))),IF(Metadata!Q768="",FALSE,IF(ISERROR(INT(Metadata!Q768)),FALSE,INT(Metadata!Q768)=Metadata!Q768)))</f>
        <v>0</v>
      </c>
      <c r="AS768">
        <f>AND(IF(Metadata!R768="",FALSE,TRUE),exact(Metadata!R768,"Not applicable"))</f>
        <v>0</v>
      </c>
    </row>
    <row r="769" spans="1:45">
      <c r="A769" s="4">
        <f>IF(B769=" "," ",HYPERLINK(CONCATENATE("#metadata!",ADDRESS(INDEX($X$2:$X$1001,MATCH(ROWS($V$2:V769),$V$2:$V$1001,0),0),2)),INDEX($AA$2:$AA$1001,MATCH(ROWS($V$2:V769),$V$2:$V$1001,0),0)))</f>
        <v>0</v>
      </c>
      <c r="B769" s="5">
        <f>IF(OR(INDEX($W$2:$W$1001,MATCH(ROWS($V$2:V769),$V$2:$V$1001,0),1)&gt;=100000,INDEX($AC$1005:$AS$1005,1,MATCH(COLUMNS($AC$1006:AC1006),$AC$1006:$AS$1006,0))&gt;=100000), " ",IF(INDEX($AC$2:$AS$1001,MATCH(ROWS($V$2:V769),$V$2:$V$1001,0),MATCH(COLUMNS($AC$1006:AC1006),$AC$1006:$AS$1006,0)), HYPERLINK("#",""), HYPERLINK(CONCATENATE("#Metadata!", ADDRESS(INDEX($X$2:$X$1001,MATCH(ROWS($V$2:V769),$V$2:$V$1001,0),0), INDEX($AC$1004:$AS$1004,1,MATCH(COLUMNS($AC$1006:AC1006),$AC$1006:$AS$1006,0)))),"Fix")))</f>
        <v>0</v>
      </c>
      <c r="C769" s="5">
        <f>IF(OR(INDEX($W$2:$W$1001,MATCH(ROWS($V$2:V769),$V$2:$V$1001,0),1)&gt;=100000,INDEX($AC$1005:$AS$1005,1,MATCH(COLUMNS($AC$1006:AD1006),$AC$1006:$AS$1006,0))&gt;=100000), " ",IF(INDEX($AC$2:$AS$1001,MATCH(ROWS($V$2:V769),$V$2:$V$1001,0),MATCH(COLUMNS($AC$1006:AD1006),$AC$1006:$AS$1006,0)), HYPERLINK("#",""), HYPERLINK(CONCATENATE("#Metadata!", ADDRESS(INDEX($X$2:$X$1001,MATCH(ROWS($V$2:V769),$V$2:$V$1001,0),0), INDEX($AC$1004:$AS$1004,1,MATCH(COLUMNS($AC$1006:AD1006),$AC$1006:$AS$1006,0)))),"Fix")))</f>
        <v>0</v>
      </c>
      <c r="D769" s="5">
        <f>IF(OR(INDEX($W$2:$W$1001,MATCH(ROWS($V$2:V769),$V$2:$V$1001,0),1)&gt;=100000,INDEX($AC$1005:$AS$1005,1,MATCH(COLUMNS($AC$1006:AE1006),$AC$1006:$AS$1006,0))&gt;=100000), " ",IF(INDEX($AC$2:$AS$1001,MATCH(ROWS($V$2:V769),$V$2:$V$1001,0),MATCH(COLUMNS($AC$1006:AE1006),$AC$1006:$AS$1006,0)), HYPERLINK("#",""), HYPERLINK(CONCATENATE("#Metadata!", ADDRESS(INDEX($X$2:$X$1001,MATCH(ROWS($V$2:V769),$V$2:$V$1001,0),0), INDEX($AC$1004:$AS$1004,1,MATCH(COLUMNS($AC$1006:AE1006),$AC$1006:$AS$1006,0)))),"Fix")))</f>
        <v>0</v>
      </c>
      <c r="E769" s="5">
        <f>IF(OR(INDEX($W$2:$W$1001,MATCH(ROWS($V$2:V769),$V$2:$V$1001,0),1)&gt;=100000,INDEX($AC$1005:$AS$1005,1,MATCH(COLUMNS($AC$1006:AF1006),$AC$1006:$AS$1006,0))&gt;=100000), " ",IF(INDEX($AC$2:$AS$1001,MATCH(ROWS($V$2:V769),$V$2:$V$1001,0),MATCH(COLUMNS($AC$1006:AF1006),$AC$1006:$AS$1006,0)), HYPERLINK("#",""), HYPERLINK(CONCATENATE("#Metadata!", ADDRESS(INDEX($X$2:$X$1001,MATCH(ROWS($V$2:V769),$V$2:$V$1001,0),0), INDEX($AC$1004:$AS$1004,1,MATCH(COLUMNS($AC$1006:AF1006),$AC$1006:$AS$1006,0)))),"Fix")))</f>
        <v>0</v>
      </c>
      <c r="F769" s="5">
        <f>IF(OR(INDEX($W$2:$W$1001,MATCH(ROWS($V$2:V769),$V$2:$V$1001,0),1)&gt;=100000,INDEX($AC$1005:$AS$1005,1,MATCH(COLUMNS($AC$1006:AG1006),$AC$1006:$AS$1006,0))&gt;=100000), " ",IF(INDEX($AC$2:$AS$1001,MATCH(ROWS($V$2:V769),$V$2:$V$1001,0),MATCH(COLUMNS($AC$1006:AG1006),$AC$1006:$AS$1006,0)), HYPERLINK("#",""), HYPERLINK(CONCATENATE("#Metadata!", ADDRESS(INDEX($X$2:$X$1001,MATCH(ROWS($V$2:V769),$V$2:$V$1001,0),0), INDEX($AC$1004:$AS$1004,1,MATCH(COLUMNS($AC$1006:AG1006),$AC$1006:$AS$1006,0)))),"Fix")))</f>
        <v>0</v>
      </c>
      <c r="G769" s="5">
        <f>IF(OR(INDEX($W$2:$W$1001,MATCH(ROWS($V$2:V769),$V$2:$V$1001,0),1)&gt;=100000,INDEX($AC$1005:$AS$1005,1,MATCH(COLUMNS($AC$1006:AH1006),$AC$1006:$AS$1006,0))&gt;=100000), " ",IF(INDEX($AC$2:$AS$1001,MATCH(ROWS($V$2:V769),$V$2:$V$1001,0),MATCH(COLUMNS($AC$1006:AH1006),$AC$1006:$AS$1006,0)), HYPERLINK("#",""), HYPERLINK(CONCATENATE("#Metadata!", ADDRESS(INDEX($X$2:$X$1001,MATCH(ROWS($V$2:V769),$V$2:$V$1001,0),0), INDEX($AC$1004:$AS$1004,1,MATCH(COLUMNS($AC$1006:AH1006),$AC$1006:$AS$1006,0)))),"Fix")))</f>
        <v>0</v>
      </c>
      <c r="H769" s="5">
        <f>IF(OR(INDEX($W$2:$W$1001,MATCH(ROWS($V$2:V769),$V$2:$V$1001,0),1)&gt;=100000,INDEX($AC$1005:$AS$1005,1,MATCH(COLUMNS($AC$1006:AI1006),$AC$1006:$AS$1006,0))&gt;=100000), " ",IF(INDEX($AC$2:$AS$1001,MATCH(ROWS($V$2:V769),$V$2:$V$1001,0),MATCH(COLUMNS($AC$1006:AI1006),$AC$1006:$AS$1006,0)), HYPERLINK("#",""), HYPERLINK(CONCATENATE("#Metadata!", ADDRESS(INDEX($X$2:$X$1001,MATCH(ROWS($V$2:V769),$V$2:$V$1001,0),0), INDEX($AC$1004:$AS$1004,1,MATCH(COLUMNS($AC$1006:AI1006),$AC$1006:$AS$1006,0)))),"Fix")))</f>
        <v>0</v>
      </c>
      <c r="I769" s="5">
        <f>IF(OR(INDEX($W$2:$W$1001,MATCH(ROWS($V$2:V769),$V$2:$V$1001,0),1)&gt;=100000,INDEX($AC$1005:$AS$1005,1,MATCH(COLUMNS($AC$1006:AJ1006),$AC$1006:$AS$1006,0))&gt;=100000), " ",IF(INDEX($AC$2:$AS$1001,MATCH(ROWS($V$2:V769),$V$2:$V$1001,0),MATCH(COLUMNS($AC$1006:AJ1006),$AC$1006:$AS$1006,0)), HYPERLINK("#",""), HYPERLINK(CONCATENATE("#Metadata!", ADDRESS(INDEX($X$2:$X$1001,MATCH(ROWS($V$2:V769),$V$2:$V$1001,0),0), INDEX($AC$1004:$AS$1004,1,MATCH(COLUMNS($AC$1006:AJ1006),$AC$1006:$AS$1006,0)))),"Fix")))</f>
        <v>0</v>
      </c>
      <c r="J769" s="5">
        <f>IF(OR(INDEX($W$2:$W$1001,MATCH(ROWS($V$2:V769),$V$2:$V$1001,0),1)&gt;=100000,INDEX($AC$1005:$AS$1005,1,MATCH(COLUMNS($AC$1006:AK1006),$AC$1006:$AS$1006,0))&gt;=100000), " ",IF(INDEX($AC$2:$AS$1001,MATCH(ROWS($V$2:V769),$V$2:$V$1001,0),MATCH(COLUMNS($AC$1006:AK1006),$AC$1006:$AS$1006,0)), HYPERLINK("#",""), HYPERLINK(CONCATENATE("#Metadata!", ADDRESS(INDEX($X$2:$X$1001,MATCH(ROWS($V$2:V769),$V$2:$V$1001,0),0), INDEX($AC$1004:$AS$1004,1,MATCH(COLUMNS($AC$1006:AK1006),$AC$1006:$AS$1006,0)))),"Fix")))</f>
        <v>0</v>
      </c>
      <c r="K769" s="5">
        <f>IF(OR(INDEX($W$2:$W$1001,MATCH(ROWS($V$2:V769),$V$2:$V$1001,0),1)&gt;=100000,INDEX($AC$1005:$AS$1005,1,MATCH(COLUMNS($AC$1006:AL1006),$AC$1006:$AS$1006,0))&gt;=100000), " ",IF(INDEX($AC$2:$AS$1001,MATCH(ROWS($V$2:V769),$V$2:$V$1001,0),MATCH(COLUMNS($AC$1006:AL1006),$AC$1006:$AS$1006,0)), HYPERLINK("#",""), HYPERLINK(CONCATENATE("#Metadata!", ADDRESS(INDEX($X$2:$X$1001,MATCH(ROWS($V$2:V769),$V$2:$V$1001,0),0), INDEX($AC$1004:$AS$1004,1,MATCH(COLUMNS($AC$1006:AL1006),$AC$1006:$AS$1006,0)))),"Fix")))</f>
        <v>0</v>
      </c>
      <c r="L769" s="5">
        <f>IF(OR(INDEX($W$2:$W$1001,MATCH(ROWS($V$2:V769),$V$2:$V$1001,0),1)&gt;=100000,INDEX($AC$1005:$AS$1005,1,MATCH(COLUMNS($AC$1006:AM1006),$AC$1006:$AS$1006,0))&gt;=100000), " ",IF(INDEX($AC$2:$AS$1001,MATCH(ROWS($V$2:V769),$V$2:$V$1001,0),MATCH(COLUMNS($AC$1006:AM1006),$AC$1006:$AS$1006,0)), HYPERLINK("#",""), HYPERLINK(CONCATENATE("#Metadata!", ADDRESS(INDEX($X$2:$X$1001,MATCH(ROWS($V$2:V769),$V$2:$V$1001,0),0), INDEX($AC$1004:$AS$1004,1,MATCH(COLUMNS($AC$1006:AM1006),$AC$1006:$AS$1006,0)))),"Fix")))</f>
        <v>0</v>
      </c>
      <c r="M769" s="5">
        <f>IF(OR(INDEX($W$2:$W$1001,MATCH(ROWS($V$2:V769),$V$2:$V$1001,0),1)&gt;=100000,INDEX($AC$1005:$AS$1005,1,MATCH(COLUMNS($AC$1006:AN1006),$AC$1006:$AS$1006,0))&gt;=100000), " ",IF(INDEX($AC$2:$AS$1001,MATCH(ROWS($V$2:V769),$V$2:$V$1001,0),MATCH(COLUMNS($AC$1006:AN1006),$AC$1006:$AS$1006,0)), HYPERLINK("#",""), HYPERLINK(CONCATENATE("#Metadata!", ADDRESS(INDEX($X$2:$X$1001,MATCH(ROWS($V$2:V769),$V$2:$V$1001,0),0), INDEX($AC$1004:$AS$1004,1,MATCH(COLUMNS($AC$1006:AN1006),$AC$1006:$AS$1006,0)))),"Fix")))</f>
        <v>0</v>
      </c>
      <c r="N769" s="5">
        <f>IF(OR(INDEX($W$2:$W$1001,MATCH(ROWS($V$2:V769),$V$2:$V$1001,0),1)&gt;=100000,INDEX($AC$1005:$AS$1005,1,MATCH(COLUMNS($AC$1006:AO1006),$AC$1006:$AS$1006,0))&gt;=100000), " ",IF(INDEX($AC$2:$AS$1001,MATCH(ROWS($V$2:V769),$V$2:$V$1001,0),MATCH(COLUMNS($AC$1006:AO1006),$AC$1006:$AS$1006,0)), HYPERLINK("#",""), HYPERLINK(CONCATENATE("#Metadata!", ADDRESS(INDEX($X$2:$X$1001,MATCH(ROWS($V$2:V769),$V$2:$V$1001,0),0), INDEX($AC$1004:$AS$1004,1,MATCH(COLUMNS($AC$1006:AO1006),$AC$1006:$AS$1006,0)))),"Fix")))</f>
        <v>0</v>
      </c>
      <c r="O769" s="5">
        <f>IF(OR(INDEX($W$2:$W$1001,MATCH(ROWS($V$2:V769),$V$2:$V$1001,0),1)&gt;=100000,INDEX($AC$1005:$AS$1005,1,MATCH(COLUMNS($AC$1006:AP1006),$AC$1006:$AS$1006,0))&gt;=100000), " ",IF(INDEX($AC$2:$AS$1001,MATCH(ROWS($V$2:V769),$V$2:$V$1001,0),MATCH(COLUMNS($AC$1006:AP1006),$AC$1006:$AS$1006,0)), HYPERLINK("#",""), HYPERLINK(CONCATENATE("#Metadata!", ADDRESS(INDEX($X$2:$X$1001,MATCH(ROWS($V$2:V769),$V$2:$V$1001,0),0), INDEX($AC$1004:$AS$1004,1,MATCH(COLUMNS($AC$1006:AP1006),$AC$1006:$AS$1006,0)))),"Fix")))</f>
        <v>0</v>
      </c>
      <c r="P769" s="5">
        <f>IF(OR(INDEX($W$2:$W$1001,MATCH(ROWS($V$2:V769),$V$2:$V$1001,0),1)&gt;=100000,INDEX($AC$1005:$AS$1005,1,MATCH(COLUMNS($AC$1006:AQ1006),$AC$1006:$AS$1006,0))&gt;=100000), " ",IF(INDEX($AC$2:$AS$1001,MATCH(ROWS($V$2:V769),$V$2:$V$1001,0),MATCH(COLUMNS($AC$1006:AQ1006),$AC$1006:$AS$1006,0)), HYPERLINK("#",""), HYPERLINK(CONCATENATE("#Metadata!", ADDRESS(INDEX($X$2:$X$1001,MATCH(ROWS($V$2:V769),$V$2:$V$1001,0),0), INDEX($AC$1004:$AS$1004,1,MATCH(COLUMNS($AC$1006:AQ1006),$AC$1006:$AS$1006,0)))),"Fix")))</f>
        <v>0</v>
      </c>
      <c r="Q769" s="5">
        <f>IF(OR(INDEX($W$2:$W$1001,MATCH(ROWS($V$2:V769),$V$2:$V$1001,0),1)&gt;=100000,INDEX($AC$1005:$AS$1005,1,MATCH(COLUMNS($AC$1006:AR1006),$AC$1006:$AS$1006,0))&gt;=100000), " ",IF(INDEX($AC$2:$AS$1001,MATCH(ROWS($V$2:V769),$V$2:$V$1001,0),MATCH(COLUMNS($AC$1006:AR1006),$AC$1006:$AS$1006,0)), HYPERLINK("#",""), HYPERLINK(CONCATENATE("#Metadata!", ADDRESS(INDEX($X$2:$X$1001,MATCH(ROWS($V$2:V769),$V$2:$V$1001,0),0), INDEX($AC$1004:$AS$1004,1,MATCH(COLUMNS($AC$1006:AR1006),$AC$1006:$AS$1006,0)))),"Fix")))</f>
        <v>0</v>
      </c>
      <c r="R769" s="5">
        <f>IF(OR(INDEX($W$2:$W$1001,MATCH(ROWS($V$2:V769),$V$2:$V$1001,0),1)&gt;=100000,INDEX($AC$1005:$AS$1005,1,MATCH(COLUMNS($AC$1006:AS1006),$AC$1006:$AS$1006,0))&gt;=100000), " ",IF(INDEX($AC$2:$AS$1001,MATCH(ROWS($V$2:V769),$V$2:$V$1001,0),MATCH(COLUMNS($AC$1006:AS1006),$AC$1006:$AS$1006,0)), HYPERLINK("#",""), HYPERLINK(CONCATENATE("#Metadata!", ADDRESS(INDEX($X$2:$X$1001,MATCH(ROWS($V$2:V769),$V$2:$V$1001,0),0), INDEX($AC$1004:$AS$1004,1,MATCH(COLUMNS($AC$1006:AS1006),$AC$1006:$AS$1006,0)))),"Fix")))</f>
        <v>0</v>
      </c>
      <c r="V769">
        <v>0</v>
      </c>
      <c r="W769">
        <v>0</v>
      </c>
      <c r="X769">
        <v>0</v>
      </c>
      <c r="Y769">
        <f>IF(Z769,TRUE,AND(AC769:AS769))</f>
        <v>0</v>
      </c>
      <c r="Z769">
        <f>COUNTBLANK(Metadata!B769:R769)=COLUMNS(Metadata!B769:R769)</f>
        <v>0</v>
      </c>
      <c r="AA769">
        <v>0</v>
      </c>
      <c r="AC769">
        <f>AND(IF(Metadata!B769="",FALSE,TRUE),COUNTIF(Metadata!B:B, Metadata!B769) = 1,NOT(ISERROR(SUMPRODUCT(SEARCH(MID(Metadata!B769,ROW(INDIRECT("1:"&amp;LEN(Metadata!B769))), 1),"0123456789abcdefghijklmnopqrstuvwxyzABCDEFGHIJKLMNOPQRSTUVWXYZ.")))))</f>
        <v>0</v>
      </c>
      <c r="AD769">
        <f>AND(IF(Metadata!C769="",FALSE,TRUE),exact(Metadata!C769,"Host-associated"))</f>
        <v>0</v>
      </c>
      <c r="AE769">
        <f>AND(IF(Metadata!D769="",FALSE,TRUE),OR(exact(Metadata!D769,"Animal"),exact(Metadata!D769,"Fungus"),exact(Metadata!D769,"Plant")))</f>
        <v>0</v>
      </c>
      <c r="AF769">
        <f>AND(IF(Metadata!E769="",FALSE,TRUE),OR(exact(Metadata!E769,"Plant secretion"),exact(Metadata!E769,"Plant rhizosphere"),exact(Metadata!E769,"Plant surface"),exact(Metadata!E769,"Plant corpus"),exact(Metadata!E769,"Fungus surface"),exact(Metadata!E769,"Fungus corpus"),exact(Metadata!E769,"Animal surface"),exact(Metadata!E769,"Animal proximal gut"),exact(Metadata!E769,"Animal corpus"),exact(Metadata!E769,"Animal distal gut"),exact(Metadata!E769,"Animal secretion")))</f>
        <v>0</v>
      </c>
      <c r="AG769">
        <f>OR(AND(IF(Metadata!F769="",FALSE,TRUE),OR(exact(Metadata!F769,"not collected"),exact(Metadata!F769,"not provided"),exact(Metadata!F769,"restricted access"))),AND(IF(Metadata!F769="",FALSE,TRUE),OR(exact(Metadata!F769,"organism-associated habitat"),exact(Metadata!F769,"plant-associated habitat"),exact(Metadata!F769,"animal-associated habitat"),exact(Metadata!F769,"insecta-associated habitat"),exact(Metadata!F769,"mammalia-associated habitat"),exact(Metadata!F769,"human-associated habitat"),exact(Metadata!F769,"livestock-associated habitat"))))</f>
        <v>0</v>
      </c>
      <c r="AH769">
        <f>AND(IF(Metadata!G769="",FALSE,TRUE),exact(Metadata!G769,"host-associated"))</f>
        <v>0</v>
      </c>
      <c r="AI769">
        <f>OR(AND(IF(Metadata!H769="",FALSE,TRUE),OR(exact(Metadata!H769,"not collected"),exact(Metadata!H769,"not provided"))),AND(IF(Metadata!H769="",FALSE,ISNUMBER(VALUE(Metadata!H769))),Metadata!H769&gt;0))</f>
        <v>0</v>
      </c>
      <c r="AJ769">
        <f>AND(IF(Metadata!I769="",FALSE,TRUE),exact(Metadata!I769,"years"))</f>
        <v>0</v>
      </c>
      <c r="AK769">
        <f>IF(Metadata!J769="",FALSE,TRUE)</f>
        <v>0</v>
      </c>
      <c r="AL769">
        <f>OR(AND(IF(Metadata!K769="",FALSE,TRUE),OR(exact(Metadata!K769,"not collected"),exact(Metadata!K769,"not provided"))),AND(IF(Metadata!K769="",FALSE,ISNUMBER(VALUE(Metadata!K769))),Metadata!K769&gt;0))</f>
        <v>0</v>
      </c>
      <c r="AM769">
        <f>AND(IF(Metadata!L769="",FALSE,TRUE),exact(Metadata!L769,"cm"))</f>
        <v>0</v>
      </c>
      <c r="AN769">
        <f>IF(Metadata!M769="",FALSE,TRUE)</f>
        <v>0</v>
      </c>
      <c r="AO769">
        <f>OR(AND(IF(Metadata!N769="",FALSE,TRUE),OR(exact(Metadata!N769,"not applicable"),exact(Metadata!N769,"not collected"),exact(Metadata!N769,"not provided"))),AND(IF(Metadata!N769="",FALSE,IF(ISERROR(INT(Metadata!N769)),FALSE,INT(Metadata!N769)=Metadata!N769)),Metadata!N769&gt;0))</f>
        <v>0</v>
      </c>
      <c r="AP769">
        <f>OR(AND(IF(Metadata!O769="",FALSE,TRUE),OR(exact(Metadata!O769,"not collected"),exact(Metadata!O769,"not provided"))),AND(IF(Metadata!O769="",FALSE,ISNUMBER(VALUE(Metadata!O769))),Metadata!O769&gt;0))</f>
        <v>0</v>
      </c>
      <c r="AQ769">
        <f>AND(IF(Metadata!P769="",FALSE,TRUE),exact(Metadata!P769,"kg"))</f>
        <v>0</v>
      </c>
      <c r="AR769">
        <f>OR(AND(IF(Metadata!Q769="",FALSE,TRUE),OR(exact(Metadata!Q769,"not applicable"),exact(Metadata!Q769,"not collected"),exact(Metadata!Q769,"not provided"),exact(Metadata!Q769,"restricted access"))),IF(Metadata!Q769="",FALSE,IF(ISERROR(INT(Metadata!Q769)),FALSE,INT(Metadata!Q769)=Metadata!Q769)))</f>
        <v>0</v>
      </c>
      <c r="AS769">
        <f>AND(IF(Metadata!R769="",FALSE,TRUE),exact(Metadata!R769,"Not applicable"))</f>
        <v>0</v>
      </c>
    </row>
    <row r="770" spans="1:45">
      <c r="A770" s="4">
        <f>IF(B770=" "," ",HYPERLINK(CONCATENATE("#metadata!",ADDRESS(INDEX($X$2:$X$1001,MATCH(ROWS($V$2:V770),$V$2:$V$1001,0),0),2)),INDEX($AA$2:$AA$1001,MATCH(ROWS($V$2:V770),$V$2:$V$1001,0),0)))</f>
        <v>0</v>
      </c>
      <c r="B770" s="5">
        <f>IF(OR(INDEX($W$2:$W$1001,MATCH(ROWS($V$2:V770),$V$2:$V$1001,0),1)&gt;=100000,INDEX($AC$1005:$AS$1005,1,MATCH(COLUMNS($AC$1006:AC1006),$AC$1006:$AS$1006,0))&gt;=100000), " ",IF(INDEX($AC$2:$AS$1001,MATCH(ROWS($V$2:V770),$V$2:$V$1001,0),MATCH(COLUMNS($AC$1006:AC1006),$AC$1006:$AS$1006,0)), HYPERLINK("#",""), HYPERLINK(CONCATENATE("#Metadata!", ADDRESS(INDEX($X$2:$X$1001,MATCH(ROWS($V$2:V770),$V$2:$V$1001,0),0), INDEX($AC$1004:$AS$1004,1,MATCH(COLUMNS($AC$1006:AC1006),$AC$1006:$AS$1006,0)))),"Fix")))</f>
        <v>0</v>
      </c>
      <c r="C770" s="5">
        <f>IF(OR(INDEX($W$2:$W$1001,MATCH(ROWS($V$2:V770),$V$2:$V$1001,0),1)&gt;=100000,INDEX($AC$1005:$AS$1005,1,MATCH(COLUMNS($AC$1006:AD1006),$AC$1006:$AS$1006,0))&gt;=100000), " ",IF(INDEX($AC$2:$AS$1001,MATCH(ROWS($V$2:V770),$V$2:$V$1001,0),MATCH(COLUMNS($AC$1006:AD1006),$AC$1006:$AS$1006,0)), HYPERLINK("#",""), HYPERLINK(CONCATENATE("#Metadata!", ADDRESS(INDEX($X$2:$X$1001,MATCH(ROWS($V$2:V770),$V$2:$V$1001,0),0), INDEX($AC$1004:$AS$1004,1,MATCH(COLUMNS($AC$1006:AD1006),$AC$1006:$AS$1006,0)))),"Fix")))</f>
        <v>0</v>
      </c>
      <c r="D770" s="5">
        <f>IF(OR(INDEX($W$2:$W$1001,MATCH(ROWS($V$2:V770),$V$2:$V$1001,0),1)&gt;=100000,INDEX($AC$1005:$AS$1005,1,MATCH(COLUMNS($AC$1006:AE1006),$AC$1006:$AS$1006,0))&gt;=100000), " ",IF(INDEX($AC$2:$AS$1001,MATCH(ROWS($V$2:V770),$V$2:$V$1001,0),MATCH(COLUMNS($AC$1006:AE1006),$AC$1006:$AS$1006,0)), HYPERLINK("#",""), HYPERLINK(CONCATENATE("#Metadata!", ADDRESS(INDEX($X$2:$X$1001,MATCH(ROWS($V$2:V770),$V$2:$V$1001,0),0), INDEX($AC$1004:$AS$1004,1,MATCH(COLUMNS($AC$1006:AE1006),$AC$1006:$AS$1006,0)))),"Fix")))</f>
        <v>0</v>
      </c>
      <c r="E770" s="5">
        <f>IF(OR(INDEX($W$2:$W$1001,MATCH(ROWS($V$2:V770),$V$2:$V$1001,0),1)&gt;=100000,INDEX($AC$1005:$AS$1005,1,MATCH(COLUMNS($AC$1006:AF1006),$AC$1006:$AS$1006,0))&gt;=100000), " ",IF(INDEX($AC$2:$AS$1001,MATCH(ROWS($V$2:V770),$V$2:$V$1001,0),MATCH(COLUMNS($AC$1006:AF1006),$AC$1006:$AS$1006,0)), HYPERLINK("#",""), HYPERLINK(CONCATENATE("#Metadata!", ADDRESS(INDEX($X$2:$X$1001,MATCH(ROWS($V$2:V770),$V$2:$V$1001,0),0), INDEX($AC$1004:$AS$1004,1,MATCH(COLUMNS($AC$1006:AF1006),$AC$1006:$AS$1006,0)))),"Fix")))</f>
        <v>0</v>
      </c>
      <c r="F770" s="5">
        <f>IF(OR(INDEX($W$2:$W$1001,MATCH(ROWS($V$2:V770),$V$2:$V$1001,0),1)&gt;=100000,INDEX($AC$1005:$AS$1005,1,MATCH(COLUMNS($AC$1006:AG1006),$AC$1006:$AS$1006,0))&gt;=100000), " ",IF(INDEX($AC$2:$AS$1001,MATCH(ROWS($V$2:V770),$V$2:$V$1001,0),MATCH(COLUMNS($AC$1006:AG1006),$AC$1006:$AS$1006,0)), HYPERLINK("#",""), HYPERLINK(CONCATENATE("#Metadata!", ADDRESS(INDEX($X$2:$X$1001,MATCH(ROWS($V$2:V770),$V$2:$V$1001,0),0), INDEX($AC$1004:$AS$1004,1,MATCH(COLUMNS($AC$1006:AG1006),$AC$1006:$AS$1006,0)))),"Fix")))</f>
        <v>0</v>
      </c>
      <c r="G770" s="5">
        <f>IF(OR(INDEX($W$2:$W$1001,MATCH(ROWS($V$2:V770),$V$2:$V$1001,0),1)&gt;=100000,INDEX($AC$1005:$AS$1005,1,MATCH(COLUMNS($AC$1006:AH1006),$AC$1006:$AS$1006,0))&gt;=100000), " ",IF(INDEX($AC$2:$AS$1001,MATCH(ROWS($V$2:V770),$V$2:$V$1001,0),MATCH(COLUMNS($AC$1006:AH1006),$AC$1006:$AS$1006,0)), HYPERLINK("#",""), HYPERLINK(CONCATENATE("#Metadata!", ADDRESS(INDEX($X$2:$X$1001,MATCH(ROWS($V$2:V770),$V$2:$V$1001,0),0), INDEX($AC$1004:$AS$1004,1,MATCH(COLUMNS($AC$1006:AH1006),$AC$1006:$AS$1006,0)))),"Fix")))</f>
        <v>0</v>
      </c>
      <c r="H770" s="5">
        <f>IF(OR(INDEX($W$2:$W$1001,MATCH(ROWS($V$2:V770),$V$2:$V$1001,0),1)&gt;=100000,INDEX($AC$1005:$AS$1005,1,MATCH(COLUMNS($AC$1006:AI1006),$AC$1006:$AS$1006,0))&gt;=100000), " ",IF(INDEX($AC$2:$AS$1001,MATCH(ROWS($V$2:V770),$V$2:$V$1001,0),MATCH(COLUMNS($AC$1006:AI1006),$AC$1006:$AS$1006,0)), HYPERLINK("#",""), HYPERLINK(CONCATENATE("#Metadata!", ADDRESS(INDEX($X$2:$X$1001,MATCH(ROWS($V$2:V770),$V$2:$V$1001,0),0), INDEX($AC$1004:$AS$1004,1,MATCH(COLUMNS($AC$1006:AI1006),$AC$1006:$AS$1006,0)))),"Fix")))</f>
        <v>0</v>
      </c>
      <c r="I770" s="5">
        <f>IF(OR(INDEX($W$2:$W$1001,MATCH(ROWS($V$2:V770),$V$2:$V$1001,0),1)&gt;=100000,INDEX($AC$1005:$AS$1005,1,MATCH(COLUMNS($AC$1006:AJ1006),$AC$1006:$AS$1006,0))&gt;=100000), " ",IF(INDEX($AC$2:$AS$1001,MATCH(ROWS($V$2:V770),$V$2:$V$1001,0),MATCH(COLUMNS($AC$1006:AJ1006),$AC$1006:$AS$1006,0)), HYPERLINK("#",""), HYPERLINK(CONCATENATE("#Metadata!", ADDRESS(INDEX($X$2:$X$1001,MATCH(ROWS($V$2:V770),$V$2:$V$1001,0),0), INDEX($AC$1004:$AS$1004,1,MATCH(COLUMNS($AC$1006:AJ1006),$AC$1006:$AS$1006,0)))),"Fix")))</f>
        <v>0</v>
      </c>
      <c r="J770" s="5">
        <f>IF(OR(INDEX($W$2:$W$1001,MATCH(ROWS($V$2:V770),$V$2:$V$1001,0),1)&gt;=100000,INDEX($AC$1005:$AS$1005,1,MATCH(COLUMNS($AC$1006:AK1006),$AC$1006:$AS$1006,0))&gt;=100000), " ",IF(INDEX($AC$2:$AS$1001,MATCH(ROWS($V$2:V770),$V$2:$V$1001,0),MATCH(COLUMNS($AC$1006:AK1006),$AC$1006:$AS$1006,0)), HYPERLINK("#",""), HYPERLINK(CONCATENATE("#Metadata!", ADDRESS(INDEX($X$2:$X$1001,MATCH(ROWS($V$2:V770),$V$2:$V$1001,0),0), INDEX($AC$1004:$AS$1004,1,MATCH(COLUMNS($AC$1006:AK1006),$AC$1006:$AS$1006,0)))),"Fix")))</f>
        <v>0</v>
      </c>
      <c r="K770" s="5">
        <f>IF(OR(INDEX($W$2:$W$1001,MATCH(ROWS($V$2:V770),$V$2:$V$1001,0),1)&gt;=100000,INDEX($AC$1005:$AS$1005,1,MATCH(COLUMNS($AC$1006:AL1006),$AC$1006:$AS$1006,0))&gt;=100000), " ",IF(INDEX($AC$2:$AS$1001,MATCH(ROWS($V$2:V770),$V$2:$V$1001,0),MATCH(COLUMNS($AC$1006:AL1006),$AC$1006:$AS$1006,0)), HYPERLINK("#",""), HYPERLINK(CONCATENATE("#Metadata!", ADDRESS(INDEX($X$2:$X$1001,MATCH(ROWS($V$2:V770),$V$2:$V$1001,0),0), INDEX($AC$1004:$AS$1004,1,MATCH(COLUMNS($AC$1006:AL1006),$AC$1006:$AS$1006,0)))),"Fix")))</f>
        <v>0</v>
      </c>
      <c r="L770" s="5">
        <f>IF(OR(INDEX($W$2:$W$1001,MATCH(ROWS($V$2:V770),$V$2:$V$1001,0),1)&gt;=100000,INDEX($AC$1005:$AS$1005,1,MATCH(COLUMNS($AC$1006:AM1006),$AC$1006:$AS$1006,0))&gt;=100000), " ",IF(INDEX($AC$2:$AS$1001,MATCH(ROWS($V$2:V770),$V$2:$V$1001,0),MATCH(COLUMNS($AC$1006:AM1006),$AC$1006:$AS$1006,0)), HYPERLINK("#",""), HYPERLINK(CONCATENATE("#Metadata!", ADDRESS(INDEX($X$2:$X$1001,MATCH(ROWS($V$2:V770),$V$2:$V$1001,0),0), INDEX($AC$1004:$AS$1004,1,MATCH(COLUMNS($AC$1006:AM1006),$AC$1006:$AS$1006,0)))),"Fix")))</f>
        <v>0</v>
      </c>
      <c r="M770" s="5">
        <f>IF(OR(INDEX($W$2:$W$1001,MATCH(ROWS($V$2:V770),$V$2:$V$1001,0),1)&gt;=100000,INDEX($AC$1005:$AS$1005,1,MATCH(COLUMNS($AC$1006:AN1006),$AC$1006:$AS$1006,0))&gt;=100000), " ",IF(INDEX($AC$2:$AS$1001,MATCH(ROWS($V$2:V770),$V$2:$V$1001,0),MATCH(COLUMNS($AC$1006:AN1006),$AC$1006:$AS$1006,0)), HYPERLINK("#",""), HYPERLINK(CONCATENATE("#Metadata!", ADDRESS(INDEX($X$2:$X$1001,MATCH(ROWS($V$2:V770),$V$2:$V$1001,0),0), INDEX($AC$1004:$AS$1004,1,MATCH(COLUMNS($AC$1006:AN1006),$AC$1006:$AS$1006,0)))),"Fix")))</f>
        <v>0</v>
      </c>
      <c r="N770" s="5">
        <f>IF(OR(INDEX($W$2:$W$1001,MATCH(ROWS($V$2:V770),$V$2:$V$1001,0),1)&gt;=100000,INDEX($AC$1005:$AS$1005,1,MATCH(COLUMNS($AC$1006:AO1006),$AC$1006:$AS$1006,0))&gt;=100000), " ",IF(INDEX($AC$2:$AS$1001,MATCH(ROWS($V$2:V770),$V$2:$V$1001,0),MATCH(COLUMNS($AC$1006:AO1006),$AC$1006:$AS$1006,0)), HYPERLINK("#",""), HYPERLINK(CONCATENATE("#Metadata!", ADDRESS(INDEX($X$2:$X$1001,MATCH(ROWS($V$2:V770),$V$2:$V$1001,0),0), INDEX($AC$1004:$AS$1004,1,MATCH(COLUMNS($AC$1006:AO1006),$AC$1006:$AS$1006,0)))),"Fix")))</f>
        <v>0</v>
      </c>
      <c r="O770" s="5">
        <f>IF(OR(INDEX($W$2:$W$1001,MATCH(ROWS($V$2:V770),$V$2:$V$1001,0),1)&gt;=100000,INDEX($AC$1005:$AS$1005,1,MATCH(COLUMNS($AC$1006:AP1006),$AC$1006:$AS$1006,0))&gt;=100000), " ",IF(INDEX($AC$2:$AS$1001,MATCH(ROWS($V$2:V770),$V$2:$V$1001,0),MATCH(COLUMNS($AC$1006:AP1006),$AC$1006:$AS$1006,0)), HYPERLINK("#",""), HYPERLINK(CONCATENATE("#Metadata!", ADDRESS(INDEX($X$2:$X$1001,MATCH(ROWS($V$2:V770),$V$2:$V$1001,0),0), INDEX($AC$1004:$AS$1004,1,MATCH(COLUMNS($AC$1006:AP1006),$AC$1006:$AS$1006,0)))),"Fix")))</f>
        <v>0</v>
      </c>
      <c r="P770" s="5">
        <f>IF(OR(INDEX($W$2:$W$1001,MATCH(ROWS($V$2:V770),$V$2:$V$1001,0),1)&gt;=100000,INDEX($AC$1005:$AS$1005,1,MATCH(COLUMNS($AC$1006:AQ1006),$AC$1006:$AS$1006,0))&gt;=100000), " ",IF(INDEX($AC$2:$AS$1001,MATCH(ROWS($V$2:V770),$V$2:$V$1001,0),MATCH(COLUMNS($AC$1006:AQ1006),$AC$1006:$AS$1006,0)), HYPERLINK("#",""), HYPERLINK(CONCATENATE("#Metadata!", ADDRESS(INDEX($X$2:$X$1001,MATCH(ROWS($V$2:V770),$V$2:$V$1001,0),0), INDEX($AC$1004:$AS$1004,1,MATCH(COLUMNS($AC$1006:AQ1006),$AC$1006:$AS$1006,0)))),"Fix")))</f>
        <v>0</v>
      </c>
      <c r="Q770" s="5">
        <f>IF(OR(INDEX($W$2:$W$1001,MATCH(ROWS($V$2:V770),$V$2:$V$1001,0),1)&gt;=100000,INDEX($AC$1005:$AS$1005,1,MATCH(COLUMNS($AC$1006:AR1006),$AC$1006:$AS$1006,0))&gt;=100000), " ",IF(INDEX($AC$2:$AS$1001,MATCH(ROWS($V$2:V770),$V$2:$V$1001,0),MATCH(COLUMNS($AC$1006:AR1006),$AC$1006:$AS$1006,0)), HYPERLINK("#",""), HYPERLINK(CONCATENATE("#Metadata!", ADDRESS(INDEX($X$2:$X$1001,MATCH(ROWS($V$2:V770),$V$2:$V$1001,0),0), INDEX($AC$1004:$AS$1004,1,MATCH(COLUMNS($AC$1006:AR1006),$AC$1006:$AS$1006,0)))),"Fix")))</f>
        <v>0</v>
      </c>
      <c r="R770" s="5">
        <f>IF(OR(INDEX($W$2:$W$1001,MATCH(ROWS($V$2:V770),$V$2:$V$1001,0),1)&gt;=100000,INDEX($AC$1005:$AS$1005,1,MATCH(COLUMNS($AC$1006:AS1006),$AC$1006:$AS$1006,0))&gt;=100000), " ",IF(INDEX($AC$2:$AS$1001,MATCH(ROWS($V$2:V770),$V$2:$V$1001,0),MATCH(COLUMNS($AC$1006:AS1006),$AC$1006:$AS$1006,0)), HYPERLINK("#",""), HYPERLINK(CONCATENATE("#Metadata!", ADDRESS(INDEX($X$2:$X$1001,MATCH(ROWS($V$2:V770),$V$2:$V$1001,0),0), INDEX($AC$1004:$AS$1004,1,MATCH(COLUMNS($AC$1006:AS1006),$AC$1006:$AS$1006,0)))),"Fix")))</f>
        <v>0</v>
      </c>
      <c r="V770">
        <v>0</v>
      </c>
      <c r="W770">
        <v>0</v>
      </c>
      <c r="X770">
        <v>0</v>
      </c>
      <c r="Y770">
        <f>IF(Z770,TRUE,AND(AC770:AS770))</f>
        <v>0</v>
      </c>
      <c r="Z770">
        <f>COUNTBLANK(Metadata!B770:R770)=COLUMNS(Metadata!B770:R770)</f>
        <v>0</v>
      </c>
      <c r="AA770">
        <v>0</v>
      </c>
      <c r="AC770">
        <f>AND(IF(Metadata!B770="",FALSE,TRUE),COUNTIF(Metadata!B:B, Metadata!B770) = 1,NOT(ISERROR(SUMPRODUCT(SEARCH(MID(Metadata!B770,ROW(INDIRECT("1:"&amp;LEN(Metadata!B770))), 1),"0123456789abcdefghijklmnopqrstuvwxyzABCDEFGHIJKLMNOPQRSTUVWXYZ.")))))</f>
        <v>0</v>
      </c>
      <c r="AD770">
        <f>AND(IF(Metadata!C770="",FALSE,TRUE),exact(Metadata!C770,"Host-associated"))</f>
        <v>0</v>
      </c>
      <c r="AE770">
        <f>AND(IF(Metadata!D770="",FALSE,TRUE),OR(exact(Metadata!D770,"Animal"),exact(Metadata!D770,"Fungus"),exact(Metadata!D770,"Plant")))</f>
        <v>0</v>
      </c>
      <c r="AF770">
        <f>AND(IF(Metadata!E770="",FALSE,TRUE),OR(exact(Metadata!E770,"Plant secretion"),exact(Metadata!E770,"Plant rhizosphere"),exact(Metadata!E770,"Plant surface"),exact(Metadata!E770,"Plant corpus"),exact(Metadata!E770,"Fungus surface"),exact(Metadata!E770,"Fungus corpus"),exact(Metadata!E770,"Animal surface"),exact(Metadata!E770,"Animal proximal gut"),exact(Metadata!E770,"Animal corpus"),exact(Metadata!E770,"Animal distal gut"),exact(Metadata!E770,"Animal secretion")))</f>
        <v>0</v>
      </c>
      <c r="AG770">
        <f>OR(AND(IF(Metadata!F770="",FALSE,TRUE),OR(exact(Metadata!F770,"not collected"),exact(Metadata!F770,"not provided"),exact(Metadata!F770,"restricted access"))),AND(IF(Metadata!F770="",FALSE,TRUE),OR(exact(Metadata!F770,"organism-associated habitat"),exact(Metadata!F770,"plant-associated habitat"),exact(Metadata!F770,"animal-associated habitat"),exact(Metadata!F770,"insecta-associated habitat"),exact(Metadata!F770,"mammalia-associated habitat"),exact(Metadata!F770,"human-associated habitat"),exact(Metadata!F770,"livestock-associated habitat"))))</f>
        <v>0</v>
      </c>
      <c r="AH770">
        <f>AND(IF(Metadata!G770="",FALSE,TRUE),exact(Metadata!G770,"host-associated"))</f>
        <v>0</v>
      </c>
      <c r="AI770">
        <f>OR(AND(IF(Metadata!H770="",FALSE,TRUE),OR(exact(Metadata!H770,"not collected"),exact(Metadata!H770,"not provided"))),AND(IF(Metadata!H770="",FALSE,ISNUMBER(VALUE(Metadata!H770))),Metadata!H770&gt;0))</f>
        <v>0</v>
      </c>
      <c r="AJ770">
        <f>AND(IF(Metadata!I770="",FALSE,TRUE),exact(Metadata!I770,"years"))</f>
        <v>0</v>
      </c>
      <c r="AK770">
        <f>IF(Metadata!J770="",FALSE,TRUE)</f>
        <v>0</v>
      </c>
      <c r="AL770">
        <f>OR(AND(IF(Metadata!K770="",FALSE,TRUE),OR(exact(Metadata!K770,"not collected"),exact(Metadata!K770,"not provided"))),AND(IF(Metadata!K770="",FALSE,ISNUMBER(VALUE(Metadata!K770))),Metadata!K770&gt;0))</f>
        <v>0</v>
      </c>
      <c r="AM770">
        <f>AND(IF(Metadata!L770="",FALSE,TRUE),exact(Metadata!L770,"cm"))</f>
        <v>0</v>
      </c>
      <c r="AN770">
        <f>IF(Metadata!M770="",FALSE,TRUE)</f>
        <v>0</v>
      </c>
      <c r="AO770">
        <f>OR(AND(IF(Metadata!N770="",FALSE,TRUE),OR(exact(Metadata!N770,"not applicable"),exact(Metadata!N770,"not collected"),exact(Metadata!N770,"not provided"))),AND(IF(Metadata!N770="",FALSE,IF(ISERROR(INT(Metadata!N770)),FALSE,INT(Metadata!N770)=Metadata!N770)),Metadata!N770&gt;0))</f>
        <v>0</v>
      </c>
      <c r="AP770">
        <f>OR(AND(IF(Metadata!O770="",FALSE,TRUE),OR(exact(Metadata!O770,"not collected"),exact(Metadata!O770,"not provided"))),AND(IF(Metadata!O770="",FALSE,ISNUMBER(VALUE(Metadata!O770))),Metadata!O770&gt;0))</f>
        <v>0</v>
      </c>
      <c r="AQ770">
        <f>AND(IF(Metadata!P770="",FALSE,TRUE),exact(Metadata!P770,"kg"))</f>
        <v>0</v>
      </c>
      <c r="AR770">
        <f>OR(AND(IF(Metadata!Q770="",FALSE,TRUE),OR(exact(Metadata!Q770,"not applicable"),exact(Metadata!Q770,"not collected"),exact(Metadata!Q770,"not provided"),exact(Metadata!Q770,"restricted access"))),IF(Metadata!Q770="",FALSE,IF(ISERROR(INT(Metadata!Q770)),FALSE,INT(Metadata!Q770)=Metadata!Q770)))</f>
        <v>0</v>
      </c>
      <c r="AS770">
        <f>AND(IF(Metadata!R770="",FALSE,TRUE),exact(Metadata!R770,"Not applicable"))</f>
        <v>0</v>
      </c>
    </row>
    <row r="771" spans="1:45">
      <c r="A771" s="4">
        <f>IF(B771=" "," ",HYPERLINK(CONCATENATE("#metadata!",ADDRESS(INDEX($X$2:$X$1001,MATCH(ROWS($V$2:V771),$V$2:$V$1001,0),0),2)),INDEX($AA$2:$AA$1001,MATCH(ROWS($V$2:V771),$V$2:$V$1001,0),0)))</f>
        <v>0</v>
      </c>
      <c r="B771" s="5">
        <f>IF(OR(INDEX($W$2:$W$1001,MATCH(ROWS($V$2:V771),$V$2:$V$1001,0),1)&gt;=100000,INDEX($AC$1005:$AS$1005,1,MATCH(COLUMNS($AC$1006:AC1006),$AC$1006:$AS$1006,0))&gt;=100000), " ",IF(INDEX($AC$2:$AS$1001,MATCH(ROWS($V$2:V771),$V$2:$V$1001,0),MATCH(COLUMNS($AC$1006:AC1006),$AC$1006:$AS$1006,0)), HYPERLINK("#",""), HYPERLINK(CONCATENATE("#Metadata!", ADDRESS(INDEX($X$2:$X$1001,MATCH(ROWS($V$2:V771),$V$2:$V$1001,0),0), INDEX($AC$1004:$AS$1004,1,MATCH(COLUMNS($AC$1006:AC1006),$AC$1006:$AS$1006,0)))),"Fix")))</f>
        <v>0</v>
      </c>
      <c r="C771" s="5">
        <f>IF(OR(INDEX($W$2:$W$1001,MATCH(ROWS($V$2:V771),$V$2:$V$1001,0),1)&gt;=100000,INDEX($AC$1005:$AS$1005,1,MATCH(COLUMNS($AC$1006:AD1006),$AC$1006:$AS$1006,0))&gt;=100000), " ",IF(INDEX($AC$2:$AS$1001,MATCH(ROWS($V$2:V771),$V$2:$V$1001,0),MATCH(COLUMNS($AC$1006:AD1006),$AC$1006:$AS$1006,0)), HYPERLINK("#",""), HYPERLINK(CONCATENATE("#Metadata!", ADDRESS(INDEX($X$2:$X$1001,MATCH(ROWS($V$2:V771),$V$2:$V$1001,0),0), INDEX($AC$1004:$AS$1004,1,MATCH(COLUMNS($AC$1006:AD1006),$AC$1006:$AS$1006,0)))),"Fix")))</f>
        <v>0</v>
      </c>
      <c r="D771" s="5">
        <f>IF(OR(INDEX($W$2:$W$1001,MATCH(ROWS($V$2:V771),$V$2:$V$1001,0),1)&gt;=100000,INDEX($AC$1005:$AS$1005,1,MATCH(COLUMNS($AC$1006:AE1006),$AC$1006:$AS$1006,0))&gt;=100000), " ",IF(INDEX($AC$2:$AS$1001,MATCH(ROWS($V$2:V771),$V$2:$V$1001,0),MATCH(COLUMNS($AC$1006:AE1006),$AC$1006:$AS$1006,0)), HYPERLINK("#",""), HYPERLINK(CONCATENATE("#Metadata!", ADDRESS(INDEX($X$2:$X$1001,MATCH(ROWS($V$2:V771),$V$2:$V$1001,0),0), INDEX($AC$1004:$AS$1004,1,MATCH(COLUMNS($AC$1006:AE1006),$AC$1006:$AS$1006,0)))),"Fix")))</f>
        <v>0</v>
      </c>
      <c r="E771" s="5">
        <f>IF(OR(INDEX($W$2:$W$1001,MATCH(ROWS($V$2:V771),$V$2:$V$1001,0),1)&gt;=100000,INDEX($AC$1005:$AS$1005,1,MATCH(COLUMNS($AC$1006:AF1006),$AC$1006:$AS$1006,0))&gt;=100000), " ",IF(INDEX($AC$2:$AS$1001,MATCH(ROWS($V$2:V771),$V$2:$V$1001,0),MATCH(COLUMNS($AC$1006:AF1006),$AC$1006:$AS$1006,0)), HYPERLINK("#",""), HYPERLINK(CONCATENATE("#Metadata!", ADDRESS(INDEX($X$2:$X$1001,MATCH(ROWS($V$2:V771),$V$2:$V$1001,0),0), INDEX($AC$1004:$AS$1004,1,MATCH(COLUMNS($AC$1006:AF1006),$AC$1006:$AS$1006,0)))),"Fix")))</f>
        <v>0</v>
      </c>
      <c r="F771" s="5">
        <f>IF(OR(INDEX($W$2:$W$1001,MATCH(ROWS($V$2:V771),$V$2:$V$1001,0),1)&gt;=100000,INDEX($AC$1005:$AS$1005,1,MATCH(COLUMNS($AC$1006:AG1006),$AC$1006:$AS$1006,0))&gt;=100000), " ",IF(INDEX($AC$2:$AS$1001,MATCH(ROWS($V$2:V771),$V$2:$V$1001,0),MATCH(COLUMNS($AC$1006:AG1006),$AC$1006:$AS$1006,0)), HYPERLINK("#",""), HYPERLINK(CONCATENATE("#Metadata!", ADDRESS(INDEX($X$2:$X$1001,MATCH(ROWS($V$2:V771),$V$2:$V$1001,0),0), INDEX($AC$1004:$AS$1004,1,MATCH(COLUMNS($AC$1006:AG1006),$AC$1006:$AS$1006,0)))),"Fix")))</f>
        <v>0</v>
      </c>
      <c r="G771" s="5">
        <f>IF(OR(INDEX($W$2:$W$1001,MATCH(ROWS($V$2:V771),$V$2:$V$1001,0),1)&gt;=100000,INDEX($AC$1005:$AS$1005,1,MATCH(COLUMNS($AC$1006:AH1006),$AC$1006:$AS$1006,0))&gt;=100000), " ",IF(INDEX($AC$2:$AS$1001,MATCH(ROWS($V$2:V771),$V$2:$V$1001,0),MATCH(COLUMNS($AC$1006:AH1006),$AC$1006:$AS$1006,0)), HYPERLINK("#",""), HYPERLINK(CONCATENATE("#Metadata!", ADDRESS(INDEX($X$2:$X$1001,MATCH(ROWS($V$2:V771),$V$2:$V$1001,0),0), INDEX($AC$1004:$AS$1004,1,MATCH(COLUMNS($AC$1006:AH1006),$AC$1006:$AS$1006,0)))),"Fix")))</f>
        <v>0</v>
      </c>
      <c r="H771" s="5">
        <f>IF(OR(INDEX($W$2:$W$1001,MATCH(ROWS($V$2:V771),$V$2:$V$1001,0),1)&gt;=100000,INDEX($AC$1005:$AS$1005,1,MATCH(COLUMNS($AC$1006:AI1006),$AC$1006:$AS$1006,0))&gt;=100000), " ",IF(INDEX($AC$2:$AS$1001,MATCH(ROWS($V$2:V771),$V$2:$V$1001,0),MATCH(COLUMNS($AC$1006:AI1006),$AC$1006:$AS$1006,0)), HYPERLINK("#",""), HYPERLINK(CONCATENATE("#Metadata!", ADDRESS(INDEX($X$2:$X$1001,MATCH(ROWS($V$2:V771),$V$2:$V$1001,0),0), INDEX($AC$1004:$AS$1004,1,MATCH(COLUMNS($AC$1006:AI1006),$AC$1006:$AS$1006,0)))),"Fix")))</f>
        <v>0</v>
      </c>
      <c r="I771" s="5">
        <f>IF(OR(INDEX($W$2:$W$1001,MATCH(ROWS($V$2:V771),$V$2:$V$1001,0),1)&gt;=100000,INDEX($AC$1005:$AS$1005,1,MATCH(COLUMNS($AC$1006:AJ1006),$AC$1006:$AS$1006,0))&gt;=100000), " ",IF(INDEX($AC$2:$AS$1001,MATCH(ROWS($V$2:V771),$V$2:$V$1001,0),MATCH(COLUMNS($AC$1006:AJ1006),$AC$1006:$AS$1006,0)), HYPERLINK("#",""), HYPERLINK(CONCATENATE("#Metadata!", ADDRESS(INDEX($X$2:$X$1001,MATCH(ROWS($V$2:V771),$V$2:$V$1001,0),0), INDEX($AC$1004:$AS$1004,1,MATCH(COLUMNS($AC$1006:AJ1006),$AC$1006:$AS$1006,0)))),"Fix")))</f>
        <v>0</v>
      </c>
      <c r="J771" s="5">
        <f>IF(OR(INDEX($W$2:$W$1001,MATCH(ROWS($V$2:V771),$V$2:$V$1001,0),1)&gt;=100000,INDEX($AC$1005:$AS$1005,1,MATCH(COLUMNS($AC$1006:AK1006),$AC$1006:$AS$1006,0))&gt;=100000), " ",IF(INDEX($AC$2:$AS$1001,MATCH(ROWS($V$2:V771),$V$2:$V$1001,0),MATCH(COLUMNS($AC$1006:AK1006),$AC$1006:$AS$1006,0)), HYPERLINK("#",""), HYPERLINK(CONCATENATE("#Metadata!", ADDRESS(INDEX($X$2:$X$1001,MATCH(ROWS($V$2:V771),$V$2:$V$1001,0),0), INDEX($AC$1004:$AS$1004,1,MATCH(COLUMNS($AC$1006:AK1006),$AC$1006:$AS$1006,0)))),"Fix")))</f>
        <v>0</v>
      </c>
      <c r="K771" s="5">
        <f>IF(OR(INDEX($W$2:$W$1001,MATCH(ROWS($V$2:V771),$V$2:$V$1001,0),1)&gt;=100000,INDEX($AC$1005:$AS$1005,1,MATCH(COLUMNS($AC$1006:AL1006),$AC$1006:$AS$1006,0))&gt;=100000), " ",IF(INDEX($AC$2:$AS$1001,MATCH(ROWS($V$2:V771),$V$2:$V$1001,0),MATCH(COLUMNS($AC$1006:AL1006),$AC$1006:$AS$1006,0)), HYPERLINK("#",""), HYPERLINK(CONCATENATE("#Metadata!", ADDRESS(INDEX($X$2:$X$1001,MATCH(ROWS($V$2:V771),$V$2:$V$1001,0),0), INDEX($AC$1004:$AS$1004,1,MATCH(COLUMNS($AC$1006:AL1006),$AC$1006:$AS$1006,0)))),"Fix")))</f>
        <v>0</v>
      </c>
      <c r="L771" s="5">
        <f>IF(OR(INDEX($W$2:$W$1001,MATCH(ROWS($V$2:V771),$V$2:$V$1001,0),1)&gt;=100000,INDEX($AC$1005:$AS$1005,1,MATCH(COLUMNS($AC$1006:AM1006),$AC$1006:$AS$1006,0))&gt;=100000), " ",IF(INDEX($AC$2:$AS$1001,MATCH(ROWS($V$2:V771),$V$2:$V$1001,0),MATCH(COLUMNS($AC$1006:AM1006),$AC$1006:$AS$1006,0)), HYPERLINK("#",""), HYPERLINK(CONCATENATE("#Metadata!", ADDRESS(INDEX($X$2:$X$1001,MATCH(ROWS($V$2:V771),$V$2:$V$1001,0),0), INDEX($AC$1004:$AS$1004,1,MATCH(COLUMNS($AC$1006:AM1006),$AC$1006:$AS$1006,0)))),"Fix")))</f>
        <v>0</v>
      </c>
      <c r="M771" s="5">
        <f>IF(OR(INDEX($W$2:$W$1001,MATCH(ROWS($V$2:V771),$V$2:$V$1001,0),1)&gt;=100000,INDEX($AC$1005:$AS$1005,1,MATCH(COLUMNS($AC$1006:AN1006),$AC$1006:$AS$1006,0))&gt;=100000), " ",IF(INDEX($AC$2:$AS$1001,MATCH(ROWS($V$2:V771),$V$2:$V$1001,0),MATCH(COLUMNS($AC$1006:AN1006),$AC$1006:$AS$1006,0)), HYPERLINK("#",""), HYPERLINK(CONCATENATE("#Metadata!", ADDRESS(INDEX($X$2:$X$1001,MATCH(ROWS($V$2:V771),$V$2:$V$1001,0),0), INDEX($AC$1004:$AS$1004,1,MATCH(COLUMNS($AC$1006:AN1006),$AC$1006:$AS$1006,0)))),"Fix")))</f>
        <v>0</v>
      </c>
      <c r="N771" s="5">
        <f>IF(OR(INDEX($W$2:$W$1001,MATCH(ROWS($V$2:V771),$V$2:$V$1001,0),1)&gt;=100000,INDEX($AC$1005:$AS$1005,1,MATCH(COLUMNS($AC$1006:AO1006),$AC$1006:$AS$1006,0))&gt;=100000), " ",IF(INDEX($AC$2:$AS$1001,MATCH(ROWS($V$2:V771),$V$2:$V$1001,0),MATCH(COLUMNS($AC$1006:AO1006),$AC$1006:$AS$1006,0)), HYPERLINK("#",""), HYPERLINK(CONCATENATE("#Metadata!", ADDRESS(INDEX($X$2:$X$1001,MATCH(ROWS($V$2:V771),$V$2:$V$1001,0),0), INDEX($AC$1004:$AS$1004,1,MATCH(COLUMNS($AC$1006:AO1006),$AC$1006:$AS$1006,0)))),"Fix")))</f>
        <v>0</v>
      </c>
      <c r="O771" s="5">
        <f>IF(OR(INDEX($W$2:$W$1001,MATCH(ROWS($V$2:V771),$V$2:$V$1001,0),1)&gt;=100000,INDEX($AC$1005:$AS$1005,1,MATCH(COLUMNS($AC$1006:AP1006),$AC$1006:$AS$1006,0))&gt;=100000), " ",IF(INDEX($AC$2:$AS$1001,MATCH(ROWS($V$2:V771),$V$2:$V$1001,0),MATCH(COLUMNS($AC$1006:AP1006),$AC$1006:$AS$1006,0)), HYPERLINK("#",""), HYPERLINK(CONCATENATE("#Metadata!", ADDRESS(INDEX($X$2:$X$1001,MATCH(ROWS($V$2:V771),$V$2:$V$1001,0),0), INDEX($AC$1004:$AS$1004,1,MATCH(COLUMNS($AC$1006:AP1006),$AC$1006:$AS$1006,0)))),"Fix")))</f>
        <v>0</v>
      </c>
      <c r="P771" s="5">
        <f>IF(OR(INDEX($W$2:$W$1001,MATCH(ROWS($V$2:V771),$V$2:$V$1001,0),1)&gt;=100000,INDEX($AC$1005:$AS$1005,1,MATCH(COLUMNS($AC$1006:AQ1006),$AC$1006:$AS$1006,0))&gt;=100000), " ",IF(INDEX($AC$2:$AS$1001,MATCH(ROWS($V$2:V771),$V$2:$V$1001,0),MATCH(COLUMNS($AC$1006:AQ1006),$AC$1006:$AS$1006,0)), HYPERLINK("#",""), HYPERLINK(CONCATENATE("#Metadata!", ADDRESS(INDEX($X$2:$X$1001,MATCH(ROWS($V$2:V771),$V$2:$V$1001,0),0), INDEX($AC$1004:$AS$1004,1,MATCH(COLUMNS($AC$1006:AQ1006),$AC$1006:$AS$1006,0)))),"Fix")))</f>
        <v>0</v>
      </c>
      <c r="Q771" s="5">
        <f>IF(OR(INDEX($W$2:$W$1001,MATCH(ROWS($V$2:V771),$V$2:$V$1001,0),1)&gt;=100000,INDEX($AC$1005:$AS$1005,1,MATCH(COLUMNS($AC$1006:AR1006),$AC$1006:$AS$1006,0))&gt;=100000), " ",IF(INDEX($AC$2:$AS$1001,MATCH(ROWS($V$2:V771),$V$2:$V$1001,0),MATCH(COLUMNS($AC$1006:AR1006),$AC$1006:$AS$1006,0)), HYPERLINK("#",""), HYPERLINK(CONCATENATE("#Metadata!", ADDRESS(INDEX($X$2:$X$1001,MATCH(ROWS($V$2:V771),$V$2:$V$1001,0),0), INDEX($AC$1004:$AS$1004,1,MATCH(COLUMNS($AC$1006:AR1006),$AC$1006:$AS$1006,0)))),"Fix")))</f>
        <v>0</v>
      </c>
      <c r="R771" s="5">
        <f>IF(OR(INDEX($W$2:$W$1001,MATCH(ROWS($V$2:V771),$V$2:$V$1001,0),1)&gt;=100000,INDEX($AC$1005:$AS$1005,1,MATCH(COLUMNS($AC$1006:AS1006),$AC$1006:$AS$1006,0))&gt;=100000), " ",IF(INDEX($AC$2:$AS$1001,MATCH(ROWS($V$2:V771),$V$2:$V$1001,0),MATCH(COLUMNS($AC$1006:AS1006),$AC$1006:$AS$1006,0)), HYPERLINK("#",""), HYPERLINK(CONCATENATE("#Metadata!", ADDRESS(INDEX($X$2:$X$1001,MATCH(ROWS($V$2:V771),$V$2:$V$1001,0),0), INDEX($AC$1004:$AS$1004,1,MATCH(COLUMNS($AC$1006:AS1006),$AC$1006:$AS$1006,0)))),"Fix")))</f>
        <v>0</v>
      </c>
      <c r="V771">
        <v>0</v>
      </c>
      <c r="W771">
        <v>0</v>
      </c>
      <c r="X771">
        <v>0</v>
      </c>
      <c r="Y771">
        <f>IF(Z771,TRUE,AND(AC771:AS771))</f>
        <v>0</v>
      </c>
      <c r="Z771">
        <f>COUNTBLANK(Metadata!B771:R771)=COLUMNS(Metadata!B771:R771)</f>
        <v>0</v>
      </c>
      <c r="AA771">
        <v>0</v>
      </c>
      <c r="AC771">
        <f>AND(IF(Metadata!B771="",FALSE,TRUE),COUNTIF(Metadata!B:B, Metadata!B771) = 1,NOT(ISERROR(SUMPRODUCT(SEARCH(MID(Metadata!B771,ROW(INDIRECT("1:"&amp;LEN(Metadata!B771))), 1),"0123456789abcdefghijklmnopqrstuvwxyzABCDEFGHIJKLMNOPQRSTUVWXYZ.")))))</f>
        <v>0</v>
      </c>
      <c r="AD771">
        <f>AND(IF(Metadata!C771="",FALSE,TRUE),exact(Metadata!C771,"Host-associated"))</f>
        <v>0</v>
      </c>
      <c r="AE771">
        <f>AND(IF(Metadata!D771="",FALSE,TRUE),OR(exact(Metadata!D771,"Animal"),exact(Metadata!D771,"Fungus"),exact(Metadata!D771,"Plant")))</f>
        <v>0</v>
      </c>
      <c r="AF771">
        <f>AND(IF(Metadata!E771="",FALSE,TRUE),OR(exact(Metadata!E771,"Plant secretion"),exact(Metadata!E771,"Plant rhizosphere"),exact(Metadata!E771,"Plant surface"),exact(Metadata!E771,"Plant corpus"),exact(Metadata!E771,"Fungus surface"),exact(Metadata!E771,"Fungus corpus"),exact(Metadata!E771,"Animal surface"),exact(Metadata!E771,"Animal proximal gut"),exact(Metadata!E771,"Animal corpus"),exact(Metadata!E771,"Animal distal gut"),exact(Metadata!E771,"Animal secretion")))</f>
        <v>0</v>
      </c>
      <c r="AG771">
        <f>OR(AND(IF(Metadata!F771="",FALSE,TRUE),OR(exact(Metadata!F771,"not collected"),exact(Metadata!F771,"not provided"),exact(Metadata!F771,"restricted access"))),AND(IF(Metadata!F771="",FALSE,TRUE),OR(exact(Metadata!F771,"organism-associated habitat"),exact(Metadata!F771,"plant-associated habitat"),exact(Metadata!F771,"animal-associated habitat"),exact(Metadata!F771,"insecta-associated habitat"),exact(Metadata!F771,"mammalia-associated habitat"),exact(Metadata!F771,"human-associated habitat"),exact(Metadata!F771,"livestock-associated habitat"))))</f>
        <v>0</v>
      </c>
      <c r="AH771">
        <f>AND(IF(Metadata!G771="",FALSE,TRUE),exact(Metadata!G771,"host-associated"))</f>
        <v>0</v>
      </c>
      <c r="AI771">
        <f>OR(AND(IF(Metadata!H771="",FALSE,TRUE),OR(exact(Metadata!H771,"not collected"),exact(Metadata!H771,"not provided"))),AND(IF(Metadata!H771="",FALSE,ISNUMBER(VALUE(Metadata!H771))),Metadata!H771&gt;0))</f>
        <v>0</v>
      </c>
      <c r="AJ771">
        <f>AND(IF(Metadata!I771="",FALSE,TRUE),exact(Metadata!I771,"years"))</f>
        <v>0</v>
      </c>
      <c r="AK771">
        <f>IF(Metadata!J771="",FALSE,TRUE)</f>
        <v>0</v>
      </c>
      <c r="AL771">
        <f>OR(AND(IF(Metadata!K771="",FALSE,TRUE),OR(exact(Metadata!K771,"not collected"),exact(Metadata!K771,"not provided"))),AND(IF(Metadata!K771="",FALSE,ISNUMBER(VALUE(Metadata!K771))),Metadata!K771&gt;0))</f>
        <v>0</v>
      </c>
      <c r="AM771">
        <f>AND(IF(Metadata!L771="",FALSE,TRUE),exact(Metadata!L771,"cm"))</f>
        <v>0</v>
      </c>
      <c r="AN771">
        <f>IF(Metadata!M771="",FALSE,TRUE)</f>
        <v>0</v>
      </c>
      <c r="AO771">
        <f>OR(AND(IF(Metadata!N771="",FALSE,TRUE),OR(exact(Metadata!N771,"not applicable"),exact(Metadata!N771,"not collected"),exact(Metadata!N771,"not provided"))),AND(IF(Metadata!N771="",FALSE,IF(ISERROR(INT(Metadata!N771)),FALSE,INT(Metadata!N771)=Metadata!N771)),Metadata!N771&gt;0))</f>
        <v>0</v>
      </c>
      <c r="AP771">
        <f>OR(AND(IF(Metadata!O771="",FALSE,TRUE),OR(exact(Metadata!O771,"not collected"),exact(Metadata!O771,"not provided"))),AND(IF(Metadata!O771="",FALSE,ISNUMBER(VALUE(Metadata!O771))),Metadata!O771&gt;0))</f>
        <v>0</v>
      </c>
      <c r="AQ771">
        <f>AND(IF(Metadata!P771="",FALSE,TRUE),exact(Metadata!P771,"kg"))</f>
        <v>0</v>
      </c>
      <c r="AR771">
        <f>OR(AND(IF(Metadata!Q771="",FALSE,TRUE),OR(exact(Metadata!Q771,"not applicable"),exact(Metadata!Q771,"not collected"),exact(Metadata!Q771,"not provided"),exact(Metadata!Q771,"restricted access"))),IF(Metadata!Q771="",FALSE,IF(ISERROR(INT(Metadata!Q771)),FALSE,INT(Metadata!Q771)=Metadata!Q771)))</f>
        <v>0</v>
      </c>
      <c r="AS771">
        <f>AND(IF(Metadata!R771="",FALSE,TRUE),exact(Metadata!R771,"Not applicable"))</f>
        <v>0</v>
      </c>
    </row>
    <row r="772" spans="1:45">
      <c r="A772" s="4">
        <f>IF(B772=" "," ",HYPERLINK(CONCATENATE("#metadata!",ADDRESS(INDEX($X$2:$X$1001,MATCH(ROWS($V$2:V772),$V$2:$V$1001,0),0),2)),INDEX($AA$2:$AA$1001,MATCH(ROWS($V$2:V772),$V$2:$V$1001,0),0)))</f>
        <v>0</v>
      </c>
      <c r="B772" s="5">
        <f>IF(OR(INDEX($W$2:$W$1001,MATCH(ROWS($V$2:V772),$V$2:$V$1001,0),1)&gt;=100000,INDEX($AC$1005:$AS$1005,1,MATCH(COLUMNS($AC$1006:AC1006),$AC$1006:$AS$1006,0))&gt;=100000), " ",IF(INDEX($AC$2:$AS$1001,MATCH(ROWS($V$2:V772),$V$2:$V$1001,0),MATCH(COLUMNS($AC$1006:AC1006),$AC$1006:$AS$1006,0)), HYPERLINK("#",""), HYPERLINK(CONCATENATE("#Metadata!", ADDRESS(INDEX($X$2:$X$1001,MATCH(ROWS($V$2:V772),$V$2:$V$1001,0),0), INDEX($AC$1004:$AS$1004,1,MATCH(COLUMNS($AC$1006:AC1006),$AC$1006:$AS$1006,0)))),"Fix")))</f>
        <v>0</v>
      </c>
      <c r="C772" s="5">
        <f>IF(OR(INDEX($W$2:$W$1001,MATCH(ROWS($V$2:V772),$V$2:$V$1001,0),1)&gt;=100000,INDEX($AC$1005:$AS$1005,1,MATCH(COLUMNS($AC$1006:AD1006),$AC$1006:$AS$1006,0))&gt;=100000), " ",IF(INDEX($AC$2:$AS$1001,MATCH(ROWS($V$2:V772),$V$2:$V$1001,0),MATCH(COLUMNS($AC$1006:AD1006),$AC$1006:$AS$1006,0)), HYPERLINK("#",""), HYPERLINK(CONCATENATE("#Metadata!", ADDRESS(INDEX($X$2:$X$1001,MATCH(ROWS($V$2:V772),$V$2:$V$1001,0),0), INDEX($AC$1004:$AS$1004,1,MATCH(COLUMNS($AC$1006:AD1006),$AC$1006:$AS$1006,0)))),"Fix")))</f>
        <v>0</v>
      </c>
      <c r="D772" s="5">
        <f>IF(OR(INDEX($W$2:$W$1001,MATCH(ROWS($V$2:V772),$V$2:$V$1001,0),1)&gt;=100000,INDEX($AC$1005:$AS$1005,1,MATCH(COLUMNS($AC$1006:AE1006),$AC$1006:$AS$1006,0))&gt;=100000), " ",IF(INDEX($AC$2:$AS$1001,MATCH(ROWS($V$2:V772),$V$2:$V$1001,0),MATCH(COLUMNS($AC$1006:AE1006),$AC$1006:$AS$1006,0)), HYPERLINK("#",""), HYPERLINK(CONCATENATE("#Metadata!", ADDRESS(INDEX($X$2:$X$1001,MATCH(ROWS($V$2:V772),$V$2:$V$1001,0),0), INDEX($AC$1004:$AS$1004,1,MATCH(COLUMNS($AC$1006:AE1006),$AC$1006:$AS$1006,0)))),"Fix")))</f>
        <v>0</v>
      </c>
      <c r="E772" s="5">
        <f>IF(OR(INDEX($W$2:$W$1001,MATCH(ROWS($V$2:V772),$V$2:$V$1001,0),1)&gt;=100000,INDEX($AC$1005:$AS$1005,1,MATCH(COLUMNS($AC$1006:AF1006),$AC$1006:$AS$1006,0))&gt;=100000), " ",IF(INDEX($AC$2:$AS$1001,MATCH(ROWS($V$2:V772),$V$2:$V$1001,0),MATCH(COLUMNS($AC$1006:AF1006),$AC$1006:$AS$1006,0)), HYPERLINK("#",""), HYPERLINK(CONCATENATE("#Metadata!", ADDRESS(INDEX($X$2:$X$1001,MATCH(ROWS($V$2:V772),$V$2:$V$1001,0),0), INDEX($AC$1004:$AS$1004,1,MATCH(COLUMNS($AC$1006:AF1006),$AC$1006:$AS$1006,0)))),"Fix")))</f>
        <v>0</v>
      </c>
      <c r="F772" s="5">
        <f>IF(OR(INDEX($W$2:$W$1001,MATCH(ROWS($V$2:V772),$V$2:$V$1001,0),1)&gt;=100000,INDEX($AC$1005:$AS$1005,1,MATCH(COLUMNS($AC$1006:AG1006),$AC$1006:$AS$1006,0))&gt;=100000), " ",IF(INDEX($AC$2:$AS$1001,MATCH(ROWS($V$2:V772),$V$2:$V$1001,0),MATCH(COLUMNS($AC$1006:AG1006),$AC$1006:$AS$1006,0)), HYPERLINK("#",""), HYPERLINK(CONCATENATE("#Metadata!", ADDRESS(INDEX($X$2:$X$1001,MATCH(ROWS($V$2:V772),$V$2:$V$1001,0),0), INDEX($AC$1004:$AS$1004,1,MATCH(COLUMNS($AC$1006:AG1006),$AC$1006:$AS$1006,0)))),"Fix")))</f>
        <v>0</v>
      </c>
      <c r="G772" s="5">
        <f>IF(OR(INDEX($W$2:$W$1001,MATCH(ROWS($V$2:V772),$V$2:$V$1001,0),1)&gt;=100000,INDEX($AC$1005:$AS$1005,1,MATCH(COLUMNS($AC$1006:AH1006),$AC$1006:$AS$1006,0))&gt;=100000), " ",IF(INDEX($AC$2:$AS$1001,MATCH(ROWS($V$2:V772),$V$2:$V$1001,0),MATCH(COLUMNS($AC$1006:AH1006),$AC$1006:$AS$1006,0)), HYPERLINK("#",""), HYPERLINK(CONCATENATE("#Metadata!", ADDRESS(INDEX($X$2:$X$1001,MATCH(ROWS($V$2:V772),$V$2:$V$1001,0),0), INDEX($AC$1004:$AS$1004,1,MATCH(COLUMNS($AC$1006:AH1006),$AC$1006:$AS$1006,0)))),"Fix")))</f>
        <v>0</v>
      </c>
      <c r="H772" s="5">
        <f>IF(OR(INDEX($W$2:$W$1001,MATCH(ROWS($V$2:V772),$V$2:$V$1001,0),1)&gt;=100000,INDEX($AC$1005:$AS$1005,1,MATCH(COLUMNS($AC$1006:AI1006),$AC$1006:$AS$1006,0))&gt;=100000), " ",IF(INDEX($AC$2:$AS$1001,MATCH(ROWS($V$2:V772),$V$2:$V$1001,0),MATCH(COLUMNS($AC$1006:AI1006),$AC$1006:$AS$1006,0)), HYPERLINK("#",""), HYPERLINK(CONCATENATE("#Metadata!", ADDRESS(INDEX($X$2:$X$1001,MATCH(ROWS($V$2:V772),$V$2:$V$1001,0),0), INDEX($AC$1004:$AS$1004,1,MATCH(COLUMNS($AC$1006:AI1006),$AC$1006:$AS$1006,0)))),"Fix")))</f>
        <v>0</v>
      </c>
      <c r="I772" s="5">
        <f>IF(OR(INDEX($W$2:$W$1001,MATCH(ROWS($V$2:V772),$V$2:$V$1001,0),1)&gt;=100000,INDEX($AC$1005:$AS$1005,1,MATCH(COLUMNS($AC$1006:AJ1006),$AC$1006:$AS$1006,0))&gt;=100000), " ",IF(INDEX($AC$2:$AS$1001,MATCH(ROWS($V$2:V772),$V$2:$V$1001,0),MATCH(COLUMNS($AC$1006:AJ1006),$AC$1006:$AS$1006,0)), HYPERLINK("#",""), HYPERLINK(CONCATENATE("#Metadata!", ADDRESS(INDEX($X$2:$X$1001,MATCH(ROWS($V$2:V772),$V$2:$V$1001,0),0), INDEX($AC$1004:$AS$1004,1,MATCH(COLUMNS($AC$1006:AJ1006),$AC$1006:$AS$1006,0)))),"Fix")))</f>
        <v>0</v>
      </c>
      <c r="J772" s="5">
        <f>IF(OR(INDEX($W$2:$W$1001,MATCH(ROWS($V$2:V772),$V$2:$V$1001,0),1)&gt;=100000,INDEX($AC$1005:$AS$1005,1,MATCH(COLUMNS($AC$1006:AK1006),$AC$1006:$AS$1006,0))&gt;=100000), " ",IF(INDEX($AC$2:$AS$1001,MATCH(ROWS($V$2:V772),$V$2:$V$1001,0),MATCH(COLUMNS($AC$1006:AK1006),$AC$1006:$AS$1006,0)), HYPERLINK("#",""), HYPERLINK(CONCATENATE("#Metadata!", ADDRESS(INDEX($X$2:$X$1001,MATCH(ROWS($V$2:V772),$V$2:$V$1001,0),0), INDEX($AC$1004:$AS$1004,1,MATCH(COLUMNS($AC$1006:AK1006),$AC$1006:$AS$1006,0)))),"Fix")))</f>
        <v>0</v>
      </c>
      <c r="K772" s="5">
        <f>IF(OR(INDEX($W$2:$W$1001,MATCH(ROWS($V$2:V772),$V$2:$V$1001,0),1)&gt;=100000,INDEX($AC$1005:$AS$1005,1,MATCH(COLUMNS($AC$1006:AL1006),$AC$1006:$AS$1006,0))&gt;=100000), " ",IF(INDEX($AC$2:$AS$1001,MATCH(ROWS($V$2:V772),$V$2:$V$1001,0),MATCH(COLUMNS($AC$1006:AL1006),$AC$1006:$AS$1006,0)), HYPERLINK("#",""), HYPERLINK(CONCATENATE("#Metadata!", ADDRESS(INDEX($X$2:$X$1001,MATCH(ROWS($V$2:V772),$V$2:$V$1001,0),0), INDEX($AC$1004:$AS$1004,1,MATCH(COLUMNS($AC$1006:AL1006),$AC$1006:$AS$1006,0)))),"Fix")))</f>
        <v>0</v>
      </c>
      <c r="L772" s="5">
        <f>IF(OR(INDEX($W$2:$W$1001,MATCH(ROWS($V$2:V772),$V$2:$V$1001,0),1)&gt;=100000,INDEX($AC$1005:$AS$1005,1,MATCH(COLUMNS($AC$1006:AM1006),$AC$1006:$AS$1006,0))&gt;=100000), " ",IF(INDEX($AC$2:$AS$1001,MATCH(ROWS($V$2:V772),$V$2:$V$1001,0),MATCH(COLUMNS($AC$1006:AM1006),$AC$1006:$AS$1006,0)), HYPERLINK("#",""), HYPERLINK(CONCATENATE("#Metadata!", ADDRESS(INDEX($X$2:$X$1001,MATCH(ROWS($V$2:V772),$V$2:$V$1001,0),0), INDEX($AC$1004:$AS$1004,1,MATCH(COLUMNS($AC$1006:AM1006),$AC$1006:$AS$1006,0)))),"Fix")))</f>
        <v>0</v>
      </c>
      <c r="M772" s="5">
        <f>IF(OR(INDEX($W$2:$W$1001,MATCH(ROWS($V$2:V772),$V$2:$V$1001,0),1)&gt;=100000,INDEX($AC$1005:$AS$1005,1,MATCH(COLUMNS($AC$1006:AN1006),$AC$1006:$AS$1006,0))&gt;=100000), " ",IF(INDEX($AC$2:$AS$1001,MATCH(ROWS($V$2:V772),$V$2:$V$1001,0),MATCH(COLUMNS($AC$1006:AN1006),$AC$1006:$AS$1006,0)), HYPERLINK("#",""), HYPERLINK(CONCATENATE("#Metadata!", ADDRESS(INDEX($X$2:$X$1001,MATCH(ROWS($V$2:V772),$V$2:$V$1001,0),0), INDEX($AC$1004:$AS$1004,1,MATCH(COLUMNS($AC$1006:AN1006),$AC$1006:$AS$1006,0)))),"Fix")))</f>
        <v>0</v>
      </c>
      <c r="N772" s="5">
        <f>IF(OR(INDEX($W$2:$W$1001,MATCH(ROWS($V$2:V772),$V$2:$V$1001,0),1)&gt;=100000,INDEX($AC$1005:$AS$1005,1,MATCH(COLUMNS($AC$1006:AO1006),$AC$1006:$AS$1006,0))&gt;=100000), " ",IF(INDEX($AC$2:$AS$1001,MATCH(ROWS($V$2:V772),$V$2:$V$1001,0),MATCH(COLUMNS($AC$1006:AO1006),$AC$1006:$AS$1006,0)), HYPERLINK("#",""), HYPERLINK(CONCATENATE("#Metadata!", ADDRESS(INDEX($X$2:$X$1001,MATCH(ROWS($V$2:V772),$V$2:$V$1001,0),0), INDEX($AC$1004:$AS$1004,1,MATCH(COLUMNS($AC$1006:AO1006),$AC$1006:$AS$1006,0)))),"Fix")))</f>
        <v>0</v>
      </c>
      <c r="O772" s="5">
        <f>IF(OR(INDEX($W$2:$W$1001,MATCH(ROWS($V$2:V772),$V$2:$V$1001,0),1)&gt;=100000,INDEX($AC$1005:$AS$1005,1,MATCH(COLUMNS($AC$1006:AP1006),$AC$1006:$AS$1006,0))&gt;=100000), " ",IF(INDEX($AC$2:$AS$1001,MATCH(ROWS($V$2:V772),$V$2:$V$1001,0),MATCH(COLUMNS($AC$1006:AP1006),$AC$1006:$AS$1006,0)), HYPERLINK("#",""), HYPERLINK(CONCATENATE("#Metadata!", ADDRESS(INDEX($X$2:$X$1001,MATCH(ROWS($V$2:V772),$V$2:$V$1001,0),0), INDEX($AC$1004:$AS$1004,1,MATCH(COLUMNS($AC$1006:AP1006),$AC$1006:$AS$1006,0)))),"Fix")))</f>
        <v>0</v>
      </c>
      <c r="P772" s="5">
        <f>IF(OR(INDEX($W$2:$W$1001,MATCH(ROWS($V$2:V772),$V$2:$V$1001,0),1)&gt;=100000,INDEX($AC$1005:$AS$1005,1,MATCH(COLUMNS($AC$1006:AQ1006),$AC$1006:$AS$1006,0))&gt;=100000), " ",IF(INDEX($AC$2:$AS$1001,MATCH(ROWS($V$2:V772),$V$2:$V$1001,0),MATCH(COLUMNS($AC$1006:AQ1006),$AC$1006:$AS$1006,0)), HYPERLINK("#",""), HYPERLINK(CONCATENATE("#Metadata!", ADDRESS(INDEX($X$2:$X$1001,MATCH(ROWS($V$2:V772),$V$2:$V$1001,0),0), INDEX($AC$1004:$AS$1004,1,MATCH(COLUMNS($AC$1006:AQ1006),$AC$1006:$AS$1006,0)))),"Fix")))</f>
        <v>0</v>
      </c>
      <c r="Q772" s="5">
        <f>IF(OR(INDEX($W$2:$W$1001,MATCH(ROWS($V$2:V772),$V$2:$V$1001,0),1)&gt;=100000,INDEX($AC$1005:$AS$1005,1,MATCH(COLUMNS($AC$1006:AR1006),$AC$1006:$AS$1006,0))&gt;=100000), " ",IF(INDEX($AC$2:$AS$1001,MATCH(ROWS($V$2:V772),$V$2:$V$1001,0),MATCH(COLUMNS($AC$1006:AR1006),$AC$1006:$AS$1006,0)), HYPERLINK("#",""), HYPERLINK(CONCATENATE("#Metadata!", ADDRESS(INDEX($X$2:$X$1001,MATCH(ROWS($V$2:V772),$V$2:$V$1001,0),0), INDEX($AC$1004:$AS$1004,1,MATCH(COLUMNS($AC$1006:AR1006),$AC$1006:$AS$1006,0)))),"Fix")))</f>
        <v>0</v>
      </c>
      <c r="R772" s="5">
        <f>IF(OR(INDEX($W$2:$W$1001,MATCH(ROWS($V$2:V772),$V$2:$V$1001,0),1)&gt;=100000,INDEX($AC$1005:$AS$1005,1,MATCH(COLUMNS($AC$1006:AS1006),$AC$1006:$AS$1006,0))&gt;=100000), " ",IF(INDEX($AC$2:$AS$1001,MATCH(ROWS($V$2:V772),$V$2:$V$1001,0),MATCH(COLUMNS($AC$1006:AS1006),$AC$1006:$AS$1006,0)), HYPERLINK("#",""), HYPERLINK(CONCATENATE("#Metadata!", ADDRESS(INDEX($X$2:$X$1001,MATCH(ROWS($V$2:V772),$V$2:$V$1001,0),0), INDEX($AC$1004:$AS$1004,1,MATCH(COLUMNS($AC$1006:AS1006),$AC$1006:$AS$1006,0)))),"Fix")))</f>
        <v>0</v>
      </c>
      <c r="V772">
        <v>0</v>
      </c>
      <c r="W772">
        <v>0</v>
      </c>
      <c r="X772">
        <v>0</v>
      </c>
      <c r="Y772">
        <f>IF(Z772,TRUE,AND(AC772:AS772))</f>
        <v>0</v>
      </c>
      <c r="Z772">
        <f>COUNTBLANK(Metadata!B772:R772)=COLUMNS(Metadata!B772:R772)</f>
        <v>0</v>
      </c>
      <c r="AA772">
        <v>0</v>
      </c>
      <c r="AC772">
        <f>AND(IF(Metadata!B772="",FALSE,TRUE),COUNTIF(Metadata!B:B, Metadata!B772) = 1,NOT(ISERROR(SUMPRODUCT(SEARCH(MID(Metadata!B772,ROW(INDIRECT("1:"&amp;LEN(Metadata!B772))), 1),"0123456789abcdefghijklmnopqrstuvwxyzABCDEFGHIJKLMNOPQRSTUVWXYZ.")))))</f>
        <v>0</v>
      </c>
      <c r="AD772">
        <f>AND(IF(Metadata!C772="",FALSE,TRUE),exact(Metadata!C772,"Host-associated"))</f>
        <v>0</v>
      </c>
      <c r="AE772">
        <f>AND(IF(Metadata!D772="",FALSE,TRUE),OR(exact(Metadata!D772,"Animal"),exact(Metadata!D772,"Fungus"),exact(Metadata!D772,"Plant")))</f>
        <v>0</v>
      </c>
      <c r="AF772">
        <f>AND(IF(Metadata!E772="",FALSE,TRUE),OR(exact(Metadata!E772,"Plant secretion"),exact(Metadata!E772,"Plant rhizosphere"),exact(Metadata!E772,"Plant surface"),exact(Metadata!E772,"Plant corpus"),exact(Metadata!E772,"Fungus surface"),exact(Metadata!E772,"Fungus corpus"),exact(Metadata!E772,"Animal surface"),exact(Metadata!E772,"Animal proximal gut"),exact(Metadata!E772,"Animal corpus"),exact(Metadata!E772,"Animal distal gut"),exact(Metadata!E772,"Animal secretion")))</f>
        <v>0</v>
      </c>
      <c r="AG772">
        <f>OR(AND(IF(Metadata!F772="",FALSE,TRUE),OR(exact(Metadata!F772,"not collected"),exact(Metadata!F772,"not provided"),exact(Metadata!F772,"restricted access"))),AND(IF(Metadata!F772="",FALSE,TRUE),OR(exact(Metadata!F772,"organism-associated habitat"),exact(Metadata!F772,"plant-associated habitat"),exact(Metadata!F772,"animal-associated habitat"),exact(Metadata!F772,"insecta-associated habitat"),exact(Metadata!F772,"mammalia-associated habitat"),exact(Metadata!F772,"human-associated habitat"),exact(Metadata!F772,"livestock-associated habitat"))))</f>
        <v>0</v>
      </c>
      <c r="AH772">
        <f>AND(IF(Metadata!G772="",FALSE,TRUE),exact(Metadata!G772,"host-associated"))</f>
        <v>0</v>
      </c>
      <c r="AI772">
        <f>OR(AND(IF(Metadata!H772="",FALSE,TRUE),OR(exact(Metadata!H772,"not collected"),exact(Metadata!H772,"not provided"))),AND(IF(Metadata!H772="",FALSE,ISNUMBER(VALUE(Metadata!H772))),Metadata!H772&gt;0))</f>
        <v>0</v>
      </c>
      <c r="AJ772">
        <f>AND(IF(Metadata!I772="",FALSE,TRUE),exact(Metadata!I772,"years"))</f>
        <v>0</v>
      </c>
      <c r="AK772">
        <f>IF(Metadata!J772="",FALSE,TRUE)</f>
        <v>0</v>
      </c>
      <c r="AL772">
        <f>OR(AND(IF(Metadata!K772="",FALSE,TRUE),OR(exact(Metadata!K772,"not collected"),exact(Metadata!K772,"not provided"))),AND(IF(Metadata!K772="",FALSE,ISNUMBER(VALUE(Metadata!K772))),Metadata!K772&gt;0))</f>
        <v>0</v>
      </c>
      <c r="AM772">
        <f>AND(IF(Metadata!L772="",FALSE,TRUE),exact(Metadata!L772,"cm"))</f>
        <v>0</v>
      </c>
      <c r="AN772">
        <f>IF(Metadata!M772="",FALSE,TRUE)</f>
        <v>0</v>
      </c>
      <c r="AO772">
        <f>OR(AND(IF(Metadata!N772="",FALSE,TRUE),OR(exact(Metadata!N772,"not applicable"),exact(Metadata!N772,"not collected"),exact(Metadata!N772,"not provided"))),AND(IF(Metadata!N772="",FALSE,IF(ISERROR(INT(Metadata!N772)),FALSE,INT(Metadata!N772)=Metadata!N772)),Metadata!N772&gt;0))</f>
        <v>0</v>
      </c>
      <c r="AP772">
        <f>OR(AND(IF(Metadata!O772="",FALSE,TRUE),OR(exact(Metadata!O772,"not collected"),exact(Metadata!O772,"not provided"))),AND(IF(Metadata!O772="",FALSE,ISNUMBER(VALUE(Metadata!O772))),Metadata!O772&gt;0))</f>
        <v>0</v>
      </c>
      <c r="AQ772">
        <f>AND(IF(Metadata!P772="",FALSE,TRUE),exact(Metadata!P772,"kg"))</f>
        <v>0</v>
      </c>
      <c r="AR772">
        <f>OR(AND(IF(Metadata!Q772="",FALSE,TRUE),OR(exact(Metadata!Q772,"not applicable"),exact(Metadata!Q772,"not collected"),exact(Metadata!Q772,"not provided"),exact(Metadata!Q772,"restricted access"))),IF(Metadata!Q772="",FALSE,IF(ISERROR(INT(Metadata!Q772)),FALSE,INT(Metadata!Q772)=Metadata!Q772)))</f>
        <v>0</v>
      </c>
      <c r="AS772">
        <f>AND(IF(Metadata!R772="",FALSE,TRUE),exact(Metadata!R772,"Not applicable"))</f>
        <v>0</v>
      </c>
    </row>
    <row r="773" spans="1:45">
      <c r="A773" s="4">
        <f>IF(B773=" "," ",HYPERLINK(CONCATENATE("#metadata!",ADDRESS(INDEX($X$2:$X$1001,MATCH(ROWS($V$2:V773),$V$2:$V$1001,0),0),2)),INDEX($AA$2:$AA$1001,MATCH(ROWS($V$2:V773),$V$2:$V$1001,0),0)))</f>
        <v>0</v>
      </c>
      <c r="B773" s="5">
        <f>IF(OR(INDEX($W$2:$W$1001,MATCH(ROWS($V$2:V773),$V$2:$V$1001,0),1)&gt;=100000,INDEX($AC$1005:$AS$1005,1,MATCH(COLUMNS($AC$1006:AC1006),$AC$1006:$AS$1006,0))&gt;=100000), " ",IF(INDEX($AC$2:$AS$1001,MATCH(ROWS($V$2:V773),$V$2:$V$1001,0),MATCH(COLUMNS($AC$1006:AC1006),$AC$1006:$AS$1006,0)), HYPERLINK("#",""), HYPERLINK(CONCATENATE("#Metadata!", ADDRESS(INDEX($X$2:$X$1001,MATCH(ROWS($V$2:V773),$V$2:$V$1001,0),0), INDEX($AC$1004:$AS$1004,1,MATCH(COLUMNS($AC$1006:AC1006),$AC$1006:$AS$1006,0)))),"Fix")))</f>
        <v>0</v>
      </c>
      <c r="C773" s="5">
        <f>IF(OR(INDEX($W$2:$W$1001,MATCH(ROWS($V$2:V773),$V$2:$V$1001,0),1)&gt;=100000,INDEX($AC$1005:$AS$1005,1,MATCH(COLUMNS($AC$1006:AD1006),$AC$1006:$AS$1006,0))&gt;=100000), " ",IF(INDEX($AC$2:$AS$1001,MATCH(ROWS($V$2:V773),$V$2:$V$1001,0),MATCH(COLUMNS($AC$1006:AD1006),$AC$1006:$AS$1006,0)), HYPERLINK("#",""), HYPERLINK(CONCATENATE("#Metadata!", ADDRESS(INDEX($X$2:$X$1001,MATCH(ROWS($V$2:V773),$V$2:$V$1001,0),0), INDEX($AC$1004:$AS$1004,1,MATCH(COLUMNS($AC$1006:AD1006),$AC$1006:$AS$1006,0)))),"Fix")))</f>
        <v>0</v>
      </c>
      <c r="D773" s="5">
        <f>IF(OR(INDEX($W$2:$W$1001,MATCH(ROWS($V$2:V773),$V$2:$V$1001,0),1)&gt;=100000,INDEX($AC$1005:$AS$1005,1,MATCH(COLUMNS($AC$1006:AE1006),$AC$1006:$AS$1006,0))&gt;=100000), " ",IF(INDEX($AC$2:$AS$1001,MATCH(ROWS($V$2:V773),$V$2:$V$1001,0),MATCH(COLUMNS($AC$1006:AE1006),$AC$1006:$AS$1006,0)), HYPERLINK("#",""), HYPERLINK(CONCATENATE("#Metadata!", ADDRESS(INDEX($X$2:$X$1001,MATCH(ROWS($V$2:V773),$V$2:$V$1001,0),0), INDEX($AC$1004:$AS$1004,1,MATCH(COLUMNS($AC$1006:AE1006),$AC$1006:$AS$1006,0)))),"Fix")))</f>
        <v>0</v>
      </c>
      <c r="E773" s="5">
        <f>IF(OR(INDEX($W$2:$W$1001,MATCH(ROWS($V$2:V773),$V$2:$V$1001,0),1)&gt;=100000,INDEX($AC$1005:$AS$1005,1,MATCH(COLUMNS($AC$1006:AF1006),$AC$1006:$AS$1006,0))&gt;=100000), " ",IF(INDEX($AC$2:$AS$1001,MATCH(ROWS($V$2:V773),$V$2:$V$1001,0),MATCH(COLUMNS($AC$1006:AF1006),$AC$1006:$AS$1006,0)), HYPERLINK("#",""), HYPERLINK(CONCATENATE("#Metadata!", ADDRESS(INDEX($X$2:$X$1001,MATCH(ROWS($V$2:V773),$V$2:$V$1001,0),0), INDEX($AC$1004:$AS$1004,1,MATCH(COLUMNS($AC$1006:AF1006),$AC$1006:$AS$1006,0)))),"Fix")))</f>
        <v>0</v>
      </c>
      <c r="F773" s="5">
        <f>IF(OR(INDEX($W$2:$W$1001,MATCH(ROWS($V$2:V773),$V$2:$V$1001,0),1)&gt;=100000,INDEX($AC$1005:$AS$1005,1,MATCH(COLUMNS($AC$1006:AG1006),$AC$1006:$AS$1006,0))&gt;=100000), " ",IF(INDEX($AC$2:$AS$1001,MATCH(ROWS($V$2:V773),$V$2:$V$1001,0),MATCH(COLUMNS($AC$1006:AG1006),$AC$1006:$AS$1006,0)), HYPERLINK("#",""), HYPERLINK(CONCATENATE("#Metadata!", ADDRESS(INDEX($X$2:$X$1001,MATCH(ROWS($V$2:V773),$V$2:$V$1001,0),0), INDEX($AC$1004:$AS$1004,1,MATCH(COLUMNS($AC$1006:AG1006),$AC$1006:$AS$1006,0)))),"Fix")))</f>
        <v>0</v>
      </c>
      <c r="G773" s="5">
        <f>IF(OR(INDEX($W$2:$W$1001,MATCH(ROWS($V$2:V773),$V$2:$V$1001,0),1)&gt;=100000,INDEX($AC$1005:$AS$1005,1,MATCH(COLUMNS($AC$1006:AH1006),$AC$1006:$AS$1006,0))&gt;=100000), " ",IF(INDEX($AC$2:$AS$1001,MATCH(ROWS($V$2:V773),$V$2:$V$1001,0),MATCH(COLUMNS($AC$1006:AH1006),$AC$1006:$AS$1006,0)), HYPERLINK("#",""), HYPERLINK(CONCATENATE("#Metadata!", ADDRESS(INDEX($X$2:$X$1001,MATCH(ROWS($V$2:V773),$V$2:$V$1001,0),0), INDEX($AC$1004:$AS$1004,1,MATCH(COLUMNS($AC$1006:AH1006),$AC$1006:$AS$1006,0)))),"Fix")))</f>
        <v>0</v>
      </c>
      <c r="H773" s="5">
        <f>IF(OR(INDEX($W$2:$W$1001,MATCH(ROWS($V$2:V773),$V$2:$V$1001,0),1)&gt;=100000,INDEX($AC$1005:$AS$1005,1,MATCH(COLUMNS($AC$1006:AI1006),$AC$1006:$AS$1006,0))&gt;=100000), " ",IF(INDEX($AC$2:$AS$1001,MATCH(ROWS($V$2:V773),$V$2:$V$1001,0),MATCH(COLUMNS($AC$1006:AI1006),$AC$1006:$AS$1006,0)), HYPERLINK("#",""), HYPERLINK(CONCATENATE("#Metadata!", ADDRESS(INDEX($X$2:$X$1001,MATCH(ROWS($V$2:V773),$V$2:$V$1001,0),0), INDEX($AC$1004:$AS$1004,1,MATCH(COLUMNS($AC$1006:AI1006),$AC$1006:$AS$1006,0)))),"Fix")))</f>
        <v>0</v>
      </c>
      <c r="I773" s="5">
        <f>IF(OR(INDEX($W$2:$W$1001,MATCH(ROWS($V$2:V773),$V$2:$V$1001,0),1)&gt;=100000,INDEX($AC$1005:$AS$1005,1,MATCH(COLUMNS($AC$1006:AJ1006),$AC$1006:$AS$1006,0))&gt;=100000), " ",IF(INDEX($AC$2:$AS$1001,MATCH(ROWS($V$2:V773),$V$2:$V$1001,0),MATCH(COLUMNS($AC$1006:AJ1006),$AC$1006:$AS$1006,0)), HYPERLINK("#",""), HYPERLINK(CONCATENATE("#Metadata!", ADDRESS(INDEX($X$2:$X$1001,MATCH(ROWS($V$2:V773),$V$2:$V$1001,0),0), INDEX($AC$1004:$AS$1004,1,MATCH(COLUMNS($AC$1006:AJ1006),$AC$1006:$AS$1006,0)))),"Fix")))</f>
        <v>0</v>
      </c>
      <c r="J773" s="5">
        <f>IF(OR(INDEX($W$2:$W$1001,MATCH(ROWS($V$2:V773),$V$2:$V$1001,0),1)&gt;=100000,INDEX($AC$1005:$AS$1005,1,MATCH(COLUMNS($AC$1006:AK1006),$AC$1006:$AS$1006,0))&gt;=100000), " ",IF(INDEX($AC$2:$AS$1001,MATCH(ROWS($V$2:V773),$V$2:$V$1001,0),MATCH(COLUMNS($AC$1006:AK1006),$AC$1006:$AS$1006,0)), HYPERLINK("#",""), HYPERLINK(CONCATENATE("#Metadata!", ADDRESS(INDEX($X$2:$X$1001,MATCH(ROWS($V$2:V773),$V$2:$V$1001,0),0), INDEX($AC$1004:$AS$1004,1,MATCH(COLUMNS($AC$1006:AK1006),$AC$1006:$AS$1006,0)))),"Fix")))</f>
        <v>0</v>
      </c>
      <c r="K773" s="5">
        <f>IF(OR(INDEX($W$2:$W$1001,MATCH(ROWS($V$2:V773),$V$2:$V$1001,0),1)&gt;=100000,INDEX($AC$1005:$AS$1005,1,MATCH(COLUMNS($AC$1006:AL1006),$AC$1006:$AS$1006,0))&gt;=100000), " ",IF(INDEX($AC$2:$AS$1001,MATCH(ROWS($V$2:V773),$V$2:$V$1001,0),MATCH(COLUMNS($AC$1006:AL1006),$AC$1006:$AS$1006,0)), HYPERLINK("#",""), HYPERLINK(CONCATENATE("#Metadata!", ADDRESS(INDEX($X$2:$X$1001,MATCH(ROWS($V$2:V773),$V$2:$V$1001,0),0), INDEX($AC$1004:$AS$1004,1,MATCH(COLUMNS($AC$1006:AL1006),$AC$1006:$AS$1006,0)))),"Fix")))</f>
        <v>0</v>
      </c>
      <c r="L773" s="5">
        <f>IF(OR(INDEX($W$2:$W$1001,MATCH(ROWS($V$2:V773),$V$2:$V$1001,0),1)&gt;=100000,INDEX($AC$1005:$AS$1005,1,MATCH(COLUMNS($AC$1006:AM1006),$AC$1006:$AS$1006,0))&gt;=100000), " ",IF(INDEX($AC$2:$AS$1001,MATCH(ROWS($V$2:V773),$V$2:$V$1001,0),MATCH(COLUMNS($AC$1006:AM1006),$AC$1006:$AS$1006,0)), HYPERLINK("#",""), HYPERLINK(CONCATENATE("#Metadata!", ADDRESS(INDEX($X$2:$X$1001,MATCH(ROWS($V$2:V773),$V$2:$V$1001,0),0), INDEX($AC$1004:$AS$1004,1,MATCH(COLUMNS($AC$1006:AM1006),$AC$1006:$AS$1006,0)))),"Fix")))</f>
        <v>0</v>
      </c>
      <c r="M773" s="5">
        <f>IF(OR(INDEX($W$2:$W$1001,MATCH(ROWS($V$2:V773),$V$2:$V$1001,0),1)&gt;=100000,INDEX($AC$1005:$AS$1005,1,MATCH(COLUMNS($AC$1006:AN1006),$AC$1006:$AS$1006,0))&gt;=100000), " ",IF(INDEX($AC$2:$AS$1001,MATCH(ROWS($V$2:V773),$V$2:$V$1001,0),MATCH(COLUMNS($AC$1006:AN1006),$AC$1006:$AS$1006,0)), HYPERLINK("#",""), HYPERLINK(CONCATENATE("#Metadata!", ADDRESS(INDEX($X$2:$X$1001,MATCH(ROWS($V$2:V773),$V$2:$V$1001,0),0), INDEX($AC$1004:$AS$1004,1,MATCH(COLUMNS($AC$1006:AN1006),$AC$1006:$AS$1006,0)))),"Fix")))</f>
        <v>0</v>
      </c>
      <c r="N773" s="5">
        <f>IF(OR(INDEX($W$2:$W$1001,MATCH(ROWS($V$2:V773),$V$2:$V$1001,0),1)&gt;=100000,INDEX($AC$1005:$AS$1005,1,MATCH(COLUMNS($AC$1006:AO1006),$AC$1006:$AS$1006,0))&gt;=100000), " ",IF(INDEX($AC$2:$AS$1001,MATCH(ROWS($V$2:V773),$V$2:$V$1001,0),MATCH(COLUMNS($AC$1006:AO1006),$AC$1006:$AS$1006,0)), HYPERLINK("#",""), HYPERLINK(CONCATENATE("#Metadata!", ADDRESS(INDEX($X$2:$X$1001,MATCH(ROWS($V$2:V773),$V$2:$V$1001,0),0), INDEX($AC$1004:$AS$1004,1,MATCH(COLUMNS($AC$1006:AO1006),$AC$1006:$AS$1006,0)))),"Fix")))</f>
        <v>0</v>
      </c>
      <c r="O773" s="5">
        <f>IF(OR(INDEX($W$2:$W$1001,MATCH(ROWS($V$2:V773),$V$2:$V$1001,0),1)&gt;=100000,INDEX($AC$1005:$AS$1005,1,MATCH(COLUMNS($AC$1006:AP1006),$AC$1006:$AS$1006,0))&gt;=100000), " ",IF(INDEX($AC$2:$AS$1001,MATCH(ROWS($V$2:V773),$V$2:$V$1001,0),MATCH(COLUMNS($AC$1006:AP1006),$AC$1006:$AS$1006,0)), HYPERLINK("#",""), HYPERLINK(CONCATENATE("#Metadata!", ADDRESS(INDEX($X$2:$X$1001,MATCH(ROWS($V$2:V773),$V$2:$V$1001,0),0), INDEX($AC$1004:$AS$1004,1,MATCH(COLUMNS($AC$1006:AP1006),$AC$1006:$AS$1006,0)))),"Fix")))</f>
        <v>0</v>
      </c>
      <c r="P773" s="5">
        <f>IF(OR(INDEX($W$2:$W$1001,MATCH(ROWS($V$2:V773),$V$2:$V$1001,0),1)&gt;=100000,INDEX($AC$1005:$AS$1005,1,MATCH(COLUMNS($AC$1006:AQ1006),$AC$1006:$AS$1006,0))&gt;=100000), " ",IF(INDEX($AC$2:$AS$1001,MATCH(ROWS($V$2:V773),$V$2:$V$1001,0),MATCH(COLUMNS($AC$1006:AQ1006),$AC$1006:$AS$1006,0)), HYPERLINK("#",""), HYPERLINK(CONCATENATE("#Metadata!", ADDRESS(INDEX($X$2:$X$1001,MATCH(ROWS($V$2:V773),$V$2:$V$1001,0),0), INDEX($AC$1004:$AS$1004,1,MATCH(COLUMNS($AC$1006:AQ1006),$AC$1006:$AS$1006,0)))),"Fix")))</f>
        <v>0</v>
      </c>
      <c r="Q773" s="5">
        <f>IF(OR(INDEX($W$2:$W$1001,MATCH(ROWS($V$2:V773),$V$2:$V$1001,0),1)&gt;=100000,INDEX($AC$1005:$AS$1005,1,MATCH(COLUMNS($AC$1006:AR1006),$AC$1006:$AS$1006,0))&gt;=100000), " ",IF(INDEX($AC$2:$AS$1001,MATCH(ROWS($V$2:V773),$V$2:$V$1001,0),MATCH(COLUMNS($AC$1006:AR1006),$AC$1006:$AS$1006,0)), HYPERLINK("#",""), HYPERLINK(CONCATENATE("#Metadata!", ADDRESS(INDEX($X$2:$X$1001,MATCH(ROWS($V$2:V773),$V$2:$V$1001,0),0), INDEX($AC$1004:$AS$1004,1,MATCH(COLUMNS($AC$1006:AR1006),$AC$1006:$AS$1006,0)))),"Fix")))</f>
        <v>0</v>
      </c>
      <c r="R773" s="5">
        <f>IF(OR(INDEX($W$2:$W$1001,MATCH(ROWS($V$2:V773),$V$2:$V$1001,0),1)&gt;=100000,INDEX($AC$1005:$AS$1005,1,MATCH(COLUMNS($AC$1006:AS1006),$AC$1006:$AS$1006,0))&gt;=100000), " ",IF(INDEX($AC$2:$AS$1001,MATCH(ROWS($V$2:V773),$V$2:$V$1001,0),MATCH(COLUMNS($AC$1006:AS1006),$AC$1006:$AS$1006,0)), HYPERLINK("#",""), HYPERLINK(CONCATENATE("#Metadata!", ADDRESS(INDEX($X$2:$X$1001,MATCH(ROWS($V$2:V773),$V$2:$V$1001,0),0), INDEX($AC$1004:$AS$1004,1,MATCH(COLUMNS($AC$1006:AS1006),$AC$1006:$AS$1006,0)))),"Fix")))</f>
        <v>0</v>
      </c>
      <c r="V773">
        <v>0</v>
      </c>
      <c r="W773">
        <v>0</v>
      </c>
      <c r="X773">
        <v>0</v>
      </c>
      <c r="Y773">
        <f>IF(Z773,TRUE,AND(AC773:AS773))</f>
        <v>0</v>
      </c>
      <c r="Z773">
        <f>COUNTBLANK(Metadata!B773:R773)=COLUMNS(Metadata!B773:R773)</f>
        <v>0</v>
      </c>
      <c r="AA773">
        <v>0</v>
      </c>
      <c r="AC773">
        <f>AND(IF(Metadata!B773="",FALSE,TRUE),COUNTIF(Metadata!B:B, Metadata!B773) = 1,NOT(ISERROR(SUMPRODUCT(SEARCH(MID(Metadata!B773,ROW(INDIRECT("1:"&amp;LEN(Metadata!B773))), 1),"0123456789abcdefghijklmnopqrstuvwxyzABCDEFGHIJKLMNOPQRSTUVWXYZ.")))))</f>
        <v>0</v>
      </c>
      <c r="AD773">
        <f>AND(IF(Metadata!C773="",FALSE,TRUE),exact(Metadata!C773,"Host-associated"))</f>
        <v>0</v>
      </c>
      <c r="AE773">
        <f>AND(IF(Metadata!D773="",FALSE,TRUE),OR(exact(Metadata!D773,"Animal"),exact(Metadata!D773,"Fungus"),exact(Metadata!D773,"Plant")))</f>
        <v>0</v>
      </c>
      <c r="AF773">
        <f>AND(IF(Metadata!E773="",FALSE,TRUE),OR(exact(Metadata!E773,"Plant secretion"),exact(Metadata!E773,"Plant rhizosphere"),exact(Metadata!E773,"Plant surface"),exact(Metadata!E773,"Plant corpus"),exact(Metadata!E773,"Fungus surface"),exact(Metadata!E773,"Fungus corpus"),exact(Metadata!E773,"Animal surface"),exact(Metadata!E773,"Animal proximal gut"),exact(Metadata!E773,"Animal corpus"),exact(Metadata!E773,"Animal distal gut"),exact(Metadata!E773,"Animal secretion")))</f>
        <v>0</v>
      </c>
      <c r="AG773">
        <f>OR(AND(IF(Metadata!F773="",FALSE,TRUE),OR(exact(Metadata!F773,"not collected"),exact(Metadata!F773,"not provided"),exact(Metadata!F773,"restricted access"))),AND(IF(Metadata!F773="",FALSE,TRUE),OR(exact(Metadata!F773,"organism-associated habitat"),exact(Metadata!F773,"plant-associated habitat"),exact(Metadata!F773,"animal-associated habitat"),exact(Metadata!F773,"insecta-associated habitat"),exact(Metadata!F773,"mammalia-associated habitat"),exact(Metadata!F773,"human-associated habitat"),exact(Metadata!F773,"livestock-associated habitat"))))</f>
        <v>0</v>
      </c>
      <c r="AH773">
        <f>AND(IF(Metadata!G773="",FALSE,TRUE),exact(Metadata!G773,"host-associated"))</f>
        <v>0</v>
      </c>
      <c r="AI773">
        <f>OR(AND(IF(Metadata!H773="",FALSE,TRUE),OR(exact(Metadata!H773,"not collected"),exact(Metadata!H773,"not provided"))),AND(IF(Metadata!H773="",FALSE,ISNUMBER(VALUE(Metadata!H773))),Metadata!H773&gt;0))</f>
        <v>0</v>
      </c>
      <c r="AJ773">
        <f>AND(IF(Metadata!I773="",FALSE,TRUE),exact(Metadata!I773,"years"))</f>
        <v>0</v>
      </c>
      <c r="AK773">
        <f>IF(Metadata!J773="",FALSE,TRUE)</f>
        <v>0</v>
      </c>
      <c r="AL773">
        <f>OR(AND(IF(Metadata!K773="",FALSE,TRUE),OR(exact(Metadata!K773,"not collected"),exact(Metadata!K773,"not provided"))),AND(IF(Metadata!K773="",FALSE,ISNUMBER(VALUE(Metadata!K773))),Metadata!K773&gt;0))</f>
        <v>0</v>
      </c>
      <c r="AM773">
        <f>AND(IF(Metadata!L773="",FALSE,TRUE),exact(Metadata!L773,"cm"))</f>
        <v>0</v>
      </c>
      <c r="AN773">
        <f>IF(Metadata!M773="",FALSE,TRUE)</f>
        <v>0</v>
      </c>
      <c r="AO773">
        <f>OR(AND(IF(Metadata!N773="",FALSE,TRUE),OR(exact(Metadata!N773,"not applicable"),exact(Metadata!N773,"not collected"),exact(Metadata!N773,"not provided"))),AND(IF(Metadata!N773="",FALSE,IF(ISERROR(INT(Metadata!N773)),FALSE,INT(Metadata!N773)=Metadata!N773)),Metadata!N773&gt;0))</f>
        <v>0</v>
      </c>
      <c r="AP773">
        <f>OR(AND(IF(Metadata!O773="",FALSE,TRUE),OR(exact(Metadata!O773,"not collected"),exact(Metadata!O773,"not provided"))),AND(IF(Metadata!O773="",FALSE,ISNUMBER(VALUE(Metadata!O773))),Metadata!O773&gt;0))</f>
        <v>0</v>
      </c>
      <c r="AQ773">
        <f>AND(IF(Metadata!P773="",FALSE,TRUE),exact(Metadata!P773,"kg"))</f>
        <v>0</v>
      </c>
      <c r="AR773">
        <f>OR(AND(IF(Metadata!Q773="",FALSE,TRUE),OR(exact(Metadata!Q773,"not applicable"),exact(Metadata!Q773,"not collected"),exact(Metadata!Q773,"not provided"),exact(Metadata!Q773,"restricted access"))),IF(Metadata!Q773="",FALSE,IF(ISERROR(INT(Metadata!Q773)),FALSE,INT(Metadata!Q773)=Metadata!Q773)))</f>
        <v>0</v>
      </c>
      <c r="AS773">
        <f>AND(IF(Metadata!R773="",FALSE,TRUE),exact(Metadata!R773,"Not applicable"))</f>
        <v>0</v>
      </c>
    </row>
    <row r="774" spans="1:45">
      <c r="A774" s="4">
        <f>IF(B774=" "," ",HYPERLINK(CONCATENATE("#metadata!",ADDRESS(INDEX($X$2:$X$1001,MATCH(ROWS($V$2:V774),$V$2:$V$1001,0),0),2)),INDEX($AA$2:$AA$1001,MATCH(ROWS($V$2:V774),$V$2:$V$1001,0),0)))</f>
        <v>0</v>
      </c>
      <c r="B774" s="5">
        <f>IF(OR(INDEX($W$2:$W$1001,MATCH(ROWS($V$2:V774),$V$2:$V$1001,0),1)&gt;=100000,INDEX($AC$1005:$AS$1005,1,MATCH(COLUMNS($AC$1006:AC1006),$AC$1006:$AS$1006,0))&gt;=100000), " ",IF(INDEX($AC$2:$AS$1001,MATCH(ROWS($V$2:V774),$V$2:$V$1001,0),MATCH(COLUMNS($AC$1006:AC1006),$AC$1006:$AS$1006,0)), HYPERLINK("#",""), HYPERLINK(CONCATENATE("#Metadata!", ADDRESS(INDEX($X$2:$X$1001,MATCH(ROWS($V$2:V774),$V$2:$V$1001,0),0), INDEX($AC$1004:$AS$1004,1,MATCH(COLUMNS($AC$1006:AC1006),$AC$1006:$AS$1006,0)))),"Fix")))</f>
        <v>0</v>
      </c>
      <c r="C774" s="5">
        <f>IF(OR(INDEX($W$2:$W$1001,MATCH(ROWS($V$2:V774),$V$2:$V$1001,0),1)&gt;=100000,INDEX($AC$1005:$AS$1005,1,MATCH(COLUMNS($AC$1006:AD1006),$AC$1006:$AS$1006,0))&gt;=100000), " ",IF(INDEX($AC$2:$AS$1001,MATCH(ROWS($V$2:V774),$V$2:$V$1001,0),MATCH(COLUMNS($AC$1006:AD1006),$AC$1006:$AS$1006,0)), HYPERLINK("#",""), HYPERLINK(CONCATENATE("#Metadata!", ADDRESS(INDEX($X$2:$X$1001,MATCH(ROWS($V$2:V774),$V$2:$V$1001,0),0), INDEX($AC$1004:$AS$1004,1,MATCH(COLUMNS($AC$1006:AD1006),$AC$1006:$AS$1006,0)))),"Fix")))</f>
        <v>0</v>
      </c>
      <c r="D774" s="5">
        <f>IF(OR(INDEX($W$2:$W$1001,MATCH(ROWS($V$2:V774),$V$2:$V$1001,0),1)&gt;=100000,INDEX($AC$1005:$AS$1005,1,MATCH(COLUMNS($AC$1006:AE1006),$AC$1006:$AS$1006,0))&gt;=100000), " ",IF(INDEX($AC$2:$AS$1001,MATCH(ROWS($V$2:V774),$V$2:$V$1001,0),MATCH(COLUMNS($AC$1006:AE1006),$AC$1006:$AS$1006,0)), HYPERLINK("#",""), HYPERLINK(CONCATENATE("#Metadata!", ADDRESS(INDEX($X$2:$X$1001,MATCH(ROWS($V$2:V774),$V$2:$V$1001,0),0), INDEX($AC$1004:$AS$1004,1,MATCH(COLUMNS($AC$1006:AE1006),$AC$1006:$AS$1006,0)))),"Fix")))</f>
        <v>0</v>
      </c>
      <c r="E774" s="5">
        <f>IF(OR(INDEX($W$2:$W$1001,MATCH(ROWS($V$2:V774),$V$2:$V$1001,0),1)&gt;=100000,INDEX($AC$1005:$AS$1005,1,MATCH(COLUMNS($AC$1006:AF1006),$AC$1006:$AS$1006,0))&gt;=100000), " ",IF(INDEX($AC$2:$AS$1001,MATCH(ROWS($V$2:V774),$V$2:$V$1001,0),MATCH(COLUMNS($AC$1006:AF1006),$AC$1006:$AS$1006,0)), HYPERLINK("#",""), HYPERLINK(CONCATENATE("#Metadata!", ADDRESS(INDEX($X$2:$X$1001,MATCH(ROWS($V$2:V774),$V$2:$V$1001,0),0), INDEX($AC$1004:$AS$1004,1,MATCH(COLUMNS($AC$1006:AF1006),$AC$1006:$AS$1006,0)))),"Fix")))</f>
        <v>0</v>
      </c>
      <c r="F774" s="5">
        <f>IF(OR(INDEX($W$2:$W$1001,MATCH(ROWS($V$2:V774),$V$2:$V$1001,0),1)&gt;=100000,INDEX($AC$1005:$AS$1005,1,MATCH(COLUMNS($AC$1006:AG1006),$AC$1006:$AS$1006,0))&gt;=100000), " ",IF(INDEX($AC$2:$AS$1001,MATCH(ROWS($V$2:V774),$V$2:$V$1001,0),MATCH(COLUMNS($AC$1006:AG1006),$AC$1006:$AS$1006,0)), HYPERLINK("#",""), HYPERLINK(CONCATENATE("#Metadata!", ADDRESS(INDEX($X$2:$X$1001,MATCH(ROWS($V$2:V774),$V$2:$V$1001,0),0), INDEX($AC$1004:$AS$1004,1,MATCH(COLUMNS($AC$1006:AG1006),$AC$1006:$AS$1006,0)))),"Fix")))</f>
        <v>0</v>
      </c>
      <c r="G774" s="5">
        <f>IF(OR(INDEX($W$2:$W$1001,MATCH(ROWS($V$2:V774),$V$2:$V$1001,0),1)&gt;=100000,INDEX($AC$1005:$AS$1005,1,MATCH(COLUMNS($AC$1006:AH1006),$AC$1006:$AS$1006,0))&gt;=100000), " ",IF(INDEX($AC$2:$AS$1001,MATCH(ROWS($V$2:V774),$V$2:$V$1001,0),MATCH(COLUMNS($AC$1006:AH1006),$AC$1006:$AS$1006,0)), HYPERLINK("#",""), HYPERLINK(CONCATENATE("#Metadata!", ADDRESS(INDEX($X$2:$X$1001,MATCH(ROWS($V$2:V774),$V$2:$V$1001,0),0), INDEX($AC$1004:$AS$1004,1,MATCH(COLUMNS($AC$1006:AH1006),$AC$1006:$AS$1006,0)))),"Fix")))</f>
        <v>0</v>
      </c>
      <c r="H774" s="5">
        <f>IF(OR(INDEX($W$2:$W$1001,MATCH(ROWS($V$2:V774),$V$2:$V$1001,0),1)&gt;=100000,INDEX($AC$1005:$AS$1005,1,MATCH(COLUMNS($AC$1006:AI1006),$AC$1006:$AS$1006,0))&gt;=100000), " ",IF(INDEX($AC$2:$AS$1001,MATCH(ROWS($V$2:V774),$V$2:$V$1001,0),MATCH(COLUMNS($AC$1006:AI1006),$AC$1006:$AS$1006,0)), HYPERLINK("#",""), HYPERLINK(CONCATENATE("#Metadata!", ADDRESS(INDEX($X$2:$X$1001,MATCH(ROWS($V$2:V774),$V$2:$V$1001,0),0), INDEX($AC$1004:$AS$1004,1,MATCH(COLUMNS($AC$1006:AI1006),$AC$1006:$AS$1006,0)))),"Fix")))</f>
        <v>0</v>
      </c>
      <c r="I774" s="5">
        <f>IF(OR(INDEX($W$2:$W$1001,MATCH(ROWS($V$2:V774),$V$2:$V$1001,0),1)&gt;=100000,INDEX($AC$1005:$AS$1005,1,MATCH(COLUMNS($AC$1006:AJ1006),$AC$1006:$AS$1006,0))&gt;=100000), " ",IF(INDEX($AC$2:$AS$1001,MATCH(ROWS($V$2:V774),$V$2:$V$1001,0),MATCH(COLUMNS($AC$1006:AJ1006),$AC$1006:$AS$1006,0)), HYPERLINK("#",""), HYPERLINK(CONCATENATE("#Metadata!", ADDRESS(INDEX($X$2:$X$1001,MATCH(ROWS($V$2:V774),$V$2:$V$1001,0),0), INDEX($AC$1004:$AS$1004,1,MATCH(COLUMNS($AC$1006:AJ1006),$AC$1006:$AS$1006,0)))),"Fix")))</f>
        <v>0</v>
      </c>
      <c r="J774" s="5">
        <f>IF(OR(INDEX($W$2:$W$1001,MATCH(ROWS($V$2:V774),$V$2:$V$1001,0),1)&gt;=100000,INDEX($AC$1005:$AS$1005,1,MATCH(COLUMNS($AC$1006:AK1006),$AC$1006:$AS$1006,0))&gt;=100000), " ",IF(INDEX($AC$2:$AS$1001,MATCH(ROWS($V$2:V774),$V$2:$V$1001,0),MATCH(COLUMNS($AC$1006:AK1006),$AC$1006:$AS$1006,0)), HYPERLINK("#",""), HYPERLINK(CONCATENATE("#Metadata!", ADDRESS(INDEX($X$2:$X$1001,MATCH(ROWS($V$2:V774),$V$2:$V$1001,0),0), INDEX($AC$1004:$AS$1004,1,MATCH(COLUMNS($AC$1006:AK1006),$AC$1006:$AS$1006,0)))),"Fix")))</f>
        <v>0</v>
      </c>
      <c r="K774" s="5">
        <f>IF(OR(INDEX($W$2:$W$1001,MATCH(ROWS($V$2:V774),$V$2:$V$1001,0),1)&gt;=100000,INDEX($AC$1005:$AS$1005,1,MATCH(COLUMNS($AC$1006:AL1006),$AC$1006:$AS$1006,0))&gt;=100000), " ",IF(INDEX($AC$2:$AS$1001,MATCH(ROWS($V$2:V774),$V$2:$V$1001,0),MATCH(COLUMNS($AC$1006:AL1006),$AC$1006:$AS$1006,0)), HYPERLINK("#",""), HYPERLINK(CONCATENATE("#Metadata!", ADDRESS(INDEX($X$2:$X$1001,MATCH(ROWS($V$2:V774),$V$2:$V$1001,0),0), INDEX($AC$1004:$AS$1004,1,MATCH(COLUMNS($AC$1006:AL1006),$AC$1006:$AS$1006,0)))),"Fix")))</f>
        <v>0</v>
      </c>
      <c r="L774" s="5">
        <f>IF(OR(INDEX($W$2:$W$1001,MATCH(ROWS($V$2:V774),$V$2:$V$1001,0),1)&gt;=100000,INDEX($AC$1005:$AS$1005,1,MATCH(COLUMNS($AC$1006:AM1006),$AC$1006:$AS$1006,0))&gt;=100000), " ",IF(INDEX($AC$2:$AS$1001,MATCH(ROWS($V$2:V774),$V$2:$V$1001,0),MATCH(COLUMNS($AC$1006:AM1006),$AC$1006:$AS$1006,0)), HYPERLINK("#",""), HYPERLINK(CONCATENATE("#Metadata!", ADDRESS(INDEX($X$2:$X$1001,MATCH(ROWS($V$2:V774),$V$2:$V$1001,0),0), INDEX($AC$1004:$AS$1004,1,MATCH(COLUMNS($AC$1006:AM1006),$AC$1006:$AS$1006,0)))),"Fix")))</f>
        <v>0</v>
      </c>
      <c r="M774" s="5">
        <f>IF(OR(INDEX($W$2:$W$1001,MATCH(ROWS($V$2:V774),$V$2:$V$1001,0),1)&gt;=100000,INDEX($AC$1005:$AS$1005,1,MATCH(COLUMNS($AC$1006:AN1006),$AC$1006:$AS$1006,0))&gt;=100000), " ",IF(INDEX($AC$2:$AS$1001,MATCH(ROWS($V$2:V774),$V$2:$V$1001,0),MATCH(COLUMNS($AC$1006:AN1006),$AC$1006:$AS$1006,0)), HYPERLINK("#",""), HYPERLINK(CONCATENATE("#Metadata!", ADDRESS(INDEX($X$2:$X$1001,MATCH(ROWS($V$2:V774),$V$2:$V$1001,0),0), INDEX($AC$1004:$AS$1004,1,MATCH(COLUMNS($AC$1006:AN1006),$AC$1006:$AS$1006,0)))),"Fix")))</f>
        <v>0</v>
      </c>
      <c r="N774" s="5">
        <f>IF(OR(INDEX($W$2:$W$1001,MATCH(ROWS($V$2:V774),$V$2:$V$1001,0),1)&gt;=100000,INDEX($AC$1005:$AS$1005,1,MATCH(COLUMNS($AC$1006:AO1006),$AC$1006:$AS$1006,0))&gt;=100000), " ",IF(INDEX($AC$2:$AS$1001,MATCH(ROWS($V$2:V774),$V$2:$V$1001,0),MATCH(COLUMNS($AC$1006:AO1006),$AC$1006:$AS$1006,0)), HYPERLINK("#",""), HYPERLINK(CONCATENATE("#Metadata!", ADDRESS(INDEX($X$2:$X$1001,MATCH(ROWS($V$2:V774),$V$2:$V$1001,0),0), INDEX($AC$1004:$AS$1004,1,MATCH(COLUMNS($AC$1006:AO1006),$AC$1006:$AS$1006,0)))),"Fix")))</f>
        <v>0</v>
      </c>
      <c r="O774" s="5">
        <f>IF(OR(INDEX($W$2:$W$1001,MATCH(ROWS($V$2:V774),$V$2:$V$1001,0),1)&gt;=100000,INDEX($AC$1005:$AS$1005,1,MATCH(COLUMNS($AC$1006:AP1006),$AC$1006:$AS$1006,0))&gt;=100000), " ",IF(INDEX($AC$2:$AS$1001,MATCH(ROWS($V$2:V774),$V$2:$V$1001,0),MATCH(COLUMNS($AC$1006:AP1006),$AC$1006:$AS$1006,0)), HYPERLINK("#",""), HYPERLINK(CONCATENATE("#Metadata!", ADDRESS(INDEX($X$2:$X$1001,MATCH(ROWS($V$2:V774),$V$2:$V$1001,0),0), INDEX($AC$1004:$AS$1004,1,MATCH(COLUMNS($AC$1006:AP1006),$AC$1006:$AS$1006,0)))),"Fix")))</f>
        <v>0</v>
      </c>
      <c r="P774" s="5">
        <f>IF(OR(INDEX($W$2:$W$1001,MATCH(ROWS($V$2:V774),$V$2:$V$1001,0),1)&gt;=100000,INDEX($AC$1005:$AS$1005,1,MATCH(COLUMNS($AC$1006:AQ1006),$AC$1006:$AS$1006,0))&gt;=100000), " ",IF(INDEX($AC$2:$AS$1001,MATCH(ROWS($V$2:V774),$V$2:$V$1001,0),MATCH(COLUMNS($AC$1006:AQ1006),$AC$1006:$AS$1006,0)), HYPERLINK("#",""), HYPERLINK(CONCATENATE("#Metadata!", ADDRESS(INDEX($X$2:$X$1001,MATCH(ROWS($V$2:V774),$V$2:$V$1001,0),0), INDEX($AC$1004:$AS$1004,1,MATCH(COLUMNS($AC$1006:AQ1006),$AC$1006:$AS$1006,0)))),"Fix")))</f>
        <v>0</v>
      </c>
      <c r="Q774" s="5">
        <f>IF(OR(INDEX($W$2:$W$1001,MATCH(ROWS($V$2:V774),$V$2:$V$1001,0),1)&gt;=100000,INDEX($AC$1005:$AS$1005,1,MATCH(COLUMNS($AC$1006:AR1006),$AC$1006:$AS$1006,0))&gt;=100000), " ",IF(INDEX($AC$2:$AS$1001,MATCH(ROWS($V$2:V774),$V$2:$V$1001,0),MATCH(COLUMNS($AC$1006:AR1006),$AC$1006:$AS$1006,0)), HYPERLINK("#",""), HYPERLINK(CONCATENATE("#Metadata!", ADDRESS(INDEX($X$2:$X$1001,MATCH(ROWS($V$2:V774),$V$2:$V$1001,0),0), INDEX($AC$1004:$AS$1004,1,MATCH(COLUMNS($AC$1006:AR1006),$AC$1006:$AS$1006,0)))),"Fix")))</f>
        <v>0</v>
      </c>
      <c r="R774" s="5">
        <f>IF(OR(INDEX($W$2:$W$1001,MATCH(ROWS($V$2:V774),$V$2:$V$1001,0),1)&gt;=100000,INDEX($AC$1005:$AS$1005,1,MATCH(COLUMNS($AC$1006:AS1006),$AC$1006:$AS$1006,0))&gt;=100000), " ",IF(INDEX($AC$2:$AS$1001,MATCH(ROWS($V$2:V774),$V$2:$V$1001,0),MATCH(COLUMNS($AC$1006:AS1006),$AC$1006:$AS$1006,0)), HYPERLINK("#",""), HYPERLINK(CONCATENATE("#Metadata!", ADDRESS(INDEX($X$2:$X$1001,MATCH(ROWS($V$2:V774),$V$2:$V$1001,0),0), INDEX($AC$1004:$AS$1004,1,MATCH(COLUMNS($AC$1006:AS1006),$AC$1006:$AS$1006,0)))),"Fix")))</f>
        <v>0</v>
      </c>
      <c r="V774">
        <v>0</v>
      </c>
      <c r="W774">
        <v>0</v>
      </c>
      <c r="X774">
        <v>0</v>
      </c>
      <c r="Y774">
        <f>IF(Z774,TRUE,AND(AC774:AS774))</f>
        <v>0</v>
      </c>
      <c r="Z774">
        <f>COUNTBLANK(Metadata!B774:R774)=COLUMNS(Metadata!B774:R774)</f>
        <v>0</v>
      </c>
      <c r="AA774">
        <v>0</v>
      </c>
      <c r="AC774">
        <f>AND(IF(Metadata!B774="",FALSE,TRUE),COUNTIF(Metadata!B:B, Metadata!B774) = 1,NOT(ISERROR(SUMPRODUCT(SEARCH(MID(Metadata!B774,ROW(INDIRECT("1:"&amp;LEN(Metadata!B774))), 1),"0123456789abcdefghijklmnopqrstuvwxyzABCDEFGHIJKLMNOPQRSTUVWXYZ.")))))</f>
        <v>0</v>
      </c>
      <c r="AD774">
        <f>AND(IF(Metadata!C774="",FALSE,TRUE),exact(Metadata!C774,"Host-associated"))</f>
        <v>0</v>
      </c>
      <c r="AE774">
        <f>AND(IF(Metadata!D774="",FALSE,TRUE),OR(exact(Metadata!D774,"Animal"),exact(Metadata!D774,"Fungus"),exact(Metadata!D774,"Plant")))</f>
        <v>0</v>
      </c>
      <c r="AF774">
        <f>AND(IF(Metadata!E774="",FALSE,TRUE),OR(exact(Metadata!E774,"Plant secretion"),exact(Metadata!E774,"Plant rhizosphere"),exact(Metadata!E774,"Plant surface"),exact(Metadata!E774,"Plant corpus"),exact(Metadata!E774,"Fungus surface"),exact(Metadata!E774,"Fungus corpus"),exact(Metadata!E774,"Animal surface"),exact(Metadata!E774,"Animal proximal gut"),exact(Metadata!E774,"Animal corpus"),exact(Metadata!E774,"Animal distal gut"),exact(Metadata!E774,"Animal secretion")))</f>
        <v>0</v>
      </c>
      <c r="AG774">
        <f>OR(AND(IF(Metadata!F774="",FALSE,TRUE),OR(exact(Metadata!F774,"not collected"),exact(Metadata!F774,"not provided"),exact(Metadata!F774,"restricted access"))),AND(IF(Metadata!F774="",FALSE,TRUE),OR(exact(Metadata!F774,"organism-associated habitat"),exact(Metadata!F774,"plant-associated habitat"),exact(Metadata!F774,"animal-associated habitat"),exact(Metadata!F774,"insecta-associated habitat"),exact(Metadata!F774,"mammalia-associated habitat"),exact(Metadata!F774,"human-associated habitat"),exact(Metadata!F774,"livestock-associated habitat"))))</f>
        <v>0</v>
      </c>
      <c r="AH774">
        <f>AND(IF(Metadata!G774="",FALSE,TRUE),exact(Metadata!G774,"host-associated"))</f>
        <v>0</v>
      </c>
      <c r="AI774">
        <f>OR(AND(IF(Metadata!H774="",FALSE,TRUE),OR(exact(Metadata!H774,"not collected"),exact(Metadata!H774,"not provided"))),AND(IF(Metadata!H774="",FALSE,ISNUMBER(VALUE(Metadata!H774))),Metadata!H774&gt;0))</f>
        <v>0</v>
      </c>
      <c r="AJ774">
        <f>AND(IF(Metadata!I774="",FALSE,TRUE),exact(Metadata!I774,"years"))</f>
        <v>0</v>
      </c>
      <c r="AK774">
        <f>IF(Metadata!J774="",FALSE,TRUE)</f>
        <v>0</v>
      </c>
      <c r="AL774">
        <f>OR(AND(IF(Metadata!K774="",FALSE,TRUE),OR(exact(Metadata!K774,"not collected"),exact(Metadata!K774,"not provided"))),AND(IF(Metadata!K774="",FALSE,ISNUMBER(VALUE(Metadata!K774))),Metadata!K774&gt;0))</f>
        <v>0</v>
      </c>
      <c r="AM774">
        <f>AND(IF(Metadata!L774="",FALSE,TRUE),exact(Metadata!L774,"cm"))</f>
        <v>0</v>
      </c>
      <c r="AN774">
        <f>IF(Metadata!M774="",FALSE,TRUE)</f>
        <v>0</v>
      </c>
      <c r="AO774">
        <f>OR(AND(IF(Metadata!N774="",FALSE,TRUE),OR(exact(Metadata!N774,"not applicable"),exact(Metadata!N774,"not collected"),exact(Metadata!N774,"not provided"))),AND(IF(Metadata!N774="",FALSE,IF(ISERROR(INT(Metadata!N774)),FALSE,INT(Metadata!N774)=Metadata!N774)),Metadata!N774&gt;0))</f>
        <v>0</v>
      </c>
      <c r="AP774">
        <f>OR(AND(IF(Metadata!O774="",FALSE,TRUE),OR(exact(Metadata!O774,"not collected"),exact(Metadata!O774,"not provided"))),AND(IF(Metadata!O774="",FALSE,ISNUMBER(VALUE(Metadata!O774))),Metadata!O774&gt;0))</f>
        <v>0</v>
      </c>
      <c r="AQ774">
        <f>AND(IF(Metadata!P774="",FALSE,TRUE),exact(Metadata!P774,"kg"))</f>
        <v>0</v>
      </c>
      <c r="AR774">
        <f>OR(AND(IF(Metadata!Q774="",FALSE,TRUE),OR(exact(Metadata!Q774,"not applicable"),exact(Metadata!Q774,"not collected"),exact(Metadata!Q774,"not provided"),exact(Metadata!Q774,"restricted access"))),IF(Metadata!Q774="",FALSE,IF(ISERROR(INT(Metadata!Q774)),FALSE,INT(Metadata!Q774)=Metadata!Q774)))</f>
        <v>0</v>
      </c>
      <c r="AS774">
        <f>AND(IF(Metadata!R774="",FALSE,TRUE),exact(Metadata!R774,"Not applicable"))</f>
        <v>0</v>
      </c>
    </row>
    <row r="775" spans="1:45">
      <c r="A775" s="4">
        <f>IF(B775=" "," ",HYPERLINK(CONCATENATE("#metadata!",ADDRESS(INDEX($X$2:$X$1001,MATCH(ROWS($V$2:V775),$V$2:$V$1001,0),0),2)),INDEX($AA$2:$AA$1001,MATCH(ROWS($V$2:V775),$V$2:$V$1001,0),0)))</f>
        <v>0</v>
      </c>
      <c r="B775" s="5">
        <f>IF(OR(INDEX($W$2:$W$1001,MATCH(ROWS($V$2:V775),$V$2:$V$1001,0),1)&gt;=100000,INDEX($AC$1005:$AS$1005,1,MATCH(COLUMNS($AC$1006:AC1006),$AC$1006:$AS$1006,0))&gt;=100000), " ",IF(INDEX($AC$2:$AS$1001,MATCH(ROWS($V$2:V775),$V$2:$V$1001,0),MATCH(COLUMNS($AC$1006:AC1006),$AC$1006:$AS$1006,0)), HYPERLINK("#",""), HYPERLINK(CONCATENATE("#Metadata!", ADDRESS(INDEX($X$2:$X$1001,MATCH(ROWS($V$2:V775),$V$2:$V$1001,0),0), INDEX($AC$1004:$AS$1004,1,MATCH(COLUMNS($AC$1006:AC1006),$AC$1006:$AS$1006,0)))),"Fix")))</f>
        <v>0</v>
      </c>
      <c r="C775" s="5">
        <f>IF(OR(INDEX($W$2:$W$1001,MATCH(ROWS($V$2:V775),$V$2:$V$1001,0),1)&gt;=100000,INDEX($AC$1005:$AS$1005,1,MATCH(COLUMNS($AC$1006:AD1006),$AC$1006:$AS$1006,0))&gt;=100000), " ",IF(INDEX($AC$2:$AS$1001,MATCH(ROWS($V$2:V775),$V$2:$V$1001,0),MATCH(COLUMNS($AC$1006:AD1006),$AC$1006:$AS$1006,0)), HYPERLINK("#",""), HYPERLINK(CONCATENATE("#Metadata!", ADDRESS(INDEX($X$2:$X$1001,MATCH(ROWS($V$2:V775),$V$2:$V$1001,0),0), INDEX($AC$1004:$AS$1004,1,MATCH(COLUMNS($AC$1006:AD1006),$AC$1006:$AS$1006,0)))),"Fix")))</f>
        <v>0</v>
      </c>
      <c r="D775" s="5">
        <f>IF(OR(INDEX($W$2:$W$1001,MATCH(ROWS($V$2:V775),$V$2:$V$1001,0),1)&gt;=100000,INDEX($AC$1005:$AS$1005,1,MATCH(COLUMNS($AC$1006:AE1006),$AC$1006:$AS$1006,0))&gt;=100000), " ",IF(INDEX($AC$2:$AS$1001,MATCH(ROWS($V$2:V775),$V$2:$V$1001,0),MATCH(COLUMNS($AC$1006:AE1006),$AC$1006:$AS$1006,0)), HYPERLINK("#",""), HYPERLINK(CONCATENATE("#Metadata!", ADDRESS(INDEX($X$2:$X$1001,MATCH(ROWS($V$2:V775),$V$2:$V$1001,0),0), INDEX($AC$1004:$AS$1004,1,MATCH(COLUMNS($AC$1006:AE1006),$AC$1006:$AS$1006,0)))),"Fix")))</f>
        <v>0</v>
      </c>
      <c r="E775" s="5">
        <f>IF(OR(INDEX($W$2:$W$1001,MATCH(ROWS($V$2:V775),$V$2:$V$1001,0),1)&gt;=100000,INDEX($AC$1005:$AS$1005,1,MATCH(COLUMNS($AC$1006:AF1006),$AC$1006:$AS$1006,0))&gt;=100000), " ",IF(INDEX($AC$2:$AS$1001,MATCH(ROWS($V$2:V775),$V$2:$V$1001,0),MATCH(COLUMNS($AC$1006:AF1006),$AC$1006:$AS$1006,0)), HYPERLINK("#",""), HYPERLINK(CONCATENATE("#Metadata!", ADDRESS(INDEX($X$2:$X$1001,MATCH(ROWS($V$2:V775),$V$2:$V$1001,0),0), INDEX($AC$1004:$AS$1004,1,MATCH(COLUMNS($AC$1006:AF1006),$AC$1006:$AS$1006,0)))),"Fix")))</f>
        <v>0</v>
      </c>
      <c r="F775" s="5">
        <f>IF(OR(INDEX($W$2:$W$1001,MATCH(ROWS($V$2:V775),$V$2:$V$1001,0),1)&gt;=100000,INDEX($AC$1005:$AS$1005,1,MATCH(COLUMNS($AC$1006:AG1006),$AC$1006:$AS$1006,0))&gt;=100000), " ",IF(INDEX($AC$2:$AS$1001,MATCH(ROWS($V$2:V775),$V$2:$V$1001,0),MATCH(COLUMNS($AC$1006:AG1006),$AC$1006:$AS$1006,0)), HYPERLINK("#",""), HYPERLINK(CONCATENATE("#Metadata!", ADDRESS(INDEX($X$2:$X$1001,MATCH(ROWS($V$2:V775),$V$2:$V$1001,0),0), INDEX($AC$1004:$AS$1004,1,MATCH(COLUMNS($AC$1006:AG1006),$AC$1006:$AS$1006,0)))),"Fix")))</f>
        <v>0</v>
      </c>
      <c r="G775" s="5">
        <f>IF(OR(INDEX($W$2:$W$1001,MATCH(ROWS($V$2:V775),$V$2:$V$1001,0),1)&gt;=100000,INDEX($AC$1005:$AS$1005,1,MATCH(COLUMNS($AC$1006:AH1006),$AC$1006:$AS$1006,0))&gt;=100000), " ",IF(INDEX($AC$2:$AS$1001,MATCH(ROWS($V$2:V775),$V$2:$V$1001,0),MATCH(COLUMNS($AC$1006:AH1006),$AC$1006:$AS$1006,0)), HYPERLINK("#",""), HYPERLINK(CONCATENATE("#Metadata!", ADDRESS(INDEX($X$2:$X$1001,MATCH(ROWS($V$2:V775),$V$2:$V$1001,0),0), INDEX($AC$1004:$AS$1004,1,MATCH(COLUMNS($AC$1006:AH1006),$AC$1006:$AS$1006,0)))),"Fix")))</f>
        <v>0</v>
      </c>
      <c r="H775" s="5">
        <f>IF(OR(INDEX($W$2:$W$1001,MATCH(ROWS($V$2:V775),$V$2:$V$1001,0),1)&gt;=100000,INDEX($AC$1005:$AS$1005,1,MATCH(COLUMNS($AC$1006:AI1006),$AC$1006:$AS$1006,0))&gt;=100000), " ",IF(INDEX($AC$2:$AS$1001,MATCH(ROWS($V$2:V775),$V$2:$V$1001,0),MATCH(COLUMNS($AC$1006:AI1006),$AC$1006:$AS$1006,0)), HYPERLINK("#",""), HYPERLINK(CONCATENATE("#Metadata!", ADDRESS(INDEX($X$2:$X$1001,MATCH(ROWS($V$2:V775),$V$2:$V$1001,0),0), INDEX($AC$1004:$AS$1004,1,MATCH(COLUMNS($AC$1006:AI1006),$AC$1006:$AS$1006,0)))),"Fix")))</f>
        <v>0</v>
      </c>
      <c r="I775" s="5">
        <f>IF(OR(INDEX($W$2:$W$1001,MATCH(ROWS($V$2:V775),$V$2:$V$1001,0),1)&gt;=100000,INDEX($AC$1005:$AS$1005,1,MATCH(COLUMNS($AC$1006:AJ1006),$AC$1006:$AS$1006,0))&gt;=100000), " ",IF(INDEX($AC$2:$AS$1001,MATCH(ROWS($V$2:V775),$V$2:$V$1001,0),MATCH(COLUMNS($AC$1006:AJ1006),$AC$1006:$AS$1006,0)), HYPERLINK("#",""), HYPERLINK(CONCATENATE("#Metadata!", ADDRESS(INDEX($X$2:$X$1001,MATCH(ROWS($V$2:V775),$V$2:$V$1001,0),0), INDEX($AC$1004:$AS$1004,1,MATCH(COLUMNS($AC$1006:AJ1006),$AC$1006:$AS$1006,0)))),"Fix")))</f>
        <v>0</v>
      </c>
      <c r="J775" s="5">
        <f>IF(OR(INDEX($W$2:$W$1001,MATCH(ROWS($V$2:V775),$V$2:$V$1001,0),1)&gt;=100000,INDEX($AC$1005:$AS$1005,1,MATCH(COLUMNS($AC$1006:AK1006),$AC$1006:$AS$1006,0))&gt;=100000), " ",IF(INDEX($AC$2:$AS$1001,MATCH(ROWS($V$2:V775),$V$2:$V$1001,0),MATCH(COLUMNS($AC$1006:AK1006),$AC$1006:$AS$1006,0)), HYPERLINK("#",""), HYPERLINK(CONCATENATE("#Metadata!", ADDRESS(INDEX($X$2:$X$1001,MATCH(ROWS($V$2:V775),$V$2:$V$1001,0),0), INDEX($AC$1004:$AS$1004,1,MATCH(COLUMNS($AC$1006:AK1006),$AC$1006:$AS$1006,0)))),"Fix")))</f>
        <v>0</v>
      </c>
      <c r="K775" s="5">
        <f>IF(OR(INDEX($W$2:$W$1001,MATCH(ROWS($V$2:V775),$V$2:$V$1001,0),1)&gt;=100000,INDEX($AC$1005:$AS$1005,1,MATCH(COLUMNS($AC$1006:AL1006),$AC$1006:$AS$1006,0))&gt;=100000), " ",IF(INDEX($AC$2:$AS$1001,MATCH(ROWS($V$2:V775),$V$2:$V$1001,0),MATCH(COLUMNS($AC$1006:AL1006),$AC$1006:$AS$1006,0)), HYPERLINK("#",""), HYPERLINK(CONCATENATE("#Metadata!", ADDRESS(INDEX($X$2:$X$1001,MATCH(ROWS($V$2:V775),$V$2:$V$1001,0),0), INDEX($AC$1004:$AS$1004,1,MATCH(COLUMNS($AC$1006:AL1006),$AC$1006:$AS$1006,0)))),"Fix")))</f>
        <v>0</v>
      </c>
      <c r="L775" s="5">
        <f>IF(OR(INDEX($W$2:$W$1001,MATCH(ROWS($V$2:V775),$V$2:$V$1001,0),1)&gt;=100000,INDEX($AC$1005:$AS$1005,1,MATCH(COLUMNS($AC$1006:AM1006),$AC$1006:$AS$1006,0))&gt;=100000), " ",IF(INDEX($AC$2:$AS$1001,MATCH(ROWS($V$2:V775),$V$2:$V$1001,0),MATCH(COLUMNS($AC$1006:AM1006),$AC$1006:$AS$1006,0)), HYPERLINK("#",""), HYPERLINK(CONCATENATE("#Metadata!", ADDRESS(INDEX($X$2:$X$1001,MATCH(ROWS($V$2:V775),$V$2:$V$1001,0),0), INDEX($AC$1004:$AS$1004,1,MATCH(COLUMNS($AC$1006:AM1006),$AC$1006:$AS$1006,0)))),"Fix")))</f>
        <v>0</v>
      </c>
      <c r="M775" s="5">
        <f>IF(OR(INDEX($W$2:$W$1001,MATCH(ROWS($V$2:V775),$V$2:$V$1001,0),1)&gt;=100000,INDEX($AC$1005:$AS$1005,1,MATCH(COLUMNS($AC$1006:AN1006),$AC$1006:$AS$1006,0))&gt;=100000), " ",IF(INDEX($AC$2:$AS$1001,MATCH(ROWS($V$2:V775),$V$2:$V$1001,0),MATCH(COLUMNS($AC$1006:AN1006),$AC$1006:$AS$1006,0)), HYPERLINK("#",""), HYPERLINK(CONCATENATE("#Metadata!", ADDRESS(INDEX($X$2:$X$1001,MATCH(ROWS($V$2:V775),$V$2:$V$1001,0),0), INDEX($AC$1004:$AS$1004,1,MATCH(COLUMNS($AC$1006:AN1006),$AC$1006:$AS$1006,0)))),"Fix")))</f>
        <v>0</v>
      </c>
      <c r="N775" s="5">
        <f>IF(OR(INDEX($W$2:$W$1001,MATCH(ROWS($V$2:V775),$V$2:$V$1001,0),1)&gt;=100000,INDEX($AC$1005:$AS$1005,1,MATCH(COLUMNS($AC$1006:AO1006),$AC$1006:$AS$1006,0))&gt;=100000), " ",IF(INDEX($AC$2:$AS$1001,MATCH(ROWS($V$2:V775),$V$2:$V$1001,0),MATCH(COLUMNS($AC$1006:AO1006),$AC$1006:$AS$1006,0)), HYPERLINK("#",""), HYPERLINK(CONCATENATE("#Metadata!", ADDRESS(INDEX($X$2:$X$1001,MATCH(ROWS($V$2:V775),$V$2:$V$1001,0),0), INDEX($AC$1004:$AS$1004,1,MATCH(COLUMNS($AC$1006:AO1006),$AC$1006:$AS$1006,0)))),"Fix")))</f>
        <v>0</v>
      </c>
      <c r="O775" s="5">
        <f>IF(OR(INDEX($W$2:$W$1001,MATCH(ROWS($V$2:V775),$V$2:$V$1001,0),1)&gt;=100000,INDEX($AC$1005:$AS$1005,1,MATCH(COLUMNS($AC$1006:AP1006),$AC$1006:$AS$1006,0))&gt;=100000), " ",IF(INDEX($AC$2:$AS$1001,MATCH(ROWS($V$2:V775),$V$2:$V$1001,0),MATCH(COLUMNS($AC$1006:AP1006),$AC$1006:$AS$1006,0)), HYPERLINK("#",""), HYPERLINK(CONCATENATE("#Metadata!", ADDRESS(INDEX($X$2:$X$1001,MATCH(ROWS($V$2:V775),$V$2:$V$1001,0),0), INDEX($AC$1004:$AS$1004,1,MATCH(COLUMNS($AC$1006:AP1006),$AC$1006:$AS$1006,0)))),"Fix")))</f>
        <v>0</v>
      </c>
      <c r="P775" s="5">
        <f>IF(OR(INDEX($W$2:$W$1001,MATCH(ROWS($V$2:V775),$V$2:$V$1001,0),1)&gt;=100000,INDEX($AC$1005:$AS$1005,1,MATCH(COLUMNS($AC$1006:AQ1006),$AC$1006:$AS$1006,0))&gt;=100000), " ",IF(INDEX($AC$2:$AS$1001,MATCH(ROWS($V$2:V775),$V$2:$V$1001,0),MATCH(COLUMNS($AC$1006:AQ1006),$AC$1006:$AS$1006,0)), HYPERLINK("#",""), HYPERLINK(CONCATENATE("#Metadata!", ADDRESS(INDEX($X$2:$X$1001,MATCH(ROWS($V$2:V775),$V$2:$V$1001,0),0), INDEX($AC$1004:$AS$1004,1,MATCH(COLUMNS($AC$1006:AQ1006),$AC$1006:$AS$1006,0)))),"Fix")))</f>
        <v>0</v>
      </c>
      <c r="Q775" s="5">
        <f>IF(OR(INDEX($W$2:$W$1001,MATCH(ROWS($V$2:V775),$V$2:$V$1001,0),1)&gt;=100000,INDEX($AC$1005:$AS$1005,1,MATCH(COLUMNS($AC$1006:AR1006),$AC$1006:$AS$1006,0))&gt;=100000), " ",IF(INDEX($AC$2:$AS$1001,MATCH(ROWS($V$2:V775),$V$2:$V$1001,0),MATCH(COLUMNS($AC$1006:AR1006),$AC$1006:$AS$1006,0)), HYPERLINK("#",""), HYPERLINK(CONCATENATE("#Metadata!", ADDRESS(INDEX($X$2:$X$1001,MATCH(ROWS($V$2:V775),$V$2:$V$1001,0),0), INDEX($AC$1004:$AS$1004,1,MATCH(COLUMNS($AC$1006:AR1006),$AC$1006:$AS$1006,0)))),"Fix")))</f>
        <v>0</v>
      </c>
      <c r="R775" s="5">
        <f>IF(OR(INDEX($W$2:$W$1001,MATCH(ROWS($V$2:V775),$V$2:$V$1001,0),1)&gt;=100000,INDEX($AC$1005:$AS$1005,1,MATCH(COLUMNS($AC$1006:AS1006),$AC$1006:$AS$1006,0))&gt;=100000), " ",IF(INDEX($AC$2:$AS$1001,MATCH(ROWS($V$2:V775),$V$2:$V$1001,0),MATCH(COLUMNS($AC$1006:AS1006),$AC$1006:$AS$1006,0)), HYPERLINK("#",""), HYPERLINK(CONCATENATE("#Metadata!", ADDRESS(INDEX($X$2:$X$1001,MATCH(ROWS($V$2:V775),$V$2:$V$1001,0),0), INDEX($AC$1004:$AS$1004,1,MATCH(COLUMNS($AC$1006:AS1006),$AC$1006:$AS$1006,0)))),"Fix")))</f>
        <v>0</v>
      </c>
      <c r="V775">
        <v>0</v>
      </c>
      <c r="W775">
        <v>0</v>
      </c>
      <c r="X775">
        <v>0</v>
      </c>
      <c r="Y775">
        <f>IF(Z775,TRUE,AND(AC775:AS775))</f>
        <v>0</v>
      </c>
      <c r="Z775">
        <f>COUNTBLANK(Metadata!B775:R775)=COLUMNS(Metadata!B775:R775)</f>
        <v>0</v>
      </c>
      <c r="AA775">
        <v>0</v>
      </c>
      <c r="AC775">
        <f>AND(IF(Metadata!B775="",FALSE,TRUE),COUNTIF(Metadata!B:B, Metadata!B775) = 1,NOT(ISERROR(SUMPRODUCT(SEARCH(MID(Metadata!B775,ROW(INDIRECT("1:"&amp;LEN(Metadata!B775))), 1),"0123456789abcdefghijklmnopqrstuvwxyzABCDEFGHIJKLMNOPQRSTUVWXYZ.")))))</f>
        <v>0</v>
      </c>
      <c r="AD775">
        <f>AND(IF(Metadata!C775="",FALSE,TRUE),exact(Metadata!C775,"Host-associated"))</f>
        <v>0</v>
      </c>
      <c r="AE775">
        <f>AND(IF(Metadata!D775="",FALSE,TRUE),OR(exact(Metadata!D775,"Animal"),exact(Metadata!D775,"Fungus"),exact(Metadata!D775,"Plant")))</f>
        <v>0</v>
      </c>
      <c r="AF775">
        <f>AND(IF(Metadata!E775="",FALSE,TRUE),OR(exact(Metadata!E775,"Plant secretion"),exact(Metadata!E775,"Plant rhizosphere"),exact(Metadata!E775,"Plant surface"),exact(Metadata!E775,"Plant corpus"),exact(Metadata!E775,"Fungus surface"),exact(Metadata!E775,"Fungus corpus"),exact(Metadata!E775,"Animal surface"),exact(Metadata!E775,"Animal proximal gut"),exact(Metadata!E775,"Animal corpus"),exact(Metadata!E775,"Animal distal gut"),exact(Metadata!E775,"Animal secretion")))</f>
        <v>0</v>
      </c>
      <c r="AG775">
        <f>OR(AND(IF(Metadata!F775="",FALSE,TRUE),OR(exact(Metadata!F775,"not collected"),exact(Metadata!F775,"not provided"),exact(Metadata!F775,"restricted access"))),AND(IF(Metadata!F775="",FALSE,TRUE),OR(exact(Metadata!F775,"organism-associated habitat"),exact(Metadata!F775,"plant-associated habitat"),exact(Metadata!F775,"animal-associated habitat"),exact(Metadata!F775,"insecta-associated habitat"),exact(Metadata!F775,"mammalia-associated habitat"),exact(Metadata!F775,"human-associated habitat"),exact(Metadata!F775,"livestock-associated habitat"))))</f>
        <v>0</v>
      </c>
      <c r="AH775">
        <f>AND(IF(Metadata!G775="",FALSE,TRUE),exact(Metadata!G775,"host-associated"))</f>
        <v>0</v>
      </c>
      <c r="AI775">
        <f>OR(AND(IF(Metadata!H775="",FALSE,TRUE),OR(exact(Metadata!H775,"not collected"),exact(Metadata!H775,"not provided"))),AND(IF(Metadata!H775="",FALSE,ISNUMBER(VALUE(Metadata!H775))),Metadata!H775&gt;0))</f>
        <v>0</v>
      </c>
      <c r="AJ775">
        <f>AND(IF(Metadata!I775="",FALSE,TRUE),exact(Metadata!I775,"years"))</f>
        <v>0</v>
      </c>
      <c r="AK775">
        <f>IF(Metadata!J775="",FALSE,TRUE)</f>
        <v>0</v>
      </c>
      <c r="AL775">
        <f>OR(AND(IF(Metadata!K775="",FALSE,TRUE),OR(exact(Metadata!K775,"not collected"),exact(Metadata!K775,"not provided"))),AND(IF(Metadata!K775="",FALSE,ISNUMBER(VALUE(Metadata!K775))),Metadata!K775&gt;0))</f>
        <v>0</v>
      </c>
      <c r="AM775">
        <f>AND(IF(Metadata!L775="",FALSE,TRUE),exact(Metadata!L775,"cm"))</f>
        <v>0</v>
      </c>
      <c r="AN775">
        <f>IF(Metadata!M775="",FALSE,TRUE)</f>
        <v>0</v>
      </c>
      <c r="AO775">
        <f>OR(AND(IF(Metadata!N775="",FALSE,TRUE),OR(exact(Metadata!N775,"not applicable"),exact(Metadata!N775,"not collected"),exact(Metadata!N775,"not provided"))),AND(IF(Metadata!N775="",FALSE,IF(ISERROR(INT(Metadata!N775)),FALSE,INT(Metadata!N775)=Metadata!N775)),Metadata!N775&gt;0))</f>
        <v>0</v>
      </c>
      <c r="AP775">
        <f>OR(AND(IF(Metadata!O775="",FALSE,TRUE),OR(exact(Metadata!O775,"not collected"),exact(Metadata!O775,"not provided"))),AND(IF(Metadata!O775="",FALSE,ISNUMBER(VALUE(Metadata!O775))),Metadata!O775&gt;0))</f>
        <v>0</v>
      </c>
      <c r="AQ775">
        <f>AND(IF(Metadata!P775="",FALSE,TRUE),exact(Metadata!P775,"kg"))</f>
        <v>0</v>
      </c>
      <c r="AR775">
        <f>OR(AND(IF(Metadata!Q775="",FALSE,TRUE),OR(exact(Metadata!Q775,"not applicable"),exact(Metadata!Q775,"not collected"),exact(Metadata!Q775,"not provided"),exact(Metadata!Q775,"restricted access"))),IF(Metadata!Q775="",FALSE,IF(ISERROR(INT(Metadata!Q775)),FALSE,INT(Metadata!Q775)=Metadata!Q775)))</f>
        <v>0</v>
      </c>
      <c r="AS775">
        <f>AND(IF(Metadata!R775="",FALSE,TRUE),exact(Metadata!R775,"Not applicable"))</f>
        <v>0</v>
      </c>
    </row>
    <row r="776" spans="1:45">
      <c r="A776" s="4">
        <f>IF(B776=" "," ",HYPERLINK(CONCATENATE("#metadata!",ADDRESS(INDEX($X$2:$X$1001,MATCH(ROWS($V$2:V776),$V$2:$V$1001,0),0),2)),INDEX($AA$2:$AA$1001,MATCH(ROWS($V$2:V776),$V$2:$V$1001,0),0)))</f>
        <v>0</v>
      </c>
      <c r="B776" s="5">
        <f>IF(OR(INDEX($W$2:$W$1001,MATCH(ROWS($V$2:V776),$V$2:$V$1001,0),1)&gt;=100000,INDEX($AC$1005:$AS$1005,1,MATCH(COLUMNS($AC$1006:AC1006),$AC$1006:$AS$1006,0))&gt;=100000), " ",IF(INDEX($AC$2:$AS$1001,MATCH(ROWS($V$2:V776),$V$2:$V$1001,0),MATCH(COLUMNS($AC$1006:AC1006),$AC$1006:$AS$1006,0)), HYPERLINK("#",""), HYPERLINK(CONCATENATE("#Metadata!", ADDRESS(INDEX($X$2:$X$1001,MATCH(ROWS($V$2:V776),$V$2:$V$1001,0),0), INDEX($AC$1004:$AS$1004,1,MATCH(COLUMNS($AC$1006:AC1006),$AC$1006:$AS$1006,0)))),"Fix")))</f>
        <v>0</v>
      </c>
      <c r="C776" s="5">
        <f>IF(OR(INDEX($W$2:$W$1001,MATCH(ROWS($V$2:V776),$V$2:$V$1001,0),1)&gt;=100000,INDEX($AC$1005:$AS$1005,1,MATCH(COLUMNS($AC$1006:AD1006),$AC$1006:$AS$1006,0))&gt;=100000), " ",IF(INDEX($AC$2:$AS$1001,MATCH(ROWS($V$2:V776),$V$2:$V$1001,0),MATCH(COLUMNS($AC$1006:AD1006),$AC$1006:$AS$1006,0)), HYPERLINK("#",""), HYPERLINK(CONCATENATE("#Metadata!", ADDRESS(INDEX($X$2:$X$1001,MATCH(ROWS($V$2:V776),$V$2:$V$1001,0),0), INDEX($AC$1004:$AS$1004,1,MATCH(COLUMNS($AC$1006:AD1006),$AC$1006:$AS$1006,0)))),"Fix")))</f>
        <v>0</v>
      </c>
      <c r="D776" s="5">
        <f>IF(OR(INDEX($W$2:$W$1001,MATCH(ROWS($V$2:V776),$V$2:$V$1001,0),1)&gt;=100000,INDEX($AC$1005:$AS$1005,1,MATCH(COLUMNS($AC$1006:AE1006),$AC$1006:$AS$1006,0))&gt;=100000), " ",IF(INDEX($AC$2:$AS$1001,MATCH(ROWS($V$2:V776),$V$2:$V$1001,0),MATCH(COLUMNS($AC$1006:AE1006),$AC$1006:$AS$1006,0)), HYPERLINK("#",""), HYPERLINK(CONCATENATE("#Metadata!", ADDRESS(INDEX($X$2:$X$1001,MATCH(ROWS($V$2:V776),$V$2:$V$1001,0),0), INDEX($AC$1004:$AS$1004,1,MATCH(COLUMNS($AC$1006:AE1006),$AC$1006:$AS$1006,0)))),"Fix")))</f>
        <v>0</v>
      </c>
      <c r="E776" s="5">
        <f>IF(OR(INDEX($W$2:$W$1001,MATCH(ROWS($V$2:V776),$V$2:$V$1001,0),1)&gt;=100000,INDEX($AC$1005:$AS$1005,1,MATCH(COLUMNS($AC$1006:AF1006),$AC$1006:$AS$1006,0))&gt;=100000), " ",IF(INDEX($AC$2:$AS$1001,MATCH(ROWS($V$2:V776),$V$2:$V$1001,0),MATCH(COLUMNS($AC$1006:AF1006),$AC$1006:$AS$1006,0)), HYPERLINK("#",""), HYPERLINK(CONCATENATE("#Metadata!", ADDRESS(INDEX($X$2:$X$1001,MATCH(ROWS($V$2:V776),$V$2:$V$1001,0),0), INDEX($AC$1004:$AS$1004,1,MATCH(COLUMNS($AC$1006:AF1006),$AC$1006:$AS$1006,0)))),"Fix")))</f>
        <v>0</v>
      </c>
      <c r="F776" s="5">
        <f>IF(OR(INDEX($W$2:$W$1001,MATCH(ROWS($V$2:V776),$V$2:$V$1001,0),1)&gt;=100000,INDEX($AC$1005:$AS$1005,1,MATCH(COLUMNS($AC$1006:AG1006),$AC$1006:$AS$1006,0))&gt;=100000), " ",IF(INDEX($AC$2:$AS$1001,MATCH(ROWS($V$2:V776),$V$2:$V$1001,0),MATCH(COLUMNS($AC$1006:AG1006),$AC$1006:$AS$1006,0)), HYPERLINK("#",""), HYPERLINK(CONCATENATE("#Metadata!", ADDRESS(INDEX($X$2:$X$1001,MATCH(ROWS($V$2:V776),$V$2:$V$1001,0),0), INDEX($AC$1004:$AS$1004,1,MATCH(COLUMNS($AC$1006:AG1006),$AC$1006:$AS$1006,0)))),"Fix")))</f>
        <v>0</v>
      </c>
      <c r="G776" s="5">
        <f>IF(OR(INDEX($W$2:$W$1001,MATCH(ROWS($V$2:V776),$V$2:$V$1001,0),1)&gt;=100000,INDEX($AC$1005:$AS$1005,1,MATCH(COLUMNS($AC$1006:AH1006),$AC$1006:$AS$1006,0))&gt;=100000), " ",IF(INDEX($AC$2:$AS$1001,MATCH(ROWS($V$2:V776),$V$2:$V$1001,0),MATCH(COLUMNS($AC$1006:AH1006),$AC$1006:$AS$1006,0)), HYPERLINK("#",""), HYPERLINK(CONCATENATE("#Metadata!", ADDRESS(INDEX($X$2:$X$1001,MATCH(ROWS($V$2:V776),$V$2:$V$1001,0),0), INDEX($AC$1004:$AS$1004,1,MATCH(COLUMNS($AC$1006:AH1006),$AC$1006:$AS$1006,0)))),"Fix")))</f>
        <v>0</v>
      </c>
      <c r="H776" s="5">
        <f>IF(OR(INDEX($W$2:$W$1001,MATCH(ROWS($V$2:V776),$V$2:$V$1001,0),1)&gt;=100000,INDEX($AC$1005:$AS$1005,1,MATCH(COLUMNS($AC$1006:AI1006),$AC$1006:$AS$1006,0))&gt;=100000), " ",IF(INDEX($AC$2:$AS$1001,MATCH(ROWS($V$2:V776),$V$2:$V$1001,0),MATCH(COLUMNS($AC$1006:AI1006),$AC$1006:$AS$1006,0)), HYPERLINK("#",""), HYPERLINK(CONCATENATE("#Metadata!", ADDRESS(INDEX($X$2:$X$1001,MATCH(ROWS($V$2:V776),$V$2:$V$1001,0),0), INDEX($AC$1004:$AS$1004,1,MATCH(COLUMNS($AC$1006:AI1006),$AC$1006:$AS$1006,0)))),"Fix")))</f>
        <v>0</v>
      </c>
      <c r="I776" s="5">
        <f>IF(OR(INDEX($W$2:$W$1001,MATCH(ROWS($V$2:V776),$V$2:$V$1001,0),1)&gt;=100000,INDEX($AC$1005:$AS$1005,1,MATCH(COLUMNS($AC$1006:AJ1006),$AC$1006:$AS$1006,0))&gt;=100000), " ",IF(INDEX($AC$2:$AS$1001,MATCH(ROWS($V$2:V776),$V$2:$V$1001,0),MATCH(COLUMNS($AC$1006:AJ1006),$AC$1006:$AS$1006,0)), HYPERLINK("#",""), HYPERLINK(CONCATENATE("#Metadata!", ADDRESS(INDEX($X$2:$X$1001,MATCH(ROWS($V$2:V776),$V$2:$V$1001,0),0), INDEX($AC$1004:$AS$1004,1,MATCH(COLUMNS($AC$1006:AJ1006),$AC$1006:$AS$1006,0)))),"Fix")))</f>
        <v>0</v>
      </c>
      <c r="J776" s="5">
        <f>IF(OR(INDEX($W$2:$W$1001,MATCH(ROWS($V$2:V776),$V$2:$V$1001,0),1)&gt;=100000,INDEX($AC$1005:$AS$1005,1,MATCH(COLUMNS($AC$1006:AK1006),$AC$1006:$AS$1006,0))&gt;=100000), " ",IF(INDEX($AC$2:$AS$1001,MATCH(ROWS($V$2:V776),$V$2:$V$1001,0),MATCH(COLUMNS($AC$1006:AK1006),$AC$1006:$AS$1006,0)), HYPERLINK("#",""), HYPERLINK(CONCATENATE("#Metadata!", ADDRESS(INDEX($X$2:$X$1001,MATCH(ROWS($V$2:V776),$V$2:$V$1001,0),0), INDEX($AC$1004:$AS$1004,1,MATCH(COLUMNS($AC$1006:AK1006),$AC$1006:$AS$1006,0)))),"Fix")))</f>
        <v>0</v>
      </c>
      <c r="K776" s="5">
        <f>IF(OR(INDEX($W$2:$W$1001,MATCH(ROWS($V$2:V776),$V$2:$V$1001,0),1)&gt;=100000,INDEX($AC$1005:$AS$1005,1,MATCH(COLUMNS($AC$1006:AL1006),$AC$1006:$AS$1006,0))&gt;=100000), " ",IF(INDEX($AC$2:$AS$1001,MATCH(ROWS($V$2:V776),$V$2:$V$1001,0),MATCH(COLUMNS($AC$1006:AL1006),$AC$1006:$AS$1006,0)), HYPERLINK("#",""), HYPERLINK(CONCATENATE("#Metadata!", ADDRESS(INDEX($X$2:$X$1001,MATCH(ROWS($V$2:V776),$V$2:$V$1001,0),0), INDEX($AC$1004:$AS$1004,1,MATCH(COLUMNS($AC$1006:AL1006),$AC$1006:$AS$1006,0)))),"Fix")))</f>
        <v>0</v>
      </c>
      <c r="L776" s="5">
        <f>IF(OR(INDEX($W$2:$W$1001,MATCH(ROWS($V$2:V776),$V$2:$V$1001,0),1)&gt;=100000,INDEX($AC$1005:$AS$1005,1,MATCH(COLUMNS($AC$1006:AM1006),$AC$1006:$AS$1006,0))&gt;=100000), " ",IF(INDEX($AC$2:$AS$1001,MATCH(ROWS($V$2:V776),$V$2:$V$1001,0),MATCH(COLUMNS($AC$1006:AM1006),$AC$1006:$AS$1006,0)), HYPERLINK("#",""), HYPERLINK(CONCATENATE("#Metadata!", ADDRESS(INDEX($X$2:$X$1001,MATCH(ROWS($V$2:V776),$V$2:$V$1001,0),0), INDEX($AC$1004:$AS$1004,1,MATCH(COLUMNS($AC$1006:AM1006),$AC$1006:$AS$1006,0)))),"Fix")))</f>
        <v>0</v>
      </c>
      <c r="M776" s="5">
        <f>IF(OR(INDEX($W$2:$W$1001,MATCH(ROWS($V$2:V776),$V$2:$V$1001,0),1)&gt;=100000,INDEX($AC$1005:$AS$1005,1,MATCH(COLUMNS($AC$1006:AN1006),$AC$1006:$AS$1006,0))&gt;=100000), " ",IF(INDEX($AC$2:$AS$1001,MATCH(ROWS($V$2:V776),$V$2:$V$1001,0),MATCH(COLUMNS($AC$1006:AN1006),$AC$1006:$AS$1006,0)), HYPERLINK("#",""), HYPERLINK(CONCATENATE("#Metadata!", ADDRESS(INDEX($X$2:$X$1001,MATCH(ROWS($V$2:V776),$V$2:$V$1001,0),0), INDEX($AC$1004:$AS$1004,1,MATCH(COLUMNS($AC$1006:AN1006),$AC$1006:$AS$1006,0)))),"Fix")))</f>
        <v>0</v>
      </c>
      <c r="N776" s="5">
        <f>IF(OR(INDEX($W$2:$W$1001,MATCH(ROWS($V$2:V776),$V$2:$V$1001,0),1)&gt;=100000,INDEX($AC$1005:$AS$1005,1,MATCH(COLUMNS($AC$1006:AO1006),$AC$1006:$AS$1006,0))&gt;=100000), " ",IF(INDEX($AC$2:$AS$1001,MATCH(ROWS($V$2:V776),$V$2:$V$1001,0),MATCH(COLUMNS($AC$1006:AO1006),$AC$1006:$AS$1006,0)), HYPERLINK("#",""), HYPERLINK(CONCATENATE("#Metadata!", ADDRESS(INDEX($X$2:$X$1001,MATCH(ROWS($V$2:V776),$V$2:$V$1001,0),0), INDEX($AC$1004:$AS$1004,1,MATCH(COLUMNS($AC$1006:AO1006),$AC$1006:$AS$1006,0)))),"Fix")))</f>
        <v>0</v>
      </c>
      <c r="O776" s="5">
        <f>IF(OR(INDEX($W$2:$W$1001,MATCH(ROWS($V$2:V776),$V$2:$V$1001,0),1)&gt;=100000,INDEX($AC$1005:$AS$1005,1,MATCH(COLUMNS($AC$1006:AP1006),$AC$1006:$AS$1006,0))&gt;=100000), " ",IF(INDEX($AC$2:$AS$1001,MATCH(ROWS($V$2:V776),$V$2:$V$1001,0),MATCH(COLUMNS($AC$1006:AP1006),$AC$1006:$AS$1006,0)), HYPERLINK("#",""), HYPERLINK(CONCATENATE("#Metadata!", ADDRESS(INDEX($X$2:$X$1001,MATCH(ROWS($V$2:V776),$V$2:$V$1001,0),0), INDEX($AC$1004:$AS$1004,1,MATCH(COLUMNS($AC$1006:AP1006),$AC$1006:$AS$1006,0)))),"Fix")))</f>
        <v>0</v>
      </c>
      <c r="P776" s="5">
        <f>IF(OR(INDEX($W$2:$W$1001,MATCH(ROWS($V$2:V776),$V$2:$V$1001,0),1)&gt;=100000,INDEX($AC$1005:$AS$1005,1,MATCH(COLUMNS($AC$1006:AQ1006),$AC$1006:$AS$1006,0))&gt;=100000), " ",IF(INDEX($AC$2:$AS$1001,MATCH(ROWS($V$2:V776),$V$2:$V$1001,0),MATCH(COLUMNS($AC$1006:AQ1006),$AC$1006:$AS$1006,0)), HYPERLINK("#",""), HYPERLINK(CONCATENATE("#Metadata!", ADDRESS(INDEX($X$2:$X$1001,MATCH(ROWS($V$2:V776),$V$2:$V$1001,0),0), INDEX($AC$1004:$AS$1004,1,MATCH(COLUMNS($AC$1006:AQ1006),$AC$1006:$AS$1006,0)))),"Fix")))</f>
        <v>0</v>
      </c>
      <c r="Q776" s="5">
        <f>IF(OR(INDEX($W$2:$W$1001,MATCH(ROWS($V$2:V776),$V$2:$V$1001,0),1)&gt;=100000,INDEX($AC$1005:$AS$1005,1,MATCH(COLUMNS($AC$1006:AR1006),$AC$1006:$AS$1006,0))&gt;=100000), " ",IF(INDEX($AC$2:$AS$1001,MATCH(ROWS($V$2:V776),$V$2:$V$1001,0),MATCH(COLUMNS($AC$1006:AR1006),$AC$1006:$AS$1006,0)), HYPERLINK("#",""), HYPERLINK(CONCATENATE("#Metadata!", ADDRESS(INDEX($X$2:$X$1001,MATCH(ROWS($V$2:V776),$V$2:$V$1001,0),0), INDEX($AC$1004:$AS$1004,1,MATCH(COLUMNS($AC$1006:AR1006),$AC$1006:$AS$1006,0)))),"Fix")))</f>
        <v>0</v>
      </c>
      <c r="R776" s="5">
        <f>IF(OR(INDEX($W$2:$W$1001,MATCH(ROWS($V$2:V776),$V$2:$V$1001,0),1)&gt;=100000,INDEX($AC$1005:$AS$1005,1,MATCH(COLUMNS($AC$1006:AS1006),$AC$1006:$AS$1006,0))&gt;=100000), " ",IF(INDEX($AC$2:$AS$1001,MATCH(ROWS($V$2:V776),$V$2:$V$1001,0),MATCH(COLUMNS($AC$1006:AS1006),$AC$1006:$AS$1006,0)), HYPERLINK("#",""), HYPERLINK(CONCATENATE("#Metadata!", ADDRESS(INDEX($X$2:$X$1001,MATCH(ROWS($V$2:V776),$V$2:$V$1001,0),0), INDEX($AC$1004:$AS$1004,1,MATCH(COLUMNS($AC$1006:AS1006),$AC$1006:$AS$1006,0)))),"Fix")))</f>
        <v>0</v>
      </c>
      <c r="V776">
        <v>0</v>
      </c>
      <c r="W776">
        <v>0</v>
      </c>
      <c r="X776">
        <v>0</v>
      </c>
      <c r="Y776">
        <f>IF(Z776,TRUE,AND(AC776:AS776))</f>
        <v>0</v>
      </c>
      <c r="Z776">
        <f>COUNTBLANK(Metadata!B776:R776)=COLUMNS(Metadata!B776:R776)</f>
        <v>0</v>
      </c>
      <c r="AA776">
        <v>0</v>
      </c>
      <c r="AC776">
        <f>AND(IF(Metadata!B776="",FALSE,TRUE),COUNTIF(Metadata!B:B, Metadata!B776) = 1,NOT(ISERROR(SUMPRODUCT(SEARCH(MID(Metadata!B776,ROW(INDIRECT("1:"&amp;LEN(Metadata!B776))), 1),"0123456789abcdefghijklmnopqrstuvwxyzABCDEFGHIJKLMNOPQRSTUVWXYZ.")))))</f>
        <v>0</v>
      </c>
      <c r="AD776">
        <f>AND(IF(Metadata!C776="",FALSE,TRUE),exact(Metadata!C776,"Host-associated"))</f>
        <v>0</v>
      </c>
      <c r="AE776">
        <f>AND(IF(Metadata!D776="",FALSE,TRUE),OR(exact(Metadata!D776,"Animal"),exact(Metadata!D776,"Fungus"),exact(Metadata!D776,"Plant")))</f>
        <v>0</v>
      </c>
      <c r="AF776">
        <f>AND(IF(Metadata!E776="",FALSE,TRUE),OR(exact(Metadata!E776,"Plant secretion"),exact(Metadata!E776,"Plant rhizosphere"),exact(Metadata!E776,"Plant surface"),exact(Metadata!E776,"Plant corpus"),exact(Metadata!E776,"Fungus surface"),exact(Metadata!E776,"Fungus corpus"),exact(Metadata!E776,"Animal surface"),exact(Metadata!E776,"Animal proximal gut"),exact(Metadata!E776,"Animal corpus"),exact(Metadata!E776,"Animal distal gut"),exact(Metadata!E776,"Animal secretion")))</f>
        <v>0</v>
      </c>
      <c r="AG776">
        <f>OR(AND(IF(Metadata!F776="",FALSE,TRUE),OR(exact(Metadata!F776,"not collected"),exact(Metadata!F776,"not provided"),exact(Metadata!F776,"restricted access"))),AND(IF(Metadata!F776="",FALSE,TRUE),OR(exact(Metadata!F776,"organism-associated habitat"),exact(Metadata!F776,"plant-associated habitat"),exact(Metadata!F776,"animal-associated habitat"),exact(Metadata!F776,"insecta-associated habitat"),exact(Metadata!F776,"mammalia-associated habitat"),exact(Metadata!F776,"human-associated habitat"),exact(Metadata!F776,"livestock-associated habitat"))))</f>
        <v>0</v>
      </c>
      <c r="AH776">
        <f>AND(IF(Metadata!G776="",FALSE,TRUE),exact(Metadata!G776,"host-associated"))</f>
        <v>0</v>
      </c>
      <c r="AI776">
        <f>OR(AND(IF(Metadata!H776="",FALSE,TRUE),OR(exact(Metadata!H776,"not collected"),exact(Metadata!H776,"not provided"))),AND(IF(Metadata!H776="",FALSE,ISNUMBER(VALUE(Metadata!H776))),Metadata!H776&gt;0))</f>
        <v>0</v>
      </c>
      <c r="AJ776">
        <f>AND(IF(Metadata!I776="",FALSE,TRUE),exact(Metadata!I776,"years"))</f>
        <v>0</v>
      </c>
      <c r="AK776">
        <f>IF(Metadata!J776="",FALSE,TRUE)</f>
        <v>0</v>
      </c>
      <c r="AL776">
        <f>OR(AND(IF(Metadata!K776="",FALSE,TRUE),OR(exact(Metadata!K776,"not collected"),exact(Metadata!K776,"not provided"))),AND(IF(Metadata!K776="",FALSE,ISNUMBER(VALUE(Metadata!K776))),Metadata!K776&gt;0))</f>
        <v>0</v>
      </c>
      <c r="AM776">
        <f>AND(IF(Metadata!L776="",FALSE,TRUE),exact(Metadata!L776,"cm"))</f>
        <v>0</v>
      </c>
      <c r="AN776">
        <f>IF(Metadata!M776="",FALSE,TRUE)</f>
        <v>0</v>
      </c>
      <c r="AO776">
        <f>OR(AND(IF(Metadata!N776="",FALSE,TRUE),OR(exact(Metadata!N776,"not applicable"),exact(Metadata!N776,"not collected"),exact(Metadata!N776,"not provided"))),AND(IF(Metadata!N776="",FALSE,IF(ISERROR(INT(Metadata!N776)),FALSE,INT(Metadata!N776)=Metadata!N776)),Metadata!N776&gt;0))</f>
        <v>0</v>
      </c>
      <c r="AP776">
        <f>OR(AND(IF(Metadata!O776="",FALSE,TRUE),OR(exact(Metadata!O776,"not collected"),exact(Metadata!O776,"not provided"))),AND(IF(Metadata!O776="",FALSE,ISNUMBER(VALUE(Metadata!O776))),Metadata!O776&gt;0))</f>
        <v>0</v>
      </c>
      <c r="AQ776">
        <f>AND(IF(Metadata!P776="",FALSE,TRUE),exact(Metadata!P776,"kg"))</f>
        <v>0</v>
      </c>
      <c r="AR776">
        <f>OR(AND(IF(Metadata!Q776="",FALSE,TRUE),OR(exact(Metadata!Q776,"not applicable"),exact(Metadata!Q776,"not collected"),exact(Metadata!Q776,"not provided"),exact(Metadata!Q776,"restricted access"))),IF(Metadata!Q776="",FALSE,IF(ISERROR(INT(Metadata!Q776)),FALSE,INT(Metadata!Q776)=Metadata!Q776)))</f>
        <v>0</v>
      </c>
      <c r="AS776">
        <f>AND(IF(Metadata!R776="",FALSE,TRUE),exact(Metadata!R776,"Not applicable"))</f>
        <v>0</v>
      </c>
    </row>
    <row r="777" spans="1:45">
      <c r="A777" s="4">
        <f>IF(B777=" "," ",HYPERLINK(CONCATENATE("#metadata!",ADDRESS(INDEX($X$2:$X$1001,MATCH(ROWS($V$2:V777),$V$2:$V$1001,0),0),2)),INDEX($AA$2:$AA$1001,MATCH(ROWS($V$2:V777),$V$2:$V$1001,0),0)))</f>
        <v>0</v>
      </c>
      <c r="B777" s="5">
        <f>IF(OR(INDEX($W$2:$W$1001,MATCH(ROWS($V$2:V777),$V$2:$V$1001,0),1)&gt;=100000,INDEX($AC$1005:$AS$1005,1,MATCH(COLUMNS($AC$1006:AC1006),$AC$1006:$AS$1006,0))&gt;=100000), " ",IF(INDEX($AC$2:$AS$1001,MATCH(ROWS($V$2:V777),$V$2:$V$1001,0),MATCH(COLUMNS($AC$1006:AC1006),$AC$1006:$AS$1006,0)), HYPERLINK("#",""), HYPERLINK(CONCATENATE("#Metadata!", ADDRESS(INDEX($X$2:$X$1001,MATCH(ROWS($V$2:V777),$V$2:$V$1001,0),0), INDEX($AC$1004:$AS$1004,1,MATCH(COLUMNS($AC$1006:AC1006),$AC$1006:$AS$1006,0)))),"Fix")))</f>
        <v>0</v>
      </c>
      <c r="C777" s="5">
        <f>IF(OR(INDEX($W$2:$W$1001,MATCH(ROWS($V$2:V777),$V$2:$V$1001,0),1)&gt;=100000,INDEX($AC$1005:$AS$1005,1,MATCH(COLUMNS($AC$1006:AD1006),$AC$1006:$AS$1006,0))&gt;=100000), " ",IF(INDEX($AC$2:$AS$1001,MATCH(ROWS($V$2:V777),$V$2:$V$1001,0),MATCH(COLUMNS($AC$1006:AD1006),$AC$1006:$AS$1006,0)), HYPERLINK("#",""), HYPERLINK(CONCATENATE("#Metadata!", ADDRESS(INDEX($X$2:$X$1001,MATCH(ROWS($V$2:V777),$V$2:$V$1001,0),0), INDEX($AC$1004:$AS$1004,1,MATCH(COLUMNS($AC$1006:AD1006),$AC$1006:$AS$1006,0)))),"Fix")))</f>
        <v>0</v>
      </c>
      <c r="D777" s="5">
        <f>IF(OR(INDEX($W$2:$W$1001,MATCH(ROWS($V$2:V777),$V$2:$V$1001,0),1)&gt;=100000,INDEX($AC$1005:$AS$1005,1,MATCH(COLUMNS($AC$1006:AE1006),$AC$1006:$AS$1006,0))&gt;=100000), " ",IF(INDEX($AC$2:$AS$1001,MATCH(ROWS($V$2:V777),$V$2:$V$1001,0),MATCH(COLUMNS($AC$1006:AE1006),$AC$1006:$AS$1006,0)), HYPERLINK("#",""), HYPERLINK(CONCATENATE("#Metadata!", ADDRESS(INDEX($X$2:$X$1001,MATCH(ROWS($V$2:V777),$V$2:$V$1001,0),0), INDEX($AC$1004:$AS$1004,1,MATCH(COLUMNS($AC$1006:AE1006),$AC$1006:$AS$1006,0)))),"Fix")))</f>
        <v>0</v>
      </c>
      <c r="E777" s="5">
        <f>IF(OR(INDEX($W$2:$W$1001,MATCH(ROWS($V$2:V777),$V$2:$V$1001,0),1)&gt;=100000,INDEX($AC$1005:$AS$1005,1,MATCH(COLUMNS($AC$1006:AF1006),$AC$1006:$AS$1006,0))&gt;=100000), " ",IF(INDEX($AC$2:$AS$1001,MATCH(ROWS($V$2:V777),$V$2:$V$1001,0),MATCH(COLUMNS($AC$1006:AF1006),$AC$1006:$AS$1006,0)), HYPERLINK("#",""), HYPERLINK(CONCATENATE("#Metadata!", ADDRESS(INDEX($X$2:$X$1001,MATCH(ROWS($V$2:V777),$V$2:$V$1001,0),0), INDEX($AC$1004:$AS$1004,1,MATCH(COLUMNS($AC$1006:AF1006),$AC$1006:$AS$1006,0)))),"Fix")))</f>
        <v>0</v>
      </c>
      <c r="F777" s="5">
        <f>IF(OR(INDEX($W$2:$W$1001,MATCH(ROWS($V$2:V777),$V$2:$V$1001,0),1)&gt;=100000,INDEX($AC$1005:$AS$1005,1,MATCH(COLUMNS($AC$1006:AG1006),$AC$1006:$AS$1006,0))&gt;=100000), " ",IF(INDEX($AC$2:$AS$1001,MATCH(ROWS($V$2:V777),$V$2:$V$1001,0),MATCH(COLUMNS($AC$1006:AG1006),$AC$1006:$AS$1006,0)), HYPERLINK("#",""), HYPERLINK(CONCATENATE("#Metadata!", ADDRESS(INDEX($X$2:$X$1001,MATCH(ROWS($V$2:V777),$V$2:$V$1001,0),0), INDEX($AC$1004:$AS$1004,1,MATCH(COLUMNS($AC$1006:AG1006),$AC$1006:$AS$1006,0)))),"Fix")))</f>
        <v>0</v>
      </c>
      <c r="G777" s="5">
        <f>IF(OR(INDEX($W$2:$W$1001,MATCH(ROWS($V$2:V777),$V$2:$V$1001,0),1)&gt;=100000,INDEX($AC$1005:$AS$1005,1,MATCH(COLUMNS($AC$1006:AH1006),$AC$1006:$AS$1006,0))&gt;=100000), " ",IF(INDEX($AC$2:$AS$1001,MATCH(ROWS($V$2:V777),$V$2:$V$1001,0),MATCH(COLUMNS($AC$1006:AH1006),$AC$1006:$AS$1006,0)), HYPERLINK("#",""), HYPERLINK(CONCATENATE("#Metadata!", ADDRESS(INDEX($X$2:$X$1001,MATCH(ROWS($V$2:V777),$V$2:$V$1001,0),0), INDEX($AC$1004:$AS$1004,1,MATCH(COLUMNS($AC$1006:AH1006),$AC$1006:$AS$1006,0)))),"Fix")))</f>
        <v>0</v>
      </c>
      <c r="H777" s="5">
        <f>IF(OR(INDEX($W$2:$W$1001,MATCH(ROWS($V$2:V777),$V$2:$V$1001,0),1)&gt;=100000,INDEX($AC$1005:$AS$1005,1,MATCH(COLUMNS($AC$1006:AI1006),$AC$1006:$AS$1006,0))&gt;=100000), " ",IF(INDEX($AC$2:$AS$1001,MATCH(ROWS($V$2:V777),$V$2:$V$1001,0),MATCH(COLUMNS($AC$1006:AI1006),$AC$1006:$AS$1006,0)), HYPERLINK("#",""), HYPERLINK(CONCATENATE("#Metadata!", ADDRESS(INDEX($X$2:$X$1001,MATCH(ROWS($V$2:V777),$V$2:$V$1001,0),0), INDEX($AC$1004:$AS$1004,1,MATCH(COLUMNS($AC$1006:AI1006),$AC$1006:$AS$1006,0)))),"Fix")))</f>
        <v>0</v>
      </c>
      <c r="I777" s="5">
        <f>IF(OR(INDEX($W$2:$W$1001,MATCH(ROWS($V$2:V777),$V$2:$V$1001,0),1)&gt;=100000,INDEX($AC$1005:$AS$1005,1,MATCH(COLUMNS($AC$1006:AJ1006),$AC$1006:$AS$1006,0))&gt;=100000), " ",IF(INDEX($AC$2:$AS$1001,MATCH(ROWS($V$2:V777),$V$2:$V$1001,0),MATCH(COLUMNS($AC$1006:AJ1006),$AC$1006:$AS$1006,0)), HYPERLINK("#",""), HYPERLINK(CONCATENATE("#Metadata!", ADDRESS(INDEX($X$2:$X$1001,MATCH(ROWS($V$2:V777),$V$2:$V$1001,0),0), INDEX($AC$1004:$AS$1004,1,MATCH(COLUMNS($AC$1006:AJ1006),$AC$1006:$AS$1006,0)))),"Fix")))</f>
        <v>0</v>
      </c>
      <c r="J777" s="5">
        <f>IF(OR(INDEX($W$2:$W$1001,MATCH(ROWS($V$2:V777),$V$2:$V$1001,0),1)&gt;=100000,INDEX($AC$1005:$AS$1005,1,MATCH(COLUMNS($AC$1006:AK1006),$AC$1006:$AS$1006,0))&gt;=100000), " ",IF(INDEX($AC$2:$AS$1001,MATCH(ROWS($V$2:V777),$V$2:$V$1001,0),MATCH(COLUMNS($AC$1006:AK1006),$AC$1006:$AS$1006,0)), HYPERLINK("#",""), HYPERLINK(CONCATENATE("#Metadata!", ADDRESS(INDEX($X$2:$X$1001,MATCH(ROWS($V$2:V777),$V$2:$V$1001,0),0), INDEX($AC$1004:$AS$1004,1,MATCH(COLUMNS($AC$1006:AK1006),$AC$1006:$AS$1006,0)))),"Fix")))</f>
        <v>0</v>
      </c>
      <c r="K777" s="5">
        <f>IF(OR(INDEX($W$2:$W$1001,MATCH(ROWS($V$2:V777),$V$2:$V$1001,0),1)&gt;=100000,INDEX($AC$1005:$AS$1005,1,MATCH(COLUMNS($AC$1006:AL1006),$AC$1006:$AS$1006,0))&gt;=100000), " ",IF(INDEX($AC$2:$AS$1001,MATCH(ROWS($V$2:V777),$V$2:$V$1001,0),MATCH(COLUMNS($AC$1006:AL1006),$AC$1006:$AS$1006,0)), HYPERLINK("#",""), HYPERLINK(CONCATENATE("#Metadata!", ADDRESS(INDEX($X$2:$X$1001,MATCH(ROWS($V$2:V777),$V$2:$V$1001,0),0), INDEX($AC$1004:$AS$1004,1,MATCH(COLUMNS($AC$1006:AL1006),$AC$1006:$AS$1006,0)))),"Fix")))</f>
        <v>0</v>
      </c>
      <c r="L777" s="5">
        <f>IF(OR(INDEX($W$2:$W$1001,MATCH(ROWS($V$2:V777),$V$2:$V$1001,0),1)&gt;=100000,INDEX($AC$1005:$AS$1005,1,MATCH(COLUMNS($AC$1006:AM1006),$AC$1006:$AS$1006,0))&gt;=100000), " ",IF(INDEX($AC$2:$AS$1001,MATCH(ROWS($V$2:V777),$V$2:$V$1001,0),MATCH(COLUMNS($AC$1006:AM1006),$AC$1006:$AS$1006,0)), HYPERLINK("#",""), HYPERLINK(CONCATENATE("#Metadata!", ADDRESS(INDEX($X$2:$X$1001,MATCH(ROWS($V$2:V777),$V$2:$V$1001,0),0), INDEX($AC$1004:$AS$1004,1,MATCH(COLUMNS($AC$1006:AM1006),$AC$1006:$AS$1006,0)))),"Fix")))</f>
        <v>0</v>
      </c>
      <c r="M777" s="5">
        <f>IF(OR(INDEX($W$2:$W$1001,MATCH(ROWS($V$2:V777),$V$2:$V$1001,0),1)&gt;=100000,INDEX($AC$1005:$AS$1005,1,MATCH(COLUMNS($AC$1006:AN1006),$AC$1006:$AS$1006,0))&gt;=100000), " ",IF(INDEX($AC$2:$AS$1001,MATCH(ROWS($V$2:V777),$V$2:$V$1001,0),MATCH(COLUMNS($AC$1006:AN1006),$AC$1006:$AS$1006,0)), HYPERLINK("#",""), HYPERLINK(CONCATENATE("#Metadata!", ADDRESS(INDEX($X$2:$X$1001,MATCH(ROWS($V$2:V777),$V$2:$V$1001,0),0), INDEX($AC$1004:$AS$1004,1,MATCH(COLUMNS($AC$1006:AN1006),$AC$1006:$AS$1006,0)))),"Fix")))</f>
        <v>0</v>
      </c>
      <c r="N777" s="5">
        <f>IF(OR(INDEX($W$2:$W$1001,MATCH(ROWS($V$2:V777),$V$2:$V$1001,0),1)&gt;=100000,INDEX($AC$1005:$AS$1005,1,MATCH(COLUMNS($AC$1006:AO1006),$AC$1006:$AS$1006,0))&gt;=100000), " ",IF(INDEX($AC$2:$AS$1001,MATCH(ROWS($V$2:V777),$V$2:$V$1001,0),MATCH(COLUMNS($AC$1006:AO1006),$AC$1006:$AS$1006,0)), HYPERLINK("#",""), HYPERLINK(CONCATENATE("#Metadata!", ADDRESS(INDEX($X$2:$X$1001,MATCH(ROWS($V$2:V777),$V$2:$V$1001,0),0), INDEX($AC$1004:$AS$1004,1,MATCH(COLUMNS($AC$1006:AO1006),$AC$1006:$AS$1006,0)))),"Fix")))</f>
        <v>0</v>
      </c>
      <c r="O777" s="5">
        <f>IF(OR(INDEX($W$2:$W$1001,MATCH(ROWS($V$2:V777),$V$2:$V$1001,0),1)&gt;=100000,INDEX($AC$1005:$AS$1005,1,MATCH(COLUMNS($AC$1006:AP1006),$AC$1006:$AS$1006,0))&gt;=100000), " ",IF(INDEX($AC$2:$AS$1001,MATCH(ROWS($V$2:V777),$V$2:$V$1001,0),MATCH(COLUMNS($AC$1006:AP1006),$AC$1006:$AS$1006,0)), HYPERLINK("#",""), HYPERLINK(CONCATENATE("#Metadata!", ADDRESS(INDEX($X$2:$X$1001,MATCH(ROWS($V$2:V777),$V$2:$V$1001,0),0), INDEX($AC$1004:$AS$1004,1,MATCH(COLUMNS($AC$1006:AP1006),$AC$1006:$AS$1006,0)))),"Fix")))</f>
        <v>0</v>
      </c>
      <c r="P777" s="5">
        <f>IF(OR(INDEX($W$2:$W$1001,MATCH(ROWS($V$2:V777),$V$2:$V$1001,0),1)&gt;=100000,INDEX($AC$1005:$AS$1005,1,MATCH(COLUMNS($AC$1006:AQ1006),$AC$1006:$AS$1006,0))&gt;=100000), " ",IF(INDEX($AC$2:$AS$1001,MATCH(ROWS($V$2:V777),$V$2:$V$1001,0),MATCH(COLUMNS($AC$1006:AQ1006),$AC$1006:$AS$1006,0)), HYPERLINK("#",""), HYPERLINK(CONCATENATE("#Metadata!", ADDRESS(INDEX($X$2:$X$1001,MATCH(ROWS($V$2:V777),$V$2:$V$1001,0),0), INDEX($AC$1004:$AS$1004,1,MATCH(COLUMNS($AC$1006:AQ1006),$AC$1006:$AS$1006,0)))),"Fix")))</f>
        <v>0</v>
      </c>
      <c r="Q777" s="5">
        <f>IF(OR(INDEX($W$2:$W$1001,MATCH(ROWS($V$2:V777),$V$2:$V$1001,0),1)&gt;=100000,INDEX($AC$1005:$AS$1005,1,MATCH(COLUMNS($AC$1006:AR1006),$AC$1006:$AS$1006,0))&gt;=100000), " ",IF(INDEX($AC$2:$AS$1001,MATCH(ROWS($V$2:V777),$V$2:$V$1001,0),MATCH(COLUMNS($AC$1006:AR1006),$AC$1006:$AS$1006,0)), HYPERLINK("#",""), HYPERLINK(CONCATENATE("#Metadata!", ADDRESS(INDEX($X$2:$X$1001,MATCH(ROWS($V$2:V777),$V$2:$V$1001,0),0), INDEX($AC$1004:$AS$1004,1,MATCH(COLUMNS($AC$1006:AR1006),$AC$1006:$AS$1006,0)))),"Fix")))</f>
        <v>0</v>
      </c>
      <c r="R777" s="5">
        <f>IF(OR(INDEX($W$2:$W$1001,MATCH(ROWS($V$2:V777),$V$2:$V$1001,0),1)&gt;=100000,INDEX($AC$1005:$AS$1005,1,MATCH(COLUMNS($AC$1006:AS1006),$AC$1006:$AS$1006,0))&gt;=100000), " ",IF(INDEX($AC$2:$AS$1001,MATCH(ROWS($V$2:V777),$V$2:$V$1001,0),MATCH(COLUMNS($AC$1006:AS1006),$AC$1006:$AS$1006,0)), HYPERLINK("#",""), HYPERLINK(CONCATENATE("#Metadata!", ADDRESS(INDEX($X$2:$X$1001,MATCH(ROWS($V$2:V777),$V$2:$V$1001,0),0), INDEX($AC$1004:$AS$1004,1,MATCH(COLUMNS($AC$1006:AS1006),$AC$1006:$AS$1006,0)))),"Fix")))</f>
        <v>0</v>
      </c>
      <c r="V777">
        <v>0</v>
      </c>
      <c r="W777">
        <v>0</v>
      </c>
      <c r="X777">
        <v>0</v>
      </c>
      <c r="Y777">
        <f>IF(Z777,TRUE,AND(AC777:AS777))</f>
        <v>0</v>
      </c>
      <c r="Z777">
        <f>COUNTBLANK(Metadata!B777:R777)=COLUMNS(Metadata!B777:R777)</f>
        <v>0</v>
      </c>
      <c r="AA777">
        <v>0</v>
      </c>
      <c r="AC777">
        <f>AND(IF(Metadata!B777="",FALSE,TRUE),COUNTIF(Metadata!B:B, Metadata!B777) = 1,NOT(ISERROR(SUMPRODUCT(SEARCH(MID(Metadata!B777,ROW(INDIRECT("1:"&amp;LEN(Metadata!B777))), 1),"0123456789abcdefghijklmnopqrstuvwxyzABCDEFGHIJKLMNOPQRSTUVWXYZ.")))))</f>
        <v>0</v>
      </c>
      <c r="AD777">
        <f>AND(IF(Metadata!C777="",FALSE,TRUE),exact(Metadata!C777,"Host-associated"))</f>
        <v>0</v>
      </c>
      <c r="AE777">
        <f>AND(IF(Metadata!D777="",FALSE,TRUE),OR(exact(Metadata!D777,"Animal"),exact(Metadata!D777,"Fungus"),exact(Metadata!D777,"Plant")))</f>
        <v>0</v>
      </c>
      <c r="AF777">
        <f>AND(IF(Metadata!E777="",FALSE,TRUE),OR(exact(Metadata!E777,"Plant secretion"),exact(Metadata!E777,"Plant rhizosphere"),exact(Metadata!E777,"Plant surface"),exact(Metadata!E777,"Plant corpus"),exact(Metadata!E777,"Fungus surface"),exact(Metadata!E777,"Fungus corpus"),exact(Metadata!E777,"Animal surface"),exact(Metadata!E777,"Animal proximal gut"),exact(Metadata!E777,"Animal corpus"),exact(Metadata!E777,"Animal distal gut"),exact(Metadata!E777,"Animal secretion")))</f>
        <v>0</v>
      </c>
      <c r="AG777">
        <f>OR(AND(IF(Metadata!F777="",FALSE,TRUE),OR(exact(Metadata!F777,"not collected"),exact(Metadata!F777,"not provided"),exact(Metadata!F777,"restricted access"))),AND(IF(Metadata!F777="",FALSE,TRUE),OR(exact(Metadata!F777,"organism-associated habitat"),exact(Metadata!F777,"plant-associated habitat"),exact(Metadata!F777,"animal-associated habitat"),exact(Metadata!F777,"insecta-associated habitat"),exact(Metadata!F777,"mammalia-associated habitat"),exact(Metadata!F777,"human-associated habitat"),exact(Metadata!F777,"livestock-associated habitat"))))</f>
        <v>0</v>
      </c>
      <c r="AH777">
        <f>AND(IF(Metadata!G777="",FALSE,TRUE),exact(Metadata!G777,"host-associated"))</f>
        <v>0</v>
      </c>
      <c r="AI777">
        <f>OR(AND(IF(Metadata!H777="",FALSE,TRUE),OR(exact(Metadata!H777,"not collected"),exact(Metadata!H777,"not provided"))),AND(IF(Metadata!H777="",FALSE,ISNUMBER(VALUE(Metadata!H777))),Metadata!H777&gt;0))</f>
        <v>0</v>
      </c>
      <c r="AJ777">
        <f>AND(IF(Metadata!I777="",FALSE,TRUE),exact(Metadata!I777,"years"))</f>
        <v>0</v>
      </c>
      <c r="AK777">
        <f>IF(Metadata!J777="",FALSE,TRUE)</f>
        <v>0</v>
      </c>
      <c r="AL777">
        <f>OR(AND(IF(Metadata!K777="",FALSE,TRUE),OR(exact(Metadata!K777,"not collected"),exact(Metadata!K777,"not provided"))),AND(IF(Metadata!K777="",FALSE,ISNUMBER(VALUE(Metadata!K777))),Metadata!K777&gt;0))</f>
        <v>0</v>
      </c>
      <c r="AM777">
        <f>AND(IF(Metadata!L777="",FALSE,TRUE),exact(Metadata!L777,"cm"))</f>
        <v>0</v>
      </c>
      <c r="AN777">
        <f>IF(Metadata!M777="",FALSE,TRUE)</f>
        <v>0</v>
      </c>
      <c r="AO777">
        <f>OR(AND(IF(Metadata!N777="",FALSE,TRUE),OR(exact(Metadata!N777,"not applicable"),exact(Metadata!N777,"not collected"),exact(Metadata!N777,"not provided"))),AND(IF(Metadata!N777="",FALSE,IF(ISERROR(INT(Metadata!N777)),FALSE,INT(Metadata!N777)=Metadata!N777)),Metadata!N777&gt;0))</f>
        <v>0</v>
      </c>
      <c r="AP777">
        <f>OR(AND(IF(Metadata!O777="",FALSE,TRUE),OR(exact(Metadata!O777,"not collected"),exact(Metadata!O777,"not provided"))),AND(IF(Metadata!O777="",FALSE,ISNUMBER(VALUE(Metadata!O777))),Metadata!O777&gt;0))</f>
        <v>0</v>
      </c>
      <c r="AQ777">
        <f>AND(IF(Metadata!P777="",FALSE,TRUE),exact(Metadata!P777,"kg"))</f>
        <v>0</v>
      </c>
      <c r="AR777">
        <f>OR(AND(IF(Metadata!Q777="",FALSE,TRUE),OR(exact(Metadata!Q777,"not applicable"),exact(Metadata!Q777,"not collected"),exact(Metadata!Q777,"not provided"),exact(Metadata!Q777,"restricted access"))),IF(Metadata!Q777="",FALSE,IF(ISERROR(INT(Metadata!Q777)),FALSE,INT(Metadata!Q777)=Metadata!Q777)))</f>
        <v>0</v>
      </c>
      <c r="AS777">
        <f>AND(IF(Metadata!R777="",FALSE,TRUE),exact(Metadata!R777,"Not applicable"))</f>
        <v>0</v>
      </c>
    </row>
    <row r="778" spans="1:45">
      <c r="A778" s="4">
        <f>IF(B778=" "," ",HYPERLINK(CONCATENATE("#metadata!",ADDRESS(INDEX($X$2:$X$1001,MATCH(ROWS($V$2:V778),$V$2:$V$1001,0),0),2)),INDEX($AA$2:$AA$1001,MATCH(ROWS($V$2:V778),$V$2:$V$1001,0),0)))</f>
        <v>0</v>
      </c>
      <c r="B778" s="5">
        <f>IF(OR(INDEX($W$2:$W$1001,MATCH(ROWS($V$2:V778),$V$2:$V$1001,0),1)&gt;=100000,INDEX($AC$1005:$AS$1005,1,MATCH(COLUMNS($AC$1006:AC1006),$AC$1006:$AS$1006,0))&gt;=100000), " ",IF(INDEX($AC$2:$AS$1001,MATCH(ROWS($V$2:V778),$V$2:$V$1001,0),MATCH(COLUMNS($AC$1006:AC1006),$AC$1006:$AS$1006,0)), HYPERLINK("#",""), HYPERLINK(CONCATENATE("#Metadata!", ADDRESS(INDEX($X$2:$X$1001,MATCH(ROWS($V$2:V778),$V$2:$V$1001,0),0), INDEX($AC$1004:$AS$1004,1,MATCH(COLUMNS($AC$1006:AC1006),$AC$1006:$AS$1006,0)))),"Fix")))</f>
        <v>0</v>
      </c>
      <c r="C778" s="5">
        <f>IF(OR(INDEX($W$2:$W$1001,MATCH(ROWS($V$2:V778),$V$2:$V$1001,0),1)&gt;=100000,INDEX($AC$1005:$AS$1005,1,MATCH(COLUMNS($AC$1006:AD1006),$AC$1006:$AS$1006,0))&gt;=100000), " ",IF(INDEX($AC$2:$AS$1001,MATCH(ROWS($V$2:V778),$V$2:$V$1001,0),MATCH(COLUMNS($AC$1006:AD1006),$AC$1006:$AS$1006,0)), HYPERLINK("#",""), HYPERLINK(CONCATENATE("#Metadata!", ADDRESS(INDEX($X$2:$X$1001,MATCH(ROWS($V$2:V778),$V$2:$V$1001,0),0), INDEX($AC$1004:$AS$1004,1,MATCH(COLUMNS($AC$1006:AD1006),$AC$1006:$AS$1006,0)))),"Fix")))</f>
        <v>0</v>
      </c>
      <c r="D778" s="5">
        <f>IF(OR(INDEX($W$2:$W$1001,MATCH(ROWS($V$2:V778),$V$2:$V$1001,0),1)&gt;=100000,INDEX($AC$1005:$AS$1005,1,MATCH(COLUMNS($AC$1006:AE1006),$AC$1006:$AS$1006,0))&gt;=100000), " ",IF(INDEX($AC$2:$AS$1001,MATCH(ROWS($V$2:V778),$V$2:$V$1001,0),MATCH(COLUMNS($AC$1006:AE1006),$AC$1006:$AS$1006,0)), HYPERLINK("#",""), HYPERLINK(CONCATENATE("#Metadata!", ADDRESS(INDEX($X$2:$X$1001,MATCH(ROWS($V$2:V778),$V$2:$V$1001,0),0), INDEX($AC$1004:$AS$1004,1,MATCH(COLUMNS($AC$1006:AE1006),$AC$1006:$AS$1006,0)))),"Fix")))</f>
        <v>0</v>
      </c>
      <c r="E778" s="5">
        <f>IF(OR(INDEX($W$2:$W$1001,MATCH(ROWS($V$2:V778),$V$2:$V$1001,0),1)&gt;=100000,INDEX($AC$1005:$AS$1005,1,MATCH(COLUMNS($AC$1006:AF1006),$AC$1006:$AS$1006,0))&gt;=100000), " ",IF(INDEX($AC$2:$AS$1001,MATCH(ROWS($V$2:V778),$V$2:$V$1001,0),MATCH(COLUMNS($AC$1006:AF1006),$AC$1006:$AS$1006,0)), HYPERLINK("#",""), HYPERLINK(CONCATENATE("#Metadata!", ADDRESS(INDEX($X$2:$X$1001,MATCH(ROWS($V$2:V778),$V$2:$V$1001,0),0), INDEX($AC$1004:$AS$1004,1,MATCH(COLUMNS($AC$1006:AF1006),$AC$1006:$AS$1006,0)))),"Fix")))</f>
        <v>0</v>
      </c>
      <c r="F778" s="5">
        <f>IF(OR(INDEX($W$2:$W$1001,MATCH(ROWS($V$2:V778),$V$2:$V$1001,0),1)&gt;=100000,INDEX($AC$1005:$AS$1005,1,MATCH(COLUMNS($AC$1006:AG1006),$AC$1006:$AS$1006,0))&gt;=100000), " ",IF(INDEX($AC$2:$AS$1001,MATCH(ROWS($V$2:V778),$V$2:$V$1001,0),MATCH(COLUMNS($AC$1006:AG1006),$AC$1006:$AS$1006,0)), HYPERLINK("#",""), HYPERLINK(CONCATENATE("#Metadata!", ADDRESS(INDEX($X$2:$X$1001,MATCH(ROWS($V$2:V778),$V$2:$V$1001,0),0), INDEX($AC$1004:$AS$1004,1,MATCH(COLUMNS($AC$1006:AG1006),$AC$1006:$AS$1006,0)))),"Fix")))</f>
        <v>0</v>
      </c>
      <c r="G778" s="5">
        <f>IF(OR(INDEX($W$2:$W$1001,MATCH(ROWS($V$2:V778),$V$2:$V$1001,0),1)&gt;=100000,INDEX($AC$1005:$AS$1005,1,MATCH(COLUMNS($AC$1006:AH1006),$AC$1006:$AS$1006,0))&gt;=100000), " ",IF(INDEX($AC$2:$AS$1001,MATCH(ROWS($V$2:V778),$V$2:$V$1001,0),MATCH(COLUMNS($AC$1006:AH1006),$AC$1006:$AS$1006,0)), HYPERLINK("#",""), HYPERLINK(CONCATENATE("#Metadata!", ADDRESS(INDEX($X$2:$X$1001,MATCH(ROWS($V$2:V778),$V$2:$V$1001,0),0), INDEX($AC$1004:$AS$1004,1,MATCH(COLUMNS($AC$1006:AH1006),$AC$1006:$AS$1006,0)))),"Fix")))</f>
        <v>0</v>
      </c>
      <c r="H778" s="5">
        <f>IF(OR(INDEX($W$2:$W$1001,MATCH(ROWS($V$2:V778),$V$2:$V$1001,0),1)&gt;=100000,INDEX($AC$1005:$AS$1005,1,MATCH(COLUMNS($AC$1006:AI1006),$AC$1006:$AS$1006,0))&gt;=100000), " ",IF(INDEX($AC$2:$AS$1001,MATCH(ROWS($V$2:V778),$V$2:$V$1001,0),MATCH(COLUMNS($AC$1006:AI1006),$AC$1006:$AS$1006,0)), HYPERLINK("#",""), HYPERLINK(CONCATENATE("#Metadata!", ADDRESS(INDEX($X$2:$X$1001,MATCH(ROWS($V$2:V778),$V$2:$V$1001,0),0), INDEX($AC$1004:$AS$1004,1,MATCH(COLUMNS($AC$1006:AI1006),$AC$1006:$AS$1006,0)))),"Fix")))</f>
        <v>0</v>
      </c>
      <c r="I778" s="5">
        <f>IF(OR(INDEX($W$2:$W$1001,MATCH(ROWS($V$2:V778),$V$2:$V$1001,0),1)&gt;=100000,INDEX($AC$1005:$AS$1005,1,MATCH(COLUMNS($AC$1006:AJ1006),$AC$1006:$AS$1006,0))&gt;=100000), " ",IF(INDEX($AC$2:$AS$1001,MATCH(ROWS($V$2:V778),$V$2:$V$1001,0),MATCH(COLUMNS($AC$1006:AJ1006),$AC$1006:$AS$1006,0)), HYPERLINK("#",""), HYPERLINK(CONCATENATE("#Metadata!", ADDRESS(INDEX($X$2:$X$1001,MATCH(ROWS($V$2:V778),$V$2:$V$1001,0),0), INDEX($AC$1004:$AS$1004,1,MATCH(COLUMNS($AC$1006:AJ1006),$AC$1006:$AS$1006,0)))),"Fix")))</f>
        <v>0</v>
      </c>
      <c r="J778" s="5">
        <f>IF(OR(INDEX($W$2:$W$1001,MATCH(ROWS($V$2:V778),$V$2:$V$1001,0),1)&gt;=100000,INDEX($AC$1005:$AS$1005,1,MATCH(COLUMNS($AC$1006:AK1006),$AC$1006:$AS$1006,0))&gt;=100000), " ",IF(INDEX($AC$2:$AS$1001,MATCH(ROWS($V$2:V778),$V$2:$V$1001,0),MATCH(COLUMNS($AC$1006:AK1006),$AC$1006:$AS$1006,0)), HYPERLINK("#",""), HYPERLINK(CONCATENATE("#Metadata!", ADDRESS(INDEX($X$2:$X$1001,MATCH(ROWS($V$2:V778),$V$2:$V$1001,0),0), INDEX($AC$1004:$AS$1004,1,MATCH(COLUMNS($AC$1006:AK1006),$AC$1006:$AS$1006,0)))),"Fix")))</f>
        <v>0</v>
      </c>
      <c r="K778" s="5">
        <f>IF(OR(INDEX($W$2:$W$1001,MATCH(ROWS($V$2:V778),$V$2:$V$1001,0),1)&gt;=100000,INDEX($AC$1005:$AS$1005,1,MATCH(COLUMNS($AC$1006:AL1006),$AC$1006:$AS$1006,0))&gt;=100000), " ",IF(INDEX($AC$2:$AS$1001,MATCH(ROWS($V$2:V778),$V$2:$V$1001,0),MATCH(COLUMNS($AC$1006:AL1006),$AC$1006:$AS$1006,0)), HYPERLINK("#",""), HYPERLINK(CONCATENATE("#Metadata!", ADDRESS(INDEX($X$2:$X$1001,MATCH(ROWS($V$2:V778),$V$2:$V$1001,0),0), INDEX($AC$1004:$AS$1004,1,MATCH(COLUMNS($AC$1006:AL1006),$AC$1006:$AS$1006,0)))),"Fix")))</f>
        <v>0</v>
      </c>
      <c r="L778" s="5">
        <f>IF(OR(INDEX($W$2:$W$1001,MATCH(ROWS($V$2:V778),$V$2:$V$1001,0),1)&gt;=100000,INDEX($AC$1005:$AS$1005,1,MATCH(COLUMNS($AC$1006:AM1006),$AC$1006:$AS$1006,0))&gt;=100000), " ",IF(INDEX($AC$2:$AS$1001,MATCH(ROWS($V$2:V778),$V$2:$V$1001,0),MATCH(COLUMNS($AC$1006:AM1006),$AC$1006:$AS$1006,0)), HYPERLINK("#",""), HYPERLINK(CONCATENATE("#Metadata!", ADDRESS(INDEX($X$2:$X$1001,MATCH(ROWS($V$2:V778),$V$2:$V$1001,0),0), INDEX($AC$1004:$AS$1004,1,MATCH(COLUMNS($AC$1006:AM1006),$AC$1006:$AS$1006,0)))),"Fix")))</f>
        <v>0</v>
      </c>
      <c r="M778" s="5">
        <f>IF(OR(INDEX($W$2:$W$1001,MATCH(ROWS($V$2:V778),$V$2:$V$1001,0),1)&gt;=100000,INDEX($AC$1005:$AS$1005,1,MATCH(COLUMNS($AC$1006:AN1006),$AC$1006:$AS$1006,0))&gt;=100000), " ",IF(INDEX($AC$2:$AS$1001,MATCH(ROWS($V$2:V778),$V$2:$V$1001,0),MATCH(COLUMNS($AC$1006:AN1006),$AC$1006:$AS$1006,0)), HYPERLINK("#",""), HYPERLINK(CONCATENATE("#Metadata!", ADDRESS(INDEX($X$2:$X$1001,MATCH(ROWS($V$2:V778),$V$2:$V$1001,0),0), INDEX($AC$1004:$AS$1004,1,MATCH(COLUMNS($AC$1006:AN1006),$AC$1006:$AS$1006,0)))),"Fix")))</f>
        <v>0</v>
      </c>
      <c r="N778" s="5">
        <f>IF(OR(INDEX($W$2:$W$1001,MATCH(ROWS($V$2:V778),$V$2:$V$1001,0),1)&gt;=100000,INDEX($AC$1005:$AS$1005,1,MATCH(COLUMNS($AC$1006:AO1006),$AC$1006:$AS$1006,0))&gt;=100000), " ",IF(INDEX($AC$2:$AS$1001,MATCH(ROWS($V$2:V778),$V$2:$V$1001,0),MATCH(COLUMNS($AC$1006:AO1006),$AC$1006:$AS$1006,0)), HYPERLINK("#",""), HYPERLINK(CONCATENATE("#Metadata!", ADDRESS(INDEX($X$2:$X$1001,MATCH(ROWS($V$2:V778),$V$2:$V$1001,0),0), INDEX($AC$1004:$AS$1004,1,MATCH(COLUMNS($AC$1006:AO1006),$AC$1006:$AS$1006,0)))),"Fix")))</f>
        <v>0</v>
      </c>
      <c r="O778" s="5">
        <f>IF(OR(INDEX($W$2:$W$1001,MATCH(ROWS($V$2:V778),$V$2:$V$1001,0),1)&gt;=100000,INDEX($AC$1005:$AS$1005,1,MATCH(COLUMNS($AC$1006:AP1006),$AC$1006:$AS$1006,0))&gt;=100000), " ",IF(INDEX($AC$2:$AS$1001,MATCH(ROWS($V$2:V778),$V$2:$V$1001,0),MATCH(COLUMNS($AC$1006:AP1006),$AC$1006:$AS$1006,0)), HYPERLINK("#",""), HYPERLINK(CONCATENATE("#Metadata!", ADDRESS(INDEX($X$2:$X$1001,MATCH(ROWS($V$2:V778),$V$2:$V$1001,0),0), INDEX($AC$1004:$AS$1004,1,MATCH(COLUMNS($AC$1006:AP1006),$AC$1006:$AS$1006,0)))),"Fix")))</f>
        <v>0</v>
      </c>
      <c r="P778" s="5">
        <f>IF(OR(INDEX($W$2:$W$1001,MATCH(ROWS($V$2:V778),$V$2:$V$1001,0),1)&gt;=100000,INDEX($AC$1005:$AS$1005,1,MATCH(COLUMNS($AC$1006:AQ1006),$AC$1006:$AS$1006,0))&gt;=100000), " ",IF(INDEX($AC$2:$AS$1001,MATCH(ROWS($V$2:V778),$V$2:$V$1001,0),MATCH(COLUMNS($AC$1006:AQ1006),$AC$1006:$AS$1006,0)), HYPERLINK("#",""), HYPERLINK(CONCATENATE("#Metadata!", ADDRESS(INDEX($X$2:$X$1001,MATCH(ROWS($V$2:V778),$V$2:$V$1001,0),0), INDEX($AC$1004:$AS$1004,1,MATCH(COLUMNS($AC$1006:AQ1006),$AC$1006:$AS$1006,0)))),"Fix")))</f>
        <v>0</v>
      </c>
      <c r="Q778" s="5">
        <f>IF(OR(INDEX($W$2:$W$1001,MATCH(ROWS($V$2:V778),$V$2:$V$1001,0),1)&gt;=100000,INDEX($AC$1005:$AS$1005,1,MATCH(COLUMNS($AC$1006:AR1006),$AC$1006:$AS$1006,0))&gt;=100000), " ",IF(INDEX($AC$2:$AS$1001,MATCH(ROWS($V$2:V778),$V$2:$V$1001,0),MATCH(COLUMNS($AC$1006:AR1006),$AC$1006:$AS$1006,0)), HYPERLINK("#",""), HYPERLINK(CONCATENATE("#Metadata!", ADDRESS(INDEX($X$2:$X$1001,MATCH(ROWS($V$2:V778),$V$2:$V$1001,0),0), INDEX($AC$1004:$AS$1004,1,MATCH(COLUMNS($AC$1006:AR1006),$AC$1006:$AS$1006,0)))),"Fix")))</f>
        <v>0</v>
      </c>
      <c r="R778" s="5">
        <f>IF(OR(INDEX($W$2:$W$1001,MATCH(ROWS($V$2:V778),$V$2:$V$1001,0),1)&gt;=100000,INDEX($AC$1005:$AS$1005,1,MATCH(COLUMNS($AC$1006:AS1006),$AC$1006:$AS$1006,0))&gt;=100000), " ",IF(INDEX($AC$2:$AS$1001,MATCH(ROWS($V$2:V778),$V$2:$V$1001,0),MATCH(COLUMNS($AC$1006:AS1006),$AC$1006:$AS$1006,0)), HYPERLINK("#",""), HYPERLINK(CONCATENATE("#Metadata!", ADDRESS(INDEX($X$2:$X$1001,MATCH(ROWS($V$2:V778),$V$2:$V$1001,0),0), INDEX($AC$1004:$AS$1004,1,MATCH(COLUMNS($AC$1006:AS1006),$AC$1006:$AS$1006,0)))),"Fix")))</f>
        <v>0</v>
      </c>
      <c r="V778">
        <v>0</v>
      </c>
      <c r="W778">
        <v>0</v>
      </c>
      <c r="X778">
        <v>0</v>
      </c>
      <c r="Y778">
        <f>IF(Z778,TRUE,AND(AC778:AS778))</f>
        <v>0</v>
      </c>
      <c r="Z778">
        <f>COUNTBLANK(Metadata!B778:R778)=COLUMNS(Metadata!B778:R778)</f>
        <v>0</v>
      </c>
      <c r="AA778">
        <v>0</v>
      </c>
      <c r="AC778">
        <f>AND(IF(Metadata!B778="",FALSE,TRUE),COUNTIF(Metadata!B:B, Metadata!B778) = 1,NOT(ISERROR(SUMPRODUCT(SEARCH(MID(Metadata!B778,ROW(INDIRECT("1:"&amp;LEN(Metadata!B778))), 1),"0123456789abcdefghijklmnopqrstuvwxyzABCDEFGHIJKLMNOPQRSTUVWXYZ.")))))</f>
        <v>0</v>
      </c>
      <c r="AD778">
        <f>AND(IF(Metadata!C778="",FALSE,TRUE),exact(Metadata!C778,"Host-associated"))</f>
        <v>0</v>
      </c>
      <c r="AE778">
        <f>AND(IF(Metadata!D778="",FALSE,TRUE),OR(exact(Metadata!D778,"Animal"),exact(Metadata!D778,"Fungus"),exact(Metadata!D778,"Plant")))</f>
        <v>0</v>
      </c>
      <c r="AF778">
        <f>AND(IF(Metadata!E778="",FALSE,TRUE),OR(exact(Metadata!E778,"Plant secretion"),exact(Metadata!E778,"Plant rhizosphere"),exact(Metadata!E778,"Plant surface"),exact(Metadata!E778,"Plant corpus"),exact(Metadata!E778,"Fungus surface"),exact(Metadata!E778,"Fungus corpus"),exact(Metadata!E778,"Animal surface"),exact(Metadata!E778,"Animal proximal gut"),exact(Metadata!E778,"Animal corpus"),exact(Metadata!E778,"Animal distal gut"),exact(Metadata!E778,"Animal secretion")))</f>
        <v>0</v>
      </c>
      <c r="AG778">
        <f>OR(AND(IF(Metadata!F778="",FALSE,TRUE),OR(exact(Metadata!F778,"not collected"),exact(Metadata!F778,"not provided"),exact(Metadata!F778,"restricted access"))),AND(IF(Metadata!F778="",FALSE,TRUE),OR(exact(Metadata!F778,"organism-associated habitat"),exact(Metadata!F778,"plant-associated habitat"),exact(Metadata!F778,"animal-associated habitat"),exact(Metadata!F778,"insecta-associated habitat"),exact(Metadata!F778,"mammalia-associated habitat"),exact(Metadata!F778,"human-associated habitat"),exact(Metadata!F778,"livestock-associated habitat"))))</f>
        <v>0</v>
      </c>
      <c r="AH778">
        <f>AND(IF(Metadata!G778="",FALSE,TRUE),exact(Metadata!G778,"host-associated"))</f>
        <v>0</v>
      </c>
      <c r="AI778">
        <f>OR(AND(IF(Metadata!H778="",FALSE,TRUE),OR(exact(Metadata!H778,"not collected"),exact(Metadata!H778,"not provided"))),AND(IF(Metadata!H778="",FALSE,ISNUMBER(VALUE(Metadata!H778))),Metadata!H778&gt;0))</f>
        <v>0</v>
      </c>
      <c r="AJ778">
        <f>AND(IF(Metadata!I778="",FALSE,TRUE),exact(Metadata!I778,"years"))</f>
        <v>0</v>
      </c>
      <c r="AK778">
        <f>IF(Metadata!J778="",FALSE,TRUE)</f>
        <v>0</v>
      </c>
      <c r="AL778">
        <f>OR(AND(IF(Metadata!K778="",FALSE,TRUE),OR(exact(Metadata!K778,"not collected"),exact(Metadata!K778,"not provided"))),AND(IF(Metadata!K778="",FALSE,ISNUMBER(VALUE(Metadata!K778))),Metadata!K778&gt;0))</f>
        <v>0</v>
      </c>
      <c r="AM778">
        <f>AND(IF(Metadata!L778="",FALSE,TRUE),exact(Metadata!L778,"cm"))</f>
        <v>0</v>
      </c>
      <c r="AN778">
        <f>IF(Metadata!M778="",FALSE,TRUE)</f>
        <v>0</v>
      </c>
      <c r="AO778">
        <f>OR(AND(IF(Metadata!N778="",FALSE,TRUE),OR(exact(Metadata!N778,"not applicable"),exact(Metadata!N778,"not collected"),exact(Metadata!N778,"not provided"))),AND(IF(Metadata!N778="",FALSE,IF(ISERROR(INT(Metadata!N778)),FALSE,INT(Metadata!N778)=Metadata!N778)),Metadata!N778&gt;0))</f>
        <v>0</v>
      </c>
      <c r="AP778">
        <f>OR(AND(IF(Metadata!O778="",FALSE,TRUE),OR(exact(Metadata!O778,"not collected"),exact(Metadata!O778,"not provided"))),AND(IF(Metadata!O778="",FALSE,ISNUMBER(VALUE(Metadata!O778))),Metadata!O778&gt;0))</f>
        <v>0</v>
      </c>
      <c r="AQ778">
        <f>AND(IF(Metadata!P778="",FALSE,TRUE),exact(Metadata!P778,"kg"))</f>
        <v>0</v>
      </c>
      <c r="AR778">
        <f>OR(AND(IF(Metadata!Q778="",FALSE,TRUE),OR(exact(Metadata!Q778,"not applicable"),exact(Metadata!Q778,"not collected"),exact(Metadata!Q778,"not provided"),exact(Metadata!Q778,"restricted access"))),IF(Metadata!Q778="",FALSE,IF(ISERROR(INT(Metadata!Q778)),FALSE,INT(Metadata!Q778)=Metadata!Q778)))</f>
        <v>0</v>
      </c>
      <c r="AS778">
        <f>AND(IF(Metadata!R778="",FALSE,TRUE),exact(Metadata!R778,"Not applicable"))</f>
        <v>0</v>
      </c>
    </row>
    <row r="779" spans="1:45">
      <c r="A779" s="4">
        <f>IF(B779=" "," ",HYPERLINK(CONCATENATE("#metadata!",ADDRESS(INDEX($X$2:$X$1001,MATCH(ROWS($V$2:V779),$V$2:$V$1001,0),0),2)),INDEX($AA$2:$AA$1001,MATCH(ROWS($V$2:V779),$V$2:$V$1001,0),0)))</f>
        <v>0</v>
      </c>
      <c r="B779" s="5">
        <f>IF(OR(INDEX($W$2:$W$1001,MATCH(ROWS($V$2:V779),$V$2:$V$1001,0),1)&gt;=100000,INDEX($AC$1005:$AS$1005,1,MATCH(COLUMNS($AC$1006:AC1006),$AC$1006:$AS$1006,0))&gt;=100000), " ",IF(INDEX($AC$2:$AS$1001,MATCH(ROWS($V$2:V779),$V$2:$V$1001,0),MATCH(COLUMNS($AC$1006:AC1006),$AC$1006:$AS$1006,0)), HYPERLINK("#",""), HYPERLINK(CONCATENATE("#Metadata!", ADDRESS(INDEX($X$2:$X$1001,MATCH(ROWS($V$2:V779),$V$2:$V$1001,0),0), INDEX($AC$1004:$AS$1004,1,MATCH(COLUMNS($AC$1006:AC1006),$AC$1006:$AS$1006,0)))),"Fix")))</f>
        <v>0</v>
      </c>
      <c r="C779" s="5">
        <f>IF(OR(INDEX($W$2:$W$1001,MATCH(ROWS($V$2:V779),$V$2:$V$1001,0),1)&gt;=100000,INDEX($AC$1005:$AS$1005,1,MATCH(COLUMNS($AC$1006:AD1006),$AC$1006:$AS$1006,0))&gt;=100000), " ",IF(INDEX($AC$2:$AS$1001,MATCH(ROWS($V$2:V779),$V$2:$V$1001,0),MATCH(COLUMNS($AC$1006:AD1006),$AC$1006:$AS$1006,0)), HYPERLINK("#",""), HYPERLINK(CONCATENATE("#Metadata!", ADDRESS(INDEX($X$2:$X$1001,MATCH(ROWS($V$2:V779),$V$2:$V$1001,0),0), INDEX($AC$1004:$AS$1004,1,MATCH(COLUMNS($AC$1006:AD1006),$AC$1006:$AS$1006,0)))),"Fix")))</f>
        <v>0</v>
      </c>
      <c r="D779" s="5">
        <f>IF(OR(INDEX($W$2:$W$1001,MATCH(ROWS($V$2:V779),$V$2:$V$1001,0),1)&gt;=100000,INDEX($AC$1005:$AS$1005,1,MATCH(COLUMNS($AC$1006:AE1006),$AC$1006:$AS$1006,0))&gt;=100000), " ",IF(INDEX($AC$2:$AS$1001,MATCH(ROWS($V$2:V779),$V$2:$V$1001,0),MATCH(COLUMNS($AC$1006:AE1006),$AC$1006:$AS$1006,0)), HYPERLINK("#",""), HYPERLINK(CONCATENATE("#Metadata!", ADDRESS(INDEX($X$2:$X$1001,MATCH(ROWS($V$2:V779),$V$2:$V$1001,0),0), INDEX($AC$1004:$AS$1004,1,MATCH(COLUMNS($AC$1006:AE1006),$AC$1006:$AS$1006,0)))),"Fix")))</f>
        <v>0</v>
      </c>
      <c r="E779" s="5">
        <f>IF(OR(INDEX($W$2:$W$1001,MATCH(ROWS($V$2:V779),$V$2:$V$1001,0),1)&gt;=100000,INDEX($AC$1005:$AS$1005,1,MATCH(COLUMNS($AC$1006:AF1006),$AC$1006:$AS$1006,0))&gt;=100000), " ",IF(INDEX($AC$2:$AS$1001,MATCH(ROWS($V$2:V779),$V$2:$V$1001,0),MATCH(COLUMNS($AC$1006:AF1006),$AC$1006:$AS$1006,0)), HYPERLINK("#",""), HYPERLINK(CONCATENATE("#Metadata!", ADDRESS(INDEX($X$2:$X$1001,MATCH(ROWS($V$2:V779),$V$2:$V$1001,0),0), INDEX($AC$1004:$AS$1004,1,MATCH(COLUMNS($AC$1006:AF1006),$AC$1006:$AS$1006,0)))),"Fix")))</f>
        <v>0</v>
      </c>
      <c r="F779" s="5">
        <f>IF(OR(INDEX($W$2:$W$1001,MATCH(ROWS($V$2:V779),$V$2:$V$1001,0),1)&gt;=100000,INDEX($AC$1005:$AS$1005,1,MATCH(COLUMNS($AC$1006:AG1006),$AC$1006:$AS$1006,0))&gt;=100000), " ",IF(INDEX($AC$2:$AS$1001,MATCH(ROWS($V$2:V779),$V$2:$V$1001,0),MATCH(COLUMNS($AC$1006:AG1006),$AC$1006:$AS$1006,0)), HYPERLINK("#",""), HYPERLINK(CONCATENATE("#Metadata!", ADDRESS(INDEX($X$2:$X$1001,MATCH(ROWS($V$2:V779),$V$2:$V$1001,0),0), INDEX($AC$1004:$AS$1004,1,MATCH(COLUMNS($AC$1006:AG1006),$AC$1006:$AS$1006,0)))),"Fix")))</f>
        <v>0</v>
      </c>
      <c r="G779" s="5">
        <f>IF(OR(INDEX($W$2:$W$1001,MATCH(ROWS($V$2:V779),$V$2:$V$1001,0),1)&gt;=100000,INDEX($AC$1005:$AS$1005,1,MATCH(COLUMNS($AC$1006:AH1006),$AC$1006:$AS$1006,0))&gt;=100000), " ",IF(INDEX($AC$2:$AS$1001,MATCH(ROWS($V$2:V779),$V$2:$V$1001,0),MATCH(COLUMNS($AC$1006:AH1006),$AC$1006:$AS$1006,0)), HYPERLINK("#",""), HYPERLINK(CONCATENATE("#Metadata!", ADDRESS(INDEX($X$2:$X$1001,MATCH(ROWS($V$2:V779),$V$2:$V$1001,0),0), INDEX($AC$1004:$AS$1004,1,MATCH(COLUMNS($AC$1006:AH1006),$AC$1006:$AS$1006,0)))),"Fix")))</f>
        <v>0</v>
      </c>
      <c r="H779" s="5">
        <f>IF(OR(INDEX($W$2:$W$1001,MATCH(ROWS($V$2:V779),$V$2:$V$1001,0),1)&gt;=100000,INDEX($AC$1005:$AS$1005,1,MATCH(COLUMNS($AC$1006:AI1006),$AC$1006:$AS$1006,0))&gt;=100000), " ",IF(INDEX($AC$2:$AS$1001,MATCH(ROWS($V$2:V779),$V$2:$V$1001,0),MATCH(COLUMNS($AC$1006:AI1006),$AC$1006:$AS$1006,0)), HYPERLINK("#",""), HYPERLINK(CONCATENATE("#Metadata!", ADDRESS(INDEX($X$2:$X$1001,MATCH(ROWS($V$2:V779),$V$2:$V$1001,0),0), INDEX($AC$1004:$AS$1004,1,MATCH(COLUMNS($AC$1006:AI1006),$AC$1006:$AS$1006,0)))),"Fix")))</f>
        <v>0</v>
      </c>
      <c r="I779" s="5">
        <f>IF(OR(INDEX($W$2:$W$1001,MATCH(ROWS($V$2:V779),$V$2:$V$1001,0),1)&gt;=100000,INDEX($AC$1005:$AS$1005,1,MATCH(COLUMNS($AC$1006:AJ1006),$AC$1006:$AS$1006,0))&gt;=100000), " ",IF(INDEX($AC$2:$AS$1001,MATCH(ROWS($V$2:V779),$V$2:$V$1001,0),MATCH(COLUMNS($AC$1006:AJ1006),$AC$1006:$AS$1006,0)), HYPERLINK("#",""), HYPERLINK(CONCATENATE("#Metadata!", ADDRESS(INDEX($X$2:$X$1001,MATCH(ROWS($V$2:V779),$V$2:$V$1001,0),0), INDEX($AC$1004:$AS$1004,1,MATCH(COLUMNS($AC$1006:AJ1006),$AC$1006:$AS$1006,0)))),"Fix")))</f>
        <v>0</v>
      </c>
      <c r="J779" s="5">
        <f>IF(OR(INDEX($W$2:$W$1001,MATCH(ROWS($V$2:V779),$V$2:$V$1001,0),1)&gt;=100000,INDEX($AC$1005:$AS$1005,1,MATCH(COLUMNS($AC$1006:AK1006),$AC$1006:$AS$1006,0))&gt;=100000), " ",IF(INDEX($AC$2:$AS$1001,MATCH(ROWS($V$2:V779),$V$2:$V$1001,0),MATCH(COLUMNS($AC$1006:AK1006),$AC$1006:$AS$1006,0)), HYPERLINK("#",""), HYPERLINK(CONCATENATE("#Metadata!", ADDRESS(INDEX($X$2:$X$1001,MATCH(ROWS($V$2:V779),$V$2:$V$1001,0),0), INDEX($AC$1004:$AS$1004,1,MATCH(COLUMNS($AC$1006:AK1006),$AC$1006:$AS$1006,0)))),"Fix")))</f>
        <v>0</v>
      </c>
      <c r="K779" s="5">
        <f>IF(OR(INDEX($W$2:$W$1001,MATCH(ROWS($V$2:V779),$V$2:$V$1001,0),1)&gt;=100000,INDEX($AC$1005:$AS$1005,1,MATCH(COLUMNS($AC$1006:AL1006),$AC$1006:$AS$1006,0))&gt;=100000), " ",IF(INDEX($AC$2:$AS$1001,MATCH(ROWS($V$2:V779),$V$2:$V$1001,0),MATCH(COLUMNS($AC$1006:AL1006),$AC$1006:$AS$1006,0)), HYPERLINK("#",""), HYPERLINK(CONCATENATE("#Metadata!", ADDRESS(INDEX($X$2:$X$1001,MATCH(ROWS($V$2:V779),$V$2:$V$1001,0),0), INDEX($AC$1004:$AS$1004,1,MATCH(COLUMNS($AC$1006:AL1006),$AC$1006:$AS$1006,0)))),"Fix")))</f>
        <v>0</v>
      </c>
      <c r="L779" s="5">
        <f>IF(OR(INDEX($W$2:$W$1001,MATCH(ROWS($V$2:V779),$V$2:$V$1001,0),1)&gt;=100000,INDEX($AC$1005:$AS$1005,1,MATCH(COLUMNS($AC$1006:AM1006),$AC$1006:$AS$1006,0))&gt;=100000), " ",IF(INDEX($AC$2:$AS$1001,MATCH(ROWS($V$2:V779),$V$2:$V$1001,0),MATCH(COLUMNS($AC$1006:AM1006),$AC$1006:$AS$1006,0)), HYPERLINK("#",""), HYPERLINK(CONCATENATE("#Metadata!", ADDRESS(INDEX($X$2:$X$1001,MATCH(ROWS($V$2:V779),$V$2:$V$1001,0),0), INDEX($AC$1004:$AS$1004,1,MATCH(COLUMNS($AC$1006:AM1006),$AC$1006:$AS$1006,0)))),"Fix")))</f>
        <v>0</v>
      </c>
      <c r="M779" s="5">
        <f>IF(OR(INDEX($W$2:$W$1001,MATCH(ROWS($V$2:V779),$V$2:$V$1001,0),1)&gt;=100000,INDEX($AC$1005:$AS$1005,1,MATCH(COLUMNS($AC$1006:AN1006),$AC$1006:$AS$1006,0))&gt;=100000), " ",IF(INDEX($AC$2:$AS$1001,MATCH(ROWS($V$2:V779),$V$2:$V$1001,0),MATCH(COLUMNS($AC$1006:AN1006),$AC$1006:$AS$1006,0)), HYPERLINK("#",""), HYPERLINK(CONCATENATE("#Metadata!", ADDRESS(INDEX($X$2:$X$1001,MATCH(ROWS($V$2:V779),$V$2:$V$1001,0),0), INDEX($AC$1004:$AS$1004,1,MATCH(COLUMNS($AC$1006:AN1006),$AC$1006:$AS$1006,0)))),"Fix")))</f>
        <v>0</v>
      </c>
      <c r="N779" s="5">
        <f>IF(OR(INDEX($W$2:$W$1001,MATCH(ROWS($V$2:V779),$V$2:$V$1001,0),1)&gt;=100000,INDEX($AC$1005:$AS$1005,1,MATCH(COLUMNS($AC$1006:AO1006),$AC$1006:$AS$1006,0))&gt;=100000), " ",IF(INDEX($AC$2:$AS$1001,MATCH(ROWS($V$2:V779),$V$2:$V$1001,0),MATCH(COLUMNS($AC$1006:AO1006),$AC$1006:$AS$1006,0)), HYPERLINK("#",""), HYPERLINK(CONCATENATE("#Metadata!", ADDRESS(INDEX($X$2:$X$1001,MATCH(ROWS($V$2:V779),$V$2:$V$1001,0),0), INDEX($AC$1004:$AS$1004,1,MATCH(COLUMNS($AC$1006:AO1006),$AC$1006:$AS$1006,0)))),"Fix")))</f>
        <v>0</v>
      </c>
      <c r="O779" s="5">
        <f>IF(OR(INDEX($W$2:$W$1001,MATCH(ROWS($V$2:V779),$V$2:$V$1001,0),1)&gt;=100000,INDEX($AC$1005:$AS$1005,1,MATCH(COLUMNS($AC$1006:AP1006),$AC$1006:$AS$1006,0))&gt;=100000), " ",IF(INDEX($AC$2:$AS$1001,MATCH(ROWS($V$2:V779),$V$2:$V$1001,0),MATCH(COLUMNS($AC$1006:AP1006),$AC$1006:$AS$1006,0)), HYPERLINK("#",""), HYPERLINK(CONCATENATE("#Metadata!", ADDRESS(INDEX($X$2:$X$1001,MATCH(ROWS($V$2:V779),$V$2:$V$1001,0),0), INDEX($AC$1004:$AS$1004,1,MATCH(COLUMNS($AC$1006:AP1006),$AC$1006:$AS$1006,0)))),"Fix")))</f>
        <v>0</v>
      </c>
      <c r="P779" s="5">
        <f>IF(OR(INDEX($W$2:$W$1001,MATCH(ROWS($V$2:V779),$V$2:$V$1001,0),1)&gt;=100000,INDEX($AC$1005:$AS$1005,1,MATCH(COLUMNS($AC$1006:AQ1006),$AC$1006:$AS$1006,0))&gt;=100000), " ",IF(INDEX($AC$2:$AS$1001,MATCH(ROWS($V$2:V779),$V$2:$V$1001,0),MATCH(COLUMNS($AC$1006:AQ1006),$AC$1006:$AS$1006,0)), HYPERLINK("#",""), HYPERLINK(CONCATENATE("#Metadata!", ADDRESS(INDEX($X$2:$X$1001,MATCH(ROWS($V$2:V779),$V$2:$V$1001,0),0), INDEX($AC$1004:$AS$1004,1,MATCH(COLUMNS($AC$1006:AQ1006),$AC$1006:$AS$1006,0)))),"Fix")))</f>
        <v>0</v>
      </c>
      <c r="Q779" s="5">
        <f>IF(OR(INDEX($W$2:$W$1001,MATCH(ROWS($V$2:V779),$V$2:$V$1001,0),1)&gt;=100000,INDEX($AC$1005:$AS$1005,1,MATCH(COLUMNS($AC$1006:AR1006),$AC$1006:$AS$1006,0))&gt;=100000), " ",IF(INDEX($AC$2:$AS$1001,MATCH(ROWS($V$2:V779),$V$2:$V$1001,0),MATCH(COLUMNS($AC$1006:AR1006),$AC$1006:$AS$1006,0)), HYPERLINK("#",""), HYPERLINK(CONCATENATE("#Metadata!", ADDRESS(INDEX($X$2:$X$1001,MATCH(ROWS($V$2:V779),$V$2:$V$1001,0),0), INDEX($AC$1004:$AS$1004,1,MATCH(COLUMNS($AC$1006:AR1006),$AC$1006:$AS$1006,0)))),"Fix")))</f>
        <v>0</v>
      </c>
      <c r="R779" s="5">
        <f>IF(OR(INDEX($W$2:$W$1001,MATCH(ROWS($V$2:V779),$V$2:$V$1001,0),1)&gt;=100000,INDEX($AC$1005:$AS$1005,1,MATCH(COLUMNS($AC$1006:AS1006),$AC$1006:$AS$1006,0))&gt;=100000), " ",IF(INDEX($AC$2:$AS$1001,MATCH(ROWS($V$2:V779),$V$2:$V$1001,0),MATCH(COLUMNS($AC$1006:AS1006),$AC$1006:$AS$1006,0)), HYPERLINK("#",""), HYPERLINK(CONCATENATE("#Metadata!", ADDRESS(INDEX($X$2:$X$1001,MATCH(ROWS($V$2:V779),$V$2:$V$1001,0),0), INDEX($AC$1004:$AS$1004,1,MATCH(COLUMNS($AC$1006:AS1006),$AC$1006:$AS$1006,0)))),"Fix")))</f>
        <v>0</v>
      </c>
      <c r="V779">
        <v>0</v>
      </c>
      <c r="W779">
        <v>0</v>
      </c>
      <c r="X779">
        <v>0</v>
      </c>
      <c r="Y779">
        <f>IF(Z779,TRUE,AND(AC779:AS779))</f>
        <v>0</v>
      </c>
      <c r="Z779">
        <f>COUNTBLANK(Metadata!B779:R779)=COLUMNS(Metadata!B779:R779)</f>
        <v>0</v>
      </c>
      <c r="AA779">
        <v>0</v>
      </c>
      <c r="AC779">
        <f>AND(IF(Metadata!B779="",FALSE,TRUE),COUNTIF(Metadata!B:B, Metadata!B779) = 1,NOT(ISERROR(SUMPRODUCT(SEARCH(MID(Metadata!B779,ROW(INDIRECT("1:"&amp;LEN(Metadata!B779))), 1),"0123456789abcdefghijklmnopqrstuvwxyzABCDEFGHIJKLMNOPQRSTUVWXYZ.")))))</f>
        <v>0</v>
      </c>
      <c r="AD779">
        <f>AND(IF(Metadata!C779="",FALSE,TRUE),exact(Metadata!C779,"Host-associated"))</f>
        <v>0</v>
      </c>
      <c r="AE779">
        <f>AND(IF(Metadata!D779="",FALSE,TRUE),OR(exact(Metadata!D779,"Animal"),exact(Metadata!D779,"Fungus"),exact(Metadata!D779,"Plant")))</f>
        <v>0</v>
      </c>
      <c r="AF779">
        <f>AND(IF(Metadata!E779="",FALSE,TRUE),OR(exact(Metadata!E779,"Plant secretion"),exact(Metadata!E779,"Plant rhizosphere"),exact(Metadata!E779,"Plant surface"),exact(Metadata!E779,"Plant corpus"),exact(Metadata!E779,"Fungus surface"),exact(Metadata!E779,"Fungus corpus"),exact(Metadata!E779,"Animal surface"),exact(Metadata!E779,"Animal proximal gut"),exact(Metadata!E779,"Animal corpus"),exact(Metadata!E779,"Animal distal gut"),exact(Metadata!E779,"Animal secretion")))</f>
        <v>0</v>
      </c>
      <c r="AG779">
        <f>OR(AND(IF(Metadata!F779="",FALSE,TRUE),OR(exact(Metadata!F779,"not collected"),exact(Metadata!F779,"not provided"),exact(Metadata!F779,"restricted access"))),AND(IF(Metadata!F779="",FALSE,TRUE),OR(exact(Metadata!F779,"organism-associated habitat"),exact(Metadata!F779,"plant-associated habitat"),exact(Metadata!F779,"animal-associated habitat"),exact(Metadata!F779,"insecta-associated habitat"),exact(Metadata!F779,"mammalia-associated habitat"),exact(Metadata!F779,"human-associated habitat"),exact(Metadata!F779,"livestock-associated habitat"))))</f>
        <v>0</v>
      </c>
      <c r="AH779">
        <f>AND(IF(Metadata!G779="",FALSE,TRUE),exact(Metadata!G779,"host-associated"))</f>
        <v>0</v>
      </c>
      <c r="AI779">
        <f>OR(AND(IF(Metadata!H779="",FALSE,TRUE),OR(exact(Metadata!H779,"not collected"),exact(Metadata!H779,"not provided"))),AND(IF(Metadata!H779="",FALSE,ISNUMBER(VALUE(Metadata!H779))),Metadata!H779&gt;0))</f>
        <v>0</v>
      </c>
      <c r="AJ779">
        <f>AND(IF(Metadata!I779="",FALSE,TRUE),exact(Metadata!I779,"years"))</f>
        <v>0</v>
      </c>
      <c r="AK779">
        <f>IF(Metadata!J779="",FALSE,TRUE)</f>
        <v>0</v>
      </c>
      <c r="AL779">
        <f>OR(AND(IF(Metadata!K779="",FALSE,TRUE),OR(exact(Metadata!K779,"not collected"),exact(Metadata!K779,"not provided"))),AND(IF(Metadata!K779="",FALSE,ISNUMBER(VALUE(Metadata!K779))),Metadata!K779&gt;0))</f>
        <v>0</v>
      </c>
      <c r="AM779">
        <f>AND(IF(Metadata!L779="",FALSE,TRUE),exact(Metadata!L779,"cm"))</f>
        <v>0</v>
      </c>
      <c r="AN779">
        <f>IF(Metadata!M779="",FALSE,TRUE)</f>
        <v>0</v>
      </c>
      <c r="AO779">
        <f>OR(AND(IF(Metadata!N779="",FALSE,TRUE),OR(exact(Metadata!N779,"not applicable"),exact(Metadata!N779,"not collected"),exact(Metadata!N779,"not provided"))),AND(IF(Metadata!N779="",FALSE,IF(ISERROR(INT(Metadata!N779)),FALSE,INT(Metadata!N779)=Metadata!N779)),Metadata!N779&gt;0))</f>
        <v>0</v>
      </c>
      <c r="AP779">
        <f>OR(AND(IF(Metadata!O779="",FALSE,TRUE),OR(exact(Metadata!O779,"not collected"),exact(Metadata!O779,"not provided"))),AND(IF(Metadata!O779="",FALSE,ISNUMBER(VALUE(Metadata!O779))),Metadata!O779&gt;0))</f>
        <v>0</v>
      </c>
      <c r="AQ779">
        <f>AND(IF(Metadata!P779="",FALSE,TRUE),exact(Metadata!P779,"kg"))</f>
        <v>0</v>
      </c>
      <c r="AR779">
        <f>OR(AND(IF(Metadata!Q779="",FALSE,TRUE),OR(exact(Metadata!Q779,"not applicable"),exact(Metadata!Q779,"not collected"),exact(Metadata!Q779,"not provided"),exact(Metadata!Q779,"restricted access"))),IF(Metadata!Q779="",FALSE,IF(ISERROR(INT(Metadata!Q779)),FALSE,INT(Metadata!Q779)=Metadata!Q779)))</f>
        <v>0</v>
      </c>
      <c r="AS779">
        <f>AND(IF(Metadata!R779="",FALSE,TRUE),exact(Metadata!R779,"Not applicable"))</f>
        <v>0</v>
      </c>
    </row>
    <row r="780" spans="1:45">
      <c r="A780" s="4">
        <f>IF(B780=" "," ",HYPERLINK(CONCATENATE("#metadata!",ADDRESS(INDEX($X$2:$X$1001,MATCH(ROWS($V$2:V780),$V$2:$V$1001,0),0),2)),INDEX($AA$2:$AA$1001,MATCH(ROWS($V$2:V780),$V$2:$V$1001,0),0)))</f>
        <v>0</v>
      </c>
      <c r="B780" s="5">
        <f>IF(OR(INDEX($W$2:$W$1001,MATCH(ROWS($V$2:V780),$V$2:$V$1001,0),1)&gt;=100000,INDEX($AC$1005:$AS$1005,1,MATCH(COLUMNS($AC$1006:AC1006),$AC$1006:$AS$1006,0))&gt;=100000), " ",IF(INDEX($AC$2:$AS$1001,MATCH(ROWS($V$2:V780),$V$2:$V$1001,0),MATCH(COLUMNS($AC$1006:AC1006),$AC$1006:$AS$1006,0)), HYPERLINK("#",""), HYPERLINK(CONCATENATE("#Metadata!", ADDRESS(INDEX($X$2:$X$1001,MATCH(ROWS($V$2:V780),$V$2:$V$1001,0),0), INDEX($AC$1004:$AS$1004,1,MATCH(COLUMNS($AC$1006:AC1006),$AC$1006:$AS$1006,0)))),"Fix")))</f>
        <v>0</v>
      </c>
      <c r="C780" s="5">
        <f>IF(OR(INDEX($W$2:$W$1001,MATCH(ROWS($V$2:V780),$V$2:$V$1001,0),1)&gt;=100000,INDEX($AC$1005:$AS$1005,1,MATCH(COLUMNS($AC$1006:AD1006),$AC$1006:$AS$1006,0))&gt;=100000), " ",IF(INDEX($AC$2:$AS$1001,MATCH(ROWS($V$2:V780),$V$2:$V$1001,0),MATCH(COLUMNS($AC$1006:AD1006),$AC$1006:$AS$1006,0)), HYPERLINK("#",""), HYPERLINK(CONCATENATE("#Metadata!", ADDRESS(INDEX($X$2:$X$1001,MATCH(ROWS($V$2:V780),$V$2:$V$1001,0),0), INDEX($AC$1004:$AS$1004,1,MATCH(COLUMNS($AC$1006:AD1006),$AC$1006:$AS$1006,0)))),"Fix")))</f>
        <v>0</v>
      </c>
      <c r="D780" s="5">
        <f>IF(OR(INDEX($W$2:$W$1001,MATCH(ROWS($V$2:V780),$V$2:$V$1001,0),1)&gt;=100000,INDEX($AC$1005:$AS$1005,1,MATCH(COLUMNS($AC$1006:AE1006),$AC$1006:$AS$1006,0))&gt;=100000), " ",IF(INDEX($AC$2:$AS$1001,MATCH(ROWS($V$2:V780),$V$2:$V$1001,0),MATCH(COLUMNS($AC$1006:AE1006),$AC$1006:$AS$1006,0)), HYPERLINK("#",""), HYPERLINK(CONCATENATE("#Metadata!", ADDRESS(INDEX($X$2:$X$1001,MATCH(ROWS($V$2:V780),$V$2:$V$1001,0),0), INDEX($AC$1004:$AS$1004,1,MATCH(COLUMNS($AC$1006:AE1006),$AC$1006:$AS$1006,0)))),"Fix")))</f>
        <v>0</v>
      </c>
      <c r="E780" s="5">
        <f>IF(OR(INDEX($W$2:$W$1001,MATCH(ROWS($V$2:V780),$V$2:$V$1001,0),1)&gt;=100000,INDEX($AC$1005:$AS$1005,1,MATCH(COLUMNS($AC$1006:AF1006),$AC$1006:$AS$1006,0))&gt;=100000), " ",IF(INDEX($AC$2:$AS$1001,MATCH(ROWS($V$2:V780),$V$2:$V$1001,0),MATCH(COLUMNS($AC$1006:AF1006),$AC$1006:$AS$1006,0)), HYPERLINK("#",""), HYPERLINK(CONCATENATE("#Metadata!", ADDRESS(INDEX($X$2:$X$1001,MATCH(ROWS($V$2:V780),$V$2:$V$1001,0),0), INDEX($AC$1004:$AS$1004,1,MATCH(COLUMNS($AC$1006:AF1006),$AC$1006:$AS$1006,0)))),"Fix")))</f>
        <v>0</v>
      </c>
      <c r="F780" s="5">
        <f>IF(OR(INDEX($W$2:$W$1001,MATCH(ROWS($V$2:V780),$V$2:$V$1001,0),1)&gt;=100000,INDEX($AC$1005:$AS$1005,1,MATCH(COLUMNS($AC$1006:AG1006),$AC$1006:$AS$1006,0))&gt;=100000), " ",IF(INDEX($AC$2:$AS$1001,MATCH(ROWS($V$2:V780),$V$2:$V$1001,0),MATCH(COLUMNS($AC$1006:AG1006),$AC$1006:$AS$1006,0)), HYPERLINK("#",""), HYPERLINK(CONCATENATE("#Metadata!", ADDRESS(INDEX($X$2:$X$1001,MATCH(ROWS($V$2:V780),$V$2:$V$1001,0),0), INDEX($AC$1004:$AS$1004,1,MATCH(COLUMNS($AC$1006:AG1006),$AC$1006:$AS$1006,0)))),"Fix")))</f>
        <v>0</v>
      </c>
      <c r="G780" s="5">
        <f>IF(OR(INDEX($W$2:$W$1001,MATCH(ROWS($V$2:V780),$V$2:$V$1001,0),1)&gt;=100000,INDEX($AC$1005:$AS$1005,1,MATCH(COLUMNS($AC$1006:AH1006),$AC$1006:$AS$1006,0))&gt;=100000), " ",IF(INDEX($AC$2:$AS$1001,MATCH(ROWS($V$2:V780),$V$2:$V$1001,0),MATCH(COLUMNS($AC$1006:AH1006),$AC$1006:$AS$1006,0)), HYPERLINK("#",""), HYPERLINK(CONCATENATE("#Metadata!", ADDRESS(INDEX($X$2:$X$1001,MATCH(ROWS($V$2:V780),$V$2:$V$1001,0),0), INDEX($AC$1004:$AS$1004,1,MATCH(COLUMNS($AC$1006:AH1006),$AC$1006:$AS$1006,0)))),"Fix")))</f>
        <v>0</v>
      </c>
      <c r="H780" s="5">
        <f>IF(OR(INDEX($W$2:$W$1001,MATCH(ROWS($V$2:V780),$V$2:$V$1001,0),1)&gt;=100000,INDEX($AC$1005:$AS$1005,1,MATCH(COLUMNS($AC$1006:AI1006),$AC$1006:$AS$1006,0))&gt;=100000), " ",IF(INDEX($AC$2:$AS$1001,MATCH(ROWS($V$2:V780),$V$2:$V$1001,0),MATCH(COLUMNS($AC$1006:AI1006),$AC$1006:$AS$1006,0)), HYPERLINK("#",""), HYPERLINK(CONCATENATE("#Metadata!", ADDRESS(INDEX($X$2:$X$1001,MATCH(ROWS($V$2:V780),$V$2:$V$1001,0),0), INDEX($AC$1004:$AS$1004,1,MATCH(COLUMNS($AC$1006:AI1006),$AC$1006:$AS$1006,0)))),"Fix")))</f>
        <v>0</v>
      </c>
      <c r="I780" s="5">
        <f>IF(OR(INDEX($W$2:$W$1001,MATCH(ROWS($V$2:V780),$V$2:$V$1001,0),1)&gt;=100000,INDEX($AC$1005:$AS$1005,1,MATCH(COLUMNS($AC$1006:AJ1006),$AC$1006:$AS$1006,0))&gt;=100000), " ",IF(INDEX($AC$2:$AS$1001,MATCH(ROWS($V$2:V780),$V$2:$V$1001,0),MATCH(COLUMNS($AC$1006:AJ1006),$AC$1006:$AS$1006,0)), HYPERLINK("#",""), HYPERLINK(CONCATENATE("#Metadata!", ADDRESS(INDEX($X$2:$X$1001,MATCH(ROWS($V$2:V780),$V$2:$V$1001,0),0), INDEX($AC$1004:$AS$1004,1,MATCH(COLUMNS($AC$1006:AJ1006),$AC$1006:$AS$1006,0)))),"Fix")))</f>
        <v>0</v>
      </c>
      <c r="J780" s="5">
        <f>IF(OR(INDEX($W$2:$W$1001,MATCH(ROWS($V$2:V780),$V$2:$V$1001,0),1)&gt;=100000,INDEX($AC$1005:$AS$1005,1,MATCH(COLUMNS($AC$1006:AK1006),$AC$1006:$AS$1006,0))&gt;=100000), " ",IF(INDEX($AC$2:$AS$1001,MATCH(ROWS($V$2:V780),$V$2:$V$1001,0),MATCH(COLUMNS($AC$1006:AK1006),$AC$1006:$AS$1006,0)), HYPERLINK("#",""), HYPERLINK(CONCATENATE("#Metadata!", ADDRESS(INDEX($X$2:$X$1001,MATCH(ROWS($V$2:V780),$V$2:$V$1001,0),0), INDEX($AC$1004:$AS$1004,1,MATCH(COLUMNS($AC$1006:AK1006),$AC$1006:$AS$1006,0)))),"Fix")))</f>
        <v>0</v>
      </c>
      <c r="K780" s="5">
        <f>IF(OR(INDEX($W$2:$W$1001,MATCH(ROWS($V$2:V780),$V$2:$V$1001,0),1)&gt;=100000,INDEX($AC$1005:$AS$1005,1,MATCH(COLUMNS($AC$1006:AL1006),$AC$1006:$AS$1006,0))&gt;=100000), " ",IF(INDEX($AC$2:$AS$1001,MATCH(ROWS($V$2:V780),$V$2:$V$1001,0),MATCH(COLUMNS($AC$1006:AL1006),$AC$1006:$AS$1006,0)), HYPERLINK("#",""), HYPERLINK(CONCATENATE("#Metadata!", ADDRESS(INDEX($X$2:$X$1001,MATCH(ROWS($V$2:V780),$V$2:$V$1001,0),0), INDEX($AC$1004:$AS$1004,1,MATCH(COLUMNS($AC$1006:AL1006),$AC$1006:$AS$1006,0)))),"Fix")))</f>
        <v>0</v>
      </c>
      <c r="L780" s="5">
        <f>IF(OR(INDEX($W$2:$W$1001,MATCH(ROWS($V$2:V780),$V$2:$V$1001,0),1)&gt;=100000,INDEX($AC$1005:$AS$1005,1,MATCH(COLUMNS($AC$1006:AM1006),$AC$1006:$AS$1006,0))&gt;=100000), " ",IF(INDEX($AC$2:$AS$1001,MATCH(ROWS($V$2:V780),$V$2:$V$1001,0),MATCH(COLUMNS($AC$1006:AM1006),$AC$1006:$AS$1006,0)), HYPERLINK("#",""), HYPERLINK(CONCATENATE("#Metadata!", ADDRESS(INDEX($X$2:$X$1001,MATCH(ROWS($V$2:V780),$V$2:$V$1001,0),0), INDEX($AC$1004:$AS$1004,1,MATCH(COLUMNS($AC$1006:AM1006),$AC$1006:$AS$1006,0)))),"Fix")))</f>
        <v>0</v>
      </c>
      <c r="M780" s="5">
        <f>IF(OR(INDEX($W$2:$W$1001,MATCH(ROWS($V$2:V780),$V$2:$V$1001,0),1)&gt;=100000,INDEX($AC$1005:$AS$1005,1,MATCH(COLUMNS($AC$1006:AN1006),$AC$1006:$AS$1006,0))&gt;=100000), " ",IF(INDEX($AC$2:$AS$1001,MATCH(ROWS($V$2:V780),$V$2:$V$1001,0),MATCH(COLUMNS($AC$1006:AN1006),$AC$1006:$AS$1006,0)), HYPERLINK("#",""), HYPERLINK(CONCATENATE("#Metadata!", ADDRESS(INDEX($X$2:$X$1001,MATCH(ROWS($V$2:V780),$V$2:$V$1001,0),0), INDEX($AC$1004:$AS$1004,1,MATCH(COLUMNS($AC$1006:AN1006),$AC$1006:$AS$1006,0)))),"Fix")))</f>
        <v>0</v>
      </c>
      <c r="N780" s="5">
        <f>IF(OR(INDEX($W$2:$W$1001,MATCH(ROWS($V$2:V780),$V$2:$V$1001,0),1)&gt;=100000,INDEX($AC$1005:$AS$1005,1,MATCH(COLUMNS($AC$1006:AO1006),$AC$1006:$AS$1006,0))&gt;=100000), " ",IF(INDEX($AC$2:$AS$1001,MATCH(ROWS($V$2:V780),$V$2:$V$1001,0),MATCH(COLUMNS($AC$1006:AO1006),$AC$1006:$AS$1006,0)), HYPERLINK("#",""), HYPERLINK(CONCATENATE("#Metadata!", ADDRESS(INDEX($X$2:$X$1001,MATCH(ROWS($V$2:V780),$V$2:$V$1001,0),0), INDEX($AC$1004:$AS$1004,1,MATCH(COLUMNS($AC$1006:AO1006),$AC$1006:$AS$1006,0)))),"Fix")))</f>
        <v>0</v>
      </c>
      <c r="O780" s="5">
        <f>IF(OR(INDEX($W$2:$W$1001,MATCH(ROWS($V$2:V780),$V$2:$V$1001,0),1)&gt;=100000,INDEX($AC$1005:$AS$1005,1,MATCH(COLUMNS($AC$1006:AP1006),$AC$1006:$AS$1006,0))&gt;=100000), " ",IF(INDEX($AC$2:$AS$1001,MATCH(ROWS($V$2:V780),$V$2:$V$1001,0),MATCH(COLUMNS($AC$1006:AP1006),$AC$1006:$AS$1006,0)), HYPERLINK("#",""), HYPERLINK(CONCATENATE("#Metadata!", ADDRESS(INDEX($X$2:$X$1001,MATCH(ROWS($V$2:V780),$V$2:$V$1001,0),0), INDEX($AC$1004:$AS$1004,1,MATCH(COLUMNS($AC$1006:AP1006),$AC$1006:$AS$1006,0)))),"Fix")))</f>
        <v>0</v>
      </c>
      <c r="P780" s="5">
        <f>IF(OR(INDEX($W$2:$W$1001,MATCH(ROWS($V$2:V780),$V$2:$V$1001,0),1)&gt;=100000,INDEX($AC$1005:$AS$1005,1,MATCH(COLUMNS($AC$1006:AQ1006),$AC$1006:$AS$1006,0))&gt;=100000), " ",IF(INDEX($AC$2:$AS$1001,MATCH(ROWS($V$2:V780),$V$2:$V$1001,0),MATCH(COLUMNS($AC$1006:AQ1006),$AC$1006:$AS$1006,0)), HYPERLINK("#",""), HYPERLINK(CONCATENATE("#Metadata!", ADDRESS(INDEX($X$2:$X$1001,MATCH(ROWS($V$2:V780),$V$2:$V$1001,0),0), INDEX($AC$1004:$AS$1004,1,MATCH(COLUMNS($AC$1006:AQ1006),$AC$1006:$AS$1006,0)))),"Fix")))</f>
        <v>0</v>
      </c>
      <c r="Q780" s="5">
        <f>IF(OR(INDEX($W$2:$W$1001,MATCH(ROWS($V$2:V780),$V$2:$V$1001,0),1)&gt;=100000,INDEX($AC$1005:$AS$1005,1,MATCH(COLUMNS($AC$1006:AR1006),$AC$1006:$AS$1006,0))&gt;=100000), " ",IF(INDEX($AC$2:$AS$1001,MATCH(ROWS($V$2:V780),$V$2:$V$1001,0),MATCH(COLUMNS($AC$1006:AR1006),$AC$1006:$AS$1006,0)), HYPERLINK("#",""), HYPERLINK(CONCATENATE("#Metadata!", ADDRESS(INDEX($X$2:$X$1001,MATCH(ROWS($V$2:V780),$V$2:$V$1001,0),0), INDEX($AC$1004:$AS$1004,1,MATCH(COLUMNS($AC$1006:AR1006),$AC$1006:$AS$1006,0)))),"Fix")))</f>
        <v>0</v>
      </c>
      <c r="R780" s="5">
        <f>IF(OR(INDEX($W$2:$W$1001,MATCH(ROWS($V$2:V780),$V$2:$V$1001,0),1)&gt;=100000,INDEX($AC$1005:$AS$1005,1,MATCH(COLUMNS($AC$1006:AS1006),$AC$1006:$AS$1006,0))&gt;=100000), " ",IF(INDEX($AC$2:$AS$1001,MATCH(ROWS($V$2:V780),$V$2:$V$1001,0),MATCH(COLUMNS($AC$1006:AS1006),$AC$1006:$AS$1006,0)), HYPERLINK("#",""), HYPERLINK(CONCATENATE("#Metadata!", ADDRESS(INDEX($X$2:$X$1001,MATCH(ROWS($V$2:V780),$V$2:$V$1001,0),0), INDEX($AC$1004:$AS$1004,1,MATCH(COLUMNS($AC$1006:AS1006),$AC$1006:$AS$1006,0)))),"Fix")))</f>
        <v>0</v>
      </c>
      <c r="V780">
        <v>0</v>
      </c>
      <c r="W780">
        <v>0</v>
      </c>
      <c r="X780">
        <v>0</v>
      </c>
      <c r="Y780">
        <f>IF(Z780,TRUE,AND(AC780:AS780))</f>
        <v>0</v>
      </c>
      <c r="Z780">
        <f>COUNTBLANK(Metadata!B780:R780)=COLUMNS(Metadata!B780:R780)</f>
        <v>0</v>
      </c>
      <c r="AA780">
        <v>0</v>
      </c>
      <c r="AC780">
        <f>AND(IF(Metadata!B780="",FALSE,TRUE),COUNTIF(Metadata!B:B, Metadata!B780) = 1,NOT(ISERROR(SUMPRODUCT(SEARCH(MID(Metadata!B780,ROW(INDIRECT("1:"&amp;LEN(Metadata!B780))), 1),"0123456789abcdefghijklmnopqrstuvwxyzABCDEFGHIJKLMNOPQRSTUVWXYZ.")))))</f>
        <v>0</v>
      </c>
      <c r="AD780">
        <f>AND(IF(Metadata!C780="",FALSE,TRUE),exact(Metadata!C780,"Host-associated"))</f>
        <v>0</v>
      </c>
      <c r="AE780">
        <f>AND(IF(Metadata!D780="",FALSE,TRUE),OR(exact(Metadata!D780,"Animal"),exact(Metadata!D780,"Fungus"),exact(Metadata!D780,"Plant")))</f>
        <v>0</v>
      </c>
      <c r="AF780">
        <f>AND(IF(Metadata!E780="",FALSE,TRUE),OR(exact(Metadata!E780,"Plant secretion"),exact(Metadata!E780,"Plant rhizosphere"),exact(Metadata!E780,"Plant surface"),exact(Metadata!E780,"Plant corpus"),exact(Metadata!E780,"Fungus surface"),exact(Metadata!E780,"Fungus corpus"),exact(Metadata!E780,"Animal surface"),exact(Metadata!E780,"Animal proximal gut"),exact(Metadata!E780,"Animal corpus"),exact(Metadata!E780,"Animal distal gut"),exact(Metadata!E780,"Animal secretion")))</f>
        <v>0</v>
      </c>
      <c r="AG780">
        <f>OR(AND(IF(Metadata!F780="",FALSE,TRUE),OR(exact(Metadata!F780,"not collected"),exact(Metadata!F780,"not provided"),exact(Metadata!F780,"restricted access"))),AND(IF(Metadata!F780="",FALSE,TRUE),OR(exact(Metadata!F780,"organism-associated habitat"),exact(Metadata!F780,"plant-associated habitat"),exact(Metadata!F780,"animal-associated habitat"),exact(Metadata!F780,"insecta-associated habitat"),exact(Metadata!F780,"mammalia-associated habitat"),exact(Metadata!F780,"human-associated habitat"),exact(Metadata!F780,"livestock-associated habitat"))))</f>
        <v>0</v>
      </c>
      <c r="AH780">
        <f>AND(IF(Metadata!G780="",FALSE,TRUE),exact(Metadata!G780,"host-associated"))</f>
        <v>0</v>
      </c>
      <c r="AI780">
        <f>OR(AND(IF(Metadata!H780="",FALSE,TRUE),OR(exact(Metadata!H780,"not collected"),exact(Metadata!H780,"not provided"))),AND(IF(Metadata!H780="",FALSE,ISNUMBER(VALUE(Metadata!H780))),Metadata!H780&gt;0))</f>
        <v>0</v>
      </c>
      <c r="AJ780">
        <f>AND(IF(Metadata!I780="",FALSE,TRUE),exact(Metadata!I780,"years"))</f>
        <v>0</v>
      </c>
      <c r="AK780">
        <f>IF(Metadata!J780="",FALSE,TRUE)</f>
        <v>0</v>
      </c>
      <c r="AL780">
        <f>OR(AND(IF(Metadata!K780="",FALSE,TRUE),OR(exact(Metadata!K780,"not collected"),exact(Metadata!K780,"not provided"))),AND(IF(Metadata!K780="",FALSE,ISNUMBER(VALUE(Metadata!K780))),Metadata!K780&gt;0))</f>
        <v>0</v>
      </c>
      <c r="AM780">
        <f>AND(IF(Metadata!L780="",FALSE,TRUE),exact(Metadata!L780,"cm"))</f>
        <v>0</v>
      </c>
      <c r="AN780">
        <f>IF(Metadata!M780="",FALSE,TRUE)</f>
        <v>0</v>
      </c>
      <c r="AO780">
        <f>OR(AND(IF(Metadata!N780="",FALSE,TRUE),OR(exact(Metadata!N780,"not applicable"),exact(Metadata!N780,"not collected"),exact(Metadata!N780,"not provided"))),AND(IF(Metadata!N780="",FALSE,IF(ISERROR(INT(Metadata!N780)),FALSE,INT(Metadata!N780)=Metadata!N780)),Metadata!N780&gt;0))</f>
        <v>0</v>
      </c>
      <c r="AP780">
        <f>OR(AND(IF(Metadata!O780="",FALSE,TRUE),OR(exact(Metadata!O780,"not collected"),exact(Metadata!O780,"not provided"))),AND(IF(Metadata!O780="",FALSE,ISNUMBER(VALUE(Metadata!O780))),Metadata!O780&gt;0))</f>
        <v>0</v>
      </c>
      <c r="AQ780">
        <f>AND(IF(Metadata!P780="",FALSE,TRUE),exact(Metadata!P780,"kg"))</f>
        <v>0</v>
      </c>
      <c r="AR780">
        <f>OR(AND(IF(Metadata!Q780="",FALSE,TRUE),OR(exact(Metadata!Q780,"not applicable"),exact(Metadata!Q780,"not collected"),exact(Metadata!Q780,"not provided"),exact(Metadata!Q780,"restricted access"))),IF(Metadata!Q780="",FALSE,IF(ISERROR(INT(Metadata!Q780)),FALSE,INT(Metadata!Q780)=Metadata!Q780)))</f>
        <v>0</v>
      </c>
      <c r="AS780">
        <f>AND(IF(Metadata!R780="",FALSE,TRUE),exact(Metadata!R780,"Not applicable"))</f>
        <v>0</v>
      </c>
    </row>
    <row r="781" spans="1:45">
      <c r="A781" s="4">
        <f>IF(B781=" "," ",HYPERLINK(CONCATENATE("#metadata!",ADDRESS(INDEX($X$2:$X$1001,MATCH(ROWS($V$2:V781),$V$2:$V$1001,0),0),2)),INDEX($AA$2:$AA$1001,MATCH(ROWS($V$2:V781),$V$2:$V$1001,0),0)))</f>
        <v>0</v>
      </c>
      <c r="B781" s="5">
        <f>IF(OR(INDEX($W$2:$W$1001,MATCH(ROWS($V$2:V781),$V$2:$V$1001,0),1)&gt;=100000,INDEX($AC$1005:$AS$1005,1,MATCH(COLUMNS($AC$1006:AC1006),$AC$1006:$AS$1006,0))&gt;=100000), " ",IF(INDEX($AC$2:$AS$1001,MATCH(ROWS($V$2:V781),$V$2:$V$1001,0),MATCH(COLUMNS($AC$1006:AC1006),$AC$1006:$AS$1006,0)), HYPERLINK("#",""), HYPERLINK(CONCATENATE("#Metadata!", ADDRESS(INDEX($X$2:$X$1001,MATCH(ROWS($V$2:V781),$V$2:$V$1001,0),0), INDEX($AC$1004:$AS$1004,1,MATCH(COLUMNS($AC$1006:AC1006),$AC$1006:$AS$1006,0)))),"Fix")))</f>
        <v>0</v>
      </c>
      <c r="C781" s="5">
        <f>IF(OR(INDEX($W$2:$W$1001,MATCH(ROWS($V$2:V781),$V$2:$V$1001,0),1)&gt;=100000,INDEX($AC$1005:$AS$1005,1,MATCH(COLUMNS($AC$1006:AD1006),$AC$1006:$AS$1006,0))&gt;=100000), " ",IF(INDEX($AC$2:$AS$1001,MATCH(ROWS($V$2:V781),$V$2:$V$1001,0),MATCH(COLUMNS($AC$1006:AD1006),$AC$1006:$AS$1006,0)), HYPERLINK("#",""), HYPERLINK(CONCATENATE("#Metadata!", ADDRESS(INDEX($X$2:$X$1001,MATCH(ROWS($V$2:V781),$V$2:$V$1001,0),0), INDEX($AC$1004:$AS$1004,1,MATCH(COLUMNS($AC$1006:AD1006),$AC$1006:$AS$1006,0)))),"Fix")))</f>
        <v>0</v>
      </c>
      <c r="D781" s="5">
        <f>IF(OR(INDEX($W$2:$W$1001,MATCH(ROWS($V$2:V781),$V$2:$V$1001,0),1)&gt;=100000,INDEX($AC$1005:$AS$1005,1,MATCH(COLUMNS($AC$1006:AE1006),$AC$1006:$AS$1006,0))&gt;=100000), " ",IF(INDEX($AC$2:$AS$1001,MATCH(ROWS($V$2:V781),$V$2:$V$1001,0),MATCH(COLUMNS($AC$1006:AE1006),$AC$1006:$AS$1006,0)), HYPERLINK("#",""), HYPERLINK(CONCATENATE("#Metadata!", ADDRESS(INDEX($X$2:$X$1001,MATCH(ROWS($V$2:V781),$V$2:$V$1001,0),0), INDEX($AC$1004:$AS$1004,1,MATCH(COLUMNS($AC$1006:AE1006),$AC$1006:$AS$1006,0)))),"Fix")))</f>
        <v>0</v>
      </c>
      <c r="E781" s="5">
        <f>IF(OR(INDEX($W$2:$W$1001,MATCH(ROWS($V$2:V781),$V$2:$V$1001,0),1)&gt;=100000,INDEX($AC$1005:$AS$1005,1,MATCH(COLUMNS($AC$1006:AF1006),$AC$1006:$AS$1006,0))&gt;=100000), " ",IF(INDEX($AC$2:$AS$1001,MATCH(ROWS($V$2:V781),$V$2:$V$1001,0),MATCH(COLUMNS($AC$1006:AF1006),$AC$1006:$AS$1006,0)), HYPERLINK("#",""), HYPERLINK(CONCATENATE("#Metadata!", ADDRESS(INDEX($X$2:$X$1001,MATCH(ROWS($V$2:V781),$V$2:$V$1001,0),0), INDEX($AC$1004:$AS$1004,1,MATCH(COLUMNS($AC$1006:AF1006),$AC$1006:$AS$1006,0)))),"Fix")))</f>
        <v>0</v>
      </c>
      <c r="F781" s="5">
        <f>IF(OR(INDEX($W$2:$W$1001,MATCH(ROWS($V$2:V781),$V$2:$V$1001,0),1)&gt;=100000,INDEX($AC$1005:$AS$1005,1,MATCH(COLUMNS($AC$1006:AG1006),$AC$1006:$AS$1006,0))&gt;=100000), " ",IF(INDEX($AC$2:$AS$1001,MATCH(ROWS($V$2:V781),$V$2:$V$1001,0),MATCH(COLUMNS($AC$1006:AG1006),$AC$1006:$AS$1006,0)), HYPERLINK("#",""), HYPERLINK(CONCATENATE("#Metadata!", ADDRESS(INDEX($X$2:$X$1001,MATCH(ROWS($V$2:V781),$V$2:$V$1001,0),0), INDEX($AC$1004:$AS$1004,1,MATCH(COLUMNS($AC$1006:AG1006),$AC$1006:$AS$1006,0)))),"Fix")))</f>
        <v>0</v>
      </c>
      <c r="G781" s="5">
        <f>IF(OR(INDEX($W$2:$W$1001,MATCH(ROWS($V$2:V781),$V$2:$V$1001,0),1)&gt;=100000,INDEX($AC$1005:$AS$1005,1,MATCH(COLUMNS($AC$1006:AH1006),$AC$1006:$AS$1006,0))&gt;=100000), " ",IF(INDEX($AC$2:$AS$1001,MATCH(ROWS($V$2:V781),$V$2:$V$1001,0),MATCH(COLUMNS($AC$1006:AH1006),$AC$1006:$AS$1006,0)), HYPERLINK("#",""), HYPERLINK(CONCATENATE("#Metadata!", ADDRESS(INDEX($X$2:$X$1001,MATCH(ROWS($V$2:V781),$V$2:$V$1001,0),0), INDEX($AC$1004:$AS$1004,1,MATCH(COLUMNS($AC$1006:AH1006),$AC$1006:$AS$1006,0)))),"Fix")))</f>
        <v>0</v>
      </c>
      <c r="H781" s="5">
        <f>IF(OR(INDEX($W$2:$W$1001,MATCH(ROWS($V$2:V781),$V$2:$V$1001,0),1)&gt;=100000,INDEX($AC$1005:$AS$1005,1,MATCH(COLUMNS($AC$1006:AI1006),$AC$1006:$AS$1006,0))&gt;=100000), " ",IF(INDEX($AC$2:$AS$1001,MATCH(ROWS($V$2:V781),$V$2:$V$1001,0),MATCH(COLUMNS($AC$1006:AI1006),$AC$1006:$AS$1006,0)), HYPERLINK("#",""), HYPERLINK(CONCATENATE("#Metadata!", ADDRESS(INDEX($X$2:$X$1001,MATCH(ROWS($V$2:V781),$V$2:$V$1001,0),0), INDEX($AC$1004:$AS$1004,1,MATCH(COLUMNS($AC$1006:AI1006),$AC$1006:$AS$1006,0)))),"Fix")))</f>
        <v>0</v>
      </c>
      <c r="I781" s="5">
        <f>IF(OR(INDEX($W$2:$W$1001,MATCH(ROWS($V$2:V781),$V$2:$V$1001,0),1)&gt;=100000,INDEX($AC$1005:$AS$1005,1,MATCH(COLUMNS($AC$1006:AJ1006),$AC$1006:$AS$1006,0))&gt;=100000), " ",IF(INDEX($AC$2:$AS$1001,MATCH(ROWS($V$2:V781),$V$2:$V$1001,0),MATCH(COLUMNS($AC$1006:AJ1006),$AC$1006:$AS$1006,0)), HYPERLINK("#",""), HYPERLINK(CONCATENATE("#Metadata!", ADDRESS(INDEX($X$2:$X$1001,MATCH(ROWS($V$2:V781),$V$2:$V$1001,0),0), INDEX($AC$1004:$AS$1004,1,MATCH(COLUMNS($AC$1006:AJ1006),$AC$1006:$AS$1006,0)))),"Fix")))</f>
        <v>0</v>
      </c>
      <c r="J781" s="5">
        <f>IF(OR(INDEX($W$2:$W$1001,MATCH(ROWS($V$2:V781),$V$2:$V$1001,0),1)&gt;=100000,INDEX($AC$1005:$AS$1005,1,MATCH(COLUMNS($AC$1006:AK1006),$AC$1006:$AS$1006,0))&gt;=100000), " ",IF(INDEX($AC$2:$AS$1001,MATCH(ROWS($V$2:V781),$V$2:$V$1001,0),MATCH(COLUMNS($AC$1006:AK1006),$AC$1006:$AS$1006,0)), HYPERLINK("#",""), HYPERLINK(CONCATENATE("#Metadata!", ADDRESS(INDEX($X$2:$X$1001,MATCH(ROWS($V$2:V781),$V$2:$V$1001,0),0), INDEX($AC$1004:$AS$1004,1,MATCH(COLUMNS($AC$1006:AK1006),$AC$1006:$AS$1006,0)))),"Fix")))</f>
        <v>0</v>
      </c>
      <c r="K781" s="5">
        <f>IF(OR(INDEX($W$2:$W$1001,MATCH(ROWS($V$2:V781),$V$2:$V$1001,0),1)&gt;=100000,INDEX($AC$1005:$AS$1005,1,MATCH(COLUMNS($AC$1006:AL1006),$AC$1006:$AS$1006,0))&gt;=100000), " ",IF(INDEX($AC$2:$AS$1001,MATCH(ROWS($V$2:V781),$V$2:$V$1001,0),MATCH(COLUMNS($AC$1006:AL1006),$AC$1006:$AS$1006,0)), HYPERLINK("#",""), HYPERLINK(CONCATENATE("#Metadata!", ADDRESS(INDEX($X$2:$X$1001,MATCH(ROWS($V$2:V781),$V$2:$V$1001,0),0), INDEX($AC$1004:$AS$1004,1,MATCH(COLUMNS($AC$1006:AL1006),$AC$1006:$AS$1006,0)))),"Fix")))</f>
        <v>0</v>
      </c>
      <c r="L781" s="5">
        <f>IF(OR(INDEX($W$2:$W$1001,MATCH(ROWS($V$2:V781),$V$2:$V$1001,0),1)&gt;=100000,INDEX($AC$1005:$AS$1005,1,MATCH(COLUMNS($AC$1006:AM1006),$AC$1006:$AS$1006,0))&gt;=100000), " ",IF(INDEX($AC$2:$AS$1001,MATCH(ROWS($V$2:V781),$V$2:$V$1001,0),MATCH(COLUMNS($AC$1006:AM1006),$AC$1006:$AS$1006,0)), HYPERLINK("#",""), HYPERLINK(CONCATENATE("#Metadata!", ADDRESS(INDEX($X$2:$X$1001,MATCH(ROWS($V$2:V781),$V$2:$V$1001,0),0), INDEX($AC$1004:$AS$1004,1,MATCH(COLUMNS($AC$1006:AM1006),$AC$1006:$AS$1006,0)))),"Fix")))</f>
        <v>0</v>
      </c>
      <c r="M781" s="5">
        <f>IF(OR(INDEX($W$2:$W$1001,MATCH(ROWS($V$2:V781),$V$2:$V$1001,0),1)&gt;=100000,INDEX($AC$1005:$AS$1005,1,MATCH(COLUMNS($AC$1006:AN1006),$AC$1006:$AS$1006,0))&gt;=100000), " ",IF(INDEX($AC$2:$AS$1001,MATCH(ROWS($V$2:V781),$V$2:$V$1001,0),MATCH(COLUMNS($AC$1006:AN1006),$AC$1006:$AS$1006,0)), HYPERLINK("#",""), HYPERLINK(CONCATENATE("#Metadata!", ADDRESS(INDEX($X$2:$X$1001,MATCH(ROWS($V$2:V781),$V$2:$V$1001,0),0), INDEX($AC$1004:$AS$1004,1,MATCH(COLUMNS($AC$1006:AN1006),$AC$1006:$AS$1006,0)))),"Fix")))</f>
        <v>0</v>
      </c>
      <c r="N781" s="5">
        <f>IF(OR(INDEX($W$2:$W$1001,MATCH(ROWS($V$2:V781),$V$2:$V$1001,0),1)&gt;=100000,INDEX($AC$1005:$AS$1005,1,MATCH(COLUMNS($AC$1006:AO1006),$AC$1006:$AS$1006,0))&gt;=100000), " ",IF(INDEX($AC$2:$AS$1001,MATCH(ROWS($V$2:V781),$V$2:$V$1001,0),MATCH(COLUMNS($AC$1006:AO1006),$AC$1006:$AS$1006,0)), HYPERLINK("#",""), HYPERLINK(CONCATENATE("#Metadata!", ADDRESS(INDEX($X$2:$X$1001,MATCH(ROWS($V$2:V781),$V$2:$V$1001,0),0), INDEX($AC$1004:$AS$1004,1,MATCH(COLUMNS($AC$1006:AO1006),$AC$1006:$AS$1006,0)))),"Fix")))</f>
        <v>0</v>
      </c>
      <c r="O781" s="5">
        <f>IF(OR(INDEX($W$2:$W$1001,MATCH(ROWS($V$2:V781),$V$2:$V$1001,0),1)&gt;=100000,INDEX($AC$1005:$AS$1005,1,MATCH(COLUMNS($AC$1006:AP1006),$AC$1006:$AS$1006,0))&gt;=100000), " ",IF(INDEX($AC$2:$AS$1001,MATCH(ROWS($V$2:V781),$V$2:$V$1001,0),MATCH(COLUMNS($AC$1006:AP1006),$AC$1006:$AS$1006,0)), HYPERLINK("#",""), HYPERLINK(CONCATENATE("#Metadata!", ADDRESS(INDEX($X$2:$X$1001,MATCH(ROWS($V$2:V781),$V$2:$V$1001,0),0), INDEX($AC$1004:$AS$1004,1,MATCH(COLUMNS($AC$1006:AP1006),$AC$1006:$AS$1006,0)))),"Fix")))</f>
        <v>0</v>
      </c>
      <c r="P781" s="5">
        <f>IF(OR(INDEX($W$2:$W$1001,MATCH(ROWS($V$2:V781),$V$2:$V$1001,0),1)&gt;=100000,INDEX($AC$1005:$AS$1005,1,MATCH(COLUMNS($AC$1006:AQ1006),$AC$1006:$AS$1006,0))&gt;=100000), " ",IF(INDEX($AC$2:$AS$1001,MATCH(ROWS($V$2:V781),$V$2:$V$1001,0),MATCH(COLUMNS($AC$1006:AQ1006),$AC$1006:$AS$1006,0)), HYPERLINK("#",""), HYPERLINK(CONCATENATE("#Metadata!", ADDRESS(INDEX($X$2:$X$1001,MATCH(ROWS($V$2:V781),$V$2:$V$1001,0),0), INDEX($AC$1004:$AS$1004,1,MATCH(COLUMNS($AC$1006:AQ1006),$AC$1006:$AS$1006,0)))),"Fix")))</f>
        <v>0</v>
      </c>
      <c r="Q781" s="5">
        <f>IF(OR(INDEX($W$2:$W$1001,MATCH(ROWS($V$2:V781),$V$2:$V$1001,0),1)&gt;=100000,INDEX($AC$1005:$AS$1005,1,MATCH(COLUMNS($AC$1006:AR1006),$AC$1006:$AS$1006,0))&gt;=100000), " ",IF(INDEX($AC$2:$AS$1001,MATCH(ROWS($V$2:V781),$V$2:$V$1001,0),MATCH(COLUMNS($AC$1006:AR1006),$AC$1006:$AS$1006,0)), HYPERLINK("#",""), HYPERLINK(CONCATENATE("#Metadata!", ADDRESS(INDEX($X$2:$X$1001,MATCH(ROWS($V$2:V781),$V$2:$V$1001,0),0), INDEX($AC$1004:$AS$1004,1,MATCH(COLUMNS($AC$1006:AR1006),$AC$1006:$AS$1006,0)))),"Fix")))</f>
        <v>0</v>
      </c>
      <c r="R781" s="5">
        <f>IF(OR(INDEX($W$2:$W$1001,MATCH(ROWS($V$2:V781),$V$2:$V$1001,0),1)&gt;=100000,INDEX($AC$1005:$AS$1005,1,MATCH(COLUMNS($AC$1006:AS1006),$AC$1006:$AS$1006,0))&gt;=100000), " ",IF(INDEX($AC$2:$AS$1001,MATCH(ROWS($V$2:V781),$V$2:$V$1001,0),MATCH(COLUMNS($AC$1006:AS1006),$AC$1006:$AS$1006,0)), HYPERLINK("#",""), HYPERLINK(CONCATENATE("#Metadata!", ADDRESS(INDEX($X$2:$X$1001,MATCH(ROWS($V$2:V781),$V$2:$V$1001,0),0), INDEX($AC$1004:$AS$1004,1,MATCH(COLUMNS($AC$1006:AS1006),$AC$1006:$AS$1006,0)))),"Fix")))</f>
        <v>0</v>
      </c>
      <c r="V781">
        <v>0</v>
      </c>
      <c r="W781">
        <v>0</v>
      </c>
      <c r="X781">
        <v>0</v>
      </c>
      <c r="Y781">
        <f>IF(Z781,TRUE,AND(AC781:AS781))</f>
        <v>0</v>
      </c>
      <c r="Z781">
        <f>COUNTBLANK(Metadata!B781:R781)=COLUMNS(Metadata!B781:R781)</f>
        <v>0</v>
      </c>
      <c r="AA781">
        <v>0</v>
      </c>
      <c r="AC781">
        <f>AND(IF(Metadata!B781="",FALSE,TRUE),COUNTIF(Metadata!B:B, Metadata!B781) = 1,NOT(ISERROR(SUMPRODUCT(SEARCH(MID(Metadata!B781,ROW(INDIRECT("1:"&amp;LEN(Metadata!B781))), 1),"0123456789abcdefghijklmnopqrstuvwxyzABCDEFGHIJKLMNOPQRSTUVWXYZ.")))))</f>
        <v>0</v>
      </c>
      <c r="AD781">
        <f>AND(IF(Metadata!C781="",FALSE,TRUE),exact(Metadata!C781,"Host-associated"))</f>
        <v>0</v>
      </c>
      <c r="AE781">
        <f>AND(IF(Metadata!D781="",FALSE,TRUE),OR(exact(Metadata!D781,"Animal"),exact(Metadata!D781,"Fungus"),exact(Metadata!D781,"Plant")))</f>
        <v>0</v>
      </c>
      <c r="AF781">
        <f>AND(IF(Metadata!E781="",FALSE,TRUE),OR(exact(Metadata!E781,"Plant secretion"),exact(Metadata!E781,"Plant rhizosphere"),exact(Metadata!E781,"Plant surface"),exact(Metadata!E781,"Plant corpus"),exact(Metadata!E781,"Fungus surface"),exact(Metadata!E781,"Fungus corpus"),exact(Metadata!E781,"Animal surface"),exact(Metadata!E781,"Animal proximal gut"),exact(Metadata!E781,"Animal corpus"),exact(Metadata!E781,"Animal distal gut"),exact(Metadata!E781,"Animal secretion")))</f>
        <v>0</v>
      </c>
      <c r="AG781">
        <f>OR(AND(IF(Metadata!F781="",FALSE,TRUE),OR(exact(Metadata!F781,"not collected"),exact(Metadata!F781,"not provided"),exact(Metadata!F781,"restricted access"))),AND(IF(Metadata!F781="",FALSE,TRUE),OR(exact(Metadata!F781,"organism-associated habitat"),exact(Metadata!F781,"plant-associated habitat"),exact(Metadata!F781,"animal-associated habitat"),exact(Metadata!F781,"insecta-associated habitat"),exact(Metadata!F781,"mammalia-associated habitat"),exact(Metadata!F781,"human-associated habitat"),exact(Metadata!F781,"livestock-associated habitat"))))</f>
        <v>0</v>
      </c>
      <c r="AH781">
        <f>AND(IF(Metadata!G781="",FALSE,TRUE),exact(Metadata!G781,"host-associated"))</f>
        <v>0</v>
      </c>
      <c r="AI781">
        <f>OR(AND(IF(Metadata!H781="",FALSE,TRUE),OR(exact(Metadata!H781,"not collected"),exact(Metadata!H781,"not provided"))),AND(IF(Metadata!H781="",FALSE,ISNUMBER(VALUE(Metadata!H781))),Metadata!H781&gt;0))</f>
        <v>0</v>
      </c>
      <c r="AJ781">
        <f>AND(IF(Metadata!I781="",FALSE,TRUE),exact(Metadata!I781,"years"))</f>
        <v>0</v>
      </c>
      <c r="AK781">
        <f>IF(Metadata!J781="",FALSE,TRUE)</f>
        <v>0</v>
      </c>
      <c r="AL781">
        <f>OR(AND(IF(Metadata!K781="",FALSE,TRUE),OR(exact(Metadata!K781,"not collected"),exact(Metadata!K781,"not provided"))),AND(IF(Metadata!K781="",FALSE,ISNUMBER(VALUE(Metadata!K781))),Metadata!K781&gt;0))</f>
        <v>0</v>
      </c>
      <c r="AM781">
        <f>AND(IF(Metadata!L781="",FALSE,TRUE),exact(Metadata!L781,"cm"))</f>
        <v>0</v>
      </c>
      <c r="AN781">
        <f>IF(Metadata!M781="",FALSE,TRUE)</f>
        <v>0</v>
      </c>
      <c r="AO781">
        <f>OR(AND(IF(Metadata!N781="",FALSE,TRUE),OR(exact(Metadata!N781,"not applicable"),exact(Metadata!N781,"not collected"),exact(Metadata!N781,"not provided"))),AND(IF(Metadata!N781="",FALSE,IF(ISERROR(INT(Metadata!N781)),FALSE,INT(Metadata!N781)=Metadata!N781)),Metadata!N781&gt;0))</f>
        <v>0</v>
      </c>
      <c r="AP781">
        <f>OR(AND(IF(Metadata!O781="",FALSE,TRUE),OR(exact(Metadata!O781,"not collected"),exact(Metadata!O781,"not provided"))),AND(IF(Metadata!O781="",FALSE,ISNUMBER(VALUE(Metadata!O781))),Metadata!O781&gt;0))</f>
        <v>0</v>
      </c>
      <c r="AQ781">
        <f>AND(IF(Metadata!P781="",FALSE,TRUE),exact(Metadata!P781,"kg"))</f>
        <v>0</v>
      </c>
      <c r="AR781">
        <f>OR(AND(IF(Metadata!Q781="",FALSE,TRUE),OR(exact(Metadata!Q781,"not applicable"),exact(Metadata!Q781,"not collected"),exact(Metadata!Q781,"not provided"),exact(Metadata!Q781,"restricted access"))),IF(Metadata!Q781="",FALSE,IF(ISERROR(INT(Metadata!Q781)),FALSE,INT(Metadata!Q781)=Metadata!Q781)))</f>
        <v>0</v>
      </c>
      <c r="AS781">
        <f>AND(IF(Metadata!R781="",FALSE,TRUE),exact(Metadata!R781,"Not applicable"))</f>
        <v>0</v>
      </c>
    </row>
    <row r="782" spans="1:45">
      <c r="A782" s="4">
        <f>IF(B782=" "," ",HYPERLINK(CONCATENATE("#metadata!",ADDRESS(INDEX($X$2:$X$1001,MATCH(ROWS($V$2:V782),$V$2:$V$1001,0),0),2)),INDEX($AA$2:$AA$1001,MATCH(ROWS($V$2:V782),$V$2:$V$1001,0),0)))</f>
        <v>0</v>
      </c>
      <c r="B782" s="5">
        <f>IF(OR(INDEX($W$2:$W$1001,MATCH(ROWS($V$2:V782),$V$2:$V$1001,0),1)&gt;=100000,INDEX($AC$1005:$AS$1005,1,MATCH(COLUMNS($AC$1006:AC1006),$AC$1006:$AS$1006,0))&gt;=100000), " ",IF(INDEX($AC$2:$AS$1001,MATCH(ROWS($V$2:V782),$V$2:$V$1001,0),MATCH(COLUMNS($AC$1006:AC1006),$AC$1006:$AS$1006,0)), HYPERLINK("#",""), HYPERLINK(CONCATENATE("#Metadata!", ADDRESS(INDEX($X$2:$X$1001,MATCH(ROWS($V$2:V782),$V$2:$V$1001,0),0), INDEX($AC$1004:$AS$1004,1,MATCH(COLUMNS($AC$1006:AC1006),$AC$1006:$AS$1006,0)))),"Fix")))</f>
        <v>0</v>
      </c>
      <c r="C782" s="5">
        <f>IF(OR(INDEX($W$2:$W$1001,MATCH(ROWS($V$2:V782),$V$2:$V$1001,0),1)&gt;=100000,INDEX($AC$1005:$AS$1005,1,MATCH(COLUMNS($AC$1006:AD1006),$AC$1006:$AS$1006,0))&gt;=100000), " ",IF(INDEX($AC$2:$AS$1001,MATCH(ROWS($V$2:V782),$V$2:$V$1001,0),MATCH(COLUMNS($AC$1006:AD1006),$AC$1006:$AS$1006,0)), HYPERLINK("#",""), HYPERLINK(CONCATENATE("#Metadata!", ADDRESS(INDEX($X$2:$X$1001,MATCH(ROWS($V$2:V782),$V$2:$V$1001,0),0), INDEX($AC$1004:$AS$1004,1,MATCH(COLUMNS($AC$1006:AD1006),$AC$1006:$AS$1006,0)))),"Fix")))</f>
        <v>0</v>
      </c>
      <c r="D782" s="5">
        <f>IF(OR(INDEX($W$2:$W$1001,MATCH(ROWS($V$2:V782),$V$2:$V$1001,0),1)&gt;=100000,INDEX($AC$1005:$AS$1005,1,MATCH(COLUMNS($AC$1006:AE1006),$AC$1006:$AS$1006,0))&gt;=100000), " ",IF(INDEX($AC$2:$AS$1001,MATCH(ROWS($V$2:V782),$V$2:$V$1001,0),MATCH(COLUMNS($AC$1006:AE1006),$AC$1006:$AS$1006,0)), HYPERLINK("#",""), HYPERLINK(CONCATENATE("#Metadata!", ADDRESS(INDEX($X$2:$X$1001,MATCH(ROWS($V$2:V782),$V$2:$V$1001,0),0), INDEX($AC$1004:$AS$1004,1,MATCH(COLUMNS($AC$1006:AE1006),$AC$1006:$AS$1006,0)))),"Fix")))</f>
        <v>0</v>
      </c>
      <c r="E782" s="5">
        <f>IF(OR(INDEX($W$2:$W$1001,MATCH(ROWS($V$2:V782),$V$2:$V$1001,0),1)&gt;=100000,INDEX($AC$1005:$AS$1005,1,MATCH(COLUMNS($AC$1006:AF1006),$AC$1006:$AS$1006,0))&gt;=100000), " ",IF(INDEX($AC$2:$AS$1001,MATCH(ROWS($V$2:V782),$V$2:$V$1001,0),MATCH(COLUMNS($AC$1006:AF1006),$AC$1006:$AS$1006,0)), HYPERLINK("#",""), HYPERLINK(CONCATENATE("#Metadata!", ADDRESS(INDEX($X$2:$X$1001,MATCH(ROWS($V$2:V782),$V$2:$V$1001,0),0), INDEX($AC$1004:$AS$1004,1,MATCH(COLUMNS($AC$1006:AF1006),$AC$1006:$AS$1006,0)))),"Fix")))</f>
        <v>0</v>
      </c>
      <c r="F782" s="5">
        <f>IF(OR(INDEX($W$2:$W$1001,MATCH(ROWS($V$2:V782),$V$2:$V$1001,0),1)&gt;=100000,INDEX($AC$1005:$AS$1005,1,MATCH(COLUMNS($AC$1006:AG1006),$AC$1006:$AS$1006,0))&gt;=100000), " ",IF(INDEX($AC$2:$AS$1001,MATCH(ROWS($V$2:V782),$V$2:$V$1001,0),MATCH(COLUMNS($AC$1006:AG1006),$AC$1006:$AS$1006,0)), HYPERLINK("#",""), HYPERLINK(CONCATENATE("#Metadata!", ADDRESS(INDEX($X$2:$X$1001,MATCH(ROWS($V$2:V782),$V$2:$V$1001,0),0), INDEX($AC$1004:$AS$1004,1,MATCH(COLUMNS($AC$1006:AG1006),$AC$1006:$AS$1006,0)))),"Fix")))</f>
        <v>0</v>
      </c>
      <c r="G782" s="5">
        <f>IF(OR(INDEX($W$2:$W$1001,MATCH(ROWS($V$2:V782),$V$2:$V$1001,0),1)&gt;=100000,INDEX($AC$1005:$AS$1005,1,MATCH(COLUMNS($AC$1006:AH1006),$AC$1006:$AS$1006,0))&gt;=100000), " ",IF(INDEX($AC$2:$AS$1001,MATCH(ROWS($V$2:V782),$V$2:$V$1001,0),MATCH(COLUMNS($AC$1006:AH1006),$AC$1006:$AS$1006,0)), HYPERLINK("#",""), HYPERLINK(CONCATENATE("#Metadata!", ADDRESS(INDEX($X$2:$X$1001,MATCH(ROWS($V$2:V782),$V$2:$V$1001,0),0), INDEX($AC$1004:$AS$1004,1,MATCH(COLUMNS($AC$1006:AH1006),$AC$1006:$AS$1006,0)))),"Fix")))</f>
        <v>0</v>
      </c>
      <c r="H782" s="5">
        <f>IF(OR(INDEX($W$2:$W$1001,MATCH(ROWS($V$2:V782),$V$2:$V$1001,0),1)&gt;=100000,INDEX($AC$1005:$AS$1005,1,MATCH(COLUMNS($AC$1006:AI1006),$AC$1006:$AS$1006,0))&gt;=100000), " ",IF(INDEX($AC$2:$AS$1001,MATCH(ROWS($V$2:V782),$V$2:$V$1001,0),MATCH(COLUMNS($AC$1006:AI1006),$AC$1006:$AS$1006,0)), HYPERLINK("#",""), HYPERLINK(CONCATENATE("#Metadata!", ADDRESS(INDEX($X$2:$X$1001,MATCH(ROWS($V$2:V782),$V$2:$V$1001,0),0), INDEX($AC$1004:$AS$1004,1,MATCH(COLUMNS($AC$1006:AI1006),$AC$1006:$AS$1006,0)))),"Fix")))</f>
        <v>0</v>
      </c>
      <c r="I782" s="5">
        <f>IF(OR(INDEX($W$2:$W$1001,MATCH(ROWS($V$2:V782),$V$2:$V$1001,0),1)&gt;=100000,INDEX($AC$1005:$AS$1005,1,MATCH(COLUMNS($AC$1006:AJ1006),$AC$1006:$AS$1006,0))&gt;=100000), " ",IF(INDEX($AC$2:$AS$1001,MATCH(ROWS($V$2:V782),$V$2:$V$1001,0),MATCH(COLUMNS($AC$1006:AJ1006),$AC$1006:$AS$1006,0)), HYPERLINK("#",""), HYPERLINK(CONCATENATE("#Metadata!", ADDRESS(INDEX($X$2:$X$1001,MATCH(ROWS($V$2:V782),$V$2:$V$1001,0),0), INDEX($AC$1004:$AS$1004,1,MATCH(COLUMNS($AC$1006:AJ1006),$AC$1006:$AS$1006,0)))),"Fix")))</f>
        <v>0</v>
      </c>
      <c r="J782" s="5">
        <f>IF(OR(INDEX($W$2:$W$1001,MATCH(ROWS($V$2:V782),$V$2:$V$1001,0),1)&gt;=100000,INDEX($AC$1005:$AS$1005,1,MATCH(COLUMNS($AC$1006:AK1006),$AC$1006:$AS$1006,0))&gt;=100000), " ",IF(INDEX($AC$2:$AS$1001,MATCH(ROWS($V$2:V782),$V$2:$V$1001,0),MATCH(COLUMNS($AC$1006:AK1006),$AC$1006:$AS$1006,0)), HYPERLINK("#",""), HYPERLINK(CONCATENATE("#Metadata!", ADDRESS(INDEX($X$2:$X$1001,MATCH(ROWS($V$2:V782),$V$2:$V$1001,0),0), INDEX($AC$1004:$AS$1004,1,MATCH(COLUMNS($AC$1006:AK1006),$AC$1006:$AS$1006,0)))),"Fix")))</f>
        <v>0</v>
      </c>
      <c r="K782" s="5">
        <f>IF(OR(INDEX($W$2:$W$1001,MATCH(ROWS($V$2:V782),$V$2:$V$1001,0),1)&gt;=100000,INDEX($AC$1005:$AS$1005,1,MATCH(COLUMNS($AC$1006:AL1006),$AC$1006:$AS$1006,0))&gt;=100000), " ",IF(INDEX($AC$2:$AS$1001,MATCH(ROWS($V$2:V782),$V$2:$V$1001,0),MATCH(COLUMNS($AC$1006:AL1006),$AC$1006:$AS$1006,0)), HYPERLINK("#",""), HYPERLINK(CONCATENATE("#Metadata!", ADDRESS(INDEX($X$2:$X$1001,MATCH(ROWS($V$2:V782),$V$2:$V$1001,0),0), INDEX($AC$1004:$AS$1004,1,MATCH(COLUMNS($AC$1006:AL1006),$AC$1006:$AS$1006,0)))),"Fix")))</f>
        <v>0</v>
      </c>
      <c r="L782" s="5">
        <f>IF(OR(INDEX($W$2:$W$1001,MATCH(ROWS($V$2:V782),$V$2:$V$1001,0),1)&gt;=100000,INDEX($AC$1005:$AS$1005,1,MATCH(COLUMNS($AC$1006:AM1006),$AC$1006:$AS$1006,0))&gt;=100000), " ",IF(INDEX($AC$2:$AS$1001,MATCH(ROWS($V$2:V782),$V$2:$V$1001,0),MATCH(COLUMNS($AC$1006:AM1006),$AC$1006:$AS$1006,0)), HYPERLINK("#",""), HYPERLINK(CONCATENATE("#Metadata!", ADDRESS(INDEX($X$2:$X$1001,MATCH(ROWS($V$2:V782),$V$2:$V$1001,0),0), INDEX($AC$1004:$AS$1004,1,MATCH(COLUMNS($AC$1006:AM1006),$AC$1006:$AS$1006,0)))),"Fix")))</f>
        <v>0</v>
      </c>
      <c r="M782" s="5">
        <f>IF(OR(INDEX($W$2:$W$1001,MATCH(ROWS($V$2:V782),$V$2:$V$1001,0),1)&gt;=100000,INDEX($AC$1005:$AS$1005,1,MATCH(COLUMNS($AC$1006:AN1006),$AC$1006:$AS$1006,0))&gt;=100000), " ",IF(INDEX($AC$2:$AS$1001,MATCH(ROWS($V$2:V782),$V$2:$V$1001,0),MATCH(COLUMNS($AC$1006:AN1006),$AC$1006:$AS$1006,0)), HYPERLINK("#",""), HYPERLINK(CONCATENATE("#Metadata!", ADDRESS(INDEX($X$2:$X$1001,MATCH(ROWS($V$2:V782),$V$2:$V$1001,0),0), INDEX($AC$1004:$AS$1004,1,MATCH(COLUMNS($AC$1006:AN1006),$AC$1006:$AS$1006,0)))),"Fix")))</f>
        <v>0</v>
      </c>
      <c r="N782" s="5">
        <f>IF(OR(INDEX($W$2:$W$1001,MATCH(ROWS($V$2:V782),$V$2:$V$1001,0),1)&gt;=100000,INDEX($AC$1005:$AS$1005,1,MATCH(COLUMNS($AC$1006:AO1006),$AC$1006:$AS$1006,0))&gt;=100000), " ",IF(INDEX($AC$2:$AS$1001,MATCH(ROWS($V$2:V782),$V$2:$V$1001,0),MATCH(COLUMNS($AC$1006:AO1006),$AC$1006:$AS$1006,0)), HYPERLINK("#",""), HYPERLINK(CONCATENATE("#Metadata!", ADDRESS(INDEX($X$2:$X$1001,MATCH(ROWS($V$2:V782),$V$2:$V$1001,0),0), INDEX($AC$1004:$AS$1004,1,MATCH(COLUMNS($AC$1006:AO1006),$AC$1006:$AS$1006,0)))),"Fix")))</f>
        <v>0</v>
      </c>
      <c r="O782" s="5">
        <f>IF(OR(INDEX($W$2:$W$1001,MATCH(ROWS($V$2:V782),$V$2:$V$1001,0),1)&gt;=100000,INDEX($AC$1005:$AS$1005,1,MATCH(COLUMNS($AC$1006:AP1006),$AC$1006:$AS$1006,0))&gt;=100000), " ",IF(INDEX($AC$2:$AS$1001,MATCH(ROWS($V$2:V782),$V$2:$V$1001,0),MATCH(COLUMNS($AC$1006:AP1006),$AC$1006:$AS$1006,0)), HYPERLINK("#",""), HYPERLINK(CONCATENATE("#Metadata!", ADDRESS(INDEX($X$2:$X$1001,MATCH(ROWS($V$2:V782),$V$2:$V$1001,0),0), INDEX($AC$1004:$AS$1004,1,MATCH(COLUMNS($AC$1006:AP1006),$AC$1006:$AS$1006,0)))),"Fix")))</f>
        <v>0</v>
      </c>
      <c r="P782" s="5">
        <f>IF(OR(INDEX($W$2:$W$1001,MATCH(ROWS($V$2:V782),$V$2:$V$1001,0),1)&gt;=100000,INDEX($AC$1005:$AS$1005,1,MATCH(COLUMNS($AC$1006:AQ1006),$AC$1006:$AS$1006,0))&gt;=100000), " ",IF(INDEX($AC$2:$AS$1001,MATCH(ROWS($V$2:V782),$V$2:$V$1001,0),MATCH(COLUMNS($AC$1006:AQ1006),$AC$1006:$AS$1006,0)), HYPERLINK("#",""), HYPERLINK(CONCATENATE("#Metadata!", ADDRESS(INDEX($X$2:$X$1001,MATCH(ROWS($V$2:V782),$V$2:$V$1001,0),0), INDEX($AC$1004:$AS$1004,1,MATCH(COLUMNS($AC$1006:AQ1006),$AC$1006:$AS$1006,0)))),"Fix")))</f>
        <v>0</v>
      </c>
      <c r="Q782" s="5">
        <f>IF(OR(INDEX($W$2:$W$1001,MATCH(ROWS($V$2:V782),$V$2:$V$1001,0),1)&gt;=100000,INDEX($AC$1005:$AS$1005,1,MATCH(COLUMNS($AC$1006:AR1006),$AC$1006:$AS$1006,0))&gt;=100000), " ",IF(INDEX($AC$2:$AS$1001,MATCH(ROWS($V$2:V782),$V$2:$V$1001,0),MATCH(COLUMNS($AC$1006:AR1006),$AC$1006:$AS$1006,0)), HYPERLINK("#",""), HYPERLINK(CONCATENATE("#Metadata!", ADDRESS(INDEX($X$2:$X$1001,MATCH(ROWS($V$2:V782),$V$2:$V$1001,0),0), INDEX($AC$1004:$AS$1004,1,MATCH(COLUMNS($AC$1006:AR1006),$AC$1006:$AS$1006,0)))),"Fix")))</f>
        <v>0</v>
      </c>
      <c r="R782" s="5">
        <f>IF(OR(INDEX($W$2:$W$1001,MATCH(ROWS($V$2:V782),$V$2:$V$1001,0),1)&gt;=100000,INDEX($AC$1005:$AS$1005,1,MATCH(COLUMNS($AC$1006:AS1006),$AC$1006:$AS$1006,0))&gt;=100000), " ",IF(INDEX($AC$2:$AS$1001,MATCH(ROWS($V$2:V782),$V$2:$V$1001,0),MATCH(COLUMNS($AC$1006:AS1006),$AC$1006:$AS$1006,0)), HYPERLINK("#",""), HYPERLINK(CONCATENATE("#Metadata!", ADDRESS(INDEX($X$2:$X$1001,MATCH(ROWS($V$2:V782),$V$2:$V$1001,0),0), INDEX($AC$1004:$AS$1004,1,MATCH(COLUMNS($AC$1006:AS1006),$AC$1006:$AS$1006,0)))),"Fix")))</f>
        <v>0</v>
      </c>
      <c r="V782">
        <v>0</v>
      </c>
      <c r="W782">
        <v>0</v>
      </c>
      <c r="X782">
        <v>0</v>
      </c>
      <c r="Y782">
        <f>IF(Z782,TRUE,AND(AC782:AS782))</f>
        <v>0</v>
      </c>
      <c r="Z782">
        <f>COUNTBLANK(Metadata!B782:R782)=COLUMNS(Metadata!B782:R782)</f>
        <v>0</v>
      </c>
      <c r="AA782">
        <v>0</v>
      </c>
      <c r="AC782">
        <f>AND(IF(Metadata!B782="",FALSE,TRUE),COUNTIF(Metadata!B:B, Metadata!B782) = 1,NOT(ISERROR(SUMPRODUCT(SEARCH(MID(Metadata!B782,ROW(INDIRECT("1:"&amp;LEN(Metadata!B782))), 1),"0123456789abcdefghijklmnopqrstuvwxyzABCDEFGHIJKLMNOPQRSTUVWXYZ.")))))</f>
        <v>0</v>
      </c>
      <c r="AD782">
        <f>AND(IF(Metadata!C782="",FALSE,TRUE),exact(Metadata!C782,"Host-associated"))</f>
        <v>0</v>
      </c>
      <c r="AE782">
        <f>AND(IF(Metadata!D782="",FALSE,TRUE),OR(exact(Metadata!D782,"Animal"),exact(Metadata!D782,"Fungus"),exact(Metadata!D782,"Plant")))</f>
        <v>0</v>
      </c>
      <c r="AF782">
        <f>AND(IF(Metadata!E782="",FALSE,TRUE),OR(exact(Metadata!E782,"Plant secretion"),exact(Metadata!E782,"Plant rhizosphere"),exact(Metadata!E782,"Plant surface"),exact(Metadata!E782,"Plant corpus"),exact(Metadata!E782,"Fungus surface"),exact(Metadata!E782,"Fungus corpus"),exact(Metadata!E782,"Animal surface"),exact(Metadata!E782,"Animal proximal gut"),exact(Metadata!E782,"Animal corpus"),exact(Metadata!E782,"Animal distal gut"),exact(Metadata!E782,"Animal secretion")))</f>
        <v>0</v>
      </c>
      <c r="AG782">
        <f>OR(AND(IF(Metadata!F782="",FALSE,TRUE),OR(exact(Metadata!F782,"not collected"),exact(Metadata!F782,"not provided"),exact(Metadata!F782,"restricted access"))),AND(IF(Metadata!F782="",FALSE,TRUE),OR(exact(Metadata!F782,"organism-associated habitat"),exact(Metadata!F782,"plant-associated habitat"),exact(Metadata!F782,"animal-associated habitat"),exact(Metadata!F782,"insecta-associated habitat"),exact(Metadata!F782,"mammalia-associated habitat"),exact(Metadata!F782,"human-associated habitat"),exact(Metadata!F782,"livestock-associated habitat"))))</f>
        <v>0</v>
      </c>
      <c r="AH782">
        <f>AND(IF(Metadata!G782="",FALSE,TRUE),exact(Metadata!G782,"host-associated"))</f>
        <v>0</v>
      </c>
      <c r="AI782">
        <f>OR(AND(IF(Metadata!H782="",FALSE,TRUE),OR(exact(Metadata!H782,"not collected"),exact(Metadata!H782,"not provided"))),AND(IF(Metadata!H782="",FALSE,ISNUMBER(VALUE(Metadata!H782))),Metadata!H782&gt;0))</f>
        <v>0</v>
      </c>
      <c r="AJ782">
        <f>AND(IF(Metadata!I782="",FALSE,TRUE),exact(Metadata!I782,"years"))</f>
        <v>0</v>
      </c>
      <c r="AK782">
        <f>IF(Metadata!J782="",FALSE,TRUE)</f>
        <v>0</v>
      </c>
      <c r="AL782">
        <f>OR(AND(IF(Metadata!K782="",FALSE,TRUE),OR(exact(Metadata!K782,"not collected"),exact(Metadata!K782,"not provided"))),AND(IF(Metadata!K782="",FALSE,ISNUMBER(VALUE(Metadata!K782))),Metadata!K782&gt;0))</f>
        <v>0</v>
      </c>
      <c r="AM782">
        <f>AND(IF(Metadata!L782="",FALSE,TRUE),exact(Metadata!L782,"cm"))</f>
        <v>0</v>
      </c>
      <c r="AN782">
        <f>IF(Metadata!M782="",FALSE,TRUE)</f>
        <v>0</v>
      </c>
      <c r="AO782">
        <f>OR(AND(IF(Metadata!N782="",FALSE,TRUE),OR(exact(Metadata!N782,"not applicable"),exact(Metadata!N782,"not collected"),exact(Metadata!N782,"not provided"))),AND(IF(Metadata!N782="",FALSE,IF(ISERROR(INT(Metadata!N782)),FALSE,INT(Metadata!N782)=Metadata!N782)),Metadata!N782&gt;0))</f>
        <v>0</v>
      </c>
      <c r="AP782">
        <f>OR(AND(IF(Metadata!O782="",FALSE,TRUE),OR(exact(Metadata!O782,"not collected"),exact(Metadata!O782,"not provided"))),AND(IF(Metadata!O782="",FALSE,ISNUMBER(VALUE(Metadata!O782))),Metadata!O782&gt;0))</f>
        <v>0</v>
      </c>
      <c r="AQ782">
        <f>AND(IF(Metadata!P782="",FALSE,TRUE),exact(Metadata!P782,"kg"))</f>
        <v>0</v>
      </c>
      <c r="AR782">
        <f>OR(AND(IF(Metadata!Q782="",FALSE,TRUE),OR(exact(Metadata!Q782,"not applicable"),exact(Metadata!Q782,"not collected"),exact(Metadata!Q782,"not provided"),exact(Metadata!Q782,"restricted access"))),IF(Metadata!Q782="",FALSE,IF(ISERROR(INT(Metadata!Q782)),FALSE,INT(Metadata!Q782)=Metadata!Q782)))</f>
        <v>0</v>
      </c>
      <c r="AS782">
        <f>AND(IF(Metadata!R782="",FALSE,TRUE),exact(Metadata!R782,"Not applicable"))</f>
        <v>0</v>
      </c>
    </row>
    <row r="783" spans="1:45">
      <c r="A783" s="4">
        <f>IF(B783=" "," ",HYPERLINK(CONCATENATE("#metadata!",ADDRESS(INDEX($X$2:$X$1001,MATCH(ROWS($V$2:V783),$V$2:$V$1001,0),0),2)),INDEX($AA$2:$AA$1001,MATCH(ROWS($V$2:V783),$V$2:$V$1001,0),0)))</f>
        <v>0</v>
      </c>
      <c r="B783" s="5">
        <f>IF(OR(INDEX($W$2:$W$1001,MATCH(ROWS($V$2:V783),$V$2:$V$1001,0),1)&gt;=100000,INDEX($AC$1005:$AS$1005,1,MATCH(COLUMNS($AC$1006:AC1006),$AC$1006:$AS$1006,0))&gt;=100000), " ",IF(INDEX($AC$2:$AS$1001,MATCH(ROWS($V$2:V783),$V$2:$V$1001,0),MATCH(COLUMNS($AC$1006:AC1006),$AC$1006:$AS$1006,0)), HYPERLINK("#",""), HYPERLINK(CONCATENATE("#Metadata!", ADDRESS(INDEX($X$2:$X$1001,MATCH(ROWS($V$2:V783),$V$2:$V$1001,0),0), INDEX($AC$1004:$AS$1004,1,MATCH(COLUMNS($AC$1006:AC1006),$AC$1006:$AS$1006,0)))),"Fix")))</f>
        <v>0</v>
      </c>
      <c r="C783" s="5">
        <f>IF(OR(INDEX($W$2:$W$1001,MATCH(ROWS($V$2:V783),$V$2:$V$1001,0),1)&gt;=100000,INDEX($AC$1005:$AS$1005,1,MATCH(COLUMNS($AC$1006:AD1006),$AC$1006:$AS$1006,0))&gt;=100000), " ",IF(INDEX($AC$2:$AS$1001,MATCH(ROWS($V$2:V783),$V$2:$V$1001,0),MATCH(COLUMNS($AC$1006:AD1006),$AC$1006:$AS$1006,0)), HYPERLINK("#",""), HYPERLINK(CONCATENATE("#Metadata!", ADDRESS(INDEX($X$2:$X$1001,MATCH(ROWS($V$2:V783),$V$2:$V$1001,0),0), INDEX($AC$1004:$AS$1004,1,MATCH(COLUMNS($AC$1006:AD1006),$AC$1006:$AS$1006,0)))),"Fix")))</f>
        <v>0</v>
      </c>
      <c r="D783" s="5">
        <f>IF(OR(INDEX($W$2:$W$1001,MATCH(ROWS($V$2:V783),$V$2:$V$1001,0),1)&gt;=100000,INDEX($AC$1005:$AS$1005,1,MATCH(COLUMNS($AC$1006:AE1006),$AC$1006:$AS$1006,0))&gt;=100000), " ",IF(INDEX($AC$2:$AS$1001,MATCH(ROWS($V$2:V783),$V$2:$V$1001,0),MATCH(COLUMNS($AC$1006:AE1006),$AC$1006:$AS$1006,0)), HYPERLINK("#",""), HYPERLINK(CONCATENATE("#Metadata!", ADDRESS(INDEX($X$2:$X$1001,MATCH(ROWS($V$2:V783),$V$2:$V$1001,0),0), INDEX($AC$1004:$AS$1004,1,MATCH(COLUMNS($AC$1006:AE1006),$AC$1006:$AS$1006,0)))),"Fix")))</f>
        <v>0</v>
      </c>
      <c r="E783" s="5">
        <f>IF(OR(INDEX($W$2:$W$1001,MATCH(ROWS($V$2:V783),$V$2:$V$1001,0),1)&gt;=100000,INDEX($AC$1005:$AS$1005,1,MATCH(COLUMNS($AC$1006:AF1006),$AC$1006:$AS$1006,0))&gt;=100000), " ",IF(INDEX($AC$2:$AS$1001,MATCH(ROWS($V$2:V783),$V$2:$V$1001,0),MATCH(COLUMNS($AC$1006:AF1006),$AC$1006:$AS$1006,0)), HYPERLINK("#",""), HYPERLINK(CONCATENATE("#Metadata!", ADDRESS(INDEX($X$2:$X$1001,MATCH(ROWS($V$2:V783),$V$2:$V$1001,0),0), INDEX($AC$1004:$AS$1004,1,MATCH(COLUMNS($AC$1006:AF1006),$AC$1006:$AS$1006,0)))),"Fix")))</f>
        <v>0</v>
      </c>
      <c r="F783" s="5">
        <f>IF(OR(INDEX($W$2:$W$1001,MATCH(ROWS($V$2:V783),$V$2:$V$1001,0),1)&gt;=100000,INDEX($AC$1005:$AS$1005,1,MATCH(COLUMNS($AC$1006:AG1006),$AC$1006:$AS$1006,0))&gt;=100000), " ",IF(INDEX($AC$2:$AS$1001,MATCH(ROWS($V$2:V783),$V$2:$V$1001,0),MATCH(COLUMNS($AC$1006:AG1006),$AC$1006:$AS$1006,0)), HYPERLINK("#",""), HYPERLINK(CONCATENATE("#Metadata!", ADDRESS(INDEX($X$2:$X$1001,MATCH(ROWS($V$2:V783),$V$2:$V$1001,0),0), INDEX($AC$1004:$AS$1004,1,MATCH(COLUMNS($AC$1006:AG1006),$AC$1006:$AS$1006,0)))),"Fix")))</f>
        <v>0</v>
      </c>
      <c r="G783" s="5">
        <f>IF(OR(INDEX($W$2:$W$1001,MATCH(ROWS($V$2:V783),$V$2:$V$1001,0),1)&gt;=100000,INDEX($AC$1005:$AS$1005,1,MATCH(COLUMNS($AC$1006:AH1006),$AC$1006:$AS$1006,0))&gt;=100000), " ",IF(INDEX($AC$2:$AS$1001,MATCH(ROWS($V$2:V783),$V$2:$V$1001,0),MATCH(COLUMNS($AC$1006:AH1006),$AC$1006:$AS$1006,0)), HYPERLINK("#",""), HYPERLINK(CONCATENATE("#Metadata!", ADDRESS(INDEX($X$2:$X$1001,MATCH(ROWS($V$2:V783),$V$2:$V$1001,0),0), INDEX($AC$1004:$AS$1004,1,MATCH(COLUMNS($AC$1006:AH1006),$AC$1006:$AS$1006,0)))),"Fix")))</f>
        <v>0</v>
      </c>
      <c r="H783" s="5">
        <f>IF(OR(INDEX($W$2:$W$1001,MATCH(ROWS($V$2:V783),$V$2:$V$1001,0),1)&gt;=100000,INDEX($AC$1005:$AS$1005,1,MATCH(COLUMNS($AC$1006:AI1006),$AC$1006:$AS$1006,0))&gt;=100000), " ",IF(INDEX($AC$2:$AS$1001,MATCH(ROWS($V$2:V783),$V$2:$V$1001,0),MATCH(COLUMNS($AC$1006:AI1006),$AC$1006:$AS$1006,0)), HYPERLINK("#",""), HYPERLINK(CONCATENATE("#Metadata!", ADDRESS(INDEX($X$2:$X$1001,MATCH(ROWS($V$2:V783),$V$2:$V$1001,0),0), INDEX($AC$1004:$AS$1004,1,MATCH(COLUMNS($AC$1006:AI1006),$AC$1006:$AS$1006,0)))),"Fix")))</f>
        <v>0</v>
      </c>
      <c r="I783" s="5">
        <f>IF(OR(INDEX($W$2:$W$1001,MATCH(ROWS($V$2:V783),$V$2:$V$1001,0),1)&gt;=100000,INDEX($AC$1005:$AS$1005,1,MATCH(COLUMNS($AC$1006:AJ1006),$AC$1006:$AS$1006,0))&gt;=100000), " ",IF(INDEX($AC$2:$AS$1001,MATCH(ROWS($V$2:V783),$V$2:$V$1001,0),MATCH(COLUMNS($AC$1006:AJ1006),$AC$1006:$AS$1006,0)), HYPERLINK("#",""), HYPERLINK(CONCATENATE("#Metadata!", ADDRESS(INDEX($X$2:$X$1001,MATCH(ROWS($V$2:V783),$V$2:$V$1001,0),0), INDEX($AC$1004:$AS$1004,1,MATCH(COLUMNS($AC$1006:AJ1006),$AC$1006:$AS$1006,0)))),"Fix")))</f>
        <v>0</v>
      </c>
      <c r="J783" s="5">
        <f>IF(OR(INDEX($W$2:$W$1001,MATCH(ROWS($V$2:V783),$V$2:$V$1001,0),1)&gt;=100000,INDEX($AC$1005:$AS$1005,1,MATCH(COLUMNS($AC$1006:AK1006),$AC$1006:$AS$1006,0))&gt;=100000), " ",IF(INDEX($AC$2:$AS$1001,MATCH(ROWS($V$2:V783),$V$2:$V$1001,0),MATCH(COLUMNS($AC$1006:AK1006),$AC$1006:$AS$1006,0)), HYPERLINK("#",""), HYPERLINK(CONCATENATE("#Metadata!", ADDRESS(INDEX($X$2:$X$1001,MATCH(ROWS($V$2:V783),$V$2:$V$1001,0),0), INDEX($AC$1004:$AS$1004,1,MATCH(COLUMNS($AC$1006:AK1006),$AC$1006:$AS$1006,0)))),"Fix")))</f>
        <v>0</v>
      </c>
      <c r="K783" s="5">
        <f>IF(OR(INDEX($W$2:$W$1001,MATCH(ROWS($V$2:V783),$V$2:$V$1001,0),1)&gt;=100000,INDEX($AC$1005:$AS$1005,1,MATCH(COLUMNS($AC$1006:AL1006),$AC$1006:$AS$1006,0))&gt;=100000), " ",IF(INDEX($AC$2:$AS$1001,MATCH(ROWS($V$2:V783),$V$2:$V$1001,0),MATCH(COLUMNS($AC$1006:AL1006),$AC$1006:$AS$1006,0)), HYPERLINK("#",""), HYPERLINK(CONCATENATE("#Metadata!", ADDRESS(INDEX($X$2:$X$1001,MATCH(ROWS($V$2:V783),$V$2:$V$1001,0),0), INDEX($AC$1004:$AS$1004,1,MATCH(COLUMNS($AC$1006:AL1006),$AC$1006:$AS$1006,0)))),"Fix")))</f>
        <v>0</v>
      </c>
      <c r="L783" s="5">
        <f>IF(OR(INDEX($W$2:$W$1001,MATCH(ROWS($V$2:V783),$V$2:$V$1001,0),1)&gt;=100000,INDEX($AC$1005:$AS$1005,1,MATCH(COLUMNS($AC$1006:AM1006),$AC$1006:$AS$1006,0))&gt;=100000), " ",IF(INDEX($AC$2:$AS$1001,MATCH(ROWS($V$2:V783),$V$2:$V$1001,0),MATCH(COLUMNS($AC$1006:AM1006),$AC$1006:$AS$1006,0)), HYPERLINK("#",""), HYPERLINK(CONCATENATE("#Metadata!", ADDRESS(INDEX($X$2:$X$1001,MATCH(ROWS($V$2:V783),$V$2:$V$1001,0),0), INDEX($AC$1004:$AS$1004,1,MATCH(COLUMNS($AC$1006:AM1006),$AC$1006:$AS$1006,0)))),"Fix")))</f>
        <v>0</v>
      </c>
      <c r="M783" s="5">
        <f>IF(OR(INDEX($W$2:$W$1001,MATCH(ROWS($V$2:V783),$V$2:$V$1001,0),1)&gt;=100000,INDEX($AC$1005:$AS$1005,1,MATCH(COLUMNS($AC$1006:AN1006),$AC$1006:$AS$1006,0))&gt;=100000), " ",IF(INDEX($AC$2:$AS$1001,MATCH(ROWS($V$2:V783),$V$2:$V$1001,0),MATCH(COLUMNS($AC$1006:AN1006),$AC$1006:$AS$1006,0)), HYPERLINK("#",""), HYPERLINK(CONCATENATE("#Metadata!", ADDRESS(INDEX($X$2:$X$1001,MATCH(ROWS($V$2:V783),$V$2:$V$1001,0),0), INDEX($AC$1004:$AS$1004,1,MATCH(COLUMNS($AC$1006:AN1006),$AC$1006:$AS$1006,0)))),"Fix")))</f>
        <v>0</v>
      </c>
      <c r="N783" s="5">
        <f>IF(OR(INDEX($W$2:$W$1001,MATCH(ROWS($V$2:V783),$V$2:$V$1001,0),1)&gt;=100000,INDEX($AC$1005:$AS$1005,1,MATCH(COLUMNS($AC$1006:AO1006),$AC$1006:$AS$1006,0))&gt;=100000), " ",IF(INDEX($AC$2:$AS$1001,MATCH(ROWS($V$2:V783),$V$2:$V$1001,0),MATCH(COLUMNS($AC$1006:AO1006),$AC$1006:$AS$1006,0)), HYPERLINK("#",""), HYPERLINK(CONCATENATE("#Metadata!", ADDRESS(INDEX($X$2:$X$1001,MATCH(ROWS($V$2:V783),$V$2:$V$1001,0),0), INDEX($AC$1004:$AS$1004,1,MATCH(COLUMNS($AC$1006:AO1006),$AC$1006:$AS$1006,0)))),"Fix")))</f>
        <v>0</v>
      </c>
      <c r="O783" s="5">
        <f>IF(OR(INDEX($W$2:$W$1001,MATCH(ROWS($V$2:V783),$V$2:$V$1001,0),1)&gt;=100000,INDEX($AC$1005:$AS$1005,1,MATCH(COLUMNS($AC$1006:AP1006),$AC$1006:$AS$1006,0))&gt;=100000), " ",IF(INDEX($AC$2:$AS$1001,MATCH(ROWS($V$2:V783),$V$2:$V$1001,0),MATCH(COLUMNS($AC$1006:AP1006),$AC$1006:$AS$1006,0)), HYPERLINK("#",""), HYPERLINK(CONCATENATE("#Metadata!", ADDRESS(INDEX($X$2:$X$1001,MATCH(ROWS($V$2:V783),$V$2:$V$1001,0),0), INDEX($AC$1004:$AS$1004,1,MATCH(COLUMNS($AC$1006:AP1006),$AC$1006:$AS$1006,0)))),"Fix")))</f>
        <v>0</v>
      </c>
      <c r="P783" s="5">
        <f>IF(OR(INDEX($W$2:$W$1001,MATCH(ROWS($V$2:V783),$V$2:$V$1001,0),1)&gt;=100000,INDEX($AC$1005:$AS$1005,1,MATCH(COLUMNS($AC$1006:AQ1006),$AC$1006:$AS$1006,0))&gt;=100000), " ",IF(INDEX($AC$2:$AS$1001,MATCH(ROWS($V$2:V783),$V$2:$V$1001,0),MATCH(COLUMNS($AC$1006:AQ1006),$AC$1006:$AS$1006,0)), HYPERLINK("#",""), HYPERLINK(CONCATENATE("#Metadata!", ADDRESS(INDEX($X$2:$X$1001,MATCH(ROWS($V$2:V783),$V$2:$V$1001,0),0), INDEX($AC$1004:$AS$1004,1,MATCH(COLUMNS($AC$1006:AQ1006),$AC$1006:$AS$1006,0)))),"Fix")))</f>
        <v>0</v>
      </c>
      <c r="Q783" s="5">
        <f>IF(OR(INDEX($W$2:$W$1001,MATCH(ROWS($V$2:V783),$V$2:$V$1001,0),1)&gt;=100000,INDEX($AC$1005:$AS$1005,1,MATCH(COLUMNS($AC$1006:AR1006),$AC$1006:$AS$1006,0))&gt;=100000), " ",IF(INDEX($AC$2:$AS$1001,MATCH(ROWS($V$2:V783),$V$2:$V$1001,0),MATCH(COLUMNS($AC$1006:AR1006),$AC$1006:$AS$1006,0)), HYPERLINK("#",""), HYPERLINK(CONCATENATE("#Metadata!", ADDRESS(INDEX($X$2:$X$1001,MATCH(ROWS($V$2:V783),$V$2:$V$1001,0),0), INDEX($AC$1004:$AS$1004,1,MATCH(COLUMNS($AC$1006:AR1006),$AC$1006:$AS$1006,0)))),"Fix")))</f>
        <v>0</v>
      </c>
      <c r="R783" s="5">
        <f>IF(OR(INDEX($W$2:$W$1001,MATCH(ROWS($V$2:V783),$V$2:$V$1001,0),1)&gt;=100000,INDEX($AC$1005:$AS$1005,1,MATCH(COLUMNS($AC$1006:AS1006),$AC$1006:$AS$1006,0))&gt;=100000), " ",IF(INDEX($AC$2:$AS$1001,MATCH(ROWS($V$2:V783),$V$2:$V$1001,0),MATCH(COLUMNS($AC$1006:AS1006),$AC$1006:$AS$1006,0)), HYPERLINK("#",""), HYPERLINK(CONCATENATE("#Metadata!", ADDRESS(INDEX($X$2:$X$1001,MATCH(ROWS($V$2:V783),$V$2:$V$1001,0),0), INDEX($AC$1004:$AS$1004,1,MATCH(COLUMNS($AC$1006:AS1006),$AC$1006:$AS$1006,0)))),"Fix")))</f>
        <v>0</v>
      </c>
      <c r="V783">
        <v>0</v>
      </c>
      <c r="W783">
        <v>0</v>
      </c>
      <c r="X783">
        <v>0</v>
      </c>
      <c r="Y783">
        <f>IF(Z783,TRUE,AND(AC783:AS783))</f>
        <v>0</v>
      </c>
      <c r="Z783">
        <f>COUNTBLANK(Metadata!B783:R783)=COLUMNS(Metadata!B783:R783)</f>
        <v>0</v>
      </c>
      <c r="AA783">
        <v>0</v>
      </c>
      <c r="AC783">
        <f>AND(IF(Metadata!B783="",FALSE,TRUE),COUNTIF(Metadata!B:B, Metadata!B783) = 1,NOT(ISERROR(SUMPRODUCT(SEARCH(MID(Metadata!B783,ROW(INDIRECT("1:"&amp;LEN(Metadata!B783))), 1),"0123456789abcdefghijklmnopqrstuvwxyzABCDEFGHIJKLMNOPQRSTUVWXYZ.")))))</f>
        <v>0</v>
      </c>
      <c r="AD783">
        <f>AND(IF(Metadata!C783="",FALSE,TRUE),exact(Metadata!C783,"Host-associated"))</f>
        <v>0</v>
      </c>
      <c r="AE783">
        <f>AND(IF(Metadata!D783="",FALSE,TRUE),OR(exact(Metadata!D783,"Animal"),exact(Metadata!D783,"Fungus"),exact(Metadata!D783,"Plant")))</f>
        <v>0</v>
      </c>
      <c r="AF783">
        <f>AND(IF(Metadata!E783="",FALSE,TRUE),OR(exact(Metadata!E783,"Plant secretion"),exact(Metadata!E783,"Plant rhizosphere"),exact(Metadata!E783,"Plant surface"),exact(Metadata!E783,"Plant corpus"),exact(Metadata!E783,"Fungus surface"),exact(Metadata!E783,"Fungus corpus"),exact(Metadata!E783,"Animal surface"),exact(Metadata!E783,"Animal proximal gut"),exact(Metadata!E783,"Animal corpus"),exact(Metadata!E783,"Animal distal gut"),exact(Metadata!E783,"Animal secretion")))</f>
        <v>0</v>
      </c>
      <c r="AG783">
        <f>OR(AND(IF(Metadata!F783="",FALSE,TRUE),OR(exact(Metadata!F783,"not collected"),exact(Metadata!F783,"not provided"),exact(Metadata!F783,"restricted access"))),AND(IF(Metadata!F783="",FALSE,TRUE),OR(exact(Metadata!F783,"organism-associated habitat"),exact(Metadata!F783,"plant-associated habitat"),exact(Metadata!F783,"animal-associated habitat"),exact(Metadata!F783,"insecta-associated habitat"),exact(Metadata!F783,"mammalia-associated habitat"),exact(Metadata!F783,"human-associated habitat"),exact(Metadata!F783,"livestock-associated habitat"))))</f>
        <v>0</v>
      </c>
      <c r="AH783">
        <f>AND(IF(Metadata!G783="",FALSE,TRUE),exact(Metadata!G783,"host-associated"))</f>
        <v>0</v>
      </c>
      <c r="AI783">
        <f>OR(AND(IF(Metadata!H783="",FALSE,TRUE),OR(exact(Metadata!H783,"not collected"),exact(Metadata!H783,"not provided"))),AND(IF(Metadata!H783="",FALSE,ISNUMBER(VALUE(Metadata!H783))),Metadata!H783&gt;0))</f>
        <v>0</v>
      </c>
      <c r="AJ783">
        <f>AND(IF(Metadata!I783="",FALSE,TRUE),exact(Metadata!I783,"years"))</f>
        <v>0</v>
      </c>
      <c r="AK783">
        <f>IF(Metadata!J783="",FALSE,TRUE)</f>
        <v>0</v>
      </c>
      <c r="AL783">
        <f>OR(AND(IF(Metadata!K783="",FALSE,TRUE),OR(exact(Metadata!K783,"not collected"),exact(Metadata!K783,"not provided"))),AND(IF(Metadata!K783="",FALSE,ISNUMBER(VALUE(Metadata!K783))),Metadata!K783&gt;0))</f>
        <v>0</v>
      </c>
      <c r="AM783">
        <f>AND(IF(Metadata!L783="",FALSE,TRUE),exact(Metadata!L783,"cm"))</f>
        <v>0</v>
      </c>
      <c r="AN783">
        <f>IF(Metadata!M783="",FALSE,TRUE)</f>
        <v>0</v>
      </c>
      <c r="AO783">
        <f>OR(AND(IF(Metadata!N783="",FALSE,TRUE),OR(exact(Metadata!N783,"not applicable"),exact(Metadata!N783,"not collected"),exact(Metadata!N783,"not provided"))),AND(IF(Metadata!N783="",FALSE,IF(ISERROR(INT(Metadata!N783)),FALSE,INT(Metadata!N783)=Metadata!N783)),Metadata!N783&gt;0))</f>
        <v>0</v>
      </c>
      <c r="AP783">
        <f>OR(AND(IF(Metadata!O783="",FALSE,TRUE),OR(exact(Metadata!O783,"not collected"),exact(Metadata!O783,"not provided"))),AND(IF(Metadata!O783="",FALSE,ISNUMBER(VALUE(Metadata!O783))),Metadata!O783&gt;0))</f>
        <v>0</v>
      </c>
      <c r="AQ783">
        <f>AND(IF(Metadata!P783="",FALSE,TRUE),exact(Metadata!P783,"kg"))</f>
        <v>0</v>
      </c>
      <c r="AR783">
        <f>OR(AND(IF(Metadata!Q783="",FALSE,TRUE),OR(exact(Metadata!Q783,"not applicable"),exact(Metadata!Q783,"not collected"),exact(Metadata!Q783,"not provided"),exact(Metadata!Q783,"restricted access"))),IF(Metadata!Q783="",FALSE,IF(ISERROR(INT(Metadata!Q783)),FALSE,INT(Metadata!Q783)=Metadata!Q783)))</f>
        <v>0</v>
      </c>
      <c r="AS783">
        <f>AND(IF(Metadata!R783="",FALSE,TRUE),exact(Metadata!R783,"Not applicable"))</f>
        <v>0</v>
      </c>
    </row>
    <row r="784" spans="1:45">
      <c r="A784" s="4">
        <f>IF(B784=" "," ",HYPERLINK(CONCATENATE("#metadata!",ADDRESS(INDEX($X$2:$X$1001,MATCH(ROWS($V$2:V784),$V$2:$V$1001,0),0),2)),INDEX($AA$2:$AA$1001,MATCH(ROWS($V$2:V784),$V$2:$V$1001,0),0)))</f>
        <v>0</v>
      </c>
      <c r="B784" s="5">
        <f>IF(OR(INDEX($W$2:$W$1001,MATCH(ROWS($V$2:V784),$V$2:$V$1001,0),1)&gt;=100000,INDEX($AC$1005:$AS$1005,1,MATCH(COLUMNS($AC$1006:AC1006),$AC$1006:$AS$1006,0))&gt;=100000), " ",IF(INDEX($AC$2:$AS$1001,MATCH(ROWS($V$2:V784),$V$2:$V$1001,0),MATCH(COLUMNS($AC$1006:AC1006),$AC$1006:$AS$1006,0)), HYPERLINK("#",""), HYPERLINK(CONCATENATE("#Metadata!", ADDRESS(INDEX($X$2:$X$1001,MATCH(ROWS($V$2:V784),$V$2:$V$1001,0),0), INDEX($AC$1004:$AS$1004,1,MATCH(COLUMNS($AC$1006:AC1006),$AC$1006:$AS$1006,0)))),"Fix")))</f>
        <v>0</v>
      </c>
      <c r="C784" s="5">
        <f>IF(OR(INDEX($W$2:$W$1001,MATCH(ROWS($V$2:V784),$V$2:$V$1001,0),1)&gt;=100000,INDEX($AC$1005:$AS$1005,1,MATCH(COLUMNS($AC$1006:AD1006),$AC$1006:$AS$1006,0))&gt;=100000), " ",IF(INDEX($AC$2:$AS$1001,MATCH(ROWS($V$2:V784),$V$2:$V$1001,0),MATCH(COLUMNS($AC$1006:AD1006),$AC$1006:$AS$1006,0)), HYPERLINK("#",""), HYPERLINK(CONCATENATE("#Metadata!", ADDRESS(INDEX($X$2:$X$1001,MATCH(ROWS($V$2:V784),$V$2:$V$1001,0),0), INDEX($AC$1004:$AS$1004,1,MATCH(COLUMNS($AC$1006:AD1006),$AC$1006:$AS$1006,0)))),"Fix")))</f>
        <v>0</v>
      </c>
      <c r="D784" s="5">
        <f>IF(OR(INDEX($W$2:$W$1001,MATCH(ROWS($V$2:V784),$V$2:$V$1001,0),1)&gt;=100000,INDEX($AC$1005:$AS$1005,1,MATCH(COLUMNS($AC$1006:AE1006),$AC$1006:$AS$1006,0))&gt;=100000), " ",IF(INDEX($AC$2:$AS$1001,MATCH(ROWS($V$2:V784),$V$2:$V$1001,0),MATCH(COLUMNS($AC$1006:AE1006),$AC$1006:$AS$1006,0)), HYPERLINK("#",""), HYPERLINK(CONCATENATE("#Metadata!", ADDRESS(INDEX($X$2:$X$1001,MATCH(ROWS($V$2:V784),$V$2:$V$1001,0),0), INDEX($AC$1004:$AS$1004,1,MATCH(COLUMNS($AC$1006:AE1006),$AC$1006:$AS$1006,0)))),"Fix")))</f>
        <v>0</v>
      </c>
      <c r="E784" s="5">
        <f>IF(OR(INDEX($W$2:$W$1001,MATCH(ROWS($V$2:V784),$V$2:$V$1001,0),1)&gt;=100000,INDEX($AC$1005:$AS$1005,1,MATCH(COLUMNS($AC$1006:AF1006),$AC$1006:$AS$1006,0))&gt;=100000), " ",IF(INDEX($AC$2:$AS$1001,MATCH(ROWS($V$2:V784),$V$2:$V$1001,0),MATCH(COLUMNS($AC$1006:AF1006),$AC$1006:$AS$1006,0)), HYPERLINK("#",""), HYPERLINK(CONCATENATE("#Metadata!", ADDRESS(INDEX($X$2:$X$1001,MATCH(ROWS($V$2:V784),$V$2:$V$1001,0),0), INDEX($AC$1004:$AS$1004,1,MATCH(COLUMNS($AC$1006:AF1006),$AC$1006:$AS$1006,0)))),"Fix")))</f>
        <v>0</v>
      </c>
      <c r="F784" s="5">
        <f>IF(OR(INDEX($W$2:$W$1001,MATCH(ROWS($V$2:V784),$V$2:$V$1001,0),1)&gt;=100000,INDEX($AC$1005:$AS$1005,1,MATCH(COLUMNS($AC$1006:AG1006),$AC$1006:$AS$1006,0))&gt;=100000), " ",IF(INDEX($AC$2:$AS$1001,MATCH(ROWS($V$2:V784),$V$2:$V$1001,0),MATCH(COLUMNS($AC$1006:AG1006),$AC$1006:$AS$1006,0)), HYPERLINK("#",""), HYPERLINK(CONCATENATE("#Metadata!", ADDRESS(INDEX($X$2:$X$1001,MATCH(ROWS($V$2:V784),$V$2:$V$1001,0),0), INDEX($AC$1004:$AS$1004,1,MATCH(COLUMNS($AC$1006:AG1006),$AC$1006:$AS$1006,0)))),"Fix")))</f>
        <v>0</v>
      </c>
      <c r="G784" s="5">
        <f>IF(OR(INDEX($W$2:$W$1001,MATCH(ROWS($V$2:V784),$V$2:$V$1001,0),1)&gt;=100000,INDEX($AC$1005:$AS$1005,1,MATCH(COLUMNS($AC$1006:AH1006),$AC$1006:$AS$1006,0))&gt;=100000), " ",IF(INDEX($AC$2:$AS$1001,MATCH(ROWS($V$2:V784),$V$2:$V$1001,0),MATCH(COLUMNS($AC$1006:AH1006),$AC$1006:$AS$1006,0)), HYPERLINK("#",""), HYPERLINK(CONCATENATE("#Metadata!", ADDRESS(INDEX($X$2:$X$1001,MATCH(ROWS($V$2:V784),$V$2:$V$1001,0),0), INDEX($AC$1004:$AS$1004,1,MATCH(COLUMNS($AC$1006:AH1006),$AC$1006:$AS$1006,0)))),"Fix")))</f>
        <v>0</v>
      </c>
      <c r="H784" s="5">
        <f>IF(OR(INDEX($W$2:$W$1001,MATCH(ROWS($V$2:V784),$V$2:$V$1001,0),1)&gt;=100000,INDEX($AC$1005:$AS$1005,1,MATCH(COLUMNS($AC$1006:AI1006),$AC$1006:$AS$1006,0))&gt;=100000), " ",IF(INDEX($AC$2:$AS$1001,MATCH(ROWS($V$2:V784),$V$2:$V$1001,0),MATCH(COLUMNS($AC$1006:AI1006),$AC$1006:$AS$1006,0)), HYPERLINK("#",""), HYPERLINK(CONCATENATE("#Metadata!", ADDRESS(INDEX($X$2:$X$1001,MATCH(ROWS($V$2:V784),$V$2:$V$1001,0),0), INDEX($AC$1004:$AS$1004,1,MATCH(COLUMNS($AC$1006:AI1006),$AC$1006:$AS$1006,0)))),"Fix")))</f>
        <v>0</v>
      </c>
      <c r="I784" s="5">
        <f>IF(OR(INDEX($W$2:$W$1001,MATCH(ROWS($V$2:V784),$V$2:$V$1001,0),1)&gt;=100000,INDEX($AC$1005:$AS$1005,1,MATCH(COLUMNS($AC$1006:AJ1006),$AC$1006:$AS$1006,0))&gt;=100000), " ",IF(INDEX($AC$2:$AS$1001,MATCH(ROWS($V$2:V784),$V$2:$V$1001,0),MATCH(COLUMNS($AC$1006:AJ1006),$AC$1006:$AS$1006,0)), HYPERLINK("#",""), HYPERLINK(CONCATENATE("#Metadata!", ADDRESS(INDEX($X$2:$X$1001,MATCH(ROWS($V$2:V784),$V$2:$V$1001,0),0), INDEX($AC$1004:$AS$1004,1,MATCH(COLUMNS($AC$1006:AJ1006),$AC$1006:$AS$1006,0)))),"Fix")))</f>
        <v>0</v>
      </c>
      <c r="J784" s="5">
        <f>IF(OR(INDEX($W$2:$W$1001,MATCH(ROWS($V$2:V784),$V$2:$V$1001,0),1)&gt;=100000,INDEX($AC$1005:$AS$1005,1,MATCH(COLUMNS($AC$1006:AK1006),$AC$1006:$AS$1006,0))&gt;=100000), " ",IF(INDEX($AC$2:$AS$1001,MATCH(ROWS($V$2:V784),$V$2:$V$1001,0),MATCH(COLUMNS($AC$1006:AK1006),$AC$1006:$AS$1006,0)), HYPERLINK("#",""), HYPERLINK(CONCATENATE("#Metadata!", ADDRESS(INDEX($X$2:$X$1001,MATCH(ROWS($V$2:V784),$V$2:$V$1001,0),0), INDEX($AC$1004:$AS$1004,1,MATCH(COLUMNS($AC$1006:AK1006),$AC$1006:$AS$1006,0)))),"Fix")))</f>
        <v>0</v>
      </c>
      <c r="K784" s="5">
        <f>IF(OR(INDEX($W$2:$W$1001,MATCH(ROWS($V$2:V784),$V$2:$V$1001,0),1)&gt;=100000,INDEX($AC$1005:$AS$1005,1,MATCH(COLUMNS($AC$1006:AL1006),$AC$1006:$AS$1006,0))&gt;=100000), " ",IF(INDEX($AC$2:$AS$1001,MATCH(ROWS($V$2:V784),$V$2:$V$1001,0),MATCH(COLUMNS($AC$1006:AL1006),$AC$1006:$AS$1006,0)), HYPERLINK("#",""), HYPERLINK(CONCATENATE("#Metadata!", ADDRESS(INDEX($X$2:$X$1001,MATCH(ROWS($V$2:V784),$V$2:$V$1001,0),0), INDEX($AC$1004:$AS$1004,1,MATCH(COLUMNS($AC$1006:AL1006),$AC$1006:$AS$1006,0)))),"Fix")))</f>
        <v>0</v>
      </c>
      <c r="L784" s="5">
        <f>IF(OR(INDEX($W$2:$W$1001,MATCH(ROWS($V$2:V784),$V$2:$V$1001,0),1)&gt;=100000,INDEX($AC$1005:$AS$1005,1,MATCH(COLUMNS($AC$1006:AM1006),$AC$1006:$AS$1006,0))&gt;=100000), " ",IF(INDEX($AC$2:$AS$1001,MATCH(ROWS($V$2:V784),$V$2:$V$1001,0),MATCH(COLUMNS($AC$1006:AM1006),$AC$1006:$AS$1006,0)), HYPERLINK("#",""), HYPERLINK(CONCATENATE("#Metadata!", ADDRESS(INDEX($X$2:$X$1001,MATCH(ROWS($V$2:V784),$V$2:$V$1001,0),0), INDEX($AC$1004:$AS$1004,1,MATCH(COLUMNS($AC$1006:AM1006),$AC$1006:$AS$1006,0)))),"Fix")))</f>
        <v>0</v>
      </c>
      <c r="M784" s="5">
        <f>IF(OR(INDEX($W$2:$W$1001,MATCH(ROWS($V$2:V784),$V$2:$V$1001,0),1)&gt;=100000,INDEX($AC$1005:$AS$1005,1,MATCH(COLUMNS($AC$1006:AN1006),$AC$1006:$AS$1006,0))&gt;=100000), " ",IF(INDEX($AC$2:$AS$1001,MATCH(ROWS($V$2:V784),$V$2:$V$1001,0),MATCH(COLUMNS($AC$1006:AN1006),$AC$1006:$AS$1006,0)), HYPERLINK("#",""), HYPERLINK(CONCATENATE("#Metadata!", ADDRESS(INDEX($X$2:$X$1001,MATCH(ROWS($V$2:V784),$V$2:$V$1001,0),0), INDEX($AC$1004:$AS$1004,1,MATCH(COLUMNS($AC$1006:AN1006),$AC$1006:$AS$1006,0)))),"Fix")))</f>
        <v>0</v>
      </c>
      <c r="N784" s="5">
        <f>IF(OR(INDEX($W$2:$W$1001,MATCH(ROWS($V$2:V784),$V$2:$V$1001,0),1)&gt;=100000,INDEX($AC$1005:$AS$1005,1,MATCH(COLUMNS($AC$1006:AO1006),$AC$1006:$AS$1006,0))&gt;=100000), " ",IF(INDEX($AC$2:$AS$1001,MATCH(ROWS($V$2:V784),$V$2:$V$1001,0),MATCH(COLUMNS($AC$1006:AO1006),$AC$1006:$AS$1006,0)), HYPERLINK("#",""), HYPERLINK(CONCATENATE("#Metadata!", ADDRESS(INDEX($X$2:$X$1001,MATCH(ROWS($V$2:V784),$V$2:$V$1001,0),0), INDEX($AC$1004:$AS$1004,1,MATCH(COLUMNS($AC$1006:AO1006),$AC$1006:$AS$1006,0)))),"Fix")))</f>
        <v>0</v>
      </c>
      <c r="O784" s="5">
        <f>IF(OR(INDEX($W$2:$W$1001,MATCH(ROWS($V$2:V784),$V$2:$V$1001,0),1)&gt;=100000,INDEX($AC$1005:$AS$1005,1,MATCH(COLUMNS($AC$1006:AP1006),$AC$1006:$AS$1006,0))&gt;=100000), " ",IF(INDEX($AC$2:$AS$1001,MATCH(ROWS($V$2:V784),$V$2:$V$1001,0),MATCH(COLUMNS($AC$1006:AP1006),$AC$1006:$AS$1006,0)), HYPERLINK("#",""), HYPERLINK(CONCATENATE("#Metadata!", ADDRESS(INDEX($X$2:$X$1001,MATCH(ROWS($V$2:V784),$V$2:$V$1001,0),0), INDEX($AC$1004:$AS$1004,1,MATCH(COLUMNS($AC$1006:AP1006),$AC$1006:$AS$1006,0)))),"Fix")))</f>
        <v>0</v>
      </c>
      <c r="P784" s="5">
        <f>IF(OR(INDEX($W$2:$W$1001,MATCH(ROWS($V$2:V784),$V$2:$V$1001,0),1)&gt;=100000,INDEX($AC$1005:$AS$1005,1,MATCH(COLUMNS($AC$1006:AQ1006),$AC$1006:$AS$1006,0))&gt;=100000), " ",IF(INDEX($AC$2:$AS$1001,MATCH(ROWS($V$2:V784),$V$2:$V$1001,0),MATCH(COLUMNS($AC$1006:AQ1006),$AC$1006:$AS$1006,0)), HYPERLINK("#",""), HYPERLINK(CONCATENATE("#Metadata!", ADDRESS(INDEX($X$2:$X$1001,MATCH(ROWS($V$2:V784),$V$2:$V$1001,0),0), INDEX($AC$1004:$AS$1004,1,MATCH(COLUMNS($AC$1006:AQ1006),$AC$1006:$AS$1006,0)))),"Fix")))</f>
        <v>0</v>
      </c>
      <c r="Q784" s="5">
        <f>IF(OR(INDEX($W$2:$W$1001,MATCH(ROWS($V$2:V784),$V$2:$V$1001,0),1)&gt;=100000,INDEX($AC$1005:$AS$1005,1,MATCH(COLUMNS($AC$1006:AR1006),$AC$1006:$AS$1006,0))&gt;=100000), " ",IF(INDEX($AC$2:$AS$1001,MATCH(ROWS($V$2:V784),$V$2:$V$1001,0),MATCH(COLUMNS($AC$1006:AR1006),$AC$1006:$AS$1006,0)), HYPERLINK("#",""), HYPERLINK(CONCATENATE("#Metadata!", ADDRESS(INDEX($X$2:$X$1001,MATCH(ROWS($V$2:V784),$V$2:$V$1001,0),0), INDEX($AC$1004:$AS$1004,1,MATCH(COLUMNS($AC$1006:AR1006),$AC$1006:$AS$1006,0)))),"Fix")))</f>
        <v>0</v>
      </c>
      <c r="R784" s="5">
        <f>IF(OR(INDEX($W$2:$W$1001,MATCH(ROWS($V$2:V784),$V$2:$V$1001,0),1)&gt;=100000,INDEX($AC$1005:$AS$1005,1,MATCH(COLUMNS($AC$1006:AS1006),$AC$1006:$AS$1006,0))&gt;=100000), " ",IF(INDEX($AC$2:$AS$1001,MATCH(ROWS($V$2:V784),$V$2:$V$1001,0),MATCH(COLUMNS($AC$1006:AS1006),$AC$1006:$AS$1006,0)), HYPERLINK("#",""), HYPERLINK(CONCATENATE("#Metadata!", ADDRESS(INDEX($X$2:$X$1001,MATCH(ROWS($V$2:V784),$V$2:$V$1001,0),0), INDEX($AC$1004:$AS$1004,1,MATCH(COLUMNS($AC$1006:AS1006),$AC$1006:$AS$1006,0)))),"Fix")))</f>
        <v>0</v>
      </c>
      <c r="V784">
        <v>0</v>
      </c>
      <c r="W784">
        <v>0</v>
      </c>
      <c r="X784">
        <v>0</v>
      </c>
      <c r="Y784">
        <f>IF(Z784,TRUE,AND(AC784:AS784))</f>
        <v>0</v>
      </c>
      <c r="Z784">
        <f>COUNTBLANK(Metadata!B784:R784)=COLUMNS(Metadata!B784:R784)</f>
        <v>0</v>
      </c>
      <c r="AA784">
        <v>0</v>
      </c>
      <c r="AC784">
        <f>AND(IF(Metadata!B784="",FALSE,TRUE),COUNTIF(Metadata!B:B, Metadata!B784) = 1,NOT(ISERROR(SUMPRODUCT(SEARCH(MID(Metadata!B784,ROW(INDIRECT("1:"&amp;LEN(Metadata!B784))), 1),"0123456789abcdefghijklmnopqrstuvwxyzABCDEFGHIJKLMNOPQRSTUVWXYZ.")))))</f>
        <v>0</v>
      </c>
      <c r="AD784">
        <f>AND(IF(Metadata!C784="",FALSE,TRUE),exact(Metadata!C784,"Host-associated"))</f>
        <v>0</v>
      </c>
      <c r="AE784">
        <f>AND(IF(Metadata!D784="",FALSE,TRUE),OR(exact(Metadata!D784,"Animal"),exact(Metadata!D784,"Fungus"),exact(Metadata!D784,"Plant")))</f>
        <v>0</v>
      </c>
      <c r="AF784">
        <f>AND(IF(Metadata!E784="",FALSE,TRUE),OR(exact(Metadata!E784,"Plant secretion"),exact(Metadata!E784,"Plant rhizosphere"),exact(Metadata!E784,"Plant surface"),exact(Metadata!E784,"Plant corpus"),exact(Metadata!E784,"Fungus surface"),exact(Metadata!E784,"Fungus corpus"),exact(Metadata!E784,"Animal surface"),exact(Metadata!E784,"Animal proximal gut"),exact(Metadata!E784,"Animal corpus"),exact(Metadata!E784,"Animal distal gut"),exact(Metadata!E784,"Animal secretion")))</f>
        <v>0</v>
      </c>
      <c r="AG784">
        <f>OR(AND(IF(Metadata!F784="",FALSE,TRUE),OR(exact(Metadata!F784,"not collected"),exact(Metadata!F784,"not provided"),exact(Metadata!F784,"restricted access"))),AND(IF(Metadata!F784="",FALSE,TRUE),OR(exact(Metadata!F784,"organism-associated habitat"),exact(Metadata!F784,"plant-associated habitat"),exact(Metadata!F784,"animal-associated habitat"),exact(Metadata!F784,"insecta-associated habitat"),exact(Metadata!F784,"mammalia-associated habitat"),exact(Metadata!F784,"human-associated habitat"),exact(Metadata!F784,"livestock-associated habitat"))))</f>
        <v>0</v>
      </c>
      <c r="AH784">
        <f>AND(IF(Metadata!G784="",FALSE,TRUE),exact(Metadata!G784,"host-associated"))</f>
        <v>0</v>
      </c>
      <c r="AI784">
        <f>OR(AND(IF(Metadata!H784="",FALSE,TRUE),OR(exact(Metadata!H784,"not collected"),exact(Metadata!H784,"not provided"))),AND(IF(Metadata!H784="",FALSE,ISNUMBER(VALUE(Metadata!H784))),Metadata!H784&gt;0))</f>
        <v>0</v>
      </c>
      <c r="AJ784">
        <f>AND(IF(Metadata!I784="",FALSE,TRUE),exact(Metadata!I784,"years"))</f>
        <v>0</v>
      </c>
      <c r="AK784">
        <f>IF(Metadata!J784="",FALSE,TRUE)</f>
        <v>0</v>
      </c>
      <c r="AL784">
        <f>OR(AND(IF(Metadata!K784="",FALSE,TRUE),OR(exact(Metadata!K784,"not collected"),exact(Metadata!K784,"not provided"))),AND(IF(Metadata!K784="",FALSE,ISNUMBER(VALUE(Metadata!K784))),Metadata!K784&gt;0))</f>
        <v>0</v>
      </c>
      <c r="AM784">
        <f>AND(IF(Metadata!L784="",FALSE,TRUE),exact(Metadata!L784,"cm"))</f>
        <v>0</v>
      </c>
      <c r="AN784">
        <f>IF(Metadata!M784="",FALSE,TRUE)</f>
        <v>0</v>
      </c>
      <c r="AO784">
        <f>OR(AND(IF(Metadata!N784="",FALSE,TRUE),OR(exact(Metadata!N784,"not applicable"),exact(Metadata!N784,"not collected"),exact(Metadata!N784,"not provided"))),AND(IF(Metadata!N784="",FALSE,IF(ISERROR(INT(Metadata!N784)),FALSE,INT(Metadata!N784)=Metadata!N784)),Metadata!N784&gt;0))</f>
        <v>0</v>
      </c>
      <c r="AP784">
        <f>OR(AND(IF(Metadata!O784="",FALSE,TRUE),OR(exact(Metadata!O784,"not collected"),exact(Metadata!O784,"not provided"))),AND(IF(Metadata!O784="",FALSE,ISNUMBER(VALUE(Metadata!O784))),Metadata!O784&gt;0))</f>
        <v>0</v>
      </c>
      <c r="AQ784">
        <f>AND(IF(Metadata!P784="",FALSE,TRUE),exact(Metadata!P784,"kg"))</f>
        <v>0</v>
      </c>
      <c r="AR784">
        <f>OR(AND(IF(Metadata!Q784="",FALSE,TRUE),OR(exact(Metadata!Q784,"not applicable"),exact(Metadata!Q784,"not collected"),exact(Metadata!Q784,"not provided"),exact(Metadata!Q784,"restricted access"))),IF(Metadata!Q784="",FALSE,IF(ISERROR(INT(Metadata!Q784)),FALSE,INT(Metadata!Q784)=Metadata!Q784)))</f>
        <v>0</v>
      </c>
      <c r="AS784">
        <f>AND(IF(Metadata!R784="",FALSE,TRUE),exact(Metadata!R784,"Not applicable"))</f>
        <v>0</v>
      </c>
    </row>
    <row r="785" spans="1:45">
      <c r="A785" s="4">
        <f>IF(B785=" "," ",HYPERLINK(CONCATENATE("#metadata!",ADDRESS(INDEX($X$2:$X$1001,MATCH(ROWS($V$2:V785),$V$2:$V$1001,0),0),2)),INDEX($AA$2:$AA$1001,MATCH(ROWS($V$2:V785),$V$2:$V$1001,0),0)))</f>
        <v>0</v>
      </c>
      <c r="B785" s="5">
        <f>IF(OR(INDEX($W$2:$W$1001,MATCH(ROWS($V$2:V785),$V$2:$V$1001,0),1)&gt;=100000,INDEX($AC$1005:$AS$1005,1,MATCH(COLUMNS($AC$1006:AC1006),$AC$1006:$AS$1006,0))&gt;=100000), " ",IF(INDEX($AC$2:$AS$1001,MATCH(ROWS($V$2:V785),$V$2:$V$1001,0),MATCH(COLUMNS($AC$1006:AC1006),$AC$1006:$AS$1006,0)), HYPERLINK("#",""), HYPERLINK(CONCATENATE("#Metadata!", ADDRESS(INDEX($X$2:$X$1001,MATCH(ROWS($V$2:V785),$V$2:$V$1001,0),0), INDEX($AC$1004:$AS$1004,1,MATCH(COLUMNS($AC$1006:AC1006),$AC$1006:$AS$1006,0)))),"Fix")))</f>
        <v>0</v>
      </c>
      <c r="C785" s="5">
        <f>IF(OR(INDEX($W$2:$W$1001,MATCH(ROWS($V$2:V785),$V$2:$V$1001,0),1)&gt;=100000,INDEX($AC$1005:$AS$1005,1,MATCH(COLUMNS($AC$1006:AD1006),$AC$1006:$AS$1006,0))&gt;=100000), " ",IF(INDEX($AC$2:$AS$1001,MATCH(ROWS($V$2:V785),$V$2:$V$1001,0),MATCH(COLUMNS($AC$1006:AD1006),$AC$1006:$AS$1006,0)), HYPERLINK("#",""), HYPERLINK(CONCATENATE("#Metadata!", ADDRESS(INDEX($X$2:$X$1001,MATCH(ROWS($V$2:V785),$V$2:$V$1001,0),0), INDEX($AC$1004:$AS$1004,1,MATCH(COLUMNS($AC$1006:AD1006),$AC$1006:$AS$1006,0)))),"Fix")))</f>
        <v>0</v>
      </c>
      <c r="D785" s="5">
        <f>IF(OR(INDEX($W$2:$W$1001,MATCH(ROWS($V$2:V785),$V$2:$V$1001,0),1)&gt;=100000,INDEX($AC$1005:$AS$1005,1,MATCH(COLUMNS($AC$1006:AE1006),$AC$1006:$AS$1006,0))&gt;=100000), " ",IF(INDEX($AC$2:$AS$1001,MATCH(ROWS($V$2:V785),$V$2:$V$1001,0),MATCH(COLUMNS($AC$1006:AE1006),$AC$1006:$AS$1006,0)), HYPERLINK("#",""), HYPERLINK(CONCATENATE("#Metadata!", ADDRESS(INDEX($X$2:$X$1001,MATCH(ROWS($V$2:V785),$V$2:$V$1001,0),0), INDEX($AC$1004:$AS$1004,1,MATCH(COLUMNS($AC$1006:AE1006),$AC$1006:$AS$1006,0)))),"Fix")))</f>
        <v>0</v>
      </c>
      <c r="E785" s="5">
        <f>IF(OR(INDEX($W$2:$W$1001,MATCH(ROWS($V$2:V785),$V$2:$V$1001,0),1)&gt;=100000,INDEX($AC$1005:$AS$1005,1,MATCH(COLUMNS($AC$1006:AF1006),$AC$1006:$AS$1006,0))&gt;=100000), " ",IF(INDEX($AC$2:$AS$1001,MATCH(ROWS($V$2:V785),$V$2:$V$1001,0),MATCH(COLUMNS($AC$1006:AF1006),$AC$1006:$AS$1006,0)), HYPERLINK("#",""), HYPERLINK(CONCATENATE("#Metadata!", ADDRESS(INDEX($X$2:$X$1001,MATCH(ROWS($V$2:V785),$V$2:$V$1001,0),0), INDEX($AC$1004:$AS$1004,1,MATCH(COLUMNS($AC$1006:AF1006),$AC$1006:$AS$1006,0)))),"Fix")))</f>
        <v>0</v>
      </c>
      <c r="F785" s="5">
        <f>IF(OR(INDEX($W$2:$W$1001,MATCH(ROWS($V$2:V785),$V$2:$V$1001,0),1)&gt;=100000,INDEX($AC$1005:$AS$1005,1,MATCH(COLUMNS($AC$1006:AG1006),$AC$1006:$AS$1006,0))&gt;=100000), " ",IF(INDEX($AC$2:$AS$1001,MATCH(ROWS($V$2:V785),$V$2:$V$1001,0),MATCH(COLUMNS($AC$1006:AG1006),$AC$1006:$AS$1006,0)), HYPERLINK("#",""), HYPERLINK(CONCATENATE("#Metadata!", ADDRESS(INDEX($X$2:$X$1001,MATCH(ROWS($V$2:V785),$V$2:$V$1001,0),0), INDEX($AC$1004:$AS$1004,1,MATCH(COLUMNS($AC$1006:AG1006),$AC$1006:$AS$1006,0)))),"Fix")))</f>
        <v>0</v>
      </c>
      <c r="G785" s="5">
        <f>IF(OR(INDEX($W$2:$W$1001,MATCH(ROWS($V$2:V785),$V$2:$V$1001,0),1)&gt;=100000,INDEX($AC$1005:$AS$1005,1,MATCH(COLUMNS($AC$1006:AH1006),$AC$1006:$AS$1006,0))&gt;=100000), " ",IF(INDEX($AC$2:$AS$1001,MATCH(ROWS($V$2:V785),$V$2:$V$1001,0),MATCH(COLUMNS($AC$1006:AH1006),$AC$1006:$AS$1006,0)), HYPERLINK("#",""), HYPERLINK(CONCATENATE("#Metadata!", ADDRESS(INDEX($X$2:$X$1001,MATCH(ROWS($V$2:V785),$V$2:$V$1001,0),0), INDEX($AC$1004:$AS$1004,1,MATCH(COLUMNS($AC$1006:AH1006),$AC$1006:$AS$1006,0)))),"Fix")))</f>
        <v>0</v>
      </c>
      <c r="H785" s="5">
        <f>IF(OR(INDEX($W$2:$W$1001,MATCH(ROWS($V$2:V785),$V$2:$V$1001,0),1)&gt;=100000,INDEX($AC$1005:$AS$1005,1,MATCH(COLUMNS($AC$1006:AI1006),$AC$1006:$AS$1006,0))&gt;=100000), " ",IF(INDEX($AC$2:$AS$1001,MATCH(ROWS($V$2:V785),$V$2:$V$1001,0),MATCH(COLUMNS($AC$1006:AI1006),$AC$1006:$AS$1006,0)), HYPERLINK("#",""), HYPERLINK(CONCATENATE("#Metadata!", ADDRESS(INDEX($X$2:$X$1001,MATCH(ROWS($V$2:V785),$V$2:$V$1001,0),0), INDEX($AC$1004:$AS$1004,1,MATCH(COLUMNS($AC$1006:AI1006),$AC$1006:$AS$1006,0)))),"Fix")))</f>
        <v>0</v>
      </c>
      <c r="I785" s="5">
        <f>IF(OR(INDEX($W$2:$W$1001,MATCH(ROWS($V$2:V785),$V$2:$V$1001,0),1)&gt;=100000,INDEX($AC$1005:$AS$1005,1,MATCH(COLUMNS($AC$1006:AJ1006),$AC$1006:$AS$1006,0))&gt;=100000), " ",IF(INDEX($AC$2:$AS$1001,MATCH(ROWS($V$2:V785),$V$2:$V$1001,0),MATCH(COLUMNS($AC$1006:AJ1006),$AC$1006:$AS$1006,0)), HYPERLINK("#",""), HYPERLINK(CONCATENATE("#Metadata!", ADDRESS(INDEX($X$2:$X$1001,MATCH(ROWS($V$2:V785),$V$2:$V$1001,0),0), INDEX($AC$1004:$AS$1004,1,MATCH(COLUMNS($AC$1006:AJ1006),$AC$1006:$AS$1006,0)))),"Fix")))</f>
        <v>0</v>
      </c>
      <c r="J785" s="5">
        <f>IF(OR(INDEX($W$2:$W$1001,MATCH(ROWS($V$2:V785),$V$2:$V$1001,0),1)&gt;=100000,INDEX($AC$1005:$AS$1005,1,MATCH(COLUMNS($AC$1006:AK1006),$AC$1006:$AS$1006,0))&gt;=100000), " ",IF(INDEX($AC$2:$AS$1001,MATCH(ROWS($V$2:V785),$V$2:$V$1001,0),MATCH(COLUMNS($AC$1006:AK1006),$AC$1006:$AS$1006,0)), HYPERLINK("#",""), HYPERLINK(CONCATENATE("#Metadata!", ADDRESS(INDEX($X$2:$X$1001,MATCH(ROWS($V$2:V785),$V$2:$V$1001,0),0), INDEX($AC$1004:$AS$1004,1,MATCH(COLUMNS($AC$1006:AK1006),$AC$1006:$AS$1006,0)))),"Fix")))</f>
        <v>0</v>
      </c>
      <c r="K785" s="5">
        <f>IF(OR(INDEX($W$2:$W$1001,MATCH(ROWS($V$2:V785),$V$2:$V$1001,0),1)&gt;=100000,INDEX($AC$1005:$AS$1005,1,MATCH(COLUMNS($AC$1006:AL1006),$AC$1006:$AS$1006,0))&gt;=100000), " ",IF(INDEX($AC$2:$AS$1001,MATCH(ROWS($V$2:V785),$V$2:$V$1001,0),MATCH(COLUMNS($AC$1006:AL1006),$AC$1006:$AS$1006,0)), HYPERLINK("#",""), HYPERLINK(CONCATENATE("#Metadata!", ADDRESS(INDEX($X$2:$X$1001,MATCH(ROWS($V$2:V785),$V$2:$V$1001,0),0), INDEX($AC$1004:$AS$1004,1,MATCH(COLUMNS($AC$1006:AL1006),$AC$1006:$AS$1006,0)))),"Fix")))</f>
        <v>0</v>
      </c>
      <c r="L785" s="5">
        <f>IF(OR(INDEX($W$2:$W$1001,MATCH(ROWS($V$2:V785),$V$2:$V$1001,0),1)&gt;=100000,INDEX($AC$1005:$AS$1005,1,MATCH(COLUMNS($AC$1006:AM1006),$AC$1006:$AS$1006,0))&gt;=100000), " ",IF(INDEX($AC$2:$AS$1001,MATCH(ROWS($V$2:V785),$V$2:$V$1001,0),MATCH(COLUMNS($AC$1006:AM1006),$AC$1006:$AS$1006,0)), HYPERLINK("#",""), HYPERLINK(CONCATENATE("#Metadata!", ADDRESS(INDEX($X$2:$X$1001,MATCH(ROWS($V$2:V785),$V$2:$V$1001,0),0), INDEX($AC$1004:$AS$1004,1,MATCH(COLUMNS($AC$1006:AM1006),$AC$1006:$AS$1006,0)))),"Fix")))</f>
        <v>0</v>
      </c>
      <c r="M785" s="5">
        <f>IF(OR(INDEX($W$2:$W$1001,MATCH(ROWS($V$2:V785),$V$2:$V$1001,0),1)&gt;=100000,INDEX($AC$1005:$AS$1005,1,MATCH(COLUMNS($AC$1006:AN1006),$AC$1006:$AS$1006,0))&gt;=100000), " ",IF(INDEX($AC$2:$AS$1001,MATCH(ROWS($V$2:V785),$V$2:$V$1001,0),MATCH(COLUMNS($AC$1006:AN1006),$AC$1006:$AS$1006,0)), HYPERLINK("#",""), HYPERLINK(CONCATENATE("#Metadata!", ADDRESS(INDEX($X$2:$X$1001,MATCH(ROWS($V$2:V785),$V$2:$V$1001,0),0), INDEX($AC$1004:$AS$1004,1,MATCH(COLUMNS($AC$1006:AN1006),$AC$1006:$AS$1006,0)))),"Fix")))</f>
        <v>0</v>
      </c>
      <c r="N785" s="5">
        <f>IF(OR(INDEX($W$2:$W$1001,MATCH(ROWS($V$2:V785),$V$2:$V$1001,0),1)&gt;=100000,INDEX($AC$1005:$AS$1005,1,MATCH(COLUMNS($AC$1006:AO1006),$AC$1006:$AS$1006,0))&gt;=100000), " ",IF(INDEX($AC$2:$AS$1001,MATCH(ROWS($V$2:V785),$V$2:$V$1001,0),MATCH(COLUMNS($AC$1006:AO1006),$AC$1006:$AS$1006,0)), HYPERLINK("#",""), HYPERLINK(CONCATENATE("#Metadata!", ADDRESS(INDEX($X$2:$X$1001,MATCH(ROWS($V$2:V785),$V$2:$V$1001,0),0), INDEX($AC$1004:$AS$1004,1,MATCH(COLUMNS($AC$1006:AO1006),$AC$1006:$AS$1006,0)))),"Fix")))</f>
        <v>0</v>
      </c>
      <c r="O785" s="5">
        <f>IF(OR(INDEX($W$2:$W$1001,MATCH(ROWS($V$2:V785),$V$2:$V$1001,0),1)&gt;=100000,INDEX($AC$1005:$AS$1005,1,MATCH(COLUMNS($AC$1006:AP1006),$AC$1006:$AS$1006,0))&gt;=100000), " ",IF(INDEX($AC$2:$AS$1001,MATCH(ROWS($V$2:V785),$V$2:$V$1001,0),MATCH(COLUMNS($AC$1006:AP1006),$AC$1006:$AS$1006,0)), HYPERLINK("#",""), HYPERLINK(CONCATENATE("#Metadata!", ADDRESS(INDEX($X$2:$X$1001,MATCH(ROWS($V$2:V785),$V$2:$V$1001,0),0), INDEX($AC$1004:$AS$1004,1,MATCH(COLUMNS($AC$1006:AP1006),$AC$1006:$AS$1006,0)))),"Fix")))</f>
        <v>0</v>
      </c>
      <c r="P785" s="5">
        <f>IF(OR(INDEX($W$2:$W$1001,MATCH(ROWS($V$2:V785),$V$2:$V$1001,0),1)&gt;=100000,INDEX($AC$1005:$AS$1005,1,MATCH(COLUMNS($AC$1006:AQ1006),$AC$1006:$AS$1006,0))&gt;=100000), " ",IF(INDEX($AC$2:$AS$1001,MATCH(ROWS($V$2:V785),$V$2:$V$1001,0),MATCH(COLUMNS($AC$1006:AQ1006),$AC$1006:$AS$1006,0)), HYPERLINK("#",""), HYPERLINK(CONCATENATE("#Metadata!", ADDRESS(INDEX($X$2:$X$1001,MATCH(ROWS($V$2:V785),$V$2:$V$1001,0),0), INDEX($AC$1004:$AS$1004,1,MATCH(COLUMNS($AC$1006:AQ1006),$AC$1006:$AS$1006,0)))),"Fix")))</f>
        <v>0</v>
      </c>
      <c r="Q785" s="5">
        <f>IF(OR(INDEX($W$2:$W$1001,MATCH(ROWS($V$2:V785),$V$2:$V$1001,0),1)&gt;=100000,INDEX($AC$1005:$AS$1005,1,MATCH(COLUMNS($AC$1006:AR1006),$AC$1006:$AS$1006,0))&gt;=100000), " ",IF(INDEX($AC$2:$AS$1001,MATCH(ROWS($V$2:V785),$V$2:$V$1001,0),MATCH(COLUMNS($AC$1006:AR1006),$AC$1006:$AS$1006,0)), HYPERLINK("#",""), HYPERLINK(CONCATENATE("#Metadata!", ADDRESS(INDEX($X$2:$X$1001,MATCH(ROWS($V$2:V785),$V$2:$V$1001,0),0), INDEX($AC$1004:$AS$1004,1,MATCH(COLUMNS($AC$1006:AR1006),$AC$1006:$AS$1006,0)))),"Fix")))</f>
        <v>0</v>
      </c>
      <c r="R785" s="5">
        <f>IF(OR(INDEX($W$2:$W$1001,MATCH(ROWS($V$2:V785),$V$2:$V$1001,0),1)&gt;=100000,INDEX($AC$1005:$AS$1005,1,MATCH(COLUMNS($AC$1006:AS1006),$AC$1006:$AS$1006,0))&gt;=100000), " ",IF(INDEX($AC$2:$AS$1001,MATCH(ROWS($V$2:V785),$V$2:$V$1001,0),MATCH(COLUMNS($AC$1006:AS1006),$AC$1006:$AS$1006,0)), HYPERLINK("#",""), HYPERLINK(CONCATENATE("#Metadata!", ADDRESS(INDEX($X$2:$X$1001,MATCH(ROWS($V$2:V785),$V$2:$V$1001,0),0), INDEX($AC$1004:$AS$1004,1,MATCH(COLUMNS($AC$1006:AS1006),$AC$1006:$AS$1006,0)))),"Fix")))</f>
        <v>0</v>
      </c>
      <c r="V785">
        <v>0</v>
      </c>
      <c r="W785">
        <v>0</v>
      </c>
      <c r="X785">
        <v>0</v>
      </c>
      <c r="Y785">
        <f>IF(Z785,TRUE,AND(AC785:AS785))</f>
        <v>0</v>
      </c>
      <c r="Z785">
        <f>COUNTBLANK(Metadata!B785:R785)=COLUMNS(Metadata!B785:R785)</f>
        <v>0</v>
      </c>
      <c r="AA785">
        <v>0</v>
      </c>
      <c r="AC785">
        <f>AND(IF(Metadata!B785="",FALSE,TRUE),COUNTIF(Metadata!B:B, Metadata!B785) = 1,NOT(ISERROR(SUMPRODUCT(SEARCH(MID(Metadata!B785,ROW(INDIRECT("1:"&amp;LEN(Metadata!B785))), 1),"0123456789abcdefghijklmnopqrstuvwxyzABCDEFGHIJKLMNOPQRSTUVWXYZ.")))))</f>
        <v>0</v>
      </c>
      <c r="AD785">
        <f>AND(IF(Metadata!C785="",FALSE,TRUE),exact(Metadata!C785,"Host-associated"))</f>
        <v>0</v>
      </c>
      <c r="AE785">
        <f>AND(IF(Metadata!D785="",FALSE,TRUE),OR(exact(Metadata!D785,"Animal"),exact(Metadata!D785,"Fungus"),exact(Metadata!D785,"Plant")))</f>
        <v>0</v>
      </c>
      <c r="AF785">
        <f>AND(IF(Metadata!E785="",FALSE,TRUE),OR(exact(Metadata!E785,"Plant secretion"),exact(Metadata!E785,"Plant rhizosphere"),exact(Metadata!E785,"Plant surface"),exact(Metadata!E785,"Plant corpus"),exact(Metadata!E785,"Fungus surface"),exact(Metadata!E785,"Fungus corpus"),exact(Metadata!E785,"Animal surface"),exact(Metadata!E785,"Animal proximal gut"),exact(Metadata!E785,"Animal corpus"),exact(Metadata!E785,"Animal distal gut"),exact(Metadata!E785,"Animal secretion")))</f>
        <v>0</v>
      </c>
      <c r="AG785">
        <f>OR(AND(IF(Metadata!F785="",FALSE,TRUE),OR(exact(Metadata!F785,"not collected"),exact(Metadata!F785,"not provided"),exact(Metadata!F785,"restricted access"))),AND(IF(Metadata!F785="",FALSE,TRUE),OR(exact(Metadata!F785,"organism-associated habitat"),exact(Metadata!F785,"plant-associated habitat"),exact(Metadata!F785,"animal-associated habitat"),exact(Metadata!F785,"insecta-associated habitat"),exact(Metadata!F785,"mammalia-associated habitat"),exact(Metadata!F785,"human-associated habitat"),exact(Metadata!F785,"livestock-associated habitat"))))</f>
        <v>0</v>
      </c>
      <c r="AH785">
        <f>AND(IF(Metadata!G785="",FALSE,TRUE),exact(Metadata!G785,"host-associated"))</f>
        <v>0</v>
      </c>
      <c r="AI785">
        <f>OR(AND(IF(Metadata!H785="",FALSE,TRUE),OR(exact(Metadata!H785,"not collected"),exact(Metadata!H785,"not provided"))),AND(IF(Metadata!H785="",FALSE,ISNUMBER(VALUE(Metadata!H785))),Metadata!H785&gt;0))</f>
        <v>0</v>
      </c>
      <c r="AJ785">
        <f>AND(IF(Metadata!I785="",FALSE,TRUE),exact(Metadata!I785,"years"))</f>
        <v>0</v>
      </c>
      <c r="AK785">
        <f>IF(Metadata!J785="",FALSE,TRUE)</f>
        <v>0</v>
      </c>
      <c r="AL785">
        <f>OR(AND(IF(Metadata!K785="",FALSE,TRUE),OR(exact(Metadata!K785,"not collected"),exact(Metadata!K785,"not provided"))),AND(IF(Metadata!K785="",FALSE,ISNUMBER(VALUE(Metadata!K785))),Metadata!K785&gt;0))</f>
        <v>0</v>
      </c>
      <c r="AM785">
        <f>AND(IF(Metadata!L785="",FALSE,TRUE),exact(Metadata!L785,"cm"))</f>
        <v>0</v>
      </c>
      <c r="AN785">
        <f>IF(Metadata!M785="",FALSE,TRUE)</f>
        <v>0</v>
      </c>
      <c r="AO785">
        <f>OR(AND(IF(Metadata!N785="",FALSE,TRUE),OR(exact(Metadata!N785,"not applicable"),exact(Metadata!N785,"not collected"),exact(Metadata!N785,"not provided"))),AND(IF(Metadata!N785="",FALSE,IF(ISERROR(INT(Metadata!N785)),FALSE,INT(Metadata!N785)=Metadata!N785)),Metadata!N785&gt;0))</f>
        <v>0</v>
      </c>
      <c r="AP785">
        <f>OR(AND(IF(Metadata!O785="",FALSE,TRUE),OR(exact(Metadata!O785,"not collected"),exact(Metadata!O785,"not provided"))),AND(IF(Metadata!O785="",FALSE,ISNUMBER(VALUE(Metadata!O785))),Metadata!O785&gt;0))</f>
        <v>0</v>
      </c>
      <c r="AQ785">
        <f>AND(IF(Metadata!P785="",FALSE,TRUE),exact(Metadata!P785,"kg"))</f>
        <v>0</v>
      </c>
      <c r="AR785">
        <f>OR(AND(IF(Metadata!Q785="",FALSE,TRUE),OR(exact(Metadata!Q785,"not applicable"),exact(Metadata!Q785,"not collected"),exact(Metadata!Q785,"not provided"),exact(Metadata!Q785,"restricted access"))),IF(Metadata!Q785="",FALSE,IF(ISERROR(INT(Metadata!Q785)),FALSE,INT(Metadata!Q785)=Metadata!Q785)))</f>
        <v>0</v>
      </c>
      <c r="AS785">
        <f>AND(IF(Metadata!R785="",FALSE,TRUE),exact(Metadata!R785,"Not applicable"))</f>
        <v>0</v>
      </c>
    </row>
    <row r="786" spans="1:45">
      <c r="A786" s="4">
        <f>IF(B786=" "," ",HYPERLINK(CONCATENATE("#metadata!",ADDRESS(INDEX($X$2:$X$1001,MATCH(ROWS($V$2:V786),$V$2:$V$1001,0),0),2)),INDEX($AA$2:$AA$1001,MATCH(ROWS($V$2:V786),$V$2:$V$1001,0),0)))</f>
        <v>0</v>
      </c>
      <c r="B786" s="5">
        <f>IF(OR(INDEX($W$2:$W$1001,MATCH(ROWS($V$2:V786),$V$2:$V$1001,0),1)&gt;=100000,INDEX($AC$1005:$AS$1005,1,MATCH(COLUMNS($AC$1006:AC1006),$AC$1006:$AS$1006,0))&gt;=100000), " ",IF(INDEX($AC$2:$AS$1001,MATCH(ROWS($V$2:V786),$V$2:$V$1001,0),MATCH(COLUMNS($AC$1006:AC1006),$AC$1006:$AS$1006,0)), HYPERLINK("#",""), HYPERLINK(CONCATENATE("#Metadata!", ADDRESS(INDEX($X$2:$X$1001,MATCH(ROWS($V$2:V786),$V$2:$V$1001,0),0), INDEX($AC$1004:$AS$1004,1,MATCH(COLUMNS($AC$1006:AC1006),$AC$1006:$AS$1006,0)))),"Fix")))</f>
        <v>0</v>
      </c>
      <c r="C786" s="5">
        <f>IF(OR(INDEX($W$2:$W$1001,MATCH(ROWS($V$2:V786),$V$2:$V$1001,0),1)&gt;=100000,INDEX($AC$1005:$AS$1005,1,MATCH(COLUMNS($AC$1006:AD1006),$AC$1006:$AS$1006,0))&gt;=100000), " ",IF(INDEX($AC$2:$AS$1001,MATCH(ROWS($V$2:V786),$V$2:$V$1001,0),MATCH(COLUMNS($AC$1006:AD1006),$AC$1006:$AS$1006,0)), HYPERLINK("#",""), HYPERLINK(CONCATENATE("#Metadata!", ADDRESS(INDEX($X$2:$X$1001,MATCH(ROWS($V$2:V786),$V$2:$V$1001,0),0), INDEX($AC$1004:$AS$1004,1,MATCH(COLUMNS($AC$1006:AD1006),$AC$1006:$AS$1006,0)))),"Fix")))</f>
        <v>0</v>
      </c>
      <c r="D786" s="5">
        <f>IF(OR(INDEX($W$2:$W$1001,MATCH(ROWS($V$2:V786),$V$2:$V$1001,0),1)&gt;=100000,INDEX($AC$1005:$AS$1005,1,MATCH(COLUMNS($AC$1006:AE1006),$AC$1006:$AS$1006,0))&gt;=100000), " ",IF(INDEX($AC$2:$AS$1001,MATCH(ROWS($V$2:V786),$V$2:$V$1001,0),MATCH(COLUMNS($AC$1006:AE1006),$AC$1006:$AS$1006,0)), HYPERLINK("#",""), HYPERLINK(CONCATENATE("#Metadata!", ADDRESS(INDEX($X$2:$X$1001,MATCH(ROWS($V$2:V786),$V$2:$V$1001,0),0), INDEX($AC$1004:$AS$1004,1,MATCH(COLUMNS($AC$1006:AE1006),$AC$1006:$AS$1006,0)))),"Fix")))</f>
        <v>0</v>
      </c>
      <c r="E786" s="5">
        <f>IF(OR(INDEX($W$2:$W$1001,MATCH(ROWS($V$2:V786),$V$2:$V$1001,0),1)&gt;=100000,INDEX($AC$1005:$AS$1005,1,MATCH(COLUMNS($AC$1006:AF1006),$AC$1006:$AS$1006,0))&gt;=100000), " ",IF(INDEX($AC$2:$AS$1001,MATCH(ROWS($V$2:V786),$V$2:$V$1001,0),MATCH(COLUMNS($AC$1006:AF1006),$AC$1006:$AS$1006,0)), HYPERLINK("#",""), HYPERLINK(CONCATENATE("#Metadata!", ADDRESS(INDEX($X$2:$X$1001,MATCH(ROWS($V$2:V786),$V$2:$V$1001,0),0), INDEX($AC$1004:$AS$1004,1,MATCH(COLUMNS($AC$1006:AF1006),$AC$1006:$AS$1006,0)))),"Fix")))</f>
        <v>0</v>
      </c>
      <c r="F786" s="5">
        <f>IF(OR(INDEX($W$2:$W$1001,MATCH(ROWS($V$2:V786),$V$2:$V$1001,0),1)&gt;=100000,INDEX($AC$1005:$AS$1005,1,MATCH(COLUMNS($AC$1006:AG1006),$AC$1006:$AS$1006,0))&gt;=100000), " ",IF(INDEX($AC$2:$AS$1001,MATCH(ROWS($V$2:V786),$V$2:$V$1001,0),MATCH(COLUMNS($AC$1006:AG1006),$AC$1006:$AS$1006,0)), HYPERLINK("#",""), HYPERLINK(CONCATENATE("#Metadata!", ADDRESS(INDEX($X$2:$X$1001,MATCH(ROWS($V$2:V786),$V$2:$V$1001,0),0), INDEX($AC$1004:$AS$1004,1,MATCH(COLUMNS($AC$1006:AG1006),$AC$1006:$AS$1006,0)))),"Fix")))</f>
        <v>0</v>
      </c>
      <c r="G786" s="5">
        <f>IF(OR(INDEX($W$2:$W$1001,MATCH(ROWS($V$2:V786),$V$2:$V$1001,0),1)&gt;=100000,INDEX($AC$1005:$AS$1005,1,MATCH(COLUMNS($AC$1006:AH1006),$AC$1006:$AS$1006,0))&gt;=100000), " ",IF(INDEX($AC$2:$AS$1001,MATCH(ROWS($V$2:V786),$V$2:$V$1001,0),MATCH(COLUMNS($AC$1006:AH1006),$AC$1006:$AS$1006,0)), HYPERLINK("#",""), HYPERLINK(CONCATENATE("#Metadata!", ADDRESS(INDEX($X$2:$X$1001,MATCH(ROWS($V$2:V786),$V$2:$V$1001,0),0), INDEX($AC$1004:$AS$1004,1,MATCH(COLUMNS($AC$1006:AH1006),$AC$1006:$AS$1006,0)))),"Fix")))</f>
        <v>0</v>
      </c>
      <c r="H786" s="5">
        <f>IF(OR(INDEX($W$2:$W$1001,MATCH(ROWS($V$2:V786),$V$2:$V$1001,0),1)&gt;=100000,INDEX($AC$1005:$AS$1005,1,MATCH(COLUMNS($AC$1006:AI1006),$AC$1006:$AS$1006,0))&gt;=100000), " ",IF(INDEX($AC$2:$AS$1001,MATCH(ROWS($V$2:V786),$V$2:$V$1001,0),MATCH(COLUMNS($AC$1006:AI1006),$AC$1006:$AS$1006,0)), HYPERLINK("#",""), HYPERLINK(CONCATENATE("#Metadata!", ADDRESS(INDEX($X$2:$X$1001,MATCH(ROWS($V$2:V786),$V$2:$V$1001,0),0), INDEX($AC$1004:$AS$1004,1,MATCH(COLUMNS($AC$1006:AI1006),$AC$1006:$AS$1006,0)))),"Fix")))</f>
        <v>0</v>
      </c>
      <c r="I786" s="5">
        <f>IF(OR(INDEX($W$2:$W$1001,MATCH(ROWS($V$2:V786),$V$2:$V$1001,0),1)&gt;=100000,INDEX($AC$1005:$AS$1005,1,MATCH(COLUMNS($AC$1006:AJ1006),$AC$1006:$AS$1006,0))&gt;=100000), " ",IF(INDEX($AC$2:$AS$1001,MATCH(ROWS($V$2:V786),$V$2:$V$1001,0),MATCH(COLUMNS($AC$1006:AJ1006),$AC$1006:$AS$1006,0)), HYPERLINK("#",""), HYPERLINK(CONCATENATE("#Metadata!", ADDRESS(INDEX($X$2:$X$1001,MATCH(ROWS($V$2:V786),$V$2:$V$1001,0),0), INDEX($AC$1004:$AS$1004,1,MATCH(COLUMNS($AC$1006:AJ1006),$AC$1006:$AS$1006,0)))),"Fix")))</f>
        <v>0</v>
      </c>
      <c r="J786" s="5">
        <f>IF(OR(INDEX($W$2:$W$1001,MATCH(ROWS($V$2:V786),$V$2:$V$1001,0),1)&gt;=100000,INDEX($AC$1005:$AS$1005,1,MATCH(COLUMNS($AC$1006:AK1006),$AC$1006:$AS$1006,0))&gt;=100000), " ",IF(INDEX($AC$2:$AS$1001,MATCH(ROWS($V$2:V786),$V$2:$V$1001,0),MATCH(COLUMNS($AC$1006:AK1006),$AC$1006:$AS$1006,0)), HYPERLINK("#",""), HYPERLINK(CONCATENATE("#Metadata!", ADDRESS(INDEX($X$2:$X$1001,MATCH(ROWS($V$2:V786),$V$2:$V$1001,0),0), INDEX($AC$1004:$AS$1004,1,MATCH(COLUMNS($AC$1006:AK1006),$AC$1006:$AS$1006,0)))),"Fix")))</f>
        <v>0</v>
      </c>
      <c r="K786" s="5">
        <f>IF(OR(INDEX($W$2:$W$1001,MATCH(ROWS($V$2:V786),$V$2:$V$1001,0),1)&gt;=100000,INDEX($AC$1005:$AS$1005,1,MATCH(COLUMNS($AC$1006:AL1006),$AC$1006:$AS$1006,0))&gt;=100000), " ",IF(INDEX($AC$2:$AS$1001,MATCH(ROWS($V$2:V786),$V$2:$V$1001,0),MATCH(COLUMNS($AC$1006:AL1006),$AC$1006:$AS$1006,0)), HYPERLINK("#",""), HYPERLINK(CONCATENATE("#Metadata!", ADDRESS(INDEX($X$2:$X$1001,MATCH(ROWS($V$2:V786),$V$2:$V$1001,0),0), INDEX($AC$1004:$AS$1004,1,MATCH(COLUMNS($AC$1006:AL1006),$AC$1006:$AS$1006,0)))),"Fix")))</f>
        <v>0</v>
      </c>
      <c r="L786" s="5">
        <f>IF(OR(INDEX($W$2:$W$1001,MATCH(ROWS($V$2:V786),$V$2:$V$1001,0),1)&gt;=100000,INDEX($AC$1005:$AS$1005,1,MATCH(COLUMNS($AC$1006:AM1006),$AC$1006:$AS$1006,0))&gt;=100000), " ",IF(INDEX($AC$2:$AS$1001,MATCH(ROWS($V$2:V786),$V$2:$V$1001,0),MATCH(COLUMNS($AC$1006:AM1006),$AC$1006:$AS$1006,0)), HYPERLINK("#",""), HYPERLINK(CONCATENATE("#Metadata!", ADDRESS(INDEX($X$2:$X$1001,MATCH(ROWS($V$2:V786),$V$2:$V$1001,0),0), INDEX($AC$1004:$AS$1004,1,MATCH(COLUMNS($AC$1006:AM1006),$AC$1006:$AS$1006,0)))),"Fix")))</f>
        <v>0</v>
      </c>
      <c r="M786" s="5">
        <f>IF(OR(INDEX($W$2:$W$1001,MATCH(ROWS($V$2:V786),$V$2:$V$1001,0),1)&gt;=100000,INDEX($AC$1005:$AS$1005,1,MATCH(COLUMNS($AC$1006:AN1006),$AC$1006:$AS$1006,0))&gt;=100000), " ",IF(INDEX($AC$2:$AS$1001,MATCH(ROWS($V$2:V786),$V$2:$V$1001,0),MATCH(COLUMNS($AC$1006:AN1006),$AC$1006:$AS$1006,0)), HYPERLINK("#",""), HYPERLINK(CONCATENATE("#Metadata!", ADDRESS(INDEX($X$2:$X$1001,MATCH(ROWS($V$2:V786),$V$2:$V$1001,0),0), INDEX($AC$1004:$AS$1004,1,MATCH(COLUMNS($AC$1006:AN1006),$AC$1006:$AS$1006,0)))),"Fix")))</f>
        <v>0</v>
      </c>
      <c r="N786" s="5">
        <f>IF(OR(INDEX($W$2:$W$1001,MATCH(ROWS($V$2:V786),$V$2:$V$1001,0),1)&gt;=100000,INDEX($AC$1005:$AS$1005,1,MATCH(COLUMNS($AC$1006:AO1006),$AC$1006:$AS$1006,0))&gt;=100000), " ",IF(INDEX($AC$2:$AS$1001,MATCH(ROWS($V$2:V786),$V$2:$V$1001,0),MATCH(COLUMNS($AC$1006:AO1006),$AC$1006:$AS$1006,0)), HYPERLINK("#",""), HYPERLINK(CONCATENATE("#Metadata!", ADDRESS(INDEX($X$2:$X$1001,MATCH(ROWS($V$2:V786),$V$2:$V$1001,0),0), INDEX($AC$1004:$AS$1004,1,MATCH(COLUMNS($AC$1006:AO1006),$AC$1006:$AS$1006,0)))),"Fix")))</f>
        <v>0</v>
      </c>
      <c r="O786" s="5">
        <f>IF(OR(INDEX($W$2:$W$1001,MATCH(ROWS($V$2:V786),$V$2:$V$1001,0),1)&gt;=100000,INDEX($AC$1005:$AS$1005,1,MATCH(COLUMNS($AC$1006:AP1006),$AC$1006:$AS$1006,0))&gt;=100000), " ",IF(INDEX($AC$2:$AS$1001,MATCH(ROWS($V$2:V786),$V$2:$V$1001,0),MATCH(COLUMNS($AC$1006:AP1006),$AC$1006:$AS$1006,0)), HYPERLINK("#",""), HYPERLINK(CONCATENATE("#Metadata!", ADDRESS(INDEX($X$2:$X$1001,MATCH(ROWS($V$2:V786),$V$2:$V$1001,0),0), INDEX($AC$1004:$AS$1004,1,MATCH(COLUMNS($AC$1006:AP1006),$AC$1006:$AS$1006,0)))),"Fix")))</f>
        <v>0</v>
      </c>
      <c r="P786" s="5">
        <f>IF(OR(INDEX($W$2:$W$1001,MATCH(ROWS($V$2:V786),$V$2:$V$1001,0),1)&gt;=100000,INDEX($AC$1005:$AS$1005,1,MATCH(COLUMNS($AC$1006:AQ1006),$AC$1006:$AS$1006,0))&gt;=100000), " ",IF(INDEX($AC$2:$AS$1001,MATCH(ROWS($V$2:V786),$V$2:$V$1001,0),MATCH(COLUMNS($AC$1006:AQ1006),$AC$1006:$AS$1006,0)), HYPERLINK("#",""), HYPERLINK(CONCATENATE("#Metadata!", ADDRESS(INDEX($X$2:$X$1001,MATCH(ROWS($V$2:V786),$V$2:$V$1001,0),0), INDEX($AC$1004:$AS$1004,1,MATCH(COLUMNS($AC$1006:AQ1006),$AC$1006:$AS$1006,0)))),"Fix")))</f>
        <v>0</v>
      </c>
      <c r="Q786" s="5">
        <f>IF(OR(INDEX($W$2:$W$1001,MATCH(ROWS($V$2:V786),$V$2:$V$1001,0),1)&gt;=100000,INDEX($AC$1005:$AS$1005,1,MATCH(COLUMNS($AC$1006:AR1006),$AC$1006:$AS$1006,0))&gt;=100000), " ",IF(INDEX($AC$2:$AS$1001,MATCH(ROWS($V$2:V786),$V$2:$V$1001,0),MATCH(COLUMNS($AC$1006:AR1006),$AC$1006:$AS$1006,0)), HYPERLINK("#",""), HYPERLINK(CONCATENATE("#Metadata!", ADDRESS(INDEX($X$2:$X$1001,MATCH(ROWS($V$2:V786),$V$2:$V$1001,0),0), INDEX($AC$1004:$AS$1004,1,MATCH(COLUMNS($AC$1006:AR1006),$AC$1006:$AS$1006,0)))),"Fix")))</f>
        <v>0</v>
      </c>
      <c r="R786" s="5">
        <f>IF(OR(INDEX($W$2:$W$1001,MATCH(ROWS($V$2:V786),$V$2:$V$1001,0),1)&gt;=100000,INDEX($AC$1005:$AS$1005,1,MATCH(COLUMNS($AC$1006:AS1006),$AC$1006:$AS$1006,0))&gt;=100000), " ",IF(INDEX($AC$2:$AS$1001,MATCH(ROWS($V$2:V786),$V$2:$V$1001,0),MATCH(COLUMNS($AC$1006:AS1006),$AC$1006:$AS$1006,0)), HYPERLINK("#",""), HYPERLINK(CONCATENATE("#Metadata!", ADDRESS(INDEX($X$2:$X$1001,MATCH(ROWS($V$2:V786),$V$2:$V$1001,0),0), INDEX($AC$1004:$AS$1004,1,MATCH(COLUMNS($AC$1006:AS1006),$AC$1006:$AS$1006,0)))),"Fix")))</f>
        <v>0</v>
      </c>
      <c r="V786">
        <v>0</v>
      </c>
      <c r="W786">
        <v>0</v>
      </c>
      <c r="X786">
        <v>0</v>
      </c>
      <c r="Y786">
        <f>IF(Z786,TRUE,AND(AC786:AS786))</f>
        <v>0</v>
      </c>
      <c r="Z786">
        <f>COUNTBLANK(Metadata!B786:R786)=COLUMNS(Metadata!B786:R786)</f>
        <v>0</v>
      </c>
      <c r="AA786">
        <v>0</v>
      </c>
      <c r="AC786">
        <f>AND(IF(Metadata!B786="",FALSE,TRUE),COUNTIF(Metadata!B:B, Metadata!B786) = 1,NOT(ISERROR(SUMPRODUCT(SEARCH(MID(Metadata!B786,ROW(INDIRECT("1:"&amp;LEN(Metadata!B786))), 1),"0123456789abcdefghijklmnopqrstuvwxyzABCDEFGHIJKLMNOPQRSTUVWXYZ.")))))</f>
        <v>0</v>
      </c>
      <c r="AD786">
        <f>AND(IF(Metadata!C786="",FALSE,TRUE),exact(Metadata!C786,"Host-associated"))</f>
        <v>0</v>
      </c>
      <c r="AE786">
        <f>AND(IF(Metadata!D786="",FALSE,TRUE),OR(exact(Metadata!D786,"Animal"),exact(Metadata!D786,"Fungus"),exact(Metadata!D786,"Plant")))</f>
        <v>0</v>
      </c>
      <c r="AF786">
        <f>AND(IF(Metadata!E786="",FALSE,TRUE),OR(exact(Metadata!E786,"Plant secretion"),exact(Metadata!E786,"Plant rhizosphere"),exact(Metadata!E786,"Plant surface"),exact(Metadata!E786,"Plant corpus"),exact(Metadata!E786,"Fungus surface"),exact(Metadata!E786,"Fungus corpus"),exact(Metadata!E786,"Animal surface"),exact(Metadata!E786,"Animal proximal gut"),exact(Metadata!E786,"Animal corpus"),exact(Metadata!E786,"Animal distal gut"),exact(Metadata!E786,"Animal secretion")))</f>
        <v>0</v>
      </c>
      <c r="AG786">
        <f>OR(AND(IF(Metadata!F786="",FALSE,TRUE),OR(exact(Metadata!F786,"not collected"),exact(Metadata!F786,"not provided"),exact(Metadata!F786,"restricted access"))),AND(IF(Metadata!F786="",FALSE,TRUE),OR(exact(Metadata!F786,"organism-associated habitat"),exact(Metadata!F786,"plant-associated habitat"),exact(Metadata!F786,"animal-associated habitat"),exact(Metadata!F786,"insecta-associated habitat"),exact(Metadata!F786,"mammalia-associated habitat"),exact(Metadata!F786,"human-associated habitat"),exact(Metadata!F786,"livestock-associated habitat"))))</f>
        <v>0</v>
      </c>
      <c r="AH786">
        <f>AND(IF(Metadata!G786="",FALSE,TRUE),exact(Metadata!G786,"host-associated"))</f>
        <v>0</v>
      </c>
      <c r="AI786">
        <f>OR(AND(IF(Metadata!H786="",FALSE,TRUE),OR(exact(Metadata!H786,"not collected"),exact(Metadata!H786,"not provided"))),AND(IF(Metadata!H786="",FALSE,ISNUMBER(VALUE(Metadata!H786))),Metadata!H786&gt;0))</f>
        <v>0</v>
      </c>
      <c r="AJ786">
        <f>AND(IF(Metadata!I786="",FALSE,TRUE),exact(Metadata!I786,"years"))</f>
        <v>0</v>
      </c>
      <c r="AK786">
        <f>IF(Metadata!J786="",FALSE,TRUE)</f>
        <v>0</v>
      </c>
      <c r="AL786">
        <f>OR(AND(IF(Metadata!K786="",FALSE,TRUE),OR(exact(Metadata!K786,"not collected"),exact(Metadata!K786,"not provided"))),AND(IF(Metadata!K786="",FALSE,ISNUMBER(VALUE(Metadata!K786))),Metadata!K786&gt;0))</f>
        <v>0</v>
      </c>
      <c r="AM786">
        <f>AND(IF(Metadata!L786="",FALSE,TRUE),exact(Metadata!L786,"cm"))</f>
        <v>0</v>
      </c>
      <c r="AN786">
        <f>IF(Metadata!M786="",FALSE,TRUE)</f>
        <v>0</v>
      </c>
      <c r="AO786">
        <f>OR(AND(IF(Metadata!N786="",FALSE,TRUE),OR(exact(Metadata!N786,"not applicable"),exact(Metadata!N786,"not collected"),exact(Metadata!N786,"not provided"))),AND(IF(Metadata!N786="",FALSE,IF(ISERROR(INT(Metadata!N786)),FALSE,INT(Metadata!N786)=Metadata!N786)),Metadata!N786&gt;0))</f>
        <v>0</v>
      </c>
      <c r="AP786">
        <f>OR(AND(IF(Metadata!O786="",FALSE,TRUE),OR(exact(Metadata!O786,"not collected"),exact(Metadata!O786,"not provided"))),AND(IF(Metadata!O786="",FALSE,ISNUMBER(VALUE(Metadata!O786))),Metadata!O786&gt;0))</f>
        <v>0</v>
      </c>
      <c r="AQ786">
        <f>AND(IF(Metadata!P786="",FALSE,TRUE),exact(Metadata!P786,"kg"))</f>
        <v>0</v>
      </c>
      <c r="AR786">
        <f>OR(AND(IF(Metadata!Q786="",FALSE,TRUE),OR(exact(Metadata!Q786,"not applicable"),exact(Metadata!Q786,"not collected"),exact(Metadata!Q786,"not provided"),exact(Metadata!Q786,"restricted access"))),IF(Metadata!Q786="",FALSE,IF(ISERROR(INT(Metadata!Q786)),FALSE,INT(Metadata!Q786)=Metadata!Q786)))</f>
        <v>0</v>
      </c>
      <c r="AS786">
        <f>AND(IF(Metadata!R786="",FALSE,TRUE),exact(Metadata!R786,"Not applicable"))</f>
        <v>0</v>
      </c>
    </row>
    <row r="787" spans="1:45">
      <c r="A787" s="4">
        <f>IF(B787=" "," ",HYPERLINK(CONCATENATE("#metadata!",ADDRESS(INDEX($X$2:$X$1001,MATCH(ROWS($V$2:V787),$V$2:$V$1001,0),0),2)),INDEX($AA$2:$AA$1001,MATCH(ROWS($V$2:V787),$V$2:$V$1001,0),0)))</f>
        <v>0</v>
      </c>
      <c r="B787" s="5">
        <f>IF(OR(INDEX($W$2:$W$1001,MATCH(ROWS($V$2:V787),$V$2:$V$1001,0),1)&gt;=100000,INDEX($AC$1005:$AS$1005,1,MATCH(COLUMNS($AC$1006:AC1006),$AC$1006:$AS$1006,0))&gt;=100000), " ",IF(INDEX($AC$2:$AS$1001,MATCH(ROWS($V$2:V787),$V$2:$V$1001,0),MATCH(COLUMNS($AC$1006:AC1006),$AC$1006:$AS$1006,0)), HYPERLINK("#",""), HYPERLINK(CONCATENATE("#Metadata!", ADDRESS(INDEX($X$2:$X$1001,MATCH(ROWS($V$2:V787),$V$2:$V$1001,0),0), INDEX($AC$1004:$AS$1004,1,MATCH(COLUMNS($AC$1006:AC1006),$AC$1006:$AS$1006,0)))),"Fix")))</f>
        <v>0</v>
      </c>
      <c r="C787" s="5">
        <f>IF(OR(INDEX($W$2:$W$1001,MATCH(ROWS($V$2:V787),$V$2:$V$1001,0),1)&gt;=100000,INDEX($AC$1005:$AS$1005,1,MATCH(COLUMNS($AC$1006:AD1006),$AC$1006:$AS$1006,0))&gt;=100000), " ",IF(INDEX($AC$2:$AS$1001,MATCH(ROWS($V$2:V787),$V$2:$V$1001,0),MATCH(COLUMNS($AC$1006:AD1006),$AC$1006:$AS$1006,0)), HYPERLINK("#",""), HYPERLINK(CONCATENATE("#Metadata!", ADDRESS(INDEX($X$2:$X$1001,MATCH(ROWS($V$2:V787),$V$2:$V$1001,0),0), INDEX($AC$1004:$AS$1004,1,MATCH(COLUMNS($AC$1006:AD1006),$AC$1006:$AS$1006,0)))),"Fix")))</f>
        <v>0</v>
      </c>
      <c r="D787" s="5">
        <f>IF(OR(INDEX($W$2:$W$1001,MATCH(ROWS($V$2:V787),$V$2:$V$1001,0),1)&gt;=100000,INDEX($AC$1005:$AS$1005,1,MATCH(COLUMNS($AC$1006:AE1006),$AC$1006:$AS$1006,0))&gt;=100000), " ",IF(INDEX($AC$2:$AS$1001,MATCH(ROWS($V$2:V787),$V$2:$V$1001,0),MATCH(COLUMNS($AC$1006:AE1006),$AC$1006:$AS$1006,0)), HYPERLINK("#",""), HYPERLINK(CONCATENATE("#Metadata!", ADDRESS(INDEX($X$2:$X$1001,MATCH(ROWS($V$2:V787),$V$2:$V$1001,0),0), INDEX($AC$1004:$AS$1004,1,MATCH(COLUMNS($AC$1006:AE1006),$AC$1006:$AS$1006,0)))),"Fix")))</f>
        <v>0</v>
      </c>
      <c r="E787" s="5">
        <f>IF(OR(INDEX($W$2:$W$1001,MATCH(ROWS($V$2:V787),$V$2:$V$1001,0),1)&gt;=100000,INDEX($AC$1005:$AS$1005,1,MATCH(COLUMNS($AC$1006:AF1006),$AC$1006:$AS$1006,0))&gt;=100000), " ",IF(INDEX($AC$2:$AS$1001,MATCH(ROWS($V$2:V787),$V$2:$V$1001,0),MATCH(COLUMNS($AC$1006:AF1006),$AC$1006:$AS$1006,0)), HYPERLINK("#",""), HYPERLINK(CONCATENATE("#Metadata!", ADDRESS(INDEX($X$2:$X$1001,MATCH(ROWS($V$2:V787),$V$2:$V$1001,0),0), INDEX($AC$1004:$AS$1004,1,MATCH(COLUMNS($AC$1006:AF1006),$AC$1006:$AS$1006,0)))),"Fix")))</f>
        <v>0</v>
      </c>
      <c r="F787" s="5">
        <f>IF(OR(INDEX($W$2:$W$1001,MATCH(ROWS($V$2:V787),$V$2:$V$1001,0),1)&gt;=100000,INDEX($AC$1005:$AS$1005,1,MATCH(COLUMNS($AC$1006:AG1006),$AC$1006:$AS$1006,0))&gt;=100000), " ",IF(INDEX($AC$2:$AS$1001,MATCH(ROWS($V$2:V787),$V$2:$V$1001,0),MATCH(COLUMNS($AC$1006:AG1006),$AC$1006:$AS$1006,0)), HYPERLINK("#",""), HYPERLINK(CONCATENATE("#Metadata!", ADDRESS(INDEX($X$2:$X$1001,MATCH(ROWS($V$2:V787),$V$2:$V$1001,0),0), INDEX($AC$1004:$AS$1004,1,MATCH(COLUMNS($AC$1006:AG1006),$AC$1006:$AS$1006,0)))),"Fix")))</f>
        <v>0</v>
      </c>
      <c r="G787" s="5">
        <f>IF(OR(INDEX($W$2:$W$1001,MATCH(ROWS($V$2:V787),$V$2:$V$1001,0),1)&gt;=100000,INDEX($AC$1005:$AS$1005,1,MATCH(COLUMNS($AC$1006:AH1006),$AC$1006:$AS$1006,0))&gt;=100000), " ",IF(INDEX($AC$2:$AS$1001,MATCH(ROWS($V$2:V787),$V$2:$V$1001,0),MATCH(COLUMNS($AC$1006:AH1006),$AC$1006:$AS$1006,0)), HYPERLINK("#",""), HYPERLINK(CONCATENATE("#Metadata!", ADDRESS(INDEX($X$2:$X$1001,MATCH(ROWS($V$2:V787),$V$2:$V$1001,0),0), INDEX($AC$1004:$AS$1004,1,MATCH(COLUMNS($AC$1006:AH1006),$AC$1006:$AS$1006,0)))),"Fix")))</f>
        <v>0</v>
      </c>
      <c r="H787" s="5">
        <f>IF(OR(INDEX($W$2:$W$1001,MATCH(ROWS($V$2:V787),$V$2:$V$1001,0),1)&gt;=100000,INDEX($AC$1005:$AS$1005,1,MATCH(COLUMNS($AC$1006:AI1006),$AC$1006:$AS$1006,0))&gt;=100000), " ",IF(INDEX($AC$2:$AS$1001,MATCH(ROWS($V$2:V787),$V$2:$V$1001,0),MATCH(COLUMNS($AC$1006:AI1006),$AC$1006:$AS$1006,0)), HYPERLINK("#",""), HYPERLINK(CONCATENATE("#Metadata!", ADDRESS(INDEX($X$2:$X$1001,MATCH(ROWS($V$2:V787),$V$2:$V$1001,0),0), INDEX($AC$1004:$AS$1004,1,MATCH(COLUMNS($AC$1006:AI1006),$AC$1006:$AS$1006,0)))),"Fix")))</f>
        <v>0</v>
      </c>
      <c r="I787" s="5">
        <f>IF(OR(INDEX($W$2:$W$1001,MATCH(ROWS($V$2:V787),$V$2:$V$1001,0),1)&gt;=100000,INDEX($AC$1005:$AS$1005,1,MATCH(COLUMNS($AC$1006:AJ1006),$AC$1006:$AS$1006,0))&gt;=100000), " ",IF(INDEX($AC$2:$AS$1001,MATCH(ROWS($V$2:V787),$V$2:$V$1001,0),MATCH(COLUMNS($AC$1006:AJ1006),$AC$1006:$AS$1006,0)), HYPERLINK("#",""), HYPERLINK(CONCATENATE("#Metadata!", ADDRESS(INDEX($X$2:$X$1001,MATCH(ROWS($V$2:V787),$V$2:$V$1001,0),0), INDEX($AC$1004:$AS$1004,1,MATCH(COLUMNS($AC$1006:AJ1006),$AC$1006:$AS$1006,0)))),"Fix")))</f>
        <v>0</v>
      </c>
      <c r="J787" s="5">
        <f>IF(OR(INDEX($W$2:$W$1001,MATCH(ROWS($V$2:V787),$V$2:$V$1001,0),1)&gt;=100000,INDEX($AC$1005:$AS$1005,1,MATCH(COLUMNS($AC$1006:AK1006),$AC$1006:$AS$1006,0))&gt;=100000), " ",IF(INDEX($AC$2:$AS$1001,MATCH(ROWS($V$2:V787),$V$2:$V$1001,0),MATCH(COLUMNS($AC$1006:AK1006),$AC$1006:$AS$1006,0)), HYPERLINK("#",""), HYPERLINK(CONCATENATE("#Metadata!", ADDRESS(INDEX($X$2:$X$1001,MATCH(ROWS($V$2:V787),$V$2:$V$1001,0),0), INDEX($AC$1004:$AS$1004,1,MATCH(COLUMNS($AC$1006:AK1006),$AC$1006:$AS$1006,0)))),"Fix")))</f>
        <v>0</v>
      </c>
      <c r="K787" s="5">
        <f>IF(OR(INDEX($W$2:$W$1001,MATCH(ROWS($V$2:V787),$V$2:$V$1001,0),1)&gt;=100000,INDEX($AC$1005:$AS$1005,1,MATCH(COLUMNS($AC$1006:AL1006),$AC$1006:$AS$1006,0))&gt;=100000), " ",IF(INDEX($AC$2:$AS$1001,MATCH(ROWS($V$2:V787),$V$2:$V$1001,0),MATCH(COLUMNS($AC$1006:AL1006),$AC$1006:$AS$1006,0)), HYPERLINK("#",""), HYPERLINK(CONCATENATE("#Metadata!", ADDRESS(INDEX($X$2:$X$1001,MATCH(ROWS($V$2:V787),$V$2:$V$1001,0),0), INDEX($AC$1004:$AS$1004,1,MATCH(COLUMNS($AC$1006:AL1006),$AC$1006:$AS$1006,0)))),"Fix")))</f>
        <v>0</v>
      </c>
      <c r="L787" s="5">
        <f>IF(OR(INDEX($W$2:$W$1001,MATCH(ROWS($V$2:V787),$V$2:$V$1001,0),1)&gt;=100000,INDEX($AC$1005:$AS$1005,1,MATCH(COLUMNS($AC$1006:AM1006),$AC$1006:$AS$1006,0))&gt;=100000), " ",IF(INDEX($AC$2:$AS$1001,MATCH(ROWS($V$2:V787),$V$2:$V$1001,0),MATCH(COLUMNS($AC$1006:AM1006),$AC$1006:$AS$1006,0)), HYPERLINK("#",""), HYPERLINK(CONCATENATE("#Metadata!", ADDRESS(INDEX($X$2:$X$1001,MATCH(ROWS($V$2:V787),$V$2:$V$1001,0),0), INDEX($AC$1004:$AS$1004,1,MATCH(COLUMNS($AC$1006:AM1006),$AC$1006:$AS$1006,0)))),"Fix")))</f>
        <v>0</v>
      </c>
      <c r="M787" s="5">
        <f>IF(OR(INDEX($W$2:$W$1001,MATCH(ROWS($V$2:V787),$V$2:$V$1001,0),1)&gt;=100000,INDEX($AC$1005:$AS$1005,1,MATCH(COLUMNS($AC$1006:AN1006),$AC$1006:$AS$1006,0))&gt;=100000), " ",IF(INDEX($AC$2:$AS$1001,MATCH(ROWS($V$2:V787),$V$2:$V$1001,0),MATCH(COLUMNS($AC$1006:AN1006),$AC$1006:$AS$1006,0)), HYPERLINK("#",""), HYPERLINK(CONCATENATE("#Metadata!", ADDRESS(INDEX($X$2:$X$1001,MATCH(ROWS($V$2:V787),$V$2:$V$1001,0),0), INDEX($AC$1004:$AS$1004,1,MATCH(COLUMNS($AC$1006:AN1006),$AC$1006:$AS$1006,0)))),"Fix")))</f>
        <v>0</v>
      </c>
      <c r="N787" s="5">
        <f>IF(OR(INDEX($W$2:$W$1001,MATCH(ROWS($V$2:V787),$V$2:$V$1001,0),1)&gt;=100000,INDEX($AC$1005:$AS$1005,1,MATCH(COLUMNS($AC$1006:AO1006),$AC$1006:$AS$1006,0))&gt;=100000), " ",IF(INDEX($AC$2:$AS$1001,MATCH(ROWS($V$2:V787),$V$2:$V$1001,0),MATCH(COLUMNS($AC$1006:AO1006),$AC$1006:$AS$1006,0)), HYPERLINK("#",""), HYPERLINK(CONCATENATE("#Metadata!", ADDRESS(INDEX($X$2:$X$1001,MATCH(ROWS($V$2:V787),$V$2:$V$1001,0),0), INDEX($AC$1004:$AS$1004,1,MATCH(COLUMNS($AC$1006:AO1006),$AC$1006:$AS$1006,0)))),"Fix")))</f>
        <v>0</v>
      </c>
      <c r="O787" s="5">
        <f>IF(OR(INDEX($W$2:$W$1001,MATCH(ROWS($V$2:V787),$V$2:$V$1001,0),1)&gt;=100000,INDEX($AC$1005:$AS$1005,1,MATCH(COLUMNS($AC$1006:AP1006),$AC$1006:$AS$1006,0))&gt;=100000), " ",IF(INDEX($AC$2:$AS$1001,MATCH(ROWS($V$2:V787),$V$2:$V$1001,0),MATCH(COLUMNS($AC$1006:AP1006),$AC$1006:$AS$1006,0)), HYPERLINK("#",""), HYPERLINK(CONCATENATE("#Metadata!", ADDRESS(INDEX($X$2:$X$1001,MATCH(ROWS($V$2:V787),$V$2:$V$1001,0),0), INDEX($AC$1004:$AS$1004,1,MATCH(COLUMNS($AC$1006:AP1006),$AC$1006:$AS$1006,0)))),"Fix")))</f>
        <v>0</v>
      </c>
      <c r="P787" s="5">
        <f>IF(OR(INDEX($W$2:$W$1001,MATCH(ROWS($V$2:V787),$V$2:$V$1001,0),1)&gt;=100000,INDEX($AC$1005:$AS$1005,1,MATCH(COLUMNS($AC$1006:AQ1006),$AC$1006:$AS$1006,0))&gt;=100000), " ",IF(INDEX($AC$2:$AS$1001,MATCH(ROWS($V$2:V787),$V$2:$V$1001,0),MATCH(COLUMNS($AC$1006:AQ1006),$AC$1006:$AS$1006,0)), HYPERLINK("#",""), HYPERLINK(CONCATENATE("#Metadata!", ADDRESS(INDEX($X$2:$X$1001,MATCH(ROWS($V$2:V787),$V$2:$V$1001,0),0), INDEX($AC$1004:$AS$1004,1,MATCH(COLUMNS($AC$1006:AQ1006),$AC$1006:$AS$1006,0)))),"Fix")))</f>
        <v>0</v>
      </c>
      <c r="Q787" s="5">
        <f>IF(OR(INDEX($W$2:$W$1001,MATCH(ROWS($V$2:V787),$V$2:$V$1001,0),1)&gt;=100000,INDEX($AC$1005:$AS$1005,1,MATCH(COLUMNS($AC$1006:AR1006),$AC$1006:$AS$1006,0))&gt;=100000), " ",IF(INDEX($AC$2:$AS$1001,MATCH(ROWS($V$2:V787),$V$2:$V$1001,0),MATCH(COLUMNS($AC$1006:AR1006),$AC$1006:$AS$1006,0)), HYPERLINK("#",""), HYPERLINK(CONCATENATE("#Metadata!", ADDRESS(INDEX($X$2:$X$1001,MATCH(ROWS($V$2:V787),$V$2:$V$1001,0),0), INDEX($AC$1004:$AS$1004,1,MATCH(COLUMNS($AC$1006:AR1006),$AC$1006:$AS$1006,0)))),"Fix")))</f>
        <v>0</v>
      </c>
      <c r="R787" s="5">
        <f>IF(OR(INDEX($W$2:$W$1001,MATCH(ROWS($V$2:V787),$V$2:$V$1001,0),1)&gt;=100000,INDEX($AC$1005:$AS$1005,1,MATCH(COLUMNS($AC$1006:AS1006),$AC$1006:$AS$1006,0))&gt;=100000), " ",IF(INDEX($AC$2:$AS$1001,MATCH(ROWS($V$2:V787),$V$2:$V$1001,0),MATCH(COLUMNS($AC$1006:AS1006),$AC$1006:$AS$1006,0)), HYPERLINK("#",""), HYPERLINK(CONCATENATE("#Metadata!", ADDRESS(INDEX($X$2:$X$1001,MATCH(ROWS($V$2:V787),$V$2:$V$1001,0),0), INDEX($AC$1004:$AS$1004,1,MATCH(COLUMNS($AC$1006:AS1006),$AC$1006:$AS$1006,0)))),"Fix")))</f>
        <v>0</v>
      </c>
      <c r="V787">
        <v>0</v>
      </c>
      <c r="W787">
        <v>0</v>
      </c>
      <c r="X787">
        <v>0</v>
      </c>
      <c r="Y787">
        <f>IF(Z787,TRUE,AND(AC787:AS787))</f>
        <v>0</v>
      </c>
      <c r="Z787">
        <f>COUNTBLANK(Metadata!B787:R787)=COLUMNS(Metadata!B787:R787)</f>
        <v>0</v>
      </c>
      <c r="AA787">
        <v>0</v>
      </c>
      <c r="AC787">
        <f>AND(IF(Metadata!B787="",FALSE,TRUE),COUNTIF(Metadata!B:B, Metadata!B787) = 1,NOT(ISERROR(SUMPRODUCT(SEARCH(MID(Metadata!B787,ROW(INDIRECT("1:"&amp;LEN(Metadata!B787))), 1),"0123456789abcdefghijklmnopqrstuvwxyzABCDEFGHIJKLMNOPQRSTUVWXYZ.")))))</f>
        <v>0</v>
      </c>
      <c r="AD787">
        <f>AND(IF(Metadata!C787="",FALSE,TRUE),exact(Metadata!C787,"Host-associated"))</f>
        <v>0</v>
      </c>
      <c r="AE787">
        <f>AND(IF(Metadata!D787="",FALSE,TRUE),OR(exact(Metadata!D787,"Animal"),exact(Metadata!D787,"Fungus"),exact(Metadata!D787,"Plant")))</f>
        <v>0</v>
      </c>
      <c r="AF787">
        <f>AND(IF(Metadata!E787="",FALSE,TRUE),OR(exact(Metadata!E787,"Plant secretion"),exact(Metadata!E787,"Plant rhizosphere"),exact(Metadata!E787,"Plant surface"),exact(Metadata!E787,"Plant corpus"),exact(Metadata!E787,"Fungus surface"),exact(Metadata!E787,"Fungus corpus"),exact(Metadata!E787,"Animal surface"),exact(Metadata!E787,"Animal proximal gut"),exact(Metadata!E787,"Animal corpus"),exact(Metadata!E787,"Animal distal gut"),exact(Metadata!E787,"Animal secretion")))</f>
        <v>0</v>
      </c>
      <c r="AG787">
        <f>OR(AND(IF(Metadata!F787="",FALSE,TRUE),OR(exact(Metadata!F787,"not collected"),exact(Metadata!F787,"not provided"),exact(Metadata!F787,"restricted access"))),AND(IF(Metadata!F787="",FALSE,TRUE),OR(exact(Metadata!F787,"organism-associated habitat"),exact(Metadata!F787,"plant-associated habitat"),exact(Metadata!F787,"animal-associated habitat"),exact(Metadata!F787,"insecta-associated habitat"),exact(Metadata!F787,"mammalia-associated habitat"),exact(Metadata!F787,"human-associated habitat"),exact(Metadata!F787,"livestock-associated habitat"))))</f>
        <v>0</v>
      </c>
      <c r="AH787">
        <f>AND(IF(Metadata!G787="",FALSE,TRUE),exact(Metadata!G787,"host-associated"))</f>
        <v>0</v>
      </c>
      <c r="AI787">
        <f>OR(AND(IF(Metadata!H787="",FALSE,TRUE),OR(exact(Metadata!H787,"not collected"),exact(Metadata!H787,"not provided"))),AND(IF(Metadata!H787="",FALSE,ISNUMBER(VALUE(Metadata!H787))),Metadata!H787&gt;0))</f>
        <v>0</v>
      </c>
      <c r="AJ787">
        <f>AND(IF(Metadata!I787="",FALSE,TRUE),exact(Metadata!I787,"years"))</f>
        <v>0</v>
      </c>
      <c r="AK787">
        <f>IF(Metadata!J787="",FALSE,TRUE)</f>
        <v>0</v>
      </c>
      <c r="AL787">
        <f>OR(AND(IF(Metadata!K787="",FALSE,TRUE),OR(exact(Metadata!K787,"not collected"),exact(Metadata!K787,"not provided"))),AND(IF(Metadata!K787="",FALSE,ISNUMBER(VALUE(Metadata!K787))),Metadata!K787&gt;0))</f>
        <v>0</v>
      </c>
      <c r="AM787">
        <f>AND(IF(Metadata!L787="",FALSE,TRUE),exact(Metadata!L787,"cm"))</f>
        <v>0</v>
      </c>
      <c r="AN787">
        <f>IF(Metadata!M787="",FALSE,TRUE)</f>
        <v>0</v>
      </c>
      <c r="AO787">
        <f>OR(AND(IF(Metadata!N787="",FALSE,TRUE),OR(exact(Metadata!N787,"not applicable"),exact(Metadata!N787,"not collected"),exact(Metadata!N787,"not provided"))),AND(IF(Metadata!N787="",FALSE,IF(ISERROR(INT(Metadata!N787)),FALSE,INT(Metadata!N787)=Metadata!N787)),Metadata!N787&gt;0))</f>
        <v>0</v>
      </c>
      <c r="AP787">
        <f>OR(AND(IF(Metadata!O787="",FALSE,TRUE),OR(exact(Metadata!O787,"not collected"),exact(Metadata!O787,"not provided"))),AND(IF(Metadata!O787="",FALSE,ISNUMBER(VALUE(Metadata!O787))),Metadata!O787&gt;0))</f>
        <v>0</v>
      </c>
      <c r="AQ787">
        <f>AND(IF(Metadata!P787="",FALSE,TRUE),exact(Metadata!P787,"kg"))</f>
        <v>0</v>
      </c>
      <c r="AR787">
        <f>OR(AND(IF(Metadata!Q787="",FALSE,TRUE),OR(exact(Metadata!Q787,"not applicable"),exact(Metadata!Q787,"not collected"),exact(Metadata!Q787,"not provided"),exact(Metadata!Q787,"restricted access"))),IF(Metadata!Q787="",FALSE,IF(ISERROR(INT(Metadata!Q787)),FALSE,INT(Metadata!Q787)=Metadata!Q787)))</f>
        <v>0</v>
      </c>
      <c r="AS787">
        <f>AND(IF(Metadata!R787="",FALSE,TRUE),exact(Metadata!R787,"Not applicable"))</f>
        <v>0</v>
      </c>
    </row>
    <row r="788" spans="1:45">
      <c r="A788" s="4">
        <f>IF(B788=" "," ",HYPERLINK(CONCATENATE("#metadata!",ADDRESS(INDEX($X$2:$X$1001,MATCH(ROWS($V$2:V788),$V$2:$V$1001,0),0),2)),INDEX($AA$2:$AA$1001,MATCH(ROWS($V$2:V788),$V$2:$V$1001,0),0)))</f>
        <v>0</v>
      </c>
      <c r="B788" s="5">
        <f>IF(OR(INDEX($W$2:$W$1001,MATCH(ROWS($V$2:V788),$V$2:$V$1001,0),1)&gt;=100000,INDEX($AC$1005:$AS$1005,1,MATCH(COLUMNS($AC$1006:AC1006),$AC$1006:$AS$1006,0))&gt;=100000), " ",IF(INDEX($AC$2:$AS$1001,MATCH(ROWS($V$2:V788),$V$2:$V$1001,0),MATCH(COLUMNS($AC$1006:AC1006),$AC$1006:$AS$1006,0)), HYPERLINK("#",""), HYPERLINK(CONCATENATE("#Metadata!", ADDRESS(INDEX($X$2:$X$1001,MATCH(ROWS($V$2:V788),$V$2:$V$1001,0),0), INDEX($AC$1004:$AS$1004,1,MATCH(COLUMNS($AC$1006:AC1006),$AC$1006:$AS$1006,0)))),"Fix")))</f>
        <v>0</v>
      </c>
      <c r="C788" s="5">
        <f>IF(OR(INDEX($W$2:$W$1001,MATCH(ROWS($V$2:V788),$V$2:$V$1001,0),1)&gt;=100000,INDEX($AC$1005:$AS$1005,1,MATCH(COLUMNS($AC$1006:AD1006),$AC$1006:$AS$1006,0))&gt;=100000), " ",IF(INDEX($AC$2:$AS$1001,MATCH(ROWS($V$2:V788),$V$2:$V$1001,0),MATCH(COLUMNS($AC$1006:AD1006),$AC$1006:$AS$1006,0)), HYPERLINK("#",""), HYPERLINK(CONCATENATE("#Metadata!", ADDRESS(INDEX($X$2:$X$1001,MATCH(ROWS($V$2:V788),$V$2:$V$1001,0),0), INDEX($AC$1004:$AS$1004,1,MATCH(COLUMNS($AC$1006:AD1006),$AC$1006:$AS$1006,0)))),"Fix")))</f>
        <v>0</v>
      </c>
      <c r="D788" s="5">
        <f>IF(OR(INDEX($W$2:$W$1001,MATCH(ROWS($V$2:V788),$V$2:$V$1001,0),1)&gt;=100000,INDEX($AC$1005:$AS$1005,1,MATCH(COLUMNS($AC$1006:AE1006),$AC$1006:$AS$1006,0))&gt;=100000), " ",IF(INDEX($AC$2:$AS$1001,MATCH(ROWS($V$2:V788),$V$2:$V$1001,0),MATCH(COLUMNS($AC$1006:AE1006),$AC$1006:$AS$1006,0)), HYPERLINK("#",""), HYPERLINK(CONCATENATE("#Metadata!", ADDRESS(INDEX($X$2:$X$1001,MATCH(ROWS($V$2:V788),$V$2:$V$1001,0),0), INDEX($AC$1004:$AS$1004,1,MATCH(COLUMNS($AC$1006:AE1006),$AC$1006:$AS$1006,0)))),"Fix")))</f>
        <v>0</v>
      </c>
      <c r="E788" s="5">
        <f>IF(OR(INDEX($W$2:$W$1001,MATCH(ROWS($V$2:V788),$V$2:$V$1001,0),1)&gt;=100000,INDEX($AC$1005:$AS$1005,1,MATCH(COLUMNS($AC$1006:AF1006),$AC$1006:$AS$1006,0))&gt;=100000), " ",IF(INDEX($AC$2:$AS$1001,MATCH(ROWS($V$2:V788),$V$2:$V$1001,0),MATCH(COLUMNS($AC$1006:AF1006),$AC$1006:$AS$1006,0)), HYPERLINK("#",""), HYPERLINK(CONCATENATE("#Metadata!", ADDRESS(INDEX($X$2:$X$1001,MATCH(ROWS($V$2:V788),$V$2:$V$1001,0),0), INDEX($AC$1004:$AS$1004,1,MATCH(COLUMNS($AC$1006:AF1006),$AC$1006:$AS$1006,0)))),"Fix")))</f>
        <v>0</v>
      </c>
      <c r="F788" s="5">
        <f>IF(OR(INDEX($W$2:$W$1001,MATCH(ROWS($V$2:V788),$V$2:$V$1001,0),1)&gt;=100000,INDEX($AC$1005:$AS$1005,1,MATCH(COLUMNS($AC$1006:AG1006),$AC$1006:$AS$1006,0))&gt;=100000), " ",IF(INDEX($AC$2:$AS$1001,MATCH(ROWS($V$2:V788),$V$2:$V$1001,0),MATCH(COLUMNS($AC$1006:AG1006),$AC$1006:$AS$1006,0)), HYPERLINK("#",""), HYPERLINK(CONCATENATE("#Metadata!", ADDRESS(INDEX($X$2:$X$1001,MATCH(ROWS($V$2:V788),$V$2:$V$1001,0),0), INDEX($AC$1004:$AS$1004,1,MATCH(COLUMNS($AC$1006:AG1006),$AC$1006:$AS$1006,0)))),"Fix")))</f>
        <v>0</v>
      </c>
      <c r="G788" s="5">
        <f>IF(OR(INDEX($W$2:$W$1001,MATCH(ROWS($V$2:V788),$V$2:$V$1001,0),1)&gt;=100000,INDEX($AC$1005:$AS$1005,1,MATCH(COLUMNS($AC$1006:AH1006),$AC$1006:$AS$1006,0))&gt;=100000), " ",IF(INDEX($AC$2:$AS$1001,MATCH(ROWS($V$2:V788),$V$2:$V$1001,0),MATCH(COLUMNS($AC$1006:AH1006),$AC$1006:$AS$1006,0)), HYPERLINK("#",""), HYPERLINK(CONCATENATE("#Metadata!", ADDRESS(INDEX($X$2:$X$1001,MATCH(ROWS($V$2:V788),$V$2:$V$1001,0),0), INDEX($AC$1004:$AS$1004,1,MATCH(COLUMNS($AC$1006:AH1006),$AC$1006:$AS$1006,0)))),"Fix")))</f>
        <v>0</v>
      </c>
      <c r="H788" s="5">
        <f>IF(OR(INDEX($W$2:$W$1001,MATCH(ROWS($V$2:V788),$V$2:$V$1001,0),1)&gt;=100000,INDEX($AC$1005:$AS$1005,1,MATCH(COLUMNS($AC$1006:AI1006),$AC$1006:$AS$1006,0))&gt;=100000), " ",IF(INDEX($AC$2:$AS$1001,MATCH(ROWS($V$2:V788),$V$2:$V$1001,0),MATCH(COLUMNS($AC$1006:AI1006),$AC$1006:$AS$1006,0)), HYPERLINK("#",""), HYPERLINK(CONCATENATE("#Metadata!", ADDRESS(INDEX($X$2:$X$1001,MATCH(ROWS($V$2:V788),$V$2:$V$1001,0),0), INDEX($AC$1004:$AS$1004,1,MATCH(COLUMNS($AC$1006:AI1006),$AC$1006:$AS$1006,0)))),"Fix")))</f>
        <v>0</v>
      </c>
      <c r="I788" s="5">
        <f>IF(OR(INDEX($W$2:$W$1001,MATCH(ROWS($V$2:V788),$V$2:$V$1001,0),1)&gt;=100000,INDEX($AC$1005:$AS$1005,1,MATCH(COLUMNS($AC$1006:AJ1006),$AC$1006:$AS$1006,0))&gt;=100000), " ",IF(INDEX($AC$2:$AS$1001,MATCH(ROWS($V$2:V788),$V$2:$V$1001,0),MATCH(COLUMNS($AC$1006:AJ1006),$AC$1006:$AS$1006,0)), HYPERLINK("#",""), HYPERLINK(CONCATENATE("#Metadata!", ADDRESS(INDEX($X$2:$X$1001,MATCH(ROWS($V$2:V788),$V$2:$V$1001,0),0), INDEX($AC$1004:$AS$1004,1,MATCH(COLUMNS($AC$1006:AJ1006),$AC$1006:$AS$1006,0)))),"Fix")))</f>
        <v>0</v>
      </c>
      <c r="J788" s="5">
        <f>IF(OR(INDEX($W$2:$W$1001,MATCH(ROWS($V$2:V788),$V$2:$V$1001,0),1)&gt;=100000,INDEX($AC$1005:$AS$1005,1,MATCH(COLUMNS($AC$1006:AK1006),$AC$1006:$AS$1006,0))&gt;=100000), " ",IF(INDEX($AC$2:$AS$1001,MATCH(ROWS($V$2:V788),$V$2:$V$1001,0),MATCH(COLUMNS($AC$1006:AK1006),$AC$1006:$AS$1006,0)), HYPERLINK("#",""), HYPERLINK(CONCATENATE("#Metadata!", ADDRESS(INDEX($X$2:$X$1001,MATCH(ROWS($V$2:V788),$V$2:$V$1001,0),0), INDEX($AC$1004:$AS$1004,1,MATCH(COLUMNS($AC$1006:AK1006),$AC$1006:$AS$1006,0)))),"Fix")))</f>
        <v>0</v>
      </c>
      <c r="K788" s="5">
        <f>IF(OR(INDEX($W$2:$W$1001,MATCH(ROWS($V$2:V788),$V$2:$V$1001,0),1)&gt;=100000,INDEX($AC$1005:$AS$1005,1,MATCH(COLUMNS($AC$1006:AL1006),$AC$1006:$AS$1006,0))&gt;=100000), " ",IF(INDEX($AC$2:$AS$1001,MATCH(ROWS($V$2:V788),$V$2:$V$1001,0),MATCH(COLUMNS($AC$1006:AL1006),$AC$1006:$AS$1006,0)), HYPERLINK("#",""), HYPERLINK(CONCATENATE("#Metadata!", ADDRESS(INDEX($X$2:$X$1001,MATCH(ROWS($V$2:V788),$V$2:$V$1001,0),0), INDEX($AC$1004:$AS$1004,1,MATCH(COLUMNS($AC$1006:AL1006),$AC$1006:$AS$1006,0)))),"Fix")))</f>
        <v>0</v>
      </c>
      <c r="L788" s="5">
        <f>IF(OR(INDEX($W$2:$W$1001,MATCH(ROWS($V$2:V788),$V$2:$V$1001,0),1)&gt;=100000,INDEX($AC$1005:$AS$1005,1,MATCH(COLUMNS($AC$1006:AM1006),$AC$1006:$AS$1006,0))&gt;=100000), " ",IF(INDEX($AC$2:$AS$1001,MATCH(ROWS($V$2:V788),$V$2:$V$1001,0),MATCH(COLUMNS($AC$1006:AM1006),$AC$1006:$AS$1006,0)), HYPERLINK("#",""), HYPERLINK(CONCATENATE("#Metadata!", ADDRESS(INDEX($X$2:$X$1001,MATCH(ROWS($V$2:V788),$V$2:$V$1001,0),0), INDEX($AC$1004:$AS$1004,1,MATCH(COLUMNS($AC$1006:AM1006),$AC$1006:$AS$1006,0)))),"Fix")))</f>
        <v>0</v>
      </c>
      <c r="M788" s="5">
        <f>IF(OR(INDEX($W$2:$W$1001,MATCH(ROWS($V$2:V788),$V$2:$V$1001,0),1)&gt;=100000,INDEX($AC$1005:$AS$1005,1,MATCH(COLUMNS($AC$1006:AN1006),$AC$1006:$AS$1006,0))&gt;=100000), " ",IF(INDEX($AC$2:$AS$1001,MATCH(ROWS($V$2:V788),$V$2:$V$1001,0),MATCH(COLUMNS($AC$1006:AN1006),$AC$1006:$AS$1006,0)), HYPERLINK("#",""), HYPERLINK(CONCATENATE("#Metadata!", ADDRESS(INDEX($X$2:$X$1001,MATCH(ROWS($V$2:V788),$V$2:$V$1001,0),0), INDEX($AC$1004:$AS$1004,1,MATCH(COLUMNS($AC$1006:AN1006),$AC$1006:$AS$1006,0)))),"Fix")))</f>
        <v>0</v>
      </c>
      <c r="N788" s="5">
        <f>IF(OR(INDEX($W$2:$W$1001,MATCH(ROWS($V$2:V788),$V$2:$V$1001,0),1)&gt;=100000,INDEX($AC$1005:$AS$1005,1,MATCH(COLUMNS($AC$1006:AO1006),$AC$1006:$AS$1006,0))&gt;=100000), " ",IF(INDEX($AC$2:$AS$1001,MATCH(ROWS($V$2:V788),$V$2:$V$1001,0),MATCH(COLUMNS($AC$1006:AO1006),$AC$1006:$AS$1006,0)), HYPERLINK("#",""), HYPERLINK(CONCATENATE("#Metadata!", ADDRESS(INDEX($X$2:$X$1001,MATCH(ROWS($V$2:V788),$V$2:$V$1001,0),0), INDEX($AC$1004:$AS$1004,1,MATCH(COLUMNS($AC$1006:AO1006),$AC$1006:$AS$1006,0)))),"Fix")))</f>
        <v>0</v>
      </c>
      <c r="O788" s="5">
        <f>IF(OR(INDEX($W$2:$W$1001,MATCH(ROWS($V$2:V788),$V$2:$V$1001,0),1)&gt;=100000,INDEX($AC$1005:$AS$1005,1,MATCH(COLUMNS($AC$1006:AP1006),$AC$1006:$AS$1006,0))&gt;=100000), " ",IF(INDEX($AC$2:$AS$1001,MATCH(ROWS($V$2:V788),$V$2:$V$1001,0),MATCH(COLUMNS($AC$1006:AP1006),$AC$1006:$AS$1006,0)), HYPERLINK("#",""), HYPERLINK(CONCATENATE("#Metadata!", ADDRESS(INDEX($X$2:$X$1001,MATCH(ROWS($V$2:V788),$V$2:$V$1001,0),0), INDEX($AC$1004:$AS$1004,1,MATCH(COLUMNS($AC$1006:AP1006),$AC$1006:$AS$1006,0)))),"Fix")))</f>
        <v>0</v>
      </c>
      <c r="P788" s="5">
        <f>IF(OR(INDEX($W$2:$W$1001,MATCH(ROWS($V$2:V788),$V$2:$V$1001,0),1)&gt;=100000,INDEX($AC$1005:$AS$1005,1,MATCH(COLUMNS($AC$1006:AQ1006),$AC$1006:$AS$1006,0))&gt;=100000), " ",IF(INDEX($AC$2:$AS$1001,MATCH(ROWS($V$2:V788),$V$2:$V$1001,0),MATCH(COLUMNS($AC$1006:AQ1006),$AC$1006:$AS$1006,0)), HYPERLINK("#",""), HYPERLINK(CONCATENATE("#Metadata!", ADDRESS(INDEX($X$2:$X$1001,MATCH(ROWS($V$2:V788),$V$2:$V$1001,0),0), INDEX($AC$1004:$AS$1004,1,MATCH(COLUMNS($AC$1006:AQ1006),$AC$1006:$AS$1006,0)))),"Fix")))</f>
        <v>0</v>
      </c>
      <c r="Q788" s="5">
        <f>IF(OR(INDEX($W$2:$W$1001,MATCH(ROWS($V$2:V788),$V$2:$V$1001,0),1)&gt;=100000,INDEX($AC$1005:$AS$1005,1,MATCH(COLUMNS($AC$1006:AR1006),$AC$1006:$AS$1006,0))&gt;=100000), " ",IF(INDEX($AC$2:$AS$1001,MATCH(ROWS($V$2:V788),$V$2:$V$1001,0),MATCH(COLUMNS($AC$1006:AR1006),$AC$1006:$AS$1006,0)), HYPERLINK("#",""), HYPERLINK(CONCATENATE("#Metadata!", ADDRESS(INDEX($X$2:$X$1001,MATCH(ROWS($V$2:V788),$V$2:$V$1001,0),0), INDEX($AC$1004:$AS$1004,1,MATCH(COLUMNS($AC$1006:AR1006),$AC$1006:$AS$1006,0)))),"Fix")))</f>
        <v>0</v>
      </c>
      <c r="R788" s="5">
        <f>IF(OR(INDEX($W$2:$W$1001,MATCH(ROWS($V$2:V788),$V$2:$V$1001,0),1)&gt;=100000,INDEX($AC$1005:$AS$1005,1,MATCH(COLUMNS($AC$1006:AS1006),$AC$1006:$AS$1006,0))&gt;=100000), " ",IF(INDEX($AC$2:$AS$1001,MATCH(ROWS($V$2:V788),$V$2:$V$1001,0),MATCH(COLUMNS($AC$1006:AS1006),$AC$1006:$AS$1006,0)), HYPERLINK("#",""), HYPERLINK(CONCATENATE("#Metadata!", ADDRESS(INDEX($X$2:$X$1001,MATCH(ROWS($V$2:V788),$V$2:$V$1001,0),0), INDEX($AC$1004:$AS$1004,1,MATCH(COLUMNS($AC$1006:AS1006),$AC$1006:$AS$1006,0)))),"Fix")))</f>
        <v>0</v>
      </c>
      <c r="V788">
        <v>0</v>
      </c>
      <c r="W788">
        <v>0</v>
      </c>
      <c r="X788">
        <v>0</v>
      </c>
      <c r="Y788">
        <f>IF(Z788,TRUE,AND(AC788:AS788))</f>
        <v>0</v>
      </c>
      <c r="Z788">
        <f>COUNTBLANK(Metadata!B788:R788)=COLUMNS(Metadata!B788:R788)</f>
        <v>0</v>
      </c>
      <c r="AA788">
        <v>0</v>
      </c>
      <c r="AC788">
        <f>AND(IF(Metadata!B788="",FALSE,TRUE),COUNTIF(Metadata!B:B, Metadata!B788) = 1,NOT(ISERROR(SUMPRODUCT(SEARCH(MID(Metadata!B788,ROW(INDIRECT("1:"&amp;LEN(Metadata!B788))), 1),"0123456789abcdefghijklmnopqrstuvwxyzABCDEFGHIJKLMNOPQRSTUVWXYZ.")))))</f>
        <v>0</v>
      </c>
      <c r="AD788">
        <f>AND(IF(Metadata!C788="",FALSE,TRUE),exact(Metadata!C788,"Host-associated"))</f>
        <v>0</v>
      </c>
      <c r="AE788">
        <f>AND(IF(Metadata!D788="",FALSE,TRUE),OR(exact(Metadata!D788,"Animal"),exact(Metadata!D788,"Fungus"),exact(Metadata!D788,"Plant")))</f>
        <v>0</v>
      </c>
      <c r="AF788">
        <f>AND(IF(Metadata!E788="",FALSE,TRUE),OR(exact(Metadata!E788,"Plant secretion"),exact(Metadata!E788,"Plant rhizosphere"),exact(Metadata!E788,"Plant surface"),exact(Metadata!E788,"Plant corpus"),exact(Metadata!E788,"Fungus surface"),exact(Metadata!E788,"Fungus corpus"),exact(Metadata!E788,"Animal surface"),exact(Metadata!E788,"Animal proximal gut"),exact(Metadata!E788,"Animal corpus"),exact(Metadata!E788,"Animal distal gut"),exact(Metadata!E788,"Animal secretion")))</f>
        <v>0</v>
      </c>
      <c r="AG788">
        <f>OR(AND(IF(Metadata!F788="",FALSE,TRUE),OR(exact(Metadata!F788,"not collected"),exact(Metadata!F788,"not provided"),exact(Metadata!F788,"restricted access"))),AND(IF(Metadata!F788="",FALSE,TRUE),OR(exact(Metadata!F788,"organism-associated habitat"),exact(Metadata!F788,"plant-associated habitat"),exact(Metadata!F788,"animal-associated habitat"),exact(Metadata!F788,"insecta-associated habitat"),exact(Metadata!F788,"mammalia-associated habitat"),exact(Metadata!F788,"human-associated habitat"),exact(Metadata!F788,"livestock-associated habitat"))))</f>
        <v>0</v>
      </c>
      <c r="AH788">
        <f>AND(IF(Metadata!G788="",FALSE,TRUE),exact(Metadata!G788,"host-associated"))</f>
        <v>0</v>
      </c>
      <c r="AI788">
        <f>OR(AND(IF(Metadata!H788="",FALSE,TRUE),OR(exact(Metadata!H788,"not collected"),exact(Metadata!H788,"not provided"))),AND(IF(Metadata!H788="",FALSE,ISNUMBER(VALUE(Metadata!H788))),Metadata!H788&gt;0))</f>
        <v>0</v>
      </c>
      <c r="AJ788">
        <f>AND(IF(Metadata!I788="",FALSE,TRUE),exact(Metadata!I788,"years"))</f>
        <v>0</v>
      </c>
      <c r="AK788">
        <f>IF(Metadata!J788="",FALSE,TRUE)</f>
        <v>0</v>
      </c>
      <c r="AL788">
        <f>OR(AND(IF(Metadata!K788="",FALSE,TRUE),OR(exact(Metadata!K788,"not collected"),exact(Metadata!K788,"not provided"))),AND(IF(Metadata!K788="",FALSE,ISNUMBER(VALUE(Metadata!K788))),Metadata!K788&gt;0))</f>
        <v>0</v>
      </c>
      <c r="AM788">
        <f>AND(IF(Metadata!L788="",FALSE,TRUE),exact(Metadata!L788,"cm"))</f>
        <v>0</v>
      </c>
      <c r="AN788">
        <f>IF(Metadata!M788="",FALSE,TRUE)</f>
        <v>0</v>
      </c>
      <c r="AO788">
        <f>OR(AND(IF(Metadata!N788="",FALSE,TRUE),OR(exact(Metadata!N788,"not applicable"),exact(Metadata!N788,"not collected"),exact(Metadata!N788,"not provided"))),AND(IF(Metadata!N788="",FALSE,IF(ISERROR(INT(Metadata!N788)),FALSE,INT(Metadata!N788)=Metadata!N788)),Metadata!N788&gt;0))</f>
        <v>0</v>
      </c>
      <c r="AP788">
        <f>OR(AND(IF(Metadata!O788="",FALSE,TRUE),OR(exact(Metadata!O788,"not collected"),exact(Metadata!O788,"not provided"))),AND(IF(Metadata!O788="",FALSE,ISNUMBER(VALUE(Metadata!O788))),Metadata!O788&gt;0))</f>
        <v>0</v>
      </c>
      <c r="AQ788">
        <f>AND(IF(Metadata!P788="",FALSE,TRUE),exact(Metadata!P788,"kg"))</f>
        <v>0</v>
      </c>
      <c r="AR788">
        <f>OR(AND(IF(Metadata!Q788="",FALSE,TRUE),OR(exact(Metadata!Q788,"not applicable"),exact(Metadata!Q788,"not collected"),exact(Metadata!Q788,"not provided"),exact(Metadata!Q788,"restricted access"))),IF(Metadata!Q788="",FALSE,IF(ISERROR(INT(Metadata!Q788)),FALSE,INT(Metadata!Q788)=Metadata!Q788)))</f>
        <v>0</v>
      </c>
      <c r="AS788">
        <f>AND(IF(Metadata!R788="",FALSE,TRUE),exact(Metadata!R788,"Not applicable"))</f>
        <v>0</v>
      </c>
    </row>
    <row r="789" spans="1:45">
      <c r="A789" s="4">
        <f>IF(B789=" "," ",HYPERLINK(CONCATENATE("#metadata!",ADDRESS(INDEX($X$2:$X$1001,MATCH(ROWS($V$2:V789),$V$2:$V$1001,0),0),2)),INDEX($AA$2:$AA$1001,MATCH(ROWS($V$2:V789),$V$2:$V$1001,0),0)))</f>
        <v>0</v>
      </c>
      <c r="B789" s="5">
        <f>IF(OR(INDEX($W$2:$W$1001,MATCH(ROWS($V$2:V789),$V$2:$V$1001,0),1)&gt;=100000,INDEX($AC$1005:$AS$1005,1,MATCH(COLUMNS($AC$1006:AC1006),$AC$1006:$AS$1006,0))&gt;=100000), " ",IF(INDEX($AC$2:$AS$1001,MATCH(ROWS($V$2:V789),$V$2:$V$1001,0),MATCH(COLUMNS($AC$1006:AC1006),$AC$1006:$AS$1006,0)), HYPERLINK("#",""), HYPERLINK(CONCATENATE("#Metadata!", ADDRESS(INDEX($X$2:$X$1001,MATCH(ROWS($V$2:V789),$V$2:$V$1001,0),0), INDEX($AC$1004:$AS$1004,1,MATCH(COLUMNS($AC$1006:AC1006),$AC$1006:$AS$1006,0)))),"Fix")))</f>
        <v>0</v>
      </c>
      <c r="C789" s="5">
        <f>IF(OR(INDEX($W$2:$W$1001,MATCH(ROWS($V$2:V789),$V$2:$V$1001,0),1)&gt;=100000,INDEX($AC$1005:$AS$1005,1,MATCH(COLUMNS($AC$1006:AD1006),$AC$1006:$AS$1006,0))&gt;=100000), " ",IF(INDEX($AC$2:$AS$1001,MATCH(ROWS($V$2:V789),$V$2:$V$1001,0),MATCH(COLUMNS($AC$1006:AD1006),$AC$1006:$AS$1006,0)), HYPERLINK("#",""), HYPERLINK(CONCATENATE("#Metadata!", ADDRESS(INDEX($X$2:$X$1001,MATCH(ROWS($V$2:V789),$V$2:$V$1001,0),0), INDEX($AC$1004:$AS$1004,1,MATCH(COLUMNS($AC$1006:AD1006),$AC$1006:$AS$1006,0)))),"Fix")))</f>
        <v>0</v>
      </c>
      <c r="D789" s="5">
        <f>IF(OR(INDEX($W$2:$W$1001,MATCH(ROWS($V$2:V789),$V$2:$V$1001,0),1)&gt;=100000,INDEX($AC$1005:$AS$1005,1,MATCH(COLUMNS($AC$1006:AE1006),$AC$1006:$AS$1006,0))&gt;=100000), " ",IF(INDEX($AC$2:$AS$1001,MATCH(ROWS($V$2:V789),$V$2:$V$1001,0),MATCH(COLUMNS($AC$1006:AE1006),$AC$1006:$AS$1006,0)), HYPERLINK("#",""), HYPERLINK(CONCATENATE("#Metadata!", ADDRESS(INDEX($X$2:$X$1001,MATCH(ROWS($V$2:V789),$V$2:$V$1001,0),0), INDEX($AC$1004:$AS$1004,1,MATCH(COLUMNS($AC$1006:AE1006),$AC$1006:$AS$1006,0)))),"Fix")))</f>
        <v>0</v>
      </c>
      <c r="E789" s="5">
        <f>IF(OR(INDEX($W$2:$W$1001,MATCH(ROWS($V$2:V789),$V$2:$V$1001,0),1)&gt;=100000,INDEX($AC$1005:$AS$1005,1,MATCH(COLUMNS($AC$1006:AF1006),$AC$1006:$AS$1006,0))&gt;=100000), " ",IF(INDEX($AC$2:$AS$1001,MATCH(ROWS($V$2:V789),$V$2:$V$1001,0),MATCH(COLUMNS($AC$1006:AF1006),$AC$1006:$AS$1006,0)), HYPERLINK("#",""), HYPERLINK(CONCATENATE("#Metadata!", ADDRESS(INDEX($X$2:$X$1001,MATCH(ROWS($V$2:V789),$V$2:$V$1001,0),0), INDEX($AC$1004:$AS$1004,1,MATCH(COLUMNS($AC$1006:AF1006),$AC$1006:$AS$1006,0)))),"Fix")))</f>
        <v>0</v>
      </c>
      <c r="F789" s="5">
        <f>IF(OR(INDEX($W$2:$W$1001,MATCH(ROWS($V$2:V789),$V$2:$V$1001,0),1)&gt;=100000,INDEX($AC$1005:$AS$1005,1,MATCH(COLUMNS($AC$1006:AG1006),$AC$1006:$AS$1006,0))&gt;=100000), " ",IF(INDEX($AC$2:$AS$1001,MATCH(ROWS($V$2:V789),$V$2:$V$1001,0),MATCH(COLUMNS($AC$1006:AG1006),$AC$1006:$AS$1006,0)), HYPERLINK("#",""), HYPERLINK(CONCATENATE("#Metadata!", ADDRESS(INDEX($X$2:$X$1001,MATCH(ROWS($V$2:V789),$V$2:$V$1001,0),0), INDEX($AC$1004:$AS$1004,1,MATCH(COLUMNS($AC$1006:AG1006),$AC$1006:$AS$1006,0)))),"Fix")))</f>
        <v>0</v>
      </c>
      <c r="G789" s="5">
        <f>IF(OR(INDEX($W$2:$W$1001,MATCH(ROWS($V$2:V789),$V$2:$V$1001,0),1)&gt;=100000,INDEX($AC$1005:$AS$1005,1,MATCH(COLUMNS($AC$1006:AH1006),$AC$1006:$AS$1006,0))&gt;=100000), " ",IF(INDEX($AC$2:$AS$1001,MATCH(ROWS($V$2:V789),$V$2:$V$1001,0),MATCH(COLUMNS($AC$1006:AH1006),$AC$1006:$AS$1006,0)), HYPERLINK("#",""), HYPERLINK(CONCATENATE("#Metadata!", ADDRESS(INDEX($X$2:$X$1001,MATCH(ROWS($V$2:V789),$V$2:$V$1001,0),0), INDEX($AC$1004:$AS$1004,1,MATCH(COLUMNS($AC$1006:AH1006),$AC$1006:$AS$1006,0)))),"Fix")))</f>
        <v>0</v>
      </c>
      <c r="H789" s="5">
        <f>IF(OR(INDEX($W$2:$W$1001,MATCH(ROWS($V$2:V789),$V$2:$V$1001,0),1)&gt;=100000,INDEX($AC$1005:$AS$1005,1,MATCH(COLUMNS($AC$1006:AI1006),$AC$1006:$AS$1006,0))&gt;=100000), " ",IF(INDEX($AC$2:$AS$1001,MATCH(ROWS($V$2:V789),$V$2:$V$1001,0),MATCH(COLUMNS($AC$1006:AI1006),$AC$1006:$AS$1006,0)), HYPERLINK("#",""), HYPERLINK(CONCATENATE("#Metadata!", ADDRESS(INDEX($X$2:$X$1001,MATCH(ROWS($V$2:V789),$V$2:$V$1001,0),0), INDEX($AC$1004:$AS$1004,1,MATCH(COLUMNS($AC$1006:AI1006),$AC$1006:$AS$1006,0)))),"Fix")))</f>
        <v>0</v>
      </c>
      <c r="I789" s="5">
        <f>IF(OR(INDEX($W$2:$W$1001,MATCH(ROWS($V$2:V789),$V$2:$V$1001,0),1)&gt;=100000,INDEX($AC$1005:$AS$1005,1,MATCH(COLUMNS($AC$1006:AJ1006),$AC$1006:$AS$1006,0))&gt;=100000), " ",IF(INDEX($AC$2:$AS$1001,MATCH(ROWS($V$2:V789),$V$2:$V$1001,0),MATCH(COLUMNS($AC$1006:AJ1006),$AC$1006:$AS$1006,0)), HYPERLINK("#",""), HYPERLINK(CONCATENATE("#Metadata!", ADDRESS(INDEX($X$2:$X$1001,MATCH(ROWS($V$2:V789),$V$2:$V$1001,0),0), INDEX($AC$1004:$AS$1004,1,MATCH(COLUMNS($AC$1006:AJ1006),$AC$1006:$AS$1006,0)))),"Fix")))</f>
        <v>0</v>
      </c>
      <c r="J789" s="5">
        <f>IF(OR(INDEX($W$2:$W$1001,MATCH(ROWS($V$2:V789),$V$2:$V$1001,0),1)&gt;=100000,INDEX($AC$1005:$AS$1005,1,MATCH(COLUMNS($AC$1006:AK1006),$AC$1006:$AS$1006,0))&gt;=100000), " ",IF(INDEX($AC$2:$AS$1001,MATCH(ROWS($V$2:V789),$V$2:$V$1001,0),MATCH(COLUMNS($AC$1006:AK1006),$AC$1006:$AS$1006,0)), HYPERLINK("#",""), HYPERLINK(CONCATENATE("#Metadata!", ADDRESS(INDEX($X$2:$X$1001,MATCH(ROWS($V$2:V789),$V$2:$V$1001,0),0), INDEX($AC$1004:$AS$1004,1,MATCH(COLUMNS($AC$1006:AK1006),$AC$1006:$AS$1006,0)))),"Fix")))</f>
        <v>0</v>
      </c>
      <c r="K789" s="5">
        <f>IF(OR(INDEX($W$2:$W$1001,MATCH(ROWS($V$2:V789),$V$2:$V$1001,0),1)&gt;=100000,INDEX($AC$1005:$AS$1005,1,MATCH(COLUMNS($AC$1006:AL1006),$AC$1006:$AS$1006,0))&gt;=100000), " ",IF(INDEX($AC$2:$AS$1001,MATCH(ROWS($V$2:V789),$V$2:$V$1001,0),MATCH(COLUMNS($AC$1006:AL1006),$AC$1006:$AS$1006,0)), HYPERLINK("#",""), HYPERLINK(CONCATENATE("#Metadata!", ADDRESS(INDEX($X$2:$X$1001,MATCH(ROWS($V$2:V789),$V$2:$V$1001,0),0), INDEX($AC$1004:$AS$1004,1,MATCH(COLUMNS($AC$1006:AL1006),$AC$1006:$AS$1006,0)))),"Fix")))</f>
        <v>0</v>
      </c>
      <c r="L789" s="5">
        <f>IF(OR(INDEX($W$2:$W$1001,MATCH(ROWS($V$2:V789),$V$2:$V$1001,0),1)&gt;=100000,INDEX($AC$1005:$AS$1005,1,MATCH(COLUMNS($AC$1006:AM1006),$AC$1006:$AS$1006,0))&gt;=100000), " ",IF(INDEX($AC$2:$AS$1001,MATCH(ROWS($V$2:V789),$V$2:$V$1001,0),MATCH(COLUMNS($AC$1006:AM1006),$AC$1006:$AS$1006,0)), HYPERLINK("#",""), HYPERLINK(CONCATENATE("#Metadata!", ADDRESS(INDEX($X$2:$X$1001,MATCH(ROWS($V$2:V789),$V$2:$V$1001,0),0), INDEX($AC$1004:$AS$1004,1,MATCH(COLUMNS($AC$1006:AM1006),$AC$1006:$AS$1006,0)))),"Fix")))</f>
        <v>0</v>
      </c>
      <c r="M789" s="5">
        <f>IF(OR(INDEX($W$2:$W$1001,MATCH(ROWS($V$2:V789),$V$2:$V$1001,0),1)&gt;=100000,INDEX($AC$1005:$AS$1005,1,MATCH(COLUMNS($AC$1006:AN1006),$AC$1006:$AS$1006,0))&gt;=100000), " ",IF(INDEX($AC$2:$AS$1001,MATCH(ROWS($V$2:V789),$V$2:$V$1001,0),MATCH(COLUMNS($AC$1006:AN1006),$AC$1006:$AS$1006,0)), HYPERLINK("#",""), HYPERLINK(CONCATENATE("#Metadata!", ADDRESS(INDEX($X$2:$X$1001,MATCH(ROWS($V$2:V789),$V$2:$V$1001,0),0), INDEX($AC$1004:$AS$1004,1,MATCH(COLUMNS($AC$1006:AN1006),$AC$1006:$AS$1006,0)))),"Fix")))</f>
        <v>0</v>
      </c>
      <c r="N789" s="5">
        <f>IF(OR(INDEX($W$2:$W$1001,MATCH(ROWS($V$2:V789),$V$2:$V$1001,0),1)&gt;=100000,INDEX($AC$1005:$AS$1005,1,MATCH(COLUMNS($AC$1006:AO1006),$AC$1006:$AS$1006,0))&gt;=100000), " ",IF(INDEX($AC$2:$AS$1001,MATCH(ROWS($V$2:V789),$V$2:$V$1001,0),MATCH(COLUMNS($AC$1006:AO1006),$AC$1006:$AS$1006,0)), HYPERLINK("#",""), HYPERLINK(CONCATENATE("#Metadata!", ADDRESS(INDEX($X$2:$X$1001,MATCH(ROWS($V$2:V789),$V$2:$V$1001,0),0), INDEX($AC$1004:$AS$1004,1,MATCH(COLUMNS($AC$1006:AO1006),$AC$1006:$AS$1006,0)))),"Fix")))</f>
        <v>0</v>
      </c>
      <c r="O789" s="5">
        <f>IF(OR(INDEX($W$2:$W$1001,MATCH(ROWS($V$2:V789),$V$2:$V$1001,0),1)&gt;=100000,INDEX($AC$1005:$AS$1005,1,MATCH(COLUMNS($AC$1006:AP1006),$AC$1006:$AS$1006,0))&gt;=100000), " ",IF(INDEX($AC$2:$AS$1001,MATCH(ROWS($V$2:V789),$V$2:$V$1001,0),MATCH(COLUMNS($AC$1006:AP1006),$AC$1006:$AS$1006,0)), HYPERLINK("#",""), HYPERLINK(CONCATENATE("#Metadata!", ADDRESS(INDEX($X$2:$X$1001,MATCH(ROWS($V$2:V789),$V$2:$V$1001,0),0), INDEX($AC$1004:$AS$1004,1,MATCH(COLUMNS($AC$1006:AP1006),$AC$1006:$AS$1006,0)))),"Fix")))</f>
        <v>0</v>
      </c>
      <c r="P789" s="5">
        <f>IF(OR(INDEX($W$2:$W$1001,MATCH(ROWS($V$2:V789),$V$2:$V$1001,0),1)&gt;=100000,INDEX($AC$1005:$AS$1005,1,MATCH(COLUMNS($AC$1006:AQ1006),$AC$1006:$AS$1006,0))&gt;=100000), " ",IF(INDEX($AC$2:$AS$1001,MATCH(ROWS($V$2:V789),$V$2:$V$1001,0),MATCH(COLUMNS($AC$1006:AQ1006),$AC$1006:$AS$1006,0)), HYPERLINK("#",""), HYPERLINK(CONCATENATE("#Metadata!", ADDRESS(INDEX($X$2:$X$1001,MATCH(ROWS($V$2:V789),$V$2:$V$1001,0),0), INDEX($AC$1004:$AS$1004,1,MATCH(COLUMNS($AC$1006:AQ1006),$AC$1006:$AS$1006,0)))),"Fix")))</f>
        <v>0</v>
      </c>
      <c r="Q789" s="5">
        <f>IF(OR(INDEX($W$2:$W$1001,MATCH(ROWS($V$2:V789),$V$2:$V$1001,0),1)&gt;=100000,INDEX($AC$1005:$AS$1005,1,MATCH(COLUMNS($AC$1006:AR1006),$AC$1006:$AS$1006,0))&gt;=100000), " ",IF(INDEX($AC$2:$AS$1001,MATCH(ROWS($V$2:V789),$V$2:$V$1001,0),MATCH(COLUMNS($AC$1006:AR1006),$AC$1006:$AS$1006,0)), HYPERLINK("#",""), HYPERLINK(CONCATENATE("#Metadata!", ADDRESS(INDEX($X$2:$X$1001,MATCH(ROWS($V$2:V789),$V$2:$V$1001,0),0), INDEX($AC$1004:$AS$1004,1,MATCH(COLUMNS($AC$1006:AR1006),$AC$1006:$AS$1006,0)))),"Fix")))</f>
        <v>0</v>
      </c>
      <c r="R789" s="5">
        <f>IF(OR(INDEX($W$2:$W$1001,MATCH(ROWS($V$2:V789),$V$2:$V$1001,0),1)&gt;=100000,INDEX($AC$1005:$AS$1005,1,MATCH(COLUMNS($AC$1006:AS1006),$AC$1006:$AS$1006,0))&gt;=100000), " ",IF(INDEX($AC$2:$AS$1001,MATCH(ROWS($V$2:V789),$V$2:$V$1001,0),MATCH(COLUMNS($AC$1006:AS1006),$AC$1006:$AS$1006,0)), HYPERLINK("#",""), HYPERLINK(CONCATENATE("#Metadata!", ADDRESS(INDEX($X$2:$X$1001,MATCH(ROWS($V$2:V789),$V$2:$V$1001,0),0), INDEX($AC$1004:$AS$1004,1,MATCH(COLUMNS($AC$1006:AS1006),$AC$1006:$AS$1006,0)))),"Fix")))</f>
        <v>0</v>
      </c>
      <c r="V789">
        <v>0</v>
      </c>
      <c r="W789">
        <v>0</v>
      </c>
      <c r="X789">
        <v>0</v>
      </c>
      <c r="Y789">
        <f>IF(Z789,TRUE,AND(AC789:AS789))</f>
        <v>0</v>
      </c>
      <c r="Z789">
        <f>COUNTBLANK(Metadata!B789:R789)=COLUMNS(Metadata!B789:R789)</f>
        <v>0</v>
      </c>
      <c r="AA789">
        <v>0</v>
      </c>
      <c r="AC789">
        <f>AND(IF(Metadata!B789="",FALSE,TRUE),COUNTIF(Metadata!B:B, Metadata!B789) = 1,NOT(ISERROR(SUMPRODUCT(SEARCH(MID(Metadata!B789,ROW(INDIRECT("1:"&amp;LEN(Metadata!B789))), 1),"0123456789abcdefghijklmnopqrstuvwxyzABCDEFGHIJKLMNOPQRSTUVWXYZ.")))))</f>
        <v>0</v>
      </c>
      <c r="AD789">
        <f>AND(IF(Metadata!C789="",FALSE,TRUE),exact(Metadata!C789,"Host-associated"))</f>
        <v>0</v>
      </c>
      <c r="AE789">
        <f>AND(IF(Metadata!D789="",FALSE,TRUE),OR(exact(Metadata!D789,"Animal"),exact(Metadata!D789,"Fungus"),exact(Metadata!D789,"Plant")))</f>
        <v>0</v>
      </c>
      <c r="AF789">
        <f>AND(IF(Metadata!E789="",FALSE,TRUE),OR(exact(Metadata!E789,"Plant secretion"),exact(Metadata!E789,"Plant rhizosphere"),exact(Metadata!E789,"Plant surface"),exact(Metadata!E789,"Plant corpus"),exact(Metadata!E789,"Fungus surface"),exact(Metadata!E789,"Fungus corpus"),exact(Metadata!E789,"Animal surface"),exact(Metadata!E789,"Animal proximal gut"),exact(Metadata!E789,"Animal corpus"),exact(Metadata!E789,"Animal distal gut"),exact(Metadata!E789,"Animal secretion")))</f>
        <v>0</v>
      </c>
      <c r="AG789">
        <f>OR(AND(IF(Metadata!F789="",FALSE,TRUE),OR(exact(Metadata!F789,"not collected"),exact(Metadata!F789,"not provided"),exact(Metadata!F789,"restricted access"))),AND(IF(Metadata!F789="",FALSE,TRUE),OR(exact(Metadata!F789,"organism-associated habitat"),exact(Metadata!F789,"plant-associated habitat"),exact(Metadata!F789,"animal-associated habitat"),exact(Metadata!F789,"insecta-associated habitat"),exact(Metadata!F789,"mammalia-associated habitat"),exact(Metadata!F789,"human-associated habitat"),exact(Metadata!F789,"livestock-associated habitat"))))</f>
        <v>0</v>
      </c>
      <c r="AH789">
        <f>AND(IF(Metadata!G789="",FALSE,TRUE),exact(Metadata!G789,"host-associated"))</f>
        <v>0</v>
      </c>
      <c r="AI789">
        <f>OR(AND(IF(Metadata!H789="",FALSE,TRUE),OR(exact(Metadata!H789,"not collected"),exact(Metadata!H789,"not provided"))),AND(IF(Metadata!H789="",FALSE,ISNUMBER(VALUE(Metadata!H789))),Metadata!H789&gt;0))</f>
        <v>0</v>
      </c>
      <c r="AJ789">
        <f>AND(IF(Metadata!I789="",FALSE,TRUE),exact(Metadata!I789,"years"))</f>
        <v>0</v>
      </c>
      <c r="AK789">
        <f>IF(Metadata!J789="",FALSE,TRUE)</f>
        <v>0</v>
      </c>
      <c r="AL789">
        <f>OR(AND(IF(Metadata!K789="",FALSE,TRUE),OR(exact(Metadata!K789,"not collected"),exact(Metadata!K789,"not provided"))),AND(IF(Metadata!K789="",FALSE,ISNUMBER(VALUE(Metadata!K789))),Metadata!K789&gt;0))</f>
        <v>0</v>
      </c>
      <c r="AM789">
        <f>AND(IF(Metadata!L789="",FALSE,TRUE),exact(Metadata!L789,"cm"))</f>
        <v>0</v>
      </c>
      <c r="AN789">
        <f>IF(Metadata!M789="",FALSE,TRUE)</f>
        <v>0</v>
      </c>
      <c r="AO789">
        <f>OR(AND(IF(Metadata!N789="",FALSE,TRUE),OR(exact(Metadata!N789,"not applicable"),exact(Metadata!N789,"not collected"),exact(Metadata!N789,"not provided"))),AND(IF(Metadata!N789="",FALSE,IF(ISERROR(INT(Metadata!N789)),FALSE,INT(Metadata!N789)=Metadata!N789)),Metadata!N789&gt;0))</f>
        <v>0</v>
      </c>
      <c r="AP789">
        <f>OR(AND(IF(Metadata!O789="",FALSE,TRUE),OR(exact(Metadata!O789,"not collected"),exact(Metadata!O789,"not provided"))),AND(IF(Metadata!O789="",FALSE,ISNUMBER(VALUE(Metadata!O789))),Metadata!O789&gt;0))</f>
        <v>0</v>
      </c>
      <c r="AQ789">
        <f>AND(IF(Metadata!P789="",FALSE,TRUE),exact(Metadata!P789,"kg"))</f>
        <v>0</v>
      </c>
      <c r="AR789">
        <f>OR(AND(IF(Metadata!Q789="",FALSE,TRUE),OR(exact(Metadata!Q789,"not applicable"),exact(Metadata!Q789,"not collected"),exact(Metadata!Q789,"not provided"),exact(Metadata!Q789,"restricted access"))),IF(Metadata!Q789="",FALSE,IF(ISERROR(INT(Metadata!Q789)),FALSE,INT(Metadata!Q789)=Metadata!Q789)))</f>
        <v>0</v>
      </c>
      <c r="AS789">
        <f>AND(IF(Metadata!R789="",FALSE,TRUE),exact(Metadata!R789,"Not applicable"))</f>
        <v>0</v>
      </c>
    </row>
    <row r="790" spans="1:45">
      <c r="A790" s="4">
        <f>IF(B790=" "," ",HYPERLINK(CONCATENATE("#metadata!",ADDRESS(INDEX($X$2:$X$1001,MATCH(ROWS($V$2:V790),$V$2:$V$1001,0),0),2)),INDEX($AA$2:$AA$1001,MATCH(ROWS($V$2:V790),$V$2:$V$1001,0),0)))</f>
        <v>0</v>
      </c>
      <c r="B790" s="5">
        <f>IF(OR(INDEX($W$2:$W$1001,MATCH(ROWS($V$2:V790),$V$2:$V$1001,0),1)&gt;=100000,INDEX($AC$1005:$AS$1005,1,MATCH(COLUMNS($AC$1006:AC1006),$AC$1006:$AS$1006,0))&gt;=100000), " ",IF(INDEX($AC$2:$AS$1001,MATCH(ROWS($V$2:V790),$V$2:$V$1001,0),MATCH(COLUMNS($AC$1006:AC1006),$AC$1006:$AS$1006,0)), HYPERLINK("#",""), HYPERLINK(CONCATENATE("#Metadata!", ADDRESS(INDEX($X$2:$X$1001,MATCH(ROWS($V$2:V790),$V$2:$V$1001,0),0), INDEX($AC$1004:$AS$1004,1,MATCH(COLUMNS($AC$1006:AC1006),$AC$1006:$AS$1006,0)))),"Fix")))</f>
        <v>0</v>
      </c>
      <c r="C790" s="5">
        <f>IF(OR(INDEX($W$2:$W$1001,MATCH(ROWS($V$2:V790),$V$2:$V$1001,0),1)&gt;=100000,INDEX($AC$1005:$AS$1005,1,MATCH(COLUMNS($AC$1006:AD1006),$AC$1006:$AS$1006,0))&gt;=100000), " ",IF(INDEX($AC$2:$AS$1001,MATCH(ROWS($V$2:V790),$V$2:$V$1001,0),MATCH(COLUMNS($AC$1006:AD1006),$AC$1006:$AS$1006,0)), HYPERLINK("#",""), HYPERLINK(CONCATENATE("#Metadata!", ADDRESS(INDEX($X$2:$X$1001,MATCH(ROWS($V$2:V790),$V$2:$V$1001,0),0), INDEX($AC$1004:$AS$1004,1,MATCH(COLUMNS($AC$1006:AD1006),$AC$1006:$AS$1006,0)))),"Fix")))</f>
        <v>0</v>
      </c>
      <c r="D790" s="5">
        <f>IF(OR(INDEX($W$2:$W$1001,MATCH(ROWS($V$2:V790),$V$2:$V$1001,0),1)&gt;=100000,INDEX($AC$1005:$AS$1005,1,MATCH(COLUMNS($AC$1006:AE1006),$AC$1006:$AS$1006,0))&gt;=100000), " ",IF(INDEX($AC$2:$AS$1001,MATCH(ROWS($V$2:V790),$V$2:$V$1001,0),MATCH(COLUMNS($AC$1006:AE1006),$AC$1006:$AS$1006,0)), HYPERLINK("#",""), HYPERLINK(CONCATENATE("#Metadata!", ADDRESS(INDEX($X$2:$X$1001,MATCH(ROWS($V$2:V790),$V$2:$V$1001,0),0), INDEX($AC$1004:$AS$1004,1,MATCH(COLUMNS($AC$1006:AE1006),$AC$1006:$AS$1006,0)))),"Fix")))</f>
        <v>0</v>
      </c>
      <c r="E790" s="5">
        <f>IF(OR(INDEX($W$2:$W$1001,MATCH(ROWS($V$2:V790),$V$2:$V$1001,0),1)&gt;=100000,INDEX($AC$1005:$AS$1005,1,MATCH(COLUMNS($AC$1006:AF1006),$AC$1006:$AS$1006,0))&gt;=100000), " ",IF(INDEX($AC$2:$AS$1001,MATCH(ROWS($V$2:V790),$V$2:$V$1001,0),MATCH(COLUMNS($AC$1006:AF1006),$AC$1006:$AS$1006,0)), HYPERLINK("#",""), HYPERLINK(CONCATENATE("#Metadata!", ADDRESS(INDEX($X$2:$X$1001,MATCH(ROWS($V$2:V790),$V$2:$V$1001,0),0), INDEX($AC$1004:$AS$1004,1,MATCH(COLUMNS($AC$1006:AF1006),$AC$1006:$AS$1006,0)))),"Fix")))</f>
        <v>0</v>
      </c>
      <c r="F790" s="5">
        <f>IF(OR(INDEX($W$2:$W$1001,MATCH(ROWS($V$2:V790),$V$2:$V$1001,0),1)&gt;=100000,INDEX($AC$1005:$AS$1005,1,MATCH(COLUMNS($AC$1006:AG1006),$AC$1006:$AS$1006,0))&gt;=100000), " ",IF(INDEX($AC$2:$AS$1001,MATCH(ROWS($V$2:V790),$V$2:$V$1001,0),MATCH(COLUMNS($AC$1006:AG1006),$AC$1006:$AS$1006,0)), HYPERLINK("#",""), HYPERLINK(CONCATENATE("#Metadata!", ADDRESS(INDEX($X$2:$X$1001,MATCH(ROWS($V$2:V790),$V$2:$V$1001,0),0), INDEX($AC$1004:$AS$1004,1,MATCH(COLUMNS($AC$1006:AG1006),$AC$1006:$AS$1006,0)))),"Fix")))</f>
        <v>0</v>
      </c>
      <c r="G790" s="5">
        <f>IF(OR(INDEX($W$2:$W$1001,MATCH(ROWS($V$2:V790),$V$2:$V$1001,0),1)&gt;=100000,INDEX($AC$1005:$AS$1005,1,MATCH(COLUMNS($AC$1006:AH1006),$AC$1006:$AS$1006,0))&gt;=100000), " ",IF(INDEX($AC$2:$AS$1001,MATCH(ROWS($V$2:V790),$V$2:$V$1001,0),MATCH(COLUMNS($AC$1006:AH1006),$AC$1006:$AS$1006,0)), HYPERLINK("#",""), HYPERLINK(CONCATENATE("#Metadata!", ADDRESS(INDEX($X$2:$X$1001,MATCH(ROWS($V$2:V790),$V$2:$V$1001,0),0), INDEX($AC$1004:$AS$1004,1,MATCH(COLUMNS($AC$1006:AH1006),$AC$1006:$AS$1006,0)))),"Fix")))</f>
        <v>0</v>
      </c>
      <c r="H790" s="5">
        <f>IF(OR(INDEX($W$2:$W$1001,MATCH(ROWS($V$2:V790),$V$2:$V$1001,0),1)&gt;=100000,INDEX($AC$1005:$AS$1005,1,MATCH(COLUMNS($AC$1006:AI1006),$AC$1006:$AS$1006,0))&gt;=100000), " ",IF(INDEX($AC$2:$AS$1001,MATCH(ROWS($V$2:V790),$V$2:$V$1001,0),MATCH(COLUMNS($AC$1006:AI1006),$AC$1006:$AS$1006,0)), HYPERLINK("#",""), HYPERLINK(CONCATENATE("#Metadata!", ADDRESS(INDEX($X$2:$X$1001,MATCH(ROWS($V$2:V790),$V$2:$V$1001,0),0), INDEX($AC$1004:$AS$1004,1,MATCH(COLUMNS($AC$1006:AI1006),$AC$1006:$AS$1006,0)))),"Fix")))</f>
        <v>0</v>
      </c>
      <c r="I790" s="5">
        <f>IF(OR(INDEX($W$2:$W$1001,MATCH(ROWS($V$2:V790),$V$2:$V$1001,0),1)&gt;=100000,INDEX($AC$1005:$AS$1005,1,MATCH(COLUMNS($AC$1006:AJ1006),$AC$1006:$AS$1006,0))&gt;=100000), " ",IF(INDEX($AC$2:$AS$1001,MATCH(ROWS($V$2:V790),$V$2:$V$1001,0),MATCH(COLUMNS($AC$1006:AJ1006),$AC$1006:$AS$1006,0)), HYPERLINK("#",""), HYPERLINK(CONCATENATE("#Metadata!", ADDRESS(INDEX($X$2:$X$1001,MATCH(ROWS($V$2:V790),$V$2:$V$1001,0),0), INDEX($AC$1004:$AS$1004,1,MATCH(COLUMNS($AC$1006:AJ1006),$AC$1006:$AS$1006,0)))),"Fix")))</f>
        <v>0</v>
      </c>
      <c r="J790" s="5">
        <f>IF(OR(INDEX($W$2:$W$1001,MATCH(ROWS($V$2:V790),$V$2:$V$1001,0),1)&gt;=100000,INDEX($AC$1005:$AS$1005,1,MATCH(COLUMNS($AC$1006:AK1006),$AC$1006:$AS$1006,0))&gt;=100000), " ",IF(INDEX($AC$2:$AS$1001,MATCH(ROWS($V$2:V790),$V$2:$V$1001,0),MATCH(COLUMNS($AC$1006:AK1006),$AC$1006:$AS$1006,0)), HYPERLINK("#",""), HYPERLINK(CONCATENATE("#Metadata!", ADDRESS(INDEX($X$2:$X$1001,MATCH(ROWS($V$2:V790),$V$2:$V$1001,0),0), INDEX($AC$1004:$AS$1004,1,MATCH(COLUMNS($AC$1006:AK1006),$AC$1006:$AS$1006,0)))),"Fix")))</f>
        <v>0</v>
      </c>
      <c r="K790" s="5">
        <f>IF(OR(INDEX($W$2:$W$1001,MATCH(ROWS($V$2:V790),$V$2:$V$1001,0),1)&gt;=100000,INDEX($AC$1005:$AS$1005,1,MATCH(COLUMNS($AC$1006:AL1006),$AC$1006:$AS$1006,0))&gt;=100000), " ",IF(INDEX($AC$2:$AS$1001,MATCH(ROWS($V$2:V790),$V$2:$V$1001,0),MATCH(COLUMNS($AC$1006:AL1006),$AC$1006:$AS$1006,0)), HYPERLINK("#",""), HYPERLINK(CONCATENATE("#Metadata!", ADDRESS(INDEX($X$2:$X$1001,MATCH(ROWS($V$2:V790),$V$2:$V$1001,0),0), INDEX($AC$1004:$AS$1004,1,MATCH(COLUMNS($AC$1006:AL1006),$AC$1006:$AS$1006,0)))),"Fix")))</f>
        <v>0</v>
      </c>
      <c r="L790" s="5">
        <f>IF(OR(INDEX($W$2:$W$1001,MATCH(ROWS($V$2:V790),$V$2:$V$1001,0),1)&gt;=100000,INDEX($AC$1005:$AS$1005,1,MATCH(COLUMNS($AC$1006:AM1006),$AC$1006:$AS$1006,0))&gt;=100000), " ",IF(INDEX($AC$2:$AS$1001,MATCH(ROWS($V$2:V790),$V$2:$V$1001,0),MATCH(COLUMNS($AC$1006:AM1006),$AC$1006:$AS$1006,0)), HYPERLINK("#",""), HYPERLINK(CONCATENATE("#Metadata!", ADDRESS(INDEX($X$2:$X$1001,MATCH(ROWS($V$2:V790),$V$2:$V$1001,0),0), INDEX($AC$1004:$AS$1004,1,MATCH(COLUMNS($AC$1006:AM1006),$AC$1006:$AS$1006,0)))),"Fix")))</f>
        <v>0</v>
      </c>
      <c r="M790" s="5">
        <f>IF(OR(INDEX($W$2:$W$1001,MATCH(ROWS($V$2:V790),$V$2:$V$1001,0),1)&gt;=100000,INDEX($AC$1005:$AS$1005,1,MATCH(COLUMNS($AC$1006:AN1006),$AC$1006:$AS$1006,0))&gt;=100000), " ",IF(INDEX($AC$2:$AS$1001,MATCH(ROWS($V$2:V790),$V$2:$V$1001,0),MATCH(COLUMNS($AC$1006:AN1006),$AC$1006:$AS$1006,0)), HYPERLINK("#",""), HYPERLINK(CONCATENATE("#Metadata!", ADDRESS(INDEX($X$2:$X$1001,MATCH(ROWS($V$2:V790),$V$2:$V$1001,0),0), INDEX($AC$1004:$AS$1004,1,MATCH(COLUMNS($AC$1006:AN1006),$AC$1006:$AS$1006,0)))),"Fix")))</f>
        <v>0</v>
      </c>
      <c r="N790" s="5">
        <f>IF(OR(INDEX($W$2:$W$1001,MATCH(ROWS($V$2:V790),$V$2:$V$1001,0),1)&gt;=100000,INDEX($AC$1005:$AS$1005,1,MATCH(COLUMNS($AC$1006:AO1006),$AC$1006:$AS$1006,0))&gt;=100000), " ",IF(INDEX($AC$2:$AS$1001,MATCH(ROWS($V$2:V790),$V$2:$V$1001,0),MATCH(COLUMNS($AC$1006:AO1006),$AC$1006:$AS$1006,0)), HYPERLINK("#",""), HYPERLINK(CONCATENATE("#Metadata!", ADDRESS(INDEX($X$2:$X$1001,MATCH(ROWS($V$2:V790),$V$2:$V$1001,0),0), INDEX($AC$1004:$AS$1004,1,MATCH(COLUMNS($AC$1006:AO1006),$AC$1006:$AS$1006,0)))),"Fix")))</f>
        <v>0</v>
      </c>
      <c r="O790" s="5">
        <f>IF(OR(INDEX($W$2:$W$1001,MATCH(ROWS($V$2:V790),$V$2:$V$1001,0),1)&gt;=100000,INDEX($AC$1005:$AS$1005,1,MATCH(COLUMNS($AC$1006:AP1006),$AC$1006:$AS$1006,0))&gt;=100000), " ",IF(INDEX($AC$2:$AS$1001,MATCH(ROWS($V$2:V790),$V$2:$V$1001,0),MATCH(COLUMNS($AC$1006:AP1006),$AC$1006:$AS$1006,0)), HYPERLINK("#",""), HYPERLINK(CONCATENATE("#Metadata!", ADDRESS(INDEX($X$2:$X$1001,MATCH(ROWS($V$2:V790),$V$2:$V$1001,0),0), INDEX($AC$1004:$AS$1004,1,MATCH(COLUMNS($AC$1006:AP1006),$AC$1006:$AS$1006,0)))),"Fix")))</f>
        <v>0</v>
      </c>
      <c r="P790" s="5">
        <f>IF(OR(INDEX($W$2:$W$1001,MATCH(ROWS($V$2:V790),$V$2:$V$1001,0),1)&gt;=100000,INDEX($AC$1005:$AS$1005,1,MATCH(COLUMNS($AC$1006:AQ1006),$AC$1006:$AS$1006,0))&gt;=100000), " ",IF(INDEX($AC$2:$AS$1001,MATCH(ROWS($V$2:V790),$V$2:$V$1001,0),MATCH(COLUMNS($AC$1006:AQ1006),$AC$1006:$AS$1006,0)), HYPERLINK("#",""), HYPERLINK(CONCATENATE("#Metadata!", ADDRESS(INDEX($X$2:$X$1001,MATCH(ROWS($V$2:V790),$V$2:$V$1001,0),0), INDEX($AC$1004:$AS$1004,1,MATCH(COLUMNS($AC$1006:AQ1006),$AC$1006:$AS$1006,0)))),"Fix")))</f>
        <v>0</v>
      </c>
      <c r="Q790" s="5">
        <f>IF(OR(INDEX($W$2:$W$1001,MATCH(ROWS($V$2:V790),$V$2:$V$1001,0),1)&gt;=100000,INDEX($AC$1005:$AS$1005,1,MATCH(COLUMNS($AC$1006:AR1006),$AC$1006:$AS$1006,0))&gt;=100000), " ",IF(INDEX($AC$2:$AS$1001,MATCH(ROWS($V$2:V790),$V$2:$V$1001,0),MATCH(COLUMNS($AC$1006:AR1006),$AC$1006:$AS$1006,0)), HYPERLINK("#",""), HYPERLINK(CONCATENATE("#Metadata!", ADDRESS(INDEX($X$2:$X$1001,MATCH(ROWS($V$2:V790),$V$2:$V$1001,0),0), INDEX($AC$1004:$AS$1004,1,MATCH(COLUMNS($AC$1006:AR1006),$AC$1006:$AS$1006,0)))),"Fix")))</f>
        <v>0</v>
      </c>
      <c r="R790" s="5">
        <f>IF(OR(INDEX($W$2:$W$1001,MATCH(ROWS($V$2:V790),$V$2:$V$1001,0),1)&gt;=100000,INDEX($AC$1005:$AS$1005,1,MATCH(COLUMNS($AC$1006:AS1006),$AC$1006:$AS$1006,0))&gt;=100000), " ",IF(INDEX($AC$2:$AS$1001,MATCH(ROWS($V$2:V790),$V$2:$V$1001,0),MATCH(COLUMNS($AC$1006:AS1006),$AC$1006:$AS$1006,0)), HYPERLINK("#",""), HYPERLINK(CONCATENATE("#Metadata!", ADDRESS(INDEX($X$2:$X$1001,MATCH(ROWS($V$2:V790),$V$2:$V$1001,0),0), INDEX($AC$1004:$AS$1004,1,MATCH(COLUMNS($AC$1006:AS1006),$AC$1006:$AS$1006,0)))),"Fix")))</f>
        <v>0</v>
      </c>
      <c r="V790">
        <v>0</v>
      </c>
      <c r="W790">
        <v>0</v>
      </c>
      <c r="X790">
        <v>0</v>
      </c>
      <c r="Y790">
        <f>IF(Z790,TRUE,AND(AC790:AS790))</f>
        <v>0</v>
      </c>
      <c r="Z790">
        <f>COUNTBLANK(Metadata!B790:R790)=COLUMNS(Metadata!B790:R790)</f>
        <v>0</v>
      </c>
      <c r="AA790">
        <v>0</v>
      </c>
      <c r="AC790">
        <f>AND(IF(Metadata!B790="",FALSE,TRUE),COUNTIF(Metadata!B:B, Metadata!B790) = 1,NOT(ISERROR(SUMPRODUCT(SEARCH(MID(Metadata!B790,ROW(INDIRECT("1:"&amp;LEN(Metadata!B790))), 1),"0123456789abcdefghijklmnopqrstuvwxyzABCDEFGHIJKLMNOPQRSTUVWXYZ.")))))</f>
        <v>0</v>
      </c>
      <c r="AD790">
        <f>AND(IF(Metadata!C790="",FALSE,TRUE),exact(Metadata!C790,"Host-associated"))</f>
        <v>0</v>
      </c>
      <c r="AE790">
        <f>AND(IF(Metadata!D790="",FALSE,TRUE),OR(exact(Metadata!D790,"Animal"),exact(Metadata!D790,"Fungus"),exact(Metadata!D790,"Plant")))</f>
        <v>0</v>
      </c>
      <c r="AF790">
        <f>AND(IF(Metadata!E790="",FALSE,TRUE),OR(exact(Metadata!E790,"Plant secretion"),exact(Metadata!E790,"Plant rhizosphere"),exact(Metadata!E790,"Plant surface"),exact(Metadata!E790,"Plant corpus"),exact(Metadata!E790,"Fungus surface"),exact(Metadata!E790,"Fungus corpus"),exact(Metadata!E790,"Animal surface"),exact(Metadata!E790,"Animal proximal gut"),exact(Metadata!E790,"Animal corpus"),exact(Metadata!E790,"Animal distal gut"),exact(Metadata!E790,"Animal secretion")))</f>
        <v>0</v>
      </c>
      <c r="AG790">
        <f>OR(AND(IF(Metadata!F790="",FALSE,TRUE),OR(exact(Metadata!F790,"not collected"),exact(Metadata!F790,"not provided"),exact(Metadata!F790,"restricted access"))),AND(IF(Metadata!F790="",FALSE,TRUE),OR(exact(Metadata!F790,"organism-associated habitat"),exact(Metadata!F790,"plant-associated habitat"),exact(Metadata!F790,"animal-associated habitat"),exact(Metadata!F790,"insecta-associated habitat"),exact(Metadata!F790,"mammalia-associated habitat"),exact(Metadata!F790,"human-associated habitat"),exact(Metadata!F790,"livestock-associated habitat"))))</f>
        <v>0</v>
      </c>
      <c r="AH790">
        <f>AND(IF(Metadata!G790="",FALSE,TRUE),exact(Metadata!G790,"host-associated"))</f>
        <v>0</v>
      </c>
      <c r="AI790">
        <f>OR(AND(IF(Metadata!H790="",FALSE,TRUE),OR(exact(Metadata!H790,"not collected"),exact(Metadata!H790,"not provided"))),AND(IF(Metadata!H790="",FALSE,ISNUMBER(VALUE(Metadata!H790))),Metadata!H790&gt;0))</f>
        <v>0</v>
      </c>
      <c r="AJ790">
        <f>AND(IF(Metadata!I790="",FALSE,TRUE),exact(Metadata!I790,"years"))</f>
        <v>0</v>
      </c>
      <c r="AK790">
        <f>IF(Metadata!J790="",FALSE,TRUE)</f>
        <v>0</v>
      </c>
      <c r="AL790">
        <f>OR(AND(IF(Metadata!K790="",FALSE,TRUE),OR(exact(Metadata!K790,"not collected"),exact(Metadata!K790,"not provided"))),AND(IF(Metadata!K790="",FALSE,ISNUMBER(VALUE(Metadata!K790))),Metadata!K790&gt;0))</f>
        <v>0</v>
      </c>
      <c r="AM790">
        <f>AND(IF(Metadata!L790="",FALSE,TRUE),exact(Metadata!L790,"cm"))</f>
        <v>0</v>
      </c>
      <c r="AN790">
        <f>IF(Metadata!M790="",FALSE,TRUE)</f>
        <v>0</v>
      </c>
      <c r="AO790">
        <f>OR(AND(IF(Metadata!N790="",FALSE,TRUE),OR(exact(Metadata!N790,"not applicable"),exact(Metadata!N790,"not collected"),exact(Metadata!N790,"not provided"))),AND(IF(Metadata!N790="",FALSE,IF(ISERROR(INT(Metadata!N790)),FALSE,INT(Metadata!N790)=Metadata!N790)),Metadata!N790&gt;0))</f>
        <v>0</v>
      </c>
      <c r="AP790">
        <f>OR(AND(IF(Metadata!O790="",FALSE,TRUE),OR(exact(Metadata!O790,"not collected"),exact(Metadata!O790,"not provided"))),AND(IF(Metadata!O790="",FALSE,ISNUMBER(VALUE(Metadata!O790))),Metadata!O790&gt;0))</f>
        <v>0</v>
      </c>
      <c r="AQ790">
        <f>AND(IF(Metadata!P790="",FALSE,TRUE),exact(Metadata!P790,"kg"))</f>
        <v>0</v>
      </c>
      <c r="AR790">
        <f>OR(AND(IF(Metadata!Q790="",FALSE,TRUE),OR(exact(Metadata!Q790,"not applicable"),exact(Metadata!Q790,"not collected"),exact(Metadata!Q790,"not provided"),exact(Metadata!Q790,"restricted access"))),IF(Metadata!Q790="",FALSE,IF(ISERROR(INT(Metadata!Q790)),FALSE,INT(Metadata!Q790)=Metadata!Q790)))</f>
        <v>0</v>
      </c>
      <c r="AS790">
        <f>AND(IF(Metadata!R790="",FALSE,TRUE),exact(Metadata!R790,"Not applicable"))</f>
        <v>0</v>
      </c>
    </row>
    <row r="791" spans="1:45">
      <c r="A791" s="4">
        <f>IF(B791=" "," ",HYPERLINK(CONCATENATE("#metadata!",ADDRESS(INDEX($X$2:$X$1001,MATCH(ROWS($V$2:V791),$V$2:$V$1001,0),0),2)),INDEX($AA$2:$AA$1001,MATCH(ROWS($V$2:V791),$V$2:$V$1001,0),0)))</f>
        <v>0</v>
      </c>
      <c r="B791" s="5">
        <f>IF(OR(INDEX($W$2:$W$1001,MATCH(ROWS($V$2:V791),$V$2:$V$1001,0),1)&gt;=100000,INDEX($AC$1005:$AS$1005,1,MATCH(COLUMNS($AC$1006:AC1006),$AC$1006:$AS$1006,0))&gt;=100000), " ",IF(INDEX($AC$2:$AS$1001,MATCH(ROWS($V$2:V791),$V$2:$V$1001,0),MATCH(COLUMNS($AC$1006:AC1006),$AC$1006:$AS$1006,0)), HYPERLINK("#",""), HYPERLINK(CONCATENATE("#Metadata!", ADDRESS(INDEX($X$2:$X$1001,MATCH(ROWS($V$2:V791),$V$2:$V$1001,0),0), INDEX($AC$1004:$AS$1004,1,MATCH(COLUMNS($AC$1006:AC1006),$AC$1006:$AS$1006,0)))),"Fix")))</f>
        <v>0</v>
      </c>
      <c r="C791" s="5">
        <f>IF(OR(INDEX($W$2:$W$1001,MATCH(ROWS($V$2:V791),$V$2:$V$1001,0),1)&gt;=100000,INDEX($AC$1005:$AS$1005,1,MATCH(COLUMNS($AC$1006:AD1006),$AC$1006:$AS$1006,0))&gt;=100000), " ",IF(INDEX($AC$2:$AS$1001,MATCH(ROWS($V$2:V791),$V$2:$V$1001,0),MATCH(COLUMNS($AC$1006:AD1006),$AC$1006:$AS$1006,0)), HYPERLINK("#",""), HYPERLINK(CONCATENATE("#Metadata!", ADDRESS(INDEX($X$2:$X$1001,MATCH(ROWS($V$2:V791),$V$2:$V$1001,0),0), INDEX($AC$1004:$AS$1004,1,MATCH(COLUMNS($AC$1006:AD1006),$AC$1006:$AS$1006,0)))),"Fix")))</f>
        <v>0</v>
      </c>
      <c r="D791" s="5">
        <f>IF(OR(INDEX($W$2:$W$1001,MATCH(ROWS($V$2:V791),$V$2:$V$1001,0),1)&gt;=100000,INDEX($AC$1005:$AS$1005,1,MATCH(COLUMNS($AC$1006:AE1006),$AC$1006:$AS$1006,0))&gt;=100000), " ",IF(INDEX($AC$2:$AS$1001,MATCH(ROWS($V$2:V791),$V$2:$V$1001,0),MATCH(COLUMNS($AC$1006:AE1006),$AC$1006:$AS$1006,0)), HYPERLINK("#",""), HYPERLINK(CONCATENATE("#Metadata!", ADDRESS(INDEX($X$2:$X$1001,MATCH(ROWS($V$2:V791),$V$2:$V$1001,0),0), INDEX($AC$1004:$AS$1004,1,MATCH(COLUMNS($AC$1006:AE1006),$AC$1006:$AS$1006,0)))),"Fix")))</f>
        <v>0</v>
      </c>
      <c r="E791" s="5">
        <f>IF(OR(INDEX($W$2:$W$1001,MATCH(ROWS($V$2:V791),$V$2:$V$1001,0),1)&gt;=100000,INDEX($AC$1005:$AS$1005,1,MATCH(COLUMNS($AC$1006:AF1006),$AC$1006:$AS$1006,0))&gt;=100000), " ",IF(INDEX($AC$2:$AS$1001,MATCH(ROWS($V$2:V791),$V$2:$V$1001,0),MATCH(COLUMNS($AC$1006:AF1006),$AC$1006:$AS$1006,0)), HYPERLINK("#",""), HYPERLINK(CONCATENATE("#Metadata!", ADDRESS(INDEX($X$2:$X$1001,MATCH(ROWS($V$2:V791),$V$2:$V$1001,0),0), INDEX($AC$1004:$AS$1004,1,MATCH(COLUMNS($AC$1006:AF1006),$AC$1006:$AS$1006,0)))),"Fix")))</f>
        <v>0</v>
      </c>
      <c r="F791" s="5">
        <f>IF(OR(INDEX($W$2:$W$1001,MATCH(ROWS($V$2:V791),$V$2:$V$1001,0),1)&gt;=100000,INDEX($AC$1005:$AS$1005,1,MATCH(COLUMNS($AC$1006:AG1006),$AC$1006:$AS$1006,0))&gt;=100000), " ",IF(INDEX($AC$2:$AS$1001,MATCH(ROWS($V$2:V791),$V$2:$V$1001,0),MATCH(COLUMNS($AC$1006:AG1006),$AC$1006:$AS$1006,0)), HYPERLINK("#",""), HYPERLINK(CONCATENATE("#Metadata!", ADDRESS(INDEX($X$2:$X$1001,MATCH(ROWS($V$2:V791),$V$2:$V$1001,0),0), INDEX($AC$1004:$AS$1004,1,MATCH(COLUMNS($AC$1006:AG1006),$AC$1006:$AS$1006,0)))),"Fix")))</f>
        <v>0</v>
      </c>
      <c r="G791" s="5">
        <f>IF(OR(INDEX($W$2:$W$1001,MATCH(ROWS($V$2:V791),$V$2:$V$1001,0),1)&gt;=100000,INDEX($AC$1005:$AS$1005,1,MATCH(COLUMNS($AC$1006:AH1006),$AC$1006:$AS$1006,0))&gt;=100000), " ",IF(INDEX($AC$2:$AS$1001,MATCH(ROWS($V$2:V791),$V$2:$V$1001,0),MATCH(COLUMNS($AC$1006:AH1006),$AC$1006:$AS$1006,0)), HYPERLINK("#",""), HYPERLINK(CONCATENATE("#Metadata!", ADDRESS(INDEX($X$2:$X$1001,MATCH(ROWS($V$2:V791),$V$2:$V$1001,0),0), INDEX($AC$1004:$AS$1004,1,MATCH(COLUMNS($AC$1006:AH1006),$AC$1006:$AS$1006,0)))),"Fix")))</f>
        <v>0</v>
      </c>
      <c r="H791" s="5">
        <f>IF(OR(INDEX($W$2:$W$1001,MATCH(ROWS($V$2:V791),$V$2:$V$1001,0),1)&gt;=100000,INDEX($AC$1005:$AS$1005,1,MATCH(COLUMNS($AC$1006:AI1006),$AC$1006:$AS$1006,0))&gt;=100000), " ",IF(INDEX($AC$2:$AS$1001,MATCH(ROWS($V$2:V791),$V$2:$V$1001,0),MATCH(COLUMNS($AC$1006:AI1006),$AC$1006:$AS$1006,0)), HYPERLINK("#",""), HYPERLINK(CONCATENATE("#Metadata!", ADDRESS(INDEX($X$2:$X$1001,MATCH(ROWS($V$2:V791),$V$2:$V$1001,0),0), INDEX($AC$1004:$AS$1004,1,MATCH(COLUMNS($AC$1006:AI1006),$AC$1006:$AS$1006,0)))),"Fix")))</f>
        <v>0</v>
      </c>
      <c r="I791" s="5">
        <f>IF(OR(INDEX($W$2:$W$1001,MATCH(ROWS($V$2:V791),$V$2:$V$1001,0),1)&gt;=100000,INDEX($AC$1005:$AS$1005,1,MATCH(COLUMNS($AC$1006:AJ1006),$AC$1006:$AS$1006,0))&gt;=100000), " ",IF(INDEX($AC$2:$AS$1001,MATCH(ROWS($V$2:V791),$V$2:$V$1001,0),MATCH(COLUMNS($AC$1006:AJ1006),$AC$1006:$AS$1006,0)), HYPERLINK("#",""), HYPERLINK(CONCATENATE("#Metadata!", ADDRESS(INDEX($X$2:$X$1001,MATCH(ROWS($V$2:V791),$V$2:$V$1001,0),0), INDEX($AC$1004:$AS$1004,1,MATCH(COLUMNS($AC$1006:AJ1006),$AC$1006:$AS$1006,0)))),"Fix")))</f>
        <v>0</v>
      </c>
      <c r="J791" s="5">
        <f>IF(OR(INDEX($W$2:$W$1001,MATCH(ROWS($V$2:V791),$V$2:$V$1001,0),1)&gt;=100000,INDEX($AC$1005:$AS$1005,1,MATCH(COLUMNS($AC$1006:AK1006),$AC$1006:$AS$1006,0))&gt;=100000), " ",IF(INDEX($AC$2:$AS$1001,MATCH(ROWS($V$2:V791),$V$2:$V$1001,0),MATCH(COLUMNS($AC$1006:AK1006),$AC$1006:$AS$1006,0)), HYPERLINK("#",""), HYPERLINK(CONCATENATE("#Metadata!", ADDRESS(INDEX($X$2:$X$1001,MATCH(ROWS($V$2:V791),$V$2:$V$1001,0),0), INDEX($AC$1004:$AS$1004,1,MATCH(COLUMNS($AC$1006:AK1006),$AC$1006:$AS$1006,0)))),"Fix")))</f>
        <v>0</v>
      </c>
      <c r="K791" s="5">
        <f>IF(OR(INDEX($W$2:$W$1001,MATCH(ROWS($V$2:V791),$V$2:$V$1001,0),1)&gt;=100000,INDEX($AC$1005:$AS$1005,1,MATCH(COLUMNS($AC$1006:AL1006),$AC$1006:$AS$1006,0))&gt;=100000), " ",IF(INDEX($AC$2:$AS$1001,MATCH(ROWS($V$2:V791),$V$2:$V$1001,0),MATCH(COLUMNS($AC$1006:AL1006),$AC$1006:$AS$1006,0)), HYPERLINK("#",""), HYPERLINK(CONCATENATE("#Metadata!", ADDRESS(INDEX($X$2:$X$1001,MATCH(ROWS($V$2:V791),$V$2:$V$1001,0),0), INDEX($AC$1004:$AS$1004,1,MATCH(COLUMNS($AC$1006:AL1006),$AC$1006:$AS$1006,0)))),"Fix")))</f>
        <v>0</v>
      </c>
      <c r="L791" s="5">
        <f>IF(OR(INDEX($W$2:$W$1001,MATCH(ROWS($V$2:V791),$V$2:$V$1001,0),1)&gt;=100000,INDEX($AC$1005:$AS$1005,1,MATCH(COLUMNS($AC$1006:AM1006),$AC$1006:$AS$1006,0))&gt;=100000), " ",IF(INDEX($AC$2:$AS$1001,MATCH(ROWS($V$2:V791),$V$2:$V$1001,0),MATCH(COLUMNS($AC$1006:AM1006),$AC$1006:$AS$1006,0)), HYPERLINK("#",""), HYPERLINK(CONCATENATE("#Metadata!", ADDRESS(INDEX($X$2:$X$1001,MATCH(ROWS($V$2:V791),$V$2:$V$1001,0),0), INDEX($AC$1004:$AS$1004,1,MATCH(COLUMNS($AC$1006:AM1006),$AC$1006:$AS$1006,0)))),"Fix")))</f>
        <v>0</v>
      </c>
      <c r="M791" s="5">
        <f>IF(OR(INDEX($W$2:$W$1001,MATCH(ROWS($V$2:V791),$V$2:$V$1001,0),1)&gt;=100000,INDEX($AC$1005:$AS$1005,1,MATCH(COLUMNS($AC$1006:AN1006),$AC$1006:$AS$1006,0))&gt;=100000), " ",IF(INDEX($AC$2:$AS$1001,MATCH(ROWS($V$2:V791),$V$2:$V$1001,0),MATCH(COLUMNS($AC$1006:AN1006),$AC$1006:$AS$1006,0)), HYPERLINK("#",""), HYPERLINK(CONCATENATE("#Metadata!", ADDRESS(INDEX($X$2:$X$1001,MATCH(ROWS($V$2:V791),$V$2:$V$1001,0),0), INDEX($AC$1004:$AS$1004,1,MATCH(COLUMNS($AC$1006:AN1006),$AC$1006:$AS$1006,0)))),"Fix")))</f>
        <v>0</v>
      </c>
      <c r="N791" s="5">
        <f>IF(OR(INDEX($W$2:$W$1001,MATCH(ROWS($V$2:V791),$V$2:$V$1001,0),1)&gt;=100000,INDEX($AC$1005:$AS$1005,1,MATCH(COLUMNS($AC$1006:AO1006),$AC$1006:$AS$1006,0))&gt;=100000), " ",IF(INDEX($AC$2:$AS$1001,MATCH(ROWS($V$2:V791),$V$2:$V$1001,0),MATCH(COLUMNS($AC$1006:AO1006),$AC$1006:$AS$1006,0)), HYPERLINK("#",""), HYPERLINK(CONCATENATE("#Metadata!", ADDRESS(INDEX($X$2:$X$1001,MATCH(ROWS($V$2:V791),$V$2:$V$1001,0),0), INDEX($AC$1004:$AS$1004,1,MATCH(COLUMNS($AC$1006:AO1006),$AC$1006:$AS$1006,0)))),"Fix")))</f>
        <v>0</v>
      </c>
      <c r="O791" s="5">
        <f>IF(OR(INDEX($W$2:$W$1001,MATCH(ROWS($V$2:V791),$V$2:$V$1001,0),1)&gt;=100000,INDEX($AC$1005:$AS$1005,1,MATCH(COLUMNS($AC$1006:AP1006),$AC$1006:$AS$1006,0))&gt;=100000), " ",IF(INDEX($AC$2:$AS$1001,MATCH(ROWS($V$2:V791),$V$2:$V$1001,0),MATCH(COLUMNS($AC$1006:AP1006),$AC$1006:$AS$1006,0)), HYPERLINK("#",""), HYPERLINK(CONCATENATE("#Metadata!", ADDRESS(INDEX($X$2:$X$1001,MATCH(ROWS($V$2:V791),$V$2:$V$1001,0),0), INDEX($AC$1004:$AS$1004,1,MATCH(COLUMNS($AC$1006:AP1006),$AC$1006:$AS$1006,0)))),"Fix")))</f>
        <v>0</v>
      </c>
      <c r="P791" s="5">
        <f>IF(OR(INDEX($W$2:$W$1001,MATCH(ROWS($V$2:V791),$V$2:$V$1001,0),1)&gt;=100000,INDEX($AC$1005:$AS$1005,1,MATCH(COLUMNS($AC$1006:AQ1006),$AC$1006:$AS$1006,0))&gt;=100000), " ",IF(INDEX($AC$2:$AS$1001,MATCH(ROWS($V$2:V791),$V$2:$V$1001,0),MATCH(COLUMNS($AC$1006:AQ1006),$AC$1006:$AS$1006,0)), HYPERLINK("#",""), HYPERLINK(CONCATENATE("#Metadata!", ADDRESS(INDEX($X$2:$X$1001,MATCH(ROWS($V$2:V791),$V$2:$V$1001,0),0), INDEX($AC$1004:$AS$1004,1,MATCH(COLUMNS($AC$1006:AQ1006),$AC$1006:$AS$1006,0)))),"Fix")))</f>
        <v>0</v>
      </c>
      <c r="Q791" s="5">
        <f>IF(OR(INDEX($W$2:$W$1001,MATCH(ROWS($V$2:V791),$V$2:$V$1001,0),1)&gt;=100000,INDEX($AC$1005:$AS$1005,1,MATCH(COLUMNS($AC$1006:AR1006),$AC$1006:$AS$1006,0))&gt;=100000), " ",IF(INDEX($AC$2:$AS$1001,MATCH(ROWS($V$2:V791),$V$2:$V$1001,0),MATCH(COLUMNS($AC$1006:AR1006),$AC$1006:$AS$1006,0)), HYPERLINK("#",""), HYPERLINK(CONCATENATE("#Metadata!", ADDRESS(INDEX($X$2:$X$1001,MATCH(ROWS($V$2:V791),$V$2:$V$1001,0),0), INDEX($AC$1004:$AS$1004,1,MATCH(COLUMNS($AC$1006:AR1006),$AC$1006:$AS$1006,0)))),"Fix")))</f>
        <v>0</v>
      </c>
      <c r="R791" s="5">
        <f>IF(OR(INDEX($W$2:$W$1001,MATCH(ROWS($V$2:V791),$V$2:$V$1001,0),1)&gt;=100000,INDEX($AC$1005:$AS$1005,1,MATCH(COLUMNS($AC$1006:AS1006),$AC$1006:$AS$1006,0))&gt;=100000), " ",IF(INDEX($AC$2:$AS$1001,MATCH(ROWS($V$2:V791),$V$2:$V$1001,0),MATCH(COLUMNS($AC$1006:AS1006),$AC$1006:$AS$1006,0)), HYPERLINK("#",""), HYPERLINK(CONCATENATE("#Metadata!", ADDRESS(INDEX($X$2:$X$1001,MATCH(ROWS($V$2:V791),$V$2:$V$1001,0),0), INDEX($AC$1004:$AS$1004,1,MATCH(COLUMNS($AC$1006:AS1006),$AC$1006:$AS$1006,0)))),"Fix")))</f>
        <v>0</v>
      </c>
      <c r="V791">
        <v>0</v>
      </c>
      <c r="W791">
        <v>0</v>
      </c>
      <c r="X791">
        <v>0</v>
      </c>
      <c r="Y791">
        <f>IF(Z791,TRUE,AND(AC791:AS791))</f>
        <v>0</v>
      </c>
      <c r="Z791">
        <f>COUNTBLANK(Metadata!B791:R791)=COLUMNS(Metadata!B791:R791)</f>
        <v>0</v>
      </c>
      <c r="AA791">
        <v>0</v>
      </c>
      <c r="AC791">
        <f>AND(IF(Metadata!B791="",FALSE,TRUE),COUNTIF(Metadata!B:B, Metadata!B791) = 1,NOT(ISERROR(SUMPRODUCT(SEARCH(MID(Metadata!B791,ROW(INDIRECT("1:"&amp;LEN(Metadata!B791))), 1),"0123456789abcdefghijklmnopqrstuvwxyzABCDEFGHIJKLMNOPQRSTUVWXYZ.")))))</f>
        <v>0</v>
      </c>
      <c r="AD791">
        <f>AND(IF(Metadata!C791="",FALSE,TRUE),exact(Metadata!C791,"Host-associated"))</f>
        <v>0</v>
      </c>
      <c r="AE791">
        <f>AND(IF(Metadata!D791="",FALSE,TRUE),OR(exact(Metadata!D791,"Animal"),exact(Metadata!D791,"Fungus"),exact(Metadata!D791,"Plant")))</f>
        <v>0</v>
      </c>
      <c r="AF791">
        <f>AND(IF(Metadata!E791="",FALSE,TRUE),OR(exact(Metadata!E791,"Plant secretion"),exact(Metadata!E791,"Plant rhizosphere"),exact(Metadata!E791,"Plant surface"),exact(Metadata!E791,"Plant corpus"),exact(Metadata!E791,"Fungus surface"),exact(Metadata!E791,"Fungus corpus"),exact(Metadata!E791,"Animal surface"),exact(Metadata!E791,"Animal proximal gut"),exact(Metadata!E791,"Animal corpus"),exact(Metadata!E791,"Animal distal gut"),exact(Metadata!E791,"Animal secretion")))</f>
        <v>0</v>
      </c>
      <c r="AG791">
        <f>OR(AND(IF(Metadata!F791="",FALSE,TRUE),OR(exact(Metadata!F791,"not collected"),exact(Metadata!F791,"not provided"),exact(Metadata!F791,"restricted access"))),AND(IF(Metadata!F791="",FALSE,TRUE),OR(exact(Metadata!F791,"organism-associated habitat"),exact(Metadata!F791,"plant-associated habitat"),exact(Metadata!F791,"animal-associated habitat"),exact(Metadata!F791,"insecta-associated habitat"),exact(Metadata!F791,"mammalia-associated habitat"),exact(Metadata!F791,"human-associated habitat"),exact(Metadata!F791,"livestock-associated habitat"))))</f>
        <v>0</v>
      </c>
      <c r="AH791">
        <f>AND(IF(Metadata!G791="",FALSE,TRUE),exact(Metadata!G791,"host-associated"))</f>
        <v>0</v>
      </c>
      <c r="AI791">
        <f>OR(AND(IF(Metadata!H791="",FALSE,TRUE),OR(exact(Metadata!H791,"not collected"),exact(Metadata!H791,"not provided"))),AND(IF(Metadata!H791="",FALSE,ISNUMBER(VALUE(Metadata!H791))),Metadata!H791&gt;0))</f>
        <v>0</v>
      </c>
      <c r="AJ791">
        <f>AND(IF(Metadata!I791="",FALSE,TRUE),exact(Metadata!I791,"years"))</f>
        <v>0</v>
      </c>
      <c r="AK791">
        <f>IF(Metadata!J791="",FALSE,TRUE)</f>
        <v>0</v>
      </c>
      <c r="AL791">
        <f>OR(AND(IF(Metadata!K791="",FALSE,TRUE),OR(exact(Metadata!K791,"not collected"),exact(Metadata!K791,"not provided"))),AND(IF(Metadata!K791="",FALSE,ISNUMBER(VALUE(Metadata!K791))),Metadata!K791&gt;0))</f>
        <v>0</v>
      </c>
      <c r="AM791">
        <f>AND(IF(Metadata!L791="",FALSE,TRUE),exact(Metadata!L791,"cm"))</f>
        <v>0</v>
      </c>
      <c r="AN791">
        <f>IF(Metadata!M791="",FALSE,TRUE)</f>
        <v>0</v>
      </c>
      <c r="AO791">
        <f>OR(AND(IF(Metadata!N791="",FALSE,TRUE),OR(exact(Metadata!N791,"not applicable"),exact(Metadata!N791,"not collected"),exact(Metadata!N791,"not provided"))),AND(IF(Metadata!N791="",FALSE,IF(ISERROR(INT(Metadata!N791)),FALSE,INT(Metadata!N791)=Metadata!N791)),Metadata!N791&gt;0))</f>
        <v>0</v>
      </c>
      <c r="AP791">
        <f>OR(AND(IF(Metadata!O791="",FALSE,TRUE),OR(exact(Metadata!O791,"not collected"),exact(Metadata!O791,"not provided"))),AND(IF(Metadata!O791="",FALSE,ISNUMBER(VALUE(Metadata!O791))),Metadata!O791&gt;0))</f>
        <v>0</v>
      </c>
      <c r="AQ791">
        <f>AND(IF(Metadata!P791="",FALSE,TRUE),exact(Metadata!P791,"kg"))</f>
        <v>0</v>
      </c>
      <c r="AR791">
        <f>OR(AND(IF(Metadata!Q791="",FALSE,TRUE),OR(exact(Metadata!Q791,"not applicable"),exact(Metadata!Q791,"not collected"),exact(Metadata!Q791,"not provided"),exact(Metadata!Q791,"restricted access"))),IF(Metadata!Q791="",FALSE,IF(ISERROR(INT(Metadata!Q791)),FALSE,INT(Metadata!Q791)=Metadata!Q791)))</f>
        <v>0</v>
      </c>
      <c r="AS791">
        <f>AND(IF(Metadata!R791="",FALSE,TRUE),exact(Metadata!R791,"Not applicable"))</f>
        <v>0</v>
      </c>
    </row>
    <row r="792" spans="1:45">
      <c r="A792" s="4">
        <f>IF(B792=" "," ",HYPERLINK(CONCATENATE("#metadata!",ADDRESS(INDEX($X$2:$X$1001,MATCH(ROWS($V$2:V792),$V$2:$V$1001,0),0),2)),INDEX($AA$2:$AA$1001,MATCH(ROWS($V$2:V792),$V$2:$V$1001,0),0)))</f>
        <v>0</v>
      </c>
      <c r="B792" s="5">
        <f>IF(OR(INDEX($W$2:$W$1001,MATCH(ROWS($V$2:V792),$V$2:$V$1001,0),1)&gt;=100000,INDEX($AC$1005:$AS$1005,1,MATCH(COLUMNS($AC$1006:AC1006),$AC$1006:$AS$1006,0))&gt;=100000), " ",IF(INDEX($AC$2:$AS$1001,MATCH(ROWS($V$2:V792),$V$2:$V$1001,0),MATCH(COLUMNS($AC$1006:AC1006),$AC$1006:$AS$1006,0)), HYPERLINK("#",""), HYPERLINK(CONCATENATE("#Metadata!", ADDRESS(INDEX($X$2:$X$1001,MATCH(ROWS($V$2:V792),$V$2:$V$1001,0),0), INDEX($AC$1004:$AS$1004,1,MATCH(COLUMNS($AC$1006:AC1006),$AC$1006:$AS$1006,0)))),"Fix")))</f>
        <v>0</v>
      </c>
      <c r="C792" s="5">
        <f>IF(OR(INDEX($W$2:$W$1001,MATCH(ROWS($V$2:V792),$V$2:$V$1001,0),1)&gt;=100000,INDEX($AC$1005:$AS$1005,1,MATCH(COLUMNS($AC$1006:AD1006),$AC$1006:$AS$1006,0))&gt;=100000), " ",IF(INDEX($AC$2:$AS$1001,MATCH(ROWS($V$2:V792),$V$2:$V$1001,0),MATCH(COLUMNS($AC$1006:AD1006),$AC$1006:$AS$1006,0)), HYPERLINK("#",""), HYPERLINK(CONCATENATE("#Metadata!", ADDRESS(INDEX($X$2:$X$1001,MATCH(ROWS($V$2:V792),$V$2:$V$1001,0),0), INDEX($AC$1004:$AS$1004,1,MATCH(COLUMNS($AC$1006:AD1006),$AC$1006:$AS$1006,0)))),"Fix")))</f>
        <v>0</v>
      </c>
      <c r="D792" s="5">
        <f>IF(OR(INDEX($W$2:$W$1001,MATCH(ROWS($V$2:V792),$V$2:$V$1001,0),1)&gt;=100000,INDEX($AC$1005:$AS$1005,1,MATCH(COLUMNS($AC$1006:AE1006),$AC$1006:$AS$1006,0))&gt;=100000), " ",IF(INDEX($AC$2:$AS$1001,MATCH(ROWS($V$2:V792),$V$2:$V$1001,0),MATCH(COLUMNS($AC$1006:AE1006),$AC$1006:$AS$1006,0)), HYPERLINK("#",""), HYPERLINK(CONCATENATE("#Metadata!", ADDRESS(INDEX($X$2:$X$1001,MATCH(ROWS($V$2:V792),$V$2:$V$1001,0),0), INDEX($AC$1004:$AS$1004,1,MATCH(COLUMNS($AC$1006:AE1006),$AC$1006:$AS$1006,0)))),"Fix")))</f>
        <v>0</v>
      </c>
      <c r="E792" s="5">
        <f>IF(OR(INDEX($W$2:$W$1001,MATCH(ROWS($V$2:V792),$V$2:$V$1001,0),1)&gt;=100000,INDEX($AC$1005:$AS$1005,1,MATCH(COLUMNS($AC$1006:AF1006),$AC$1006:$AS$1006,0))&gt;=100000), " ",IF(INDEX($AC$2:$AS$1001,MATCH(ROWS($V$2:V792),$V$2:$V$1001,0),MATCH(COLUMNS($AC$1006:AF1006),$AC$1006:$AS$1006,0)), HYPERLINK("#",""), HYPERLINK(CONCATENATE("#Metadata!", ADDRESS(INDEX($X$2:$X$1001,MATCH(ROWS($V$2:V792),$V$2:$V$1001,0),0), INDEX($AC$1004:$AS$1004,1,MATCH(COLUMNS($AC$1006:AF1006),$AC$1006:$AS$1006,0)))),"Fix")))</f>
        <v>0</v>
      </c>
      <c r="F792" s="5">
        <f>IF(OR(INDEX($W$2:$W$1001,MATCH(ROWS($V$2:V792),$V$2:$V$1001,0),1)&gt;=100000,INDEX($AC$1005:$AS$1005,1,MATCH(COLUMNS($AC$1006:AG1006),$AC$1006:$AS$1006,0))&gt;=100000), " ",IF(INDEX($AC$2:$AS$1001,MATCH(ROWS($V$2:V792),$V$2:$V$1001,0),MATCH(COLUMNS($AC$1006:AG1006),$AC$1006:$AS$1006,0)), HYPERLINK("#",""), HYPERLINK(CONCATENATE("#Metadata!", ADDRESS(INDEX($X$2:$X$1001,MATCH(ROWS($V$2:V792),$V$2:$V$1001,0),0), INDEX($AC$1004:$AS$1004,1,MATCH(COLUMNS($AC$1006:AG1006),$AC$1006:$AS$1006,0)))),"Fix")))</f>
        <v>0</v>
      </c>
      <c r="G792" s="5">
        <f>IF(OR(INDEX($W$2:$W$1001,MATCH(ROWS($V$2:V792),$V$2:$V$1001,0),1)&gt;=100000,INDEX($AC$1005:$AS$1005,1,MATCH(COLUMNS($AC$1006:AH1006),$AC$1006:$AS$1006,0))&gt;=100000), " ",IF(INDEX($AC$2:$AS$1001,MATCH(ROWS($V$2:V792),$V$2:$V$1001,0),MATCH(COLUMNS($AC$1006:AH1006),$AC$1006:$AS$1006,0)), HYPERLINK("#",""), HYPERLINK(CONCATENATE("#Metadata!", ADDRESS(INDEX($X$2:$X$1001,MATCH(ROWS($V$2:V792),$V$2:$V$1001,0),0), INDEX($AC$1004:$AS$1004,1,MATCH(COLUMNS($AC$1006:AH1006),$AC$1006:$AS$1006,0)))),"Fix")))</f>
        <v>0</v>
      </c>
      <c r="H792" s="5">
        <f>IF(OR(INDEX($W$2:$W$1001,MATCH(ROWS($V$2:V792),$V$2:$V$1001,0),1)&gt;=100000,INDEX($AC$1005:$AS$1005,1,MATCH(COLUMNS($AC$1006:AI1006),$AC$1006:$AS$1006,0))&gt;=100000), " ",IF(INDEX($AC$2:$AS$1001,MATCH(ROWS($V$2:V792),$V$2:$V$1001,0),MATCH(COLUMNS($AC$1006:AI1006),$AC$1006:$AS$1006,0)), HYPERLINK("#",""), HYPERLINK(CONCATENATE("#Metadata!", ADDRESS(INDEX($X$2:$X$1001,MATCH(ROWS($V$2:V792),$V$2:$V$1001,0),0), INDEX($AC$1004:$AS$1004,1,MATCH(COLUMNS($AC$1006:AI1006),$AC$1006:$AS$1006,0)))),"Fix")))</f>
        <v>0</v>
      </c>
      <c r="I792" s="5">
        <f>IF(OR(INDEX($W$2:$W$1001,MATCH(ROWS($V$2:V792),$V$2:$V$1001,0),1)&gt;=100000,INDEX($AC$1005:$AS$1005,1,MATCH(COLUMNS($AC$1006:AJ1006),$AC$1006:$AS$1006,0))&gt;=100000), " ",IF(INDEX($AC$2:$AS$1001,MATCH(ROWS($V$2:V792),$V$2:$V$1001,0),MATCH(COLUMNS($AC$1006:AJ1006),$AC$1006:$AS$1006,0)), HYPERLINK("#",""), HYPERLINK(CONCATENATE("#Metadata!", ADDRESS(INDEX($X$2:$X$1001,MATCH(ROWS($V$2:V792),$V$2:$V$1001,0),0), INDEX($AC$1004:$AS$1004,1,MATCH(COLUMNS($AC$1006:AJ1006),$AC$1006:$AS$1006,0)))),"Fix")))</f>
        <v>0</v>
      </c>
      <c r="J792" s="5">
        <f>IF(OR(INDEX($W$2:$W$1001,MATCH(ROWS($V$2:V792),$V$2:$V$1001,0),1)&gt;=100000,INDEX($AC$1005:$AS$1005,1,MATCH(COLUMNS($AC$1006:AK1006),$AC$1006:$AS$1006,0))&gt;=100000), " ",IF(INDEX($AC$2:$AS$1001,MATCH(ROWS($V$2:V792),$V$2:$V$1001,0),MATCH(COLUMNS($AC$1006:AK1006),$AC$1006:$AS$1006,0)), HYPERLINK("#",""), HYPERLINK(CONCATENATE("#Metadata!", ADDRESS(INDEX($X$2:$X$1001,MATCH(ROWS($V$2:V792),$V$2:$V$1001,0),0), INDEX($AC$1004:$AS$1004,1,MATCH(COLUMNS($AC$1006:AK1006),$AC$1006:$AS$1006,0)))),"Fix")))</f>
        <v>0</v>
      </c>
      <c r="K792" s="5">
        <f>IF(OR(INDEX($W$2:$W$1001,MATCH(ROWS($V$2:V792),$V$2:$V$1001,0),1)&gt;=100000,INDEX($AC$1005:$AS$1005,1,MATCH(COLUMNS($AC$1006:AL1006),$AC$1006:$AS$1006,0))&gt;=100000), " ",IF(INDEX($AC$2:$AS$1001,MATCH(ROWS($V$2:V792),$V$2:$V$1001,0),MATCH(COLUMNS($AC$1006:AL1006),$AC$1006:$AS$1006,0)), HYPERLINK("#",""), HYPERLINK(CONCATENATE("#Metadata!", ADDRESS(INDEX($X$2:$X$1001,MATCH(ROWS($V$2:V792),$V$2:$V$1001,0),0), INDEX($AC$1004:$AS$1004,1,MATCH(COLUMNS($AC$1006:AL1006),$AC$1006:$AS$1006,0)))),"Fix")))</f>
        <v>0</v>
      </c>
      <c r="L792" s="5">
        <f>IF(OR(INDEX($W$2:$W$1001,MATCH(ROWS($V$2:V792),$V$2:$V$1001,0),1)&gt;=100000,INDEX($AC$1005:$AS$1005,1,MATCH(COLUMNS($AC$1006:AM1006),$AC$1006:$AS$1006,0))&gt;=100000), " ",IF(INDEX($AC$2:$AS$1001,MATCH(ROWS($V$2:V792),$V$2:$V$1001,0),MATCH(COLUMNS($AC$1006:AM1006),$AC$1006:$AS$1006,0)), HYPERLINK("#",""), HYPERLINK(CONCATENATE("#Metadata!", ADDRESS(INDEX($X$2:$X$1001,MATCH(ROWS($V$2:V792),$V$2:$V$1001,0),0), INDEX($AC$1004:$AS$1004,1,MATCH(COLUMNS($AC$1006:AM1006),$AC$1006:$AS$1006,0)))),"Fix")))</f>
        <v>0</v>
      </c>
      <c r="M792" s="5">
        <f>IF(OR(INDEX($W$2:$W$1001,MATCH(ROWS($V$2:V792),$V$2:$V$1001,0),1)&gt;=100000,INDEX($AC$1005:$AS$1005,1,MATCH(COLUMNS($AC$1006:AN1006),$AC$1006:$AS$1006,0))&gt;=100000), " ",IF(INDEX($AC$2:$AS$1001,MATCH(ROWS($V$2:V792),$V$2:$V$1001,0),MATCH(COLUMNS($AC$1006:AN1006),$AC$1006:$AS$1006,0)), HYPERLINK("#",""), HYPERLINK(CONCATENATE("#Metadata!", ADDRESS(INDEX($X$2:$X$1001,MATCH(ROWS($V$2:V792),$V$2:$V$1001,0),0), INDEX($AC$1004:$AS$1004,1,MATCH(COLUMNS($AC$1006:AN1006),$AC$1006:$AS$1006,0)))),"Fix")))</f>
        <v>0</v>
      </c>
      <c r="N792" s="5">
        <f>IF(OR(INDEX($W$2:$W$1001,MATCH(ROWS($V$2:V792),$V$2:$V$1001,0),1)&gt;=100000,INDEX($AC$1005:$AS$1005,1,MATCH(COLUMNS($AC$1006:AO1006),$AC$1006:$AS$1006,0))&gt;=100000), " ",IF(INDEX($AC$2:$AS$1001,MATCH(ROWS($V$2:V792),$V$2:$V$1001,0),MATCH(COLUMNS($AC$1006:AO1006),$AC$1006:$AS$1006,0)), HYPERLINK("#",""), HYPERLINK(CONCATENATE("#Metadata!", ADDRESS(INDEX($X$2:$X$1001,MATCH(ROWS($V$2:V792),$V$2:$V$1001,0),0), INDEX($AC$1004:$AS$1004,1,MATCH(COLUMNS($AC$1006:AO1006),$AC$1006:$AS$1006,0)))),"Fix")))</f>
        <v>0</v>
      </c>
      <c r="O792" s="5">
        <f>IF(OR(INDEX($W$2:$W$1001,MATCH(ROWS($V$2:V792),$V$2:$V$1001,0),1)&gt;=100000,INDEX($AC$1005:$AS$1005,1,MATCH(COLUMNS($AC$1006:AP1006),$AC$1006:$AS$1006,0))&gt;=100000), " ",IF(INDEX($AC$2:$AS$1001,MATCH(ROWS($V$2:V792),$V$2:$V$1001,0),MATCH(COLUMNS($AC$1006:AP1006),$AC$1006:$AS$1006,0)), HYPERLINK("#",""), HYPERLINK(CONCATENATE("#Metadata!", ADDRESS(INDEX($X$2:$X$1001,MATCH(ROWS($V$2:V792),$V$2:$V$1001,0),0), INDEX($AC$1004:$AS$1004,1,MATCH(COLUMNS($AC$1006:AP1006),$AC$1006:$AS$1006,0)))),"Fix")))</f>
        <v>0</v>
      </c>
      <c r="P792" s="5">
        <f>IF(OR(INDEX($W$2:$W$1001,MATCH(ROWS($V$2:V792),$V$2:$V$1001,0),1)&gt;=100000,INDEX($AC$1005:$AS$1005,1,MATCH(COLUMNS($AC$1006:AQ1006),$AC$1006:$AS$1006,0))&gt;=100000), " ",IF(INDEX($AC$2:$AS$1001,MATCH(ROWS($V$2:V792),$V$2:$V$1001,0),MATCH(COLUMNS($AC$1006:AQ1006),$AC$1006:$AS$1006,0)), HYPERLINK("#",""), HYPERLINK(CONCATENATE("#Metadata!", ADDRESS(INDEX($X$2:$X$1001,MATCH(ROWS($V$2:V792),$V$2:$V$1001,0),0), INDEX($AC$1004:$AS$1004,1,MATCH(COLUMNS($AC$1006:AQ1006),$AC$1006:$AS$1006,0)))),"Fix")))</f>
        <v>0</v>
      </c>
      <c r="Q792" s="5">
        <f>IF(OR(INDEX($W$2:$W$1001,MATCH(ROWS($V$2:V792),$V$2:$V$1001,0),1)&gt;=100000,INDEX($AC$1005:$AS$1005,1,MATCH(COLUMNS($AC$1006:AR1006),$AC$1006:$AS$1006,0))&gt;=100000), " ",IF(INDEX($AC$2:$AS$1001,MATCH(ROWS($V$2:V792),$V$2:$V$1001,0),MATCH(COLUMNS($AC$1006:AR1006),$AC$1006:$AS$1006,0)), HYPERLINK("#",""), HYPERLINK(CONCATENATE("#Metadata!", ADDRESS(INDEX($X$2:$X$1001,MATCH(ROWS($V$2:V792),$V$2:$V$1001,0),0), INDEX($AC$1004:$AS$1004,1,MATCH(COLUMNS($AC$1006:AR1006),$AC$1006:$AS$1006,0)))),"Fix")))</f>
        <v>0</v>
      </c>
      <c r="R792" s="5">
        <f>IF(OR(INDEX($W$2:$W$1001,MATCH(ROWS($V$2:V792),$V$2:$V$1001,0),1)&gt;=100000,INDEX($AC$1005:$AS$1005,1,MATCH(COLUMNS($AC$1006:AS1006),$AC$1006:$AS$1006,0))&gt;=100000), " ",IF(INDEX($AC$2:$AS$1001,MATCH(ROWS($V$2:V792),$V$2:$V$1001,0),MATCH(COLUMNS($AC$1006:AS1006),$AC$1006:$AS$1006,0)), HYPERLINK("#",""), HYPERLINK(CONCATENATE("#Metadata!", ADDRESS(INDEX($X$2:$X$1001,MATCH(ROWS($V$2:V792),$V$2:$V$1001,0),0), INDEX($AC$1004:$AS$1004,1,MATCH(COLUMNS($AC$1006:AS1006),$AC$1006:$AS$1006,0)))),"Fix")))</f>
        <v>0</v>
      </c>
      <c r="V792">
        <v>0</v>
      </c>
      <c r="W792">
        <v>0</v>
      </c>
      <c r="X792">
        <v>0</v>
      </c>
      <c r="Y792">
        <f>IF(Z792,TRUE,AND(AC792:AS792))</f>
        <v>0</v>
      </c>
      <c r="Z792">
        <f>COUNTBLANK(Metadata!B792:R792)=COLUMNS(Metadata!B792:R792)</f>
        <v>0</v>
      </c>
      <c r="AA792">
        <v>0</v>
      </c>
      <c r="AC792">
        <f>AND(IF(Metadata!B792="",FALSE,TRUE),COUNTIF(Metadata!B:B, Metadata!B792) = 1,NOT(ISERROR(SUMPRODUCT(SEARCH(MID(Metadata!B792,ROW(INDIRECT("1:"&amp;LEN(Metadata!B792))), 1),"0123456789abcdefghijklmnopqrstuvwxyzABCDEFGHIJKLMNOPQRSTUVWXYZ.")))))</f>
        <v>0</v>
      </c>
      <c r="AD792">
        <f>AND(IF(Metadata!C792="",FALSE,TRUE),exact(Metadata!C792,"Host-associated"))</f>
        <v>0</v>
      </c>
      <c r="AE792">
        <f>AND(IF(Metadata!D792="",FALSE,TRUE),OR(exact(Metadata!D792,"Animal"),exact(Metadata!D792,"Fungus"),exact(Metadata!D792,"Plant")))</f>
        <v>0</v>
      </c>
      <c r="AF792">
        <f>AND(IF(Metadata!E792="",FALSE,TRUE),OR(exact(Metadata!E792,"Plant secretion"),exact(Metadata!E792,"Plant rhizosphere"),exact(Metadata!E792,"Plant surface"),exact(Metadata!E792,"Plant corpus"),exact(Metadata!E792,"Fungus surface"),exact(Metadata!E792,"Fungus corpus"),exact(Metadata!E792,"Animal surface"),exact(Metadata!E792,"Animal proximal gut"),exact(Metadata!E792,"Animal corpus"),exact(Metadata!E792,"Animal distal gut"),exact(Metadata!E792,"Animal secretion")))</f>
        <v>0</v>
      </c>
      <c r="AG792">
        <f>OR(AND(IF(Metadata!F792="",FALSE,TRUE),OR(exact(Metadata!F792,"not collected"),exact(Metadata!F792,"not provided"),exact(Metadata!F792,"restricted access"))),AND(IF(Metadata!F792="",FALSE,TRUE),OR(exact(Metadata!F792,"organism-associated habitat"),exact(Metadata!F792,"plant-associated habitat"),exact(Metadata!F792,"animal-associated habitat"),exact(Metadata!F792,"insecta-associated habitat"),exact(Metadata!F792,"mammalia-associated habitat"),exact(Metadata!F792,"human-associated habitat"),exact(Metadata!F792,"livestock-associated habitat"))))</f>
        <v>0</v>
      </c>
      <c r="AH792">
        <f>AND(IF(Metadata!G792="",FALSE,TRUE),exact(Metadata!G792,"host-associated"))</f>
        <v>0</v>
      </c>
      <c r="AI792">
        <f>OR(AND(IF(Metadata!H792="",FALSE,TRUE),OR(exact(Metadata!H792,"not collected"),exact(Metadata!H792,"not provided"))),AND(IF(Metadata!H792="",FALSE,ISNUMBER(VALUE(Metadata!H792))),Metadata!H792&gt;0))</f>
        <v>0</v>
      </c>
      <c r="AJ792">
        <f>AND(IF(Metadata!I792="",FALSE,TRUE),exact(Metadata!I792,"years"))</f>
        <v>0</v>
      </c>
      <c r="AK792">
        <f>IF(Metadata!J792="",FALSE,TRUE)</f>
        <v>0</v>
      </c>
      <c r="AL792">
        <f>OR(AND(IF(Metadata!K792="",FALSE,TRUE),OR(exact(Metadata!K792,"not collected"),exact(Metadata!K792,"not provided"))),AND(IF(Metadata!K792="",FALSE,ISNUMBER(VALUE(Metadata!K792))),Metadata!K792&gt;0))</f>
        <v>0</v>
      </c>
      <c r="AM792">
        <f>AND(IF(Metadata!L792="",FALSE,TRUE),exact(Metadata!L792,"cm"))</f>
        <v>0</v>
      </c>
      <c r="AN792">
        <f>IF(Metadata!M792="",FALSE,TRUE)</f>
        <v>0</v>
      </c>
      <c r="AO792">
        <f>OR(AND(IF(Metadata!N792="",FALSE,TRUE),OR(exact(Metadata!N792,"not applicable"),exact(Metadata!N792,"not collected"),exact(Metadata!N792,"not provided"))),AND(IF(Metadata!N792="",FALSE,IF(ISERROR(INT(Metadata!N792)),FALSE,INT(Metadata!N792)=Metadata!N792)),Metadata!N792&gt;0))</f>
        <v>0</v>
      </c>
      <c r="AP792">
        <f>OR(AND(IF(Metadata!O792="",FALSE,TRUE),OR(exact(Metadata!O792,"not collected"),exact(Metadata!O792,"not provided"))),AND(IF(Metadata!O792="",FALSE,ISNUMBER(VALUE(Metadata!O792))),Metadata!O792&gt;0))</f>
        <v>0</v>
      </c>
      <c r="AQ792">
        <f>AND(IF(Metadata!P792="",FALSE,TRUE),exact(Metadata!P792,"kg"))</f>
        <v>0</v>
      </c>
      <c r="AR792">
        <f>OR(AND(IF(Metadata!Q792="",FALSE,TRUE),OR(exact(Metadata!Q792,"not applicable"),exact(Metadata!Q792,"not collected"),exact(Metadata!Q792,"not provided"),exact(Metadata!Q792,"restricted access"))),IF(Metadata!Q792="",FALSE,IF(ISERROR(INT(Metadata!Q792)),FALSE,INT(Metadata!Q792)=Metadata!Q792)))</f>
        <v>0</v>
      </c>
      <c r="AS792">
        <f>AND(IF(Metadata!R792="",FALSE,TRUE),exact(Metadata!R792,"Not applicable"))</f>
        <v>0</v>
      </c>
    </row>
    <row r="793" spans="1:45">
      <c r="A793" s="4">
        <f>IF(B793=" "," ",HYPERLINK(CONCATENATE("#metadata!",ADDRESS(INDEX($X$2:$X$1001,MATCH(ROWS($V$2:V793),$V$2:$V$1001,0),0),2)),INDEX($AA$2:$AA$1001,MATCH(ROWS($V$2:V793),$V$2:$V$1001,0),0)))</f>
        <v>0</v>
      </c>
      <c r="B793" s="5">
        <f>IF(OR(INDEX($W$2:$W$1001,MATCH(ROWS($V$2:V793),$V$2:$V$1001,0),1)&gt;=100000,INDEX($AC$1005:$AS$1005,1,MATCH(COLUMNS($AC$1006:AC1006),$AC$1006:$AS$1006,0))&gt;=100000), " ",IF(INDEX($AC$2:$AS$1001,MATCH(ROWS($V$2:V793),$V$2:$V$1001,0),MATCH(COLUMNS($AC$1006:AC1006),$AC$1006:$AS$1006,0)), HYPERLINK("#",""), HYPERLINK(CONCATENATE("#Metadata!", ADDRESS(INDEX($X$2:$X$1001,MATCH(ROWS($V$2:V793),$V$2:$V$1001,0),0), INDEX($AC$1004:$AS$1004,1,MATCH(COLUMNS($AC$1006:AC1006),$AC$1006:$AS$1006,0)))),"Fix")))</f>
        <v>0</v>
      </c>
      <c r="C793" s="5">
        <f>IF(OR(INDEX($W$2:$W$1001,MATCH(ROWS($V$2:V793),$V$2:$V$1001,0),1)&gt;=100000,INDEX($AC$1005:$AS$1005,1,MATCH(COLUMNS($AC$1006:AD1006),$AC$1006:$AS$1006,0))&gt;=100000), " ",IF(INDEX($AC$2:$AS$1001,MATCH(ROWS($V$2:V793),$V$2:$V$1001,0),MATCH(COLUMNS($AC$1006:AD1006),$AC$1006:$AS$1006,0)), HYPERLINK("#",""), HYPERLINK(CONCATENATE("#Metadata!", ADDRESS(INDEX($X$2:$X$1001,MATCH(ROWS($V$2:V793),$V$2:$V$1001,0),0), INDEX($AC$1004:$AS$1004,1,MATCH(COLUMNS($AC$1006:AD1006),$AC$1006:$AS$1006,0)))),"Fix")))</f>
        <v>0</v>
      </c>
      <c r="D793" s="5">
        <f>IF(OR(INDEX($W$2:$W$1001,MATCH(ROWS($V$2:V793),$V$2:$V$1001,0),1)&gt;=100000,INDEX($AC$1005:$AS$1005,1,MATCH(COLUMNS($AC$1006:AE1006),$AC$1006:$AS$1006,0))&gt;=100000), " ",IF(INDEX($AC$2:$AS$1001,MATCH(ROWS($V$2:V793),$V$2:$V$1001,0),MATCH(COLUMNS($AC$1006:AE1006),$AC$1006:$AS$1006,0)), HYPERLINK("#",""), HYPERLINK(CONCATENATE("#Metadata!", ADDRESS(INDEX($X$2:$X$1001,MATCH(ROWS($V$2:V793),$V$2:$V$1001,0),0), INDEX($AC$1004:$AS$1004,1,MATCH(COLUMNS($AC$1006:AE1006),$AC$1006:$AS$1006,0)))),"Fix")))</f>
        <v>0</v>
      </c>
      <c r="E793" s="5">
        <f>IF(OR(INDEX($W$2:$W$1001,MATCH(ROWS($V$2:V793),$V$2:$V$1001,0),1)&gt;=100000,INDEX($AC$1005:$AS$1005,1,MATCH(COLUMNS($AC$1006:AF1006),$AC$1006:$AS$1006,0))&gt;=100000), " ",IF(INDEX($AC$2:$AS$1001,MATCH(ROWS($V$2:V793),$V$2:$V$1001,0),MATCH(COLUMNS($AC$1006:AF1006),$AC$1006:$AS$1006,0)), HYPERLINK("#",""), HYPERLINK(CONCATENATE("#Metadata!", ADDRESS(INDEX($X$2:$X$1001,MATCH(ROWS($V$2:V793),$V$2:$V$1001,0),0), INDEX($AC$1004:$AS$1004,1,MATCH(COLUMNS($AC$1006:AF1006),$AC$1006:$AS$1006,0)))),"Fix")))</f>
        <v>0</v>
      </c>
      <c r="F793" s="5">
        <f>IF(OR(INDEX($W$2:$W$1001,MATCH(ROWS($V$2:V793),$V$2:$V$1001,0),1)&gt;=100000,INDEX($AC$1005:$AS$1005,1,MATCH(COLUMNS($AC$1006:AG1006),$AC$1006:$AS$1006,0))&gt;=100000), " ",IF(INDEX($AC$2:$AS$1001,MATCH(ROWS($V$2:V793),$V$2:$V$1001,0),MATCH(COLUMNS($AC$1006:AG1006),$AC$1006:$AS$1006,0)), HYPERLINK("#",""), HYPERLINK(CONCATENATE("#Metadata!", ADDRESS(INDEX($X$2:$X$1001,MATCH(ROWS($V$2:V793),$V$2:$V$1001,0),0), INDEX($AC$1004:$AS$1004,1,MATCH(COLUMNS($AC$1006:AG1006),$AC$1006:$AS$1006,0)))),"Fix")))</f>
        <v>0</v>
      </c>
      <c r="G793" s="5">
        <f>IF(OR(INDEX($W$2:$W$1001,MATCH(ROWS($V$2:V793),$V$2:$V$1001,0),1)&gt;=100000,INDEX($AC$1005:$AS$1005,1,MATCH(COLUMNS($AC$1006:AH1006),$AC$1006:$AS$1006,0))&gt;=100000), " ",IF(INDEX($AC$2:$AS$1001,MATCH(ROWS($V$2:V793),$V$2:$V$1001,0),MATCH(COLUMNS($AC$1006:AH1006),$AC$1006:$AS$1006,0)), HYPERLINK("#",""), HYPERLINK(CONCATENATE("#Metadata!", ADDRESS(INDEX($X$2:$X$1001,MATCH(ROWS($V$2:V793),$V$2:$V$1001,0),0), INDEX($AC$1004:$AS$1004,1,MATCH(COLUMNS($AC$1006:AH1006),$AC$1006:$AS$1006,0)))),"Fix")))</f>
        <v>0</v>
      </c>
      <c r="H793" s="5">
        <f>IF(OR(INDEX($W$2:$W$1001,MATCH(ROWS($V$2:V793),$V$2:$V$1001,0),1)&gt;=100000,INDEX($AC$1005:$AS$1005,1,MATCH(COLUMNS($AC$1006:AI1006),$AC$1006:$AS$1006,0))&gt;=100000), " ",IF(INDEX($AC$2:$AS$1001,MATCH(ROWS($V$2:V793),$V$2:$V$1001,0),MATCH(COLUMNS($AC$1006:AI1006),$AC$1006:$AS$1006,0)), HYPERLINK("#",""), HYPERLINK(CONCATENATE("#Metadata!", ADDRESS(INDEX($X$2:$X$1001,MATCH(ROWS($V$2:V793),$V$2:$V$1001,0),0), INDEX($AC$1004:$AS$1004,1,MATCH(COLUMNS($AC$1006:AI1006),$AC$1006:$AS$1006,0)))),"Fix")))</f>
        <v>0</v>
      </c>
      <c r="I793" s="5">
        <f>IF(OR(INDEX($W$2:$W$1001,MATCH(ROWS($V$2:V793),$V$2:$V$1001,0),1)&gt;=100000,INDEX($AC$1005:$AS$1005,1,MATCH(COLUMNS($AC$1006:AJ1006),$AC$1006:$AS$1006,0))&gt;=100000), " ",IF(INDEX($AC$2:$AS$1001,MATCH(ROWS($V$2:V793),$V$2:$V$1001,0),MATCH(COLUMNS($AC$1006:AJ1006),$AC$1006:$AS$1006,0)), HYPERLINK("#",""), HYPERLINK(CONCATENATE("#Metadata!", ADDRESS(INDEX($X$2:$X$1001,MATCH(ROWS($V$2:V793),$V$2:$V$1001,0),0), INDEX($AC$1004:$AS$1004,1,MATCH(COLUMNS($AC$1006:AJ1006),$AC$1006:$AS$1006,0)))),"Fix")))</f>
        <v>0</v>
      </c>
      <c r="J793" s="5">
        <f>IF(OR(INDEX($W$2:$W$1001,MATCH(ROWS($V$2:V793),$V$2:$V$1001,0),1)&gt;=100000,INDEX($AC$1005:$AS$1005,1,MATCH(COLUMNS($AC$1006:AK1006),$AC$1006:$AS$1006,0))&gt;=100000), " ",IF(INDEX($AC$2:$AS$1001,MATCH(ROWS($V$2:V793),$V$2:$V$1001,0),MATCH(COLUMNS($AC$1006:AK1006),$AC$1006:$AS$1006,0)), HYPERLINK("#",""), HYPERLINK(CONCATENATE("#Metadata!", ADDRESS(INDEX($X$2:$X$1001,MATCH(ROWS($V$2:V793),$V$2:$V$1001,0),0), INDEX($AC$1004:$AS$1004,1,MATCH(COLUMNS($AC$1006:AK1006),$AC$1006:$AS$1006,0)))),"Fix")))</f>
        <v>0</v>
      </c>
      <c r="K793" s="5">
        <f>IF(OR(INDEX($W$2:$W$1001,MATCH(ROWS($V$2:V793),$V$2:$V$1001,0),1)&gt;=100000,INDEX($AC$1005:$AS$1005,1,MATCH(COLUMNS($AC$1006:AL1006),$AC$1006:$AS$1006,0))&gt;=100000), " ",IF(INDEX($AC$2:$AS$1001,MATCH(ROWS($V$2:V793),$V$2:$V$1001,0),MATCH(COLUMNS($AC$1006:AL1006),$AC$1006:$AS$1006,0)), HYPERLINK("#",""), HYPERLINK(CONCATENATE("#Metadata!", ADDRESS(INDEX($X$2:$X$1001,MATCH(ROWS($V$2:V793),$V$2:$V$1001,0),0), INDEX($AC$1004:$AS$1004,1,MATCH(COLUMNS($AC$1006:AL1006),$AC$1006:$AS$1006,0)))),"Fix")))</f>
        <v>0</v>
      </c>
      <c r="L793" s="5">
        <f>IF(OR(INDEX($W$2:$W$1001,MATCH(ROWS($V$2:V793),$V$2:$V$1001,0),1)&gt;=100000,INDEX($AC$1005:$AS$1005,1,MATCH(COLUMNS($AC$1006:AM1006),$AC$1006:$AS$1006,0))&gt;=100000), " ",IF(INDEX($AC$2:$AS$1001,MATCH(ROWS($V$2:V793),$V$2:$V$1001,0),MATCH(COLUMNS($AC$1006:AM1006),$AC$1006:$AS$1006,0)), HYPERLINK("#",""), HYPERLINK(CONCATENATE("#Metadata!", ADDRESS(INDEX($X$2:$X$1001,MATCH(ROWS($V$2:V793),$V$2:$V$1001,0),0), INDEX($AC$1004:$AS$1004,1,MATCH(COLUMNS($AC$1006:AM1006),$AC$1006:$AS$1006,0)))),"Fix")))</f>
        <v>0</v>
      </c>
      <c r="M793" s="5">
        <f>IF(OR(INDEX($W$2:$W$1001,MATCH(ROWS($V$2:V793),$V$2:$V$1001,0),1)&gt;=100000,INDEX($AC$1005:$AS$1005,1,MATCH(COLUMNS($AC$1006:AN1006),$AC$1006:$AS$1006,0))&gt;=100000), " ",IF(INDEX($AC$2:$AS$1001,MATCH(ROWS($V$2:V793),$V$2:$V$1001,0),MATCH(COLUMNS($AC$1006:AN1006),$AC$1006:$AS$1006,0)), HYPERLINK("#",""), HYPERLINK(CONCATENATE("#Metadata!", ADDRESS(INDEX($X$2:$X$1001,MATCH(ROWS($V$2:V793),$V$2:$V$1001,0),0), INDEX($AC$1004:$AS$1004,1,MATCH(COLUMNS($AC$1006:AN1006),$AC$1006:$AS$1006,0)))),"Fix")))</f>
        <v>0</v>
      </c>
      <c r="N793" s="5">
        <f>IF(OR(INDEX($W$2:$W$1001,MATCH(ROWS($V$2:V793),$V$2:$V$1001,0),1)&gt;=100000,INDEX($AC$1005:$AS$1005,1,MATCH(COLUMNS($AC$1006:AO1006),$AC$1006:$AS$1006,0))&gt;=100000), " ",IF(INDEX($AC$2:$AS$1001,MATCH(ROWS($V$2:V793),$V$2:$V$1001,0),MATCH(COLUMNS($AC$1006:AO1006),$AC$1006:$AS$1006,0)), HYPERLINK("#",""), HYPERLINK(CONCATENATE("#Metadata!", ADDRESS(INDEX($X$2:$X$1001,MATCH(ROWS($V$2:V793),$V$2:$V$1001,0),0), INDEX($AC$1004:$AS$1004,1,MATCH(COLUMNS($AC$1006:AO1006),$AC$1006:$AS$1006,0)))),"Fix")))</f>
        <v>0</v>
      </c>
      <c r="O793" s="5">
        <f>IF(OR(INDEX($W$2:$W$1001,MATCH(ROWS($V$2:V793),$V$2:$V$1001,0),1)&gt;=100000,INDEX($AC$1005:$AS$1005,1,MATCH(COLUMNS($AC$1006:AP1006),$AC$1006:$AS$1006,0))&gt;=100000), " ",IF(INDEX($AC$2:$AS$1001,MATCH(ROWS($V$2:V793),$V$2:$V$1001,0),MATCH(COLUMNS($AC$1006:AP1006),$AC$1006:$AS$1006,0)), HYPERLINK("#",""), HYPERLINK(CONCATENATE("#Metadata!", ADDRESS(INDEX($X$2:$X$1001,MATCH(ROWS($V$2:V793),$V$2:$V$1001,0),0), INDEX($AC$1004:$AS$1004,1,MATCH(COLUMNS($AC$1006:AP1006),$AC$1006:$AS$1006,0)))),"Fix")))</f>
        <v>0</v>
      </c>
      <c r="P793" s="5">
        <f>IF(OR(INDEX($W$2:$W$1001,MATCH(ROWS($V$2:V793),$V$2:$V$1001,0),1)&gt;=100000,INDEX($AC$1005:$AS$1005,1,MATCH(COLUMNS($AC$1006:AQ1006),$AC$1006:$AS$1006,0))&gt;=100000), " ",IF(INDEX($AC$2:$AS$1001,MATCH(ROWS($V$2:V793),$V$2:$V$1001,0),MATCH(COLUMNS($AC$1006:AQ1006),$AC$1006:$AS$1006,0)), HYPERLINK("#",""), HYPERLINK(CONCATENATE("#Metadata!", ADDRESS(INDEX($X$2:$X$1001,MATCH(ROWS($V$2:V793),$V$2:$V$1001,0),0), INDEX($AC$1004:$AS$1004,1,MATCH(COLUMNS($AC$1006:AQ1006),$AC$1006:$AS$1006,0)))),"Fix")))</f>
        <v>0</v>
      </c>
      <c r="Q793" s="5">
        <f>IF(OR(INDEX($W$2:$W$1001,MATCH(ROWS($V$2:V793),$V$2:$V$1001,0),1)&gt;=100000,INDEX($AC$1005:$AS$1005,1,MATCH(COLUMNS($AC$1006:AR1006),$AC$1006:$AS$1006,0))&gt;=100000), " ",IF(INDEX($AC$2:$AS$1001,MATCH(ROWS($V$2:V793),$V$2:$V$1001,0),MATCH(COLUMNS($AC$1006:AR1006),$AC$1006:$AS$1006,0)), HYPERLINK("#",""), HYPERLINK(CONCATENATE("#Metadata!", ADDRESS(INDEX($X$2:$X$1001,MATCH(ROWS($V$2:V793),$V$2:$V$1001,0),0), INDEX($AC$1004:$AS$1004,1,MATCH(COLUMNS($AC$1006:AR1006),$AC$1006:$AS$1006,0)))),"Fix")))</f>
        <v>0</v>
      </c>
      <c r="R793" s="5">
        <f>IF(OR(INDEX($W$2:$W$1001,MATCH(ROWS($V$2:V793),$V$2:$V$1001,0),1)&gt;=100000,INDEX($AC$1005:$AS$1005,1,MATCH(COLUMNS($AC$1006:AS1006),$AC$1006:$AS$1006,0))&gt;=100000), " ",IF(INDEX($AC$2:$AS$1001,MATCH(ROWS($V$2:V793),$V$2:$V$1001,0),MATCH(COLUMNS($AC$1006:AS1006),$AC$1006:$AS$1006,0)), HYPERLINK("#",""), HYPERLINK(CONCATENATE("#Metadata!", ADDRESS(INDEX($X$2:$X$1001,MATCH(ROWS($V$2:V793),$V$2:$V$1001,0),0), INDEX($AC$1004:$AS$1004,1,MATCH(COLUMNS($AC$1006:AS1006),$AC$1006:$AS$1006,0)))),"Fix")))</f>
        <v>0</v>
      </c>
      <c r="V793">
        <v>0</v>
      </c>
      <c r="W793">
        <v>0</v>
      </c>
      <c r="X793">
        <v>0</v>
      </c>
      <c r="Y793">
        <f>IF(Z793,TRUE,AND(AC793:AS793))</f>
        <v>0</v>
      </c>
      <c r="Z793">
        <f>COUNTBLANK(Metadata!B793:R793)=COLUMNS(Metadata!B793:R793)</f>
        <v>0</v>
      </c>
      <c r="AA793">
        <v>0</v>
      </c>
      <c r="AC793">
        <f>AND(IF(Metadata!B793="",FALSE,TRUE),COUNTIF(Metadata!B:B, Metadata!B793) = 1,NOT(ISERROR(SUMPRODUCT(SEARCH(MID(Metadata!B793,ROW(INDIRECT("1:"&amp;LEN(Metadata!B793))), 1),"0123456789abcdefghijklmnopqrstuvwxyzABCDEFGHIJKLMNOPQRSTUVWXYZ.")))))</f>
        <v>0</v>
      </c>
      <c r="AD793">
        <f>AND(IF(Metadata!C793="",FALSE,TRUE),exact(Metadata!C793,"Host-associated"))</f>
        <v>0</v>
      </c>
      <c r="AE793">
        <f>AND(IF(Metadata!D793="",FALSE,TRUE),OR(exact(Metadata!D793,"Animal"),exact(Metadata!D793,"Fungus"),exact(Metadata!D793,"Plant")))</f>
        <v>0</v>
      </c>
      <c r="AF793">
        <f>AND(IF(Metadata!E793="",FALSE,TRUE),OR(exact(Metadata!E793,"Plant secretion"),exact(Metadata!E793,"Plant rhizosphere"),exact(Metadata!E793,"Plant surface"),exact(Metadata!E793,"Plant corpus"),exact(Metadata!E793,"Fungus surface"),exact(Metadata!E793,"Fungus corpus"),exact(Metadata!E793,"Animal surface"),exact(Metadata!E793,"Animal proximal gut"),exact(Metadata!E793,"Animal corpus"),exact(Metadata!E793,"Animal distal gut"),exact(Metadata!E793,"Animal secretion")))</f>
        <v>0</v>
      </c>
      <c r="AG793">
        <f>OR(AND(IF(Metadata!F793="",FALSE,TRUE),OR(exact(Metadata!F793,"not collected"),exact(Metadata!F793,"not provided"),exact(Metadata!F793,"restricted access"))),AND(IF(Metadata!F793="",FALSE,TRUE),OR(exact(Metadata!F793,"organism-associated habitat"),exact(Metadata!F793,"plant-associated habitat"),exact(Metadata!F793,"animal-associated habitat"),exact(Metadata!F793,"insecta-associated habitat"),exact(Metadata!F793,"mammalia-associated habitat"),exact(Metadata!F793,"human-associated habitat"),exact(Metadata!F793,"livestock-associated habitat"))))</f>
        <v>0</v>
      </c>
      <c r="AH793">
        <f>AND(IF(Metadata!G793="",FALSE,TRUE),exact(Metadata!G793,"host-associated"))</f>
        <v>0</v>
      </c>
      <c r="AI793">
        <f>OR(AND(IF(Metadata!H793="",FALSE,TRUE),OR(exact(Metadata!H793,"not collected"),exact(Metadata!H793,"not provided"))),AND(IF(Metadata!H793="",FALSE,ISNUMBER(VALUE(Metadata!H793))),Metadata!H793&gt;0))</f>
        <v>0</v>
      </c>
      <c r="AJ793">
        <f>AND(IF(Metadata!I793="",FALSE,TRUE),exact(Metadata!I793,"years"))</f>
        <v>0</v>
      </c>
      <c r="AK793">
        <f>IF(Metadata!J793="",FALSE,TRUE)</f>
        <v>0</v>
      </c>
      <c r="AL793">
        <f>OR(AND(IF(Metadata!K793="",FALSE,TRUE),OR(exact(Metadata!K793,"not collected"),exact(Metadata!K793,"not provided"))),AND(IF(Metadata!K793="",FALSE,ISNUMBER(VALUE(Metadata!K793))),Metadata!K793&gt;0))</f>
        <v>0</v>
      </c>
      <c r="AM793">
        <f>AND(IF(Metadata!L793="",FALSE,TRUE),exact(Metadata!L793,"cm"))</f>
        <v>0</v>
      </c>
      <c r="AN793">
        <f>IF(Metadata!M793="",FALSE,TRUE)</f>
        <v>0</v>
      </c>
      <c r="AO793">
        <f>OR(AND(IF(Metadata!N793="",FALSE,TRUE),OR(exact(Metadata!N793,"not applicable"),exact(Metadata!N793,"not collected"),exact(Metadata!N793,"not provided"))),AND(IF(Metadata!N793="",FALSE,IF(ISERROR(INT(Metadata!N793)),FALSE,INT(Metadata!N793)=Metadata!N793)),Metadata!N793&gt;0))</f>
        <v>0</v>
      </c>
      <c r="AP793">
        <f>OR(AND(IF(Metadata!O793="",FALSE,TRUE),OR(exact(Metadata!O793,"not collected"),exact(Metadata!O793,"not provided"))),AND(IF(Metadata!O793="",FALSE,ISNUMBER(VALUE(Metadata!O793))),Metadata!O793&gt;0))</f>
        <v>0</v>
      </c>
      <c r="AQ793">
        <f>AND(IF(Metadata!P793="",FALSE,TRUE),exact(Metadata!P793,"kg"))</f>
        <v>0</v>
      </c>
      <c r="AR793">
        <f>OR(AND(IF(Metadata!Q793="",FALSE,TRUE),OR(exact(Metadata!Q793,"not applicable"),exact(Metadata!Q793,"not collected"),exact(Metadata!Q793,"not provided"),exact(Metadata!Q793,"restricted access"))),IF(Metadata!Q793="",FALSE,IF(ISERROR(INT(Metadata!Q793)),FALSE,INT(Metadata!Q793)=Metadata!Q793)))</f>
        <v>0</v>
      </c>
      <c r="AS793">
        <f>AND(IF(Metadata!R793="",FALSE,TRUE),exact(Metadata!R793,"Not applicable"))</f>
        <v>0</v>
      </c>
    </row>
    <row r="794" spans="1:45">
      <c r="A794" s="4">
        <f>IF(B794=" "," ",HYPERLINK(CONCATENATE("#metadata!",ADDRESS(INDEX($X$2:$X$1001,MATCH(ROWS($V$2:V794),$V$2:$V$1001,0),0),2)),INDEX($AA$2:$AA$1001,MATCH(ROWS($V$2:V794),$V$2:$V$1001,0),0)))</f>
        <v>0</v>
      </c>
      <c r="B794" s="5">
        <f>IF(OR(INDEX($W$2:$W$1001,MATCH(ROWS($V$2:V794),$V$2:$V$1001,0),1)&gt;=100000,INDEX($AC$1005:$AS$1005,1,MATCH(COLUMNS($AC$1006:AC1006),$AC$1006:$AS$1006,0))&gt;=100000), " ",IF(INDEX($AC$2:$AS$1001,MATCH(ROWS($V$2:V794),$V$2:$V$1001,0),MATCH(COLUMNS($AC$1006:AC1006),$AC$1006:$AS$1006,0)), HYPERLINK("#",""), HYPERLINK(CONCATENATE("#Metadata!", ADDRESS(INDEX($X$2:$X$1001,MATCH(ROWS($V$2:V794),$V$2:$V$1001,0),0), INDEX($AC$1004:$AS$1004,1,MATCH(COLUMNS($AC$1006:AC1006),$AC$1006:$AS$1006,0)))),"Fix")))</f>
        <v>0</v>
      </c>
      <c r="C794" s="5">
        <f>IF(OR(INDEX($W$2:$W$1001,MATCH(ROWS($V$2:V794),$V$2:$V$1001,0),1)&gt;=100000,INDEX($AC$1005:$AS$1005,1,MATCH(COLUMNS($AC$1006:AD1006),$AC$1006:$AS$1006,0))&gt;=100000), " ",IF(INDEX($AC$2:$AS$1001,MATCH(ROWS($V$2:V794),$V$2:$V$1001,0),MATCH(COLUMNS($AC$1006:AD1006),$AC$1006:$AS$1006,0)), HYPERLINK("#",""), HYPERLINK(CONCATENATE("#Metadata!", ADDRESS(INDEX($X$2:$X$1001,MATCH(ROWS($V$2:V794),$V$2:$V$1001,0),0), INDEX($AC$1004:$AS$1004,1,MATCH(COLUMNS($AC$1006:AD1006),$AC$1006:$AS$1006,0)))),"Fix")))</f>
        <v>0</v>
      </c>
      <c r="D794" s="5">
        <f>IF(OR(INDEX($W$2:$W$1001,MATCH(ROWS($V$2:V794),$V$2:$V$1001,0),1)&gt;=100000,INDEX($AC$1005:$AS$1005,1,MATCH(COLUMNS($AC$1006:AE1006),$AC$1006:$AS$1006,0))&gt;=100000), " ",IF(INDEX($AC$2:$AS$1001,MATCH(ROWS($V$2:V794),$V$2:$V$1001,0),MATCH(COLUMNS($AC$1006:AE1006),$AC$1006:$AS$1006,0)), HYPERLINK("#",""), HYPERLINK(CONCATENATE("#Metadata!", ADDRESS(INDEX($X$2:$X$1001,MATCH(ROWS($V$2:V794),$V$2:$V$1001,0),0), INDEX($AC$1004:$AS$1004,1,MATCH(COLUMNS($AC$1006:AE1006),$AC$1006:$AS$1006,0)))),"Fix")))</f>
        <v>0</v>
      </c>
      <c r="E794" s="5">
        <f>IF(OR(INDEX($W$2:$W$1001,MATCH(ROWS($V$2:V794),$V$2:$V$1001,0),1)&gt;=100000,INDEX($AC$1005:$AS$1005,1,MATCH(COLUMNS($AC$1006:AF1006),$AC$1006:$AS$1006,0))&gt;=100000), " ",IF(INDEX($AC$2:$AS$1001,MATCH(ROWS($V$2:V794),$V$2:$V$1001,0),MATCH(COLUMNS($AC$1006:AF1006),$AC$1006:$AS$1006,0)), HYPERLINK("#",""), HYPERLINK(CONCATENATE("#Metadata!", ADDRESS(INDEX($X$2:$X$1001,MATCH(ROWS($V$2:V794),$V$2:$V$1001,0),0), INDEX($AC$1004:$AS$1004,1,MATCH(COLUMNS($AC$1006:AF1006),$AC$1006:$AS$1006,0)))),"Fix")))</f>
        <v>0</v>
      </c>
      <c r="F794" s="5">
        <f>IF(OR(INDEX($W$2:$W$1001,MATCH(ROWS($V$2:V794),$V$2:$V$1001,0),1)&gt;=100000,INDEX($AC$1005:$AS$1005,1,MATCH(COLUMNS($AC$1006:AG1006),$AC$1006:$AS$1006,0))&gt;=100000), " ",IF(INDEX($AC$2:$AS$1001,MATCH(ROWS($V$2:V794),$V$2:$V$1001,0),MATCH(COLUMNS($AC$1006:AG1006),$AC$1006:$AS$1006,0)), HYPERLINK("#",""), HYPERLINK(CONCATENATE("#Metadata!", ADDRESS(INDEX($X$2:$X$1001,MATCH(ROWS($V$2:V794),$V$2:$V$1001,0),0), INDEX($AC$1004:$AS$1004,1,MATCH(COLUMNS($AC$1006:AG1006),$AC$1006:$AS$1006,0)))),"Fix")))</f>
        <v>0</v>
      </c>
      <c r="G794" s="5">
        <f>IF(OR(INDEX($W$2:$W$1001,MATCH(ROWS($V$2:V794),$V$2:$V$1001,0),1)&gt;=100000,INDEX($AC$1005:$AS$1005,1,MATCH(COLUMNS($AC$1006:AH1006),$AC$1006:$AS$1006,0))&gt;=100000), " ",IF(INDEX($AC$2:$AS$1001,MATCH(ROWS($V$2:V794),$V$2:$V$1001,0),MATCH(COLUMNS($AC$1006:AH1006),$AC$1006:$AS$1006,0)), HYPERLINK("#",""), HYPERLINK(CONCATENATE("#Metadata!", ADDRESS(INDEX($X$2:$X$1001,MATCH(ROWS($V$2:V794),$V$2:$V$1001,0),0), INDEX($AC$1004:$AS$1004,1,MATCH(COLUMNS($AC$1006:AH1006),$AC$1006:$AS$1006,0)))),"Fix")))</f>
        <v>0</v>
      </c>
      <c r="H794" s="5">
        <f>IF(OR(INDEX($W$2:$W$1001,MATCH(ROWS($V$2:V794),$V$2:$V$1001,0),1)&gt;=100000,INDEX($AC$1005:$AS$1005,1,MATCH(COLUMNS($AC$1006:AI1006),$AC$1006:$AS$1006,0))&gt;=100000), " ",IF(INDEX($AC$2:$AS$1001,MATCH(ROWS($V$2:V794),$V$2:$V$1001,0),MATCH(COLUMNS($AC$1006:AI1006),$AC$1006:$AS$1006,0)), HYPERLINK("#",""), HYPERLINK(CONCATENATE("#Metadata!", ADDRESS(INDEX($X$2:$X$1001,MATCH(ROWS($V$2:V794),$V$2:$V$1001,0),0), INDEX($AC$1004:$AS$1004,1,MATCH(COLUMNS($AC$1006:AI1006),$AC$1006:$AS$1006,0)))),"Fix")))</f>
        <v>0</v>
      </c>
      <c r="I794" s="5">
        <f>IF(OR(INDEX($W$2:$W$1001,MATCH(ROWS($V$2:V794),$V$2:$V$1001,0),1)&gt;=100000,INDEX($AC$1005:$AS$1005,1,MATCH(COLUMNS($AC$1006:AJ1006),$AC$1006:$AS$1006,0))&gt;=100000), " ",IF(INDEX($AC$2:$AS$1001,MATCH(ROWS($V$2:V794),$V$2:$V$1001,0),MATCH(COLUMNS($AC$1006:AJ1006),$AC$1006:$AS$1006,0)), HYPERLINK("#",""), HYPERLINK(CONCATENATE("#Metadata!", ADDRESS(INDEX($X$2:$X$1001,MATCH(ROWS($V$2:V794),$V$2:$V$1001,0),0), INDEX($AC$1004:$AS$1004,1,MATCH(COLUMNS($AC$1006:AJ1006),$AC$1006:$AS$1006,0)))),"Fix")))</f>
        <v>0</v>
      </c>
      <c r="J794" s="5">
        <f>IF(OR(INDEX($W$2:$W$1001,MATCH(ROWS($V$2:V794),$V$2:$V$1001,0),1)&gt;=100000,INDEX($AC$1005:$AS$1005,1,MATCH(COLUMNS($AC$1006:AK1006),$AC$1006:$AS$1006,0))&gt;=100000), " ",IF(INDEX($AC$2:$AS$1001,MATCH(ROWS($V$2:V794),$V$2:$V$1001,0),MATCH(COLUMNS($AC$1006:AK1006),$AC$1006:$AS$1006,0)), HYPERLINK("#",""), HYPERLINK(CONCATENATE("#Metadata!", ADDRESS(INDEX($X$2:$X$1001,MATCH(ROWS($V$2:V794),$V$2:$V$1001,0),0), INDEX($AC$1004:$AS$1004,1,MATCH(COLUMNS($AC$1006:AK1006),$AC$1006:$AS$1006,0)))),"Fix")))</f>
        <v>0</v>
      </c>
      <c r="K794" s="5">
        <f>IF(OR(INDEX($W$2:$W$1001,MATCH(ROWS($V$2:V794),$V$2:$V$1001,0),1)&gt;=100000,INDEX($AC$1005:$AS$1005,1,MATCH(COLUMNS($AC$1006:AL1006),$AC$1006:$AS$1006,0))&gt;=100000), " ",IF(INDEX($AC$2:$AS$1001,MATCH(ROWS($V$2:V794),$V$2:$V$1001,0),MATCH(COLUMNS($AC$1006:AL1006),$AC$1006:$AS$1006,0)), HYPERLINK("#",""), HYPERLINK(CONCATENATE("#Metadata!", ADDRESS(INDEX($X$2:$X$1001,MATCH(ROWS($V$2:V794),$V$2:$V$1001,0),0), INDEX($AC$1004:$AS$1004,1,MATCH(COLUMNS($AC$1006:AL1006),$AC$1006:$AS$1006,0)))),"Fix")))</f>
        <v>0</v>
      </c>
      <c r="L794" s="5">
        <f>IF(OR(INDEX($W$2:$W$1001,MATCH(ROWS($V$2:V794),$V$2:$V$1001,0),1)&gt;=100000,INDEX($AC$1005:$AS$1005,1,MATCH(COLUMNS($AC$1006:AM1006),$AC$1006:$AS$1006,0))&gt;=100000), " ",IF(INDEX($AC$2:$AS$1001,MATCH(ROWS($V$2:V794),$V$2:$V$1001,0),MATCH(COLUMNS($AC$1006:AM1006),$AC$1006:$AS$1006,0)), HYPERLINK("#",""), HYPERLINK(CONCATENATE("#Metadata!", ADDRESS(INDEX($X$2:$X$1001,MATCH(ROWS($V$2:V794),$V$2:$V$1001,0),0), INDEX($AC$1004:$AS$1004,1,MATCH(COLUMNS($AC$1006:AM1006),$AC$1006:$AS$1006,0)))),"Fix")))</f>
        <v>0</v>
      </c>
      <c r="M794" s="5">
        <f>IF(OR(INDEX($W$2:$W$1001,MATCH(ROWS($V$2:V794),$V$2:$V$1001,0),1)&gt;=100000,INDEX($AC$1005:$AS$1005,1,MATCH(COLUMNS($AC$1006:AN1006),$AC$1006:$AS$1006,0))&gt;=100000), " ",IF(INDEX($AC$2:$AS$1001,MATCH(ROWS($V$2:V794),$V$2:$V$1001,0),MATCH(COLUMNS($AC$1006:AN1006),$AC$1006:$AS$1006,0)), HYPERLINK("#",""), HYPERLINK(CONCATENATE("#Metadata!", ADDRESS(INDEX($X$2:$X$1001,MATCH(ROWS($V$2:V794),$V$2:$V$1001,0),0), INDEX($AC$1004:$AS$1004,1,MATCH(COLUMNS($AC$1006:AN1006),$AC$1006:$AS$1006,0)))),"Fix")))</f>
        <v>0</v>
      </c>
      <c r="N794" s="5">
        <f>IF(OR(INDEX($W$2:$W$1001,MATCH(ROWS($V$2:V794),$V$2:$V$1001,0),1)&gt;=100000,INDEX($AC$1005:$AS$1005,1,MATCH(COLUMNS($AC$1006:AO1006),$AC$1006:$AS$1006,0))&gt;=100000), " ",IF(INDEX($AC$2:$AS$1001,MATCH(ROWS($V$2:V794),$V$2:$V$1001,0),MATCH(COLUMNS($AC$1006:AO1006),$AC$1006:$AS$1006,0)), HYPERLINK("#",""), HYPERLINK(CONCATENATE("#Metadata!", ADDRESS(INDEX($X$2:$X$1001,MATCH(ROWS($V$2:V794),$V$2:$V$1001,0),0), INDEX($AC$1004:$AS$1004,1,MATCH(COLUMNS($AC$1006:AO1006),$AC$1006:$AS$1006,0)))),"Fix")))</f>
        <v>0</v>
      </c>
      <c r="O794" s="5">
        <f>IF(OR(INDEX($W$2:$W$1001,MATCH(ROWS($V$2:V794),$V$2:$V$1001,0),1)&gt;=100000,INDEX($AC$1005:$AS$1005,1,MATCH(COLUMNS($AC$1006:AP1006),$AC$1006:$AS$1006,0))&gt;=100000), " ",IF(INDEX($AC$2:$AS$1001,MATCH(ROWS($V$2:V794),$V$2:$V$1001,0),MATCH(COLUMNS($AC$1006:AP1006),$AC$1006:$AS$1006,0)), HYPERLINK("#",""), HYPERLINK(CONCATENATE("#Metadata!", ADDRESS(INDEX($X$2:$X$1001,MATCH(ROWS($V$2:V794),$V$2:$V$1001,0),0), INDEX($AC$1004:$AS$1004,1,MATCH(COLUMNS($AC$1006:AP1006),$AC$1006:$AS$1006,0)))),"Fix")))</f>
        <v>0</v>
      </c>
      <c r="P794" s="5">
        <f>IF(OR(INDEX($W$2:$W$1001,MATCH(ROWS($V$2:V794),$V$2:$V$1001,0),1)&gt;=100000,INDEX($AC$1005:$AS$1005,1,MATCH(COLUMNS($AC$1006:AQ1006),$AC$1006:$AS$1006,0))&gt;=100000), " ",IF(INDEX($AC$2:$AS$1001,MATCH(ROWS($V$2:V794),$V$2:$V$1001,0),MATCH(COLUMNS($AC$1006:AQ1006),$AC$1006:$AS$1006,0)), HYPERLINK("#",""), HYPERLINK(CONCATENATE("#Metadata!", ADDRESS(INDEX($X$2:$X$1001,MATCH(ROWS($V$2:V794),$V$2:$V$1001,0),0), INDEX($AC$1004:$AS$1004,1,MATCH(COLUMNS($AC$1006:AQ1006),$AC$1006:$AS$1006,0)))),"Fix")))</f>
        <v>0</v>
      </c>
      <c r="Q794" s="5">
        <f>IF(OR(INDEX($W$2:$W$1001,MATCH(ROWS($V$2:V794),$V$2:$V$1001,0),1)&gt;=100000,INDEX($AC$1005:$AS$1005,1,MATCH(COLUMNS($AC$1006:AR1006),$AC$1006:$AS$1006,0))&gt;=100000), " ",IF(INDEX($AC$2:$AS$1001,MATCH(ROWS($V$2:V794),$V$2:$V$1001,0),MATCH(COLUMNS($AC$1006:AR1006),$AC$1006:$AS$1006,0)), HYPERLINK("#",""), HYPERLINK(CONCATENATE("#Metadata!", ADDRESS(INDEX($X$2:$X$1001,MATCH(ROWS($V$2:V794),$V$2:$V$1001,0),0), INDEX($AC$1004:$AS$1004,1,MATCH(COLUMNS($AC$1006:AR1006),$AC$1006:$AS$1006,0)))),"Fix")))</f>
        <v>0</v>
      </c>
      <c r="R794" s="5">
        <f>IF(OR(INDEX($W$2:$W$1001,MATCH(ROWS($V$2:V794),$V$2:$V$1001,0),1)&gt;=100000,INDEX($AC$1005:$AS$1005,1,MATCH(COLUMNS($AC$1006:AS1006),$AC$1006:$AS$1006,0))&gt;=100000), " ",IF(INDEX($AC$2:$AS$1001,MATCH(ROWS($V$2:V794),$V$2:$V$1001,0),MATCH(COLUMNS($AC$1006:AS1006),$AC$1006:$AS$1006,0)), HYPERLINK("#",""), HYPERLINK(CONCATENATE("#Metadata!", ADDRESS(INDEX($X$2:$X$1001,MATCH(ROWS($V$2:V794),$V$2:$V$1001,0),0), INDEX($AC$1004:$AS$1004,1,MATCH(COLUMNS($AC$1006:AS1006),$AC$1006:$AS$1006,0)))),"Fix")))</f>
        <v>0</v>
      </c>
      <c r="V794">
        <v>0</v>
      </c>
      <c r="W794">
        <v>0</v>
      </c>
      <c r="X794">
        <v>0</v>
      </c>
      <c r="Y794">
        <f>IF(Z794,TRUE,AND(AC794:AS794))</f>
        <v>0</v>
      </c>
      <c r="Z794">
        <f>COUNTBLANK(Metadata!B794:R794)=COLUMNS(Metadata!B794:R794)</f>
        <v>0</v>
      </c>
      <c r="AA794">
        <v>0</v>
      </c>
      <c r="AC794">
        <f>AND(IF(Metadata!B794="",FALSE,TRUE),COUNTIF(Metadata!B:B, Metadata!B794) = 1,NOT(ISERROR(SUMPRODUCT(SEARCH(MID(Metadata!B794,ROW(INDIRECT("1:"&amp;LEN(Metadata!B794))), 1),"0123456789abcdefghijklmnopqrstuvwxyzABCDEFGHIJKLMNOPQRSTUVWXYZ.")))))</f>
        <v>0</v>
      </c>
      <c r="AD794">
        <f>AND(IF(Metadata!C794="",FALSE,TRUE),exact(Metadata!C794,"Host-associated"))</f>
        <v>0</v>
      </c>
      <c r="AE794">
        <f>AND(IF(Metadata!D794="",FALSE,TRUE),OR(exact(Metadata!D794,"Animal"),exact(Metadata!D794,"Fungus"),exact(Metadata!D794,"Plant")))</f>
        <v>0</v>
      </c>
      <c r="AF794">
        <f>AND(IF(Metadata!E794="",FALSE,TRUE),OR(exact(Metadata!E794,"Plant secretion"),exact(Metadata!E794,"Plant rhizosphere"),exact(Metadata!E794,"Plant surface"),exact(Metadata!E794,"Plant corpus"),exact(Metadata!E794,"Fungus surface"),exact(Metadata!E794,"Fungus corpus"),exact(Metadata!E794,"Animal surface"),exact(Metadata!E794,"Animal proximal gut"),exact(Metadata!E794,"Animal corpus"),exact(Metadata!E794,"Animal distal gut"),exact(Metadata!E794,"Animal secretion")))</f>
        <v>0</v>
      </c>
      <c r="AG794">
        <f>OR(AND(IF(Metadata!F794="",FALSE,TRUE),OR(exact(Metadata!F794,"not collected"),exact(Metadata!F794,"not provided"),exact(Metadata!F794,"restricted access"))),AND(IF(Metadata!F794="",FALSE,TRUE),OR(exact(Metadata!F794,"organism-associated habitat"),exact(Metadata!F794,"plant-associated habitat"),exact(Metadata!F794,"animal-associated habitat"),exact(Metadata!F794,"insecta-associated habitat"),exact(Metadata!F794,"mammalia-associated habitat"),exact(Metadata!F794,"human-associated habitat"),exact(Metadata!F794,"livestock-associated habitat"))))</f>
        <v>0</v>
      </c>
      <c r="AH794">
        <f>AND(IF(Metadata!G794="",FALSE,TRUE),exact(Metadata!G794,"host-associated"))</f>
        <v>0</v>
      </c>
      <c r="AI794">
        <f>OR(AND(IF(Metadata!H794="",FALSE,TRUE),OR(exact(Metadata!H794,"not collected"),exact(Metadata!H794,"not provided"))),AND(IF(Metadata!H794="",FALSE,ISNUMBER(VALUE(Metadata!H794))),Metadata!H794&gt;0))</f>
        <v>0</v>
      </c>
      <c r="AJ794">
        <f>AND(IF(Metadata!I794="",FALSE,TRUE),exact(Metadata!I794,"years"))</f>
        <v>0</v>
      </c>
      <c r="AK794">
        <f>IF(Metadata!J794="",FALSE,TRUE)</f>
        <v>0</v>
      </c>
      <c r="AL794">
        <f>OR(AND(IF(Metadata!K794="",FALSE,TRUE),OR(exact(Metadata!K794,"not collected"),exact(Metadata!K794,"not provided"))),AND(IF(Metadata!K794="",FALSE,ISNUMBER(VALUE(Metadata!K794))),Metadata!K794&gt;0))</f>
        <v>0</v>
      </c>
      <c r="AM794">
        <f>AND(IF(Metadata!L794="",FALSE,TRUE),exact(Metadata!L794,"cm"))</f>
        <v>0</v>
      </c>
      <c r="AN794">
        <f>IF(Metadata!M794="",FALSE,TRUE)</f>
        <v>0</v>
      </c>
      <c r="AO794">
        <f>OR(AND(IF(Metadata!N794="",FALSE,TRUE),OR(exact(Metadata!N794,"not applicable"),exact(Metadata!N794,"not collected"),exact(Metadata!N794,"not provided"))),AND(IF(Metadata!N794="",FALSE,IF(ISERROR(INT(Metadata!N794)),FALSE,INT(Metadata!N794)=Metadata!N794)),Metadata!N794&gt;0))</f>
        <v>0</v>
      </c>
      <c r="AP794">
        <f>OR(AND(IF(Metadata!O794="",FALSE,TRUE),OR(exact(Metadata!O794,"not collected"),exact(Metadata!O794,"not provided"))),AND(IF(Metadata!O794="",FALSE,ISNUMBER(VALUE(Metadata!O794))),Metadata!O794&gt;0))</f>
        <v>0</v>
      </c>
      <c r="AQ794">
        <f>AND(IF(Metadata!P794="",FALSE,TRUE),exact(Metadata!P794,"kg"))</f>
        <v>0</v>
      </c>
      <c r="AR794">
        <f>OR(AND(IF(Metadata!Q794="",FALSE,TRUE),OR(exact(Metadata!Q794,"not applicable"),exact(Metadata!Q794,"not collected"),exact(Metadata!Q794,"not provided"),exact(Metadata!Q794,"restricted access"))),IF(Metadata!Q794="",FALSE,IF(ISERROR(INT(Metadata!Q794)),FALSE,INT(Metadata!Q794)=Metadata!Q794)))</f>
        <v>0</v>
      </c>
      <c r="AS794">
        <f>AND(IF(Metadata!R794="",FALSE,TRUE),exact(Metadata!R794,"Not applicable"))</f>
        <v>0</v>
      </c>
    </row>
    <row r="795" spans="1:45">
      <c r="A795" s="4">
        <f>IF(B795=" "," ",HYPERLINK(CONCATENATE("#metadata!",ADDRESS(INDEX($X$2:$X$1001,MATCH(ROWS($V$2:V795),$V$2:$V$1001,0),0),2)),INDEX($AA$2:$AA$1001,MATCH(ROWS($V$2:V795),$V$2:$V$1001,0),0)))</f>
        <v>0</v>
      </c>
      <c r="B795" s="5">
        <f>IF(OR(INDEX($W$2:$W$1001,MATCH(ROWS($V$2:V795),$V$2:$V$1001,0),1)&gt;=100000,INDEX($AC$1005:$AS$1005,1,MATCH(COLUMNS($AC$1006:AC1006),$AC$1006:$AS$1006,0))&gt;=100000), " ",IF(INDEX($AC$2:$AS$1001,MATCH(ROWS($V$2:V795),$V$2:$V$1001,0),MATCH(COLUMNS($AC$1006:AC1006),$AC$1006:$AS$1006,0)), HYPERLINK("#",""), HYPERLINK(CONCATENATE("#Metadata!", ADDRESS(INDEX($X$2:$X$1001,MATCH(ROWS($V$2:V795),$V$2:$V$1001,0),0), INDEX($AC$1004:$AS$1004,1,MATCH(COLUMNS($AC$1006:AC1006),$AC$1006:$AS$1006,0)))),"Fix")))</f>
        <v>0</v>
      </c>
      <c r="C795" s="5">
        <f>IF(OR(INDEX($W$2:$W$1001,MATCH(ROWS($V$2:V795),$V$2:$V$1001,0),1)&gt;=100000,INDEX($AC$1005:$AS$1005,1,MATCH(COLUMNS($AC$1006:AD1006),$AC$1006:$AS$1006,0))&gt;=100000), " ",IF(INDEX($AC$2:$AS$1001,MATCH(ROWS($V$2:V795),$V$2:$V$1001,0),MATCH(COLUMNS($AC$1006:AD1006),$AC$1006:$AS$1006,0)), HYPERLINK("#",""), HYPERLINK(CONCATENATE("#Metadata!", ADDRESS(INDEX($X$2:$X$1001,MATCH(ROWS($V$2:V795),$V$2:$V$1001,0),0), INDEX($AC$1004:$AS$1004,1,MATCH(COLUMNS($AC$1006:AD1006),$AC$1006:$AS$1006,0)))),"Fix")))</f>
        <v>0</v>
      </c>
      <c r="D795" s="5">
        <f>IF(OR(INDEX($W$2:$W$1001,MATCH(ROWS($V$2:V795),$V$2:$V$1001,0),1)&gt;=100000,INDEX($AC$1005:$AS$1005,1,MATCH(COLUMNS($AC$1006:AE1006),$AC$1006:$AS$1006,0))&gt;=100000), " ",IF(INDEX($AC$2:$AS$1001,MATCH(ROWS($V$2:V795),$V$2:$V$1001,0),MATCH(COLUMNS($AC$1006:AE1006),$AC$1006:$AS$1006,0)), HYPERLINK("#",""), HYPERLINK(CONCATENATE("#Metadata!", ADDRESS(INDEX($X$2:$X$1001,MATCH(ROWS($V$2:V795),$V$2:$V$1001,0),0), INDEX($AC$1004:$AS$1004,1,MATCH(COLUMNS($AC$1006:AE1006),$AC$1006:$AS$1006,0)))),"Fix")))</f>
        <v>0</v>
      </c>
      <c r="E795" s="5">
        <f>IF(OR(INDEX($W$2:$W$1001,MATCH(ROWS($V$2:V795),$V$2:$V$1001,0),1)&gt;=100000,INDEX($AC$1005:$AS$1005,1,MATCH(COLUMNS($AC$1006:AF1006),$AC$1006:$AS$1006,0))&gt;=100000), " ",IF(INDEX($AC$2:$AS$1001,MATCH(ROWS($V$2:V795),$V$2:$V$1001,0),MATCH(COLUMNS($AC$1006:AF1006),$AC$1006:$AS$1006,0)), HYPERLINK("#",""), HYPERLINK(CONCATENATE("#Metadata!", ADDRESS(INDEX($X$2:$X$1001,MATCH(ROWS($V$2:V795),$V$2:$V$1001,0),0), INDEX($AC$1004:$AS$1004,1,MATCH(COLUMNS($AC$1006:AF1006),$AC$1006:$AS$1006,0)))),"Fix")))</f>
        <v>0</v>
      </c>
      <c r="F795" s="5">
        <f>IF(OR(INDEX($W$2:$W$1001,MATCH(ROWS($V$2:V795),$V$2:$V$1001,0),1)&gt;=100000,INDEX($AC$1005:$AS$1005,1,MATCH(COLUMNS($AC$1006:AG1006),$AC$1006:$AS$1006,0))&gt;=100000), " ",IF(INDEX($AC$2:$AS$1001,MATCH(ROWS($V$2:V795),$V$2:$V$1001,0),MATCH(COLUMNS($AC$1006:AG1006),$AC$1006:$AS$1006,0)), HYPERLINK("#",""), HYPERLINK(CONCATENATE("#Metadata!", ADDRESS(INDEX($X$2:$X$1001,MATCH(ROWS($V$2:V795),$V$2:$V$1001,0),0), INDEX($AC$1004:$AS$1004,1,MATCH(COLUMNS($AC$1006:AG1006),$AC$1006:$AS$1006,0)))),"Fix")))</f>
        <v>0</v>
      </c>
      <c r="G795" s="5">
        <f>IF(OR(INDEX($W$2:$W$1001,MATCH(ROWS($V$2:V795),$V$2:$V$1001,0),1)&gt;=100000,INDEX($AC$1005:$AS$1005,1,MATCH(COLUMNS($AC$1006:AH1006),$AC$1006:$AS$1006,0))&gt;=100000), " ",IF(INDEX($AC$2:$AS$1001,MATCH(ROWS($V$2:V795),$V$2:$V$1001,0),MATCH(COLUMNS($AC$1006:AH1006),$AC$1006:$AS$1006,0)), HYPERLINK("#",""), HYPERLINK(CONCATENATE("#Metadata!", ADDRESS(INDEX($X$2:$X$1001,MATCH(ROWS($V$2:V795),$V$2:$V$1001,0),0), INDEX($AC$1004:$AS$1004,1,MATCH(COLUMNS($AC$1006:AH1006),$AC$1006:$AS$1006,0)))),"Fix")))</f>
        <v>0</v>
      </c>
      <c r="H795" s="5">
        <f>IF(OR(INDEX($W$2:$W$1001,MATCH(ROWS($V$2:V795),$V$2:$V$1001,0),1)&gt;=100000,INDEX($AC$1005:$AS$1005,1,MATCH(COLUMNS($AC$1006:AI1006),$AC$1006:$AS$1006,0))&gt;=100000), " ",IF(INDEX($AC$2:$AS$1001,MATCH(ROWS($V$2:V795),$V$2:$V$1001,0),MATCH(COLUMNS($AC$1006:AI1006),$AC$1006:$AS$1006,0)), HYPERLINK("#",""), HYPERLINK(CONCATENATE("#Metadata!", ADDRESS(INDEX($X$2:$X$1001,MATCH(ROWS($V$2:V795),$V$2:$V$1001,0),0), INDEX($AC$1004:$AS$1004,1,MATCH(COLUMNS($AC$1006:AI1006),$AC$1006:$AS$1006,0)))),"Fix")))</f>
        <v>0</v>
      </c>
      <c r="I795" s="5">
        <f>IF(OR(INDEX($W$2:$W$1001,MATCH(ROWS($V$2:V795),$V$2:$V$1001,0),1)&gt;=100000,INDEX($AC$1005:$AS$1005,1,MATCH(COLUMNS($AC$1006:AJ1006),$AC$1006:$AS$1006,0))&gt;=100000), " ",IF(INDEX($AC$2:$AS$1001,MATCH(ROWS($V$2:V795),$V$2:$V$1001,0),MATCH(COLUMNS($AC$1006:AJ1006),$AC$1006:$AS$1006,0)), HYPERLINK("#",""), HYPERLINK(CONCATENATE("#Metadata!", ADDRESS(INDEX($X$2:$X$1001,MATCH(ROWS($V$2:V795),$V$2:$V$1001,0),0), INDEX($AC$1004:$AS$1004,1,MATCH(COLUMNS($AC$1006:AJ1006),$AC$1006:$AS$1006,0)))),"Fix")))</f>
        <v>0</v>
      </c>
      <c r="J795" s="5">
        <f>IF(OR(INDEX($W$2:$W$1001,MATCH(ROWS($V$2:V795),$V$2:$V$1001,0),1)&gt;=100000,INDEX($AC$1005:$AS$1005,1,MATCH(COLUMNS($AC$1006:AK1006),$AC$1006:$AS$1006,0))&gt;=100000), " ",IF(INDEX($AC$2:$AS$1001,MATCH(ROWS($V$2:V795),$V$2:$V$1001,0),MATCH(COLUMNS($AC$1006:AK1006),$AC$1006:$AS$1006,0)), HYPERLINK("#",""), HYPERLINK(CONCATENATE("#Metadata!", ADDRESS(INDEX($X$2:$X$1001,MATCH(ROWS($V$2:V795),$V$2:$V$1001,0),0), INDEX($AC$1004:$AS$1004,1,MATCH(COLUMNS($AC$1006:AK1006),$AC$1006:$AS$1006,0)))),"Fix")))</f>
        <v>0</v>
      </c>
      <c r="K795" s="5">
        <f>IF(OR(INDEX($W$2:$W$1001,MATCH(ROWS($V$2:V795),$V$2:$V$1001,0),1)&gt;=100000,INDEX($AC$1005:$AS$1005,1,MATCH(COLUMNS($AC$1006:AL1006),$AC$1006:$AS$1006,0))&gt;=100000), " ",IF(INDEX($AC$2:$AS$1001,MATCH(ROWS($V$2:V795),$V$2:$V$1001,0),MATCH(COLUMNS($AC$1006:AL1006),$AC$1006:$AS$1006,0)), HYPERLINK("#",""), HYPERLINK(CONCATENATE("#Metadata!", ADDRESS(INDEX($X$2:$X$1001,MATCH(ROWS($V$2:V795),$V$2:$V$1001,0),0), INDEX($AC$1004:$AS$1004,1,MATCH(COLUMNS($AC$1006:AL1006),$AC$1006:$AS$1006,0)))),"Fix")))</f>
        <v>0</v>
      </c>
      <c r="L795" s="5">
        <f>IF(OR(INDEX($W$2:$W$1001,MATCH(ROWS($V$2:V795),$V$2:$V$1001,0),1)&gt;=100000,INDEX($AC$1005:$AS$1005,1,MATCH(COLUMNS($AC$1006:AM1006),$AC$1006:$AS$1006,0))&gt;=100000), " ",IF(INDEX($AC$2:$AS$1001,MATCH(ROWS($V$2:V795),$V$2:$V$1001,0),MATCH(COLUMNS($AC$1006:AM1006),$AC$1006:$AS$1006,0)), HYPERLINK("#",""), HYPERLINK(CONCATENATE("#Metadata!", ADDRESS(INDEX($X$2:$X$1001,MATCH(ROWS($V$2:V795),$V$2:$V$1001,0),0), INDEX($AC$1004:$AS$1004,1,MATCH(COLUMNS($AC$1006:AM1006),$AC$1006:$AS$1006,0)))),"Fix")))</f>
        <v>0</v>
      </c>
      <c r="M795" s="5">
        <f>IF(OR(INDEX($W$2:$W$1001,MATCH(ROWS($V$2:V795),$V$2:$V$1001,0),1)&gt;=100000,INDEX($AC$1005:$AS$1005,1,MATCH(COLUMNS($AC$1006:AN1006),$AC$1006:$AS$1006,0))&gt;=100000), " ",IF(INDEX($AC$2:$AS$1001,MATCH(ROWS($V$2:V795),$V$2:$V$1001,0),MATCH(COLUMNS($AC$1006:AN1006),$AC$1006:$AS$1006,0)), HYPERLINK("#",""), HYPERLINK(CONCATENATE("#Metadata!", ADDRESS(INDEX($X$2:$X$1001,MATCH(ROWS($V$2:V795),$V$2:$V$1001,0),0), INDEX($AC$1004:$AS$1004,1,MATCH(COLUMNS($AC$1006:AN1006),$AC$1006:$AS$1006,0)))),"Fix")))</f>
        <v>0</v>
      </c>
      <c r="N795" s="5">
        <f>IF(OR(INDEX($W$2:$W$1001,MATCH(ROWS($V$2:V795),$V$2:$V$1001,0),1)&gt;=100000,INDEX($AC$1005:$AS$1005,1,MATCH(COLUMNS($AC$1006:AO1006),$AC$1006:$AS$1006,0))&gt;=100000), " ",IF(INDEX($AC$2:$AS$1001,MATCH(ROWS($V$2:V795),$V$2:$V$1001,0),MATCH(COLUMNS($AC$1006:AO1006),$AC$1006:$AS$1006,0)), HYPERLINK("#",""), HYPERLINK(CONCATENATE("#Metadata!", ADDRESS(INDEX($X$2:$X$1001,MATCH(ROWS($V$2:V795),$V$2:$V$1001,0),0), INDEX($AC$1004:$AS$1004,1,MATCH(COLUMNS($AC$1006:AO1006),$AC$1006:$AS$1006,0)))),"Fix")))</f>
        <v>0</v>
      </c>
      <c r="O795" s="5">
        <f>IF(OR(INDEX($W$2:$W$1001,MATCH(ROWS($V$2:V795),$V$2:$V$1001,0),1)&gt;=100000,INDEX($AC$1005:$AS$1005,1,MATCH(COLUMNS($AC$1006:AP1006),$AC$1006:$AS$1006,0))&gt;=100000), " ",IF(INDEX($AC$2:$AS$1001,MATCH(ROWS($V$2:V795),$V$2:$V$1001,0),MATCH(COLUMNS($AC$1006:AP1006),$AC$1006:$AS$1006,0)), HYPERLINK("#",""), HYPERLINK(CONCATENATE("#Metadata!", ADDRESS(INDEX($X$2:$X$1001,MATCH(ROWS($V$2:V795),$V$2:$V$1001,0),0), INDEX($AC$1004:$AS$1004,1,MATCH(COLUMNS($AC$1006:AP1006),$AC$1006:$AS$1006,0)))),"Fix")))</f>
        <v>0</v>
      </c>
      <c r="P795" s="5">
        <f>IF(OR(INDEX($W$2:$W$1001,MATCH(ROWS($V$2:V795),$V$2:$V$1001,0),1)&gt;=100000,INDEX($AC$1005:$AS$1005,1,MATCH(COLUMNS($AC$1006:AQ1006),$AC$1006:$AS$1006,0))&gt;=100000), " ",IF(INDEX($AC$2:$AS$1001,MATCH(ROWS($V$2:V795),$V$2:$V$1001,0),MATCH(COLUMNS($AC$1006:AQ1006),$AC$1006:$AS$1006,0)), HYPERLINK("#",""), HYPERLINK(CONCATENATE("#Metadata!", ADDRESS(INDEX($X$2:$X$1001,MATCH(ROWS($V$2:V795),$V$2:$V$1001,0),0), INDEX($AC$1004:$AS$1004,1,MATCH(COLUMNS($AC$1006:AQ1006),$AC$1006:$AS$1006,0)))),"Fix")))</f>
        <v>0</v>
      </c>
      <c r="Q795" s="5">
        <f>IF(OR(INDEX($W$2:$W$1001,MATCH(ROWS($V$2:V795),$V$2:$V$1001,0),1)&gt;=100000,INDEX($AC$1005:$AS$1005,1,MATCH(COLUMNS($AC$1006:AR1006),$AC$1006:$AS$1006,0))&gt;=100000), " ",IF(INDEX($AC$2:$AS$1001,MATCH(ROWS($V$2:V795),$V$2:$V$1001,0),MATCH(COLUMNS($AC$1006:AR1006),$AC$1006:$AS$1006,0)), HYPERLINK("#",""), HYPERLINK(CONCATENATE("#Metadata!", ADDRESS(INDEX($X$2:$X$1001,MATCH(ROWS($V$2:V795),$V$2:$V$1001,0),0), INDEX($AC$1004:$AS$1004,1,MATCH(COLUMNS($AC$1006:AR1006),$AC$1006:$AS$1006,0)))),"Fix")))</f>
        <v>0</v>
      </c>
      <c r="R795" s="5">
        <f>IF(OR(INDEX($W$2:$W$1001,MATCH(ROWS($V$2:V795),$V$2:$V$1001,0),1)&gt;=100000,INDEX($AC$1005:$AS$1005,1,MATCH(COLUMNS($AC$1006:AS1006),$AC$1006:$AS$1006,0))&gt;=100000), " ",IF(INDEX($AC$2:$AS$1001,MATCH(ROWS($V$2:V795),$V$2:$V$1001,0),MATCH(COLUMNS($AC$1006:AS1006),$AC$1006:$AS$1006,0)), HYPERLINK("#",""), HYPERLINK(CONCATENATE("#Metadata!", ADDRESS(INDEX($X$2:$X$1001,MATCH(ROWS($V$2:V795),$V$2:$V$1001,0),0), INDEX($AC$1004:$AS$1004,1,MATCH(COLUMNS($AC$1006:AS1006),$AC$1006:$AS$1006,0)))),"Fix")))</f>
        <v>0</v>
      </c>
      <c r="V795">
        <v>0</v>
      </c>
      <c r="W795">
        <v>0</v>
      </c>
      <c r="X795">
        <v>0</v>
      </c>
      <c r="Y795">
        <f>IF(Z795,TRUE,AND(AC795:AS795))</f>
        <v>0</v>
      </c>
      <c r="Z795">
        <f>COUNTBLANK(Metadata!B795:R795)=COLUMNS(Metadata!B795:R795)</f>
        <v>0</v>
      </c>
      <c r="AA795">
        <v>0</v>
      </c>
      <c r="AC795">
        <f>AND(IF(Metadata!B795="",FALSE,TRUE),COUNTIF(Metadata!B:B, Metadata!B795) = 1,NOT(ISERROR(SUMPRODUCT(SEARCH(MID(Metadata!B795,ROW(INDIRECT("1:"&amp;LEN(Metadata!B795))), 1),"0123456789abcdefghijklmnopqrstuvwxyzABCDEFGHIJKLMNOPQRSTUVWXYZ.")))))</f>
        <v>0</v>
      </c>
      <c r="AD795">
        <f>AND(IF(Metadata!C795="",FALSE,TRUE),exact(Metadata!C795,"Host-associated"))</f>
        <v>0</v>
      </c>
      <c r="AE795">
        <f>AND(IF(Metadata!D795="",FALSE,TRUE),OR(exact(Metadata!D795,"Animal"),exact(Metadata!D795,"Fungus"),exact(Metadata!D795,"Plant")))</f>
        <v>0</v>
      </c>
      <c r="AF795">
        <f>AND(IF(Metadata!E795="",FALSE,TRUE),OR(exact(Metadata!E795,"Plant secretion"),exact(Metadata!E795,"Plant rhizosphere"),exact(Metadata!E795,"Plant surface"),exact(Metadata!E795,"Plant corpus"),exact(Metadata!E795,"Fungus surface"),exact(Metadata!E795,"Fungus corpus"),exact(Metadata!E795,"Animal surface"),exact(Metadata!E795,"Animal proximal gut"),exact(Metadata!E795,"Animal corpus"),exact(Metadata!E795,"Animal distal gut"),exact(Metadata!E795,"Animal secretion")))</f>
        <v>0</v>
      </c>
      <c r="AG795">
        <f>OR(AND(IF(Metadata!F795="",FALSE,TRUE),OR(exact(Metadata!F795,"not collected"),exact(Metadata!F795,"not provided"),exact(Metadata!F795,"restricted access"))),AND(IF(Metadata!F795="",FALSE,TRUE),OR(exact(Metadata!F795,"organism-associated habitat"),exact(Metadata!F795,"plant-associated habitat"),exact(Metadata!F795,"animal-associated habitat"),exact(Metadata!F795,"insecta-associated habitat"),exact(Metadata!F795,"mammalia-associated habitat"),exact(Metadata!F795,"human-associated habitat"),exact(Metadata!F795,"livestock-associated habitat"))))</f>
        <v>0</v>
      </c>
      <c r="AH795">
        <f>AND(IF(Metadata!G795="",FALSE,TRUE),exact(Metadata!G795,"host-associated"))</f>
        <v>0</v>
      </c>
      <c r="AI795">
        <f>OR(AND(IF(Metadata!H795="",FALSE,TRUE),OR(exact(Metadata!H795,"not collected"),exact(Metadata!H795,"not provided"))),AND(IF(Metadata!H795="",FALSE,ISNUMBER(VALUE(Metadata!H795))),Metadata!H795&gt;0))</f>
        <v>0</v>
      </c>
      <c r="AJ795">
        <f>AND(IF(Metadata!I795="",FALSE,TRUE),exact(Metadata!I795,"years"))</f>
        <v>0</v>
      </c>
      <c r="AK795">
        <f>IF(Metadata!J795="",FALSE,TRUE)</f>
        <v>0</v>
      </c>
      <c r="AL795">
        <f>OR(AND(IF(Metadata!K795="",FALSE,TRUE),OR(exact(Metadata!K795,"not collected"),exact(Metadata!K795,"not provided"))),AND(IF(Metadata!K795="",FALSE,ISNUMBER(VALUE(Metadata!K795))),Metadata!K795&gt;0))</f>
        <v>0</v>
      </c>
      <c r="AM795">
        <f>AND(IF(Metadata!L795="",FALSE,TRUE),exact(Metadata!L795,"cm"))</f>
        <v>0</v>
      </c>
      <c r="AN795">
        <f>IF(Metadata!M795="",FALSE,TRUE)</f>
        <v>0</v>
      </c>
      <c r="AO795">
        <f>OR(AND(IF(Metadata!N795="",FALSE,TRUE),OR(exact(Metadata!N795,"not applicable"),exact(Metadata!N795,"not collected"),exact(Metadata!N795,"not provided"))),AND(IF(Metadata!N795="",FALSE,IF(ISERROR(INT(Metadata!N795)),FALSE,INT(Metadata!N795)=Metadata!N795)),Metadata!N795&gt;0))</f>
        <v>0</v>
      </c>
      <c r="AP795">
        <f>OR(AND(IF(Metadata!O795="",FALSE,TRUE),OR(exact(Metadata!O795,"not collected"),exact(Metadata!O795,"not provided"))),AND(IF(Metadata!O795="",FALSE,ISNUMBER(VALUE(Metadata!O795))),Metadata!O795&gt;0))</f>
        <v>0</v>
      </c>
      <c r="AQ795">
        <f>AND(IF(Metadata!P795="",FALSE,TRUE),exact(Metadata!P795,"kg"))</f>
        <v>0</v>
      </c>
      <c r="AR795">
        <f>OR(AND(IF(Metadata!Q795="",FALSE,TRUE),OR(exact(Metadata!Q795,"not applicable"),exact(Metadata!Q795,"not collected"),exact(Metadata!Q795,"not provided"),exact(Metadata!Q795,"restricted access"))),IF(Metadata!Q795="",FALSE,IF(ISERROR(INT(Metadata!Q795)),FALSE,INT(Metadata!Q795)=Metadata!Q795)))</f>
        <v>0</v>
      </c>
      <c r="AS795">
        <f>AND(IF(Metadata!R795="",FALSE,TRUE),exact(Metadata!R795,"Not applicable"))</f>
        <v>0</v>
      </c>
    </row>
    <row r="796" spans="1:45">
      <c r="A796" s="4">
        <f>IF(B796=" "," ",HYPERLINK(CONCATENATE("#metadata!",ADDRESS(INDEX($X$2:$X$1001,MATCH(ROWS($V$2:V796),$V$2:$V$1001,0),0),2)),INDEX($AA$2:$AA$1001,MATCH(ROWS($V$2:V796),$V$2:$V$1001,0),0)))</f>
        <v>0</v>
      </c>
      <c r="B796" s="5">
        <f>IF(OR(INDEX($W$2:$W$1001,MATCH(ROWS($V$2:V796),$V$2:$V$1001,0),1)&gt;=100000,INDEX($AC$1005:$AS$1005,1,MATCH(COLUMNS($AC$1006:AC1006),$AC$1006:$AS$1006,0))&gt;=100000), " ",IF(INDEX($AC$2:$AS$1001,MATCH(ROWS($V$2:V796),$V$2:$V$1001,0),MATCH(COLUMNS($AC$1006:AC1006),$AC$1006:$AS$1006,0)), HYPERLINK("#",""), HYPERLINK(CONCATENATE("#Metadata!", ADDRESS(INDEX($X$2:$X$1001,MATCH(ROWS($V$2:V796),$V$2:$V$1001,0),0), INDEX($AC$1004:$AS$1004,1,MATCH(COLUMNS($AC$1006:AC1006),$AC$1006:$AS$1006,0)))),"Fix")))</f>
        <v>0</v>
      </c>
      <c r="C796" s="5">
        <f>IF(OR(INDEX($W$2:$W$1001,MATCH(ROWS($V$2:V796),$V$2:$V$1001,0),1)&gt;=100000,INDEX($AC$1005:$AS$1005,1,MATCH(COLUMNS($AC$1006:AD1006),$AC$1006:$AS$1006,0))&gt;=100000), " ",IF(INDEX($AC$2:$AS$1001,MATCH(ROWS($V$2:V796),$V$2:$V$1001,0),MATCH(COLUMNS($AC$1006:AD1006),$AC$1006:$AS$1006,0)), HYPERLINK("#",""), HYPERLINK(CONCATENATE("#Metadata!", ADDRESS(INDEX($X$2:$X$1001,MATCH(ROWS($V$2:V796),$V$2:$V$1001,0),0), INDEX($AC$1004:$AS$1004,1,MATCH(COLUMNS($AC$1006:AD1006),$AC$1006:$AS$1006,0)))),"Fix")))</f>
        <v>0</v>
      </c>
      <c r="D796" s="5">
        <f>IF(OR(INDEX($W$2:$W$1001,MATCH(ROWS($V$2:V796),$V$2:$V$1001,0),1)&gt;=100000,INDEX($AC$1005:$AS$1005,1,MATCH(COLUMNS($AC$1006:AE1006),$AC$1006:$AS$1006,0))&gt;=100000), " ",IF(INDEX($AC$2:$AS$1001,MATCH(ROWS($V$2:V796),$V$2:$V$1001,0),MATCH(COLUMNS($AC$1006:AE1006),$AC$1006:$AS$1006,0)), HYPERLINK("#",""), HYPERLINK(CONCATENATE("#Metadata!", ADDRESS(INDEX($X$2:$X$1001,MATCH(ROWS($V$2:V796),$V$2:$V$1001,0),0), INDEX($AC$1004:$AS$1004,1,MATCH(COLUMNS($AC$1006:AE1006),$AC$1006:$AS$1006,0)))),"Fix")))</f>
        <v>0</v>
      </c>
      <c r="E796" s="5">
        <f>IF(OR(INDEX($W$2:$W$1001,MATCH(ROWS($V$2:V796),$V$2:$V$1001,0),1)&gt;=100000,INDEX($AC$1005:$AS$1005,1,MATCH(COLUMNS($AC$1006:AF1006),$AC$1006:$AS$1006,0))&gt;=100000), " ",IF(INDEX($AC$2:$AS$1001,MATCH(ROWS($V$2:V796),$V$2:$V$1001,0),MATCH(COLUMNS($AC$1006:AF1006),$AC$1006:$AS$1006,0)), HYPERLINK("#",""), HYPERLINK(CONCATENATE("#Metadata!", ADDRESS(INDEX($X$2:$X$1001,MATCH(ROWS($V$2:V796),$V$2:$V$1001,0),0), INDEX($AC$1004:$AS$1004,1,MATCH(COLUMNS($AC$1006:AF1006),$AC$1006:$AS$1006,0)))),"Fix")))</f>
        <v>0</v>
      </c>
      <c r="F796" s="5">
        <f>IF(OR(INDEX($W$2:$W$1001,MATCH(ROWS($V$2:V796),$V$2:$V$1001,0),1)&gt;=100000,INDEX($AC$1005:$AS$1005,1,MATCH(COLUMNS($AC$1006:AG1006),$AC$1006:$AS$1006,0))&gt;=100000), " ",IF(INDEX($AC$2:$AS$1001,MATCH(ROWS($V$2:V796),$V$2:$V$1001,0),MATCH(COLUMNS($AC$1006:AG1006),$AC$1006:$AS$1006,0)), HYPERLINK("#",""), HYPERLINK(CONCATENATE("#Metadata!", ADDRESS(INDEX($X$2:$X$1001,MATCH(ROWS($V$2:V796),$V$2:$V$1001,0),0), INDEX($AC$1004:$AS$1004,1,MATCH(COLUMNS($AC$1006:AG1006),$AC$1006:$AS$1006,0)))),"Fix")))</f>
        <v>0</v>
      </c>
      <c r="G796" s="5">
        <f>IF(OR(INDEX($W$2:$W$1001,MATCH(ROWS($V$2:V796),$V$2:$V$1001,0),1)&gt;=100000,INDEX($AC$1005:$AS$1005,1,MATCH(COLUMNS($AC$1006:AH1006),$AC$1006:$AS$1006,0))&gt;=100000), " ",IF(INDEX($AC$2:$AS$1001,MATCH(ROWS($V$2:V796),$V$2:$V$1001,0),MATCH(COLUMNS($AC$1006:AH1006),$AC$1006:$AS$1006,0)), HYPERLINK("#",""), HYPERLINK(CONCATENATE("#Metadata!", ADDRESS(INDEX($X$2:$X$1001,MATCH(ROWS($V$2:V796),$V$2:$V$1001,0),0), INDEX($AC$1004:$AS$1004,1,MATCH(COLUMNS($AC$1006:AH1006),$AC$1006:$AS$1006,0)))),"Fix")))</f>
        <v>0</v>
      </c>
      <c r="H796" s="5">
        <f>IF(OR(INDEX($W$2:$W$1001,MATCH(ROWS($V$2:V796),$V$2:$V$1001,0),1)&gt;=100000,INDEX($AC$1005:$AS$1005,1,MATCH(COLUMNS($AC$1006:AI1006),$AC$1006:$AS$1006,0))&gt;=100000), " ",IF(INDEX($AC$2:$AS$1001,MATCH(ROWS($V$2:V796),$V$2:$V$1001,0),MATCH(COLUMNS($AC$1006:AI1006),$AC$1006:$AS$1006,0)), HYPERLINK("#",""), HYPERLINK(CONCATENATE("#Metadata!", ADDRESS(INDEX($X$2:$X$1001,MATCH(ROWS($V$2:V796),$V$2:$V$1001,0),0), INDEX($AC$1004:$AS$1004,1,MATCH(COLUMNS($AC$1006:AI1006),$AC$1006:$AS$1006,0)))),"Fix")))</f>
        <v>0</v>
      </c>
      <c r="I796" s="5">
        <f>IF(OR(INDEX($W$2:$W$1001,MATCH(ROWS($V$2:V796),$V$2:$V$1001,0),1)&gt;=100000,INDEX($AC$1005:$AS$1005,1,MATCH(COLUMNS($AC$1006:AJ1006),$AC$1006:$AS$1006,0))&gt;=100000), " ",IF(INDEX($AC$2:$AS$1001,MATCH(ROWS($V$2:V796),$V$2:$V$1001,0),MATCH(COLUMNS($AC$1006:AJ1006),$AC$1006:$AS$1006,0)), HYPERLINK("#",""), HYPERLINK(CONCATENATE("#Metadata!", ADDRESS(INDEX($X$2:$X$1001,MATCH(ROWS($V$2:V796),$V$2:$V$1001,0),0), INDEX($AC$1004:$AS$1004,1,MATCH(COLUMNS($AC$1006:AJ1006),$AC$1006:$AS$1006,0)))),"Fix")))</f>
        <v>0</v>
      </c>
      <c r="J796" s="5">
        <f>IF(OR(INDEX($W$2:$W$1001,MATCH(ROWS($V$2:V796),$V$2:$V$1001,0),1)&gt;=100000,INDEX($AC$1005:$AS$1005,1,MATCH(COLUMNS($AC$1006:AK1006),$AC$1006:$AS$1006,0))&gt;=100000), " ",IF(INDEX($AC$2:$AS$1001,MATCH(ROWS($V$2:V796),$V$2:$V$1001,0),MATCH(COLUMNS($AC$1006:AK1006),$AC$1006:$AS$1006,0)), HYPERLINK("#",""), HYPERLINK(CONCATENATE("#Metadata!", ADDRESS(INDEX($X$2:$X$1001,MATCH(ROWS($V$2:V796),$V$2:$V$1001,0),0), INDEX($AC$1004:$AS$1004,1,MATCH(COLUMNS($AC$1006:AK1006),$AC$1006:$AS$1006,0)))),"Fix")))</f>
        <v>0</v>
      </c>
      <c r="K796" s="5">
        <f>IF(OR(INDEX($W$2:$W$1001,MATCH(ROWS($V$2:V796),$V$2:$V$1001,0),1)&gt;=100000,INDEX($AC$1005:$AS$1005,1,MATCH(COLUMNS($AC$1006:AL1006),$AC$1006:$AS$1006,0))&gt;=100000), " ",IF(INDEX($AC$2:$AS$1001,MATCH(ROWS($V$2:V796),$V$2:$V$1001,0),MATCH(COLUMNS($AC$1006:AL1006),$AC$1006:$AS$1006,0)), HYPERLINK("#",""), HYPERLINK(CONCATENATE("#Metadata!", ADDRESS(INDEX($X$2:$X$1001,MATCH(ROWS($V$2:V796),$V$2:$V$1001,0),0), INDEX($AC$1004:$AS$1004,1,MATCH(COLUMNS($AC$1006:AL1006),$AC$1006:$AS$1006,0)))),"Fix")))</f>
        <v>0</v>
      </c>
      <c r="L796" s="5">
        <f>IF(OR(INDEX($W$2:$W$1001,MATCH(ROWS($V$2:V796),$V$2:$V$1001,0),1)&gt;=100000,INDEX($AC$1005:$AS$1005,1,MATCH(COLUMNS($AC$1006:AM1006),$AC$1006:$AS$1006,0))&gt;=100000), " ",IF(INDEX($AC$2:$AS$1001,MATCH(ROWS($V$2:V796),$V$2:$V$1001,0),MATCH(COLUMNS($AC$1006:AM1006),$AC$1006:$AS$1006,0)), HYPERLINK("#",""), HYPERLINK(CONCATENATE("#Metadata!", ADDRESS(INDEX($X$2:$X$1001,MATCH(ROWS($V$2:V796),$V$2:$V$1001,0),0), INDEX($AC$1004:$AS$1004,1,MATCH(COLUMNS($AC$1006:AM1006),$AC$1006:$AS$1006,0)))),"Fix")))</f>
        <v>0</v>
      </c>
      <c r="M796" s="5">
        <f>IF(OR(INDEX($W$2:$W$1001,MATCH(ROWS($V$2:V796),$V$2:$V$1001,0),1)&gt;=100000,INDEX($AC$1005:$AS$1005,1,MATCH(COLUMNS($AC$1006:AN1006),$AC$1006:$AS$1006,0))&gt;=100000), " ",IF(INDEX($AC$2:$AS$1001,MATCH(ROWS($V$2:V796),$V$2:$V$1001,0),MATCH(COLUMNS($AC$1006:AN1006),$AC$1006:$AS$1006,0)), HYPERLINK("#",""), HYPERLINK(CONCATENATE("#Metadata!", ADDRESS(INDEX($X$2:$X$1001,MATCH(ROWS($V$2:V796),$V$2:$V$1001,0),0), INDEX($AC$1004:$AS$1004,1,MATCH(COLUMNS($AC$1006:AN1006),$AC$1006:$AS$1006,0)))),"Fix")))</f>
        <v>0</v>
      </c>
      <c r="N796" s="5">
        <f>IF(OR(INDEX($W$2:$W$1001,MATCH(ROWS($V$2:V796),$V$2:$V$1001,0),1)&gt;=100000,INDEX($AC$1005:$AS$1005,1,MATCH(COLUMNS($AC$1006:AO1006),$AC$1006:$AS$1006,0))&gt;=100000), " ",IF(INDEX($AC$2:$AS$1001,MATCH(ROWS($V$2:V796),$V$2:$V$1001,0),MATCH(COLUMNS($AC$1006:AO1006),$AC$1006:$AS$1006,0)), HYPERLINK("#",""), HYPERLINK(CONCATENATE("#Metadata!", ADDRESS(INDEX($X$2:$X$1001,MATCH(ROWS($V$2:V796),$V$2:$V$1001,0),0), INDEX($AC$1004:$AS$1004,1,MATCH(COLUMNS($AC$1006:AO1006),$AC$1006:$AS$1006,0)))),"Fix")))</f>
        <v>0</v>
      </c>
      <c r="O796" s="5">
        <f>IF(OR(INDEX($W$2:$W$1001,MATCH(ROWS($V$2:V796),$V$2:$V$1001,0),1)&gt;=100000,INDEX($AC$1005:$AS$1005,1,MATCH(COLUMNS($AC$1006:AP1006),$AC$1006:$AS$1006,0))&gt;=100000), " ",IF(INDEX($AC$2:$AS$1001,MATCH(ROWS($V$2:V796),$V$2:$V$1001,0),MATCH(COLUMNS($AC$1006:AP1006),$AC$1006:$AS$1006,0)), HYPERLINK("#",""), HYPERLINK(CONCATENATE("#Metadata!", ADDRESS(INDEX($X$2:$X$1001,MATCH(ROWS($V$2:V796),$V$2:$V$1001,0),0), INDEX($AC$1004:$AS$1004,1,MATCH(COLUMNS($AC$1006:AP1006),$AC$1006:$AS$1006,0)))),"Fix")))</f>
        <v>0</v>
      </c>
      <c r="P796" s="5">
        <f>IF(OR(INDEX($W$2:$W$1001,MATCH(ROWS($V$2:V796),$V$2:$V$1001,0),1)&gt;=100000,INDEX($AC$1005:$AS$1005,1,MATCH(COLUMNS($AC$1006:AQ1006),$AC$1006:$AS$1006,0))&gt;=100000), " ",IF(INDEX($AC$2:$AS$1001,MATCH(ROWS($V$2:V796),$V$2:$V$1001,0),MATCH(COLUMNS($AC$1006:AQ1006),$AC$1006:$AS$1006,0)), HYPERLINK("#",""), HYPERLINK(CONCATENATE("#Metadata!", ADDRESS(INDEX($X$2:$X$1001,MATCH(ROWS($V$2:V796),$V$2:$V$1001,0),0), INDEX($AC$1004:$AS$1004,1,MATCH(COLUMNS($AC$1006:AQ1006),$AC$1006:$AS$1006,0)))),"Fix")))</f>
        <v>0</v>
      </c>
      <c r="Q796" s="5">
        <f>IF(OR(INDEX($W$2:$W$1001,MATCH(ROWS($V$2:V796),$V$2:$V$1001,0),1)&gt;=100000,INDEX($AC$1005:$AS$1005,1,MATCH(COLUMNS($AC$1006:AR1006),$AC$1006:$AS$1006,0))&gt;=100000), " ",IF(INDEX($AC$2:$AS$1001,MATCH(ROWS($V$2:V796),$V$2:$V$1001,0),MATCH(COLUMNS($AC$1006:AR1006),$AC$1006:$AS$1006,0)), HYPERLINK("#",""), HYPERLINK(CONCATENATE("#Metadata!", ADDRESS(INDEX($X$2:$X$1001,MATCH(ROWS($V$2:V796),$V$2:$V$1001,0),0), INDEX($AC$1004:$AS$1004,1,MATCH(COLUMNS($AC$1006:AR1006),$AC$1006:$AS$1006,0)))),"Fix")))</f>
        <v>0</v>
      </c>
      <c r="R796" s="5">
        <f>IF(OR(INDEX($W$2:$W$1001,MATCH(ROWS($V$2:V796),$V$2:$V$1001,0),1)&gt;=100000,INDEX($AC$1005:$AS$1005,1,MATCH(COLUMNS($AC$1006:AS1006),$AC$1006:$AS$1006,0))&gt;=100000), " ",IF(INDEX($AC$2:$AS$1001,MATCH(ROWS($V$2:V796),$V$2:$V$1001,0),MATCH(COLUMNS($AC$1006:AS1006),$AC$1006:$AS$1006,0)), HYPERLINK("#",""), HYPERLINK(CONCATENATE("#Metadata!", ADDRESS(INDEX($X$2:$X$1001,MATCH(ROWS($V$2:V796),$V$2:$V$1001,0),0), INDEX($AC$1004:$AS$1004,1,MATCH(COLUMNS($AC$1006:AS1006),$AC$1006:$AS$1006,0)))),"Fix")))</f>
        <v>0</v>
      </c>
      <c r="V796">
        <v>0</v>
      </c>
      <c r="W796">
        <v>0</v>
      </c>
      <c r="X796">
        <v>0</v>
      </c>
      <c r="Y796">
        <f>IF(Z796,TRUE,AND(AC796:AS796))</f>
        <v>0</v>
      </c>
      <c r="Z796">
        <f>COUNTBLANK(Metadata!B796:R796)=COLUMNS(Metadata!B796:R796)</f>
        <v>0</v>
      </c>
      <c r="AA796">
        <v>0</v>
      </c>
      <c r="AC796">
        <f>AND(IF(Metadata!B796="",FALSE,TRUE),COUNTIF(Metadata!B:B, Metadata!B796) = 1,NOT(ISERROR(SUMPRODUCT(SEARCH(MID(Metadata!B796,ROW(INDIRECT("1:"&amp;LEN(Metadata!B796))), 1),"0123456789abcdefghijklmnopqrstuvwxyzABCDEFGHIJKLMNOPQRSTUVWXYZ.")))))</f>
        <v>0</v>
      </c>
      <c r="AD796">
        <f>AND(IF(Metadata!C796="",FALSE,TRUE),exact(Metadata!C796,"Host-associated"))</f>
        <v>0</v>
      </c>
      <c r="AE796">
        <f>AND(IF(Metadata!D796="",FALSE,TRUE),OR(exact(Metadata!D796,"Animal"),exact(Metadata!D796,"Fungus"),exact(Metadata!D796,"Plant")))</f>
        <v>0</v>
      </c>
      <c r="AF796">
        <f>AND(IF(Metadata!E796="",FALSE,TRUE),OR(exact(Metadata!E796,"Plant secretion"),exact(Metadata!E796,"Plant rhizosphere"),exact(Metadata!E796,"Plant surface"),exact(Metadata!E796,"Plant corpus"),exact(Metadata!E796,"Fungus surface"),exact(Metadata!E796,"Fungus corpus"),exact(Metadata!E796,"Animal surface"),exact(Metadata!E796,"Animal proximal gut"),exact(Metadata!E796,"Animal corpus"),exact(Metadata!E796,"Animal distal gut"),exact(Metadata!E796,"Animal secretion")))</f>
        <v>0</v>
      </c>
      <c r="AG796">
        <f>OR(AND(IF(Metadata!F796="",FALSE,TRUE),OR(exact(Metadata!F796,"not collected"),exact(Metadata!F796,"not provided"),exact(Metadata!F796,"restricted access"))),AND(IF(Metadata!F796="",FALSE,TRUE),OR(exact(Metadata!F796,"organism-associated habitat"),exact(Metadata!F796,"plant-associated habitat"),exact(Metadata!F796,"animal-associated habitat"),exact(Metadata!F796,"insecta-associated habitat"),exact(Metadata!F796,"mammalia-associated habitat"),exact(Metadata!F796,"human-associated habitat"),exact(Metadata!F796,"livestock-associated habitat"))))</f>
        <v>0</v>
      </c>
      <c r="AH796">
        <f>AND(IF(Metadata!G796="",FALSE,TRUE),exact(Metadata!G796,"host-associated"))</f>
        <v>0</v>
      </c>
      <c r="AI796">
        <f>OR(AND(IF(Metadata!H796="",FALSE,TRUE),OR(exact(Metadata!H796,"not collected"),exact(Metadata!H796,"not provided"))),AND(IF(Metadata!H796="",FALSE,ISNUMBER(VALUE(Metadata!H796))),Metadata!H796&gt;0))</f>
        <v>0</v>
      </c>
      <c r="AJ796">
        <f>AND(IF(Metadata!I796="",FALSE,TRUE),exact(Metadata!I796,"years"))</f>
        <v>0</v>
      </c>
      <c r="AK796">
        <f>IF(Metadata!J796="",FALSE,TRUE)</f>
        <v>0</v>
      </c>
      <c r="AL796">
        <f>OR(AND(IF(Metadata!K796="",FALSE,TRUE),OR(exact(Metadata!K796,"not collected"),exact(Metadata!K796,"not provided"))),AND(IF(Metadata!K796="",FALSE,ISNUMBER(VALUE(Metadata!K796))),Metadata!K796&gt;0))</f>
        <v>0</v>
      </c>
      <c r="AM796">
        <f>AND(IF(Metadata!L796="",FALSE,TRUE),exact(Metadata!L796,"cm"))</f>
        <v>0</v>
      </c>
      <c r="AN796">
        <f>IF(Metadata!M796="",FALSE,TRUE)</f>
        <v>0</v>
      </c>
      <c r="AO796">
        <f>OR(AND(IF(Metadata!N796="",FALSE,TRUE),OR(exact(Metadata!N796,"not applicable"),exact(Metadata!N796,"not collected"),exact(Metadata!N796,"not provided"))),AND(IF(Metadata!N796="",FALSE,IF(ISERROR(INT(Metadata!N796)),FALSE,INT(Metadata!N796)=Metadata!N796)),Metadata!N796&gt;0))</f>
        <v>0</v>
      </c>
      <c r="AP796">
        <f>OR(AND(IF(Metadata!O796="",FALSE,TRUE),OR(exact(Metadata!O796,"not collected"),exact(Metadata!O796,"not provided"))),AND(IF(Metadata!O796="",FALSE,ISNUMBER(VALUE(Metadata!O796))),Metadata!O796&gt;0))</f>
        <v>0</v>
      </c>
      <c r="AQ796">
        <f>AND(IF(Metadata!P796="",FALSE,TRUE),exact(Metadata!P796,"kg"))</f>
        <v>0</v>
      </c>
      <c r="AR796">
        <f>OR(AND(IF(Metadata!Q796="",FALSE,TRUE),OR(exact(Metadata!Q796,"not applicable"),exact(Metadata!Q796,"not collected"),exact(Metadata!Q796,"not provided"),exact(Metadata!Q796,"restricted access"))),IF(Metadata!Q796="",FALSE,IF(ISERROR(INT(Metadata!Q796)),FALSE,INT(Metadata!Q796)=Metadata!Q796)))</f>
        <v>0</v>
      </c>
      <c r="AS796">
        <f>AND(IF(Metadata!R796="",FALSE,TRUE),exact(Metadata!R796,"Not applicable"))</f>
        <v>0</v>
      </c>
    </row>
    <row r="797" spans="1:45">
      <c r="A797" s="4">
        <f>IF(B797=" "," ",HYPERLINK(CONCATENATE("#metadata!",ADDRESS(INDEX($X$2:$X$1001,MATCH(ROWS($V$2:V797),$V$2:$V$1001,0),0),2)),INDEX($AA$2:$AA$1001,MATCH(ROWS($V$2:V797),$V$2:$V$1001,0),0)))</f>
        <v>0</v>
      </c>
      <c r="B797" s="5">
        <f>IF(OR(INDEX($W$2:$W$1001,MATCH(ROWS($V$2:V797),$V$2:$V$1001,0),1)&gt;=100000,INDEX($AC$1005:$AS$1005,1,MATCH(COLUMNS($AC$1006:AC1006),$AC$1006:$AS$1006,0))&gt;=100000), " ",IF(INDEX($AC$2:$AS$1001,MATCH(ROWS($V$2:V797),$V$2:$V$1001,0),MATCH(COLUMNS($AC$1006:AC1006),$AC$1006:$AS$1006,0)), HYPERLINK("#",""), HYPERLINK(CONCATENATE("#Metadata!", ADDRESS(INDEX($X$2:$X$1001,MATCH(ROWS($V$2:V797),$V$2:$V$1001,0),0), INDEX($AC$1004:$AS$1004,1,MATCH(COLUMNS($AC$1006:AC1006),$AC$1006:$AS$1006,0)))),"Fix")))</f>
        <v>0</v>
      </c>
      <c r="C797" s="5">
        <f>IF(OR(INDEX($W$2:$W$1001,MATCH(ROWS($V$2:V797),$V$2:$V$1001,0),1)&gt;=100000,INDEX($AC$1005:$AS$1005,1,MATCH(COLUMNS($AC$1006:AD1006),$AC$1006:$AS$1006,0))&gt;=100000), " ",IF(INDEX($AC$2:$AS$1001,MATCH(ROWS($V$2:V797),$V$2:$V$1001,0),MATCH(COLUMNS($AC$1006:AD1006),$AC$1006:$AS$1006,0)), HYPERLINK("#",""), HYPERLINK(CONCATENATE("#Metadata!", ADDRESS(INDEX($X$2:$X$1001,MATCH(ROWS($V$2:V797),$V$2:$V$1001,0),0), INDEX($AC$1004:$AS$1004,1,MATCH(COLUMNS($AC$1006:AD1006),$AC$1006:$AS$1006,0)))),"Fix")))</f>
        <v>0</v>
      </c>
      <c r="D797" s="5">
        <f>IF(OR(INDEX($W$2:$W$1001,MATCH(ROWS($V$2:V797),$V$2:$V$1001,0),1)&gt;=100000,INDEX($AC$1005:$AS$1005,1,MATCH(COLUMNS($AC$1006:AE1006),$AC$1006:$AS$1006,0))&gt;=100000), " ",IF(INDEX($AC$2:$AS$1001,MATCH(ROWS($V$2:V797),$V$2:$V$1001,0),MATCH(COLUMNS($AC$1006:AE1006),$AC$1006:$AS$1006,0)), HYPERLINK("#",""), HYPERLINK(CONCATENATE("#Metadata!", ADDRESS(INDEX($X$2:$X$1001,MATCH(ROWS($V$2:V797),$V$2:$V$1001,0),0), INDEX($AC$1004:$AS$1004,1,MATCH(COLUMNS($AC$1006:AE1006),$AC$1006:$AS$1006,0)))),"Fix")))</f>
        <v>0</v>
      </c>
      <c r="E797" s="5">
        <f>IF(OR(INDEX($W$2:$W$1001,MATCH(ROWS($V$2:V797),$V$2:$V$1001,0),1)&gt;=100000,INDEX($AC$1005:$AS$1005,1,MATCH(COLUMNS($AC$1006:AF1006),$AC$1006:$AS$1006,0))&gt;=100000), " ",IF(INDEX($AC$2:$AS$1001,MATCH(ROWS($V$2:V797),$V$2:$V$1001,0),MATCH(COLUMNS($AC$1006:AF1006),$AC$1006:$AS$1006,0)), HYPERLINK("#",""), HYPERLINK(CONCATENATE("#Metadata!", ADDRESS(INDEX($X$2:$X$1001,MATCH(ROWS($V$2:V797),$V$2:$V$1001,0),0), INDEX($AC$1004:$AS$1004,1,MATCH(COLUMNS($AC$1006:AF1006),$AC$1006:$AS$1006,0)))),"Fix")))</f>
        <v>0</v>
      </c>
      <c r="F797" s="5">
        <f>IF(OR(INDEX($W$2:$W$1001,MATCH(ROWS($V$2:V797),$V$2:$V$1001,0),1)&gt;=100000,INDEX($AC$1005:$AS$1005,1,MATCH(COLUMNS($AC$1006:AG1006),$AC$1006:$AS$1006,0))&gt;=100000), " ",IF(INDEX($AC$2:$AS$1001,MATCH(ROWS($V$2:V797),$V$2:$V$1001,0),MATCH(COLUMNS($AC$1006:AG1006),$AC$1006:$AS$1006,0)), HYPERLINK("#",""), HYPERLINK(CONCATENATE("#Metadata!", ADDRESS(INDEX($X$2:$X$1001,MATCH(ROWS($V$2:V797),$V$2:$V$1001,0),0), INDEX($AC$1004:$AS$1004,1,MATCH(COLUMNS($AC$1006:AG1006),$AC$1006:$AS$1006,0)))),"Fix")))</f>
        <v>0</v>
      </c>
      <c r="G797" s="5">
        <f>IF(OR(INDEX($W$2:$W$1001,MATCH(ROWS($V$2:V797),$V$2:$V$1001,0),1)&gt;=100000,INDEX($AC$1005:$AS$1005,1,MATCH(COLUMNS($AC$1006:AH1006),$AC$1006:$AS$1006,0))&gt;=100000), " ",IF(INDEX($AC$2:$AS$1001,MATCH(ROWS($V$2:V797),$V$2:$V$1001,0),MATCH(COLUMNS($AC$1006:AH1006),$AC$1006:$AS$1006,0)), HYPERLINK("#",""), HYPERLINK(CONCATENATE("#Metadata!", ADDRESS(INDEX($X$2:$X$1001,MATCH(ROWS($V$2:V797),$V$2:$V$1001,0),0), INDEX($AC$1004:$AS$1004,1,MATCH(COLUMNS($AC$1006:AH1006),$AC$1006:$AS$1006,0)))),"Fix")))</f>
        <v>0</v>
      </c>
      <c r="H797" s="5">
        <f>IF(OR(INDEX($W$2:$W$1001,MATCH(ROWS($V$2:V797),$V$2:$V$1001,0),1)&gt;=100000,INDEX($AC$1005:$AS$1005,1,MATCH(COLUMNS($AC$1006:AI1006),$AC$1006:$AS$1006,0))&gt;=100000), " ",IF(INDEX($AC$2:$AS$1001,MATCH(ROWS($V$2:V797),$V$2:$V$1001,0),MATCH(COLUMNS($AC$1006:AI1006),$AC$1006:$AS$1006,0)), HYPERLINK("#",""), HYPERLINK(CONCATENATE("#Metadata!", ADDRESS(INDEX($X$2:$X$1001,MATCH(ROWS($V$2:V797),$V$2:$V$1001,0),0), INDEX($AC$1004:$AS$1004,1,MATCH(COLUMNS($AC$1006:AI1006),$AC$1006:$AS$1006,0)))),"Fix")))</f>
        <v>0</v>
      </c>
      <c r="I797" s="5">
        <f>IF(OR(INDEX($W$2:$W$1001,MATCH(ROWS($V$2:V797),$V$2:$V$1001,0),1)&gt;=100000,INDEX($AC$1005:$AS$1005,1,MATCH(COLUMNS($AC$1006:AJ1006),$AC$1006:$AS$1006,0))&gt;=100000), " ",IF(INDEX($AC$2:$AS$1001,MATCH(ROWS($V$2:V797),$V$2:$V$1001,0),MATCH(COLUMNS($AC$1006:AJ1006),$AC$1006:$AS$1006,0)), HYPERLINK("#",""), HYPERLINK(CONCATENATE("#Metadata!", ADDRESS(INDEX($X$2:$X$1001,MATCH(ROWS($V$2:V797),$V$2:$V$1001,0),0), INDEX($AC$1004:$AS$1004,1,MATCH(COLUMNS($AC$1006:AJ1006),$AC$1006:$AS$1006,0)))),"Fix")))</f>
        <v>0</v>
      </c>
      <c r="J797" s="5">
        <f>IF(OR(INDEX($W$2:$W$1001,MATCH(ROWS($V$2:V797),$V$2:$V$1001,0),1)&gt;=100000,INDEX($AC$1005:$AS$1005,1,MATCH(COLUMNS($AC$1006:AK1006),$AC$1006:$AS$1006,0))&gt;=100000), " ",IF(INDEX($AC$2:$AS$1001,MATCH(ROWS($V$2:V797),$V$2:$V$1001,0),MATCH(COLUMNS($AC$1006:AK1006),$AC$1006:$AS$1006,0)), HYPERLINK("#",""), HYPERLINK(CONCATENATE("#Metadata!", ADDRESS(INDEX($X$2:$X$1001,MATCH(ROWS($V$2:V797),$V$2:$V$1001,0),0), INDEX($AC$1004:$AS$1004,1,MATCH(COLUMNS($AC$1006:AK1006),$AC$1006:$AS$1006,0)))),"Fix")))</f>
        <v>0</v>
      </c>
      <c r="K797" s="5">
        <f>IF(OR(INDEX($W$2:$W$1001,MATCH(ROWS($V$2:V797),$V$2:$V$1001,0),1)&gt;=100000,INDEX($AC$1005:$AS$1005,1,MATCH(COLUMNS($AC$1006:AL1006),$AC$1006:$AS$1006,0))&gt;=100000), " ",IF(INDEX($AC$2:$AS$1001,MATCH(ROWS($V$2:V797),$V$2:$V$1001,0),MATCH(COLUMNS($AC$1006:AL1006),$AC$1006:$AS$1006,0)), HYPERLINK("#",""), HYPERLINK(CONCATENATE("#Metadata!", ADDRESS(INDEX($X$2:$X$1001,MATCH(ROWS($V$2:V797),$V$2:$V$1001,0),0), INDEX($AC$1004:$AS$1004,1,MATCH(COLUMNS($AC$1006:AL1006),$AC$1006:$AS$1006,0)))),"Fix")))</f>
        <v>0</v>
      </c>
      <c r="L797" s="5">
        <f>IF(OR(INDEX($W$2:$W$1001,MATCH(ROWS($V$2:V797),$V$2:$V$1001,0),1)&gt;=100000,INDEX($AC$1005:$AS$1005,1,MATCH(COLUMNS($AC$1006:AM1006),$AC$1006:$AS$1006,0))&gt;=100000), " ",IF(INDEX($AC$2:$AS$1001,MATCH(ROWS($V$2:V797),$V$2:$V$1001,0),MATCH(COLUMNS($AC$1006:AM1006),$AC$1006:$AS$1006,0)), HYPERLINK("#",""), HYPERLINK(CONCATENATE("#Metadata!", ADDRESS(INDEX($X$2:$X$1001,MATCH(ROWS($V$2:V797),$V$2:$V$1001,0),0), INDEX($AC$1004:$AS$1004,1,MATCH(COLUMNS($AC$1006:AM1006),$AC$1006:$AS$1006,0)))),"Fix")))</f>
        <v>0</v>
      </c>
      <c r="M797" s="5">
        <f>IF(OR(INDEX($W$2:$W$1001,MATCH(ROWS($V$2:V797),$V$2:$V$1001,0),1)&gt;=100000,INDEX($AC$1005:$AS$1005,1,MATCH(COLUMNS($AC$1006:AN1006),$AC$1006:$AS$1006,0))&gt;=100000), " ",IF(INDEX($AC$2:$AS$1001,MATCH(ROWS($V$2:V797),$V$2:$V$1001,0),MATCH(COLUMNS($AC$1006:AN1006),$AC$1006:$AS$1006,0)), HYPERLINK("#",""), HYPERLINK(CONCATENATE("#Metadata!", ADDRESS(INDEX($X$2:$X$1001,MATCH(ROWS($V$2:V797),$V$2:$V$1001,0),0), INDEX($AC$1004:$AS$1004,1,MATCH(COLUMNS($AC$1006:AN1006),$AC$1006:$AS$1006,0)))),"Fix")))</f>
        <v>0</v>
      </c>
      <c r="N797" s="5">
        <f>IF(OR(INDEX($W$2:$W$1001,MATCH(ROWS($V$2:V797),$V$2:$V$1001,0),1)&gt;=100000,INDEX($AC$1005:$AS$1005,1,MATCH(COLUMNS($AC$1006:AO1006),$AC$1006:$AS$1006,0))&gt;=100000), " ",IF(INDEX($AC$2:$AS$1001,MATCH(ROWS($V$2:V797),$V$2:$V$1001,0),MATCH(COLUMNS($AC$1006:AO1006),$AC$1006:$AS$1006,0)), HYPERLINK("#",""), HYPERLINK(CONCATENATE("#Metadata!", ADDRESS(INDEX($X$2:$X$1001,MATCH(ROWS($V$2:V797),$V$2:$V$1001,0),0), INDEX($AC$1004:$AS$1004,1,MATCH(COLUMNS($AC$1006:AO1006),$AC$1006:$AS$1006,0)))),"Fix")))</f>
        <v>0</v>
      </c>
      <c r="O797" s="5">
        <f>IF(OR(INDEX($W$2:$W$1001,MATCH(ROWS($V$2:V797),$V$2:$V$1001,0),1)&gt;=100000,INDEX($AC$1005:$AS$1005,1,MATCH(COLUMNS($AC$1006:AP1006),$AC$1006:$AS$1006,0))&gt;=100000), " ",IF(INDEX($AC$2:$AS$1001,MATCH(ROWS($V$2:V797),$V$2:$V$1001,0),MATCH(COLUMNS($AC$1006:AP1006),$AC$1006:$AS$1006,0)), HYPERLINK("#",""), HYPERLINK(CONCATENATE("#Metadata!", ADDRESS(INDEX($X$2:$X$1001,MATCH(ROWS($V$2:V797),$V$2:$V$1001,0),0), INDEX($AC$1004:$AS$1004,1,MATCH(COLUMNS($AC$1006:AP1006),$AC$1006:$AS$1006,0)))),"Fix")))</f>
        <v>0</v>
      </c>
      <c r="P797" s="5">
        <f>IF(OR(INDEX($W$2:$W$1001,MATCH(ROWS($V$2:V797),$V$2:$V$1001,0),1)&gt;=100000,INDEX($AC$1005:$AS$1005,1,MATCH(COLUMNS($AC$1006:AQ1006),$AC$1006:$AS$1006,0))&gt;=100000), " ",IF(INDEX($AC$2:$AS$1001,MATCH(ROWS($V$2:V797),$V$2:$V$1001,0),MATCH(COLUMNS($AC$1006:AQ1006),$AC$1006:$AS$1006,0)), HYPERLINK("#",""), HYPERLINK(CONCATENATE("#Metadata!", ADDRESS(INDEX($X$2:$X$1001,MATCH(ROWS($V$2:V797),$V$2:$V$1001,0),0), INDEX($AC$1004:$AS$1004,1,MATCH(COLUMNS($AC$1006:AQ1006),$AC$1006:$AS$1006,0)))),"Fix")))</f>
        <v>0</v>
      </c>
      <c r="Q797" s="5">
        <f>IF(OR(INDEX($W$2:$W$1001,MATCH(ROWS($V$2:V797),$V$2:$V$1001,0),1)&gt;=100000,INDEX($AC$1005:$AS$1005,1,MATCH(COLUMNS($AC$1006:AR1006),$AC$1006:$AS$1006,0))&gt;=100000), " ",IF(INDEX($AC$2:$AS$1001,MATCH(ROWS($V$2:V797),$V$2:$V$1001,0),MATCH(COLUMNS($AC$1006:AR1006),$AC$1006:$AS$1006,0)), HYPERLINK("#",""), HYPERLINK(CONCATENATE("#Metadata!", ADDRESS(INDEX($X$2:$X$1001,MATCH(ROWS($V$2:V797),$V$2:$V$1001,0),0), INDEX($AC$1004:$AS$1004,1,MATCH(COLUMNS($AC$1006:AR1006),$AC$1006:$AS$1006,0)))),"Fix")))</f>
        <v>0</v>
      </c>
      <c r="R797" s="5">
        <f>IF(OR(INDEX($W$2:$W$1001,MATCH(ROWS($V$2:V797),$V$2:$V$1001,0),1)&gt;=100000,INDEX($AC$1005:$AS$1005,1,MATCH(COLUMNS($AC$1006:AS1006),$AC$1006:$AS$1006,0))&gt;=100000), " ",IF(INDEX($AC$2:$AS$1001,MATCH(ROWS($V$2:V797),$V$2:$V$1001,0),MATCH(COLUMNS($AC$1006:AS1006),$AC$1006:$AS$1006,0)), HYPERLINK("#",""), HYPERLINK(CONCATENATE("#Metadata!", ADDRESS(INDEX($X$2:$X$1001,MATCH(ROWS($V$2:V797),$V$2:$V$1001,0),0), INDEX($AC$1004:$AS$1004,1,MATCH(COLUMNS($AC$1006:AS1006),$AC$1006:$AS$1006,0)))),"Fix")))</f>
        <v>0</v>
      </c>
      <c r="V797">
        <v>0</v>
      </c>
      <c r="W797">
        <v>0</v>
      </c>
      <c r="X797">
        <v>0</v>
      </c>
      <c r="Y797">
        <f>IF(Z797,TRUE,AND(AC797:AS797))</f>
        <v>0</v>
      </c>
      <c r="Z797">
        <f>COUNTBLANK(Metadata!B797:R797)=COLUMNS(Metadata!B797:R797)</f>
        <v>0</v>
      </c>
      <c r="AA797">
        <v>0</v>
      </c>
      <c r="AC797">
        <f>AND(IF(Metadata!B797="",FALSE,TRUE),COUNTIF(Metadata!B:B, Metadata!B797) = 1,NOT(ISERROR(SUMPRODUCT(SEARCH(MID(Metadata!B797,ROW(INDIRECT("1:"&amp;LEN(Metadata!B797))), 1),"0123456789abcdefghijklmnopqrstuvwxyzABCDEFGHIJKLMNOPQRSTUVWXYZ.")))))</f>
        <v>0</v>
      </c>
      <c r="AD797">
        <f>AND(IF(Metadata!C797="",FALSE,TRUE),exact(Metadata!C797,"Host-associated"))</f>
        <v>0</v>
      </c>
      <c r="AE797">
        <f>AND(IF(Metadata!D797="",FALSE,TRUE),OR(exact(Metadata!D797,"Animal"),exact(Metadata!D797,"Fungus"),exact(Metadata!D797,"Plant")))</f>
        <v>0</v>
      </c>
      <c r="AF797">
        <f>AND(IF(Metadata!E797="",FALSE,TRUE),OR(exact(Metadata!E797,"Plant secretion"),exact(Metadata!E797,"Plant rhizosphere"),exact(Metadata!E797,"Plant surface"),exact(Metadata!E797,"Plant corpus"),exact(Metadata!E797,"Fungus surface"),exact(Metadata!E797,"Fungus corpus"),exact(Metadata!E797,"Animal surface"),exact(Metadata!E797,"Animal proximal gut"),exact(Metadata!E797,"Animal corpus"),exact(Metadata!E797,"Animal distal gut"),exact(Metadata!E797,"Animal secretion")))</f>
        <v>0</v>
      </c>
      <c r="AG797">
        <f>OR(AND(IF(Metadata!F797="",FALSE,TRUE),OR(exact(Metadata!F797,"not collected"),exact(Metadata!F797,"not provided"),exact(Metadata!F797,"restricted access"))),AND(IF(Metadata!F797="",FALSE,TRUE),OR(exact(Metadata!F797,"organism-associated habitat"),exact(Metadata!F797,"plant-associated habitat"),exact(Metadata!F797,"animal-associated habitat"),exact(Metadata!F797,"insecta-associated habitat"),exact(Metadata!F797,"mammalia-associated habitat"),exact(Metadata!F797,"human-associated habitat"),exact(Metadata!F797,"livestock-associated habitat"))))</f>
        <v>0</v>
      </c>
      <c r="AH797">
        <f>AND(IF(Metadata!G797="",FALSE,TRUE),exact(Metadata!G797,"host-associated"))</f>
        <v>0</v>
      </c>
      <c r="AI797">
        <f>OR(AND(IF(Metadata!H797="",FALSE,TRUE),OR(exact(Metadata!H797,"not collected"),exact(Metadata!H797,"not provided"))),AND(IF(Metadata!H797="",FALSE,ISNUMBER(VALUE(Metadata!H797))),Metadata!H797&gt;0))</f>
        <v>0</v>
      </c>
      <c r="AJ797">
        <f>AND(IF(Metadata!I797="",FALSE,TRUE),exact(Metadata!I797,"years"))</f>
        <v>0</v>
      </c>
      <c r="AK797">
        <f>IF(Metadata!J797="",FALSE,TRUE)</f>
        <v>0</v>
      </c>
      <c r="AL797">
        <f>OR(AND(IF(Metadata!K797="",FALSE,TRUE),OR(exact(Metadata!K797,"not collected"),exact(Metadata!K797,"not provided"))),AND(IF(Metadata!K797="",FALSE,ISNUMBER(VALUE(Metadata!K797))),Metadata!K797&gt;0))</f>
        <v>0</v>
      </c>
      <c r="AM797">
        <f>AND(IF(Metadata!L797="",FALSE,TRUE),exact(Metadata!L797,"cm"))</f>
        <v>0</v>
      </c>
      <c r="AN797">
        <f>IF(Metadata!M797="",FALSE,TRUE)</f>
        <v>0</v>
      </c>
      <c r="AO797">
        <f>OR(AND(IF(Metadata!N797="",FALSE,TRUE),OR(exact(Metadata!N797,"not applicable"),exact(Metadata!N797,"not collected"),exact(Metadata!N797,"not provided"))),AND(IF(Metadata!N797="",FALSE,IF(ISERROR(INT(Metadata!N797)),FALSE,INT(Metadata!N797)=Metadata!N797)),Metadata!N797&gt;0))</f>
        <v>0</v>
      </c>
      <c r="AP797">
        <f>OR(AND(IF(Metadata!O797="",FALSE,TRUE),OR(exact(Metadata!O797,"not collected"),exact(Metadata!O797,"not provided"))),AND(IF(Metadata!O797="",FALSE,ISNUMBER(VALUE(Metadata!O797))),Metadata!O797&gt;0))</f>
        <v>0</v>
      </c>
      <c r="AQ797">
        <f>AND(IF(Metadata!P797="",FALSE,TRUE),exact(Metadata!P797,"kg"))</f>
        <v>0</v>
      </c>
      <c r="AR797">
        <f>OR(AND(IF(Metadata!Q797="",FALSE,TRUE),OR(exact(Metadata!Q797,"not applicable"),exact(Metadata!Q797,"not collected"),exact(Metadata!Q797,"not provided"),exact(Metadata!Q797,"restricted access"))),IF(Metadata!Q797="",FALSE,IF(ISERROR(INT(Metadata!Q797)),FALSE,INT(Metadata!Q797)=Metadata!Q797)))</f>
        <v>0</v>
      </c>
      <c r="AS797">
        <f>AND(IF(Metadata!R797="",FALSE,TRUE),exact(Metadata!R797,"Not applicable"))</f>
        <v>0</v>
      </c>
    </row>
    <row r="798" spans="1:45">
      <c r="A798" s="4">
        <f>IF(B798=" "," ",HYPERLINK(CONCATENATE("#metadata!",ADDRESS(INDEX($X$2:$X$1001,MATCH(ROWS($V$2:V798),$V$2:$V$1001,0),0),2)),INDEX($AA$2:$AA$1001,MATCH(ROWS($V$2:V798),$V$2:$V$1001,0),0)))</f>
        <v>0</v>
      </c>
      <c r="B798" s="5">
        <f>IF(OR(INDEX($W$2:$W$1001,MATCH(ROWS($V$2:V798),$V$2:$V$1001,0),1)&gt;=100000,INDEX($AC$1005:$AS$1005,1,MATCH(COLUMNS($AC$1006:AC1006),$AC$1006:$AS$1006,0))&gt;=100000), " ",IF(INDEX($AC$2:$AS$1001,MATCH(ROWS($V$2:V798),$V$2:$V$1001,0),MATCH(COLUMNS($AC$1006:AC1006),$AC$1006:$AS$1006,0)), HYPERLINK("#",""), HYPERLINK(CONCATENATE("#Metadata!", ADDRESS(INDEX($X$2:$X$1001,MATCH(ROWS($V$2:V798),$V$2:$V$1001,0),0), INDEX($AC$1004:$AS$1004,1,MATCH(COLUMNS($AC$1006:AC1006),$AC$1006:$AS$1006,0)))),"Fix")))</f>
        <v>0</v>
      </c>
      <c r="C798" s="5">
        <f>IF(OR(INDEX($W$2:$W$1001,MATCH(ROWS($V$2:V798),$V$2:$V$1001,0),1)&gt;=100000,INDEX($AC$1005:$AS$1005,1,MATCH(COLUMNS($AC$1006:AD1006),$AC$1006:$AS$1006,0))&gt;=100000), " ",IF(INDEX($AC$2:$AS$1001,MATCH(ROWS($V$2:V798),$V$2:$V$1001,0),MATCH(COLUMNS($AC$1006:AD1006),$AC$1006:$AS$1006,0)), HYPERLINK("#",""), HYPERLINK(CONCATENATE("#Metadata!", ADDRESS(INDEX($X$2:$X$1001,MATCH(ROWS($V$2:V798),$V$2:$V$1001,0),0), INDEX($AC$1004:$AS$1004,1,MATCH(COLUMNS($AC$1006:AD1006),$AC$1006:$AS$1006,0)))),"Fix")))</f>
        <v>0</v>
      </c>
      <c r="D798" s="5">
        <f>IF(OR(INDEX($W$2:$W$1001,MATCH(ROWS($V$2:V798),$V$2:$V$1001,0),1)&gt;=100000,INDEX($AC$1005:$AS$1005,1,MATCH(COLUMNS($AC$1006:AE1006),$AC$1006:$AS$1006,0))&gt;=100000), " ",IF(INDEX($AC$2:$AS$1001,MATCH(ROWS($V$2:V798),$V$2:$V$1001,0),MATCH(COLUMNS($AC$1006:AE1006),$AC$1006:$AS$1006,0)), HYPERLINK("#",""), HYPERLINK(CONCATENATE("#Metadata!", ADDRESS(INDEX($X$2:$X$1001,MATCH(ROWS($V$2:V798),$V$2:$V$1001,0),0), INDEX($AC$1004:$AS$1004,1,MATCH(COLUMNS($AC$1006:AE1006),$AC$1006:$AS$1006,0)))),"Fix")))</f>
        <v>0</v>
      </c>
      <c r="E798" s="5">
        <f>IF(OR(INDEX($W$2:$W$1001,MATCH(ROWS($V$2:V798),$V$2:$V$1001,0),1)&gt;=100000,INDEX($AC$1005:$AS$1005,1,MATCH(COLUMNS($AC$1006:AF1006),$AC$1006:$AS$1006,0))&gt;=100000), " ",IF(INDEX($AC$2:$AS$1001,MATCH(ROWS($V$2:V798),$V$2:$V$1001,0),MATCH(COLUMNS($AC$1006:AF1006),$AC$1006:$AS$1006,0)), HYPERLINK("#",""), HYPERLINK(CONCATENATE("#Metadata!", ADDRESS(INDEX($X$2:$X$1001,MATCH(ROWS($V$2:V798),$V$2:$V$1001,0),0), INDEX($AC$1004:$AS$1004,1,MATCH(COLUMNS($AC$1006:AF1006),$AC$1006:$AS$1006,0)))),"Fix")))</f>
        <v>0</v>
      </c>
      <c r="F798" s="5">
        <f>IF(OR(INDEX($W$2:$W$1001,MATCH(ROWS($V$2:V798),$V$2:$V$1001,0),1)&gt;=100000,INDEX($AC$1005:$AS$1005,1,MATCH(COLUMNS($AC$1006:AG1006),$AC$1006:$AS$1006,0))&gt;=100000), " ",IF(INDEX($AC$2:$AS$1001,MATCH(ROWS($V$2:V798),$V$2:$V$1001,0),MATCH(COLUMNS($AC$1006:AG1006),$AC$1006:$AS$1006,0)), HYPERLINK("#",""), HYPERLINK(CONCATENATE("#Metadata!", ADDRESS(INDEX($X$2:$X$1001,MATCH(ROWS($V$2:V798),$V$2:$V$1001,0),0), INDEX($AC$1004:$AS$1004,1,MATCH(COLUMNS($AC$1006:AG1006),$AC$1006:$AS$1006,0)))),"Fix")))</f>
        <v>0</v>
      </c>
      <c r="G798" s="5">
        <f>IF(OR(INDEX($W$2:$W$1001,MATCH(ROWS($V$2:V798),$V$2:$V$1001,0),1)&gt;=100000,INDEX($AC$1005:$AS$1005,1,MATCH(COLUMNS($AC$1006:AH1006),$AC$1006:$AS$1006,0))&gt;=100000), " ",IF(INDEX($AC$2:$AS$1001,MATCH(ROWS($V$2:V798),$V$2:$V$1001,0),MATCH(COLUMNS($AC$1006:AH1006),$AC$1006:$AS$1006,0)), HYPERLINK("#",""), HYPERLINK(CONCATENATE("#Metadata!", ADDRESS(INDEX($X$2:$X$1001,MATCH(ROWS($V$2:V798),$V$2:$V$1001,0),0), INDEX($AC$1004:$AS$1004,1,MATCH(COLUMNS($AC$1006:AH1006),$AC$1006:$AS$1006,0)))),"Fix")))</f>
        <v>0</v>
      </c>
      <c r="H798" s="5">
        <f>IF(OR(INDEX($W$2:$W$1001,MATCH(ROWS($V$2:V798),$V$2:$V$1001,0),1)&gt;=100000,INDEX($AC$1005:$AS$1005,1,MATCH(COLUMNS($AC$1006:AI1006),$AC$1006:$AS$1006,0))&gt;=100000), " ",IF(INDEX($AC$2:$AS$1001,MATCH(ROWS($V$2:V798),$V$2:$V$1001,0),MATCH(COLUMNS($AC$1006:AI1006),$AC$1006:$AS$1006,0)), HYPERLINK("#",""), HYPERLINK(CONCATENATE("#Metadata!", ADDRESS(INDEX($X$2:$X$1001,MATCH(ROWS($V$2:V798),$V$2:$V$1001,0),0), INDEX($AC$1004:$AS$1004,1,MATCH(COLUMNS($AC$1006:AI1006),$AC$1006:$AS$1006,0)))),"Fix")))</f>
        <v>0</v>
      </c>
      <c r="I798" s="5">
        <f>IF(OR(INDEX($W$2:$W$1001,MATCH(ROWS($V$2:V798),$V$2:$V$1001,0),1)&gt;=100000,INDEX($AC$1005:$AS$1005,1,MATCH(COLUMNS($AC$1006:AJ1006),$AC$1006:$AS$1006,0))&gt;=100000), " ",IF(INDEX($AC$2:$AS$1001,MATCH(ROWS($V$2:V798),$V$2:$V$1001,0),MATCH(COLUMNS($AC$1006:AJ1006),$AC$1006:$AS$1006,0)), HYPERLINK("#",""), HYPERLINK(CONCATENATE("#Metadata!", ADDRESS(INDEX($X$2:$X$1001,MATCH(ROWS($V$2:V798),$V$2:$V$1001,0),0), INDEX($AC$1004:$AS$1004,1,MATCH(COLUMNS($AC$1006:AJ1006),$AC$1006:$AS$1006,0)))),"Fix")))</f>
        <v>0</v>
      </c>
      <c r="J798" s="5">
        <f>IF(OR(INDEX($W$2:$W$1001,MATCH(ROWS($V$2:V798),$V$2:$V$1001,0),1)&gt;=100000,INDEX($AC$1005:$AS$1005,1,MATCH(COLUMNS($AC$1006:AK1006),$AC$1006:$AS$1006,0))&gt;=100000), " ",IF(INDEX($AC$2:$AS$1001,MATCH(ROWS($V$2:V798),$V$2:$V$1001,0),MATCH(COLUMNS($AC$1006:AK1006),$AC$1006:$AS$1006,0)), HYPERLINK("#",""), HYPERLINK(CONCATENATE("#Metadata!", ADDRESS(INDEX($X$2:$X$1001,MATCH(ROWS($V$2:V798),$V$2:$V$1001,0),0), INDEX($AC$1004:$AS$1004,1,MATCH(COLUMNS($AC$1006:AK1006),$AC$1006:$AS$1006,0)))),"Fix")))</f>
        <v>0</v>
      </c>
      <c r="K798" s="5">
        <f>IF(OR(INDEX($W$2:$W$1001,MATCH(ROWS($V$2:V798),$V$2:$V$1001,0),1)&gt;=100000,INDEX($AC$1005:$AS$1005,1,MATCH(COLUMNS($AC$1006:AL1006),$AC$1006:$AS$1006,0))&gt;=100000), " ",IF(INDEX($AC$2:$AS$1001,MATCH(ROWS($V$2:V798),$V$2:$V$1001,0),MATCH(COLUMNS($AC$1006:AL1006),$AC$1006:$AS$1006,0)), HYPERLINK("#",""), HYPERLINK(CONCATENATE("#Metadata!", ADDRESS(INDEX($X$2:$X$1001,MATCH(ROWS($V$2:V798),$V$2:$V$1001,0),0), INDEX($AC$1004:$AS$1004,1,MATCH(COLUMNS($AC$1006:AL1006),$AC$1006:$AS$1006,0)))),"Fix")))</f>
        <v>0</v>
      </c>
      <c r="L798" s="5">
        <f>IF(OR(INDEX($W$2:$W$1001,MATCH(ROWS($V$2:V798),$V$2:$V$1001,0),1)&gt;=100000,INDEX($AC$1005:$AS$1005,1,MATCH(COLUMNS($AC$1006:AM1006),$AC$1006:$AS$1006,0))&gt;=100000), " ",IF(INDEX($AC$2:$AS$1001,MATCH(ROWS($V$2:V798),$V$2:$V$1001,0),MATCH(COLUMNS($AC$1006:AM1006),$AC$1006:$AS$1006,0)), HYPERLINK("#",""), HYPERLINK(CONCATENATE("#Metadata!", ADDRESS(INDEX($X$2:$X$1001,MATCH(ROWS($V$2:V798),$V$2:$V$1001,0),0), INDEX($AC$1004:$AS$1004,1,MATCH(COLUMNS($AC$1006:AM1006),$AC$1006:$AS$1006,0)))),"Fix")))</f>
        <v>0</v>
      </c>
      <c r="M798" s="5">
        <f>IF(OR(INDEX($W$2:$W$1001,MATCH(ROWS($V$2:V798),$V$2:$V$1001,0),1)&gt;=100000,INDEX($AC$1005:$AS$1005,1,MATCH(COLUMNS($AC$1006:AN1006),$AC$1006:$AS$1006,0))&gt;=100000), " ",IF(INDEX($AC$2:$AS$1001,MATCH(ROWS($V$2:V798),$V$2:$V$1001,0),MATCH(COLUMNS($AC$1006:AN1006),$AC$1006:$AS$1006,0)), HYPERLINK("#",""), HYPERLINK(CONCATENATE("#Metadata!", ADDRESS(INDEX($X$2:$X$1001,MATCH(ROWS($V$2:V798),$V$2:$V$1001,0),0), INDEX($AC$1004:$AS$1004,1,MATCH(COLUMNS($AC$1006:AN1006),$AC$1006:$AS$1006,0)))),"Fix")))</f>
        <v>0</v>
      </c>
      <c r="N798" s="5">
        <f>IF(OR(INDEX($W$2:$W$1001,MATCH(ROWS($V$2:V798),$V$2:$V$1001,0),1)&gt;=100000,INDEX($AC$1005:$AS$1005,1,MATCH(COLUMNS($AC$1006:AO1006),$AC$1006:$AS$1006,0))&gt;=100000), " ",IF(INDEX($AC$2:$AS$1001,MATCH(ROWS($V$2:V798),$V$2:$V$1001,0),MATCH(COLUMNS($AC$1006:AO1006),$AC$1006:$AS$1006,0)), HYPERLINK("#",""), HYPERLINK(CONCATENATE("#Metadata!", ADDRESS(INDEX($X$2:$X$1001,MATCH(ROWS($V$2:V798),$V$2:$V$1001,0),0), INDEX($AC$1004:$AS$1004,1,MATCH(COLUMNS($AC$1006:AO1006),$AC$1006:$AS$1006,0)))),"Fix")))</f>
        <v>0</v>
      </c>
      <c r="O798" s="5">
        <f>IF(OR(INDEX($W$2:$W$1001,MATCH(ROWS($V$2:V798),$V$2:$V$1001,0),1)&gt;=100000,INDEX($AC$1005:$AS$1005,1,MATCH(COLUMNS($AC$1006:AP1006),$AC$1006:$AS$1006,0))&gt;=100000), " ",IF(INDEX($AC$2:$AS$1001,MATCH(ROWS($V$2:V798),$V$2:$V$1001,0),MATCH(COLUMNS($AC$1006:AP1006),$AC$1006:$AS$1006,0)), HYPERLINK("#",""), HYPERLINK(CONCATENATE("#Metadata!", ADDRESS(INDEX($X$2:$X$1001,MATCH(ROWS($V$2:V798),$V$2:$V$1001,0),0), INDEX($AC$1004:$AS$1004,1,MATCH(COLUMNS($AC$1006:AP1006),$AC$1006:$AS$1006,0)))),"Fix")))</f>
        <v>0</v>
      </c>
      <c r="P798" s="5">
        <f>IF(OR(INDEX($W$2:$W$1001,MATCH(ROWS($V$2:V798),$V$2:$V$1001,0),1)&gt;=100000,INDEX($AC$1005:$AS$1005,1,MATCH(COLUMNS($AC$1006:AQ1006),$AC$1006:$AS$1006,0))&gt;=100000), " ",IF(INDEX($AC$2:$AS$1001,MATCH(ROWS($V$2:V798),$V$2:$V$1001,0),MATCH(COLUMNS($AC$1006:AQ1006),$AC$1006:$AS$1006,0)), HYPERLINK("#",""), HYPERLINK(CONCATENATE("#Metadata!", ADDRESS(INDEX($X$2:$X$1001,MATCH(ROWS($V$2:V798),$V$2:$V$1001,0),0), INDEX($AC$1004:$AS$1004,1,MATCH(COLUMNS($AC$1006:AQ1006),$AC$1006:$AS$1006,0)))),"Fix")))</f>
        <v>0</v>
      </c>
      <c r="Q798" s="5">
        <f>IF(OR(INDEX($W$2:$W$1001,MATCH(ROWS($V$2:V798),$V$2:$V$1001,0),1)&gt;=100000,INDEX($AC$1005:$AS$1005,1,MATCH(COLUMNS($AC$1006:AR1006),$AC$1006:$AS$1006,0))&gt;=100000), " ",IF(INDEX($AC$2:$AS$1001,MATCH(ROWS($V$2:V798),$V$2:$V$1001,0),MATCH(COLUMNS($AC$1006:AR1006),$AC$1006:$AS$1006,0)), HYPERLINK("#",""), HYPERLINK(CONCATENATE("#Metadata!", ADDRESS(INDEX($X$2:$X$1001,MATCH(ROWS($V$2:V798),$V$2:$V$1001,0),0), INDEX($AC$1004:$AS$1004,1,MATCH(COLUMNS($AC$1006:AR1006),$AC$1006:$AS$1006,0)))),"Fix")))</f>
        <v>0</v>
      </c>
      <c r="R798" s="5">
        <f>IF(OR(INDEX($W$2:$W$1001,MATCH(ROWS($V$2:V798),$V$2:$V$1001,0),1)&gt;=100000,INDEX($AC$1005:$AS$1005,1,MATCH(COLUMNS($AC$1006:AS1006),$AC$1006:$AS$1006,0))&gt;=100000), " ",IF(INDEX($AC$2:$AS$1001,MATCH(ROWS($V$2:V798),$V$2:$V$1001,0),MATCH(COLUMNS($AC$1006:AS1006),$AC$1006:$AS$1006,0)), HYPERLINK("#",""), HYPERLINK(CONCATENATE("#Metadata!", ADDRESS(INDEX($X$2:$X$1001,MATCH(ROWS($V$2:V798),$V$2:$V$1001,0),0), INDEX($AC$1004:$AS$1004,1,MATCH(COLUMNS($AC$1006:AS1006),$AC$1006:$AS$1006,0)))),"Fix")))</f>
        <v>0</v>
      </c>
      <c r="V798">
        <v>0</v>
      </c>
      <c r="W798">
        <v>0</v>
      </c>
      <c r="X798">
        <v>0</v>
      </c>
      <c r="Y798">
        <f>IF(Z798,TRUE,AND(AC798:AS798))</f>
        <v>0</v>
      </c>
      <c r="Z798">
        <f>COUNTBLANK(Metadata!B798:R798)=COLUMNS(Metadata!B798:R798)</f>
        <v>0</v>
      </c>
      <c r="AA798">
        <v>0</v>
      </c>
      <c r="AC798">
        <f>AND(IF(Metadata!B798="",FALSE,TRUE),COUNTIF(Metadata!B:B, Metadata!B798) = 1,NOT(ISERROR(SUMPRODUCT(SEARCH(MID(Metadata!B798,ROW(INDIRECT("1:"&amp;LEN(Metadata!B798))), 1),"0123456789abcdefghijklmnopqrstuvwxyzABCDEFGHIJKLMNOPQRSTUVWXYZ.")))))</f>
        <v>0</v>
      </c>
      <c r="AD798">
        <f>AND(IF(Metadata!C798="",FALSE,TRUE),exact(Metadata!C798,"Host-associated"))</f>
        <v>0</v>
      </c>
      <c r="AE798">
        <f>AND(IF(Metadata!D798="",FALSE,TRUE),OR(exact(Metadata!D798,"Animal"),exact(Metadata!D798,"Fungus"),exact(Metadata!D798,"Plant")))</f>
        <v>0</v>
      </c>
      <c r="AF798">
        <f>AND(IF(Metadata!E798="",FALSE,TRUE),OR(exact(Metadata!E798,"Plant secretion"),exact(Metadata!E798,"Plant rhizosphere"),exact(Metadata!E798,"Plant surface"),exact(Metadata!E798,"Plant corpus"),exact(Metadata!E798,"Fungus surface"),exact(Metadata!E798,"Fungus corpus"),exact(Metadata!E798,"Animal surface"),exact(Metadata!E798,"Animal proximal gut"),exact(Metadata!E798,"Animal corpus"),exact(Metadata!E798,"Animal distal gut"),exact(Metadata!E798,"Animal secretion")))</f>
        <v>0</v>
      </c>
      <c r="AG798">
        <f>OR(AND(IF(Metadata!F798="",FALSE,TRUE),OR(exact(Metadata!F798,"not collected"),exact(Metadata!F798,"not provided"),exact(Metadata!F798,"restricted access"))),AND(IF(Metadata!F798="",FALSE,TRUE),OR(exact(Metadata!F798,"organism-associated habitat"),exact(Metadata!F798,"plant-associated habitat"),exact(Metadata!F798,"animal-associated habitat"),exact(Metadata!F798,"insecta-associated habitat"),exact(Metadata!F798,"mammalia-associated habitat"),exact(Metadata!F798,"human-associated habitat"),exact(Metadata!F798,"livestock-associated habitat"))))</f>
        <v>0</v>
      </c>
      <c r="AH798">
        <f>AND(IF(Metadata!G798="",FALSE,TRUE),exact(Metadata!G798,"host-associated"))</f>
        <v>0</v>
      </c>
      <c r="AI798">
        <f>OR(AND(IF(Metadata!H798="",FALSE,TRUE),OR(exact(Metadata!H798,"not collected"),exact(Metadata!H798,"not provided"))),AND(IF(Metadata!H798="",FALSE,ISNUMBER(VALUE(Metadata!H798))),Metadata!H798&gt;0))</f>
        <v>0</v>
      </c>
      <c r="AJ798">
        <f>AND(IF(Metadata!I798="",FALSE,TRUE),exact(Metadata!I798,"years"))</f>
        <v>0</v>
      </c>
      <c r="AK798">
        <f>IF(Metadata!J798="",FALSE,TRUE)</f>
        <v>0</v>
      </c>
      <c r="AL798">
        <f>OR(AND(IF(Metadata!K798="",FALSE,TRUE),OR(exact(Metadata!K798,"not collected"),exact(Metadata!K798,"not provided"))),AND(IF(Metadata!K798="",FALSE,ISNUMBER(VALUE(Metadata!K798))),Metadata!K798&gt;0))</f>
        <v>0</v>
      </c>
      <c r="AM798">
        <f>AND(IF(Metadata!L798="",FALSE,TRUE),exact(Metadata!L798,"cm"))</f>
        <v>0</v>
      </c>
      <c r="AN798">
        <f>IF(Metadata!M798="",FALSE,TRUE)</f>
        <v>0</v>
      </c>
      <c r="AO798">
        <f>OR(AND(IF(Metadata!N798="",FALSE,TRUE),OR(exact(Metadata!N798,"not applicable"),exact(Metadata!N798,"not collected"),exact(Metadata!N798,"not provided"))),AND(IF(Metadata!N798="",FALSE,IF(ISERROR(INT(Metadata!N798)),FALSE,INT(Metadata!N798)=Metadata!N798)),Metadata!N798&gt;0))</f>
        <v>0</v>
      </c>
      <c r="AP798">
        <f>OR(AND(IF(Metadata!O798="",FALSE,TRUE),OR(exact(Metadata!O798,"not collected"),exact(Metadata!O798,"not provided"))),AND(IF(Metadata!O798="",FALSE,ISNUMBER(VALUE(Metadata!O798))),Metadata!O798&gt;0))</f>
        <v>0</v>
      </c>
      <c r="AQ798">
        <f>AND(IF(Metadata!P798="",FALSE,TRUE),exact(Metadata!P798,"kg"))</f>
        <v>0</v>
      </c>
      <c r="AR798">
        <f>OR(AND(IF(Metadata!Q798="",FALSE,TRUE),OR(exact(Metadata!Q798,"not applicable"),exact(Metadata!Q798,"not collected"),exact(Metadata!Q798,"not provided"),exact(Metadata!Q798,"restricted access"))),IF(Metadata!Q798="",FALSE,IF(ISERROR(INT(Metadata!Q798)),FALSE,INT(Metadata!Q798)=Metadata!Q798)))</f>
        <v>0</v>
      </c>
      <c r="AS798">
        <f>AND(IF(Metadata!R798="",FALSE,TRUE),exact(Metadata!R798,"Not applicable"))</f>
        <v>0</v>
      </c>
    </row>
    <row r="799" spans="1:45">
      <c r="A799" s="4">
        <f>IF(B799=" "," ",HYPERLINK(CONCATENATE("#metadata!",ADDRESS(INDEX($X$2:$X$1001,MATCH(ROWS($V$2:V799),$V$2:$V$1001,0),0),2)),INDEX($AA$2:$AA$1001,MATCH(ROWS($V$2:V799),$V$2:$V$1001,0),0)))</f>
        <v>0</v>
      </c>
      <c r="B799" s="5">
        <f>IF(OR(INDEX($W$2:$W$1001,MATCH(ROWS($V$2:V799),$V$2:$V$1001,0),1)&gt;=100000,INDEX($AC$1005:$AS$1005,1,MATCH(COLUMNS($AC$1006:AC1006),$AC$1006:$AS$1006,0))&gt;=100000), " ",IF(INDEX($AC$2:$AS$1001,MATCH(ROWS($V$2:V799),$V$2:$V$1001,0),MATCH(COLUMNS($AC$1006:AC1006),$AC$1006:$AS$1006,0)), HYPERLINK("#",""), HYPERLINK(CONCATENATE("#Metadata!", ADDRESS(INDEX($X$2:$X$1001,MATCH(ROWS($V$2:V799),$V$2:$V$1001,0),0), INDEX($AC$1004:$AS$1004,1,MATCH(COLUMNS($AC$1006:AC1006),$AC$1006:$AS$1006,0)))),"Fix")))</f>
        <v>0</v>
      </c>
      <c r="C799" s="5">
        <f>IF(OR(INDEX($W$2:$W$1001,MATCH(ROWS($V$2:V799),$V$2:$V$1001,0),1)&gt;=100000,INDEX($AC$1005:$AS$1005,1,MATCH(COLUMNS($AC$1006:AD1006),$AC$1006:$AS$1006,0))&gt;=100000), " ",IF(INDEX($AC$2:$AS$1001,MATCH(ROWS($V$2:V799),$V$2:$V$1001,0),MATCH(COLUMNS($AC$1006:AD1006),$AC$1006:$AS$1006,0)), HYPERLINK("#",""), HYPERLINK(CONCATENATE("#Metadata!", ADDRESS(INDEX($X$2:$X$1001,MATCH(ROWS($V$2:V799),$V$2:$V$1001,0),0), INDEX($AC$1004:$AS$1004,1,MATCH(COLUMNS($AC$1006:AD1006),$AC$1006:$AS$1006,0)))),"Fix")))</f>
        <v>0</v>
      </c>
      <c r="D799" s="5">
        <f>IF(OR(INDEX($W$2:$W$1001,MATCH(ROWS($V$2:V799),$V$2:$V$1001,0),1)&gt;=100000,INDEX($AC$1005:$AS$1005,1,MATCH(COLUMNS($AC$1006:AE1006),$AC$1006:$AS$1006,0))&gt;=100000), " ",IF(INDEX($AC$2:$AS$1001,MATCH(ROWS($V$2:V799),$V$2:$V$1001,0),MATCH(COLUMNS($AC$1006:AE1006),$AC$1006:$AS$1006,0)), HYPERLINK("#",""), HYPERLINK(CONCATENATE("#Metadata!", ADDRESS(INDEX($X$2:$X$1001,MATCH(ROWS($V$2:V799),$V$2:$V$1001,0),0), INDEX($AC$1004:$AS$1004,1,MATCH(COLUMNS($AC$1006:AE1006),$AC$1006:$AS$1006,0)))),"Fix")))</f>
        <v>0</v>
      </c>
      <c r="E799" s="5">
        <f>IF(OR(INDEX($W$2:$W$1001,MATCH(ROWS($V$2:V799),$V$2:$V$1001,0),1)&gt;=100000,INDEX($AC$1005:$AS$1005,1,MATCH(COLUMNS($AC$1006:AF1006),$AC$1006:$AS$1006,0))&gt;=100000), " ",IF(INDEX($AC$2:$AS$1001,MATCH(ROWS($V$2:V799),$V$2:$V$1001,0),MATCH(COLUMNS($AC$1006:AF1006),$AC$1006:$AS$1006,0)), HYPERLINK("#",""), HYPERLINK(CONCATENATE("#Metadata!", ADDRESS(INDEX($X$2:$X$1001,MATCH(ROWS($V$2:V799),$V$2:$V$1001,0),0), INDEX($AC$1004:$AS$1004,1,MATCH(COLUMNS($AC$1006:AF1006),$AC$1006:$AS$1006,0)))),"Fix")))</f>
        <v>0</v>
      </c>
      <c r="F799" s="5">
        <f>IF(OR(INDEX($W$2:$W$1001,MATCH(ROWS($V$2:V799),$V$2:$V$1001,0),1)&gt;=100000,INDEX($AC$1005:$AS$1005,1,MATCH(COLUMNS($AC$1006:AG1006),$AC$1006:$AS$1006,0))&gt;=100000), " ",IF(INDEX($AC$2:$AS$1001,MATCH(ROWS($V$2:V799),$V$2:$V$1001,0),MATCH(COLUMNS($AC$1006:AG1006),$AC$1006:$AS$1006,0)), HYPERLINK("#",""), HYPERLINK(CONCATENATE("#Metadata!", ADDRESS(INDEX($X$2:$X$1001,MATCH(ROWS($V$2:V799),$V$2:$V$1001,0),0), INDEX($AC$1004:$AS$1004,1,MATCH(COLUMNS($AC$1006:AG1006),$AC$1006:$AS$1006,0)))),"Fix")))</f>
        <v>0</v>
      </c>
      <c r="G799" s="5">
        <f>IF(OR(INDEX($W$2:$W$1001,MATCH(ROWS($V$2:V799),$V$2:$V$1001,0),1)&gt;=100000,INDEX($AC$1005:$AS$1005,1,MATCH(COLUMNS($AC$1006:AH1006),$AC$1006:$AS$1006,0))&gt;=100000), " ",IF(INDEX($AC$2:$AS$1001,MATCH(ROWS($V$2:V799),$V$2:$V$1001,0),MATCH(COLUMNS($AC$1006:AH1006),$AC$1006:$AS$1006,0)), HYPERLINK("#",""), HYPERLINK(CONCATENATE("#Metadata!", ADDRESS(INDEX($X$2:$X$1001,MATCH(ROWS($V$2:V799),$V$2:$V$1001,0),0), INDEX($AC$1004:$AS$1004,1,MATCH(COLUMNS($AC$1006:AH1006),$AC$1006:$AS$1006,0)))),"Fix")))</f>
        <v>0</v>
      </c>
      <c r="H799" s="5">
        <f>IF(OR(INDEX($W$2:$W$1001,MATCH(ROWS($V$2:V799),$V$2:$V$1001,0),1)&gt;=100000,INDEX($AC$1005:$AS$1005,1,MATCH(COLUMNS($AC$1006:AI1006),$AC$1006:$AS$1006,0))&gt;=100000), " ",IF(INDEX($AC$2:$AS$1001,MATCH(ROWS($V$2:V799),$V$2:$V$1001,0),MATCH(COLUMNS($AC$1006:AI1006),$AC$1006:$AS$1006,0)), HYPERLINK("#",""), HYPERLINK(CONCATENATE("#Metadata!", ADDRESS(INDEX($X$2:$X$1001,MATCH(ROWS($V$2:V799),$V$2:$V$1001,0),0), INDEX($AC$1004:$AS$1004,1,MATCH(COLUMNS($AC$1006:AI1006),$AC$1006:$AS$1006,0)))),"Fix")))</f>
        <v>0</v>
      </c>
      <c r="I799" s="5">
        <f>IF(OR(INDEX($W$2:$W$1001,MATCH(ROWS($V$2:V799),$V$2:$V$1001,0),1)&gt;=100000,INDEX($AC$1005:$AS$1005,1,MATCH(COLUMNS($AC$1006:AJ1006),$AC$1006:$AS$1006,0))&gt;=100000), " ",IF(INDEX($AC$2:$AS$1001,MATCH(ROWS($V$2:V799),$V$2:$V$1001,0),MATCH(COLUMNS($AC$1006:AJ1006),$AC$1006:$AS$1006,0)), HYPERLINK("#",""), HYPERLINK(CONCATENATE("#Metadata!", ADDRESS(INDEX($X$2:$X$1001,MATCH(ROWS($V$2:V799),$V$2:$V$1001,0),0), INDEX($AC$1004:$AS$1004,1,MATCH(COLUMNS($AC$1006:AJ1006),$AC$1006:$AS$1006,0)))),"Fix")))</f>
        <v>0</v>
      </c>
      <c r="J799" s="5">
        <f>IF(OR(INDEX($W$2:$W$1001,MATCH(ROWS($V$2:V799),$V$2:$V$1001,0),1)&gt;=100000,INDEX($AC$1005:$AS$1005,1,MATCH(COLUMNS($AC$1006:AK1006),$AC$1006:$AS$1006,0))&gt;=100000), " ",IF(INDEX($AC$2:$AS$1001,MATCH(ROWS($V$2:V799),$V$2:$V$1001,0),MATCH(COLUMNS($AC$1006:AK1006),$AC$1006:$AS$1006,0)), HYPERLINK("#",""), HYPERLINK(CONCATENATE("#Metadata!", ADDRESS(INDEX($X$2:$X$1001,MATCH(ROWS($V$2:V799),$V$2:$V$1001,0),0), INDEX($AC$1004:$AS$1004,1,MATCH(COLUMNS($AC$1006:AK1006),$AC$1006:$AS$1006,0)))),"Fix")))</f>
        <v>0</v>
      </c>
      <c r="K799" s="5">
        <f>IF(OR(INDEX($W$2:$W$1001,MATCH(ROWS($V$2:V799),$V$2:$V$1001,0),1)&gt;=100000,INDEX($AC$1005:$AS$1005,1,MATCH(COLUMNS($AC$1006:AL1006),$AC$1006:$AS$1006,0))&gt;=100000), " ",IF(INDEX($AC$2:$AS$1001,MATCH(ROWS($V$2:V799),$V$2:$V$1001,0),MATCH(COLUMNS($AC$1006:AL1006),$AC$1006:$AS$1006,0)), HYPERLINK("#",""), HYPERLINK(CONCATENATE("#Metadata!", ADDRESS(INDEX($X$2:$X$1001,MATCH(ROWS($V$2:V799),$V$2:$V$1001,0),0), INDEX($AC$1004:$AS$1004,1,MATCH(COLUMNS($AC$1006:AL1006),$AC$1006:$AS$1006,0)))),"Fix")))</f>
        <v>0</v>
      </c>
      <c r="L799" s="5">
        <f>IF(OR(INDEX($W$2:$W$1001,MATCH(ROWS($V$2:V799),$V$2:$V$1001,0),1)&gt;=100000,INDEX($AC$1005:$AS$1005,1,MATCH(COLUMNS($AC$1006:AM1006),$AC$1006:$AS$1006,0))&gt;=100000), " ",IF(INDEX($AC$2:$AS$1001,MATCH(ROWS($V$2:V799),$V$2:$V$1001,0),MATCH(COLUMNS($AC$1006:AM1006),$AC$1006:$AS$1006,0)), HYPERLINK("#",""), HYPERLINK(CONCATENATE("#Metadata!", ADDRESS(INDEX($X$2:$X$1001,MATCH(ROWS($V$2:V799),$V$2:$V$1001,0),0), INDEX($AC$1004:$AS$1004,1,MATCH(COLUMNS($AC$1006:AM1006),$AC$1006:$AS$1006,0)))),"Fix")))</f>
        <v>0</v>
      </c>
      <c r="M799" s="5">
        <f>IF(OR(INDEX($W$2:$W$1001,MATCH(ROWS($V$2:V799),$V$2:$V$1001,0),1)&gt;=100000,INDEX($AC$1005:$AS$1005,1,MATCH(COLUMNS($AC$1006:AN1006),$AC$1006:$AS$1006,0))&gt;=100000), " ",IF(INDEX($AC$2:$AS$1001,MATCH(ROWS($V$2:V799),$V$2:$V$1001,0),MATCH(COLUMNS($AC$1006:AN1006),$AC$1006:$AS$1006,0)), HYPERLINK("#",""), HYPERLINK(CONCATENATE("#Metadata!", ADDRESS(INDEX($X$2:$X$1001,MATCH(ROWS($V$2:V799),$V$2:$V$1001,0),0), INDEX($AC$1004:$AS$1004,1,MATCH(COLUMNS($AC$1006:AN1006),$AC$1006:$AS$1006,0)))),"Fix")))</f>
        <v>0</v>
      </c>
      <c r="N799" s="5">
        <f>IF(OR(INDEX($W$2:$W$1001,MATCH(ROWS($V$2:V799),$V$2:$V$1001,0),1)&gt;=100000,INDEX($AC$1005:$AS$1005,1,MATCH(COLUMNS($AC$1006:AO1006),$AC$1006:$AS$1006,0))&gt;=100000), " ",IF(INDEX($AC$2:$AS$1001,MATCH(ROWS($V$2:V799),$V$2:$V$1001,0),MATCH(COLUMNS($AC$1006:AO1006),$AC$1006:$AS$1006,0)), HYPERLINK("#",""), HYPERLINK(CONCATENATE("#Metadata!", ADDRESS(INDEX($X$2:$X$1001,MATCH(ROWS($V$2:V799),$V$2:$V$1001,0),0), INDEX($AC$1004:$AS$1004,1,MATCH(COLUMNS($AC$1006:AO1006),$AC$1006:$AS$1006,0)))),"Fix")))</f>
        <v>0</v>
      </c>
      <c r="O799" s="5">
        <f>IF(OR(INDEX($W$2:$W$1001,MATCH(ROWS($V$2:V799),$V$2:$V$1001,0),1)&gt;=100000,INDEX($AC$1005:$AS$1005,1,MATCH(COLUMNS($AC$1006:AP1006),$AC$1006:$AS$1006,0))&gt;=100000), " ",IF(INDEX($AC$2:$AS$1001,MATCH(ROWS($V$2:V799),$V$2:$V$1001,0),MATCH(COLUMNS($AC$1006:AP1006),$AC$1006:$AS$1006,0)), HYPERLINK("#",""), HYPERLINK(CONCATENATE("#Metadata!", ADDRESS(INDEX($X$2:$X$1001,MATCH(ROWS($V$2:V799),$V$2:$V$1001,0),0), INDEX($AC$1004:$AS$1004,1,MATCH(COLUMNS($AC$1006:AP1006),$AC$1006:$AS$1006,0)))),"Fix")))</f>
        <v>0</v>
      </c>
      <c r="P799" s="5">
        <f>IF(OR(INDEX($W$2:$W$1001,MATCH(ROWS($V$2:V799),$V$2:$V$1001,0),1)&gt;=100000,INDEX($AC$1005:$AS$1005,1,MATCH(COLUMNS($AC$1006:AQ1006),$AC$1006:$AS$1006,0))&gt;=100000), " ",IF(INDEX($AC$2:$AS$1001,MATCH(ROWS($V$2:V799),$V$2:$V$1001,0),MATCH(COLUMNS($AC$1006:AQ1006),$AC$1006:$AS$1006,0)), HYPERLINK("#",""), HYPERLINK(CONCATENATE("#Metadata!", ADDRESS(INDEX($X$2:$X$1001,MATCH(ROWS($V$2:V799),$V$2:$V$1001,0),0), INDEX($AC$1004:$AS$1004,1,MATCH(COLUMNS($AC$1006:AQ1006),$AC$1006:$AS$1006,0)))),"Fix")))</f>
        <v>0</v>
      </c>
      <c r="Q799" s="5">
        <f>IF(OR(INDEX($W$2:$W$1001,MATCH(ROWS($V$2:V799),$V$2:$V$1001,0),1)&gt;=100000,INDEX($AC$1005:$AS$1005,1,MATCH(COLUMNS($AC$1006:AR1006),$AC$1006:$AS$1006,0))&gt;=100000), " ",IF(INDEX($AC$2:$AS$1001,MATCH(ROWS($V$2:V799),$V$2:$V$1001,0),MATCH(COLUMNS($AC$1006:AR1006),$AC$1006:$AS$1006,0)), HYPERLINK("#",""), HYPERLINK(CONCATENATE("#Metadata!", ADDRESS(INDEX($X$2:$X$1001,MATCH(ROWS($V$2:V799),$V$2:$V$1001,0),0), INDEX($AC$1004:$AS$1004,1,MATCH(COLUMNS($AC$1006:AR1006),$AC$1006:$AS$1006,0)))),"Fix")))</f>
        <v>0</v>
      </c>
      <c r="R799" s="5">
        <f>IF(OR(INDEX($W$2:$W$1001,MATCH(ROWS($V$2:V799),$V$2:$V$1001,0),1)&gt;=100000,INDEX($AC$1005:$AS$1005,1,MATCH(COLUMNS($AC$1006:AS1006),$AC$1006:$AS$1006,0))&gt;=100000), " ",IF(INDEX($AC$2:$AS$1001,MATCH(ROWS($V$2:V799),$V$2:$V$1001,0),MATCH(COLUMNS($AC$1006:AS1006),$AC$1006:$AS$1006,0)), HYPERLINK("#",""), HYPERLINK(CONCATENATE("#Metadata!", ADDRESS(INDEX($X$2:$X$1001,MATCH(ROWS($V$2:V799),$V$2:$V$1001,0),0), INDEX($AC$1004:$AS$1004,1,MATCH(COLUMNS($AC$1006:AS1006),$AC$1006:$AS$1006,0)))),"Fix")))</f>
        <v>0</v>
      </c>
      <c r="V799">
        <v>0</v>
      </c>
      <c r="W799">
        <v>0</v>
      </c>
      <c r="X799">
        <v>0</v>
      </c>
      <c r="Y799">
        <f>IF(Z799,TRUE,AND(AC799:AS799))</f>
        <v>0</v>
      </c>
      <c r="Z799">
        <f>COUNTBLANK(Metadata!B799:R799)=COLUMNS(Metadata!B799:R799)</f>
        <v>0</v>
      </c>
      <c r="AA799">
        <v>0</v>
      </c>
      <c r="AC799">
        <f>AND(IF(Metadata!B799="",FALSE,TRUE),COUNTIF(Metadata!B:B, Metadata!B799) = 1,NOT(ISERROR(SUMPRODUCT(SEARCH(MID(Metadata!B799,ROW(INDIRECT("1:"&amp;LEN(Metadata!B799))), 1),"0123456789abcdefghijklmnopqrstuvwxyzABCDEFGHIJKLMNOPQRSTUVWXYZ.")))))</f>
        <v>0</v>
      </c>
      <c r="AD799">
        <f>AND(IF(Metadata!C799="",FALSE,TRUE),exact(Metadata!C799,"Host-associated"))</f>
        <v>0</v>
      </c>
      <c r="AE799">
        <f>AND(IF(Metadata!D799="",FALSE,TRUE),OR(exact(Metadata!D799,"Animal"),exact(Metadata!D799,"Fungus"),exact(Metadata!D799,"Plant")))</f>
        <v>0</v>
      </c>
      <c r="AF799">
        <f>AND(IF(Metadata!E799="",FALSE,TRUE),OR(exact(Metadata!E799,"Plant secretion"),exact(Metadata!E799,"Plant rhizosphere"),exact(Metadata!E799,"Plant surface"),exact(Metadata!E799,"Plant corpus"),exact(Metadata!E799,"Fungus surface"),exact(Metadata!E799,"Fungus corpus"),exact(Metadata!E799,"Animal surface"),exact(Metadata!E799,"Animal proximal gut"),exact(Metadata!E799,"Animal corpus"),exact(Metadata!E799,"Animal distal gut"),exact(Metadata!E799,"Animal secretion")))</f>
        <v>0</v>
      </c>
      <c r="AG799">
        <f>OR(AND(IF(Metadata!F799="",FALSE,TRUE),OR(exact(Metadata!F799,"not collected"),exact(Metadata!F799,"not provided"),exact(Metadata!F799,"restricted access"))),AND(IF(Metadata!F799="",FALSE,TRUE),OR(exact(Metadata!F799,"organism-associated habitat"),exact(Metadata!F799,"plant-associated habitat"),exact(Metadata!F799,"animal-associated habitat"),exact(Metadata!F799,"insecta-associated habitat"),exact(Metadata!F799,"mammalia-associated habitat"),exact(Metadata!F799,"human-associated habitat"),exact(Metadata!F799,"livestock-associated habitat"))))</f>
        <v>0</v>
      </c>
      <c r="AH799">
        <f>AND(IF(Metadata!G799="",FALSE,TRUE),exact(Metadata!G799,"host-associated"))</f>
        <v>0</v>
      </c>
      <c r="AI799">
        <f>OR(AND(IF(Metadata!H799="",FALSE,TRUE),OR(exact(Metadata!H799,"not collected"),exact(Metadata!H799,"not provided"))),AND(IF(Metadata!H799="",FALSE,ISNUMBER(VALUE(Metadata!H799))),Metadata!H799&gt;0))</f>
        <v>0</v>
      </c>
      <c r="AJ799">
        <f>AND(IF(Metadata!I799="",FALSE,TRUE),exact(Metadata!I799,"years"))</f>
        <v>0</v>
      </c>
      <c r="AK799">
        <f>IF(Metadata!J799="",FALSE,TRUE)</f>
        <v>0</v>
      </c>
      <c r="AL799">
        <f>OR(AND(IF(Metadata!K799="",FALSE,TRUE),OR(exact(Metadata!K799,"not collected"),exact(Metadata!K799,"not provided"))),AND(IF(Metadata!K799="",FALSE,ISNUMBER(VALUE(Metadata!K799))),Metadata!K799&gt;0))</f>
        <v>0</v>
      </c>
      <c r="AM799">
        <f>AND(IF(Metadata!L799="",FALSE,TRUE),exact(Metadata!L799,"cm"))</f>
        <v>0</v>
      </c>
      <c r="AN799">
        <f>IF(Metadata!M799="",FALSE,TRUE)</f>
        <v>0</v>
      </c>
      <c r="AO799">
        <f>OR(AND(IF(Metadata!N799="",FALSE,TRUE),OR(exact(Metadata!N799,"not applicable"),exact(Metadata!N799,"not collected"),exact(Metadata!N799,"not provided"))),AND(IF(Metadata!N799="",FALSE,IF(ISERROR(INT(Metadata!N799)),FALSE,INT(Metadata!N799)=Metadata!N799)),Metadata!N799&gt;0))</f>
        <v>0</v>
      </c>
      <c r="AP799">
        <f>OR(AND(IF(Metadata!O799="",FALSE,TRUE),OR(exact(Metadata!O799,"not collected"),exact(Metadata!O799,"not provided"))),AND(IF(Metadata!O799="",FALSE,ISNUMBER(VALUE(Metadata!O799))),Metadata!O799&gt;0))</f>
        <v>0</v>
      </c>
      <c r="AQ799">
        <f>AND(IF(Metadata!P799="",FALSE,TRUE),exact(Metadata!P799,"kg"))</f>
        <v>0</v>
      </c>
      <c r="AR799">
        <f>OR(AND(IF(Metadata!Q799="",FALSE,TRUE),OR(exact(Metadata!Q799,"not applicable"),exact(Metadata!Q799,"not collected"),exact(Metadata!Q799,"not provided"),exact(Metadata!Q799,"restricted access"))),IF(Metadata!Q799="",FALSE,IF(ISERROR(INT(Metadata!Q799)),FALSE,INT(Metadata!Q799)=Metadata!Q799)))</f>
        <v>0</v>
      </c>
      <c r="AS799">
        <f>AND(IF(Metadata!R799="",FALSE,TRUE),exact(Metadata!R799,"Not applicable"))</f>
        <v>0</v>
      </c>
    </row>
    <row r="800" spans="1:45">
      <c r="A800" s="4">
        <f>IF(B800=" "," ",HYPERLINK(CONCATENATE("#metadata!",ADDRESS(INDEX($X$2:$X$1001,MATCH(ROWS($V$2:V800),$V$2:$V$1001,0),0),2)),INDEX($AA$2:$AA$1001,MATCH(ROWS($V$2:V800),$V$2:$V$1001,0),0)))</f>
        <v>0</v>
      </c>
      <c r="B800" s="5">
        <f>IF(OR(INDEX($W$2:$W$1001,MATCH(ROWS($V$2:V800),$V$2:$V$1001,0),1)&gt;=100000,INDEX($AC$1005:$AS$1005,1,MATCH(COLUMNS($AC$1006:AC1006),$AC$1006:$AS$1006,0))&gt;=100000), " ",IF(INDEX($AC$2:$AS$1001,MATCH(ROWS($V$2:V800),$V$2:$V$1001,0),MATCH(COLUMNS($AC$1006:AC1006),$AC$1006:$AS$1006,0)), HYPERLINK("#",""), HYPERLINK(CONCATENATE("#Metadata!", ADDRESS(INDEX($X$2:$X$1001,MATCH(ROWS($V$2:V800),$V$2:$V$1001,0),0), INDEX($AC$1004:$AS$1004,1,MATCH(COLUMNS($AC$1006:AC1006),$AC$1006:$AS$1006,0)))),"Fix")))</f>
        <v>0</v>
      </c>
      <c r="C800" s="5">
        <f>IF(OR(INDEX($W$2:$W$1001,MATCH(ROWS($V$2:V800),$V$2:$V$1001,0),1)&gt;=100000,INDEX($AC$1005:$AS$1005,1,MATCH(COLUMNS($AC$1006:AD1006),$AC$1006:$AS$1006,0))&gt;=100000), " ",IF(INDEX($AC$2:$AS$1001,MATCH(ROWS($V$2:V800),$V$2:$V$1001,0),MATCH(COLUMNS($AC$1006:AD1006),$AC$1006:$AS$1006,0)), HYPERLINK("#",""), HYPERLINK(CONCATENATE("#Metadata!", ADDRESS(INDEX($X$2:$X$1001,MATCH(ROWS($V$2:V800),$V$2:$V$1001,0),0), INDEX($AC$1004:$AS$1004,1,MATCH(COLUMNS($AC$1006:AD1006),$AC$1006:$AS$1006,0)))),"Fix")))</f>
        <v>0</v>
      </c>
      <c r="D800" s="5">
        <f>IF(OR(INDEX($W$2:$W$1001,MATCH(ROWS($V$2:V800),$V$2:$V$1001,0),1)&gt;=100000,INDEX($AC$1005:$AS$1005,1,MATCH(COLUMNS($AC$1006:AE1006),$AC$1006:$AS$1006,0))&gt;=100000), " ",IF(INDEX($AC$2:$AS$1001,MATCH(ROWS($V$2:V800),$V$2:$V$1001,0),MATCH(COLUMNS($AC$1006:AE1006),$AC$1006:$AS$1006,0)), HYPERLINK("#",""), HYPERLINK(CONCATENATE("#Metadata!", ADDRESS(INDEX($X$2:$X$1001,MATCH(ROWS($V$2:V800),$V$2:$V$1001,0),0), INDEX($AC$1004:$AS$1004,1,MATCH(COLUMNS($AC$1006:AE1006),$AC$1006:$AS$1006,0)))),"Fix")))</f>
        <v>0</v>
      </c>
      <c r="E800" s="5">
        <f>IF(OR(INDEX($W$2:$W$1001,MATCH(ROWS($V$2:V800),$V$2:$V$1001,0),1)&gt;=100000,INDEX($AC$1005:$AS$1005,1,MATCH(COLUMNS($AC$1006:AF1006),$AC$1006:$AS$1006,0))&gt;=100000), " ",IF(INDEX($AC$2:$AS$1001,MATCH(ROWS($V$2:V800),$V$2:$V$1001,0),MATCH(COLUMNS($AC$1006:AF1006),$AC$1006:$AS$1006,0)), HYPERLINK("#",""), HYPERLINK(CONCATENATE("#Metadata!", ADDRESS(INDEX($X$2:$X$1001,MATCH(ROWS($V$2:V800),$V$2:$V$1001,0),0), INDEX($AC$1004:$AS$1004,1,MATCH(COLUMNS($AC$1006:AF1006),$AC$1006:$AS$1006,0)))),"Fix")))</f>
        <v>0</v>
      </c>
      <c r="F800" s="5">
        <f>IF(OR(INDEX($W$2:$W$1001,MATCH(ROWS($V$2:V800),$V$2:$V$1001,0),1)&gt;=100000,INDEX($AC$1005:$AS$1005,1,MATCH(COLUMNS($AC$1006:AG1006),$AC$1006:$AS$1006,0))&gt;=100000), " ",IF(INDEX($AC$2:$AS$1001,MATCH(ROWS($V$2:V800),$V$2:$V$1001,0),MATCH(COLUMNS($AC$1006:AG1006),$AC$1006:$AS$1006,0)), HYPERLINK("#",""), HYPERLINK(CONCATENATE("#Metadata!", ADDRESS(INDEX($X$2:$X$1001,MATCH(ROWS($V$2:V800),$V$2:$V$1001,0),0), INDEX($AC$1004:$AS$1004,1,MATCH(COLUMNS($AC$1006:AG1006),$AC$1006:$AS$1006,0)))),"Fix")))</f>
        <v>0</v>
      </c>
      <c r="G800" s="5">
        <f>IF(OR(INDEX($W$2:$W$1001,MATCH(ROWS($V$2:V800),$V$2:$V$1001,0),1)&gt;=100000,INDEX($AC$1005:$AS$1005,1,MATCH(COLUMNS($AC$1006:AH1006),$AC$1006:$AS$1006,0))&gt;=100000), " ",IF(INDEX($AC$2:$AS$1001,MATCH(ROWS($V$2:V800),$V$2:$V$1001,0),MATCH(COLUMNS($AC$1006:AH1006),$AC$1006:$AS$1006,0)), HYPERLINK("#",""), HYPERLINK(CONCATENATE("#Metadata!", ADDRESS(INDEX($X$2:$X$1001,MATCH(ROWS($V$2:V800),$V$2:$V$1001,0),0), INDEX($AC$1004:$AS$1004,1,MATCH(COLUMNS($AC$1006:AH1006),$AC$1006:$AS$1006,0)))),"Fix")))</f>
        <v>0</v>
      </c>
      <c r="H800" s="5">
        <f>IF(OR(INDEX($W$2:$W$1001,MATCH(ROWS($V$2:V800),$V$2:$V$1001,0),1)&gt;=100000,INDEX($AC$1005:$AS$1005,1,MATCH(COLUMNS($AC$1006:AI1006),$AC$1006:$AS$1006,0))&gt;=100000), " ",IF(INDEX($AC$2:$AS$1001,MATCH(ROWS($V$2:V800),$V$2:$V$1001,0),MATCH(COLUMNS($AC$1006:AI1006),$AC$1006:$AS$1006,0)), HYPERLINK("#",""), HYPERLINK(CONCATENATE("#Metadata!", ADDRESS(INDEX($X$2:$X$1001,MATCH(ROWS($V$2:V800),$V$2:$V$1001,0),0), INDEX($AC$1004:$AS$1004,1,MATCH(COLUMNS($AC$1006:AI1006),$AC$1006:$AS$1006,0)))),"Fix")))</f>
        <v>0</v>
      </c>
      <c r="I800" s="5">
        <f>IF(OR(INDEX($W$2:$W$1001,MATCH(ROWS($V$2:V800),$V$2:$V$1001,0),1)&gt;=100000,INDEX($AC$1005:$AS$1005,1,MATCH(COLUMNS($AC$1006:AJ1006),$AC$1006:$AS$1006,0))&gt;=100000), " ",IF(INDEX($AC$2:$AS$1001,MATCH(ROWS($V$2:V800),$V$2:$V$1001,0),MATCH(COLUMNS($AC$1006:AJ1006),$AC$1006:$AS$1006,0)), HYPERLINK("#",""), HYPERLINK(CONCATENATE("#Metadata!", ADDRESS(INDEX($X$2:$X$1001,MATCH(ROWS($V$2:V800),$V$2:$V$1001,0),0), INDEX($AC$1004:$AS$1004,1,MATCH(COLUMNS($AC$1006:AJ1006),$AC$1006:$AS$1006,0)))),"Fix")))</f>
        <v>0</v>
      </c>
      <c r="J800" s="5">
        <f>IF(OR(INDEX($W$2:$W$1001,MATCH(ROWS($V$2:V800),$V$2:$V$1001,0),1)&gt;=100000,INDEX($AC$1005:$AS$1005,1,MATCH(COLUMNS($AC$1006:AK1006),$AC$1006:$AS$1006,0))&gt;=100000), " ",IF(INDEX($AC$2:$AS$1001,MATCH(ROWS($V$2:V800),$V$2:$V$1001,0),MATCH(COLUMNS($AC$1006:AK1006),$AC$1006:$AS$1006,0)), HYPERLINK("#",""), HYPERLINK(CONCATENATE("#Metadata!", ADDRESS(INDEX($X$2:$X$1001,MATCH(ROWS($V$2:V800),$V$2:$V$1001,0),0), INDEX($AC$1004:$AS$1004,1,MATCH(COLUMNS($AC$1006:AK1006),$AC$1006:$AS$1006,0)))),"Fix")))</f>
        <v>0</v>
      </c>
      <c r="K800" s="5">
        <f>IF(OR(INDEX($W$2:$W$1001,MATCH(ROWS($V$2:V800),$V$2:$V$1001,0),1)&gt;=100000,INDEX($AC$1005:$AS$1005,1,MATCH(COLUMNS($AC$1006:AL1006),$AC$1006:$AS$1006,0))&gt;=100000), " ",IF(INDEX($AC$2:$AS$1001,MATCH(ROWS($V$2:V800),$V$2:$V$1001,0),MATCH(COLUMNS($AC$1006:AL1006),$AC$1006:$AS$1006,0)), HYPERLINK("#",""), HYPERLINK(CONCATENATE("#Metadata!", ADDRESS(INDEX($X$2:$X$1001,MATCH(ROWS($V$2:V800),$V$2:$V$1001,0),0), INDEX($AC$1004:$AS$1004,1,MATCH(COLUMNS($AC$1006:AL1006),$AC$1006:$AS$1006,0)))),"Fix")))</f>
        <v>0</v>
      </c>
      <c r="L800" s="5">
        <f>IF(OR(INDEX($W$2:$W$1001,MATCH(ROWS($V$2:V800),$V$2:$V$1001,0),1)&gt;=100000,INDEX($AC$1005:$AS$1005,1,MATCH(COLUMNS($AC$1006:AM1006),$AC$1006:$AS$1006,0))&gt;=100000), " ",IF(INDEX($AC$2:$AS$1001,MATCH(ROWS($V$2:V800),$V$2:$V$1001,0),MATCH(COLUMNS($AC$1006:AM1006),$AC$1006:$AS$1006,0)), HYPERLINK("#",""), HYPERLINK(CONCATENATE("#Metadata!", ADDRESS(INDEX($X$2:$X$1001,MATCH(ROWS($V$2:V800),$V$2:$V$1001,0),0), INDEX($AC$1004:$AS$1004,1,MATCH(COLUMNS($AC$1006:AM1006),$AC$1006:$AS$1006,0)))),"Fix")))</f>
        <v>0</v>
      </c>
      <c r="M800" s="5">
        <f>IF(OR(INDEX($W$2:$W$1001,MATCH(ROWS($V$2:V800),$V$2:$V$1001,0),1)&gt;=100000,INDEX($AC$1005:$AS$1005,1,MATCH(COLUMNS($AC$1006:AN1006),$AC$1006:$AS$1006,0))&gt;=100000), " ",IF(INDEX($AC$2:$AS$1001,MATCH(ROWS($V$2:V800),$V$2:$V$1001,0),MATCH(COLUMNS($AC$1006:AN1006),$AC$1006:$AS$1006,0)), HYPERLINK("#",""), HYPERLINK(CONCATENATE("#Metadata!", ADDRESS(INDEX($X$2:$X$1001,MATCH(ROWS($V$2:V800),$V$2:$V$1001,0),0), INDEX($AC$1004:$AS$1004,1,MATCH(COLUMNS($AC$1006:AN1006),$AC$1006:$AS$1006,0)))),"Fix")))</f>
        <v>0</v>
      </c>
      <c r="N800" s="5">
        <f>IF(OR(INDEX($W$2:$W$1001,MATCH(ROWS($V$2:V800),$V$2:$V$1001,0),1)&gt;=100000,INDEX($AC$1005:$AS$1005,1,MATCH(COLUMNS($AC$1006:AO1006),$AC$1006:$AS$1006,0))&gt;=100000), " ",IF(INDEX($AC$2:$AS$1001,MATCH(ROWS($V$2:V800),$V$2:$V$1001,0),MATCH(COLUMNS($AC$1006:AO1006),$AC$1006:$AS$1006,0)), HYPERLINK("#",""), HYPERLINK(CONCATENATE("#Metadata!", ADDRESS(INDEX($X$2:$X$1001,MATCH(ROWS($V$2:V800),$V$2:$V$1001,0),0), INDEX($AC$1004:$AS$1004,1,MATCH(COLUMNS($AC$1006:AO1006),$AC$1006:$AS$1006,0)))),"Fix")))</f>
        <v>0</v>
      </c>
      <c r="O800" s="5">
        <f>IF(OR(INDEX($W$2:$W$1001,MATCH(ROWS($V$2:V800),$V$2:$V$1001,0),1)&gt;=100000,INDEX($AC$1005:$AS$1005,1,MATCH(COLUMNS($AC$1006:AP1006),$AC$1006:$AS$1006,0))&gt;=100000), " ",IF(INDEX($AC$2:$AS$1001,MATCH(ROWS($V$2:V800),$V$2:$V$1001,0),MATCH(COLUMNS($AC$1006:AP1006),$AC$1006:$AS$1006,0)), HYPERLINK("#",""), HYPERLINK(CONCATENATE("#Metadata!", ADDRESS(INDEX($X$2:$X$1001,MATCH(ROWS($V$2:V800),$V$2:$V$1001,0),0), INDEX($AC$1004:$AS$1004,1,MATCH(COLUMNS($AC$1006:AP1006),$AC$1006:$AS$1006,0)))),"Fix")))</f>
        <v>0</v>
      </c>
      <c r="P800" s="5">
        <f>IF(OR(INDEX($W$2:$W$1001,MATCH(ROWS($V$2:V800),$V$2:$V$1001,0),1)&gt;=100000,INDEX($AC$1005:$AS$1005,1,MATCH(COLUMNS($AC$1006:AQ1006),$AC$1006:$AS$1006,0))&gt;=100000), " ",IF(INDEX($AC$2:$AS$1001,MATCH(ROWS($V$2:V800),$V$2:$V$1001,0),MATCH(COLUMNS($AC$1006:AQ1006),$AC$1006:$AS$1006,0)), HYPERLINK("#",""), HYPERLINK(CONCATENATE("#Metadata!", ADDRESS(INDEX($X$2:$X$1001,MATCH(ROWS($V$2:V800),$V$2:$V$1001,0),0), INDEX($AC$1004:$AS$1004,1,MATCH(COLUMNS($AC$1006:AQ1006),$AC$1006:$AS$1006,0)))),"Fix")))</f>
        <v>0</v>
      </c>
      <c r="Q800" s="5">
        <f>IF(OR(INDEX($W$2:$W$1001,MATCH(ROWS($V$2:V800),$V$2:$V$1001,0),1)&gt;=100000,INDEX($AC$1005:$AS$1005,1,MATCH(COLUMNS($AC$1006:AR1006),$AC$1006:$AS$1006,0))&gt;=100000), " ",IF(INDEX($AC$2:$AS$1001,MATCH(ROWS($V$2:V800),$V$2:$V$1001,0),MATCH(COLUMNS($AC$1006:AR1006),$AC$1006:$AS$1006,0)), HYPERLINK("#",""), HYPERLINK(CONCATENATE("#Metadata!", ADDRESS(INDEX($X$2:$X$1001,MATCH(ROWS($V$2:V800),$V$2:$V$1001,0),0), INDEX($AC$1004:$AS$1004,1,MATCH(COLUMNS($AC$1006:AR1006),$AC$1006:$AS$1006,0)))),"Fix")))</f>
        <v>0</v>
      </c>
      <c r="R800" s="5">
        <f>IF(OR(INDEX($W$2:$W$1001,MATCH(ROWS($V$2:V800),$V$2:$V$1001,0),1)&gt;=100000,INDEX($AC$1005:$AS$1005,1,MATCH(COLUMNS($AC$1006:AS1006),$AC$1006:$AS$1006,0))&gt;=100000), " ",IF(INDEX($AC$2:$AS$1001,MATCH(ROWS($V$2:V800),$V$2:$V$1001,0),MATCH(COLUMNS($AC$1006:AS1006),$AC$1006:$AS$1006,0)), HYPERLINK("#",""), HYPERLINK(CONCATENATE("#Metadata!", ADDRESS(INDEX($X$2:$X$1001,MATCH(ROWS($V$2:V800),$V$2:$V$1001,0),0), INDEX($AC$1004:$AS$1004,1,MATCH(COLUMNS($AC$1006:AS1006),$AC$1006:$AS$1006,0)))),"Fix")))</f>
        <v>0</v>
      </c>
      <c r="V800">
        <v>0</v>
      </c>
      <c r="W800">
        <v>0</v>
      </c>
      <c r="X800">
        <v>0</v>
      </c>
      <c r="Y800">
        <f>IF(Z800,TRUE,AND(AC800:AS800))</f>
        <v>0</v>
      </c>
      <c r="Z800">
        <f>COUNTBLANK(Metadata!B800:R800)=COLUMNS(Metadata!B800:R800)</f>
        <v>0</v>
      </c>
      <c r="AA800">
        <v>0</v>
      </c>
      <c r="AC800">
        <f>AND(IF(Metadata!B800="",FALSE,TRUE),COUNTIF(Metadata!B:B, Metadata!B800) = 1,NOT(ISERROR(SUMPRODUCT(SEARCH(MID(Metadata!B800,ROW(INDIRECT("1:"&amp;LEN(Metadata!B800))), 1),"0123456789abcdefghijklmnopqrstuvwxyzABCDEFGHIJKLMNOPQRSTUVWXYZ.")))))</f>
        <v>0</v>
      </c>
      <c r="AD800">
        <f>AND(IF(Metadata!C800="",FALSE,TRUE),exact(Metadata!C800,"Host-associated"))</f>
        <v>0</v>
      </c>
      <c r="AE800">
        <f>AND(IF(Metadata!D800="",FALSE,TRUE),OR(exact(Metadata!D800,"Animal"),exact(Metadata!D800,"Fungus"),exact(Metadata!D800,"Plant")))</f>
        <v>0</v>
      </c>
      <c r="AF800">
        <f>AND(IF(Metadata!E800="",FALSE,TRUE),OR(exact(Metadata!E800,"Plant secretion"),exact(Metadata!E800,"Plant rhizosphere"),exact(Metadata!E800,"Plant surface"),exact(Metadata!E800,"Plant corpus"),exact(Metadata!E800,"Fungus surface"),exact(Metadata!E800,"Fungus corpus"),exact(Metadata!E800,"Animal surface"),exact(Metadata!E800,"Animal proximal gut"),exact(Metadata!E800,"Animal corpus"),exact(Metadata!E800,"Animal distal gut"),exact(Metadata!E800,"Animal secretion")))</f>
        <v>0</v>
      </c>
      <c r="AG800">
        <f>OR(AND(IF(Metadata!F800="",FALSE,TRUE),OR(exact(Metadata!F800,"not collected"),exact(Metadata!F800,"not provided"),exact(Metadata!F800,"restricted access"))),AND(IF(Metadata!F800="",FALSE,TRUE),OR(exact(Metadata!F800,"organism-associated habitat"),exact(Metadata!F800,"plant-associated habitat"),exact(Metadata!F800,"animal-associated habitat"),exact(Metadata!F800,"insecta-associated habitat"),exact(Metadata!F800,"mammalia-associated habitat"),exact(Metadata!F800,"human-associated habitat"),exact(Metadata!F800,"livestock-associated habitat"))))</f>
        <v>0</v>
      </c>
      <c r="AH800">
        <f>AND(IF(Metadata!G800="",FALSE,TRUE),exact(Metadata!G800,"host-associated"))</f>
        <v>0</v>
      </c>
      <c r="AI800">
        <f>OR(AND(IF(Metadata!H800="",FALSE,TRUE),OR(exact(Metadata!H800,"not collected"),exact(Metadata!H800,"not provided"))),AND(IF(Metadata!H800="",FALSE,ISNUMBER(VALUE(Metadata!H800))),Metadata!H800&gt;0))</f>
        <v>0</v>
      </c>
      <c r="AJ800">
        <f>AND(IF(Metadata!I800="",FALSE,TRUE),exact(Metadata!I800,"years"))</f>
        <v>0</v>
      </c>
      <c r="AK800">
        <f>IF(Metadata!J800="",FALSE,TRUE)</f>
        <v>0</v>
      </c>
      <c r="AL800">
        <f>OR(AND(IF(Metadata!K800="",FALSE,TRUE),OR(exact(Metadata!K800,"not collected"),exact(Metadata!K800,"not provided"))),AND(IF(Metadata!K800="",FALSE,ISNUMBER(VALUE(Metadata!K800))),Metadata!K800&gt;0))</f>
        <v>0</v>
      </c>
      <c r="AM800">
        <f>AND(IF(Metadata!L800="",FALSE,TRUE),exact(Metadata!L800,"cm"))</f>
        <v>0</v>
      </c>
      <c r="AN800">
        <f>IF(Metadata!M800="",FALSE,TRUE)</f>
        <v>0</v>
      </c>
      <c r="AO800">
        <f>OR(AND(IF(Metadata!N800="",FALSE,TRUE),OR(exact(Metadata!N800,"not applicable"),exact(Metadata!N800,"not collected"),exact(Metadata!N800,"not provided"))),AND(IF(Metadata!N800="",FALSE,IF(ISERROR(INT(Metadata!N800)),FALSE,INT(Metadata!N800)=Metadata!N800)),Metadata!N800&gt;0))</f>
        <v>0</v>
      </c>
      <c r="AP800">
        <f>OR(AND(IF(Metadata!O800="",FALSE,TRUE),OR(exact(Metadata!O800,"not collected"),exact(Metadata!O800,"not provided"))),AND(IF(Metadata!O800="",FALSE,ISNUMBER(VALUE(Metadata!O800))),Metadata!O800&gt;0))</f>
        <v>0</v>
      </c>
      <c r="AQ800">
        <f>AND(IF(Metadata!P800="",FALSE,TRUE),exact(Metadata!P800,"kg"))</f>
        <v>0</v>
      </c>
      <c r="AR800">
        <f>OR(AND(IF(Metadata!Q800="",FALSE,TRUE),OR(exact(Metadata!Q800,"not applicable"),exact(Metadata!Q800,"not collected"),exact(Metadata!Q800,"not provided"),exact(Metadata!Q800,"restricted access"))),IF(Metadata!Q800="",FALSE,IF(ISERROR(INT(Metadata!Q800)),FALSE,INT(Metadata!Q800)=Metadata!Q800)))</f>
        <v>0</v>
      </c>
      <c r="AS800">
        <f>AND(IF(Metadata!R800="",FALSE,TRUE),exact(Metadata!R800,"Not applicable"))</f>
        <v>0</v>
      </c>
    </row>
    <row r="801" spans="1:45">
      <c r="A801" s="4">
        <f>IF(B801=" "," ",HYPERLINK(CONCATENATE("#metadata!",ADDRESS(INDEX($X$2:$X$1001,MATCH(ROWS($V$2:V801),$V$2:$V$1001,0),0),2)),INDEX($AA$2:$AA$1001,MATCH(ROWS($V$2:V801),$V$2:$V$1001,0),0)))</f>
        <v>0</v>
      </c>
      <c r="B801" s="5">
        <f>IF(OR(INDEX($W$2:$W$1001,MATCH(ROWS($V$2:V801),$V$2:$V$1001,0),1)&gt;=100000,INDEX($AC$1005:$AS$1005,1,MATCH(COLUMNS($AC$1006:AC1006),$AC$1006:$AS$1006,0))&gt;=100000), " ",IF(INDEX($AC$2:$AS$1001,MATCH(ROWS($V$2:V801),$V$2:$V$1001,0),MATCH(COLUMNS($AC$1006:AC1006),$AC$1006:$AS$1006,0)), HYPERLINK("#",""), HYPERLINK(CONCATENATE("#Metadata!", ADDRESS(INDEX($X$2:$X$1001,MATCH(ROWS($V$2:V801),$V$2:$V$1001,0),0), INDEX($AC$1004:$AS$1004,1,MATCH(COLUMNS($AC$1006:AC1006),$AC$1006:$AS$1006,0)))),"Fix")))</f>
        <v>0</v>
      </c>
      <c r="C801" s="5">
        <f>IF(OR(INDEX($W$2:$W$1001,MATCH(ROWS($V$2:V801),$V$2:$V$1001,0),1)&gt;=100000,INDEX($AC$1005:$AS$1005,1,MATCH(COLUMNS($AC$1006:AD1006),$AC$1006:$AS$1006,0))&gt;=100000), " ",IF(INDEX($AC$2:$AS$1001,MATCH(ROWS($V$2:V801),$V$2:$V$1001,0),MATCH(COLUMNS($AC$1006:AD1006),$AC$1006:$AS$1006,0)), HYPERLINK("#",""), HYPERLINK(CONCATENATE("#Metadata!", ADDRESS(INDEX($X$2:$X$1001,MATCH(ROWS($V$2:V801),$V$2:$V$1001,0),0), INDEX($AC$1004:$AS$1004,1,MATCH(COLUMNS($AC$1006:AD1006),$AC$1006:$AS$1006,0)))),"Fix")))</f>
        <v>0</v>
      </c>
      <c r="D801" s="5">
        <f>IF(OR(INDEX($W$2:$W$1001,MATCH(ROWS($V$2:V801),$V$2:$V$1001,0),1)&gt;=100000,INDEX($AC$1005:$AS$1005,1,MATCH(COLUMNS($AC$1006:AE1006),$AC$1006:$AS$1006,0))&gt;=100000), " ",IF(INDEX($AC$2:$AS$1001,MATCH(ROWS($V$2:V801),$V$2:$V$1001,0),MATCH(COLUMNS($AC$1006:AE1006),$AC$1006:$AS$1006,0)), HYPERLINK("#",""), HYPERLINK(CONCATENATE("#Metadata!", ADDRESS(INDEX($X$2:$X$1001,MATCH(ROWS($V$2:V801),$V$2:$V$1001,0),0), INDEX($AC$1004:$AS$1004,1,MATCH(COLUMNS($AC$1006:AE1006),$AC$1006:$AS$1006,0)))),"Fix")))</f>
        <v>0</v>
      </c>
      <c r="E801" s="5">
        <f>IF(OR(INDEX($W$2:$W$1001,MATCH(ROWS($V$2:V801),$V$2:$V$1001,0),1)&gt;=100000,INDEX($AC$1005:$AS$1005,1,MATCH(COLUMNS($AC$1006:AF1006),$AC$1006:$AS$1006,0))&gt;=100000), " ",IF(INDEX($AC$2:$AS$1001,MATCH(ROWS($V$2:V801),$V$2:$V$1001,0),MATCH(COLUMNS($AC$1006:AF1006),$AC$1006:$AS$1006,0)), HYPERLINK("#",""), HYPERLINK(CONCATENATE("#Metadata!", ADDRESS(INDEX($X$2:$X$1001,MATCH(ROWS($V$2:V801),$V$2:$V$1001,0),0), INDEX($AC$1004:$AS$1004,1,MATCH(COLUMNS($AC$1006:AF1006),$AC$1006:$AS$1006,0)))),"Fix")))</f>
        <v>0</v>
      </c>
      <c r="F801" s="5">
        <f>IF(OR(INDEX($W$2:$W$1001,MATCH(ROWS($V$2:V801),$V$2:$V$1001,0),1)&gt;=100000,INDEX($AC$1005:$AS$1005,1,MATCH(COLUMNS($AC$1006:AG1006),$AC$1006:$AS$1006,0))&gt;=100000), " ",IF(INDEX($AC$2:$AS$1001,MATCH(ROWS($V$2:V801),$V$2:$V$1001,0),MATCH(COLUMNS($AC$1006:AG1006),$AC$1006:$AS$1006,0)), HYPERLINK("#",""), HYPERLINK(CONCATENATE("#Metadata!", ADDRESS(INDEX($X$2:$X$1001,MATCH(ROWS($V$2:V801),$V$2:$V$1001,0),0), INDEX($AC$1004:$AS$1004,1,MATCH(COLUMNS($AC$1006:AG1006),$AC$1006:$AS$1006,0)))),"Fix")))</f>
        <v>0</v>
      </c>
      <c r="G801" s="5">
        <f>IF(OR(INDEX($W$2:$W$1001,MATCH(ROWS($V$2:V801),$V$2:$V$1001,0),1)&gt;=100000,INDEX($AC$1005:$AS$1005,1,MATCH(COLUMNS($AC$1006:AH1006),$AC$1006:$AS$1006,0))&gt;=100000), " ",IF(INDEX($AC$2:$AS$1001,MATCH(ROWS($V$2:V801),$V$2:$V$1001,0),MATCH(COLUMNS($AC$1006:AH1006),$AC$1006:$AS$1006,0)), HYPERLINK("#",""), HYPERLINK(CONCATENATE("#Metadata!", ADDRESS(INDEX($X$2:$X$1001,MATCH(ROWS($V$2:V801),$V$2:$V$1001,0),0), INDEX($AC$1004:$AS$1004,1,MATCH(COLUMNS($AC$1006:AH1006),$AC$1006:$AS$1006,0)))),"Fix")))</f>
        <v>0</v>
      </c>
      <c r="H801" s="5">
        <f>IF(OR(INDEX($W$2:$W$1001,MATCH(ROWS($V$2:V801),$V$2:$V$1001,0),1)&gt;=100000,INDEX($AC$1005:$AS$1005,1,MATCH(COLUMNS($AC$1006:AI1006),$AC$1006:$AS$1006,0))&gt;=100000), " ",IF(INDEX($AC$2:$AS$1001,MATCH(ROWS($V$2:V801),$V$2:$V$1001,0),MATCH(COLUMNS($AC$1006:AI1006),$AC$1006:$AS$1006,0)), HYPERLINK("#",""), HYPERLINK(CONCATENATE("#Metadata!", ADDRESS(INDEX($X$2:$X$1001,MATCH(ROWS($V$2:V801),$V$2:$V$1001,0),0), INDEX($AC$1004:$AS$1004,1,MATCH(COLUMNS($AC$1006:AI1006),$AC$1006:$AS$1006,0)))),"Fix")))</f>
        <v>0</v>
      </c>
      <c r="I801" s="5">
        <f>IF(OR(INDEX($W$2:$W$1001,MATCH(ROWS($V$2:V801),$V$2:$V$1001,0),1)&gt;=100000,INDEX($AC$1005:$AS$1005,1,MATCH(COLUMNS($AC$1006:AJ1006),$AC$1006:$AS$1006,0))&gt;=100000), " ",IF(INDEX($AC$2:$AS$1001,MATCH(ROWS($V$2:V801),$V$2:$V$1001,0),MATCH(COLUMNS($AC$1006:AJ1006),$AC$1006:$AS$1006,0)), HYPERLINK("#",""), HYPERLINK(CONCATENATE("#Metadata!", ADDRESS(INDEX($X$2:$X$1001,MATCH(ROWS($V$2:V801),$V$2:$V$1001,0),0), INDEX($AC$1004:$AS$1004,1,MATCH(COLUMNS($AC$1006:AJ1006),$AC$1006:$AS$1006,0)))),"Fix")))</f>
        <v>0</v>
      </c>
      <c r="J801" s="5">
        <f>IF(OR(INDEX($W$2:$W$1001,MATCH(ROWS($V$2:V801),$V$2:$V$1001,0),1)&gt;=100000,INDEX($AC$1005:$AS$1005,1,MATCH(COLUMNS($AC$1006:AK1006),$AC$1006:$AS$1006,0))&gt;=100000), " ",IF(INDEX($AC$2:$AS$1001,MATCH(ROWS($V$2:V801),$V$2:$V$1001,0),MATCH(COLUMNS($AC$1006:AK1006),$AC$1006:$AS$1006,0)), HYPERLINK("#",""), HYPERLINK(CONCATENATE("#Metadata!", ADDRESS(INDEX($X$2:$X$1001,MATCH(ROWS($V$2:V801),$V$2:$V$1001,0),0), INDEX($AC$1004:$AS$1004,1,MATCH(COLUMNS($AC$1006:AK1006),$AC$1006:$AS$1006,0)))),"Fix")))</f>
        <v>0</v>
      </c>
      <c r="K801" s="5">
        <f>IF(OR(INDEX($W$2:$W$1001,MATCH(ROWS($V$2:V801),$V$2:$V$1001,0),1)&gt;=100000,INDEX($AC$1005:$AS$1005,1,MATCH(COLUMNS($AC$1006:AL1006),$AC$1006:$AS$1006,0))&gt;=100000), " ",IF(INDEX($AC$2:$AS$1001,MATCH(ROWS($V$2:V801),$V$2:$V$1001,0),MATCH(COLUMNS($AC$1006:AL1006),$AC$1006:$AS$1006,0)), HYPERLINK("#",""), HYPERLINK(CONCATENATE("#Metadata!", ADDRESS(INDEX($X$2:$X$1001,MATCH(ROWS($V$2:V801),$V$2:$V$1001,0),0), INDEX($AC$1004:$AS$1004,1,MATCH(COLUMNS($AC$1006:AL1006),$AC$1006:$AS$1006,0)))),"Fix")))</f>
        <v>0</v>
      </c>
      <c r="L801" s="5">
        <f>IF(OR(INDEX($W$2:$W$1001,MATCH(ROWS($V$2:V801),$V$2:$V$1001,0),1)&gt;=100000,INDEX($AC$1005:$AS$1005,1,MATCH(COLUMNS($AC$1006:AM1006),$AC$1006:$AS$1006,0))&gt;=100000), " ",IF(INDEX($AC$2:$AS$1001,MATCH(ROWS($V$2:V801),$V$2:$V$1001,0),MATCH(COLUMNS($AC$1006:AM1006),$AC$1006:$AS$1006,0)), HYPERLINK("#",""), HYPERLINK(CONCATENATE("#Metadata!", ADDRESS(INDEX($X$2:$X$1001,MATCH(ROWS($V$2:V801),$V$2:$V$1001,0),0), INDEX($AC$1004:$AS$1004,1,MATCH(COLUMNS($AC$1006:AM1006),$AC$1006:$AS$1006,0)))),"Fix")))</f>
        <v>0</v>
      </c>
      <c r="M801" s="5">
        <f>IF(OR(INDEX($W$2:$W$1001,MATCH(ROWS($V$2:V801),$V$2:$V$1001,0),1)&gt;=100000,INDEX($AC$1005:$AS$1005,1,MATCH(COLUMNS($AC$1006:AN1006),$AC$1006:$AS$1006,0))&gt;=100000), " ",IF(INDEX($AC$2:$AS$1001,MATCH(ROWS($V$2:V801),$V$2:$V$1001,0),MATCH(COLUMNS($AC$1006:AN1006),$AC$1006:$AS$1006,0)), HYPERLINK("#",""), HYPERLINK(CONCATENATE("#Metadata!", ADDRESS(INDEX($X$2:$X$1001,MATCH(ROWS($V$2:V801),$V$2:$V$1001,0),0), INDEX($AC$1004:$AS$1004,1,MATCH(COLUMNS($AC$1006:AN1006),$AC$1006:$AS$1006,0)))),"Fix")))</f>
        <v>0</v>
      </c>
      <c r="N801" s="5">
        <f>IF(OR(INDEX($W$2:$W$1001,MATCH(ROWS($V$2:V801),$V$2:$V$1001,0),1)&gt;=100000,INDEX($AC$1005:$AS$1005,1,MATCH(COLUMNS($AC$1006:AO1006),$AC$1006:$AS$1006,0))&gt;=100000), " ",IF(INDEX($AC$2:$AS$1001,MATCH(ROWS($V$2:V801),$V$2:$V$1001,0),MATCH(COLUMNS($AC$1006:AO1006),$AC$1006:$AS$1006,0)), HYPERLINK("#",""), HYPERLINK(CONCATENATE("#Metadata!", ADDRESS(INDEX($X$2:$X$1001,MATCH(ROWS($V$2:V801),$V$2:$V$1001,0),0), INDEX($AC$1004:$AS$1004,1,MATCH(COLUMNS($AC$1006:AO1006),$AC$1006:$AS$1006,0)))),"Fix")))</f>
        <v>0</v>
      </c>
      <c r="O801" s="5">
        <f>IF(OR(INDEX($W$2:$W$1001,MATCH(ROWS($V$2:V801),$V$2:$V$1001,0),1)&gt;=100000,INDEX($AC$1005:$AS$1005,1,MATCH(COLUMNS($AC$1006:AP1006),$AC$1006:$AS$1006,0))&gt;=100000), " ",IF(INDEX($AC$2:$AS$1001,MATCH(ROWS($V$2:V801),$V$2:$V$1001,0),MATCH(COLUMNS($AC$1006:AP1006),$AC$1006:$AS$1006,0)), HYPERLINK("#",""), HYPERLINK(CONCATENATE("#Metadata!", ADDRESS(INDEX($X$2:$X$1001,MATCH(ROWS($V$2:V801),$V$2:$V$1001,0),0), INDEX($AC$1004:$AS$1004,1,MATCH(COLUMNS($AC$1006:AP1006),$AC$1006:$AS$1006,0)))),"Fix")))</f>
        <v>0</v>
      </c>
      <c r="P801" s="5">
        <f>IF(OR(INDEX($W$2:$W$1001,MATCH(ROWS($V$2:V801),$V$2:$V$1001,0),1)&gt;=100000,INDEX($AC$1005:$AS$1005,1,MATCH(COLUMNS($AC$1006:AQ1006),$AC$1006:$AS$1006,0))&gt;=100000), " ",IF(INDEX($AC$2:$AS$1001,MATCH(ROWS($V$2:V801),$V$2:$V$1001,0),MATCH(COLUMNS($AC$1006:AQ1006),$AC$1006:$AS$1006,0)), HYPERLINK("#",""), HYPERLINK(CONCATENATE("#Metadata!", ADDRESS(INDEX($X$2:$X$1001,MATCH(ROWS($V$2:V801),$V$2:$V$1001,0),0), INDEX($AC$1004:$AS$1004,1,MATCH(COLUMNS($AC$1006:AQ1006),$AC$1006:$AS$1006,0)))),"Fix")))</f>
        <v>0</v>
      </c>
      <c r="Q801" s="5">
        <f>IF(OR(INDEX($W$2:$W$1001,MATCH(ROWS($V$2:V801),$V$2:$V$1001,0),1)&gt;=100000,INDEX($AC$1005:$AS$1005,1,MATCH(COLUMNS($AC$1006:AR1006),$AC$1006:$AS$1006,0))&gt;=100000), " ",IF(INDEX($AC$2:$AS$1001,MATCH(ROWS($V$2:V801),$V$2:$V$1001,0),MATCH(COLUMNS($AC$1006:AR1006),$AC$1006:$AS$1006,0)), HYPERLINK("#",""), HYPERLINK(CONCATENATE("#Metadata!", ADDRESS(INDEX($X$2:$X$1001,MATCH(ROWS($V$2:V801),$V$2:$V$1001,0),0), INDEX($AC$1004:$AS$1004,1,MATCH(COLUMNS($AC$1006:AR1006),$AC$1006:$AS$1006,0)))),"Fix")))</f>
        <v>0</v>
      </c>
      <c r="R801" s="5">
        <f>IF(OR(INDEX($W$2:$W$1001,MATCH(ROWS($V$2:V801),$V$2:$V$1001,0),1)&gt;=100000,INDEX($AC$1005:$AS$1005,1,MATCH(COLUMNS($AC$1006:AS1006),$AC$1006:$AS$1006,0))&gt;=100000), " ",IF(INDEX($AC$2:$AS$1001,MATCH(ROWS($V$2:V801),$V$2:$V$1001,0),MATCH(COLUMNS($AC$1006:AS1006),$AC$1006:$AS$1006,0)), HYPERLINK("#",""), HYPERLINK(CONCATENATE("#Metadata!", ADDRESS(INDEX($X$2:$X$1001,MATCH(ROWS($V$2:V801),$V$2:$V$1001,0),0), INDEX($AC$1004:$AS$1004,1,MATCH(COLUMNS($AC$1006:AS1006),$AC$1006:$AS$1006,0)))),"Fix")))</f>
        <v>0</v>
      </c>
      <c r="V801">
        <v>0</v>
      </c>
      <c r="W801">
        <v>0</v>
      </c>
      <c r="X801">
        <v>0</v>
      </c>
      <c r="Y801">
        <f>IF(Z801,TRUE,AND(AC801:AS801))</f>
        <v>0</v>
      </c>
      <c r="Z801">
        <f>COUNTBLANK(Metadata!B801:R801)=COLUMNS(Metadata!B801:R801)</f>
        <v>0</v>
      </c>
      <c r="AA801">
        <v>0</v>
      </c>
      <c r="AC801">
        <f>AND(IF(Metadata!B801="",FALSE,TRUE),COUNTIF(Metadata!B:B, Metadata!B801) = 1,NOT(ISERROR(SUMPRODUCT(SEARCH(MID(Metadata!B801,ROW(INDIRECT("1:"&amp;LEN(Metadata!B801))), 1),"0123456789abcdefghijklmnopqrstuvwxyzABCDEFGHIJKLMNOPQRSTUVWXYZ.")))))</f>
        <v>0</v>
      </c>
      <c r="AD801">
        <f>AND(IF(Metadata!C801="",FALSE,TRUE),exact(Metadata!C801,"Host-associated"))</f>
        <v>0</v>
      </c>
      <c r="AE801">
        <f>AND(IF(Metadata!D801="",FALSE,TRUE),OR(exact(Metadata!D801,"Animal"),exact(Metadata!D801,"Fungus"),exact(Metadata!D801,"Plant")))</f>
        <v>0</v>
      </c>
      <c r="AF801">
        <f>AND(IF(Metadata!E801="",FALSE,TRUE),OR(exact(Metadata!E801,"Plant secretion"),exact(Metadata!E801,"Plant rhizosphere"),exact(Metadata!E801,"Plant surface"),exact(Metadata!E801,"Plant corpus"),exact(Metadata!E801,"Fungus surface"),exact(Metadata!E801,"Fungus corpus"),exact(Metadata!E801,"Animal surface"),exact(Metadata!E801,"Animal proximal gut"),exact(Metadata!E801,"Animal corpus"),exact(Metadata!E801,"Animal distal gut"),exact(Metadata!E801,"Animal secretion")))</f>
        <v>0</v>
      </c>
      <c r="AG801">
        <f>OR(AND(IF(Metadata!F801="",FALSE,TRUE),OR(exact(Metadata!F801,"not collected"),exact(Metadata!F801,"not provided"),exact(Metadata!F801,"restricted access"))),AND(IF(Metadata!F801="",FALSE,TRUE),OR(exact(Metadata!F801,"organism-associated habitat"),exact(Metadata!F801,"plant-associated habitat"),exact(Metadata!F801,"animal-associated habitat"),exact(Metadata!F801,"insecta-associated habitat"),exact(Metadata!F801,"mammalia-associated habitat"),exact(Metadata!F801,"human-associated habitat"),exact(Metadata!F801,"livestock-associated habitat"))))</f>
        <v>0</v>
      </c>
      <c r="AH801">
        <f>AND(IF(Metadata!G801="",FALSE,TRUE),exact(Metadata!G801,"host-associated"))</f>
        <v>0</v>
      </c>
      <c r="AI801">
        <f>OR(AND(IF(Metadata!H801="",FALSE,TRUE),OR(exact(Metadata!H801,"not collected"),exact(Metadata!H801,"not provided"))),AND(IF(Metadata!H801="",FALSE,ISNUMBER(VALUE(Metadata!H801))),Metadata!H801&gt;0))</f>
        <v>0</v>
      </c>
      <c r="AJ801">
        <f>AND(IF(Metadata!I801="",FALSE,TRUE),exact(Metadata!I801,"years"))</f>
        <v>0</v>
      </c>
      <c r="AK801">
        <f>IF(Metadata!J801="",FALSE,TRUE)</f>
        <v>0</v>
      </c>
      <c r="AL801">
        <f>OR(AND(IF(Metadata!K801="",FALSE,TRUE),OR(exact(Metadata!K801,"not collected"),exact(Metadata!K801,"not provided"))),AND(IF(Metadata!K801="",FALSE,ISNUMBER(VALUE(Metadata!K801))),Metadata!K801&gt;0))</f>
        <v>0</v>
      </c>
      <c r="AM801">
        <f>AND(IF(Metadata!L801="",FALSE,TRUE),exact(Metadata!L801,"cm"))</f>
        <v>0</v>
      </c>
      <c r="AN801">
        <f>IF(Metadata!M801="",FALSE,TRUE)</f>
        <v>0</v>
      </c>
      <c r="AO801">
        <f>OR(AND(IF(Metadata!N801="",FALSE,TRUE),OR(exact(Metadata!N801,"not applicable"),exact(Metadata!N801,"not collected"),exact(Metadata!N801,"not provided"))),AND(IF(Metadata!N801="",FALSE,IF(ISERROR(INT(Metadata!N801)),FALSE,INT(Metadata!N801)=Metadata!N801)),Metadata!N801&gt;0))</f>
        <v>0</v>
      </c>
      <c r="AP801">
        <f>OR(AND(IF(Metadata!O801="",FALSE,TRUE),OR(exact(Metadata!O801,"not collected"),exact(Metadata!O801,"not provided"))),AND(IF(Metadata!O801="",FALSE,ISNUMBER(VALUE(Metadata!O801))),Metadata!O801&gt;0))</f>
        <v>0</v>
      </c>
      <c r="AQ801">
        <f>AND(IF(Metadata!P801="",FALSE,TRUE),exact(Metadata!P801,"kg"))</f>
        <v>0</v>
      </c>
      <c r="AR801">
        <f>OR(AND(IF(Metadata!Q801="",FALSE,TRUE),OR(exact(Metadata!Q801,"not applicable"),exact(Metadata!Q801,"not collected"),exact(Metadata!Q801,"not provided"),exact(Metadata!Q801,"restricted access"))),IF(Metadata!Q801="",FALSE,IF(ISERROR(INT(Metadata!Q801)),FALSE,INT(Metadata!Q801)=Metadata!Q801)))</f>
        <v>0</v>
      </c>
      <c r="AS801">
        <f>AND(IF(Metadata!R801="",FALSE,TRUE),exact(Metadata!R801,"Not applicable"))</f>
        <v>0</v>
      </c>
    </row>
    <row r="802" spans="1:45">
      <c r="A802" s="4">
        <f>IF(B802=" "," ",HYPERLINK(CONCATENATE("#metadata!",ADDRESS(INDEX($X$2:$X$1001,MATCH(ROWS($V$2:V802),$V$2:$V$1001,0),0),2)),INDEX($AA$2:$AA$1001,MATCH(ROWS($V$2:V802),$V$2:$V$1001,0),0)))</f>
        <v>0</v>
      </c>
      <c r="B802" s="5">
        <f>IF(OR(INDEX($W$2:$W$1001,MATCH(ROWS($V$2:V802),$V$2:$V$1001,0),1)&gt;=100000,INDEX($AC$1005:$AS$1005,1,MATCH(COLUMNS($AC$1006:AC1006),$AC$1006:$AS$1006,0))&gt;=100000), " ",IF(INDEX($AC$2:$AS$1001,MATCH(ROWS($V$2:V802),$V$2:$V$1001,0),MATCH(COLUMNS($AC$1006:AC1006),$AC$1006:$AS$1006,0)), HYPERLINK("#",""), HYPERLINK(CONCATENATE("#Metadata!", ADDRESS(INDEX($X$2:$X$1001,MATCH(ROWS($V$2:V802),$V$2:$V$1001,0),0), INDEX($AC$1004:$AS$1004,1,MATCH(COLUMNS($AC$1006:AC1006),$AC$1006:$AS$1006,0)))),"Fix")))</f>
        <v>0</v>
      </c>
      <c r="C802" s="5">
        <f>IF(OR(INDEX($W$2:$W$1001,MATCH(ROWS($V$2:V802),$V$2:$V$1001,0),1)&gt;=100000,INDEX($AC$1005:$AS$1005,1,MATCH(COLUMNS($AC$1006:AD1006),$AC$1006:$AS$1006,0))&gt;=100000), " ",IF(INDEX($AC$2:$AS$1001,MATCH(ROWS($V$2:V802),$V$2:$V$1001,0),MATCH(COLUMNS($AC$1006:AD1006),$AC$1006:$AS$1006,0)), HYPERLINK("#",""), HYPERLINK(CONCATENATE("#Metadata!", ADDRESS(INDEX($X$2:$X$1001,MATCH(ROWS($V$2:V802),$V$2:$V$1001,0),0), INDEX($AC$1004:$AS$1004,1,MATCH(COLUMNS($AC$1006:AD1006),$AC$1006:$AS$1006,0)))),"Fix")))</f>
        <v>0</v>
      </c>
      <c r="D802" s="5">
        <f>IF(OR(INDEX($W$2:$W$1001,MATCH(ROWS($V$2:V802),$V$2:$V$1001,0),1)&gt;=100000,INDEX($AC$1005:$AS$1005,1,MATCH(COLUMNS($AC$1006:AE1006),$AC$1006:$AS$1006,0))&gt;=100000), " ",IF(INDEX($AC$2:$AS$1001,MATCH(ROWS($V$2:V802),$V$2:$V$1001,0),MATCH(COLUMNS($AC$1006:AE1006),$AC$1006:$AS$1006,0)), HYPERLINK("#",""), HYPERLINK(CONCATENATE("#Metadata!", ADDRESS(INDEX($X$2:$X$1001,MATCH(ROWS($V$2:V802),$V$2:$V$1001,0),0), INDEX($AC$1004:$AS$1004,1,MATCH(COLUMNS($AC$1006:AE1006),$AC$1006:$AS$1006,0)))),"Fix")))</f>
        <v>0</v>
      </c>
      <c r="E802" s="5">
        <f>IF(OR(INDEX($W$2:$W$1001,MATCH(ROWS($V$2:V802),$V$2:$V$1001,0),1)&gt;=100000,INDEX($AC$1005:$AS$1005,1,MATCH(COLUMNS($AC$1006:AF1006),$AC$1006:$AS$1006,0))&gt;=100000), " ",IF(INDEX($AC$2:$AS$1001,MATCH(ROWS($V$2:V802),$V$2:$V$1001,0),MATCH(COLUMNS($AC$1006:AF1006),$AC$1006:$AS$1006,0)), HYPERLINK("#",""), HYPERLINK(CONCATENATE("#Metadata!", ADDRESS(INDEX($X$2:$X$1001,MATCH(ROWS($V$2:V802),$V$2:$V$1001,0),0), INDEX($AC$1004:$AS$1004,1,MATCH(COLUMNS($AC$1006:AF1006),$AC$1006:$AS$1006,0)))),"Fix")))</f>
        <v>0</v>
      </c>
      <c r="F802" s="5">
        <f>IF(OR(INDEX($W$2:$W$1001,MATCH(ROWS($V$2:V802),$V$2:$V$1001,0),1)&gt;=100000,INDEX($AC$1005:$AS$1005,1,MATCH(COLUMNS($AC$1006:AG1006),$AC$1006:$AS$1006,0))&gt;=100000), " ",IF(INDEX($AC$2:$AS$1001,MATCH(ROWS($V$2:V802),$V$2:$V$1001,0),MATCH(COLUMNS($AC$1006:AG1006),$AC$1006:$AS$1006,0)), HYPERLINK("#",""), HYPERLINK(CONCATENATE("#Metadata!", ADDRESS(INDEX($X$2:$X$1001,MATCH(ROWS($V$2:V802),$V$2:$V$1001,0),0), INDEX($AC$1004:$AS$1004,1,MATCH(COLUMNS($AC$1006:AG1006),$AC$1006:$AS$1006,0)))),"Fix")))</f>
        <v>0</v>
      </c>
      <c r="G802" s="5">
        <f>IF(OR(INDEX($W$2:$W$1001,MATCH(ROWS($V$2:V802),$V$2:$V$1001,0),1)&gt;=100000,INDEX($AC$1005:$AS$1005,1,MATCH(COLUMNS($AC$1006:AH1006),$AC$1006:$AS$1006,0))&gt;=100000), " ",IF(INDEX($AC$2:$AS$1001,MATCH(ROWS($V$2:V802),$V$2:$V$1001,0),MATCH(COLUMNS($AC$1006:AH1006),$AC$1006:$AS$1006,0)), HYPERLINK("#",""), HYPERLINK(CONCATENATE("#Metadata!", ADDRESS(INDEX($X$2:$X$1001,MATCH(ROWS($V$2:V802),$V$2:$V$1001,0),0), INDEX($AC$1004:$AS$1004,1,MATCH(COLUMNS($AC$1006:AH1006),$AC$1006:$AS$1006,0)))),"Fix")))</f>
        <v>0</v>
      </c>
      <c r="H802" s="5">
        <f>IF(OR(INDEX($W$2:$W$1001,MATCH(ROWS($V$2:V802),$V$2:$V$1001,0),1)&gt;=100000,INDEX($AC$1005:$AS$1005,1,MATCH(COLUMNS($AC$1006:AI1006),$AC$1006:$AS$1006,0))&gt;=100000), " ",IF(INDEX($AC$2:$AS$1001,MATCH(ROWS($V$2:V802),$V$2:$V$1001,0),MATCH(COLUMNS($AC$1006:AI1006),$AC$1006:$AS$1006,0)), HYPERLINK("#",""), HYPERLINK(CONCATENATE("#Metadata!", ADDRESS(INDEX($X$2:$X$1001,MATCH(ROWS($V$2:V802),$V$2:$V$1001,0),0), INDEX($AC$1004:$AS$1004,1,MATCH(COLUMNS($AC$1006:AI1006),$AC$1006:$AS$1006,0)))),"Fix")))</f>
        <v>0</v>
      </c>
      <c r="I802" s="5">
        <f>IF(OR(INDEX($W$2:$W$1001,MATCH(ROWS($V$2:V802),$V$2:$V$1001,0),1)&gt;=100000,INDEX($AC$1005:$AS$1005,1,MATCH(COLUMNS($AC$1006:AJ1006),$AC$1006:$AS$1006,0))&gt;=100000), " ",IF(INDEX($AC$2:$AS$1001,MATCH(ROWS($V$2:V802),$V$2:$V$1001,0),MATCH(COLUMNS($AC$1006:AJ1006),$AC$1006:$AS$1006,0)), HYPERLINK("#",""), HYPERLINK(CONCATENATE("#Metadata!", ADDRESS(INDEX($X$2:$X$1001,MATCH(ROWS($V$2:V802),$V$2:$V$1001,0),0), INDEX($AC$1004:$AS$1004,1,MATCH(COLUMNS($AC$1006:AJ1006),$AC$1006:$AS$1006,0)))),"Fix")))</f>
        <v>0</v>
      </c>
      <c r="J802" s="5">
        <f>IF(OR(INDEX($W$2:$W$1001,MATCH(ROWS($V$2:V802),$V$2:$V$1001,0),1)&gt;=100000,INDEX($AC$1005:$AS$1005,1,MATCH(COLUMNS($AC$1006:AK1006),$AC$1006:$AS$1006,0))&gt;=100000), " ",IF(INDEX($AC$2:$AS$1001,MATCH(ROWS($V$2:V802),$V$2:$V$1001,0),MATCH(COLUMNS($AC$1006:AK1006),$AC$1006:$AS$1006,0)), HYPERLINK("#",""), HYPERLINK(CONCATENATE("#Metadata!", ADDRESS(INDEX($X$2:$X$1001,MATCH(ROWS($V$2:V802),$V$2:$V$1001,0),0), INDEX($AC$1004:$AS$1004,1,MATCH(COLUMNS($AC$1006:AK1006),$AC$1006:$AS$1006,0)))),"Fix")))</f>
        <v>0</v>
      </c>
      <c r="K802" s="5">
        <f>IF(OR(INDEX($W$2:$W$1001,MATCH(ROWS($V$2:V802),$V$2:$V$1001,0),1)&gt;=100000,INDEX($AC$1005:$AS$1005,1,MATCH(COLUMNS($AC$1006:AL1006),$AC$1006:$AS$1006,0))&gt;=100000), " ",IF(INDEX($AC$2:$AS$1001,MATCH(ROWS($V$2:V802),$V$2:$V$1001,0),MATCH(COLUMNS($AC$1006:AL1006),$AC$1006:$AS$1006,0)), HYPERLINK("#",""), HYPERLINK(CONCATENATE("#Metadata!", ADDRESS(INDEX($X$2:$X$1001,MATCH(ROWS($V$2:V802),$V$2:$V$1001,0),0), INDEX($AC$1004:$AS$1004,1,MATCH(COLUMNS($AC$1006:AL1006),$AC$1006:$AS$1006,0)))),"Fix")))</f>
        <v>0</v>
      </c>
      <c r="L802" s="5">
        <f>IF(OR(INDEX($W$2:$W$1001,MATCH(ROWS($V$2:V802),$V$2:$V$1001,0),1)&gt;=100000,INDEX($AC$1005:$AS$1005,1,MATCH(COLUMNS($AC$1006:AM1006),$AC$1006:$AS$1006,0))&gt;=100000), " ",IF(INDEX($AC$2:$AS$1001,MATCH(ROWS($V$2:V802),$V$2:$V$1001,0),MATCH(COLUMNS($AC$1006:AM1006),$AC$1006:$AS$1006,0)), HYPERLINK("#",""), HYPERLINK(CONCATENATE("#Metadata!", ADDRESS(INDEX($X$2:$X$1001,MATCH(ROWS($V$2:V802),$V$2:$V$1001,0),0), INDEX($AC$1004:$AS$1004,1,MATCH(COLUMNS($AC$1006:AM1006),$AC$1006:$AS$1006,0)))),"Fix")))</f>
        <v>0</v>
      </c>
      <c r="M802" s="5">
        <f>IF(OR(INDEX($W$2:$W$1001,MATCH(ROWS($V$2:V802),$V$2:$V$1001,0),1)&gt;=100000,INDEX($AC$1005:$AS$1005,1,MATCH(COLUMNS($AC$1006:AN1006),$AC$1006:$AS$1006,0))&gt;=100000), " ",IF(INDEX($AC$2:$AS$1001,MATCH(ROWS($V$2:V802),$V$2:$V$1001,0),MATCH(COLUMNS($AC$1006:AN1006),$AC$1006:$AS$1006,0)), HYPERLINK("#",""), HYPERLINK(CONCATENATE("#Metadata!", ADDRESS(INDEX($X$2:$X$1001,MATCH(ROWS($V$2:V802),$V$2:$V$1001,0),0), INDEX($AC$1004:$AS$1004,1,MATCH(COLUMNS($AC$1006:AN1006),$AC$1006:$AS$1006,0)))),"Fix")))</f>
        <v>0</v>
      </c>
      <c r="N802" s="5">
        <f>IF(OR(INDEX($W$2:$W$1001,MATCH(ROWS($V$2:V802),$V$2:$V$1001,0),1)&gt;=100000,INDEX($AC$1005:$AS$1005,1,MATCH(COLUMNS($AC$1006:AO1006),$AC$1006:$AS$1006,0))&gt;=100000), " ",IF(INDEX($AC$2:$AS$1001,MATCH(ROWS($V$2:V802),$V$2:$V$1001,0),MATCH(COLUMNS($AC$1006:AO1006),$AC$1006:$AS$1006,0)), HYPERLINK("#",""), HYPERLINK(CONCATENATE("#Metadata!", ADDRESS(INDEX($X$2:$X$1001,MATCH(ROWS($V$2:V802),$V$2:$V$1001,0),0), INDEX($AC$1004:$AS$1004,1,MATCH(COLUMNS($AC$1006:AO1006),$AC$1006:$AS$1006,0)))),"Fix")))</f>
        <v>0</v>
      </c>
      <c r="O802" s="5">
        <f>IF(OR(INDEX($W$2:$W$1001,MATCH(ROWS($V$2:V802),$V$2:$V$1001,0),1)&gt;=100000,INDEX($AC$1005:$AS$1005,1,MATCH(COLUMNS($AC$1006:AP1006),$AC$1006:$AS$1006,0))&gt;=100000), " ",IF(INDEX($AC$2:$AS$1001,MATCH(ROWS($V$2:V802),$V$2:$V$1001,0),MATCH(COLUMNS($AC$1006:AP1006),$AC$1006:$AS$1006,0)), HYPERLINK("#",""), HYPERLINK(CONCATENATE("#Metadata!", ADDRESS(INDEX($X$2:$X$1001,MATCH(ROWS($V$2:V802),$V$2:$V$1001,0),0), INDEX($AC$1004:$AS$1004,1,MATCH(COLUMNS($AC$1006:AP1006),$AC$1006:$AS$1006,0)))),"Fix")))</f>
        <v>0</v>
      </c>
      <c r="P802" s="5">
        <f>IF(OR(INDEX($W$2:$W$1001,MATCH(ROWS($V$2:V802),$V$2:$V$1001,0),1)&gt;=100000,INDEX($AC$1005:$AS$1005,1,MATCH(COLUMNS($AC$1006:AQ1006),$AC$1006:$AS$1006,0))&gt;=100000), " ",IF(INDEX($AC$2:$AS$1001,MATCH(ROWS($V$2:V802),$V$2:$V$1001,0),MATCH(COLUMNS($AC$1006:AQ1006),$AC$1006:$AS$1006,0)), HYPERLINK("#",""), HYPERLINK(CONCATENATE("#Metadata!", ADDRESS(INDEX($X$2:$X$1001,MATCH(ROWS($V$2:V802),$V$2:$V$1001,0),0), INDEX($AC$1004:$AS$1004,1,MATCH(COLUMNS($AC$1006:AQ1006),$AC$1006:$AS$1006,0)))),"Fix")))</f>
        <v>0</v>
      </c>
      <c r="Q802" s="5">
        <f>IF(OR(INDEX($W$2:$W$1001,MATCH(ROWS($V$2:V802),$V$2:$V$1001,0),1)&gt;=100000,INDEX($AC$1005:$AS$1005,1,MATCH(COLUMNS($AC$1006:AR1006),$AC$1006:$AS$1006,0))&gt;=100000), " ",IF(INDEX($AC$2:$AS$1001,MATCH(ROWS($V$2:V802),$V$2:$V$1001,0),MATCH(COLUMNS($AC$1006:AR1006),$AC$1006:$AS$1006,0)), HYPERLINK("#",""), HYPERLINK(CONCATENATE("#Metadata!", ADDRESS(INDEX($X$2:$X$1001,MATCH(ROWS($V$2:V802),$V$2:$V$1001,0),0), INDEX($AC$1004:$AS$1004,1,MATCH(COLUMNS($AC$1006:AR1006),$AC$1006:$AS$1006,0)))),"Fix")))</f>
        <v>0</v>
      </c>
      <c r="R802" s="5">
        <f>IF(OR(INDEX($W$2:$W$1001,MATCH(ROWS($V$2:V802),$V$2:$V$1001,0),1)&gt;=100000,INDEX($AC$1005:$AS$1005,1,MATCH(COLUMNS($AC$1006:AS1006),$AC$1006:$AS$1006,0))&gt;=100000), " ",IF(INDEX($AC$2:$AS$1001,MATCH(ROWS($V$2:V802),$V$2:$V$1001,0),MATCH(COLUMNS($AC$1006:AS1006),$AC$1006:$AS$1006,0)), HYPERLINK("#",""), HYPERLINK(CONCATENATE("#Metadata!", ADDRESS(INDEX($X$2:$X$1001,MATCH(ROWS($V$2:V802),$V$2:$V$1001,0),0), INDEX($AC$1004:$AS$1004,1,MATCH(COLUMNS($AC$1006:AS1006),$AC$1006:$AS$1006,0)))),"Fix")))</f>
        <v>0</v>
      </c>
      <c r="V802">
        <v>0</v>
      </c>
      <c r="W802">
        <v>0</v>
      </c>
      <c r="X802">
        <v>0</v>
      </c>
      <c r="Y802">
        <f>IF(Z802,TRUE,AND(AC802:AS802))</f>
        <v>0</v>
      </c>
      <c r="Z802">
        <f>COUNTBLANK(Metadata!B802:R802)=COLUMNS(Metadata!B802:R802)</f>
        <v>0</v>
      </c>
      <c r="AA802">
        <v>0</v>
      </c>
      <c r="AC802">
        <f>AND(IF(Metadata!B802="",FALSE,TRUE),COUNTIF(Metadata!B:B, Metadata!B802) = 1,NOT(ISERROR(SUMPRODUCT(SEARCH(MID(Metadata!B802,ROW(INDIRECT("1:"&amp;LEN(Metadata!B802))), 1),"0123456789abcdefghijklmnopqrstuvwxyzABCDEFGHIJKLMNOPQRSTUVWXYZ.")))))</f>
        <v>0</v>
      </c>
      <c r="AD802">
        <f>AND(IF(Metadata!C802="",FALSE,TRUE),exact(Metadata!C802,"Host-associated"))</f>
        <v>0</v>
      </c>
      <c r="AE802">
        <f>AND(IF(Metadata!D802="",FALSE,TRUE),OR(exact(Metadata!D802,"Animal"),exact(Metadata!D802,"Fungus"),exact(Metadata!D802,"Plant")))</f>
        <v>0</v>
      </c>
      <c r="AF802">
        <f>AND(IF(Metadata!E802="",FALSE,TRUE),OR(exact(Metadata!E802,"Plant secretion"),exact(Metadata!E802,"Plant rhizosphere"),exact(Metadata!E802,"Plant surface"),exact(Metadata!E802,"Plant corpus"),exact(Metadata!E802,"Fungus surface"),exact(Metadata!E802,"Fungus corpus"),exact(Metadata!E802,"Animal surface"),exact(Metadata!E802,"Animal proximal gut"),exact(Metadata!E802,"Animal corpus"),exact(Metadata!E802,"Animal distal gut"),exact(Metadata!E802,"Animal secretion")))</f>
        <v>0</v>
      </c>
      <c r="AG802">
        <f>OR(AND(IF(Metadata!F802="",FALSE,TRUE),OR(exact(Metadata!F802,"not collected"),exact(Metadata!F802,"not provided"),exact(Metadata!F802,"restricted access"))),AND(IF(Metadata!F802="",FALSE,TRUE),OR(exact(Metadata!F802,"organism-associated habitat"),exact(Metadata!F802,"plant-associated habitat"),exact(Metadata!F802,"animal-associated habitat"),exact(Metadata!F802,"insecta-associated habitat"),exact(Metadata!F802,"mammalia-associated habitat"),exact(Metadata!F802,"human-associated habitat"),exact(Metadata!F802,"livestock-associated habitat"))))</f>
        <v>0</v>
      </c>
      <c r="AH802">
        <f>AND(IF(Metadata!G802="",FALSE,TRUE),exact(Metadata!G802,"host-associated"))</f>
        <v>0</v>
      </c>
      <c r="AI802">
        <f>OR(AND(IF(Metadata!H802="",FALSE,TRUE),OR(exact(Metadata!H802,"not collected"),exact(Metadata!H802,"not provided"))),AND(IF(Metadata!H802="",FALSE,ISNUMBER(VALUE(Metadata!H802))),Metadata!H802&gt;0))</f>
        <v>0</v>
      </c>
      <c r="AJ802">
        <f>AND(IF(Metadata!I802="",FALSE,TRUE),exact(Metadata!I802,"years"))</f>
        <v>0</v>
      </c>
      <c r="AK802">
        <f>IF(Metadata!J802="",FALSE,TRUE)</f>
        <v>0</v>
      </c>
      <c r="AL802">
        <f>OR(AND(IF(Metadata!K802="",FALSE,TRUE),OR(exact(Metadata!K802,"not collected"),exact(Metadata!K802,"not provided"))),AND(IF(Metadata!K802="",FALSE,ISNUMBER(VALUE(Metadata!K802))),Metadata!K802&gt;0))</f>
        <v>0</v>
      </c>
      <c r="AM802">
        <f>AND(IF(Metadata!L802="",FALSE,TRUE),exact(Metadata!L802,"cm"))</f>
        <v>0</v>
      </c>
      <c r="AN802">
        <f>IF(Metadata!M802="",FALSE,TRUE)</f>
        <v>0</v>
      </c>
      <c r="AO802">
        <f>OR(AND(IF(Metadata!N802="",FALSE,TRUE),OR(exact(Metadata!N802,"not applicable"),exact(Metadata!N802,"not collected"),exact(Metadata!N802,"not provided"))),AND(IF(Metadata!N802="",FALSE,IF(ISERROR(INT(Metadata!N802)),FALSE,INT(Metadata!N802)=Metadata!N802)),Metadata!N802&gt;0))</f>
        <v>0</v>
      </c>
      <c r="AP802">
        <f>OR(AND(IF(Metadata!O802="",FALSE,TRUE),OR(exact(Metadata!O802,"not collected"),exact(Metadata!O802,"not provided"))),AND(IF(Metadata!O802="",FALSE,ISNUMBER(VALUE(Metadata!O802))),Metadata!O802&gt;0))</f>
        <v>0</v>
      </c>
      <c r="AQ802">
        <f>AND(IF(Metadata!P802="",FALSE,TRUE),exact(Metadata!P802,"kg"))</f>
        <v>0</v>
      </c>
      <c r="AR802">
        <f>OR(AND(IF(Metadata!Q802="",FALSE,TRUE),OR(exact(Metadata!Q802,"not applicable"),exact(Metadata!Q802,"not collected"),exact(Metadata!Q802,"not provided"),exact(Metadata!Q802,"restricted access"))),IF(Metadata!Q802="",FALSE,IF(ISERROR(INT(Metadata!Q802)),FALSE,INT(Metadata!Q802)=Metadata!Q802)))</f>
        <v>0</v>
      </c>
      <c r="AS802">
        <f>AND(IF(Metadata!R802="",FALSE,TRUE),exact(Metadata!R802,"Not applicable"))</f>
        <v>0</v>
      </c>
    </row>
    <row r="803" spans="1:45">
      <c r="A803" s="4">
        <f>IF(B803=" "," ",HYPERLINK(CONCATENATE("#metadata!",ADDRESS(INDEX($X$2:$X$1001,MATCH(ROWS($V$2:V803),$V$2:$V$1001,0),0),2)),INDEX($AA$2:$AA$1001,MATCH(ROWS($V$2:V803),$V$2:$V$1001,0),0)))</f>
        <v>0</v>
      </c>
      <c r="B803" s="5">
        <f>IF(OR(INDEX($W$2:$W$1001,MATCH(ROWS($V$2:V803),$V$2:$V$1001,0),1)&gt;=100000,INDEX($AC$1005:$AS$1005,1,MATCH(COLUMNS($AC$1006:AC1006),$AC$1006:$AS$1006,0))&gt;=100000), " ",IF(INDEX($AC$2:$AS$1001,MATCH(ROWS($V$2:V803),$V$2:$V$1001,0),MATCH(COLUMNS($AC$1006:AC1006),$AC$1006:$AS$1006,0)), HYPERLINK("#",""), HYPERLINK(CONCATENATE("#Metadata!", ADDRESS(INDEX($X$2:$X$1001,MATCH(ROWS($V$2:V803),$V$2:$V$1001,0),0), INDEX($AC$1004:$AS$1004,1,MATCH(COLUMNS($AC$1006:AC1006),$AC$1006:$AS$1006,0)))),"Fix")))</f>
        <v>0</v>
      </c>
      <c r="C803" s="5">
        <f>IF(OR(INDEX($W$2:$W$1001,MATCH(ROWS($V$2:V803),$V$2:$V$1001,0),1)&gt;=100000,INDEX($AC$1005:$AS$1005,1,MATCH(COLUMNS($AC$1006:AD1006),$AC$1006:$AS$1006,0))&gt;=100000), " ",IF(INDEX($AC$2:$AS$1001,MATCH(ROWS($V$2:V803),$V$2:$V$1001,0),MATCH(COLUMNS($AC$1006:AD1006),$AC$1006:$AS$1006,0)), HYPERLINK("#",""), HYPERLINK(CONCATENATE("#Metadata!", ADDRESS(INDEX($X$2:$X$1001,MATCH(ROWS($V$2:V803),$V$2:$V$1001,0),0), INDEX($AC$1004:$AS$1004,1,MATCH(COLUMNS($AC$1006:AD1006),$AC$1006:$AS$1006,0)))),"Fix")))</f>
        <v>0</v>
      </c>
      <c r="D803" s="5">
        <f>IF(OR(INDEX($W$2:$W$1001,MATCH(ROWS($V$2:V803),$V$2:$V$1001,0),1)&gt;=100000,INDEX($AC$1005:$AS$1005,1,MATCH(COLUMNS($AC$1006:AE1006),$AC$1006:$AS$1006,0))&gt;=100000), " ",IF(INDEX($AC$2:$AS$1001,MATCH(ROWS($V$2:V803),$V$2:$V$1001,0),MATCH(COLUMNS($AC$1006:AE1006),$AC$1006:$AS$1006,0)), HYPERLINK("#",""), HYPERLINK(CONCATENATE("#Metadata!", ADDRESS(INDEX($X$2:$X$1001,MATCH(ROWS($V$2:V803),$V$2:$V$1001,0),0), INDEX($AC$1004:$AS$1004,1,MATCH(COLUMNS($AC$1006:AE1006),$AC$1006:$AS$1006,0)))),"Fix")))</f>
        <v>0</v>
      </c>
      <c r="E803" s="5">
        <f>IF(OR(INDEX($W$2:$W$1001,MATCH(ROWS($V$2:V803),$V$2:$V$1001,0),1)&gt;=100000,INDEX($AC$1005:$AS$1005,1,MATCH(COLUMNS($AC$1006:AF1006),$AC$1006:$AS$1006,0))&gt;=100000), " ",IF(INDEX($AC$2:$AS$1001,MATCH(ROWS($V$2:V803),$V$2:$V$1001,0),MATCH(COLUMNS($AC$1006:AF1006),$AC$1006:$AS$1006,0)), HYPERLINK("#",""), HYPERLINK(CONCATENATE("#Metadata!", ADDRESS(INDEX($X$2:$X$1001,MATCH(ROWS($V$2:V803),$V$2:$V$1001,0),0), INDEX($AC$1004:$AS$1004,1,MATCH(COLUMNS($AC$1006:AF1006),$AC$1006:$AS$1006,0)))),"Fix")))</f>
        <v>0</v>
      </c>
      <c r="F803" s="5">
        <f>IF(OR(INDEX($W$2:$W$1001,MATCH(ROWS($V$2:V803),$V$2:$V$1001,0),1)&gt;=100000,INDEX($AC$1005:$AS$1005,1,MATCH(COLUMNS($AC$1006:AG1006),$AC$1006:$AS$1006,0))&gt;=100000), " ",IF(INDEX($AC$2:$AS$1001,MATCH(ROWS($V$2:V803),$V$2:$V$1001,0),MATCH(COLUMNS($AC$1006:AG1006),$AC$1006:$AS$1006,0)), HYPERLINK("#",""), HYPERLINK(CONCATENATE("#Metadata!", ADDRESS(INDEX($X$2:$X$1001,MATCH(ROWS($V$2:V803),$V$2:$V$1001,0),0), INDEX($AC$1004:$AS$1004,1,MATCH(COLUMNS($AC$1006:AG1006),$AC$1006:$AS$1006,0)))),"Fix")))</f>
        <v>0</v>
      </c>
      <c r="G803" s="5">
        <f>IF(OR(INDEX($W$2:$W$1001,MATCH(ROWS($V$2:V803),$V$2:$V$1001,0),1)&gt;=100000,INDEX($AC$1005:$AS$1005,1,MATCH(COLUMNS($AC$1006:AH1006),$AC$1006:$AS$1006,0))&gt;=100000), " ",IF(INDEX($AC$2:$AS$1001,MATCH(ROWS($V$2:V803),$V$2:$V$1001,0),MATCH(COLUMNS($AC$1006:AH1006),$AC$1006:$AS$1006,0)), HYPERLINK("#",""), HYPERLINK(CONCATENATE("#Metadata!", ADDRESS(INDEX($X$2:$X$1001,MATCH(ROWS($V$2:V803),$V$2:$V$1001,0),0), INDEX($AC$1004:$AS$1004,1,MATCH(COLUMNS($AC$1006:AH1006),$AC$1006:$AS$1006,0)))),"Fix")))</f>
        <v>0</v>
      </c>
      <c r="H803" s="5">
        <f>IF(OR(INDEX($W$2:$W$1001,MATCH(ROWS($V$2:V803),$V$2:$V$1001,0),1)&gt;=100000,INDEX($AC$1005:$AS$1005,1,MATCH(COLUMNS($AC$1006:AI1006),$AC$1006:$AS$1006,0))&gt;=100000), " ",IF(INDEX($AC$2:$AS$1001,MATCH(ROWS($V$2:V803),$V$2:$V$1001,0),MATCH(COLUMNS($AC$1006:AI1006),$AC$1006:$AS$1006,0)), HYPERLINK("#",""), HYPERLINK(CONCATENATE("#Metadata!", ADDRESS(INDEX($X$2:$X$1001,MATCH(ROWS($V$2:V803),$V$2:$V$1001,0),0), INDEX($AC$1004:$AS$1004,1,MATCH(COLUMNS($AC$1006:AI1006),$AC$1006:$AS$1006,0)))),"Fix")))</f>
        <v>0</v>
      </c>
      <c r="I803" s="5">
        <f>IF(OR(INDEX($W$2:$W$1001,MATCH(ROWS($V$2:V803),$V$2:$V$1001,0),1)&gt;=100000,INDEX($AC$1005:$AS$1005,1,MATCH(COLUMNS($AC$1006:AJ1006),$AC$1006:$AS$1006,0))&gt;=100000), " ",IF(INDEX($AC$2:$AS$1001,MATCH(ROWS($V$2:V803),$V$2:$V$1001,0),MATCH(COLUMNS($AC$1006:AJ1006),$AC$1006:$AS$1006,0)), HYPERLINK("#",""), HYPERLINK(CONCATENATE("#Metadata!", ADDRESS(INDEX($X$2:$X$1001,MATCH(ROWS($V$2:V803),$V$2:$V$1001,0),0), INDEX($AC$1004:$AS$1004,1,MATCH(COLUMNS($AC$1006:AJ1006),$AC$1006:$AS$1006,0)))),"Fix")))</f>
        <v>0</v>
      </c>
      <c r="J803" s="5">
        <f>IF(OR(INDEX($W$2:$W$1001,MATCH(ROWS($V$2:V803),$V$2:$V$1001,0),1)&gt;=100000,INDEX($AC$1005:$AS$1005,1,MATCH(COLUMNS($AC$1006:AK1006),$AC$1006:$AS$1006,0))&gt;=100000), " ",IF(INDEX($AC$2:$AS$1001,MATCH(ROWS($V$2:V803),$V$2:$V$1001,0),MATCH(COLUMNS($AC$1006:AK1006),$AC$1006:$AS$1006,0)), HYPERLINK("#",""), HYPERLINK(CONCATENATE("#Metadata!", ADDRESS(INDEX($X$2:$X$1001,MATCH(ROWS($V$2:V803),$V$2:$V$1001,0),0), INDEX($AC$1004:$AS$1004,1,MATCH(COLUMNS($AC$1006:AK1006),$AC$1006:$AS$1006,0)))),"Fix")))</f>
        <v>0</v>
      </c>
      <c r="K803" s="5">
        <f>IF(OR(INDEX($W$2:$W$1001,MATCH(ROWS($V$2:V803),$V$2:$V$1001,0),1)&gt;=100000,INDEX($AC$1005:$AS$1005,1,MATCH(COLUMNS($AC$1006:AL1006),$AC$1006:$AS$1006,0))&gt;=100000), " ",IF(INDEX($AC$2:$AS$1001,MATCH(ROWS($V$2:V803),$V$2:$V$1001,0),MATCH(COLUMNS($AC$1006:AL1006),$AC$1006:$AS$1006,0)), HYPERLINK("#",""), HYPERLINK(CONCATENATE("#Metadata!", ADDRESS(INDEX($X$2:$X$1001,MATCH(ROWS($V$2:V803),$V$2:$V$1001,0),0), INDEX($AC$1004:$AS$1004,1,MATCH(COLUMNS($AC$1006:AL1006),$AC$1006:$AS$1006,0)))),"Fix")))</f>
        <v>0</v>
      </c>
      <c r="L803" s="5">
        <f>IF(OR(INDEX($W$2:$W$1001,MATCH(ROWS($V$2:V803),$V$2:$V$1001,0),1)&gt;=100000,INDEX($AC$1005:$AS$1005,1,MATCH(COLUMNS($AC$1006:AM1006),$AC$1006:$AS$1006,0))&gt;=100000), " ",IF(INDEX($AC$2:$AS$1001,MATCH(ROWS($V$2:V803),$V$2:$V$1001,0),MATCH(COLUMNS($AC$1006:AM1006),$AC$1006:$AS$1006,0)), HYPERLINK("#",""), HYPERLINK(CONCATENATE("#Metadata!", ADDRESS(INDEX($X$2:$X$1001,MATCH(ROWS($V$2:V803),$V$2:$V$1001,0),0), INDEX($AC$1004:$AS$1004,1,MATCH(COLUMNS($AC$1006:AM1006),$AC$1006:$AS$1006,0)))),"Fix")))</f>
        <v>0</v>
      </c>
      <c r="M803" s="5">
        <f>IF(OR(INDEX($W$2:$W$1001,MATCH(ROWS($V$2:V803),$V$2:$V$1001,0),1)&gt;=100000,INDEX($AC$1005:$AS$1005,1,MATCH(COLUMNS($AC$1006:AN1006),$AC$1006:$AS$1006,0))&gt;=100000), " ",IF(INDEX($AC$2:$AS$1001,MATCH(ROWS($V$2:V803),$V$2:$V$1001,0),MATCH(COLUMNS($AC$1006:AN1006),$AC$1006:$AS$1006,0)), HYPERLINK("#",""), HYPERLINK(CONCATENATE("#Metadata!", ADDRESS(INDEX($X$2:$X$1001,MATCH(ROWS($V$2:V803),$V$2:$V$1001,0),0), INDEX($AC$1004:$AS$1004,1,MATCH(COLUMNS($AC$1006:AN1006),$AC$1006:$AS$1006,0)))),"Fix")))</f>
        <v>0</v>
      </c>
      <c r="N803" s="5">
        <f>IF(OR(INDEX($W$2:$W$1001,MATCH(ROWS($V$2:V803),$V$2:$V$1001,0),1)&gt;=100000,INDEX($AC$1005:$AS$1005,1,MATCH(COLUMNS($AC$1006:AO1006),$AC$1006:$AS$1006,0))&gt;=100000), " ",IF(INDEX($AC$2:$AS$1001,MATCH(ROWS($V$2:V803),$V$2:$V$1001,0),MATCH(COLUMNS($AC$1006:AO1006),$AC$1006:$AS$1006,0)), HYPERLINK("#",""), HYPERLINK(CONCATENATE("#Metadata!", ADDRESS(INDEX($X$2:$X$1001,MATCH(ROWS($V$2:V803),$V$2:$V$1001,0),0), INDEX($AC$1004:$AS$1004,1,MATCH(COLUMNS($AC$1006:AO1006),$AC$1006:$AS$1006,0)))),"Fix")))</f>
        <v>0</v>
      </c>
      <c r="O803" s="5">
        <f>IF(OR(INDEX($W$2:$W$1001,MATCH(ROWS($V$2:V803),$V$2:$V$1001,0),1)&gt;=100000,INDEX($AC$1005:$AS$1005,1,MATCH(COLUMNS($AC$1006:AP1006),$AC$1006:$AS$1006,0))&gt;=100000), " ",IF(INDEX($AC$2:$AS$1001,MATCH(ROWS($V$2:V803),$V$2:$V$1001,0),MATCH(COLUMNS($AC$1006:AP1006),$AC$1006:$AS$1006,0)), HYPERLINK("#",""), HYPERLINK(CONCATENATE("#Metadata!", ADDRESS(INDEX($X$2:$X$1001,MATCH(ROWS($V$2:V803),$V$2:$V$1001,0),0), INDEX($AC$1004:$AS$1004,1,MATCH(COLUMNS($AC$1006:AP1006),$AC$1006:$AS$1006,0)))),"Fix")))</f>
        <v>0</v>
      </c>
      <c r="P803" s="5">
        <f>IF(OR(INDEX($W$2:$W$1001,MATCH(ROWS($V$2:V803),$V$2:$V$1001,0),1)&gt;=100000,INDEX($AC$1005:$AS$1005,1,MATCH(COLUMNS($AC$1006:AQ1006),$AC$1006:$AS$1006,0))&gt;=100000), " ",IF(INDEX($AC$2:$AS$1001,MATCH(ROWS($V$2:V803),$V$2:$V$1001,0),MATCH(COLUMNS($AC$1006:AQ1006),$AC$1006:$AS$1006,0)), HYPERLINK("#",""), HYPERLINK(CONCATENATE("#Metadata!", ADDRESS(INDEX($X$2:$X$1001,MATCH(ROWS($V$2:V803),$V$2:$V$1001,0),0), INDEX($AC$1004:$AS$1004,1,MATCH(COLUMNS($AC$1006:AQ1006),$AC$1006:$AS$1006,0)))),"Fix")))</f>
        <v>0</v>
      </c>
      <c r="Q803" s="5">
        <f>IF(OR(INDEX($W$2:$W$1001,MATCH(ROWS($V$2:V803),$V$2:$V$1001,0),1)&gt;=100000,INDEX($AC$1005:$AS$1005,1,MATCH(COLUMNS($AC$1006:AR1006),$AC$1006:$AS$1006,0))&gt;=100000), " ",IF(INDEX($AC$2:$AS$1001,MATCH(ROWS($V$2:V803),$V$2:$V$1001,0),MATCH(COLUMNS($AC$1006:AR1006),$AC$1006:$AS$1006,0)), HYPERLINK("#",""), HYPERLINK(CONCATENATE("#Metadata!", ADDRESS(INDEX($X$2:$X$1001,MATCH(ROWS($V$2:V803),$V$2:$V$1001,0),0), INDEX($AC$1004:$AS$1004,1,MATCH(COLUMNS($AC$1006:AR1006),$AC$1006:$AS$1006,0)))),"Fix")))</f>
        <v>0</v>
      </c>
      <c r="R803" s="5">
        <f>IF(OR(INDEX($W$2:$W$1001,MATCH(ROWS($V$2:V803),$V$2:$V$1001,0),1)&gt;=100000,INDEX($AC$1005:$AS$1005,1,MATCH(COLUMNS($AC$1006:AS1006),$AC$1006:$AS$1006,0))&gt;=100000), " ",IF(INDEX($AC$2:$AS$1001,MATCH(ROWS($V$2:V803),$V$2:$V$1001,0),MATCH(COLUMNS($AC$1006:AS1006),$AC$1006:$AS$1006,0)), HYPERLINK("#",""), HYPERLINK(CONCATENATE("#Metadata!", ADDRESS(INDEX($X$2:$X$1001,MATCH(ROWS($V$2:V803),$V$2:$V$1001,0),0), INDEX($AC$1004:$AS$1004,1,MATCH(COLUMNS($AC$1006:AS1006),$AC$1006:$AS$1006,0)))),"Fix")))</f>
        <v>0</v>
      </c>
      <c r="V803">
        <v>0</v>
      </c>
      <c r="W803">
        <v>0</v>
      </c>
      <c r="X803">
        <v>0</v>
      </c>
      <c r="Y803">
        <f>IF(Z803,TRUE,AND(AC803:AS803))</f>
        <v>0</v>
      </c>
      <c r="Z803">
        <f>COUNTBLANK(Metadata!B803:R803)=COLUMNS(Metadata!B803:R803)</f>
        <v>0</v>
      </c>
      <c r="AA803">
        <v>0</v>
      </c>
      <c r="AC803">
        <f>AND(IF(Metadata!B803="",FALSE,TRUE),COUNTIF(Metadata!B:B, Metadata!B803) = 1,NOT(ISERROR(SUMPRODUCT(SEARCH(MID(Metadata!B803,ROW(INDIRECT("1:"&amp;LEN(Metadata!B803))), 1),"0123456789abcdefghijklmnopqrstuvwxyzABCDEFGHIJKLMNOPQRSTUVWXYZ.")))))</f>
        <v>0</v>
      </c>
      <c r="AD803">
        <f>AND(IF(Metadata!C803="",FALSE,TRUE),exact(Metadata!C803,"Host-associated"))</f>
        <v>0</v>
      </c>
      <c r="AE803">
        <f>AND(IF(Metadata!D803="",FALSE,TRUE),OR(exact(Metadata!D803,"Animal"),exact(Metadata!D803,"Fungus"),exact(Metadata!D803,"Plant")))</f>
        <v>0</v>
      </c>
      <c r="AF803">
        <f>AND(IF(Metadata!E803="",FALSE,TRUE),OR(exact(Metadata!E803,"Plant secretion"),exact(Metadata!E803,"Plant rhizosphere"),exact(Metadata!E803,"Plant surface"),exact(Metadata!E803,"Plant corpus"),exact(Metadata!E803,"Fungus surface"),exact(Metadata!E803,"Fungus corpus"),exact(Metadata!E803,"Animal surface"),exact(Metadata!E803,"Animal proximal gut"),exact(Metadata!E803,"Animal corpus"),exact(Metadata!E803,"Animal distal gut"),exact(Metadata!E803,"Animal secretion")))</f>
        <v>0</v>
      </c>
      <c r="AG803">
        <f>OR(AND(IF(Metadata!F803="",FALSE,TRUE),OR(exact(Metadata!F803,"not collected"),exact(Metadata!F803,"not provided"),exact(Metadata!F803,"restricted access"))),AND(IF(Metadata!F803="",FALSE,TRUE),OR(exact(Metadata!F803,"organism-associated habitat"),exact(Metadata!F803,"plant-associated habitat"),exact(Metadata!F803,"animal-associated habitat"),exact(Metadata!F803,"insecta-associated habitat"),exact(Metadata!F803,"mammalia-associated habitat"),exact(Metadata!F803,"human-associated habitat"),exact(Metadata!F803,"livestock-associated habitat"))))</f>
        <v>0</v>
      </c>
      <c r="AH803">
        <f>AND(IF(Metadata!G803="",FALSE,TRUE),exact(Metadata!G803,"host-associated"))</f>
        <v>0</v>
      </c>
      <c r="AI803">
        <f>OR(AND(IF(Metadata!H803="",FALSE,TRUE),OR(exact(Metadata!H803,"not collected"),exact(Metadata!H803,"not provided"))),AND(IF(Metadata!H803="",FALSE,ISNUMBER(VALUE(Metadata!H803))),Metadata!H803&gt;0))</f>
        <v>0</v>
      </c>
      <c r="AJ803">
        <f>AND(IF(Metadata!I803="",FALSE,TRUE),exact(Metadata!I803,"years"))</f>
        <v>0</v>
      </c>
      <c r="AK803">
        <f>IF(Metadata!J803="",FALSE,TRUE)</f>
        <v>0</v>
      </c>
      <c r="AL803">
        <f>OR(AND(IF(Metadata!K803="",FALSE,TRUE),OR(exact(Metadata!K803,"not collected"),exact(Metadata!K803,"not provided"))),AND(IF(Metadata!K803="",FALSE,ISNUMBER(VALUE(Metadata!K803))),Metadata!K803&gt;0))</f>
        <v>0</v>
      </c>
      <c r="AM803">
        <f>AND(IF(Metadata!L803="",FALSE,TRUE),exact(Metadata!L803,"cm"))</f>
        <v>0</v>
      </c>
      <c r="AN803">
        <f>IF(Metadata!M803="",FALSE,TRUE)</f>
        <v>0</v>
      </c>
      <c r="AO803">
        <f>OR(AND(IF(Metadata!N803="",FALSE,TRUE),OR(exact(Metadata!N803,"not applicable"),exact(Metadata!N803,"not collected"),exact(Metadata!N803,"not provided"))),AND(IF(Metadata!N803="",FALSE,IF(ISERROR(INT(Metadata!N803)),FALSE,INT(Metadata!N803)=Metadata!N803)),Metadata!N803&gt;0))</f>
        <v>0</v>
      </c>
      <c r="AP803">
        <f>OR(AND(IF(Metadata!O803="",FALSE,TRUE),OR(exact(Metadata!O803,"not collected"),exact(Metadata!O803,"not provided"))),AND(IF(Metadata!O803="",FALSE,ISNUMBER(VALUE(Metadata!O803))),Metadata!O803&gt;0))</f>
        <v>0</v>
      </c>
      <c r="AQ803">
        <f>AND(IF(Metadata!P803="",FALSE,TRUE),exact(Metadata!P803,"kg"))</f>
        <v>0</v>
      </c>
      <c r="AR803">
        <f>OR(AND(IF(Metadata!Q803="",FALSE,TRUE),OR(exact(Metadata!Q803,"not applicable"),exact(Metadata!Q803,"not collected"),exact(Metadata!Q803,"not provided"),exact(Metadata!Q803,"restricted access"))),IF(Metadata!Q803="",FALSE,IF(ISERROR(INT(Metadata!Q803)),FALSE,INT(Metadata!Q803)=Metadata!Q803)))</f>
        <v>0</v>
      </c>
      <c r="AS803">
        <f>AND(IF(Metadata!R803="",FALSE,TRUE),exact(Metadata!R803,"Not applicable"))</f>
        <v>0</v>
      </c>
    </row>
    <row r="804" spans="1:45">
      <c r="A804" s="4">
        <f>IF(B804=" "," ",HYPERLINK(CONCATENATE("#metadata!",ADDRESS(INDEX($X$2:$X$1001,MATCH(ROWS($V$2:V804),$V$2:$V$1001,0),0),2)),INDEX($AA$2:$AA$1001,MATCH(ROWS($V$2:V804),$V$2:$V$1001,0),0)))</f>
        <v>0</v>
      </c>
      <c r="B804" s="5">
        <f>IF(OR(INDEX($W$2:$W$1001,MATCH(ROWS($V$2:V804),$V$2:$V$1001,0),1)&gt;=100000,INDEX($AC$1005:$AS$1005,1,MATCH(COLUMNS($AC$1006:AC1006),$AC$1006:$AS$1006,0))&gt;=100000), " ",IF(INDEX($AC$2:$AS$1001,MATCH(ROWS($V$2:V804),$V$2:$V$1001,0),MATCH(COLUMNS($AC$1006:AC1006),$AC$1006:$AS$1006,0)), HYPERLINK("#",""), HYPERLINK(CONCATENATE("#Metadata!", ADDRESS(INDEX($X$2:$X$1001,MATCH(ROWS($V$2:V804),$V$2:$V$1001,0),0), INDEX($AC$1004:$AS$1004,1,MATCH(COLUMNS($AC$1006:AC1006),$AC$1006:$AS$1006,0)))),"Fix")))</f>
        <v>0</v>
      </c>
      <c r="C804" s="5">
        <f>IF(OR(INDEX($W$2:$W$1001,MATCH(ROWS($V$2:V804),$V$2:$V$1001,0),1)&gt;=100000,INDEX($AC$1005:$AS$1005,1,MATCH(COLUMNS($AC$1006:AD1006),$AC$1006:$AS$1006,0))&gt;=100000), " ",IF(INDEX($AC$2:$AS$1001,MATCH(ROWS($V$2:V804),$V$2:$V$1001,0),MATCH(COLUMNS($AC$1006:AD1006),$AC$1006:$AS$1006,0)), HYPERLINK("#",""), HYPERLINK(CONCATENATE("#Metadata!", ADDRESS(INDEX($X$2:$X$1001,MATCH(ROWS($V$2:V804),$V$2:$V$1001,0),0), INDEX($AC$1004:$AS$1004,1,MATCH(COLUMNS($AC$1006:AD1006),$AC$1006:$AS$1006,0)))),"Fix")))</f>
        <v>0</v>
      </c>
      <c r="D804" s="5">
        <f>IF(OR(INDEX($W$2:$W$1001,MATCH(ROWS($V$2:V804),$V$2:$V$1001,0),1)&gt;=100000,INDEX($AC$1005:$AS$1005,1,MATCH(COLUMNS($AC$1006:AE1006),$AC$1006:$AS$1006,0))&gt;=100000), " ",IF(INDEX($AC$2:$AS$1001,MATCH(ROWS($V$2:V804),$V$2:$V$1001,0),MATCH(COLUMNS($AC$1006:AE1006),$AC$1006:$AS$1006,0)), HYPERLINK("#",""), HYPERLINK(CONCATENATE("#Metadata!", ADDRESS(INDEX($X$2:$X$1001,MATCH(ROWS($V$2:V804),$V$2:$V$1001,0),0), INDEX($AC$1004:$AS$1004,1,MATCH(COLUMNS($AC$1006:AE1006),$AC$1006:$AS$1006,0)))),"Fix")))</f>
        <v>0</v>
      </c>
      <c r="E804" s="5">
        <f>IF(OR(INDEX($W$2:$W$1001,MATCH(ROWS($V$2:V804),$V$2:$V$1001,0),1)&gt;=100000,INDEX($AC$1005:$AS$1005,1,MATCH(COLUMNS($AC$1006:AF1006),$AC$1006:$AS$1006,0))&gt;=100000), " ",IF(INDEX($AC$2:$AS$1001,MATCH(ROWS($V$2:V804),$V$2:$V$1001,0),MATCH(COLUMNS($AC$1006:AF1006),$AC$1006:$AS$1006,0)), HYPERLINK("#",""), HYPERLINK(CONCATENATE("#Metadata!", ADDRESS(INDEX($X$2:$X$1001,MATCH(ROWS($V$2:V804),$V$2:$V$1001,0),0), INDEX($AC$1004:$AS$1004,1,MATCH(COLUMNS($AC$1006:AF1006),$AC$1006:$AS$1006,0)))),"Fix")))</f>
        <v>0</v>
      </c>
      <c r="F804" s="5">
        <f>IF(OR(INDEX($W$2:$W$1001,MATCH(ROWS($V$2:V804),$V$2:$V$1001,0),1)&gt;=100000,INDEX($AC$1005:$AS$1005,1,MATCH(COLUMNS($AC$1006:AG1006),$AC$1006:$AS$1006,0))&gt;=100000), " ",IF(INDEX($AC$2:$AS$1001,MATCH(ROWS($V$2:V804),$V$2:$V$1001,0),MATCH(COLUMNS($AC$1006:AG1006),$AC$1006:$AS$1006,0)), HYPERLINK("#",""), HYPERLINK(CONCATENATE("#Metadata!", ADDRESS(INDEX($X$2:$X$1001,MATCH(ROWS($V$2:V804),$V$2:$V$1001,0),0), INDEX($AC$1004:$AS$1004,1,MATCH(COLUMNS($AC$1006:AG1006),$AC$1006:$AS$1006,0)))),"Fix")))</f>
        <v>0</v>
      </c>
      <c r="G804" s="5">
        <f>IF(OR(INDEX($W$2:$W$1001,MATCH(ROWS($V$2:V804),$V$2:$V$1001,0),1)&gt;=100000,INDEX($AC$1005:$AS$1005,1,MATCH(COLUMNS($AC$1006:AH1006),$AC$1006:$AS$1006,0))&gt;=100000), " ",IF(INDEX($AC$2:$AS$1001,MATCH(ROWS($V$2:V804),$V$2:$V$1001,0),MATCH(COLUMNS($AC$1006:AH1006),$AC$1006:$AS$1006,0)), HYPERLINK("#",""), HYPERLINK(CONCATENATE("#Metadata!", ADDRESS(INDEX($X$2:$X$1001,MATCH(ROWS($V$2:V804),$V$2:$V$1001,0),0), INDEX($AC$1004:$AS$1004,1,MATCH(COLUMNS($AC$1006:AH1006),$AC$1006:$AS$1006,0)))),"Fix")))</f>
        <v>0</v>
      </c>
      <c r="H804" s="5">
        <f>IF(OR(INDEX($W$2:$W$1001,MATCH(ROWS($V$2:V804),$V$2:$V$1001,0),1)&gt;=100000,INDEX($AC$1005:$AS$1005,1,MATCH(COLUMNS($AC$1006:AI1006),$AC$1006:$AS$1006,0))&gt;=100000), " ",IF(INDEX($AC$2:$AS$1001,MATCH(ROWS($V$2:V804),$V$2:$V$1001,0),MATCH(COLUMNS($AC$1006:AI1006),$AC$1006:$AS$1006,0)), HYPERLINK("#",""), HYPERLINK(CONCATENATE("#Metadata!", ADDRESS(INDEX($X$2:$X$1001,MATCH(ROWS($V$2:V804),$V$2:$V$1001,0),0), INDEX($AC$1004:$AS$1004,1,MATCH(COLUMNS($AC$1006:AI1006),$AC$1006:$AS$1006,0)))),"Fix")))</f>
        <v>0</v>
      </c>
      <c r="I804" s="5">
        <f>IF(OR(INDEX($W$2:$W$1001,MATCH(ROWS($V$2:V804),$V$2:$V$1001,0),1)&gt;=100000,INDEX($AC$1005:$AS$1005,1,MATCH(COLUMNS($AC$1006:AJ1006),$AC$1006:$AS$1006,0))&gt;=100000), " ",IF(INDEX($AC$2:$AS$1001,MATCH(ROWS($V$2:V804),$V$2:$V$1001,0),MATCH(COLUMNS($AC$1006:AJ1006),$AC$1006:$AS$1006,0)), HYPERLINK("#",""), HYPERLINK(CONCATENATE("#Metadata!", ADDRESS(INDEX($X$2:$X$1001,MATCH(ROWS($V$2:V804),$V$2:$V$1001,0),0), INDEX($AC$1004:$AS$1004,1,MATCH(COLUMNS($AC$1006:AJ1006),$AC$1006:$AS$1006,0)))),"Fix")))</f>
        <v>0</v>
      </c>
      <c r="J804" s="5">
        <f>IF(OR(INDEX($W$2:$W$1001,MATCH(ROWS($V$2:V804),$V$2:$V$1001,0),1)&gt;=100000,INDEX($AC$1005:$AS$1005,1,MATCH(COLUMNS($AC$1006:AK1006),$AC$1006:$AS$1006,0))&gt;=100000), " ",IF(INDEX($AC$2:$AS$1001,MATCH(ROWS($V$2:V804),$V$2:$V$1001,0),MATCH(COLUMNS($AC$1006:AK1006),$AC$1006:$AS$1006,0)), HYPERLINK("#",""), HYPERLINK(CONCATENATE("#Metadata!", ADDRESS(INDEX($X$2:$X$1001,MATCH(ROWS($V$2:V804),$V$2:$V$1001,0),0), INDEX($AC$1004:$AS$1004,1,MATCH(COLUMNS($AC$1006:AK1006),$AC$1006:$AS$1006,0)))),"Fix")))</f>
        <v>0</v>
      </c>
      <c r="K804" s="5">
        <f>IF(OR(INDEX($W$2:$W$1001,MATCH(ROWS($V$2:V804),$V$2:$V$1001,0),1)&gt;=100000,INDEX($AC$1005:$AS$1005,1,MATCH(COLUMNS($AC$1006:AL1006),$AC$1006:$AS$1006,0))&gt;=100000), " ",IF(INDEX($AC$2:$AS$1001,MATCH(ROWS($V$2:V804),$V$2:$V$1001,0),MATCH(COLUMNS($AC$1006:AL1006),$AC$1006:$AS$1006,0)), HYPERLINK("#",""), HYPERLINK(CONCATENATE("#Metadata!", ADDRESS(INDEX($X$2:$X$1001,MATCH(ROWS($V$2:V804),$V$2:$V$1001,0),0), INDEX($AC$1004:$AS$1004,1,MATCH(COLUMNS($AC$1006:AL1006),$AC$1006:$AS$1006,0)))),"Fix")))</f>
        <v>0</v>
      </c>
      <c r="L804" s="5">
        <f>IF(OR(INDEX($W$2:$W$1001,MATCH(ROWS($V$2:V804),$V$2:$V$1001,0),1)&gt;=100000,INDEX($AC$1005:$AS$1005,1,MATCH(COLUMNS($AC$1006:AM1006),$AC$1006:$AS$1006,0))&gt;=100000), " ",IF(INDEX($AC$2:$AS$1001,MATCH(ROWS($V$2:V804),$V$2:$V$1001,0),MATCH(COLUMNS($AC$1006:AM1006),$AC$1006:$AS$1006,0)), HYPERLINK("#",""), HYPERLINK(CONCATENATE("#Metadata!", ADDRESS(INDEX($X$2:$X$1001,MATCH(ROWS($V$2:V804),$V$2:$V$1001,0),0), INDEX($AC$1004:$AS$1004,1,MATCH(COLUMNS($AC$1006:AM1006),$AC$1006:$AS$1006,0)))),"Fix")))</f>
        <v>0</v>
      </c>
      <c r="M804" s="5">
        <f>IF(OR(INDEX($W$2:$W$1001,MATCH(ROWS($V$2:V804),$V$2:$V$1001,0),1)&gt;=100000,INDEX($AC$1005:$AS$1005,1,MATCH(COLUMNS($AC$1006:AN1006),$AC$1006:$AS$1006,0))&gt;=100000), " ",IF(INDEX($AC$2:$AS$1001,MATCH(ROWS($V$2:V804),$V$2:$V$1001,0),MATCH(COLUMNS($AC$1006:AN1006),$AC$1006:$AS$1006,0)), HYPERLINK("#",""), HYPERLINK(CONCATENATE("#Metadata!", ADDRESS(INDEX($X$2:$X$1001,MATCH(ROWS($V$2:V804),$V$2:$V$1001,0),0), INDEX($AC$1004:$AS$1004,1,MATCH(COLUMNS($AC$1006:AN1006),$AC$1006:$AS$1006,0)))),"Fix")))</f>
        <v>0</v>
      </c>
      <c r="N804" s="5">
        <f>IF(OR(INDEX($W$2:$W$1001,MATCH(ROWS($V$2:V804),$V$2:$V$1001,0),1)&gt;=100000,INDEX($AC$1005:$AS$1005,1,MATCH(COLUMNS($AC$1006:AO1006),$AC$1006:$AS$1006,0))&gt;=100000), " ",IF(INDEX($AC$2:$AS$1001,MATCH(ROWS($V$2:V804),$V$2:$V$1001,0),MATCH(COLUMNS($AC$1006:AO1006),$AC$1006:$AS$1006,0)), HYPERLINK("#",""), HYPERLINK(CONCATENATE("#Metadata!", ADDRESS(INDEX($X$2:$X$1001,MATCH(ROWS($V$2:V804),$V$2:$V$1001,0),0), INDEX($AC$1004:$AS$1004,1,MATCH(COLUMNS($AC$1006:AO1006),$AC$1006:$AS$1006,0)))),"Fix")))</f>
        <v>0</v>
      </c>
      <c r="O804" s="5">
        <f>IF(OR(INDEX($W$2:$W$1001,MATCH(ROWS($V$2:V804),$V$2:$V$1001,0),1)&gt;=100000,INDEX($AC$1005:$AS$1005,1,MATCH(COLUMNS($AC$1006:AP1006),$AC$1006:$AS$1006,0))&gt;=100000), " ",IF(INDEX($AC$2:$AS$1001,MATCH(ROWS($V$2:V804),$V$2:$V$1001,0),MATCH(COLUMNS($AC$1006:AP1006),$AC$1006:$AS$1006,0)), HYPERLINK("#",""), HYPERLINK(CONCATENATE("#Metadata!", ADDRESS(INDEX($X$2:$X$1001,MATCH(ROWS($V$2:V804),$V$2:$V$1001,0),0), INDEX($AC$1004:$AS$1004,1,MATCH(COLUMNS($AC$1006:AP1006),$AC$1006:$AS$1006,0)))),"Fix")))</f>
        <v>0</v>
      </c>
      <c r="P804" s="5">
        <f>IF(OR(INDEX($W$2:$W$1001,MATCH(ROWS($V$2:V804),$V$2:$V$1001,0),1)&gt;=100000,INDEX($AC$1005:$AS$1005,1,MATCH(COLUMNS($AC$1006:AQ1006),$AC$1006:$AS$1006,0))&gt;=100000), " ",IF(INDEX($AC$2:$AS$1001,MATCH(ROWS($V$2:V804),$V$2:$V$1001,0),MATCH(COLUMNS($AC$1006:AQ1006),$AC$1006:$AS$1006,0)), HYPERLINK("#",""), HYPERLINK(CONCATENATE("#Metadata!", ADDRESS(INDEX($X$2:$X$1001,MATCH(ROWS($V$2:V804),$V$2:$V$1001,0),0), INDEX($AC$1004:$AS$1004,1,MATCH(COLUMNS($AC$1006:AQ1006),$AC$1006:$AS$1006,0)))),"Fix")))</f>
        <v>0</v>
      </c>
      <c r="Q804" s="5">
        <f>IF(OR(INDEX($W$2:$W$1001,MATCH(ROWS($V$2:V804),$V$2:$V$1001,0),1)&gt;=100000,INDEX($AC$1005:$AS$1005,1,MATCH(COLUMNS($AC$1006:AR1006),$AC$1006:$AS$1006,0))&gt;=100000), " ",IF(INDEX($AC$2:$AS$1001,MATCH(ROWS($V$2:V804),$V$2:$V$1001,0),MATCH(COLUMNS($AC$1006:AR1006),$AC$1006:$AS$1006,0)), HYPERLINK("#",""), HYPERLINK(CONCATENATE("#Metadata!", ADDRESS(INDEX($X$2:$X$1001,MATCH(ROWS($V$2:V804),$V$2:$V$1001,0),0), INDEX($AC$1004:$AS$1004,1,MATCH(COLUMNS($AC$1006:AR1006),$AC$1006:$AS$1006,0)))),"Fix")))</f>
        <v>0</v>
      </c>
      <c r="R804" s="5">
        <f>IF(OR(INDEX($W$2:$W$1001,MATCH(ROWS($V$2:V804),$V$2:$V$1001,0),1)&gt;=100000,INDEX($AC$1005:$AS$1005,1,MATCH(COLUMNS($AC$1006:AS1006),$AC$1006:$AS$1006,0))&gt;=100000), " ",IF(INDEX($AC$2:$AS$1001,MATCH(ROWS($V$2:V804),$V$2:$V$1001,0),MATCH(COLUMNS($AC$1006:AS1006),$AC$1006:$AS$1006,0)), HYPERLINK("#",""), HYPERLINK(CONCATENATE("#Metadata!", ADDRESS(INDEX($X$2:$X$1001,MATCH(ROWS($V$2:V804),$V$2:$V$1001,0),0), INDEX($AC$1004:$AS$1004,1,MATCH(COLUMNS($AC$1006:AS1006),$AC$1006:$AS$1006,0)))),"Fix")))</f>
        <v>0</v>
      </c>
      <c r="V804">
        <v>0</v>
      </c>
      <c r="W804">
        <v>0</v>
      </c>
      <c r="X804">
        <v>0</v>
      </c>
      <c r="Y804">
        <f>IF(Z804,TRUE,AND(AC804:AS804))</f>
        <v>0</v>
      </c>
      <c r="Z804">
        <f>COUNTBLANK(Metadata!B804:R804)=COLUMNS(Metadata!B804:R804)</f>
        <v>0</v>
      </c>
      <c r="AA804">
        <v>0</v>
      </c>
      <c r="AC804">
        <f>AND(IF(Metadata!B804="",FALSE,TRUE),COUNTIF(Metadata!B:B, Metadata!B804) = 1,NOT(ISERROR(SUMPRODUCT(SEARCH(MID(Metadata!B804,ROW(INDIRECT("1:"&amp;LEN(Metadata!B804))), 1),"0123456789abcdefghijklmnopqrstuvwxyzABCDEFGHIJKLMNOPQRSTUVWXYZ.")))))</f>
        <v>0</v>
      </c>
      <c r="AD804">
        <f>AND(IF(Metadata!C804="",FALSE,TRUE),exact(Metadata!C804,"Host-associated"))</f>
        <v>0</v>
      </c>
      <c r="AE804">
        <f>AND(IF(Metadata!D804="",FALSE,TRUE),OR(exact(Metadata!D804,"Animal"),exact(Metadata!D804,"Fungus"),exact(Metadata!D804,"Plant")))</f>
        <v>0</v>
      </c>
      <c r="AF804">
        <f>AND(IF(Metadata!E804="",FALSE,TRUE),OR(exact(Metadata!E804,"Plant secretion"),exact(Metadata!E804,"Plant rhizosphere"),exact(Metadata!E804,"Plant surface"),exact(Metadata!E804,"Plant corpus"),exact(Metadata!E804,"Fungus surface"),exact(Metadata!E804,"Fungus corpus"),exact(Metadata!E804,"Animal surface"),exact(Metadata!E804,"Animal proximal gut"),exact(Metadata!E804,"Animal corpus"),exact(Metadata!E804,"Animal distal gut"),exact(Metadata!E804,"Animal secretion")))</f>
        <v>0</v>
      </c>
      <c r="AG804">
        <f>OR(AND(IF(Metadata!F804="",FALSE,TRUE),OR(exact(Metadata!F804,"not collected"),exact(Metadata!F804,"not provided"),exact(Metadata!F804,"restricted access"))),AND(IF(Metadata!F804="",FALSE,TRUE),OR(exact(Metadata!F804,"organism-associated habitat"),exact(Metadata!F804,"plant-associated habitat"),exact(Metadata!F804,"animal-associated habitat"),exact(Metadata!F804,"insecta-associated habitat"),exact(Metadata!F804,"mammalia-associated habitat"),exact(Metadata!F804,"human-associated habitat"),exact(Metadata!F804,"livestock-associated habitat"))))</f>
        <v>0</v>
      </c>
      <c r="AH804">
        <f>AND(IF(Metadata!G804="",FALSE,TRUE),exact(Metadata!G804,"host-associated"))</f>
        <v>0</v>
      </c>
      <c r="AI804">
        <f>OR(AND(IF(Metadata!H804="",FALSE,TRUE),OR(exact(Metadata!H804,"not collected"),exact(Metadata!H804,"not provided"))),AND(IF(Metadata!H804="",FALSE,ISNUMBER(VALUE(Metadata!H804))),Metadata!H804&gt;0))</f>
        <v>0</v>
      </c>
      <c r="AJ804">
        <f>AND(IF(Metadata!I804="",FALSE,TRUE),exact(Metadata!I804,"years"))</f>
        <v>0</v>
      </c>
      <c r="AK804">
        <f>IF(Metadata!J804="",FALSE,TRUE)</f>
        <v>0</v>
      </c>
      <c r="AL804">
        <f>OR(AND(IF(Metadata!K804="",FALSE,TRUE),OR(exact(Metadata!K804,"not collected"),exact(Metadata!K804,"not provided"))),AND(IF(Metadata!K804="",FALSE,ISNUMBER(VALUE(Metadata!K804))),Metadata!K804&gt;0))</f>
        <v>0</v>
      </c>
      <c r="AM804">
        <f>AND(IF(Metadata!L804="",FALSE,TRUE),exact(Metadata!L804,"cm"))</f>
        <v>0</v>
      </c>
      <c r="AN804">
        <f>IF(Metadata!M804="",FALSE,TRUE)</f>
        <v>0</v>
      </c>
      <c r="AO804">
        <f>OR(AND(IF(Metadata!N804="",FALSE,TRUE),OR(exact(Metadata!N804,"not applicable"),exact(Metadata!N804,"not collected"),exact(Metadata!N804,"not provided"))),AND(IF(Metadata!N804="",FALSE,IF(ISERROR(INT(Metadata!N804)),FALSE,INT(Metadata!N804)=Metadata!N804)),Metadata!N804&gt;0))</f>
        <v>0</v>
      </c>
      <c r="AP804">
        <f>OR(AND(IF(Metadata!O804="",FALSE,TRUE),OR(exact(Metadata!O804,"not collected"),exact(Metadata!O804,"not provided"))),AND(IF(Metadata!O804="",FALSE,ISNUMBER(VALUE(Metadata!O804))),Metadata!O804&gt;0))</f>
        <v>0</v>
      </c>
      <c r="AQ804">
        <f>AND(IF(Metadata!P804="",FALSE,TRUE),exact(Metadata!P804,"kg"))</f>
        <v>0</v>
      </c>
      <c r="AR804">
        <f>OR(AND(IF(Metadata!Q804="",FALSE,TRUE),OR(exact(Metadata!Q804,"not applicable"),exact(Metadata!Q804,"not collected"),exact(Metadata!Q804,"not provided"),exact(Metadata!Q804,"restricted access"))),IF(Metadata!Q804="",FALSE,IF(ISERROR(INT(Metadata!Q804)),FALSE,INT(Metadata!Q804)=Metadata!Q804)))</f>
        <v>0</v>
      </c>
      <c r="AS804">
        <f>AND(IF(Metadata!R804="",FALSE,TRUE),exact(Metadata!R804,"Not applicable"))</f>
        <v>0</v>
      </c>
    </row>
    <row r="805" spans="1:45">
      <c r="A805" s="4">
        <f>IF(B805=" "," ",HYPERLINK(CONCATENATE("#metadata!",ADDRESS(INDEX($X$2:$X$1001,MATCH(ROWS($V$2:V805),$V$2:$V$1001,0),0),2)),INDEX($AA$2:$AA$1001,MATCH(ROWS($V$2:V805),$V$2:$V$1001,0),0)))</f>
        <v>0</v>
      </c>
      <c r="B805" s="5">
        <f>IF(OR(INDEX($W$2:$W$1001,MATCH(ROWS($V$2:V805),$V$2:$V$1001,0),1)&gt;=100000,INDEX($AC$1005:$AS$1005,1,MATCH(COLUMNS($AC$1006:AC1006),$AC$1006:$AS$1006,0))&gt;=100000), " ",IF(INDEX($AC$2:$AS$1001,MATCH(ROWS($V$2:V805),$V$2:$V$1001,0),MATCH(COLUMNS($AC$1006:AC1006),$AC$1006:$AS$1006,0)), HYPERLINK("#",""), HYPERLINK(CONCATENATE("#Metadata!", ADDRESS(INDEX($X$2:$X$1001,MATCH(ROWS($V$2:V805),$V$2:$V$1001,0),0), INDEX($AC$1004:$AS$1004,1,MATCH(COLUMNS($AC$1006:AC1006),$AC$1006:$AS$1006,0)))),"Fix")))</f>
        <v>0</v>
      </c>
      <c r="C805" s="5">
        <f>IF(OR(INDEX($W$2:$W$1001,MATCH(ROWS($V$2:V805),$V$2:$V$1001,0),1)&gt;=100000,INDEX($AC$1005:$AS$1005,1,MATCH(COLUMNS($AC$1006:AD1006),$AC$1006:$AS$1006,0))&gt;=100000), " ",IF(INDEX($AC$2:$AS$1001,MATCH(ROWS($V$2:V805),$V$2:$V$1001,0),MATCH(COLUMNS($AC$1006:AD1006),$AC$1006:$AS$1006,0)), HYPERLINK("#",""), HYPERLINK(CONCATENATE("#Metadata!", ADDRESS(INDEX($X$2:$X$1001,MATCH(ROWS($V$2:V805),$V$2:$V$1001,0),0), INDEX($AC$1004:$AS$1004,1,MATCH(COLUMNS($AC$1006:AD1006),$AC$1006:$AS$1006,0)))),"Fix")))</f>
        <v>0</v>
      </c>
      <c r="D805" s="5">
        <f>IF(OR(INDEX($W$2:$W$1001,MATCH(ROWS($V$2:V805),$V$2:$V$1001,0),1)&gt;=100000,INDEX($AC$1005:$AS$1005,1,MATCH(COLUMNS($AC$1006:AE1006),$AC$1006:$AS$1006,0))&gt;=100000), " ",IF(INDEX($AC$2:$AS$1001,MATCH(ROWS($V$2:V805),$V$2:$V$1001,0),MATCH(COLUMNS($AC$1006:AE1006),$AC$1006:$AS$1006,0)), HYPERLINK("#",""), HYPERLINK(CONCATENATE("#Metadata!", ADDRESS(INDEX($X$2:$X$1001,MATCH(ROWS($V$2:V805),$V$2:$V$1001,0),0), INDEX($AC$1004:$AS$1004,1,MATCH(COLUMNS($AC$1006:AE1006),$AC$1006:$AS$1006,0)))),"Fix")))</f>
        <v>0</v>
      </c>
      <c r="E805" s="5">
        <f>IF(OR(INDEX($W$2:$W$1001,MATCH(ROWS($V$2:V805),$V$2:$V$1001,0),1)&gt;=100000,INDEX($AC$1005:$AS$1005,1,MATCH(COLUMNS($AC$1006:AF1006),$AC$1006:$AS$1006,0))&gt;=100000), " ",IF(INDEX($AC$2:$AS$1001,MATCH(ROWS($V$2:V805),$V$2:$V$1001,0),MATCH(COLUMNS($AC$1006:AF1006),$AC$1006:$AS$1006,0)), HYPERLINK("#",""), HYPERLINK(CONCATENATE("#Metadata!", ADDRESS(INDEX($X$2:$X$1001,MATCH(ROWS($V$2:V805),$V$2:$V$1001,0),0), INDEX($AC$1004:$AS$1004,1,MATCH(COLUMNS($AC$1006:AF1006),$AC$1006:$AS$1006,0)))),"Fix")))</f>
        <v>0</v>
      </c>
      <c r="F805" s="5">
        <f>IF(OR(INDEX($W$2:$W$1001,MATCH(ROWS($V$2:V805),$V$2:$V$1001,0),1)&gt;=100000,INDEX($AC$1005:$AS$1005,1,MATCH(COLUMNS($AC$1006:AG1006),$AC$1006:$AS$1006,0))&gt;=100000), " ",IF(INDEX($AC$2:$AS$1001,MATCH(ROWS($V$2:V805),$V$2:$V$1001,0),MATCH(COLUMNS($AC$1006:AG1006),$AC$1006:$AS$1006,0)), HYPERLINK("#",""), HYPERLINK(CONCATENATE("#Metadata!", ADDRESS(INDEX($X$2:$X$1001,MATCH(ROWS($V$2:V805),$V$2:$V$1001,0),0), INDEX($AC$1004:$AS$1004,1,MATCH(COLUMNS($AC$1006:AG1006),$AC$1006:$AS$1006,0)))),"Fix")))</f>
        <v>0</v>
      </c>
      <c r="G805" s="5">
        <f>IF(OR(INDEX($W$2:$W$1001,MATCH(ROWS($V$2:V805),$V$2:$V$1001,0),1)&gt;=100000,INDEX($AC$1005:$AS$1005,1,MATCH(COLUMNS($AC$1006:AH1006),$AC$1006:$AS$1006,0))&gt;=100000), " ",IF(INDEX($AC$2:$AS$1001,MATCH(ROWS($V$2:V805),$V$2:$V$1001,0),MATCH(COLUMNS($AC$1006:AH1006),$AC$1006:$AS$1006,0)), HYPERLINK("#",""), HYPERLINK(CONCATENATE("#Metadata!", ADDRESS(INDEX($X$2:$X$1001,MATCH(ROWS($V$2:V805),$V$2:$V$1001,0),0), INDEX($AC$1004:$AS$1004,1,MATCH(COLUMNS($AC$1006:AH1006),$AC$1006:$AS$1006,0)))),"Fix")))</f>
        <v>0</v>
      </c>
      <c r="H805" s="5">
        <f>IF(OR(INDEX($W$2:$W$1001,MATCH(ROWS($V$2:V805),$V$2:$V$1001,0),1)&gt;=100000,INDEX($AC$1005:$AS$1005,1,MATCH(COLUMNS($AC$1006:AI1006),$AC$1006:$AS$1006,0))&gt;=100000), " ",IF(INDEX($AC$2:$AS$1001,MATCH(ROWS($V$2:V805),$V$2:$V$1001,0),MATCH(COLUMNS($AC$1006:AI1006),$AC$1006:$AS$1006,0)), HYPERLINK("#",""), HYPERLINK(CONCATENATE("#Metadata!", ADDRESS(INDEX($X$2:$X$1001,MATCH(ROWS($V$2:V805),$V$2:$V$1001,0),0), INDEX($AC$1004:$AS$1004,1,MATCH(COLUMNS($AC$1006:AI1006),$AC$1006:$AS$1006,0)))),"Fix")))</f>
        <v>0</v>
      </c>
      <c r="I805" s="5">
        <f>IF(OR(INDEX($W$2:$W$1001,MATCH(ROWS($V$2:V805),$V$2:$V$1001,0),1)&gt;=100000,INDEX($AC$1005:$AS$1005,1,MATCH(COLUMNS($AC$1006:AJ1006),$AC$1006:$AS$1006,0))&gt;=100000), " ",IF(INDEX($AC$2:$AS$1001,MATCH(ROWS($V$2:V805),$V$2:$V$1001,0),MATCH(COLUMNS($AC$1006:AJ1006),$AC$1006:$AS$1006,0)), HYPERLINK("#",""), HYPERLINK(CONCATENATE("#Metadata!", ADDRESS(INDEX($X$2:$X$1001,MATCH(ROWS($V$2:V805),$V$2:$V$1001,0),0), INDEX($AC$1004:$AS$1004,1,MATCH(COLUMNS($AC$1006:AJ1006),$AC$1006:$AS$1006,0)))),"Fix")))</f>
        <v>0</v>
      </c>
      <c r="J805" s="5">
        <f>IF(OR(INDEX($W$2:$W$1001,MATCH(ROWS($V$2:V805),$V$2:$V$1001,0),1)&gt;=100000,INDEX($AC$1005:$AS$1005,1,MATCH(COLUMNS($AC$1006:AK1006),$AC$1006:$AS$1006,0))&gt;=100000), " ",IF(INDEX($AC$2:$AS$1001,MATCH(ROWS($V$2:V805),$V$2:$V$1001,0),MATCH(COLUMNS($AC$1006:AK1006),$AC$1006:$AS$1006,0)), HYPERLINK("#",""), HYPERLINK(CONCATENATE("#Metadata!", ADDRESS(INDEX($X$2:$X$1001,MATCH(ROWS($V$2:V805),$V$2:$V$1001,0),0), INDEX($AC$1004:$AS$1004,1,MATCH(COLUMNS($AC$1006:AK1006),$AC$1006:$AS$1006,0)))),"Fix")))</f>
        <v>0</v>
      </c>
      <c r="K805" s="5">
        <f>IF(OR(INDEX($W$2:$W$1001,MATCH(ROWS($V$2:V805),$V$2:$V$1001,0),1)&gt;=100000,INDEX($AC$1005:$AS$1005,1,MATCH(COLUMNS($AC$1006:AL1006),$AC$1006:$AS$1006,0))&gt;=100000), " ",IF(INDEX($AC$2:$AS$1001,MATCH(ROWS($V$2:V805),$V$2:$V$1001,0),MATCH(COLUMNS($AC$1006:AL1006),$AC$1006:$AS$1006,0)), HYPERLINK("#",""), HYPERLINK(CONCATENATE("#Metadata!", ADDRESS(INDEX($X$2:$X$1001,MATCH(ROWS($V$2:V805),$V$2:$V$1001,0),0), INDEX($AC$1004:$AS$1004,1,MATCH(COLUMNS($AC$1006:AL1006),$AC$1006:$AS$1006,0)))),"Fix")))</f>
        <v>0</v>
      </c>
      <c r="L805" s="5">
        <f>IF(OR(INDEX($W$2:$W$1001,MATCH(ROWS($V$2:V805),$V$2:$V$1001,0),1)&gt;=100000,INDEX($AC$1005:$AS$1005,1,MATCH(COLUMNS($AC$1006:AM1006),$AC$1006:$AS$1006,0))&gt;=100000), " ",IF(INDEX($AC$2:$AS$1001,MATCH(ROWS($V$2:V805),$V$2:$V$1001,0),MATCH(COLUMNS($AC$1006:AM1006),$AC$1006:$AS$1006,0)), HYPERLINK("#",""), HYPERLINK(CONCATENATE("#Metadata!", ADDRESS(INDEX($X$2:$X$1001,MATCH(ROWS($V$2:V805),$V$2:$V$1001,0),0), INDEX($AC$1004:$AS$1004,1,MATCH(COLUMNS($AC$1006:AM1006),$AC$1006:$AS$1006,0)))),"Fix")))</f>
        <v>0</v>
      </c>
      <c r="M805" s="5">
        <f>IF(OR(INDEX($W$2:$W$1001,MATCH(ROWS($V$2:V805),$V$2:$V$1001,0),1)&gt;=100000,INDEX($AC$1005:$AS$1005,1,MATCH(COLUMNS($AC$1006:AN1006),$AC$1006:$AS$1006,0))&gt;=100000), " ",IF(INDEX($AC$2:$AS$1001,MATCH(ROWS($V$2:V805),$V$2:$V$1001,0),MATCH(COLUMNS($AC$1006:AN1006),$AC$1006:$AS$1006,0)), HYPERLINK("#",""), HYPERLINK(CONCATENATE("#Metadata!", ADDRESS(INDEX($X$2:$X$1001,MATCH(ROWS($V$2:V805),$V$2:$V$1001,0),0), INDEX($AC$1004:$AS$1004,1,MATCH(COLUMNS($AC$1006:AN1006),$AC$1006:$AS$1006,0)))),"Fix")))</f>
        <v>0</v>
      </c>
      <c r="N805" s="5">
        <f>IF(OR(INDEX($W$2:$W$1001,MATCH(ROWS($V$2:V805),$V$2:$V$1001,0),1)&gt;=100000,INDEX($AC$1005:$AS$1005,1,MATCH(COLUMNS($AC$1006:AO1006),$AC$1006:$AS$1006,0))&gt;=100000), " ",IF(INDEX($AC$2:$AS$1001,MATCH(ROWS($V$2:V805),$V$2:$V$1001,0),MATCH(COLUMNS($AC$1006:AO1006),$AC$1006:$AS$1006,0)), HYPERLINK("#",""), HYPERLINK(CONCATENATE("#Metadata!", ADDRESS(INDEX($X$2:$X$1001,MATCH(ROWS($V$2:V805),$V$2:$V$1001,0),0), INDEX($AC$1004:$AS$1004,1,MATCH(COLUMNS($AC$1006:AO1006),$AC$1006:$AS$1006,0)))),"Fix")))</f>
        <v>0</v>
      </c>
      <c r="O805" s="5">
        <f>IF(OR(INDEX($W$2:$W$1001,MATCH(ROWS($V$2:V805),$V$2:$V$1001,0),1)&gt;=100000,INDEX($AC$1005:$AS$1005,1,MATCH(COLUMNS($AC$1006:AP1006),$AC$1006:$AS$1006,0))&gt;=100000), " ",IF(INDEX($AC$2:$AS$1001,MATCH(ROWS($V$2:V805),$V$2:$V$1001,0),MATCH(COLUMNS($AC$1006:AP1006),$AC$1006:$AS$1006,0)), HYPERLINK("#",""), HYPERLINK(CONCATENATE("#Metadata!", ADDRESS(INDEX($X$2:$X$1001,MATCH(ROWS($V$2:V805),$V$2:$V$1001,0),0), INDEX($AC$1004:$AS$1004,1,MATCH(COLUMNS($AC$1006:AP1006),$AC$1006:$AS$1006,0)))),"Fix")))</f>
        <v>0</v>
      </c>
      <c r="P805" s="5">
        <f>IF(OR(INDEX($W$2:$W$1001,MATCH(ROWS($V$2:V805),$V$2:$V$1001,0),1)&gt;=100000,INDEX($AC$1005:$AS$1005,1,MATCH(COLUMNS($AC$1006:AQ1006),$AC$1006:$AS$1006,0))&gt;=100000), " ",IF(INDEX($AC$2:$AS$1001,MATCH(ROWS($V$2:V805),$V$2:$V$1001,0),MATCH(COLUMNS($AC$1006:AQ1006),$AC$1006:$AS$1006,0)), HYPERLINK("#",""), HYPERLINK(CONCATENATE("#Metadata!", ADDRESS(INDEX($X$2:$X$1001,MATCH(ROWS($V$2:V805),$V$2:$V$1001,0),0), INDEX($AC$1004:$AS$1004,1,MATCH(COLUMNS($AC$1006:AQ1006),$AC$1006:$AS$1006,0)))),"Fix")))</f>
        <v>0</v>
      </c>
      <c r="Q805" s="5">
        <f>IF(OR(INDEX($W$2:$W$1001,MATCH(ROWS($V$2:V805),$V$2:$V$1001,0),1)&gt;=100000,INDEX($AC$1005:$AS$1005,1,MATCH(COLUMNS($AC$1006:AR1006),$AC$1006:$AS$1006,0))&gt;=100000), " ",IF(INDEX($AC$2:$AS$1001,MATCH(ROWS($V$2:V805),$V$2:$V$1001,0),MATCH(COLUMNS($AC$1006:AR1006),$AC$1006:$AS$1006,0)), HYPERLINK("#",""), HYPERLINK(CONCATENATE("#Metadata!", ADDRESS(INDEX($X$2:$X$1001,MATCH(ROWS($V$2:V805),$V$2:$V$1001,0),0), INDEX($AC$1004:$AS$1004,1,MATCH(COLUMNS($AC$1006:AR1006),$AC$1006:$AS$1006,0)))),"Fix")))</f>
        <v>0</v>
      </c>
      <c r="R805" s="5">
        <f>IF(OR(INDEX($W$2:$W$1001,MATCH(ROWS($V$2:V805),$V$2:$V$1001,0),1)&gt;=100000,INDEX($AC$1005:$AS$1005,1,MATCH(COLUMNS($AC$1006:AS1006),$AC$1006:$AS$1006,0))&gt;=100000), " ",IF(INDEX($AC$2:$AS$1001,MATCH(ROWS($V$2:V805),$V$2:$V$1001,0),MATCH(COLUMNS($AC$1006:AS1006),$AC$1006:$AS$1006,0)), HYPERLINK("#",""), HYPERLINK(CONCATENATE("#Metadata!", ADDRESS(INDEX($X$2:$X$1001,MATCH(ROWS($V$2:V805),$V$2:$V$1001,0),0), INDEX($AC$1004:$AS$1004,1,MATCH(COLUMNS($AC$1006:AS1006),$AC$1006:$AS$1006,0)))),"Fix")))</f>
        <v>0</v>
      </c>
      <c r="V805">
        <v>0</v>
      </c>
      <c r="W805">
        <v>0</v>
      </c>
      <c r="X805">
        <v>0</v>
      </c>
      <c r="Y805">
        <f>IF(Z805,TRUE,AND(AC805:AS805))</f>
        <v>0</v>
      </c>
      <c r="Z805">
        <f>COUNTBLANK(Metadata!B805:R805)=COLUMNS(Metadata!B805:R805)</f>
        <v>0</v>
      </c>
      <c r="AA805">
        <v>0</v>
      </c>
      <c r="AC805">
        <f>AND(IF(Metadata!B805="",FALSE,TRUE),COUNTIF(Metadata!B:B, Metadata!B805) = 1,NOT(ISERROR(SUMPRODUCT(SEARCH(MID(Metadata!B805,ROW(INDIRECT("1:"&amp;LEN(Metadata!B805))), 1),"0123456789abcdefghijklmnopqrstuvwxyzABCDEFGHIJKLMNOPQRSTUVWXYZ.")))))</f>
        <v>0</v>
      </c>
      <c r="AD805">
        <f>AND(IF(Metadata!C805="",FALSE,TRUE),exact(Metadata!C805,"Host-associated"))</f>
        <v>0</v>
      </c>
      <c r="AE805">
        <f>AND(IF(Metadata!D805="",FALSE,TRUE),OR(exact(Metadata!D805,"Animal"),exact(Metadata!D805,"Fungus"),exact(Metadata!D805,"Plant")))</f>
        <v>0</v>
      </c>
      <c r="AF805">
        <f>AND(IF(Metadata!E805="",FALSE,TRUE),OR(exact(Metadata!E805,"Plant secretion"),exact(Metadata!E805,"Plant rhizosphere"),exact(Metadata!E805,"Plant surface"),exact(Metadata!E805,"Plant corpus"),exact(Metadata!E805,"Fungus surface"),exact(Metadata!E805,"Fungus corpus"),exact(Metadata!E805,"Animal surface"),exact(Metadata!E805,"Animal proximal gut"),exact(Metadata!E805,"Animal corpus"),exact(Metadata!E805,"Animal distal gut"),exact(Metadata!E805,"Animal secretion")))</f>
        <v>0</v>
      </c>
      <c r="AG805">
        <f>OR(AND(IF(Metadata!F805="",FALSE,TRUE),OR(exact(Metadata!F805,"not collected"),exact(Metadata!F805,"not provided"),exact(Metadata!F805,"restricted access"))),AND(IF(Metadata!F805="",FALSE,TRUE),OR(exact(Metadata!F805,"organism-associated habitat"),exact(Metadata!F805,"plant-associated habitat"),exact(Metadata!F805,"animal-associated habitat"),exact(Metadata!F805,"insecta-associated habitat"),exact(Metadata!F805,"mammalia-associated habitat"),exact(Metadata!F805,"human-associated habitat"),exact(Metadata!F805,"livestock-associated habitat"))))</f>
        <v>0</v>
      </c>
      <c r="AH805">
        <f>AND(IF(Metadata!G805="",FALSE,TRUE),exact(Metadata!G805,"host-associated"))</f>
        <v>0</v>
      </c>
      <c r="AI805">
        <f>OR(AND(IF(Metadata!H805="",FALSE,TRUE),OR(exact(Metadata!H805,"not collected"),exact(Metadata!H805,"not provided"))),AND(IF(Metadata!H805="",FALSE,ISNUMBER(VALUE(Metadata!H805))),Metadata!H805&gt;0))</f>
        <v>0</v>
      </c>
      <c r="AJ805">
        <f>AND(IF(Metadata!I805="",FALSE,TRUE),exact(Metadata!I805,"years"))</f>
        <v>0</v>
      </c>
      <c r="AK805">
        <f>IF(Metadata!J805="",FALSE,TRUE)</f>
        <v>0</v>
      </c>
      <c r="AL805">
        <f>OR(AND(IF(Metadata!K805="",FALSE,TRUE),OR(exact(Metadata!K805,"not collected"),exact(Metadata!K805,"not provided"))),AND(IF(Metadata!K805="",FALSE,ISNUMBER(VALUE(Metadata!K805))),Metadata!K805&gt;0))</f>
        <v>0</v>
      </c>
      <c r="AM805">
        <f>AND(IF(Metadata!L805="",FALSE,TRUE),exact(Metadata!L805,"cm"))</f>
        <v>0</v>
      </c>
      <c r="AN805">
        <f>IF(Metadata!M805="",FALSE,TRUE)</f>
        <v>0</v>
      </c>
      <c r="AO805">
        <f>OR(AND(IF(Metadata!N805="",FALSE,TRUE),OR(exact(Metadata!N805,"not applicable"),exact(Metadata!N805,"not collected"),exact(Metadata!N805,"not provided"))),AND(IF(Metadata!N805="",FALSE,IF(ISERROR(INT(Metadata!N805)),FALSE,INT(Metadata!N805)=Metadata!N805)),Metadata!N805&gt;0))</f>
        <v>0</v>
      </c>
      <c r="AP805">
        <f>OR(AND(IF(Metadata!O805="",FALSE,TRUE),OR(exact(Metadata!O805,"not collected"),exact(Metadata!O805,"not provided"))),AND(IF(Metadata!O805="",FALSE,ISNUMBER(VALUE(Metadata!O805))),Metadata!O805&gt;0))</f>
        <v>0</v>
      </c>
      <c r="AQ805">
        <f>AND(IF(Metadata!P805="",FALSE,TRUE),exact(Metadata!P805,"kg"))</f>
        <v>0</v>
      </c>
      <c r="AR805">
        <f>OR(AND(IF(Metadata!Q805="",FALSE,TRUE),OR(exact(Metadata!Q805,"not applicable"),exact(Metadata!Q805,"not collected"),exact(Metadata!Q805,"not provided"),exact(Metadata!Q805,"restricted access"))),IF(Metadata!Q805="",FALSE,IF(ISERROR(INT(Metadata!Q805)),FALSE,INT(Metadata!Q805)=Metadata!Q805)))</f>
        <v>0</v>
      </c>
      <c r="AS805">
        <f>AND(IF(Metadata!R805="",FALSE,TRUE),exact(Metadata!R805,"Not applicable"))</f>
        <v>0</v>
      </c>
    </row>
    <row r="806" spans="1:45">
      <c r="A806" s="4">
        <f>IF(B806=" "," ",HYPERLINK(CONCATENATE("#metadata!",ADDRESS(INDEX($X$2:$X$1001,MATCH(ROWS($V$2:V806),$V$2:$V$1001,0),0),2)),INDEX($AA$2:$AA$1001,MATCH(ROWS($V$2:V806),$V$2:$V$1001,0),0)))</f>
        <v>0</v>
      </c>
      <c r="B806" s="5">
        <f>IF(OR(INDEX($W$2:$W$1001,MATCH(ROWS($V$2:V806),$V$2:$V$1001,0),1)&gt;=100000,INDEX($AC$1005:$AS$1005,1,MATCH(COLUMNS($AC$1006:AC1006),$AC$1006:$AS$1006,0))&gt;=100000), " ",IF(INDEX($AC$2:$AS$1001,MATCH(ROWS($V$2:V806),$V$2:$V$1001,0),MATCH(COLUMNS($AC$1006:AC1006),$AC$1006:$AS$1006,0)), HYPERLINK("#",""), HYPERLINK(CONCATENATE("#Metadata!", ADDRESS(INDEX($X$2:$X$1001,MATCH(ROWS($V$2:V806),$V$2:$V$1001,0),0), INDEX($AC$1004:$AS$1004,1,MATCH(COLUMNS($AC$1006:AC1006),$AC$1006:$AS$1006,0)))),"Fix")))</f>
        <v>0</v>
      </c>
      <c r="C806" s="5">
        <f>IF(OR(INDEX($W$2:$W$1001,MATCH(ROWS($V$2:V806),$V$2:$V$1001,0),1)&gt;=100000,INDEX($AC$1005:$AS$1005,1,MATCH(COLUMNS($AC$1006:AD1006),$AC$1006:$AS$1006,0))&gt;=100000), " ",IF(INDEX($AC$2:$AS$1001,MATCH(ROWS($V$2:V806),$V$2:$V$1001,0),MATCH(COLUMNS($AC$1006:AD1006),$AC$1006:$AS$1006,0)), HYPERLINK("#",""), HYPERLINK(CONCATENATE("#Metadata!", ADDRESS(INDEX($X$2:$X$1001,MATCH(ROWS($V$2:V806),$V$2:$V$1001,0),0), INDEX($AC$1004:$AS$1004,1,MATCH(COLUMNS($AC$1006:AD1006),$AC$1006:$AS$1006,0)))),"Fix")))</f>
        <v>0</v>
      </c>
      <c r="D806" s="5">
        <f>IF(OR(INDEX($W$2:$W$1001,MATCH(ROWS($V$2:V806),$V$2:$V$1001,0),1)&gt;=100000,INDEX($AC$1005:$AS$1005,1,MATCH(COLUMNS($AC$1006:AE1006),$AC$1006:$AS$1006,0))&gt;=100000), " ",IF(INDEX($AC$2:$AS$1001,MATCH(ROWS($V$2:V806),$V$2:$V$1001,0),MATCH(COLUMNS($AC$1006:AE1006),$AC$1006:$AS$1006,0)), HYPERLINK("#",""), HYPERLINK(CONCATENATE("#Metadata!", ADDRESS(INDEX($X$2:$X$1001,MATCH(ROWS($V$2:V806),$V$2:$V$1001,0),0), INDEX($AC$1004:$AS$1004,1,MATCH(COLUMNS($AC$1006:AE1006),$AC$1006:$AS$1006,0)))),"Fix")))</f>
        <v>0</v>
      </c>
      <c r="E806" s="5">
        <f>IF(OR(INDEX($W$2:$W$1001,MATCH(ROWS($V$2:V806),$V$2:$V$1001,0),1)&gt;=100000,INDEX($AC$1005:$AS$1005,1,MATCH(COLUMNS($AC$1006:AF1006),$AC$1006:$AS$1006,0))&gt;=100000), " ",IF(INDEX($AC$2:$AS$1001,MATCH(ROWS($V$2:V806),$V$2:$V$1001,0),MATCH(COLUMNS($AC$1006:AF1006),$AC$1006:$AS$1006,0)), HYPERLINK("#",""), HYPERLINK(CONCATENATE("#Metadata!", ADDRESS(INDEX($X$2:$X$1001,MATCH(ROWS($V$2:V806),$V$2:$V$1001,0),0), INDEX($AC$1004:$AS$1004,1,MATCH(COLUMNS($AC$1006:AF1006),$AC$1006:$AS$1006,0)))),"Fix")))</f>
        <v>0</v>
      </c>
      <c r="F806" s="5">
        <f>IF(OR(INDEX($W$2:$W$1001,MATCH(ROWS($V$2:V806),$V$2:$V$1001,0),1)&gt;=100000,INDEX($AC$1005:$AS$1005,1,MATCH(COLUMNS($AC$1006:AG1006),$AC$1006:$AS$1006,0))&gt;=100000), " ",IF(INDEX($AC$2:$AS$1001,MATCH(ROWS($V$2:V806),$V$2:$V$1001,0),MATCH(COLUMNS($AC$1006:AG1006),$AC$1006:$AS$1006,0)), HYPERLINK("#",""), HYPERLINK(CONCATENATE("#Metadata!", ADDRESS(INDEX($X$2:$X$1001,MATCH(ROWS($V$2:V806),$V$2:$V$1001,0),0), INDEX($AC$1004:$AS$1004,1,MATCH(COLUMNS($AC$1006:AG1006),$AC$1006:$AS$1006,0)))),"Fix")))</f>
        <v>0</v>
      </c>
      <c r="G806" s="5">
        <f>IF(OR(INDEX($W$2:$W$1001,MATCH(ROWS($V$2:V806),$V$2:$V$1001,0),1)&gt;=100000,INDEX($AC$1005:$AS$1005,1,MATCH(COLUMNS($AC$1006:AH1006),$AC$1006:$AS$1006,0))&gt;=100000), " ",IF(INDEX($AC$2:$AS$1001,MATCH(ROWS($V$2:V806),$V$2:$V$1001,0),MATCH(COLUMNS($AC$1006:AH1006),$AC$1006:$AS$1006,0)), HYPERLINK("#",""), HYPERLINK(CONCATENATE("#Metadata!", ADDRESS(INDEX($X$2:$X$1001,MATCH(ROWS($V$2:V806),$V$2:$V$1001,0),0), INDEX($AC$1004:$AS$1004,1,MATCH(COLUMNS($AC$1006:AH1006),$AC$1006:$AS$1006,0)))),"Fix")))</f>
        <v>0</v>
      </c>
      <c r="H806" s="5">
        <f>IF(OR(INDEX($W$2:$W$1001,MATCH(ROWS($V$2:V806),$V$2:$V$1001,0),1)&gt;=100000,INDEX($AC$1005:$AS$1005,1,MATCH(COLUMNS($AC$1006:AI1006),$AC$1006:$AS$1006,0))&gt;=100000), " ",IF(INDEX($AC$2:$AS$1001,MATCH(ROWS($V$2:V806),$V$2:$V$1001,0),MATCH(COLUMNS($AC$1006:AI1006),$AC$1006:$AS$1006,0)), HYPERLINK("#",""), HYPERLINK(CONCATENATE("#Metadata!", ADDRESS(INDEX($X$2:$X$1001,MATCH(ROWS($V$2:V806),$V$2:$V$1001,0),0), INDEX($AC$1004:$AS$1004,1,MATCH(COLUMNS($AC$1006:AI1006),$AC$1006:$AS$1006,0)))),"Fix")))</f>
        <v>0</v>
      </c>
      <c r="I806" s="5">
        <f>IF(OR(INDEX($W$2:$W$1001,MATCH(ROWS($V$2:V806),$V$2:$V$1001,0),1)&gt;=100000,INDEX($AC$1005:$AS$1005,1,MATCH(COLUMNS($AC$1006:AJ1006),$AC$1006:$AS$1006,0))&gt;=100000), " ",IF(INDEX($AC$2:$AS$1001,MATCH(ROWS($V$2:V806),$V$2:$V$1001,0),MATCH(COLUMNS($AC$1006:AJ1006),$AC$1006:$AS$1006,0)), HYPERLINK("#",""), HYPERLINK(CONCATENATE("#Metadata!", ADDRESS(INDEX($X$2:$X$1001,MATCH(ROWS($V$2:V806),$V$2:$V$1001,0),0), INDEX($AC$1004:$AS$1004,1,MATCH(COLUMNS($AC$1006:AJ1006),$AC$1006:$AS$1006,0)))),"Fix")))</f>
        <v>0</v>
      </c>
      <c r="J806" s="5">
        <f>IF(OR(INDEX($W$2:$W$1001,MATCH(ROWS($V$2:V806),$V$2:$V$1001,0),1)&gt;=100000,INDEX($AC$1005:$AS$1005,1,MATCH(COLUMNS($AC$1006:AK1006),$AC$1006:$AS$1006,0))&gt;=100000), " ",IF(INDEX($AC$2:$AS$1001,MATCH(ROWS($V$2:V806),$V$2:$V$1001,0),MATCH(COLUMNS($AC$1006:AK1006),$AC$1006:$AS$1006,0)), HYPERLINK("#",""), HYPERLINK(CONCATENATE("#Metadata!", ADDRESS(INDEX($X$2:$X$1001,MATCH(ROWS($V$2:V806),$V$2:$V$1001,0),0), INDEX($AC$1004:$AS$1004,1,MATCH(COLUMNS($AC$1006:AK1006),$AC$1006:$AS$1006,0)))),"Fix")))</f>
        <v>0</v>
      </c>
      <c r="K806" s="5">
        <f>IF(OR(INDEX($W$2:$W$1001,MATCH(ROWS($V$2:V806),$V$2:$V$1001,0),1)&gt;=100000,INDEX($AC$1005:$AS$1005,1,MATCH(COLUMNS($AC$1006:AL1006),$AC$1006:$AS$1006,0))&gt;=100000), " ",IF(INDEX($AC$2:$AS$1001,MATCH(ROWS($V$2:V806),$V$2:$V$1001,0),MATCH(COLUMNS($AC$1006:AL1006),$AC$1006:$AS$1006,0)), HYPERLINK("#",""), HYPERLINK(CONCATENATE("#Metadata!", ADDRESS(INDEX($X$2:$X$1001,MATCH(ROWS($V$2:V806),$V$2:$V$1001,0),0), INDEX($AC$1004:$AS$1004,1,MATCH(COLUMNS($AC$1006:AL1006),$AC$1006:$AS$1006,0)))),"Fix")))</f>
        <v>0</v>
      </c>
      <c r="L806" s="5">
        <f>IF(OR(INDEX($W$2:$W$1001,MATCH(ROWS($V$2:V806),$V$2:$V$1001,0),1)&gt;=100000,INDEX($AC$1005:$AS$1005,1,MATCH(COLUMNS($AC$1006:AM1006),$AC$1006:$AS$1006,0))&gt;=100000), " ",IF(INDEX($AC$2:$AS$1001,MATCH(ROWS($V$2:V806),$V$2:$V$1001,0),MATCH(COLUMNS($AC$1006:AM1006),$AC$1006:$AS$1006,0)), HYPERLINK("#",""), HYPERLINK(CONCATENATE("#Metadata!", ADDRESS(INDEX($X$2:$X$1001,MATCH(ROWS($V$2:V806),$V$2:$V$1001,0),0), INDEX($AC$1004:$AS$1004,1,MATCH(COLUMNS($AC$1006:AM1006),$AC$1006:$AS$1006,0)))),"Fix")))</f>
        <v>0</v>
      </c>
      <c r="M806" s="5">
        <f>IF(OR(INDEX($W$2:$W$1001,MATCH(ROWS($V$2:V806),$V$2:$V$1001,0),1)&gt;=100000,INDEX($AC$1005:$AS$1005,1,MATCH(COLUMNS($AC$1006:AN1006),$AC$1006:$AS$1006,0))&gt;=100000), " ",IF(INDEX($AC$2:$AS$1001,MATCH(ROWS($V$2:V806),$V$2:$V$1001,0),MATCH(COLUMNS($AC$1006:AN1006),$AC$1006:$AS$1006,0)), HYPERLINK("#",""), HYPERLINK(CONCATENATE("#Metadata!", ADDRESS(INDEX($X$2:$X$1001,MATCH(ROWS($V$2:V806),$V$2:$V$1001,0),0), INDEX($AC$1004:$AS$1004,1,MATCH(COLUMNS($AC$1006:AN1006),$AC$1006:$AS$1006,0)))),"Fix")))</f>
        <v>0</v>
      </c>
      <c r="N806" s="5">
        <f>IF(OR(INDEX($W$2:$W$1001,MATCH(ROWS($V$2:V806),$V$2:$V$1001,0),1)&gt;=100000,INDEX($AC$1005:$AS$1005,1,MATCH(COLUMNS($AC$1006:AO1006),$AC$1006:$AS$1006,0))&gt;=100000), " ",IF(INDEX($AC$2:$AS$1001,MATCH(ROWS($V$2:V806),$V$2:$V$1001,0),MATCH(COLUMNS($AC$1006:AO1006),$AC$1006:$AS$1006,0)), HYPERLINK("#",""), HYPERLINK(CONCATENATE("#Metadata!", ADDRESS(INDEX($X$2:$X$1001,MATCH(ROWS($V$2:V806),$V$2:$V$1001,0),0), INDEX($AC$1004:$AS$1004,1,MATCH(COLUMNS($AC$1006:AO1006),$AC$1006:$AS$1006,0)))),"Fix")))</f>
        <v>0</v>
      </c>
      <c r="O806" s="5">
        <f>IF(OR(INDEX($W$2:$W$1001,MATCH(ROWS($V$2:V806),$V$2:$V$1001,0),1)&gt;=100000,INDEX($AC$1005:$AS$1005,1,MATCH(COLUMNS($AC$1006:AP1006),$AC$1006:$AS$1006,0))&gt;=100000), " ",IF(INDEX($AC$2:$AS$1001,MATCH(ROWS($V$2:V806),$V$2:$V$1001,0),MATCH(COLUMNS($AC$1006:AP1006),$AC$1006:$AS$1006,0)), HYPERLINK("#",""), HYPERLINK(CONCATENATE("#Metadata!", ADDRESS(INDEX($X$2:$X$1001,MATCH(ROWS($V$2:V806),$V$2:$V$1001,0),0), INDEX($AC$1004:$AS$1004,1,MATCH(COLUMNS($AC$1006:AP1006),$AC$1006:$AS$1006,0)))),"Fix")))</f>
        <v>0</v>
      </c>
      <c r="P806" s="5">
        <f>IF(OR(INDEX($W$2:$W$1001,MATCH(ROWS($V$2:V806),$V$2:$V$1001,0),1)&gt;=100000,INDEX($AC$1005:$AS$1005,1,MATCH(COLUMNS($AC$1006:AQ1006),$AC$1006:$AS$1006,0))&gt;=100000), " ",IF(INDEX($AC$2:$AS$1001,MATCH(ROWS($V$2:V806),$V$2:$V$1001,0),MATCH(COLUMNS($AC$1006:AQ1006),$AC$1006:$AS$1006,0)), HYPERLINK("#",""), HYPERLINK(CONCATENATE("#Metadata!", ADDRESS(INDEX($X$2:$X$1001,MATCH(ROWS($V$2:V806),$V$2:$V$1001,0),0), INDEX($AC$1004:$AS$1004,1,MATCH(COLUMNS($AC$1006:AQ1006),$AC$1006:$AS$1006,0)))),"Fix")))</f>
        <v>0</v>
      </c>
      <c r="Q806" s="5">
        <f>IF(OR(INDEX($W$2:$W$1001,MATCH(ROWS($V$2:V806),$V$2:$V$1001,0),1)&gt;=100000,INDEX($AC$1005:$AS$1005,1,MATCH(COLUMNS($AC$1006:AR1006),$AC$1006:$AS$1006,0))&gt;=100000), " ",IF(INDEX($AC$2:$AS$1001,MATCH(ROWS($V$2:V806),$V$2:$V$1001,0),MATCH(COLUMNS($AC$1006:AR1006),$AC$1006:$AS$1006,0)), HYPERLINK("#",""), HYPERLINK(CONCATENATE("#Metadata!", ADDRESS(INDEX($X$2:$X$1001,MATCH(ROWS($V$2:V806),$V$2:$V$1001,0),0), INDEX($AC$1004:$AS$1004,1,MATCH(COLUMNS($AC$1006:AR1006),$AC$1006:$AS$1006,0)))),"Fix")))</f>
        <v>0</v>
      </c>
      <c r="R806" s="5">
        <f>IF(OR(INDEX($W$2:$W$1001,MATCH(ROWS($V$2:V806),$V$2:$V$1001,0),1)&gt;=100000,INDEX($AC$1005:$AS$1005,1,MATCH(COLUMNS($AC$1006:AS1006),$AC$1006:$AS$1006,0))&gt;=100000), " ",IF(INDEX($AC$2:$AS$1001,MATCH(ROWS($V$2:V806),$V$2:$V$1001,0),MATCH(COLUMNS($AC$1006:AS1006),$AC$1006:$AS$1006,0)), HYPERLINK("#",""), HYPERLINK(CONCATENATE("#Metadata!", ADDRESS(INDEX($X$2:$X$1001,MATCH(ROWS($V$2:V806),$V$2:$V$1001,0),0), INDEX($AC$1004:$AS$1004,1,MATCH(COLUMNS($AC$1006:AS1006),$AC$1006:$AS$1006,0)))),"Fix")))</f>
        <v>0</v>
      </c>
      <c r="V806">
        <v>0</v>
      </c>
      <c r="W806">
        <v>0</v>
      </c>
      <c r="X806">
        <v>0</v>
      </c>
      <c r="Y806">
        <f>IF(Z806,TRUE,AND(AC806:AS806))</f>
        <v>0</v>
      </c>
      <c r="Z806">
        <f>COUNTBLANK(Metadata!B806:R806)=COLUMNS(Metadata!B806:R806)</f>
        <v>0</v>
      </c>
      <c r="AA806">
        <v>0</v>
      </c>
      <c r="AC806">
        <f>AND(IF(Metadata!B806="",FALSE,TRUE),COUNTIF(Metadata!B:B, Metadata!B806) = 1,NOT(ISERROR(SUMPRODUCT(SEARCH(MID(Metadata!B806,ROW(INDIRECT("1:"&amp;LEN(Metadata!B806))), 1),"0123456789abcdefghijklmnopqrstuvwxyzABCDEFGHIJKLMNOPQRSTUVWXYZ.")))))</f>
        <v>0</v>
      </c>
      <c r="AD806">
        <f>AND(IF(Metadata!C806="",FALSE,TRUE),exact(Metadata!C806,"Host-associated"))</f>
        <v>0</v>
      </c>
      <c r="AE806">
        <f>AND(IF(Metadata!D806="",FALSE,TRUE),OR(exact(Metadata!D806,"Animal"),exact(Metadata!D806,"Fungus"),exact(Metadata!D806,"Plant")))</f>
        <v>0</v>
      </c>
      <c r="AF806">
        <f>AND(IF(Metadata!E806="",FALSE,TRUE),OR(exact(Metadata!E806,"Plant secretion"),exact(Metadata!E806,"Plant rhizosphere"),exact(Metadata!E806,"Plant surface"),exact(Metadata!E806,"Plant corpus"),exact(Metadata!E806,"Fungus surface"),exact(Metadata!E806,"Fungus corpus"),exact(Metadata!E806,"Animal surface"),exact(Metadata!E806,"Animal proximal gut"),exact(Metadata!E806,"Animal corpus"),exact(Metadata!E806,"Animal distal gut"),exact(Metadata!E806,"Animal secretion")))</f>
        <v>0</v>
      </c>
      <c r="AG806">
        <f>OR(AND(IF(Metadata!F806="",FALSE,TRUE),OR(exact(Metadata!F806,"not collected"),exact(Metadata!F806,"not provided"),exact(Metadata!F806,"restricted access"))),AND(IF(Metadata!F806="",FALSE,TRUE),OR(exact(Metadata!F806,"organism-associated habitat"),exact(Metadata!F806,"plant-associated habitat"),exact(Metadata!F806,"animal-associated habitat"),exact(Metadata!F806,"insecta-associated habitat"),exact(Metadata!F806,"mammalia-associated habitat"),exact(Metadata!F806,"human-associated habitat"),exact(Metadata!F806,"livestock-associated habitat"))))</f>
        <v>0</v>
      </c>
      <c r="AH806">
        <f>AND(IF(Metadata!G806="",FALSE,TRUE),exact(Metadata!G806,"host-associated"))</f>
        <v>0</v>
      </c>
      <c r="AI806">
        <f>OR(AND(IF(Metadata!H806="",FALSE,TRUE),OR(exact(Metadata!H806,"not collected"),exact(Metadata!H806,"not provided"))),AND(IF(Metadata!H806="",FALSE,ISNUMBER(VALUE(Metadata!H806))),Metadata!H806&gt;0))</f>
        <v>0</v>
      </c>
      <c r="AJ806">
        <f>AND(IF(Metadata!I806="",FALSE,TRUE),exact(Metadata!I806,"years"))</f>
        <v>0</v>
      </c>
      <c r="AK806">
        <f>IF(Metadata!J806="",FALSE,TRUE)</f>
        <v>0</v>
      </c>
      <c r="AL806">
        <f>OR(AND(IF(Metadata!K806="",FALSE,TRUE),OR(exact(Metadata!K806,"not collected"),exact(Metadata!K806,"not provided"))),AND(IF(Metadata!K806="",FALSE,ISNUMBER(VALUE(Metadata!K806))),Metadata!K806&gt;0))</f>
        <v>0</v>
      </c>
      <c r="AM806">
        <f>AND(IF(Metadata!L806="",FALSE,TRUE),exact(Metadata!L806,"cm"))</f>
        <v>0</v>
      </c>
      <c r="AN806">
        <f>IF(Metadata!M806="",FALSE,TRUE)</f>
        <v>0</v>
      </c>
      <c r="AO806">
        <f>OR(AND(IF(Metadata!N806="",FALSE,TRUE),OR(exact(Metadata!N806,"not applicable"),exact(Metadata!N806,"not collected"),exact(Metadata!N806,"not provided"))),AND(IF(Metadata!N806="",FALSE,IF(ISERROR(INT(Metadata!N806)),FALSE,INT(Metadata!N806)=Metadata!N806)),Metadata!N806&gt;0))</f>
        <v>0</v>
      </c>
      <c r="AP806">
        <f>OR(AND(IF(Metadata!O806="",FALSE,TRUE),OR(exact(Metadata!O806,"not collected"),exact(Metadata!O806,"not provided"))),AND(IF(Metadata!O806="",FALSE,ISNUMBER(VALUE(Metadata!O806))),Metadata!O806&gt;0))</f>
        <v>0</v>
      </c>
      <c r="AQ806">
        <f>AND(IF(Metadata!P806="",FALSE,TRUE),exact(Metadata!P806,"kg"))</f>
        <v>0</v>
      </c>
      <c r="AR806">
        <f>OR(AND(IF(Metadata!Q806="",FALSE,TRUE),OR(exact(Metadata!Q806,"not applicable"),exact(Metadata!Q806,"not collected"),exact(Metadata!Q806,"not provided"),exact(Metadata!Q806,"restricted access"))),IF(Metadata!Q806="",FALSE,IF(ISERROR(INT(Metadata!Q806)),FALSE,INT(Metadata!Q806)=Metadata!Q806)))</f>
        <v>0</v>
      </c>
      <c r="AS806">
        <f>AND(IF(Metadata!R806="",FALSE,TRUE),exact(Metadata!R806,"Not applicable"))</f>
        <v>0</v>
      </c>
    </row>
    <row r="807" spans="1:45">
      <c r="A807" s="4">
        <f>IF(B807=" "," ",HYPERLINK(CONCATENATE("#metadata!",ADDRESS(INDEX($X$2:$X$1001,MATCH(ROWS($V$2:V807),$V$2:$V$1001,0),0),2)),INDEX($AA$2:$AA$1001,MATCH(ROWS($V$2:V807),$V$2:$V$1001,0),0)))</f>
        <v>0</v>
      </c>
      <c r="B807" s="5">
        <f>IF(OR(INDEX($W$2:$W$1001,MATCH(ROWS($V$2:V807),$V$2:$V$1001,0),1)&gt;=100000,INDEX($AC$1005:$AS$1005,1,MATCH(COLUMNS($AC$1006:AC1006),$AC$1006:$AS$1006,0))&gt;=100000), " ",IF(INDEX($AC$2:$AS$1001,MATCH(ROWS($V$2:V807),$V$2:$V$1001,0),MATCH(COLUMNS($AC$1006:AC1006),$AC$1006:$AS$1006,0)), HYPERLINK("#",""), HYPERLINK(CONCATENATE("#Metadata!", ADDRESS(INDEX($X$2:$X$1001,MATCH(ROWS($V$2:V807),$V$2:$V$1001,0),0), INDEX($AC$1004:$AS$1004,1,MATCH(COLUMNS($AC$1006:AC1006),$AC$1006:$AS$1006,0)))),"Fix")))</f>
        <v>0</v>
      </c>
      <c r="C807" s="5">
        <f>IF(OR(INDEX($W$2:$W$1001,MATCH(ROWS($V$2:V807),$V$2:$V$1001,0),1)&gt;=100000,INDEX($AC$1005:$AS$1005,1,MATCH(COLUMNS($AC$1006:AD1006),$AC$1006:$AS$1006,0))&gt;=100000), " ",IF(INDEX($AC$2:$AS$1001,MATCH(ROWS($V$2:V807),$V$2:$V$1001,0),MATCH(COLUMNS($AC$1006:AD1006),$AC$1006:$AS$1006,0)), HYPERLINK("#",""), HYPERLINK(CONCATENATE("#Metadata!", ADDRESS(INDEX($X$2:$X$1001,MATCH(ROWS($V$2:V807),$V$2:$V$1001,0),0), INDEX($AC$1004:$AS$1004,1,MATCH(COLUMNS($AC$1006:AD1006),$AC$1006:$AS$1006,0)))),"Fix")))</f>
        <v>0</v>
      </c>
      <c r="D807" s="5">
        <f>IF(OR(INDEX($W$2:$W$1001,MATCH(ROWS($V$2:V807),$V$2:$V$1001,0),1)&gt;=100000,INDEX($AC$1005:$AS$1005,1,MATCH(COLUMNS($AC$1006:AE1006),$AC$1006:$AS$1006,0))&gt;=100000), " ",IF(INDEX($AC$2:$AS$1001,MATCH(ROWS($V$2:V807),$V$2:$V$1001,0),MATCH(COLUMNS($AC$1006:AE1006),$AC$1006:$AS$1006,0)), HYPERLINK("#",""), HYPERLINK(CONCATENATE("#Metadata!", ADDRESS(INDEX($X$2:$X$1001,MATCH(ROWS($V$2:V807),$V$2:$V$1001,0),0), INDEX($AC$1004:$AS$1004,1,MATCH(COLUMNS($AC$1006:AE1006),$AC$1006:$AS$1006,0)))),"Fix")))</f>
        <v>0</v>
      </c>
      <c r="E807" s="5">
        <f>IF(OR(INDEX($W$2:$W$1001,MATCH(ROWS($V$2:V807),$V$2:$V$1001,0),1)&gt;=100000,INDEX($AC$1005:$AS$1005,1,MATCH(COLUMNS($AC$1006:AF1006),$AC$1006:$AS$1006,0))&gt;=100000), " ",IF(INDEX($AC$2:$AS$1001,MATCH(ROWS($V$2:V807),$V$2:$V$1001,0),MATCH(COLUMNS($AC$1006:AF1006),$AC$1006:$AS$1006,0)), HYPERLINK("#",""), HYPERLINK(CONCATENATE("#Metadata!", ADDRESS(INDEX($X$2:$X$1001,MATCH(ROWS($V$2:V807),$V$2:$V$1001,0),0), INDEX($AC$1004:$AS$1004,1,MATCH(COLUMNS($AC$1006:AF1006),$AC$1006:$AS$1006,0)))),"Fix")))</f>
        <v>0</v>
      </c>
      <c r="F807" s="5">
        <f>IF(OR(INDEX($W$2:$W$1001,MATCH(ROWS($V$2:V807),$V$2:$V$1001,0),1)&gt;=100000,INDEX($AC$1005:$AS$1005,1,MATCH(COLUMNS($AC$1006:AG1006),$AC$1006:$AS$1006,0))&gt;=100000), " ",IF(INDEX($AC$2:$AS$1001,MATCH(ROWS($V$2:V807),$V$2:$V$1001,0),MATCH(COLUMNS($AC$1006:AG1006),$AC$1006:$AS$1006,0)), HYPERLINK("#",""), HYPERLINK(CONCATENATE("#Metadata!", ADDRESS(INDEX($X$2:$X$1001,MATCH(ROWS($V$2:V807),$V$2:$V$1001,0),0), INDEX($AC$1004:$AS$1004,1,MATCH(COLUMNS($AC$1006:AG1006),$AC$1006:$AS$1006,0)))),"Fix")))</f>
        <v>0</v>
      </c>
      <c r="G807" s="5">
        <f>IF(OR(INDEX($W$2:$W$1001,MATCH(ROWS($V$2:V807),$V$2:$V$1001,0),1)&gt;=100000,INDEX($AC$1005:$AS$1005,1,MATCH(COLUMNS($AC$1006:AH1006),$AC$1006:$AS$1006,0))&gt;=100000), " ",IF(INDEX($AC$2:$AS$1001,MATCH(ROWS($V$2:V807),$V$2:$V$1001,0),MATCH(COLUMNS($AC$1006:AH1006),$AC$1006:$AS$1006,0)), HYPERLINK("#",""), HYPERLINK(CONCATENATE("#Metadata!", ADDRESS(INDEX($X$2:$X$1001,MATCH(ROWS($V$2:V807),$V$2:$V$1001,0),0), INDEX($AC$1004:$AS$1004,1,MATCH(COLUMNS($AC$1006:AH1006),$AC$1006:$AS$1006,0)))),"Fix")))</f>
        <v>0</v>
      </c>
      <c r="H807" s="5">
        <f>IF(OR(INDEX($W$2:$W$1001,MATCH(ROWS($V$2:V807),$V$2:$V$1001,0),1)&gt;=100000,INDEX($AC$1005:$AS$1005,1,MATCH(COLUMNS($AC$1006:AI1006),$AC$1006:$AS$1006,0))&gt;=100000), " ",IF(INDEX($AC$2:$AS$1001,MATCH(ROWS($V$2:V807),$V$2:$V$1001,0),MATCH(COLUMNS($AC$1006:AI1006),$AC$1006:$AS$1006,0)), HYPERLINK("#",""), HYPERLINK(CONCATENATE("#Metadata!", ADDRESS(INDEX($X$2:$X$1001,MATCH(ROWS($V$2:V807),$V$2:$V$1001,0),0), INDEX($AC$1004:$AS$1004,1,MATCH(COLUMNS($AC$1006:AI1006),$AC$1006:$AS$1006,0)))),"Fix")))</f>
        <v>0</v>
      </c>
      <c r="I807" s="5">
        <f>IF(OR(INDEX($W$2:$W$1001,MATCH(ROWS($V$2:V807),$V$2:$V$1001,0),1)&gt;=100000,INDEX($AC$1005:$AS$1005,1,MATCH(COLUMNS($AC$1006:AJ1006),$AC$1006:$AS$1006,0))&gt;=100000), " ",IF(INDEX($AC$2:$AS$1001,MATCH(ROWS($V$2:V807),$V$2:$V$1001,0),MATCH(COLUMNS($AC$1006:AJ1006),$AC$1006:$AS$1006,0)), HYPERLINK("#",""), HYPERLINK(CONCATENATE("#Metadata!", ADDRESS(INDEX($X$2:$X$1001,MATCH(ROWS($V$2:V807),$V$2:$V$1001,0),0), INDEX($AC$1004:$AS$1004,1,MATCH(COLUMNS($AC$1006:AJ1006),$AC$1006:$AS$1006,0)))),"Fix")))</f>
        <v>0</v>
      </c>
      <c r="J807" s="5">
        <f>IF(OR(INDEX($W$2:$W$1001,MATCH(ROWS($V$2:V807),$V$2:$V$1001,0),1)&gt;=100000,INDEX($AC$1005:$AS$1005,1,MATCH(COLUMNS($AC$1006:AK1006),$AC$1006:$AS$1006,0))&gt;=100000), " ",IF(INDEX($AC$2:$AS$1001,MATCH(ROWS($V$2:V807),$V$2:$V$1001,0),MATCH(COLUMNS($AC$1006:AK1006),$AC$1006:$AS$1006,0)), HYPERLINK("#",""), HYPERLINK(CONCATENATE("#Metadata!", ADDRESS(INDEX($X$2:$X$1001,MATCH(ROWS($V$2:V807),$V$2:$V$1001,0),0), INDEX($AC$1004:$AS$1004,1,MATCH(COLUMNS($AC$1006:AK1006),$AC$1006:$AS$1006,0)))),"Fix")))</f>
        <v>0</v>
      </c>
      <c r="K807" s="5">
        <f>IF(OR(INDEX($W$2:$W$1001,MATCH(ROWS($V$2:V807),$V$2:$V$1001,0),1)&gt;=100000,INDEX($AC$1005:$AS$1005,1,MATCH(COLUMNS($AC$1006:AL1006),$AC$1006:$AS$1006,0))&gt;=100000), " ",IF(INDEX($AC$2:$AS$1001,MATCH(ROWS($V$2:V807),$V$2:$V$1001,0),MATCH(COLUMNS($AC$1006:AL1006),$AC$1006:$AS$1006,0)), HYPERLINK("#",""), HYPERLINK(CONCATENATE("#Metadata!", ADDRESS(INDEX($X$2:$X$1001,MATCH(ROWS($V$2:V807),$V$2:$V$1001,0),0), INDEX($AC$1004:$AS$1004,1,MATCH(COLUMNS($AC$1006:AL1006),$AC$1006:$AS$1006,0)))),"Fix")))</f>
        <v>0</v>
      </c>
      <c r="L807" s="5">
        <f>IF(OR(INDEX($W$2:$W$1001,MATCH(ROWS($V$2:V807),$V$2:$V$1001,0),1)&gt;=100000,INDEX($AC$1005:$AS$1005,1,MATCH(COLUMNS($AC$1006:AM1006),$AC$1006:$AS$1006,0))&gt;=100000), " ",IF(INDEX($AC$2:$AS$1001,MATCH(ROWS($V$2:V807),$V$2:$V$1001,0),MATCH(COLUMNS($AC$1006:AM1006),$AC$1006:$AS$1006,0)), HYPERLINK("#",""), HYPERLINK(CONCATENATE("#Metadata!", ADDRESS(INDEX($X$2:$X$1001,MATCH(ROWS($V$2:V807),$V$2:$V$1001,0),0), INDEX($AC$1004:$AS$1004,1,MATCH(COLUMNS($AC$1006:AM1006),$AC$1006:$AS$1006,0)))),"Fix")))</f>
        <v>0</v>
      </c>
      <c r="M807" s="5">
        <f>IF(OR(INDEX($W$2:$W$1001,MATCH(ROWS($V$2:V807),$V$2:$V$1001,0),1)&gt;=100000,INDEX($AC$1005:$AS$1005,1,MATCH(COLUMNS($AC$1006:AN1006),$AC$1006:$AS$1006,0))&gt;=100000), " ",IF(INDEX($AC$2:$AS$1001,MATCH(ROWS($V$2:V807),$V$2:$V$1001,0),MATCH(COLUMNS($AC$1006:AN1006),$AC$1006:$AS$1006,0)), HYPERLINK("#",""), HYPERLINK(CONCATENATE("#Metadata!", ADDRESS(INDEX($X$2:$X$1001,MATCH(ROWS($V$2:V807),$V$2:$V$1001,0),0), INDEX($AC$1004:$AS$1004,1,MATCH(COLUMNS($AC$1006:AN1006),$AC$1006:$AS$1006,0)))),"Fix")))</f>
        <v>0</v>
      </c>
      <c r="N807" s="5">
        <f>IF(OR(INDEX($W$2:$W$1001,MATCH(ROWS($V$2:V807),$V$2:$V$1001,0),1)&gt;=100000,INDEX($AC$1005:$AS$1005,1,MATCH(COLUMNS($AC$1006:AO1006),$AC$1006:$AS$1006,0))&gt;=100000), " ",IF(INDEX($AC$2:$AS$1001,MATCH(ROWS($V$2:V807),$V$2:$V$1001,0),MATCH(COLUMNS($AC$1006:AO1006),$AC$1006:$AS$1006,0)), HYPERLINK("#",""), HYPERLINK(CONCATENATE("#Metadata!", ADDRESS(INDEX($X$2:$X$1001,MATCH(ROWS($V$2:V807),$V$2:$V$1001,0),0), INDEX($AC$1004:$AS$1004,1,MATCH(COLUMNS($AC$1006:AO1006),$AC$1006:$AS$1006,0)))),"Fix")))</f>
        <v>0</v>
      </c>
      <c r="O807" s="5">
        <f>IF(OR(INDEX($W$2:$W$1001,MATCH(ROWS($V$2:V807),$V$2:$V$1001,0),1)&gt;=100000,INDEX($AC$1005:$AS$1005,1,MATCH(COLUMNS($AC$1006:AP1006),$AC$1006:$AS$1006,0))&gt;=100000), " ",IF(INDEX($AC$2:$AS$1001,MATCH(ROWS($V$2:V807),$V$2:$V$1001,0),MATCH(COLUMNS($AC$1006:AP1006),$AC$1006:$AS$1006,0)), HYPERLINK("#",""), HYPERLINK(CONCATENATE("#Metadata!", ADDRESS(INDEX($X$2:$X$1001,MATCH(ROWS($V$2:V807),$V$2:$V$1001,0),0), INDEX($AC$1004:$AS$1004,1,MATCH(COLUMNS($AC$1006:AP1006),$AC$1006:$AS$1006,0)))),"Fix")))</f>
        <v>0</v>
      </c>
      <c r="P807" s="5">
        <f>IF(OR(INDEX($W$2:$W$1001,MATCH(ROWS($V$2:V807),$V$2:$V$1001,0),1)&gt;=100000,INDEX($AC$1005:$AS$1005,1,MATCH(COLUMNS($AC$1006:AQ1006),$AC$1006:$AS$1006,0))&gt;=100000), " ",IF(INDEX($AC$2:$AS$1001,MATCH(ROWS($V$2:V807),$V$2:$V$1001,0),MATCH(COLUMNS($AC$1006:AQ1006),$AC$1006:$AS$1006,0)), HYPERLINK("#",""), HYPERLINK(CONCATENATE("#Metadata!", ADDRESS(INDEX($X$2:$X$1001,MATCH(ROWS($V$2:V807),$V$2:$V$1001,0),0), INDEX($AC$1004:$AS$1004,1,MATCH(COLUMNS($AC$1006:AQ1006),$AC$1006:$AS$1006,0)))),"Fix")))</f>
        <v>0</v>
      </c>
      <c r="Q807" s="5">
        <f>IF(OR(INDEX($W$2:$W$1001,MATCH(ROWS($V$2:V807),$V$2:$V$1001,0),1)&gt;=100000,INDEX($AC$1005:$AS$1005,1,MATCH(COLUMNS($AC$1006:AR1006),$AC$1006:$AS$1006,0))&gt;=100000), " ",IF(INDEX($AC$2:$AS$1001,MATCH(ROWS($V$2:V807),$V$2:$V$1001,0),MATCH(COLUMNS($AC$1006:AR1006),$AC$1006:$AS$1006,0)), HYPERLINK("#",""), HYPERLINK(CONCATENATE("#Metadata!", ADDRESS(INDEX($X$2:$X$1001,MATCH(ROWS($V$2:V807),$V$2:$V$1001,0),0), INDEX($AC$1004:$AS$1004,1,MATCH(COLUMNS($AC$1006:AR1006),$AC$1006:$AS$1006,0)))),"Fix")))</f>
        <v>0</v>
      </c>
      <c r="R807" s="5">
        <f>IF(OR(INDEX($W$2:$W$1001,MATCH(ROWS($V$2:V807),$V$2:$V$1001,0),1)&gt;=100000,INDEX($AC$1005:$AS$1005,1,MATCH(COLUMNS($AC$1006:AS1006),$AC$1006:$AS$1006,0))&gt;=100000), " ",IF(INDEX($AC$2:$AS$1001,MATCH(ROWS($V$2:V807),$V$2:$V$1001,0),MATCH(COLUMNS($AC$1006:AS1006),$AC$1006:$AS$1006,0)), HYPERLINK("#",""), HYPERLINK(CONCATENATE("#Metadata!", ADDRESS(INDEX($X$2:$X$1001,MATCH(ROWS($V$2:V807),$V$2:$V$1001,0),0), INDEX($AC$1004:$AS$1004,1,MATCH(COLUMNS($AC$1006:AS1006),$AC$1006:$AS$1006,0)))),"Fix")))</f>
        <v>0</v>
      </c>
      <c r="V807">
        <v>0</v>
      </c>
      <c r="W807">
        <v>0</v>
      </c>
      <c r="X807">
        <v>0</v>
      </c>
      <c r="Y807">
        <f>IF(Z807,TRUE,AND(AC807:AS807))</f>
        <v>0</v>
      </c>
      <c r="Z807">
        <f>COUNTBLANK(Metadata!B807:R807)=COLUMNS(Metadata!B807:R807)</f>
        <v>0</v>
      </c>
      <c r="AA807">
        <v>0</v>
      </c>
      <c r="AC807">
        <f>AND(IF(Metadata!B807="",FALSE,TRUE),COUNTIF(Metadata!B:B, Metadata!B807) = 1,NOT(ISERROR(SUMPRODUCT(SEARCH(MID(Metadata!B807,ROW(INDIRECT("1:"&amp;LEN(Metadata!B807))), 1),"0123456789abcdefghijklmnopqrstuvwxyzABCDEFGHIJKLMNOPQRSTUVWXYZ.")))))</f>
        <v>0</v>
      </c>
      <c r="AD807">
        <f>AND(IF(Metadata!C807="",FALSE,TRUE),exact(Metadata!C807,"Host-associated"))</f>
        <v>0</v>
      </c>
      <c r="AE807">
        <f>AND(IF(Metadata!D807="",FALSE,TRUE),OR(exact(Metadata!D807,"Animal"),exact(Metadata!D807,"Fungus"),exact(Metadata!D807,"Plant")))</f>
        <v>0</v>
      </c>
      <c r="AF807">
        <f>AND(IF(Metadata!E807="",FALSE,TRUE),OR(exact(Metadata!E807,"Plant secretion"),exact(Metadata!E807,"Plant rhizosphere"),exact(Metadata!E807,"Plant surface"),exact(Metadata!E807,"Plant corpus"),exact(Metadata!E807,"Fungus surface"),exact(Metadata!E807,"Fungus corpus"),exact(Metadata!E807,"Animal surface"),exact(Metadata!E807,"Animal proximal gut"),exact(Metadata!E807,"Animal corpus"),exact(Metadata!E807,"Animal distal gut"),exact(Metadata!E807,"Animal secretion")))</f>
        <v>0</v>
      </c>
      <c r="AG807">
        <f>OR(AND(IF(Metadata!F807="",FALSE,TRUE),OR(exact(Metadata!F807,"not collected"),exact(Metadata!F807,"not provided"),exact(Metadata!F807,"restricted access"))),AND(IF(Metadata!F807="",FALSE,TRUE),OR(exact(Metadata!F807,"organism-associated habitat"),exact(Metadata!F807,"plant-associated habitat"),exact(Metadata!F807,"animal-associated habitat"),exact(Metadata!F807,"insecta-associated habitat"),exact(Metadata!F807,"mammalia-associated habitat"),exact(Metadata!F807,"human-associated habitat"),exact(Metadata!F807,"livestock-associated habitat"))))</f>
        <v>0</v>
      </c>
      <c r="AH807">
        <f>AND(IF(Metadata!G807="",FALSE,TRUE),exact(Metadata!G807,"host-associated"))</f>
        <v>0</v>
      </c>
      <c r="AI807">
        <f>OR(AND(IF(Metadata!H807="",FALSE,TRUE),OR(exact(Metadata!H807,"not collected"),exact(Metadata!H807,"not provided"))),AND(IF(Metadata!H807="",FALSE,ISNUMBER(VALUE(Metadata!H807))),Metadata!H807&gt;0))</f>
        <v>0</v>
      </c>
      <c r="AJ807">
        <f>AND(IF(Metadata!I807="",FALSE,TRUE),exact(Metadata!I807,"years"))</f>
        <v>0</v>
      </c>
      <c r="AK807">
        <f>IF(Metadata!J807="",FALSE,TRUE)</f>
        <v>0</v>
      </c>
      <c r="AL807">
        <f>OR(AND(IF(Metadata!K807="",FALSE,TRUE),OR(exact(Metadata!K807,"not collected"),exact(Metadata!K807,"not provided"))),AND(IF(Metadata!K807="",FALSE,ISNUMBER(VALUE(Metadata!K807))),Metadata!K807&gt;0))</f>
        <v>0</v>
      </c>
      <c r="AM807">
        <f>AND(IF(Metadata!L807="",FALSE,TRUE),exact(Metadata!L807,"cm"))</f>
        <v>0</v>
      </c>
      <c r="AN807">
        <f>IF(Metadata!M807="",FALSE,TRUE)</f>
        <v>0</v>
      </c>
      <c r="AO807">
        <f>OR(AND(IF(Metadata!N807="",FALSE,TRUE),OR(exact(Metadata!N807,"not applicable"),exact(Metadata!N807,"not collected"),exact(Metadata!N807,"not provided"))),AND(IF(Metadata!N807="",FALSE,IF(ISERROR(INT(Metadata!N807)),FALSE,INT(Metadata!N807)=Metadata!N807)),Metadata!N807&gt;0))</f>
        <v>0</v>
      </c>
      <c r="AP807">
        <f>OR(AND(IF(Metadata!O807="",FALSE,TRUE),OR(exact(Metadata!O807,"not collected"),exact(Metadata!O807,"not provided"))),AND(IF(Metadata!O807="",FALSE,ISNUMBER(VALUE(Metadata!O807))),Metadata!O807&gt;0))</f>
        <v>0</v>
      </c>
      <c r="AQ807">
        <f>AND(IF(Metadata!P807="",FALSE,TRUE),exact(Metadata!P807,"kg"))</f>
        <v>0</v>
      </c>
      <c r="AR807">
        <f>OR(AND(IF(Metadata!Q807="",FALSE,TRUE),OR(exact(Metadata!Q807,"not applicable"),exact(Metadata!Q807,"not collected"),exact(Metadata!Q807,"not provided"),exact(Metadata!Q807,"restricted access"))),IF(Metadata!Q807="",FALSE,IF(ISERROR(INT(Metadata!Q807)),FALSE,INT(Metadata!Q807)=Metadata!Q807)))</f>
        <v>0</v>
      </c>
      <c r="AS807">
        <f>AND(IF(Metadata!R807="",FALSE,TRUE),exact(Metadata!R807,"Not applicable"))</f>
        <v>0</v>
      </c>
    </row>
    <row r="808" spans="1:45">
      <c r="A808" s="4">
        <f>IF(B808=" "," ",HYPERLINK(CONCATENATE("#metadata!",ADDRESS(INDEX($X$2:$X$1001,MATCH(ROWS($V$2:V808),$V$2:$V$1001,0),0),2)),INDEX($AA$2:$AA$1001,MATCH(ROWS($V$2:V808),$V$2:$V$1001,0),0)))</f>
        <v>0</v>
      </c>
      <c r="B808" s="5">
        <f>IF(OR(INDEX($W$2:$W$1001,MATCH(ROWS($V$2:V808),$V$2:$V$1001,0),1)&gt;=100000,INDEX($AC$1005:$AS$1005,1,MATCH(COLUMNS($AC$1006:AC1006),$AC$1006:$AS$1006,0))&gt;=100000), " ",IF(INDEX($AC$2:$AS$1001,MATCH(ROWS($V$2:V808),$V$2:$V$1001,0),MATCH(COLUMNS($AC$1006:AC1006),$AC$1006:$AS$1006,0)), HYPERLINK("#",""), HYPERLINK(CONCATENATE("#Metadata!", ADDRESS(INDEX($X$2:$X$1001,MATCH(ROWS($V$2:V808),$V$2:$V$1001,0),0), INDEX($AC$1004:$AS$1004,1,MATCH(COLUMNS($AC$1006:AC1006),$AC$1006:$AS$1006,0)))),"Fix")))</f>
        <v>0</v>
      </c>
      <c r="C808" s="5">
        <f>IF(OR(INDEX($W$2:$W$1001,MATCH(ROWS($V$2:V808),$V$2:$V$1001,0),1)&gt;=100000,INDEX($AC$1005:$AS$1005,1,MATCH(COLUMNS($AC$1006:AD1006),$AC$1006:$AS$1006,0))&gt;=100000), " ",IF(INDEX($AC$2:$AS$1001,MATCH(ROWS($V$2:V808),$V$2:$V$1001,0),MATCH(COLUMNS($AC$1006:AD1006),$AC$1006:$AS$1006,0)), HYPERLINK("#",""), HYPERLINK(CONCATENATE("#Metadata!", ADDRESS(INDEX($X$2:$X$1001,MATCH(ROWS($V$2:V808),$V$2:$V$1001,0),0), INDEX($AC$1004:$AS$1004,1,MATCH(COLUMNS($AC$1006:AD1006),$AC$1006:$AS$1006,0)))),"Fix")))</f>
        <v>0</v>
      </c>
      <c r="D808" s="5">
        <f>IF(OR(INDEX($W$2:$W$1001,MATCH(ROWS($V$2:V808),$V$2:$V$1001,0),1)&gt;=100000,INDEX($AC$1005:$AS$1005,1,MATCH(COLUMNS($AC$1006:AE1006),$AC$1006:$AS$1006,0))&gt;=100000), " ",IF(INDEX($AC$2:$AS$1001,MATCH(ROWS($V$2:V808),$V$2:$V$1001,0),MATCH(COLUMNS($AC$1006:AE1006),$AC$1006:$AS$1006,0)), HYPERLINK("#",""), HYPERLINK(CONCATENATE("#Metadata!", ADDRESS(INDEX($X$2:$X$1001,MATCH(ROWS($V$2:V808),$V$2:$V$1001,0),0), INDEX($AC$1004:$AS$1004,1,MATCH(COLUMNS($AC$1006:AE1006),$AC$1006:$AS$1006,0)))),"Fix")))</f>
        <v>0</v>
      </c>
      <c r="E808" s="5">
        <f>IF(OR(INDEX($W$2:$W$1001,MATCH(ROWS($V$2:V808),$V$2:$V$1001,0),1)&gt;=100000,INDEX($AC$1005:$AS$1005,1,MATCH(COLUMNS($AC$1006:AF1006),$AC$1006:$AS$1006,0))&gt;=100000), " ",IF(INDEX($AC$2:$AS$1001,MATCH(ROWS($V$2:V808),$V$2:$V$1001,0),MATCH(COLUMNS($AC$1006:AF1006),$AC$1006:$AS$1006,0)), HYPERLINK("#",""), HYPERLINK(CONCATENATE("#Metadata!", ADDRESS(INDEX($X$2:$X$1001,MATCH(ROWS($V$2:V808),$V$2:$V$1001,0),0), INDEX($AC$1004:$AS$1004,1,MATCH(COLUMNS($AC$1006:AF1006),$AC$1006:$AS$1006,0)))),"Fix")))</f>
        <v>0</v>
      </c>
      <c r="F808" s="5">
        <f>IF(OR(INDEX($W$2:$W$1001,MATCH(ROWS($V$2:V808),$V$2:$V$1001,0),1)&gt;=100000,INDEX($AC$1005:$AS$1005,1,MATCH(COLUMNS($AC$1006:AG1006),$AC$1006:$AS$1006,0))&gt;=100000), " ",IF(INDEX($AC$2:$AS$1001,MATCH(ROWS($V$2:V808),$V$2:$V$1001,0),MATCH(COLUMNS($AC$1006:AG1006),$AC$1006:$AS$1006,0)), HYPERLINK("#",""), HYPERLINK(CONCATENATE("#Metadata!", ADDRESS(INDEX($X$2:$X$1001,MATCH(ROWS($V$2:V808),$V$2:$V$1001,0),0), INDEX($AC$1004:$AS$1004,1,MATCH(COLUMNS($AC$1006:AG1006),$AC$1006:$AS$1006,0)))),"Fix")))</f>
        <v>0</v>
      </c>
      <c r="G808" s="5">
        <f>IF(OR(INDEX($W$2:$W$1001,MATCH(ROWS($V$2:V808),$V$2:$V$1001,0),1)&gt;=100000,INDEX($AC$1005:$AS$1005,1,MATCH(COLUMNS($AC$1006:AH1006),$AC$1006:$AS$1006,0))&gt;=100000), " ",IF(INDEX($AC$2:$AS$1001,MATCH(ROWS($V$2:V808),$V$2:$V$1001,0),MATCH(COLUMNS($AC$1006:AH1006),$AC$1006:$AS$1006,0)), HYPERLINK("#",""), HYPERLINK(CONCATENATE("#Metadata!", ADDRESS(INDEX($X$2:$X$1001,MATCH(ROWS($V$2:V808),$V$2:$V$1001,0),0), INDEX($AC$1004:$AS$1004,1,MATCH(COLUMNS($AC$1006:AH1006),$AC$1006:$AS$1006,0)))),"Fix")))</f>
        <v>0</v>
      </c>
      <c r="H808" s="5">
        <f>IF(OR(INDEX($W$2:$W$1001,MATCH(ROWS($V$2:V808),$V$2:$V$1001,0),1)&gt;=100000,INDEX($AC$1005:$AS$1005,1,MATCH(COLUMNS($AC$1006:AI1006),$AC$1006:$AS$1006,0))&gt;=100000), " ",IF(INDEX($AC$2:$AS$1001,MATCH(ROWS($V$2:V808),$V$2:$V$1001,0),MATCH(COLUMNS($AC$1006:AI1006),$AC$1006:$AS$1006,0)), HYPERLINK("#",""), HYPERLINK(CONCATENATE("#Metadata!", ADDRESS(INDEX($X$2:$X$1001,MATCH(ROWS($V$2:V808),$V$2:$V$1001,0),0), INDEX($AC$1004:$AS$1004,1,MATCH(COLUMNS($AC$1006:AI1006),$AC$1006:$AS$1006,0)))),"Fix")))</f>
        <v>0</v>
      </c>
      <c r="I808" s="5">
        <f>IF(OR(INDEX($W$2:$W$1001,MATCH(ROWS($V$2:V808),$V$2:$V$1001,0),1)&gt;=100000,INDEX($AC$1005:$AS$1005,1,MATCH(COLUMNS($AC$1006:AJ1006),$AC$1006:$AS$1006,0))&gt;=100000), " ",IF(INDEX($AC$2:$AS$1001,MATCH(ROWS($V$2:V808),$V$2:$V$1001,0),MATCH(COLUMNS($AC$1006:AJ1006),$AC$1006:$AS$1006,0)), HYPERLINK("#",""), HYPERLINK(CONCATENATE("#Metadata!", ADDRESS(INDEX($X$2:$X$1001,MATCH(ROWS($V$2:V808),$V$2:$V$1001,0),0), INDEX($AC$1004:$AS$1004,1,MATCH(COLUMNS($AC$1006:AJ1006),$AC$1006:$AS$1006,0)))),"Fix")))</f>
        <v>0</v>
      </c>
      <c r="J808" s="5">
        <f>IF(OR(INDEX($W$2:$W$1001,MATCH(ROWS($V$2:V808),$V$2:$V$1001,0),1)&gt;=100000,INDEX($AC$1005:$AS$1005,1,MATCH(COLUMNS($AC$1006:AK1006),$AC$1006:$AS$1006,0))&gt;=100000), " ",IF(INDEX($AC$2:$AS$1001,MATCH(ROWS($V$2:V808),$V$2:$V$1001,0),MATCH(COLUMNS($AC$1006:AK1006),$AC$1006:$AS$1006,0)), HYPERLINK("#",""), HYPERLINK(CONCATENATE("#Metadata!", ADDRESS(INDEX($X$2:$X$1001,MATCH(ROWS($V$2:V808),$V$2:$V$1001,0),0), INDEX($AC$1004:$AS$1004,1,MATCH(COLUMNS($AC$1006:AK1006),$AC$1006:$AS$1006,0)))),"Fix")))</f>
        <v>0</v>
      </c>
      <c r="K808" s="5">
        <f>IF(OR(INDEX($W$2:$W$1001,MATCH(ROWS($V$2:V808),$V$2:$V$1001,0),1)&gt;=100000,INDEX($AC$1005:$AS$1005,1,MATCH(COLUMNS($AC$1006:AL1006),$AC$1006:$AS$1006,0))&gt;=100000), " ",IF(INDEX($AC$2:$AS$1001,MATCH(ROWS($V$2:V808),$V$2:$V$1001,0),MATCH(COLUMNS($AC$1006:AL1006),$AC$1006:$AS$1006,0)), HYPERLINK("#",""), HYPERLINK(CONCATENATE("#Metadata!", ADDRESS(INDEX($X$2:$X$1001,MATCH(ROWS($V$2:V808),$V$2:$V$1001,0),0), INDEX($AC$1004:$AS$1004,1,MATCH(COLUMNS($AC$1006:AL1006),$AC$1006:$AS$1006,0)))),"Fix")))</f>
        <v>0</v>
      </c>
      <c r="L808" s="5">
        <f>IF(OR(INDEX($W$2:$W$1001,MATCH(ROWS($V$2:V808),$V$2:$V$1001,0),1)&gt;=100000,INDEX($AC$1005:$AS$1005,1,MATCH(COLUMNS($AC$1006:AM1006),$AC$1006:$AS$1006,0))&gt;=100000), " ",IF(INDEX($AC$2:$AS$1001,MATCH(ROWS($V$2:V808),$V$2:$V$1001,0),MATCH(COLUMNS($AC$1006:AM1006),$AC$1006:$AS$1006,0)), HYPERLINK("#",""), HYPERLINK(CONCATENATE("#Metadata!", ADDRESS(INDEX($X$2:$X$1001,MATCH(ROWS($V$2:V808),$V$2:$V$1001,0),0), INDEX($AC$1004:$AS$1004,1,MATCH(COLUMNS($AC$1006:AM1006),$AC$1006:$AS$1006,0)))),"Fix")))</f>
        <v>0</v>
      </c>
      <c r="M808" s="5">
        <f>IF(OR(INDEX($W$2:$W$1001,MATCH(ROWS($V$2:V808),$V$2:$V$1001,0),1)&gt;=100000,INDEX($AC$1005:$AS$1005,1,MATCH(COLUMNS($AC$1006:AN1006),$AC$1006:$AS$1006,0))&gt;=100000), " ",IF(INDEX($AC$2:$AS$1001,MATCH(ROWS($V$2:V808),$V$2:$V$1001,0),MATCH(COLUMNS($AC$1006:AN1006),$AC$1006:$AS$1006,0)), HYPERLINK("#",""), HYPERLINK(CONCATENATE("#Metadata!", ADDRESS(INDEX($X$2:$X$1001,MATCH(ROWS($V$2:V808),$V$2:$V$1001,0),0), INDEX($AC$1004:$AS$1004,1,MATCH(COLUMNS($AC$1006:AN1006),$AC$1006:$AS$1006,0)))),"Fix")))</f>
        <v>0</v>
      </c>
      <c r="N808" s="5">
        <f>IF(OR(INDEX($W$2:$W$1001,MATCH(ROWS($V$2:V808),$V$2:$V$1001,0),1)&gt;=100000,INDEX($AC$1005:$AS$1005,1,MATCH(COLUMNS($AC$1006:AO1006),$AC$1006:$AS$1006,0))&gt;=100000), " ",IF(INDEX($AC$2:$AS$1001,MATCH(ROWS($V$2:V808),$V$2:$V$1001,0),MATCH(COLUMNS($AC$1006:AO1006),$AC$1006:$AS$1006,0)), HYPERLINK("#",""), HYPERLINK(CONCATENATE("#Metadata!", ADDRESS(INDEX($X$2:$X$1001,MATCH(ROWS($V$2:V808),$V$2:$V$1001,0),0), INDEX($AC$1004:$AS$1004,1,MATCH(COLUMNS($AC$1006:AO1006),$AC$1006:$AS$1006,0)))),"Fix")))</f>
        <v>0</v>
      </c>
      <c r="O808" s="5">
        <f>IF(OR(INDEX($W$2:$W$1001,MATCH(ROWS($V$2:V808),$V$2:$V$1001,0),1)&gt;=100000,INDEX($AC$1005:$AS$1005,1,MATCH(COLUMNS($AC$1006:AP1006),$AC$1006:$AS$1006,0))&gt;=100000), " ",IF(INDEX($AC$2:$AS$1001,MATCH(ROWS($V$2:V808),$V$2:$V$1001,0),MATCH(COLUMNS($AC$1006:AP1006),$AC$1006:$AS$1006,0)), HYPERLINK("#",""), HYPERLINK(CONCATENATE("#Metadata!", ADDRESS(INDEX($X$2:$X$1001,MATCH(ROWS($V$2:V808),$V$2:$V$1001,0),0), INDEX($AC$1004:$AS$1004,1,MATCH(COLUMNS($AC$1006:AP1006),$AC$1006:$AS$1006,0)))),"Fix")))</f>
        <v>0</v>
      </c>
      <c r="P808" s="5">
        <f>IF(OR(INDEX($W$2:$W$1001,MATCH(ROWS($V$2:V808),$V$2:$V$1001,0),1)&gt;=100000,INDEX($AC$1005:$AS$1005,1,MATCH(COLUMNS($AC$1006:AQ1006),$AC$1006:$AS$1006,0))&gt;=100000), " ",IF(INDEX($AC$2:$AS$1001,MATCH(ROWS($V$2:V808),$V$2:$V$1001,0),MATCH(COLUMNS($AC$1006:AQ1006),$AC$1006:$AS$1006,0)), HYPERLINK("#",""), HYPERLINK(CONCATENATE("#Metadata!", ADDRESS(INDEX($X$2:$X$1001,MATCH(ROWS($V$2:V808),$V$2:$V$1001,0),0), INDEX($AC$1004:$AS$1004,1,MATCH(COLUMNS($AC$1006:AQ1006),$AC$1006:$AS$1006,0)))),"Fix")))</f>
        <v>0</v>
      </c>
      <c r="Q808" s="5">
        <f>IF(OR(INDEX($W$2:$W$1001,MATCH(ROWS($V$2:V808),$V$2:$V$1001,0),1)&gt;=100000,INDEX($AC$1005:$AS$1005,1,MATCH(COLUMNS($AC$1006:AR1006),$AC$1006:$AS$1006,0))&gt;=100000), " ",IF(INDEX($AC$2:$AS$1001,MATCH(ROWS($V$2:V808),$V$2:$V$1001,0),MATCH(COLUMNS($AC$1006:AR1006),$AC$1006:$AS$1006,0)), HYPERLINK("#",""), HYPERLINK(CONCATENATE("#Metadata!", ADDRESS(INDEX($X$2:$X$1001,MATCH(ROWS($V$2:V808),$V$2:$V$1001,0),0), INDEX($AC$1004:$AS$1004,1,MATCH(COLUMNS($AC$1006:AR1006),$AC$1006:$AS$1006,0)))),"Fix")))</f>
        <v>0</v>
      </c>
      <c r="R808" s="5">
        <f>IF(OR(INDEX($W$2:$W$1001,MATCH(ROWS($V$2:V808),$V$2:$V$1001,0),1)&gt;=100000,INDEX($AC$1005:$AS$1005,1,MATCH(COLUMNS($AC$1006:AS1006),$AC$1006:$AS$1006,0))&gt;=100000), " ",IF(INDEX($AC$2:$AS$1001,MATCH(ROWS($V$2:V808),$V$2:$V$1001,0),MATCH(COLUMNS($AC$1006:AS1006),$AC$1006:$AS$1006,0)), HYPERLINK("#",""), HYPERLINK(CONCATENATE("#Metadata!", ADDRESS(INDEX($X$2:$X$1001,MATCH(ROWS($V$2:V808),$V$2:$V$1001,0),0), INDEX($AC$1004:$AS$1004,1,MATCH(COLUMNS($AC$1006:AS1006),$AC$1006:$AS$1006,0)))),"Fix")))</f>
        <v>0</v>
      </c>
      <c r="V808">
        <v>0</v>
      </c>
      <c r="W808">
        <v>0</v>
      </c>
      <c r="X808">
        <v>0</v>
      </c>
      <c r="Y808">
        <f>IF(Z808,TRUE,AND(AC808:AS808))</f>
        <v>0</v>
      </c>
      <c r="Z808">
        <f>COUNTBLANK(Metadata!B808:R808)=COLUMNS(Metadata!B808:R808)</f>
        <v>0</v>
      </c>
      <c r="AA808">
        <v>0</v>
      </c>
      <c r="AC808">
        <f>AND(IF(Metadata!B808="",FALSE,TRUE),COUNTIF(Metadata!B:B, Metadata!B808) = 1,NOT(ISERROR(SUMPRODUCT(SEARCH(MID(Metadata!B808,ROW(INDIRECT("1:"&amp;LEN(Metadata!B808))), 1),"0123456789abcdefghijklmnopqrstuvwxyzABCDEFGHIJKLMNOPQRSTUVWXYZ.")))))</f>
        <v>0</v>
      </c>
      <c r="AD808">
        <f>AND(IF(Metadata!C808="",FALSE,TRUE),exact(Metadata!C808,"Host-associated"))</f>
        <v>0</v>
      </c>
      <c r="AE808">
        <f>AND(IF(Metadata!D808="",FALSE,TRUE),OR(exact(Metadata!D808,"Animal"),exact(Metadata!D808,"Fungus"),exact(Metadata!D808,"Plant")))</f>
        <v>0</v>
      </c>
      <c r="AF808">
        <f>AND(IF(Metadata!E808="",FALSE,TRUE),OR(exact(Metadata!E808,"Plant secretion"),exact(Metadata!E808,"Plant rhizosphere"),exact(Metadata!E808,"Plant surface"),exact(Metadata!E808,"Plant corpus"),exact(Metadata!E808,"Fungus surface"),exact(Metadata!E808,"Fungus corpus"),exact(Metadata!E808,"Animal surface"),exact(Metadata!E808,"Animal proximal gut"),exact(Metadata!E808,"Animal corpus"),exact(Metadata!E808,"Animal distal gut"),exact(Metadata!E808,"Animal secretion")))</f>
        <v>0</v>
      </c>
      <c r="AG808">
        <f>OR(AND(IF(Metadata!F808="",FALSE,TRUE),OR(exact(Metadata!F808,"not collected"),exact(Metadata!F808,"not provided"),exact(Metadata!F808,"restricted access"))),AND(IF(Metadata!F808="",FALSE,TRUE),OR(exact(Metadata!F808,"organism-associated habitat"),exact(Metadata!F808,"plant-associated habitat"),exact(Metadata!F808,"animal-associated habitat"),exact(Metadata!F808,"insecta-associated habitat"),exact(Metadata!F808,"mammalia-associated habitat"),exact(Metadata!F808,"human-associated habitat"),exact(Metadata!F808,"livestock-associated habitat"))))</f>
        <v>0</v>
      </c>
      <c r="AH808">
        <f>AND(IF(Metadata!G808="",FALSE,TRUE),exact(Metadata!G808,"host-associated"))</f>
        <v>0</v>
      </c>
      <c r="AI808">
        <f>OR(AND(IF(Metadata!H808="",FALSE,TRUE),OR(exact(Metadata!H808,"not collected"),exact(Metadata!H808,"not provided"))),AND(IF(Metadata!H808="",FALSE,ISNUMBER(VALUE(Metadata!H808))),Metadata!H808&gt;0))</f>
        <v>0</v>
      </c>
      <c r="AJ808">
        <f>AND(IF(Metadata!I808="",FALSE,TRUE),exact(Metadata!I808,"years"))</f>
        <v>0</v>
      </c>
      <c r="AK808">
        <f>IF(Metadata!J808="",FALSE,TRUE)</f>
        <v>0</v>
      </c>
      <c r="AL808">
        <f>OR(AND(IF(Metadata!K808="",FALSE,TRUE),OR(exact(Metadata!K808,"not collected"),exact(Metadata!K808,"not provided"))),AND(IF(Metadata!K808="",FALSE,ISNUMBER(VALUE(Metadata!K808))),Metadata!K808&gt;0))</f>
        <v>0</v>
      </c>
      <c r="AM808">
        <f>AND(IF(Metadata!L808="",FALSE,TRUE),exact(Metadata!L808,"cm"))</f>
        <v>0</v>
      </c>
      <c r="AN808">
        <f>IF(Metadata!M808="",FALSE,TRUE)</f>
        <v>0</v>
      </c>
      <c r="AO808">
        <f>OR(AND(IF(Metadata!N808="",FALSE,TRUE),OR(exact(Metadata!N808,"not applicable"),exact(Metadata!N808,"not collected"),exact(Metadata!N808,"not provided"))),AND(IF(Metadata!N808="",FALSE,IF(ISERROR(INT(Metadata!N808)),FALSE,INT(Metadata!N808)=Metadata!N808)),Metadata!N808&gt;0))</f>
        <v>0</v>
      </c>
      <c r="AP808">
        <f>OR(AND(IF(Metadata!O808="",FALSE,TRUE),OR(exact(Metadata!O808,"not collected"),exact(Metadata!O808,"not provided"))),AND(IF(Metadata!O808="",FALSE,ISNUMBER(VALUE(Metadata!O808))),Metadata!O808&gt;0))</f>
        <v>0</v>
      </c>
      <c r="AQ808">
        <f>AND(IF(Metadata!P808="",FALSE,TRUE),exact(Metadata!P808,"kg"))</f>
        <v>0</v>
      </c>
      <c r="AR808">
        <f>OR(AND(IF(Metadata!Q808="",FALSE,TRUE),OR(exact(Metadata!Q808,"not applicable"),exact(Metadata!Q808,"not collected"),exact(Metadata!Q808,"not provided"),exact(Metadata!Q808,"restricted access"))),IF(Metadata!Q808="",FALSE,IF(ISERROR(INT(Metadata!Q808)),FALSE,INT(Metadata!Q808)=Metadata!Q808)))</f>
        <v>0</v>
      </c>
      <c r="AS808">
        <f>AND(IF(Metadata!R808="",FALSE,TRUE),exact(Metadata!R808,"Not applicable"))</f>
        <v>0</v>
      </c>
    </row>
    <row r="809" spans="1:45">
      <c r="A809" s="4">
        <f>IF(B809=" "," ",HYPERLINK(CONCATENATE("#metadata!",ADDRESS(INDEX($X$2:$X$1001,MATCH(ROWS($V$2:V809),$V$2:$V$1001,0),0),2)),INDEX($AA$2:$AA$1001,MATCH(ROWS($V$2:V809),$V$2:$V$1001,0),0)))</f>
        <v>0</v>
      </c>
      <c r="B809" s="5">
        <f>IF(OR(INDEX($W$2:$W$1001,MATCH(ROWS($V$2:V809),$V$2:$V$1001,0),1)&gt;=100000,INDEX($AC$1005:$AS$1005,1,MATCH(COLUMNS($AC$1006:AC1006),$AC$1006:$AS$1006,0))&gt;=100000), " ",IF(INDEX($AC$2:$AS$1001,MATCH(ROWS($V$2:V809),$V$2:$V$1001,0),MATCH(COLUMNS($AC$1006:AC1006),$AC$1006:$AS$1006,0)), HYPERLINK("#",""), HYPERLINK(CONCATENATE("#Metadata!", ADDRESS(INDEX($X$2:$X$1001,MATCH(ROWS($V$2:V809),$V$2:$V$1001,0),0), INDEX($AC$1004:$AS$1004,1,MATCH(COLUMNS($AC$1006:AC1006),$AC$1006:$AS$1006,0)))),"Fix")))</f>
        <v>0</v>
      </c>
      <c r="C809" s="5">
        <f>IF(OR(INDEX($W$2:$W$1001,MATCH(ROWS($V$2:V809),$V$2:$V$1001,0),1)&gt;=100000,INDEX($AC$1005:$AS$1005,1,MATCH(COLUMNS($AC$1006:AD1006),$AC$1006:$AS$1006,0))&gt;=100000), " ",IF(INDEX($AC$2:$AS$1001,MATCH(ROWS($V$2:V809),$V$2:$V$1001,0),MATCH(COLUMNS($AC$1006:AD1006),$AC$1006:$AS$1006,0)), HYPERLINK("#",""), HYPERLINK(CONCATENATE("#Metadata!", ADDRESS(INDEX($X$2:$X$1001,MATCH(ROWS($V$2:V809),$V$2:$V$1001,0),0), INDEX($AC$1004:$AS$1004,1,MATCH(COLUMNS($AC$1006:AD1006),$AC$1006:$AS$1006,0)))),"Fix")))</f>
        <v>0</v>
      </c>
      <c r="D809" s="5">
        <f>IF(OR(INDEX($W$2:$W$1001,MATCH(ROWS($V$2:V809),$V$2:$V$1001,0),1)&gt;=100000,INDEX($AC$1005:$AS$1005,1,MATCH(COLUMNS($AC$1006:AE1006),$AC$1006:$AS$1006,0))&gt;=100000), " ",IF(INDEX($AC$2:$AS$1001,MATCH(ROWS($V$2:V809),$V$2:$V$1001,0),MATCH(COLUMNS($AC$1006:AE1006),$AC$1006:$AS$1006,0)), HYPERLINK("#",""), HYPERLINK(CONCATENATE("#Metadata!", ADDRESS(INDEX($X$2:$X$1001,MATCH(ROWS($V$2:V809),$V$2:$V$1001,0),0), INDEX($AC$1004:$AS$1004,1,MATCH(COLUMNS($AC$1006:AE1006),$AC$1006:$AS$1006,0)))),"Fix")))</f>
        <v>0</v>
      </c>
      <c r="E809" s="5">
        <f>IF(OR(INDEX($W$2:$W$1001,MATCH(ROWS($V$2:V809),$V$2:$V$1001,0),1)&gt;=100000,INDEX($AC$1005:$AS$1005,1,MATCH(COLUMNS($AC$1006:AF1006),$AC$1006:$AS$1006,0))&gt;=100000), " ",IF(INDEX($AC$2:$AS$1001,MATCH(ROWS($V$2:V809),$V$2:$V$1001,0),MATCH(COLUMNS($AC$1006:AF1006),$AC$1006:$AS$1006,0)), HYPERLINK("#",""), HYPERLINK(CONCATENATE("#Metadata!", ADDRESS(INDEX($X$2:$X$1001,MATCH(ROWS($V$2:V809),$V$2:$V$1001,0),0), INDEX($AC$1004:$AS$1004,1,MATCH(COLUMNS($AC$1006:AF1006),$AC$1006:$AS$1006,0)))),"Fix")))</f>
        <v>0</v>
      </c>
      <c r="F809" s="5">
        <f>IF(OR(INDEX($W$2:$W$1001,MATCH(ROWS($V$2:V809),$V$2:$V$1001,0),1)&gt;=100000,INDEX($AC$1005:$AS$1005,1,MATCH(COLUMNS($AC$1006:AG1006),$AC$1006:$AS$1006,0))&gt;=100000), " ",IF(INDEX($AC$2:$AS$1001,MATCH(ROWS($V$2:V809),$V$2:$V$1001,0),MATCH(COLUMNS($AC$1006:AG1006),$AC$1006:$AS$1006,0)), HYPERLINK("#",""), HYPERLINK(CONCATENATE("#Metadata!", ADDRESS(INDEX($X$2:$X$1001,MATCH(ROWS($V$2:V809),$V$2:$V$1001,0),0), INDEX($AC$1004:$AS$1004,1,MATCH(COLUMNS($AC$1006:AG1006),$AC$1006:$AS$1006,0)))),"Fix")))</f>
        <v>0</v>
      </c>
      <c r="G809" s="5">
        <f>IF(OR(INDEX($W$2:$W$1001,MATCH(ROWS($V$2:V809),$V$2:$V$1001,0),1)&gt;=100000,INDEX($AC$1005:$AS$1005,1,MATCH(COLUMNS($AC$1006:AH1006),$AC$1006:$AS$1006,0))&gt;=100000), " ",IF(INDEX($AC$2:$AS$1001,MATCH(ROWS($V$2:V809),$V$2:$V$1001,0),MATCH(COLUMNS($AC$1006:AH1006),$AC$1006:$AS$1006,0)), HYPERLINK("#",""), HYPERLINK(CONCATENATE("#Metadata!", ADDRESS(INDEX($X$2:$X$1001,MATCH(ROWS($V$2:V809),$V$2:$V$1001,0),0), INDEX($AC$1004:$AS$1004,1,MATCH(COLUMNS($AC$1006:AH1006),$AC$1006:$AS$1006,0)))),"Fix")))</f>
        <v>0</v>
      </c>
      <c r="H809" s="5">
        <f>IF(OR(INDEX($W$2:$W$1001,MATCH(ROWS($V$2:V809),$V$2:$V$1001,0),1)&gt;=100000,INDEX($AC$1005:$AS$1005,1,MATCH(COLUMNS($AC$1006:AI1006),$AC$1006:$AS$1006,0))&gt;=100000), " ",IF(INDEX($AC$2:$AS$1001,MATCH(ROWS($V$2:V809),$V$2:$V$1001,0),MATCH(COLUMNS($AC$1006:AI1006),$AC$1006:$AS$1006,0)), HYPERLINK("#",""), HYPERLINK(CONCATENATE("#Metadata!", ADDRESS(INDEX($X$2:$X$1001,MATCH(ROWS($V$2:V809),$V$2:$V$1001,0),0), INDEX($AC$1004:$AS$1004,1,MATCH(COLUMNS($AC$1006:AI1006),$AC$1006:$AS$1006,0)))),"Fix")))</f>
        <v>0</v>
      </c>
      <c r="I809" s="5">
        <f>IF(OR(INDEX($W$2:$W$1001,MATCH(ROWS($V$2:V809),$V$2:$V$1001,0),1)&gt;=100000,INDEX($AC$1005:$AS$1005,1,MATCH(COLUMNS($AC$1006:AJ1006),$AC$1006:$AS$1006,0))&gt;=100000), " ",IF(INDEX($AC$2:$AS$1001,MATCH(ROWS($V$2:V809),$V$2:$V$1001,0),MATCH(COLUMNS($AC$1006:AJ1006),$AC$1006:$AS$1006,0)), HYPERLINK("#",""), HYPERLINK(CONCATENATE("#Metadata!", ADDRESS(INDEX($X$2:$X$1001,MATCH(ROWS($V$2:V809),$V$2:$V$1001,0),0), INDEX($AC$1004:$AS$1004,1,MATCH(COLUMNS($AC$1006:AJ1006),$AC$1006:$AS$1006,0)))),"Fix")))</f>
        <v>0</v>
      </c>
      <c r="J809" s="5">
        <f>IF(OR(INDEX($W$2:$W$1001,MATCH(ROWS($V$2:V809),$V$2:$V$1001,0),1)&gt;=100000,INDEX($AC$1005:$AS$1005,1,MATCH(COLUMNS($AC$1006:AK1006),$AC$1006:$AS$1006,0))&gt;=100000), " ",IF(INDEX($AC$2:$AS$1001,MATCH(ROWS($V$2:V809),$V$2:$V$1001,0),MATCH(COLUMNS($AC$1006:AK1006),$AC$1006:$AS$1006,0)), HYPERLINK("#",""), HYPERLINK(CONCATENATE("#Metadata!", ADDRESS(INDEX($X$2:$X$1001,MATCH(ROWS($V$2:V809),$V$2:$V$1001,0),0), INDEX($AC$1004:$AS$1004,1,MATCH(COLUMNS($AC$1006:AK1006),$AC$1006:$AS$1006,0)))),"Fix")))</f>
        <v>0</v>
      </c>
      <c r="K809" s="5">
        <f>IF(OR(INDEX($W$2:$W$1001,MATCH(ROWS($V$2:V809),$V$2:$V$1001,0),1)&gt;=100000,INDEX($AC$1005:$AS$1005,1,MATCH(COLUMNS($AC$1006:AL1006),$AC$1006:$AS$1006,0))&gt;=100000), " ",IF(INDEX($AC$2:$AS$1001,MATCH(ROWS($V$2:V809),$V$2:$V$1001,0),MATCH(COLUMNS($AC$1006:AL1006),$AC$1006:$AS$1006,0)), HYPERLINK("#",""), HYPERLINK(CONCATENATE("#Metadata!", ADDRESS(INDEX($X$2:$X$1001,MATCH(ROWS($V$2:V809),$V$2:$V$1001,0),0), INDEX($AC$1004:$AS$1004,1,MATCH(COLUMNS($AC$1006:AL1006),$AC$1006:$AS$1006,0)))),"Fix")))</f>
        <v>0</v>
      </c>
      <c r="L809" s="5">
        <f>IF(OR(INDEX($W$2:$W$1001,MATCH(ROWS($V$2:V809),$V$2:$V$1001,0),1)&gt;=100000,INDEX($AC$1005:$AS$1005,1,MATCH(COLUMNS($AC$1006:AM1006),$AC$1006:$AS$1006,0))&gt;=100000), " ",IF(INDEX($AC$2:$AS$1001,MATCH(ROWS($V$2:V809),$V$2:$V$1001,0),MATCH(COLUMNS($AC$1006:AM1006),$AC$1006:$AS$1006,0)), HYPERLINK("#",""), HYPERLINK(CONCATENATE("#Metadata!", ADDRESS(INDEX($X$2:$X$1001,MATCH(ROWS($V$2:V809),$V$2:$V$1001,0),0), INDEX($AC$1004:$AS$1004,1,MATCH(COLUMNS($AC$1006:AM1006),$AC$1006:$AS$1006,0)))),"Fix")))</f>
        <v>0</v>
      </c>
      <c r="M809" s="5">
        <f>IF(OR(INDEX($W$2:$W$1001,MATCH(ROWS($V$2:V809),$V$2:$V$1001,0),1)&gt;=100000,INDEX($AC$1005:$AS$1005,1,MATCH(COLUMNS($AC$1006:AN1006),$AC$1006:$AS$1006,0))&gt;=100000), " ",IF(INDEX($AC$2:$AS$1001,MATCH(ROWS($V$2:V809),$V$2:$V$1001,0),MATCH(COLUMNS($AC$1006:AN1006),$AC$1006:$AS$1006,0)), HYPERLINK("#",""), HYPERLINK(CONCATENATE("#Metadata!", ADDRESS(INDEX($X$2:$X$1001,MATCH(ROWS($V$2:V809),$V$2:$V$1001,0),0), INDEX($AC$1004:$AS$1004,1,MATCH(COLUMNS($AC$1006:AN1006),$AC$1006:$AS$1006,0)))),"Fix")))</f>
        <v>0</v>
      </c>
      <c r="N809" s="5">
        <f>IF(OR(INDEX($W$2:$W$1001,MATCH(ROWS($V$2:V809),$V$2:$V$1001,0),1)&gt;=100000,INDEX($AC$1005:$AS$1005,1,MATCH(COLUMNS($AC$1006:AO1006),$AC$1006:$AS$1006,0))&gt;=100000), " ",IF(INDEX($AC$2:$AS$1001,MATCH(ROWS($V$2:V809),$V$2:$V$1001,0),MATCH(COLUMNS($AC$1006:AO1006),$AC$1006:$AS$1006,0)), HYPERLINK("#",""), HYPERLINK(CONCATENATE("#Metadata!", ADDRESS(INDEX($X$2:$X$1001,MATCH(ROWS($V$2:V809),$V$2:$V$1001,0),0), INDEX($AC$1004:$AS$1004,1,MATCH(COLUMNS($AC$1006:AO1006),$AC$1006:$AS$1006,0)))),"Fix")))</f>
        <v>0</v>
      </c>
      <c r="O809" s="5">
        <f>IF(OR(INDEX($W$2:$W$1001,MATCH(ROWS($V$2:V809),$V$2:$V$1001,0),1)&gt;=100000,INDEX($AC$1005:$AS$1005,1,MATCH(COLUMNS($AC$1006:AP1006),$AC$1006:$AS$1006,0))&gt;=100000), " ",IF(INDEX($AC$2:$AS$1001,MATCH(ROWS($V$2:V809),$V$2:$V$1001,0),MATCH(COLUMNS($AC$1006:AP1006),$AC$1006:$AS$1006,0)), HYPERLINK("#",""), HYPERLINK(CONCATENATE("#Metadata!", ADDRESS(INDEX($X$2:$X$1001,MATCH(ROWS($V$2:V809),$V$2:$V$1001,0),0), INDEX($AC$1004:$AS$1004,1,MATCH(COLUMNS($AC$1006:AP1006),$AC$1006:$AS$1006,0)))),"Fix")))</f>
        <v>0</v>
      </c>
      <c r="P809" s="5">
        <f>IF(OR(INDEX($W$2:$W$1001,MATCH(ROWS($V$2:V809),$V$2:$V$1001,0),1)&gt;=100000,INDEX($AC$1005:$AS$1005,1,MATCH(COLUMNS($AC$1006:AQ1006),$AC$1006:$AS$1006,0))&gt;=100000), " ",IF(INDEX($AC$2:$AS$1001,MATCH(ROWS($V$2:V809),$V$2:$V$1001,0),MATCH(COLUMNS($AC$1006:AQ1006),$AC$1006:$AS$1006,0)), HYPERLINK("#",""), HYPERLINK(CONCATENATE("#Metadata!", ADDRESS(INDEX($X$2:$X$1001,MATCH(ROWS($V$2:V809),$V$2:$V$1001,0),0), INDEX($AC$1004:$AS$1004,1,MATCH(COLUMNS($AC$1006:AQ1006),$AC$1006:$AS$1006,0)))),"Fix")))</f>
        <v>0</v>
      </c>
      <c r="Q809" s="5">
        <f>IF(OR(INDEX($W$2:$W$1001,MATCH(ROWS($V$2:V809),$V$2:$V$1001,0),1)&gt;=100000,INDEX($AC$1005:$AS$1005,1,MATCH(COLUMNS($AC$1006:AR1006),$AC$1006:$AS$1006,0))&gt;=100000), " ",IF(INDEX($AC$2:$AS$1001,MATCH(ROWS($V$2:V809),$V$2:$V$1001,0),MATCH(COLUMNS($AC$1006:AR1006),$AC$1006:$AS$1006,0)), HYPERLINK("#",""), HYPERLINK(CONCATENATE("#Metadata!", ADDRESS(INDEX($X$2:$X$1001,MATCH(ROWS($V$2:V809),$V$2:$V$1001,0),0), INDEX($AC$1004:$AS$1004,1,MATCH(COLUMNS($AC$1006:AR1006),$AC$1006:$AS$1006,0)))),"Fix")))</f>
        <v>0</v>
      </c>
      <c r="R809" s="5">
        <f>IF(OR(INDEX($W$2:$W$1001,MATCH(ROWS($V$2:V809),$V$2:$V$1001,0),1)&gt;=100000,INDEX($AC$1005:$AS$1005,1,MATCH(COLUMNS($AC$1006:AS1006),$AC$1006:$AS$1006,0))&gt;=100000), " ",IF(INDEX($AC$2:$AS$1001,MATCH(ROWS($V$2:V809),$V$2:$V$1001,0),MATCH(COLUMNS($AC$1006:AS1006),$AC$1006:$AS$1006,0)), HYPERLINK("#",""), HYPERLINK(CONCATENATE("#Metadata!", ADDRESS(INDEX($X$2:$X$1001,MATCH(ROWS($V$2:V809),$V$2:$V$1001,0),0), INDEX($AC$1004:$AS$1004,1,MATCH(COLUMNS($AC$1006:AS1006),$AC$1006:$AS$1006,0)))),"Fix")))</f>
        <v>0</v>
      </c>
      <c r="V809">
        <v>0</v>
      </c>
      <c r="W809">
        <v>0</v>
      </c>
      <c r="X809">
        <v>0</v>
      </c>
      <c r="Y809">
        <f>IF(Z809,TRUE,AND(AC809:AS809))</f>
        <v>0</v>
      </c>
      <c r="Z809">
        <f>COUNTBLANK(Metadata!B809:R809)=COLUMNS(Metadata!B809:R809)</f>
        <v>0</v>
      </c>
      <c r="AA809">
        <v>0</v>
      </c>
      <c r="AC809">
        <f>AND(IF(Metadata!B809="",FALSE,TRUE),COUNTIF(Metadata!B:B, Metadata!B809) = 1,NOT(ISERROR(SUMPRODUCT(SEARCH(MID(Metadata!B809,ROW(INDIRECT("1:"&amp;LEN(Metadata!B809))), 1),"0123456789abcdefghijklmnopqrstuvwxyzABCDEFGHIJKLMNOPQRSTUVWXYZ.")))))</f>
        <v>0</v>
      </c>
      <c r="AD809">
        <f>AND(IF(Metadata!C809="",FALSE,TRUE),exact(Metadata!C809,"Host-associated"))</f>
        <v>0</v>
      </c>
      <c r="AE809">
        <f>AND(IF(Metadata!D809="",FALSE,TRUE),OR(exact(Metadata!D809,"Animal"),exact(Metadata!D809,"Fungus"),exact(Metadata!D809,"Plant")))</f>
        <v>0</v>
      </c>
      <c r="AF809">
        <f>AND(IF(Metadata!E809="",FALSE,TRUE),OR(exact(Metadata!E809,"Plant secretion"),exact(Metadata!E809,"Plant rhizosphere"),exact(Metadata!E809,"Plant surface"),exact(Metadata!E809,"Plant corpus"),exact(Metadata!E809,"Fungus surface"),exact(Metadata!E809,"Fungus corpus"),exact(Metadata!E809,"Animal surface"),exact(Metadata!E809,"Animal proximal gut"),exact(Metadata!E809,"Animal corpus"),exact(Metadata!E809,"Animal distal gut"),exact(Metadata!E809,"Animal secretion")))</f>
        <v>0</v>
      </c>
      <c r="AG809">
        <f>OR(AND(IF(Metadata!F809="",FALSE,TRUE),OR(exact(Metadata!F809,"not collected"),exact(Metadata!F809,"not provided"),exact(Metadata!F809,"restricted access"))),AND(IF(Metadata!F809="",FALSE,TRUE),OR(exact(Metadata!F809,"organism-associated habitat"),exact(Metadata!F809,"plant-associated habitat"),exact(Metadata!F809,"animal-associated habitat"),exact(Metadata!F809,"insecta-associated habitat"),exact(Metadata!F809,"mammalia-associated habitat"),exact(Metadata!F809,"human-associated habitat"),exact(Metadata!F809,"livestock-associated habitat"))))</f>
        <v>0</v>
      </c>
      <c r="AH809">
        <f>AND(IF(Metadata!G809="",FALSE,TRUE),exact(Metadata!G809,"host-associated"))</f>
        <v>0</v>
      </c>
      <c r="AI809">
        <f>OR(AND(IF(Metadata!H809="",FALSE,TRUE),OR(exact(Metadata!H809,"not collected"),exact(Metadata!H809,"not provided"))),AND(IF(Metadata!H809="",FALSE,ISNUMBER(VALUE(Metadata!H809))),Metadata!H809&gt;0))</f>
        <v>0</v>
      </c>
      <c r="AJ809">
        <f>AND(IF(Metadata!I809="",FALSE,TRUE),exact(Metadata!I809,"years"))</f>
        <v>0</v>
      </c>
      <c r="AK809">
        <f>IF(Metadata!J809="",FALSE,TRUE)</f>
        <v>0</v>
      </c>
      <c r="AL809">
        <f>OR(AND(IF(Metadata!K809="",FALSE,TRUE),OR(exact(Metadata!K809,"not collected"),exact(Metadata!K809,"not provided"))),AND(IF(Metadata!K809="",FALSE,ISNUMBER(VALUE(Metadata!K809))),Metadata!K809&gt;0))</f>
        <v>0</v>
      </c>
      <c r="AM809">
        <f>AND(IF(Metadata!L809="",FALSE,TRUE),exact(Metadata!L809,"cm"))</f>
        <v>0</v>
      </c>
      <c r="AN809">
        <f>IF(Metadata!M809="",FALSE,TRUE)</f>
        <v>0</v>
      </c>
      <c r="AO809">
        <f>OR(AND(IF(Metadata!N809="",FALSE,TRUE),OR(exact(Metadata!N809,"not applicable"),exact(Metadata!N809,"not collected"),exact(Metadata!N809,"not provided"))),AND(IF(Metadata!N809="",FALSE,IF(ISERROR(INT(Metadata!N809)),FALSE,INT(Metadata!N809)=Metadata!N809)),Metadata!N809&gt;0))</f>
        <v>0</v>
      </c>
      <c r="AP809">
        <f>OR(AND(IF(Metadata!O809="",FALSE,TRUE),OR(exact(Metadata!O809,"not collected"),exact(Metadata!O809,"not provided"))),AND(IF(Metadata!O809="",FALSE,ISNUMBER(VALUE(Metadata!O809))),Metadata!O809&gt;0))</f>
        <v>0</v>
      </c>
      <c r="AQ809">
        <f>AND(IF(Metadata!P809="",FALSE,TRUE),exact(Metadata!P809,"kg"))</f>
        <v>0</v>
      </c>
      <c r="AR809">
        <f>OR(AND(IF(Metadata!Q809="",FALSE,TRUE),OR(exact(Metadata!Q809,"not applicable"),exact(Metadata!Q809,"not collected"),exact(Metadata!Q809,"not provided"),exact(Metadata!Q809,"restricted access"))),IF(Metadata!Q809="",FALSE,IF(ISERROR(INT(Metadata!Q809)),FALSE,INT(Metadata!Q809)=Metadata!Q809)))</f>
        <v>0</v>
      </c>
      <c r="AS809">
        <f>AND(IF(Metadata!R809="",FALSE,TRUE),exact(Metadata!R809,"Not applicable"))</f>
        <v>0</v>
      </c>
    </row>
    <row r="810" spans="1:45">
      <c r="A810" s="4">
        <f>IF(B810=" "," ",HYPERLINK(CONCATENATE("#metadata!",ADDRESS(INDEX($X$2:$X$1001,MATCH(ROWS($V$2:V810),$V$2:$V$1001,0),0),2)),INDEX($AA$2:$AA$1001,MATCH(ROWS($V$2:V810),$V$2:$V$1001,0),0)))</f>
        <v>0</v>
      </c>
      <c r="B810" s="5">
        <f>IF(OR(INDEX($W$2:$W$1001,MATCH(ROWS($V$2:V810),$V$2:$V$1001,0),1)&gt;=100000,INDEX($AC$1005:$AS$1005,1,MATCH(COLUMNS($AC$1006:AC1006),$AC$1006:$AS$1006,0))&gt;=100000), " ",IF(INDEX($AC$2:$AS$1001,MATCH(ROWS($V$2:V810),$V$2:$V$1001,0),MATCH(COLUMNS($AC$1006:AC1006),$AC$1006:$AS$1006,0)), HYPERLINK("#",""), HYPERLINK(CONCATENATE("#Metadata!", ADDRESS(INDEX($X$2:$X$1001,MATCH(ROWS($V$2:V810),$V$2:$V$1001,0),0), INDEX($AC$1004:$AS$1004,1,MATCH(COLUMNS($AC$1006:AC1006),$AC$1006:$AS$1006,0)))),"Fix")))</f>
        <v>0</v>
      </c>
      <c r="C810" s="5">
        <f>IF(OR(INDEX($W$2:$W$1001,MATCH(ROWS($V$2:V810),$V$2:$V$1001,0),1)&gt;=100000,INDEX($AC$1005:$AS$1005,1,MATCH(COLUMNS($AC$1006:AD1006),$AC$1006:$AS$1006,0))&gt;=100000), " ",IF(INDEX($AC$2:$AS$1001,MATCH(ROWS($V$2:V810),$V$2:$V$1001,0),MATCH(COLUMNS($AC$1006:AD1006),$AC$1006:$AS$1006,0)), HYPERLINK("#",""), HYPERLINK(CONCATENATE("#Metadata!", ADDRESS(INDEX($X$2:$X$1001,MATCH(ROWS($V$2:V810),$V$2:$V$1001,0),0), INDEX($AC$1004:$AS$1004,1,MATCH(COLUMNS($AC$1006:AD1006),$AC$1006:$AS$1006,0)))),"Fix")))</f>
        <v>0</v>
      </c>
      <c r="D810" s="5">
        <f>IF(OR(INDEX($W$2:$W$1001,MATCH(ROWS($V$2:V810),$V$2:$V$1001,0),1)&gt;=100000,INDEX($AC$1005:$AS$1005,1,MATCH(COLUMNS($AC$1006:AE1006),$AC$1006:$AS$1006,0))&gt;=100000), " ",IF(INDEX($AC$2:$AS$1001,MATCH(ROWS($V$2:V810),$V$2:$V$1001,0),MATCH(COLUMNS($AC$1006:AE1006),$AC$1006:$AS$1006,0)), HYPERLINK("#",""), HYPERLINK(CONCATENATE("#Metadata!", ADDRESS(INDEX($X$2:$X$1001,MATCH(ROWS($V$2:V810),$V$2:$V$1001,0),0), INDEX($AC$1004:$AS$1004,1,MATCH(COLUMNS($AC$1006:AE1006),$AC$1006:$AS$1006,0)))),"Fix")))</f>
        <v>0</v>
      </c>
      <c r="E810" s="5">
        <f>IF(OR(INDEX($W$2:$W$1001,MATCH(ROWS($V$2:V810),$V$2:$V$1001,0),1)&gt;=100000,INDEX($AC$1005:$AS$1005,1,MATCH(COLUMNS($AC$1006:AF1006),$AC$1006:$AS$1006,0))&gt;=100000), " ",IF(INDEX($AC$2:$AS$1001,MATCH(ROWS($V$2:V810),$V$2:$V$1001,0),MATCH(COLUMNS($AC$1006:AF1006),$AC$1006:$AS$1006,0)), HYPERLINK("#",""), HYPERLINK(CONCATENATE("#Metadata!", ADDRESS(INDEX($X$2:$X$1001,MATCH(ROWS($V$2:V810),$V$2:$V$1001,0),0), INDEX($AC$1004:$AS$1004,1,MATCH(COLUMNS($AC$1006:AF1006),$AC$1006:$AS$1006,0)))),"Fix")))</f>
        <v>0</v>
      </c>
      <c r="F810" s="5">
        <f>IF(OR(INDEX($W$2:$W$1001,MATCH(ROWS($V$2:V810),$V$2:$V$1001,0),1)&gt;=100000,INDEX($AC$1005:$AS$1005,1,MATCH(COLUMNS($AC$1006:AG1006),$AC$1006:$AS$1006,0))&gt;=100000), " ",IF(INDEX($AC$2:$AS$1001,MATCH(ROWS($V$2:V810),$V$2:$V$1001,0),MATCH(COLUMNS($AC$1006:AG1006),$AC$1006:$AS$1006,0)), HYPERLINK("#",""), HYPERLINK(CONCATENATE("#Metadata!", ADDRESS(INDEX($X$2:$X$1001,MATCH(ROWS($V$2:V810),$V$2:$V$1001,0),0), INDEX($AC$1004:$AS$1004,1,MATCH(COLUMNS($AC$1006:AG1006),$AC$1006:$AS$1006,0)))),"Fix")))</f>
        <v>0</v>
      </c>
      <c r="G810" s="5">
        <f>IF(OR(INDEX($W$2:$W$1001,MATCH(ROWS($V$2:V810),$V$2:$V$1001,0),1)&gt;=100000,INDEX($AC$1005:$AS$1005,1,MATCH(COLUMNS($AC$1006:AH1006),$AC$1006:$AS$1006,0))&gt;=100000), " ",IF(INDEX($AC$2:$AS$1001,MATCH(ROWS($V$2:V810),$V$2:$V$1001,0),MATCH(COLUMNS($AC$1006:AH1006),$AC$1006:$AS$1006,0)), HYPERLINK("#",""), HYPERLINK(CONCATENATE("#Metadata!", ADDRESS(INDEX($X$2:$X$1001,MATCH(ROWS($V$2:V810),$V$2:$V$1001,0),0), INDEX($AC$1004:$AS$1004,1,MATCH(COLUMNS($AC$1006:AH1006),$AC$1006:$AS$1006,0)))),"Fix")))</f>
        <v>0</v>
      </c>
      <c r="H810" s="5">
        <f>IF(OR(INDEX($W$2:$W$1001,MATCH(ROWS($V$2:V810),$V$2:$V$1001,0),1)&gt;=100000,INDEX($AC$1005:$AS$1005,1,MATCH(COLUMNS($AC$1006:AI1006),$AC$1006:$AS$1006,0))&gt;=100000), " ",IF(INDEX($AC$2:$AS$1001,MATCH(ROWS($V$2:V810),$V$2:$V$1001,0),MATCH(COLUMNS($AC$1006:AI1006),$AC$1006:$AS$1006,0)), HYPERLINK("#",""), HYPERLINK(CONCATENATE("#Metadata!", ADDRESS(INDEX($X$2:$X$1001,MATCH(ROWS($V$2:V810),$V$2:$V$1001,0),0), INDEX($AC$1004:$AS$1004,1,MATCH(COLUMNS($AC$1006:AI1006),$AC$1006:$AS$1006,0)))),"Fix")))</f>
        <v>0</v>
      </c>
      <c r="I810" s="5">
        <f>IF(OR(INDEX($W$2:$W$1001,MATCH(ROWS($V$2:V810),$V$2:$V$1001,0),1)&gt;=100000,INDEX($AC$1005:$AS$1005,1,MATCH(COLUMNS($AC$1006:AJ1006),$AC$1006:$AS$1006,0))&gt;=100000), " ",IF(INDEX($AC$2:$AS$1001,MATCH(ROWS($V$2:V810),$V$2:$V$1001,0),MATCH(COLUMNS($AC$1006:AJ1006),$AC$1006:$AS$1006,0)), HYPERLINK("#",""), HYPERLINK(CONCATENATE("#Metadata!", ADDRESS(INDEX($X$2:$X$1001,MATCH(ROWS($V$2:V810),$V$2:$V$1001,0),0), INDEX($AC$1004:$AS$1004,1,MATCH(COLUMNS($AC$1006:AJ1006),$AC$1006:$AS$1006,0)))),"Fix")))</f>
        <v>0</v>
      </c>
      <c r="J810" s="5">
        <f>IF(OR(INDEX($W$2:$W$1001,MATCH(ROWS($V$2:V810),$V$2:$V$1001,0),1)&gt;=100000,INDEX($AC$1005:$AS$1005,1,MATCH(COLUMNS($AC$1006:AK1006),$AC$1006:$AS$1006,0))&gt;=100000), " ",IF(INDEX($AC$2:$AS$1001,MATCH(ROWS($V$2:V810),$V$2:$V$1001,0),MATCH(COLUMNS($AC$1006:AK1006),$AC$1006:$AS$1006,0)), HYPERLINK("#",""), HYPERLINK(CONCATENATE("#Metadata!", ADDRESS(INDEX($X$2:$X$1001,MATCH(ROWS($V$2:V810),$V$2:$V$1001,0),0), INDEX($AC$1004:$AS$1004,1,MATCH(COLUMNS($AC$1006:AK1006),$AC$1006:$AS$1006,0)))),"Fix")))</f>
        <v>0</v>
      </c>
      <c r="K810" s="5">
        <f>IF(OR(INDEX($W$2:$W$1001,MATCH(ROWS($V$2:V810),$V$2:$V$1001,0),1)&gt;=100000,INDEX($AC$1005:$AS$1005,1,MATCH(COLUMNS($AC$1006:AL1006),$AC$1006:$AS$1006,0))&gt;=100000), " ",IF(INDEX($AC$2:$AS$1001,MATCH(ROWS($V$2:V810),$V$2:$V$1001,0),MATCH(COLUMNS($AC$1006:AL1006),$AC$1006:$AS$1006,0)), HYPERLINK("#",""), HYPERLINK(CONCATENATE("#Metadata!", ADDRESS(INDEX($X$2:$X$1001,MATCH(ROWS($V$2:V810),$V$2:$V$1001,0),0), INDEX($AC$1004:$AS$1004,1,MATCH(COLUMNS($AC$1006:AL1006),$AC$1006:$AS$1006,0)))),"Fix")))</f>
        <v>0</v>
      </c>
      <c r="L810" s="5">
        <f>IF(OR(INDEX($W$2:$W$1001,MATCH(ROWS($V$2:V810),$V$2:$V$1001,0),1)&gt;=100000,INDEX($AC$1005:$AS$1005,1,MATCH(COLUMNS($AC$1006:AM1006),$AC$1006:$AS$1006,0))&gt;=100000), " ",IF(INDEX($AC$2:$AS$1001,MATCH(ROWS($V$2:V810),$V$2:$V$1001,0),MATCH(COLUMNS($AC$1006:AM1006),$AC$1006:$AS$1006,0)), HYPERLINK("#",""), HYPERLINK(CONCATENATE("#Metadata!", ADDRESS(INDEX($X$2:$X$1001,MATCH(ROWS($V$2:V810),$V$2:$V$1001,0),0), INDEX($AC$1004:$AS$1004,1,MATCH(COLUMNS($AC$1006:AM1006),$AC$1006:$AS$1006,0)))),"Fix")))</f>
        <v>0</v>
      </c>
      <c r="M810" s="5">
        <f>IF(OR(INDEX($W$2:$W$1001,MATCH(ROWS($V$2:V810),$V$2:$V$1001,0),1)&gt;=100000,INDEX($AC$1005:$AS$1005,1,MATCH(COLUMNS($AC$1006:AN1006),$AC$1006:$AS$1006,0))&gt;=100000), " ",IF(INDEX($AC$2:$AS$1001,MATCH(ROWS($V$2:V810),$V$2:$V$1001,0),MATCH(COLUMNS($AC$1006:AN1006),$AC$1006:$AS$1006,0)), HYPERLINK("#",""), HYPERLINK(CONCATENATE("#Metadata!", ADDRESS(INDEX($X$2:$X$1001,MATCH(ROWS($V$2:V810),$V$2:$V$1001,0),0), INDEX($AC$1004:$AS$1004,1,MATCH(COLUMNS($AC$1006:AN1006),$AC$1006:$AS$1006,0)))),"Fix")))</f>
        <v>0</v>
      </c>
      <c r="N810" s="5">
        <f>IF(OR(INDEX($W$2:$W$1001,MATCH(ROWS($V$2:V810),$V$2:$V$1001,0),1)&gt;=100000,INDEX($AC$1005:$AS$1005,1,MATCH(COLUMNS($AC$1006:AO1006),$AC$1006:$AS$1006,0))&gt;=100000), " ",IF(INDEX($AC$2:$AS$1001,MATCH(ROWS($V$2:V810),$V$2:$V$1001,0),MATCH(COLUMNS($AC$1006:AO1006),$AC$1006:$AS$1006,0)), HYPERLINK("#",""), HYPERLINK(CONCATENATE("#Metadata!", ADDRESS(INDEX($X$2:$X$1001,MATCH(ROWS($V$2:V810),$V$2:$V$1001,0),0), INDEX($AC$1004:$AS$1004,1,MATCH(COLUMNS($AC$1006:AO1006),$AC$1006:$AS$1006,0)))),"Fix")))</f>
        <v>0</v>
      </c>
      <c r="O810" s="5">
        <f>IF(OR(INDEX($W$2:$W$1001,MATCH(ROWS($V$2:V810),$V$2:$V$1001,0),1)&gt;=100000,INDEX($AC$1005:$AS$1005,1,MATCH(COLUMNS($AC$1006:AP1006),$AC$1006:$AS$1006,0))&gt;=100000), " ",IF(INDEX($AC$2:$AS$1001,MATCH(ROWS($V$2:V810),$V$2:$V$1001,0),MATCH(COLUMNS($AC$1006:AP1006),$AC$1006:$AS$1006,0)), HYPERLINK("#",""), HYPERLINK(CONCATENATE("#Metadata!", ADDRESS(INDEX($X$2:$X$1001,MATCH(ROWS($V$2:V810),$V$2:$V$1001,0),0), INDEX($AC$1004:$AS$1004,1,MATCH(COLUMNS($AC$1006:AP1006),$AC$1006:$AS$1006,0)))),"Fix")))</f>
        <v>0</v>
      </c>
      <c r="P810" s="5">
        <f>IF(OR(INDEX($W$2:$W$1001,MATCH(ROWS($V$2:V810),$V$2:$V$1001,0),1)&gt;=100000,INDEX($AC$1005:$AS$1005,1,MATCH(COLUMNS($AC$1006:AQ1006),$AC$1006:$AS$1006,0))&gt;=100000), " ",IF(INDEX($AC$2:$AS$1001,MATCH(ROWS($V$2:V810),$V$2:$V$1001,0),MATCH(COLUMNS($AC$1006:AQ1006),$AC$1006:$AS$1006,0)), HYPERLINK("#",""), HYPERLINK(CONCATENATE("#Metadata!", ADDRESS(INDEX($X$2:$X$1001,MATCH(ROWS($V$2:V810),$V$2:$V$1001,0),0), INDEX($AC$1004:$AS$1004,1,MATCH(COLUMNS($AC$1006:AQ1006),$AC$1006:$AS$1006,0)))),"Fix")))</f>
        <v>0</v>
      </c>
      <c r="Q810" s="5">
        <f>IF(OR(INDEX($W$2:$W$1001,MATCH(ROWS($V$2:V810),$V$2:$V$1001,0),1)&gt;=100000,INDEX($AC$1005:$AS$1005,1,MATCH(COLUMNS($AC$1006:AR1006),$AC$1006:$AS$1006,0))&gt;=100000), " ",IF(INDEX($AC$2:$AS$1001,MATCH(ROWS($V$2:V810),$V$2:$V$1001,0),MATCH(COLUMNS($AC$1006:AR1006),$AC$1006:$AS$1006,0)), HYPERLINK("#",""), HYPERLINK(CONCATENATE("#Metadata!", ADDRESS(INDEX($X$2:$X$1001,MATCH(ROWS($V$2:V810),$V$2:$V$1001,0),0), INDEX($AC$1004:$AS$1004,1,MATCH(COLUMNS($AC$1006:AR1006),$AC$1006:$AS$1006,0)))),"Fix")))</f>
        <v>0</v>
      </c>
      <c r="R810" s="5">
        <f>IF(OR(INDEX($W$2:$W$1001,MATCH(ROWS($V$2:V810),$V$2:$V$1001,0),1)&gt;=100000,INDEX($AC$1005:$AS$1005,1,MATCH(COLUMNS($AC$1006:AS1006),$AC$1006:$AS$1006,0))&gt;=100000), " ",IF(INDEX($AC$2:$AS$1001,MATCH(ROWS($V$2:V810),$V$2:$V$1001,0),MATCH(COLUMNS($AC$1006:AS1006),$AC$1006:$AS$1006,0)), HYPERLINK("#",""), HYPERLINK(CONCATENATE("#Metadata!", ADDRESS(INDEX($X$2:$X$1001,MATCH(ROWS($V$2:V810),$V$2:$V$1001,0),0), INDEX($AC$1004:$AS$1004,1,MATCH(COLUMNS($AC$1006:AS1006),$AC$1006:$AS$1006,0)))),"Fix")))</f>
        <v>0</v>
      </c>
      <c r="V810">
        <v>0</v>
      </c>
      <c r="W810">
        <v>0</v>
      </c>
      <c r="X810">
        <v>0</v>
      </c>
      <c r="Y810">
        <f>IF(Z810,TRUE,AND(AC810:AS810))</f>
        <v>0</v>
      </c>
      <c r="Z810">
        <f>COUNTBLANK(Metadata!B810:R810)=COLUMNS(Metadata!B810:R810)</f>
        <v>0</v>
      </c>
      <c r="AA810">
        <v>0</v>
      </c>
      <c r="AC810">
        <f>AND(IF(Metadata!B810="",FALSE,TRUE),COUNTIF(Metadata!B:B, Metadata!B810) = 1,NOT(ISERROR(SUMPRODUCT(SEARCH(MID(Metadata!B810,ROW(INDIRECT("1:"&amp;LEN(Metadata!B810))), 1),"0123456789abcdefghijklmnopqrstuvwxyzABCDEFGHIJKLMNOPQRSTUVWXYZ.")))))</f>
        <v>0</v>
      </c>
      <c r="AD810">
        <f>AND(IF(Metadata!C810="",FALSE,TRUE),exact(Metadata!C810,"Host-associated"))</f>
        <v>0</v>
      </c>
      <c r="AE810">
        <f>AND(IF(Metadata!D810="",FALSE,TRUE),OR(exact(Metadata!D810,"Animal"),exact(Metadata!D810,"Fungus"),exact(Metadata!D810,"Plant")))</f>
        <v>0</v>
      </c>
      <c r="AF810">
        <f>AND(IF(Metadata!E810="",FALSE,TRUE),OR(exact(Metadata!E810,"Plant secretion"),exact(Metadata!E810,"Plant rhizosphere"),exact(Metadata!E810,"Plant surface"),exact(Metadata!E810,"Plant corpus"),exact(Metadata!E810,"Fungus surface"),exact(Metadata!E810,"Fungus corpus"),exact(Metadata!E810,"Animal surface"),exact(Metadata!E810,"Animal proximal gut"),exact(Metadata!E810,"Animal corpus"),exact(Metadata!E810,"Animal distal gut"),exact(Metadata!E810,"Animal secretion")))</f>
        <v>0</v>
      </c>
      <c r="AG810">
        <f>OR(AND(IF(Metadata!F810="",FALSE,TRUE),OR(exact(Metadata!F810,"not collected"),exact(Metadata!F810,"not provided"),exact(Metadata!F810,"restricted access"))),AND(IF(Metadata!F810="",FALSE,TRUE),OR(exact(Metadata!F810,"organism-associated habitat"),exact(Metadata!F810,"plant-associated habitat"),exact(Metadata!F810,"animal-associated habitat"),exact(Metadata!F810,"insecta-associated habitat"),exact(Metadata!F810,"mammalia-associated habitat"),exact(Metadata!F810,"human-associated habitat"),exact(Metadata!F810,"livestock-associated habitat"))))</f>
        <v>0</v>
      </c>
      <c r="AH810">
        <f>AND(IF(Metadata!G810="",FALSE,TRUE),exact(Metadata!G810,"host-associated"))</f>
        <v>0</v>
      </c>
      <c r="AI810">
        <f>OR(AND(IF(Metadata!H810="",FALSE,TRUE),OR(exact(Metadata!H810,"not collected"),exact(Metadata!H810,"not provided"))),AND(IF(Metadata!H810="",FALSE,ISNUMBER(VALUE(Metadata!H810))),Metadata!H810&gt;0))</f>
        <v>0</v>
      </c>
      <c r="AJ810">
        <f>AND(IF(Metadata!I810="",FALSE,TRUE),exact(Metadata!I810,"years"))</f>
        <v>0</v>
      </c>
      <c r="AK810">
        <f>IF(Metadata!J810="",FALSE,TRUE)</f>
        <v>0</v>
      </c>
      <c r="AL810">
        <f>OR(AND(IF(Metadata!K810="",FALSE,TRUE),OR(exact(Metadata!K810,"not collected"),exact(Metadata!K810,"not provided"))),AND(IF(Metadata!K810="",FALSE,ISNUMBER(VALUE(Metadata!K810))),Metadata!K810&gt;0))</f>
        <v>0</v>
      </c>
      <c r="AM810">
        <f>AND(IF(Metadata!L810="",FALSE,TRUE),exact(Metadata!L810,"cm"))</f>
        <v>0</v>
      </c>
      <c r="AN810">
        <f>IF(Metadata!M810="",FALSE,TRUE)</f>
        <v>0</v>
      </c>
      <c r="AO810">
        <f>OR(AND(IF(Metadata!N810="",FALSE,TRUE),OR(exact(Metadata!N810,"not applicable"),exact(Metadata!N810,"not collected"),exact(Metadata!N810,"not provided"))),AND(IF(Metadata!N810="",FALSE,IF(ISERROR(INT(Metadata!N810)),FALSE,INT(Metadata!N810)=Metadata!N810)),Metadata!N810&gt;0))</f>
        <v>0</v>
      </c>
      <c r="AP810">
        <f>OR(AND(IF(Metadata!O810="",FALSE,TRUE),OR(exact(Metadata!O810,"not collected"),exact(Metadata!O810,"not provided"))),AND(IF(Metadata!O810="",FALSE,ISNUMBER(VALUE(Metadata!O810))),Metadata!O810&gt;0))</f>
        <v>0</v>
      </c>
      <c r="AQ810">
        <f>AND(IF(Metadata!P810="",FALSE,TRUE),exact(Metadata!P810,"kg"))</f>
        <v>0</v>
      </c>
      <c r="AR810">
        <f>OR(AND(IF(Metadata!Q810="",FALSE,TRUE),OR(exact(Metadata!Q810,"not applicable"),exact(Metadata!Q810,"not collected"),exact(Metadata!Q810,"not provided"),exact(Metadata!Q810,"restricted access"))),IF(Metadata!Q810="",FALSE,IF(ISERROR(INT(Metadata!Q810)),FALSE,INT(Metadata!Q810)=Metadata!Q810)))</f>
        <v>0</v>
      </c>
      <c r="AS810">
        <f>AND(IF(Metadata!R810="",FALSE,TRUE),exact(Metadata!R810,"Not applicable"))</f>
        <v>0</v>
      </c>
    </row>
    <row r="811" spans="1:45">
      <c r="A811" s="4">
        <f>IF(B811=" "," ",HYPERLINK(CONCATENATE("#metadata!",ADDRESS(INDEX($X$2:$X$1001,MATCH(ROWS($V$2:V811),$V$2:$V$1001,0),0),2)),INDEX($AA$2:$AA$1001,MATCH(ROWS($V$2:V811),$V$2:$V$1001,0),0)))</f>
        <v>0</v>
      </c>
      <c r="B811" s="5">
        <f>IF(OR(INDEX($W$2:$W$1001,MATCH(ROWS($V$2:V811),$V$2:$V$1001,0),1)&gt;=100000,INDEX($AC$1005:$AS$1005,1,MATCH(COLUMNS($AC$1006:AC1006),$AC$1006:$AS$1006,0))&gt;=100000), " ",IF(INDEX($AC$2:$AS$1001,MATCH(ROWS($V$2:V811),$V$2:$V$1001,0),MATCH(COLUMNS($AC$1006:AC1006),$AC$1006:$AS$1006,0)), HYPERLINK("#",""), HYPERLINK(CONCATENATE("#Metadata!", ADDRESS(INDEX($X$2:$X$1001,MATCH(ROWS($V$2:V811),$V$2:$V$1001,0),0), INDEX($AC$1004:$AS$1004,1,MATCH(COLUMNS($AC$1006:AC1006),$AC$1006:$AS$1006,0)))),"Fix")))</f>
        <v>0</v>
      </c>
      <c r="C811" s="5">
        <f>IF(OR(INDEX($W$2:$W$1001,MATCH(ROWS($V$2:V811),$V$2:$V$1001,0),1)&gt;=100000,INDEX($AC$1005:$AS$1005,1,MATCH(COLUMNS($AC$1006:AD1006),$AC$1006:$AS$1006,0))&gt;=100000), " ",IF(INDEX($AC$2:$AS$1001,MATCH(ROWS($V$2:V811),$V$2:$V$1001,0),MATCH(COLUMNS($AC$1006:AD1006),$AC$1006:$AS$1006,0)), HYPERLINK("#",""), HYPERLINK(CONCATENATE("#Metadata!", ADDRESS(INDEX($X$2:$X$1001,MATCH(ROWS($V$2:V811),$V$2:$V$1001,0),0), INDEX($AC$1004:$AS$1004,1,MATCH(COLUMNS($AC$1006:AD1006),$AC$1006:$AS$1006,0)))),"Fix")))</f>
        <v>0</v>
      </c>
      <c r="D811" s="5">
        <f>IF(OR(INDEX($W$2:$W$1001,MATCH(ROWS($V$2:V811),$V$2:$V$1001,0),1)&gt;=100000,INDEX($AC$1005:$AS$1005,1,MATCH(COLUMNS($AC$1006:AE1006),$AC$1006:$AS$1006,0))&gt;=100000), " ",IF(INDEX($AC$2:$AS$1001,MATCH(ROWS($V$2:V811),$V$2:$V$1001,0),MATCH(COLUMNS($AC$1006:AE1006),$AC$1006:$AS$1006,0)), HYPERLINK("#",""), HYPERLINK(CONCATENATE("#Metadata!", ADDRESS(INDEX($X$2:$X$1001,MATCH(ROWS($V$2:V811),$V$2:$V$1001,0),0), INDEX($AC$1004:$AS$1004,1,MATCH(COLUMNS($AC$1006:AE1006),$AC$1006:$AS$1006,0)))),"Fix")))</f>
        <v>0</v>
      </c>
      <c r="E811" s="5">
        <f>IF(OR(INDEX($W$2:$W$1001,MATCH(ROWS($V$2:V811),$V$2:$V$1001,0),1)&gt;=100000,INDEX($AC$1005:$AS$1005,1,MATCH(COLUMNS($AC$1006:AF1006),$AC$1006:$AS$1006,0))&gt;=100000), " ",IF(INDEX($AC$2:$AS$1001,MATCH(ROWS($V$2:V811),$V$2:$V$1001,0),MATCH(COLUMNS($AC$1006:AF1006),$AC$1006:$AS$1006,0)), HYPERLINK("#",""), HYPERLINK(CONCATENATE("#Metadata!", ADDRESS(INDEX($X$2:$X$1001,MATCH(ROWS($V$2:V811),$V$2:$V$1001,0),0), INDEX($AC$1004:$AS$1004,1,MATCH(COLUMNS($AC$1006:AF1006),$AC$1006:$AS$1006,0)))),"Fix")))</f>
        <v>0</v>
      </c>
      <c r="F811" s="5">
        <f>IF(OR(INDEX($W$2:$W$1001,MATCH(ROWS($V$2:V811),$V$2:$V$1001,0),1)&gt;=100000,INDEX($AC$1005:$AS$1005,1,MATCH(COLUMNS($AC$1006:AG1006),$AC$1006:$AS$1006,0))&gt;=100000), " ",IF(INDEX($AC$2:$AS$1001,MATCH(ROWS($V$2:V811),$V$2:$V$1001,0),MATCH(COLUMNS($AC$1006:AG1006),$AC$1006:$AS$1006,0)), HYPERLINK("#",""), HYPERLINK(CONCATENATE("#Metadata!", ADDRESS(INDEX($X$2:$X$1001,MATCH(ROWS($V$2:V811),$V$2:$V$1001,0),0), INDEX($AC$1004:$AS$1004,1,MATCH(COLUMNS($AC$1006:AG1006),$AC$1006:$AS$1006,0)))),"Fix")))</f>
        <v>0</v>
      </c>
      <c r="G811" s="5">
        <f>IF(OR(INDEX($W$2:$W$1001,MATCH(ROWS($V$2:V811),$V$2:$V$1001,0),1)&gt;=100000,INDEX($AC$1005:$AS$1005,1,MATCH(COLUMNS($AC$1006:AH1006),$AC$1006:$AS$1006,0))&gt;=100000), " ",IF(INDEX($AC$2:$AS$1001,MATCH(ROWS($V$2:V811),$V$2:$V$1001,0),MATCH(COLUMNS($AC$1006:AH1006),$AC$1006:$AS$1006,0)), HYPERLINK("#",""), HYPERLINK(CONCATENATE("#Metadata!", ADDRESS(INDEX($X$2:$X$1001,MATCH(ROWS($V$2:V811),$V$2:$V$1001,0),0), INDEX($AC$1004:$AS$1004,1,MATCH(COLUMNS($AC$1006:AH1006),$AC$1006:$AS$1006,0)))),"Fix")))</f>
        <v>0</v>
      </c>
      <c r="H811" s="5">
        <f>IF(OR(INDEX($W$2:$W$1001,MATCH(ROWS($V$2:V811),$V$2:$V$1001,0),1)&gt;=100000,INDEX($AC$1005:$AS$1005,1,MATCH(COLUMNS($AC$1006:AI1006),$AC$1006:$AS$1006,0))&gt;=100000), " ",IF(INDEX($AC$2:$AS$1001,MATCH(ROWS($V$2:V811),$V$2:$V$1001,0),MATCH(COLUMNS($AC$1006:AI1006),$AC$1006:$AS$1006,0)), HYPERLINK("#",""), HYPERLINK(CONCATENATE("#Metadata!", ADDRESS(INDEX($X$2:$X$1001,MATCH(ROWS($V$2:V811),$V$2:$V$1001,0),0), INDEX($AC$1004:$AS$1004,1,MATCH(COLUMNS($AC$1006:AI1006),$AC$1006:$AS$1006,0)))),"Fix")))</f>
        <v>0</v>
      </c>
      <c r="I811" s="5">
        <f>IF(OR(INDEX($W$2:$W$1001,MATCH(ROWS($V$2:V811),$V$2:$V$1001,0),1)&gt;=100000,INDEX($AC$1005:$AS$1005,1,MATCH(COLUMNS($AC$1006:AJ1006),$AC$1006:$AS$1006,0))&gt;=100000), " ",IF(INDEX($AC$2:$AS$1001,MATCH(ROWS($V$2:V811),$V$2:$V$1001,0),MATCH(COLUMNS($AC$1006:AJ1006),$AC$1006:$AS$1006,0)), HYPERLINK("#",""), HYPERLINK(CONCATENATE("#Metadata!", ADDRESS(INDEX($X$2:$X$1001,MATCH(ROWS($V$2:V811),$V$2:$V$1001,0),0), INDEX($AC$1004:$AS$1004,1,MATCH(COLUMNS($AC$1006:AJ1006),$AC$1006:$AS$1006,0)))),"Fix")))</f>
        <v>0</v>
      </c>
      <c r="J811" s="5">
        <f>IF(OR(INDEX($W$2:$W$1001,MATCH(ROWS($V$2:V811),$V$2:$V$1001,0),1)&gt;=100000,INDEX($AC$1005:$AS$1005,1,MATCH(COLUMNS($AC$1006:AK1006),$AC$1006:$AS$1006,0))&gt;=100000), " ",IF(INDEX($AC$2:$AS$1001,MATCH(ROWS($V$2:V811),$V$2:$V$1001,0),MATCH(COLUMNS($AC$1006:AK1006),$AC$1006:$AS$1006,0)), HYPERLINK("#",""), HYPERLINK(CONCATENATE("#Metadata!", ADDRESS(INDEX($X$2:$X$1001,MATCH(ROWS($V$2:V811),$V$2:$V$1001,0),0), INDEX($AC$1004:$AS$1004,1,MATCH(COLUMNS($AC$1006:AK1006),$AC$1006:$AS$1006,0)))),"Fix")))</f>
        <v>0</v>
      </c>
      <c r="K811" s="5">
        <f>IF(OR(INDEX($W$2:$W$1001,MATCH(ROWS($V$2:V811),$V$2:$V$1001,0),1)&gt;=100000,INDEX($AC$1005:$AS$1005,1,MATCH(COLUMNS($AC$1006:AL1006),$AC$1006:$AS$1006,0))&gt;=100000), " ",IF(INDEX($AC$2:$AS$1001,MATCH(ROWS($V$2:V811),$V$2:$V$1001,0),MATCH(COLUMNS($AC$1006:AL1006),$AC$1006:$AS$1006,0)), HYPERLINK("#",""), HYPERLINK(CONCATENATE("#Metadata!", ADDRESS(INDEX($X$2:$X$1001,MATCH(ROWS($V$2:V811),$V$2:$V$1001,0),0), INDEX($AC$1004:$AS$1004,1,MATCH(COLUMNS($AC$1006:AL1006),$AC$1006:$AS$1006,0)))),"Fix")))</f>
        <v>0</v>
      </c>
      <c r="L811" s="5">
        <f>IF(OR(INDEX($W$2:$W$1001,MATCH(ROWS($V$2:V811),$V$2:$V$1001,0),1)&gt;=100000,INDEX($AC$1005:$AS$1005,1,MATCH(COLUMNS($AC$1006:AM1006),$AC$1006:$AS$1006,0))&gt;=100000), " ",IF(INDEX($AC$2:$AS$1001,MATCH(ROWS($V$2:V811),$V$2:$V$1001,0),MATCH(COLUMNS($AC$1006:AM1006),$AC$1006:$AS$1006,0)), HYPERLINK("#",""), HYPERLINK(CONCATENATE("#Metadata!", ADDRESS(INDEX($X$2:$X$1001,MATCH(ROWS($V$2:V811),$V$2:$V$1001,0),0), INDEX($AC$1004:$AS$1004,1,MATCH(COLUMNS($AC$1006:AM1006),$AC$1006:$AS$1006,0)))),"Fix")))</f>
        <v>0</v>
      </c>
      <c r="M811" s="5">
        <f>IF(OR(INDEX($W$2:$W$1001,MATCH(ROWS($V$2:V811),$V$2:$V$1001,0),1)&gt;=100000,INDEX($AC$1005:$AS$1005,1,MATCH(COLUMNS($AC$1006:AN1006),$AC$1006:$AS$1006,0))&gt;=100000), " ",IF(INDEX($AC$2:$AS$1001,MATCH(ROWS($V$2:V811),$V$2:$V$1001,0),MATCH(COLUMNS($AC$1006:AN1006),$AC$1006:$AS$1006,0)), HYPERLINK("#",""), HYPERLINK(CONCATENATE("#Metadata!", ADDRESS(INDEX($X$2:$X$1001,MATCH(ROWS($V$2:V811),$V$2:$V$1001,0),0), INDEX($AC$1004:$AS$1004,1,MATCH(COLUMNS($AC$1006:AN1006),$AC$1006:$AS$1006,0)))),"Fix")))</f>
        <v>0</v>
      </c>
      <c r="N811" s="5">
        <f>IF(OR(INDEX($W$2:$W$1001,MATCH(ROWS($V$2:V811),$V$2:$V$1001,0),1)&gt;=100000,INDEX($AC$1005:$AS$1005,1,MATCH(COLUMNS($AC$1006:AO1006),$AC$1006:$AS$1006,0))&gt;=100000), " ",IF(INDEX($AC$2:$AS$1001,MATCH(ROWS($V$2:V811),$V$2:$V$1001,0),MATCH(COLUMNS($AC$1006:AO1006),$AC$1006:$AS$1006,0)), HYPERLINK("#",""), HYPERLINK(CONCATENATE("#Metadata!", ADDRESS(INDEX($X$2:$X$1001,MATCH(ROWS($V$2:V811),$V$2:$V$1001,0),0), INDEX($AC$1004:$AS$1004,1,MATCH(COLUMNS($AC$1006:AO1006),$AC$1006:$AS$1006,0)))),"Fix")))</f>
        <v>0</v>
      </c>
      <c r="O811" s="5">
        <f>IF(OR(INDEX($W$2:$W$1001,MATCH(ROWS($V$2:V811),$V$2:$V$1001,0),1)&gt;=100000,INDEX($AC$1005:$AS$1005,1,MATCH(COLUMNS($AC$1006:AP1006),$AC$1006:$AS$1006,0))&gt;=100000), " ",IF(INDEX($AC$2:$AS$1001,MATCH(ROWS($V$2:V811),$V$2:$V$1001,0),MATCH(COLUMNS($AC$1006:AP1006),$AC$1006:$AS$1006,0)), HYPERLINK("#",""), HYPERLINK(CONCATENATE("#Metadata!", ADDRESS(INDEX($X$2:$X$1001,MATCH(ROWS($V$2:V811),$V$2:$V$1001,0),0), INDEX($AC$1004:$AS$1004,1,MATCH(COLUMNS($AC$1006:AP1006),$AC$1006:$AS$1006,0)))),"Fix")))</f>
        <v>0</v>
      </c>
      <c r="P811" s="5">
        <f>IF(OR(INDEX($W$2:$W$1001,MATCH(ROWS($V$2:V811),$V$2:$V$1001,0),1)&gt;=100000,INDEX($AC$1005:$AS$1005,1,MATCH(COLUMNS($AC$1006:AQ1006),$AC$1006:$AS$1006,0))&gt;=100000), " ",IF(INDEX($AC$2:$AS$1001,MATCH(ROWS($V$2:V811),$V$2:$V$1001,0),MATCH(COLUMNS($AC$1006:AQ1006),$AC$1006:$AS$1006,0)), HYPERLINK("#",""), HYPERLINK(CONCATENATE("#Metadata!", ADDRESS(INDEX($X$2:$X$1001,MATCH(ROWS($V$2:V811),$V$2:$V$1001,0),0), INDEX($AC$1004:$AS$1004,1,MATCH(COLUMNS($AC$1006:AQ1006),$AC$1006:$AS$1006,0)))),"Fix")))</f>
        <v>0</v>
      </c>
      <c r="Q811" s="5">
        <f>IF(OR(INDEX($W$2:$W$1001,MATCH(ROWS($V$2:V811),$V$2:$V$1001,0),1)&gt;=100000,INDEX($AC$1005:$AS$1005,1,MATCH(COLUMNS($AC$1006:AR1006),$AC$1006:$AS$1006,0))&gt;=100000), " ",IF(INDEX($AC$2:$AS$1001,MATCH(ROWS($V$2:V811),$V$2:$V$1001,0),MATCH(COLUMNS($AC$1006:AR1006),$AC$1006:$AS$1006,0)), HYPERLINK("#",""), HYPERLINK(CONCATENATE("#Metadata!", ADDRESS(INDEX($X$2:$X$1001,MATCH(ROWS($V$2:V811),$V$2:$V$1001,0),0), INDEX($AC$1004:$AS$1004,1,MATCH(COLUMNS($AC$1006:AR1006),$AC$1006:$AS$1006,0)))),"Fix")))</f>
        <v>0</v>
      </c>
      <c r="R811" s="5">
        <f>IF(OR(INDEX($W$2:$W$1001,MATCH(ROWS($V$2:V811),$V$2:$V$1001,0),1)&gt;=100000,INDEX($AC$1005:$AS$1005,1,MATCH(COLUMNS($AC$1006:AS1006),$AC$1006:$AS$1006,0))&gt;=100000), " ",IF(INDEX($AC$2:$AS$1001,MATCH(ROWS($V$2:V811),$V$2:$V$1001,0),MATCH(COLUMNS($AC$1006:AS1006),$AC$1006:$AS$1006,0)), HYPERLINK("#",""), HYPERLINK(CONCATENATE("#Metadata!", ADDRESS(INDEX($X$2:$X$1001,MATCH(ROWS($V$2:V811),$V$2:$V$1001,0),0), INDEX($AC$1004:$AS$1004,1,MATCH(COLUMNS($AC$1006:AS1006),$AC$1006:$AS$1006,0)))),"Fix")))</f>
        <v>0</v>
      </c>
      <c r="V811">
        <v>0</v>
      </c>
      <c r="W811">
        <v>0</v>
      </c>
      <c r="X811">
        <v>0</v>
      </c>
      <c r="Y811">
        <f>IF(Z811,TRUE,AND(AC811:AS811))</f>
        <v>0</v>
      </c>
      <c r="Z811">
        <f>COUNTBLANK(Metadata!B811:R811)=COLUMNS(Metadata!B811:R811)</f>
        <v>0</v>
      </c>
      <c r="AA811">
        <v>0</v>
      </c>
      <c r="AC811">
        <f>AND(IF(Metadata!B811="",FALSE,TRUE),COUNTIF(Metadata!B:B, Metadata!B811) = 1,NOT(ISERROR(SUMPRODUCT(SEARCH(MID(Metadata!B811,ROW(INDIRECT("1:"&amp;LEN(Metadata!B811))), 1),"0123456789abcdefghijklmnopqrstuvwxyzABCDEFGHIJKLMNOPQRSTUVWXYZ.")))))</f>
        <v>0</v>
      </c>
      <c r="AD811">
        <f>AND(IF(Metadata!C811="",FALSE,TRUE),exact(Metadata!C811,"Host-associated"))</f>
        <v>0</v>
      </c>
      <c r="AE811">
        <f>AND(IF(Metadata!D811="",FALSE,TRUE),OR(exact(Metadata!D811,"Animal"),exact(Metadata!D811,"Fungus"),exact(Metadata!D811,"Plant")))</f>
        <v>0</v>
      </c>
      <c r="AF811">
        <f>AND(IF(Metadata!E811="",FALSE,TRUE),OR(exact(Metadata!E811,"Plant secretion"),exact(Metadata!E811,"Plant rhizosphere"),exact(Metadata!E811,"Plant surface"),exact(Metadata!E811,"Plant corpus"),exact(Metadata!E811,"Fungus surface"),exact(Metadata!E811,"Fungus corpus"),exact(Metadata!E811,"Animal surface"),exact(Metadata!E811,"Animal proximal gut"),exact(Metadata!E811,"Animal corpus"),exact(Metadata!E811,"Animal distal gut"),exact(Metadata!E811,"Animal secretion")))</f>
        <v>0</v>
      </c>
      <c r="AG811">
        <f>OR(AND(IF(Metadata!F811="",FALSE,TRUE),OR(exact(Metadata!F811,"not collected"),exact(Metadata!F811,"not provided"),exact(Metadata!F811,"restricted access"))),AND(IF(Metadata!F811="",FALSE,TRUE),OR(exact(Metadata!F811,"organism-associated habitat"),exact(Metadata!F811,"plant-associated habitat"),exact(Metadata!F811,"animal-associated habitat"),exact(Metadata!F811,"insecta-associated habitat"),exact(Metadata!F811,"mammalia-associated habitat"),exact(Metadata!F811,"human-associated habitat"),exact(Metadata!F811,"livestock-associated habitat"))))</f>
        <v>0</v>
      </c>
      <c r="AH811">
        <f>AND(IF(Metadata!G811="",FALSE,TRUE),exact(Metadata!G811,"host-associated"))</f>
        <v>0</v>
      </c>
      <c r="AI811">
        <f>OR(AND(IF(Metadata!H811="",FALSE,TRUE),OR(exact(Metadata!H811,"not collected"),exact(Metadata!H811,"not provided"))),AND(IF(Metadata!H811="",FALSE,ISNUMBER(VALUE(Metadata!H811))),Metadata!H811&gt;0))</f>
        <v>0</v>
      </c>
      <c r="AJ811">
        <f>AND(IF(Metadata!I811="",FALSE,TRUE),exact(Metadata!I811,"years"))</f>
        <v>0</v>
      </c>
      <c r="AK811">
        <f>IF(Metadata!J811="",FALSE,TRUE)</f>
        <v>0</v>
      </c>
      <c r="AL811">
        <f>OR(AND(IF(Metadata!K811="",FALSE,TRUE),OR(exact(Metadata!K811,"not collected"),exact(Metadata!K811,"not provided"))),AND(IF(Metadata!K811="",FALSE,ISNUMBER(VALUE(Metadata!K811))),Metadata!K811&gt;0))</f>
        <v>0</v>
      </c>
      <c r="AM811">
        <f>AND(IF(Metadata!L811="",FALSE,TRUE),exact(Metadata!L811,"cm"))</f>
        <v>0</v>
      </c>
      <c r="AN811">
        <f>IF(Metadata!M811="",FALSE,TRUE)</f>
        <v>0</v>
      </c>
      <c r="AO811">
        <f>OR(AND(IF(Metadata!N811="",FALSE,TRUE),OR(exact(Metadata!N811,"not applicable"),exact(Metadata!N811,"not collected"),exact(Metadata!N811,"not provided"))),AND(IF(Metadata!N811="",FALSE,IF(ISERROR(INT(Metadata!N811)),FALSE,INT(Metadata!N811)=Metadata!N811)),Metadata!N811&gt;0))</f>
        <v>0</v>
      </c>
      <c r="AP811">
        <f>OR(AND(IF(Metadata!O811="",FALSE,TRUE),OR(exact(Metadata!O811,"not collected"),exact(Metadata!O811,"not provided"))),AND(IF(Metadata!O811="",FALSE,ISNUMBER(VALUE(Metadata!O811))),Metadata!O811&gt;0))</f>
        <v>0</v>
      </c>
      <c r="AQ811">
        <f>AND(IF(Metadata!P811="",FALSE,TRUE),exact(Metadata!P811,"kg"))</f>
        <v>0</v>
      </c>
      <c r="AR811">
        <f>OR(AND(IF(Metadata!Q811="",FALSE,TRUE),OR(exact(Metadata!Q811,"not applicable"),exact(Metadata!Q811,"not collected"),exact(Metadata!Q811,"not provided"),exact(Metadata!Q811,"restricted access"))),IF(Metadata!Q811="",FALSE,IF(ISERROR(INT(Metadata!Q811)),FALSE,INT(Metadata!Q811)=Metadata!Q811)))</f>
        <v>0</v>
      </c>
      <c r="AS811">
        <f>AND(IF(Metadata!R811="",FALSE,TRUE),exact(Metadata!R811,"Not applicable"))</f>
        <v>0</v>
      </c>
    </row>
    <row r="812" spans="1:45">
      <c r="A812" s="4">
        <f>IF(B812=" "," ",HYPERLINK(CONCATENATE("#metadata!",ADDRESS(INDEX($X$2:$X$1001,MATCH(ROWS($V$2:V812),$V$2:$V$1001,0),0),2)),INDEX($AA$2:$AA$1001,MATCH(ROWS($V$2:V812),$V$2:$V$1001,0),0)))</f>
        <v>0</v>
      </c>
      <c r="B812" s="5">
        <f>IF(OR(INDEX($W$2:$W$1001,MATCH(ROWS($V$2:V812),$V$2:$V$1001,0),1)&gt;=100000,INDEX($AC$1005:$AS$1005,1,MATCH(COLUMNS($AC$1006:AC1006),$AC$1006:$AS$1006,0))&gt;=100000), " ",IF(INDEX($AC$2:$AS$1001,MATCH(ROWS($V$2:V812),$V$2:$V$1001,0),MATCH(COLUMNS($AC$1006:AC1006),$AC$1006:$AS$1006,0)), HYPERLINK("#",""), HYPERLINK(CONCATENATE("#Metadata!", ADDRESS(INDEX($X$2:$X$1001,MATCH(ROWS($V$2:V812),$V$2:$V$1001,0),0), INDEX($AC$1004:$AS$1004,1,MATCH(COLUMNS($AC$1006:AC1006),$AC$1006:$AS$1006,0)))),"Fix")))</f>
        <v>0</v>
      </c>
      <c r="C812" s="5">
        <f>IF(OR(INDEX($W$2:$W$1001,MATCH(ROWS($V$2:V812),$V$2:$V$1001,0),1)&gt;=100000,INDEX($AC$1005:$AS$1005,1,MATCH(COLUMNS($AC$1006:AD1006),$AC$1006:$AS$1006,0))&gt;=100000), " ",IF(INDEX($AC$2:$AS$1001,MATCH(ROWS($V$2:V812),$V$2:$V$1001,0),MATCH(COLUMNS($AC$1006:AD1006),$AC$1006:$AS$1006,0)), HYPERLINK("#",""), HYPERLINK(CONCATENATE("#Metadata!", ADDRESS(INDEX($X$2:$X$1001,MATCH(ROWS($V$2:V812),$V$2:$V$1001,0),0), INDEX($AC$1004:$AS$1004,1,MATCH(COLUMNS($AC$1006:AD1006),$AC$1006:$AS$1006,0)))),"Fix")))</f>
        <v>0</v>
      </c>
      <c r="D812" s="5">
        <f>IF(OR(INDEX($W$2:$W$1001,MATCH(ROWS($V$2:V812),$V$2:$V$1001,0),1)&gt;=100000,INDEX($AC$1005:$AS$1005,1,MATCH(COLUMNS($AC$1006:AE1006),$AC$1006:$AS$1006,0))&gt;=100000), " ",IF(INDEX($AC$2:$AS$1001,MATCH(ROWS($V$2:V812),$V$2:$V$1001,0),MATCH(COLUMNS($AC$1006:AE1006),$AC$1006:$AS$1006,0)), HYPERLINK("#",""), HYPERLINK(CONCATENATE("#Metadata!", ADDRESS(INDEX($X$2:$X$1001,MATCH(ROWS($V$2:V812),$V$2:$V$1001,0),0), INDEX($AC$1004:$AS$1004,1,MATCH(COLUMNS($AC$1006:AE1006),$AC$1006:$AS$1006,0)))),"Fix")))</f>
        <v>0</v>
      </c>
      <c r="E812" s="5">
        <f>IF(OR(INDEX($W$2:$W$1001,MATCH(ROWS($V$2:V812),$V$2:$V$1001,0),1)&gt;=100000,INDEX($AC$1005:$AS$1005,1,MATCH(COLUMNS($AC$1006:AF1006),$AC$1006:$AS$1006,0))&gt;=100000), " ",IF(INDEX($AC$2:$AS$1001,MATCH(ROWS($V$2:V812),$V$2:$V$1001,0),MATCH(COLUMNS($AC$1006:AF1006),$AC$1006:$AS$1006,0)), HYPERLINK("#",""), HYPERLINK(CONCATENATE("#Metadata!", ADDRESS(INDEX($X$2:$X$1001,MATCH(ROWS($V$2:V812),$V$2:$V$1001,0),0), INDEX($AC$1004:$AS$1004,1,MATCH(COLUMNS($AC$1006:AF1006),$AC$1006:$AS$1006,0)))),"Fix")))</f>
        <v>0</v>
      </c>
      <c r="F812" s="5">
        <f>IF(OR(INDEX($W$2:$W$1001,MATCH(ROWS($V$2:V812),$V$2:$V$1001,0),1)&gt;=100000,INDEX($AC$1005:$AS$1005,1,MATCH(COLUMNS($AC$1006:AG1006),$AC$1006:$AS$1006,0))&gt;=100000), " ",IF(INDEX($AC$2:$AS$1001,MATCH(ROWS($V$2:V812),$V$2:$V$1001,0),MATCH(COLUMNS($AC$1006:AG1006),$AC$1006:$AS$1006,0)), HYPERLINK("#",""), HYPERLINK(CONCATENATE("#Metadata!", ADDRESS(INDEX($X$2:$X$1001,MATCH(ROWS($V$2:V812),$V$2:$V$1001,0),0), INDEX($AC$1004:$AS$1004,1,MATCH(COLUMNS($AC$1006:AG1006),$AC$1006:$AS$1006,0)))),"Fix")))</f>
        <v>0</v>
      </c>
      <c r="G812" s="5">
        <f>IF(OR(INDEX($W$2:$W$1001,MATCH(ROWS($V$2:V812),$V$2:$V$1001,0),1)&gt;=100000,INDEX($AC$1005:$AS$1005,1,MATCH(COLUMNS($AC$1006:AH1006),$AC$1006:$AS$1006,0))&gt;=100000), " ",IF(INDEX($AC$2:$AS$1001,MATCH(ROWS($V$2:V812),$V$2:$V$1001,0),MATCH(COLUMNS($AC$1006:AH1006),$AC$1006:$AS$1006,0)), HYPERLINK("#",""), HYPERLINK(CONCATENATE("#Metadata!", ADDRESS(INDEX($X$2:$X$1001,MATCH(ROWS($V$2:V812),$V$2:$V$1001,0),0), INDEX($AC$1004:$AS$1004,1,MATCH(COLUMNS($AC$1006:AH1006),$AC$1006:$AS$1006,0)))),"Fix")))</f>
        <v>0</v>
      </c>
      <c r="H812" s="5">
        <f>IF(OR(INDEX($W$2:$W$1001,MATCH(ROWS($V$2:V812),$V$2:$V$1001,0),1)&gt;=100000,INDEX($AC$1005:$AS$1005,1,MATCH(COLUMNS($AC$1006:AI1006),$AC$1006:$AS$1006,0))&gt;=100000), " ",IF(INDEX($AC$2:$AS$1001,MATCH(ROWS($V$2:V812),$V$2:$V$1001,0),MATCH(COLUMNS($AC$1006:AI1006),$AC$1006:$AS$1006,0)), HYPERLINK("#",""), HYPERLINK(CONCATENATE("#Metadata!", ADDRESS(INDEX($X$2:$X$1001,MATCH(ROWS($V$2:V812),$V$2:$V$1001,0),0), INDEX($AC$1004:$AS$1004,1,MATCH(COLUMNS($AC$1006:AI1006),$AC$1006:$AS$1006,0)))),"Fix")))</f>
        <v>0</v>
      </c>
      <c r="I812" s="5">
        <f>IF(OR(INDEX($W$2:$W$1001,MATCH(ROWS($V$2:V812),$V$2:$V$1001,0),1)&gt;=100000,INDEX($AC$1005:$AS$1005,1,MATCH(COLUMNS($AC$1006:AJ1006),$AC$1006:$AS$1006,0))&gt;=100000), " ",IF(INDEX($AC$2:$AS$1001,MATCH(ROWS($V$2:V812),$V$2:$V$1001,0),MATCH(COLUMNS($AC$1006:AJ1006),$AC$1006:$AS$1006,0)), HYPERLINK("#",""), HYPERLINK(CONCATENATE("#Metadata!", ADDRESS(INDEX($X$2:$X$1001,MATCH(ROWS($V$2:V812),$V$2:$V$1001,0),0), INDEX($AC$1004:$AS$1004,1,MATCH(COLUMNS($AC$1006:AJ1006),$AC$1006:$AS$1006,0)))),"Fix")))</f>
        <v>0</v>
      </c>
      <c r="J812" s="5">
        <f>IF(OR(INDEX($W$2:$W$1001,MATCH(ROWS($V$2:V812),$V$2:$V$1001,0),1)&gt;=100000,INDEX($AC$1005:$AS$1005,1,MATCH(COLUMNS($AC$1006:AK1006),$AC$1006:$AS$1006,0))&gt;=100000), " ",IF(INDEX($AC$2:$AS$1001,MATCH(ROWS($V$2:V812),$V$2:$V$1001,0),MATCH(COLUMNS($AC$1006:AK1006),$AC$1006:$AS$1006,0)), HYPERLINK("#",""), HYPERLINK(CONCATENATE("#Metadata!", ADDRESS(INDEX($X$2:$X$1001,MATCH(ROWS($V$2:V812),$V$2:$V$1001,0),0), INDEX($AC$1004:$AS$1004,1,MATCH(COLUMNS($AC$1006:AK1006),$AC$1006:$AS$1006,0)))),"Fix")))</f>
        <v>0</v>
      </c>
      <c r="K812" s="5">
        <f>IF(OR(INDEX($W$2:$W$1001,MATCH(ROWS($V$2:V812),$V$2:$V$1001,0),1)&gt;=100000,INDEX($AC$1005:$AS$1005,1,MATCH(COLUMNS($AC$1006:AL1006),$AC$1006:$AS$1006,0))&gt;=100000), " ",IF(INDEX($AC$2:$AS$1001,MATCH(ROWS($V$2:V812),$V$2:$V$1001,0),MATCH(COLUMNS($AC$1006:AL1006),$AC$1006:$AS$1006,0)), HYPERLINK("#",""), HYPERLINK(CONCATENATE("#Metadata!", ADDRESS(INDEX($X$2:$X$1001,MATCH(ROWS($V$2:V812),$V$2:$V$1001,0),0), INDEX($AC$1004:$AS$1004,1,MATCH(COLUMNS($AC$1006:AL1006),$AC$1006:$AS$1006,0)))),"Fix")))</f>
        <v>0</v>
      </c>
      <c r="L812" s="5">
        <f>IF(OR(INDEX($W$2:$W$1001,MATCH(ROWS($V$2:V812),$V$2:$V$1001,0),1)&gt;=100000,INDEX($AC$1005:$AS$1005,1,MATCH(COLUMNS($AC$1006:AM1006),$AC$1006:$AS$1006,0))&gt;=100000), " ",IF(INDEX($AC$2:$AS$1001,MATCH(ROWS($V$2:V812),$V$2:$V$1001,0),MATCH(COLUMNS($AC$1006:AM1006),$AC$1006:$AS$1006,0)), HYPERLINK("#",""), HYPERLINK(CONCATENATE("#Metadata!", ADDRESS(INDEX($X$2:$X$1001,MATCH(ROWS($V$2:V812),$V$2:$V$1001,0),0), INDEX($AC$1004:$AS$1004,1,MATCH(COLUMNS($AC$1006:AM1006),$AC$1006:$AS$1006,0)))),"Fix")))</f>
        <v>0</v>
      </c>
      <c r="M812" s="5">
        <f>IF(OR(INDEX($W$2:$W$1001,MATCH(ROWS($V$2:V812),$V$2:$V$1001,0),1)&gt;=100000,INDEX($AC$1005:$AS$1005,1,MATCH(COLUMNS($AC$1006:AN1006),$AC$1006:$AS$1006,0))&gt;=100000), " ",IF(INDEX($AC$2:$AS$1001,MATCH(ROWS($V$2:V812),$V$2:$V$1001,0),MATCH(COLUMNS($AC$1006:AN1006),$AC$1006:$AS$1006,0)), HYPERLINK("#",""), HYPERLINK(CONCATENATE("#Metadata!", ADDRESS(INDEX($X$2:$X$1001,MATCH(ROWS($V$2:V812),$V$2:$V$1001,0),0), INDEX($AC$1004:$AS$1004,1,MATCH(COLUMNS($AC$1006:AN1006),$AC$1006:$AS$1006,0)))),"Fix")))</f>
        <v>0</v>
      </c>
      <c r="N812" s="5">
        <f>IF(OR(INDEX($W$2:$W$1001,MATCH(ROWS($V$2:V812),$V$2:$V$1001,0),1)&gt;=100000,INDEX($AC$1005:$AS$1005,1,MATCH(COLUMNS($AC$1006:AO1006),$AC$1006:$AS$1006,0))&gt;=100000), " ",IF(INDEX($AC$2:$AS$1001,MATCH(ROWS($V$2:V812),$V$2:$V$1001,0),MATCH(COLUMNS($AC$1006:AO1006),$AC$1006:$AS$1006,0)), HYPERLINK("#",""), HYPERLINK(CONCATENATE("#Metadata!", ADDRESS(INDEX($X$2:$X$1001,MATCH(ROWS($V$2:V812),$V$2:$V$1001,0),0), INDEX($AC$1004:$AS$1004,1,MATCH(COLUMNS($AC$1006:AO1006),$AC$1006:$AS$1006,0)))),"Fix")))</f>
        <v>0</v>
      </c>
      <c r="O812" s="5">
        <f>IF(OR(INDEX($W$2:$W$1001,MATCH(ROWS($V$2:V812),$V$2:$V$1001,0),1)&gt;=100000,INDEX($AC$1005:$AS$1005,1,MATCH(COLUMNS($AC$1006:AP1006),$AC$1006:$AS$1006,0))&gt;=100000), " ",IF(INDEX($AC$2:$AS$1001,MATCH(ROWS($V$2:V812),$V$2:$V$1001,0),MATCH(COLUMNS($AC$1006:AP1006),$AC$1006:$AS$1006,0)), HYPERLINK("#",""), HYPERLINK(CONCATENATE("#Metadata!", ADDRESS(INDEX($X$2:$X$1001,MATCH(ROWS($V$2:V812),$V$2:$V$1001,0),0), INDEX($AC$1004:$AS$1004,1,MATCH(COLUMNS($AC$1006:AP1006),$AC$1006:$AS$1006,0)))),"Fix")))</f>
        <v>0</v>
      </c>
      <c r="P812" s="5">
        <f>IF(OR(INDEX($W$2:$W$1001,MATCH(ROWS($V$2:V812),$V$2:$V$1001,0),1)&gt;=100000,INDEX($AC$1005:$AS$1005,1,MATCH(COLUMNS($AC$1006:AQ1006),$AC$1006:$AS$1006,0))&gt;=100000), " ",IF(INDEX($AC$2:$AS$1001,MATCH(ROWS($V$2:V812),$V$2:$V$1001,0),MATCH(COLUMNS($AC$1006:AQ1006),$AC$1006:$AS$1006,0)), HYPERLINK("#",""), HYPERLINK(CONCATENATE("#Metadata!", ADDRESS(INDEX($X$2:$X$1001,MATCH(ROWS($V$2:V812),$V$2:$V$1001,0),0), INDEX($AC$1004:$AS$1004,1,MATCH(COLUMNS($AC$1006:AQ1006),$AC$1006:$AS$1006,0)))),"Fix")))</f>
        <v>0</v>
      </c>
      <c r="Q812" s="5">
        <f>IF(OR(INDEX($W$2:$W$1001,MATCH(ROWS($V$2:V812),$V$2:$V$1001,0),1)&gt;=100000,INDEX($AC$1005:$AS$1005,1,MATCH(COLUMNS($AC$1006:AR1006),$AC$1006:$AS$1006,0))&gt;=100000), " ",IF(INDEX($AC$2:$AS$1001,MATCH(ROWS($V$2:V812),$V$2:$V$1001,0),MATCH(COLUMNS($AC$1006:AR1006),$AC$1006:$AS$1006,0)), HYPERLINK("#",""), HYPERLINK(CONCATENATE("#Metadata!", ADDRESS(INDEX($X$2:$X$1001,MATCH(ROWS($V$2:V812),$V$2:$V$1001,0),0), INDEX($AC$1004:$AS$1004,1,MATCH(COLUMNS($AC$1006:AR1006),$AC$1006:$AS$1006,0)))),"Fix")))</f>
        <v>0</v>
      </c>
      <c r="R812" s="5">
        <f>IF(OR(INDEX($W$2:$W$1001,MATCH(ROWS($V$2:V812),$V$2:$V$1001,0),1)&gt;=100000,INDEX($AC$1005:$AS$1005,1,MATCH(COLUMNS($AC$1006:AS1006),$AC$1006:$AS$1006,0))&gt;=100000), " ",IF(INDEX($AC$2:$AS$1001,MATCH(ROWS($V$2:V812),$V$2:$V$1001,0),MATCH(COLUMNS($AC$1006:AS1006),$AC$1006:$AS$1006,0)), HYPERLINK("#",""), HYPERLINK(CONCATENATE("#Metadata!", ADDRESS(INDEX($X$2:$X$1001,MATCH(ROWS($V$2:V812),$V$2:$V$1001,0),0), INDEX($AC$1004:$AS$1004,1,MATCH(COLUMNS($AC$1006:AS1006),$AC$1006:$AS$1006,0)))),"Fix")))</f>
        <v>0</v>
      </c>
      <c r="V812">
        <v>0</v>
      </c>
      <c r="W812">
        <v>0</v>
      </c>
      <c r="X812">
        <v>0</v>
      </c>
      <c r="Y812">
        <f>IF(Z812,TRUE,AND(AC812:AS812))</f>
        <v>0</v>
      </c>
      <c r="Z812">
        <f>COUNTBLANK(Metadata!B812:R812)=COLUMNS(Metadata!B812:R812)</f>
        <v>0</v>
      </c>
      <c r="AA812">
        <v>0</v>
      </c>
      <c r="AC812">
        <f>AND(IF(Metadata!B812="",FALSE,TRUE),COUNTIF(Metadata!B:B, Metadata!B812) = 1,NOT(ISERROR(SUMPRODUCT(SEARCH(MID(Metadata!B812,ROW(INDIRECT("1:"&amp;LEN(Metadata!B812))), 1),"0123456789abcdefghijklmnopqrstuvwxyzABCDEFGHIJKLMNOPQRSTUVWXYZ.")))))</f>
        <v>0</v>
      </c>
      <c r="AD812">
        <f>AND(IF(Metadata!C812="",FALSE,TRUE),exact(Metadata!C812,"Host-associated"))</f>
        <v>0</v>
      </c>
      <c r="AE812">
        <f>AND(IF(Metadata!D812="",FALSE,TRUE),OR(exact(Metadata!D812,"Animal"),exact(Metadata!D812,"Fungus"),exact(Metadata!D812,"Plant")))</f>
        <v>0</v>
      </c>
      <c r="AF812">
        <f>AND(IF(Metadata!E812="",FALSE,TRUE),OR(exact(Metadata!E812,"Plant secretion"),exact(Metadata!E812,"Plant rhizosphere"),exact(Metadata!E812,"Plant surface"),exact(Metadata!E812,"Plant corpus"),exact(Metadata!E812,"Fungus surface"),exact(Metadata!E812,"Fungus corpus"),exact(Metadata!E812,"Animal surface"),exact(Metadata!E812,"Animal proximal gut"),exact(Metadata!E812,"Animal corpus"),exact(Metadata!E812,"Animal distal gut"),exact(Metadata!E812,"Animal secretion")))</f>
        <v>0</v>
      </c>
      <c r="AG812">
        <f>OR(AND(IF(Metadata!F812="",FALSE,TRUE),OR(exact(Metadata!F812,"not collected"),exact(Metadata!F812,"not provided"),exact(Metadata!F812,"restricted access"))),AND(IF(Metadata!F812="",FALSE,TRUE),OR(exact(Metadata!F812,"organism-associated habitat"),exact(Metadata!F812,"plant-associated habitat"),exact(Metadata!F812,"animal-associated habitat"),exact(Metadata!F812,"insecta-associated habitat"),exact(Metadata!F812,"mammalia-associated habitat"),exact(Metadata!F812,"human-associated habitat"),exact(Metadata!F812,"livestock-associated habitat"))))</f>
        <v>0</v>
      </c>
      <c r="AH812">
        <f>AND(IF(Metadata!G812="",FALSE,TRUE),exact(Metadata!G812,"host-associated"))</f>
        <v>0</v>
      </c>
      <c r="AI812">
        <f>OR(AND(IF(Metadata!H812="",FALSE,TRUE),OR(exact(Metadata!H812,"not collected"),exact(Metadata!H812,"not provided"))),AND(IF(Metadata!H812="",FALSE,ISNUMBER(VALUE(Metadata!H812))),Metadata!H812&gt;0))</f>
        <v>0</v>
      </c>
      <c r="AJ812">
        <f>AND(IF(Metadata!I812="",FALSE,TRUE),exact(Metadata!I812,"years"))</f>
        <v>0</v>
      </c>
      <c r="AK812">
        <f>IF(Metadata!J812="",FALSE,TRUE)</f>
        <v>0</v>
      </c>
      <c r="AL812">
        <f>OR(AND(IF(Metadata!K812="",FALSE,TRUE),OR(exact(Metadata!K812,"not collected"),exact(Metadata!K812,"not provided"))),AND(IF(Metadata!K812="",FALSE,ISNUMBER(VALUE(Metadata!K812))),Metadata!K812&gt;0))</f>
        <v>0</v>
      </c>
      <c r="AM812">
        <f>AND(IF(Metadata!L812="",FALSE,TRUE),exact(Metadata!L812,"cm"))</f>
        <v>0</v>
      </c>
      <c r="AN812">
        <f>IF(Metadata!M812="",FALSE,TRUE)</f>
        <v>0</v>
      </c>
      <c r="AO812">
        <f>OR(AND(IF(Metadata!N812="",FALSE,TRUE),OR(exact(Metadata!N812,"not applicable"),exact(Metadata!N812,"not collected"),exact(Metadata!N812,"not provided"))),AND(IF(Metadata!N812="",FALSE,IF(ISERROR(INT(Metadata!N812)),FALSE,INT(Metadata!N812)=Metadata!N812)),Metadata!N812&gt;0))</f>
        <v>0</v>
      </c>
      <c r="AP812">
        <f>OR(AND(IF(Metadata!O812="",FALSE,TRUE),OR(exact(Metadata!O812,"not collected"),exact(Metadata!O812,"not provided"))),AND(IF(Metadata!O812="",FALSE,ISNUMBER(VALUE(Metadata!O812))),Metadata!O812&gt;0))</f>
        <v>0</v>
      </c>
      <c r="AQ812">
        <f>AND(IF(Metadata!P812="",FALSE,TRUE),exact(Metadata!P812,"kg"))</f>
        <v>0</v>
      </c>
      <c r="AR812">
        <f>OR(AND(IF(Metadata!Q812="",FALSE,TRUE),OR(exact(Metadata!Q812,"not applicable"),exact(Metadata!Q812,"not collected"),exact(Metadata!Q812,"not provided"),exact(Metadata!Q812,"restricted access"))),IF(Metadata!Q812="",FALSE,IF(ISERROR(INT(Metadata!Q812)),FALSE,INT(Metadata!Q812)=Metadata!Q812)))</f>
        <v>0</v>
      </c>
      <c r="AS812">
        <f>AND(IF(Metadata!R812="",FALSE,TRUE),exact(Metadata!R812,"Not applicable"))</f>
        <v>0</v>
      </c>
    </row>
    <row r="813" spans="1:45">
      <c r="A813" s="4">
        <f>IF(B813=" "," ",HYPERLINK(CONCATENATE("#metadata!",ADDRESS(INDEX($X$2:$X$1001,MATCH(ROWS($V$2:V813),$V$2:$V$1001,0),0),2)),INDEX($AA$2:$AA$1001,MATCH(ROWS($V$2:V813),$V$2:$V$1001,0),0)))</f>
        <v>0</v>
      </c>
      <c r="B813" s="5">
        <f>IF(OR(INDEX($W$2:$W$1001,MATCH(ROWS($V$2:V813),$V$2:$V$1001,0),1)&gt;=100000,INDEX($AC$1005:$AS$1005,1,MATCH(COLUMNS($AC$1006:AC1006),$AC$1006:$AS$1006,0))&gt;=100000), " ",IF(INDEX($AC$2:$AS$1001,MATCH(ROWS($V$2:V813),$V$2:$V$1001,0),MATCH(COLUMNS($AC$1006:AC1006),$AC$1006:$AS$1006,0)), HYPERLINK("#",""), HYPERLINK(CONCATENATE("#Metadata!", ADDRESS(INDEX($X$2:$X$1001,MATCH(ROWS($V$2:V813),$V$2:$V$1001,0),0), INDEX($AC$1004:$AS$1004,1,MATCH(COLUMNS($AC$1006:AC1006),$AC$1006:$AS$1006,0)))),"Fix")))</f>
        <v>0</v>
      </c>
      <c r="C813" s="5">
        <f>IF(OR(INDEX($W$2:$W$1001,MATCH(ROWS($V$2:V813),$V$2:$V$1001,0),1)&gt;=100000,INDEX($AC$1005:$AS$1005,1,MATCH(COLUMNS($AC$1006:AD1006),$AC$1006:$AS$1006,0))&gt;=100000), " ",IF(INDEX($AC$2:$AS$1001,MATCH(ROWS($V$2:V813),$V$2:$V$1001,0),MATCH(COLUMNS($AC$1006:AD1006),$AC$1006:$AS$1006,0)), HYPERLINK("#",""), HYPERLINK(CONCATENATE("#Metadata!", ADDRESS(INDEX($X$2:$X$1001,MATCH(ROWS($V$2:V813),$V$2:$V$1001,0),0), INDEX($AC$1004:$AS$1004,1,MATCH(COLUMNS($AC$1006:AD1006),$AC$1006:$AS$1006,0)))),"Fix")))</f>
        <v>0</v>
      </c>
      <c r="D813" s="5">
        <f>IF(OR(INDEX($W$2:$W$1001,MATCH(ROWS($V$2:V813),$V$2:$V$1001,0),1)&gt;=100000,INDEX($AC$1005:$AS$1005,1,MATCH(COLUMNS($AC$1006:AE1006),$AC$1006:$AS$1006,0))&gt;=100000), " ",IF(INDEX($AC$2:$AS$1001,MATCH(ROWS($V$2:V813),$V$2:$V$1001,0),MATCH(COLUMNS($AC$1006:AE1006),$AC$1006:$AS$1006,0)), HYPERLINK("#",""), HYPERLINK(CONCATENATE("#Metadata!", ADDRESS(INDEX($X$2:$X$1001,MATCH(ROWS($V$2:V813),$V$2:$V$1001,0),0), INDEX($AC$1004:$AS$1004,1,MATCH(COLUMNS($AC$1006:AE1006),$AC$1006:$AS$1006,0)))),"Fix")))</f>
        <v>0</v>
      </c>
      <c r="E813" s="5">
        <f>IF(OR(INDEX($W$2:$W$1001,MATCH(ROWS($V$2:V813),$V$2:$V$1001,0),1)&gt;=100000,INDEX($AC$1005:$AS$1005,1,MATCH(COLUMNS($AC$1006:AF1006),$AC$1006:$AS$1006,0))&gt;=100000), " ",IF(INDEX($AC$2:$AS$1001,MATCH(ROWS($V$2:V813),$V$2:$V$1001,0),MATCH(COLUMNS($AC$1006:AF1006),$AC$1006:$AS$1006,0)), HYPERLINK("#",""), HYPERLINK(CONCATENATE("#Metadata!", ADDRESS(INDEX($X$2:$X$1001,MATCH(ROWS($V$2:V813),$V$2:$V$1001,0),0), INDEX($AC$1004:$AS$1004,1,MATCH(COLUMNS($AC$1006:AF1006),$AC$1006:$AS$1006,0)))),"Fix")))</f>
        <v>0</v>
      </c>
      <c r="F813" s="5">
        <f>IF(OR(INDEX($W$2:$W$1001,MATCH(ROWS($V$2:V813),$V$2:$V$1001,0),1)&gt;=100000,INDEX($AC$1005:$AS$1005,1,MATCH(COLUMNS($AC$1006:AG1006),$AC$1006:$AS$1006,0))&gt;=100000), " ",IF(INDEX($AC$2:$AS$1001,MATCH(ROWS($V$2:V813),$V$2:$V$1001,0),MATCH(COLUMNS($AC$1006:AG1006),$AC$1006:$AS$1006,0)), HYPERLINK("#",""), HYPERLINK(CONCATENATE("#Metadata!", ADDRESS(INDEX($X$2:$X$1001,MATCH(ROWS($V$2:V813),$V$2:$V$1001,0),0), INDEX($AC$1004:$AS$1004,1,MATCH(COLUMNS($AC$1006:AG1006),$AC$1006:$AS$1006,0)))),"Fix")))</f>
        <v>0</v>
      </c>
      <c r="G813" s="5">
        <f>IF(OR(INDEX($W$2:$W$1001,MATCH(ROWS($V$2:V813),$V$2:$V$1001,0),1)&gt;=100000,INDEX($AC$1005:$AS$1005,1,MATCH(COLUMNS($AC$1006:AH1006),$AC$1006:$AS$1006,0))&gt;=100000), " ",IF(INDEX($AC$2:$AS$1001,MATCH(ROWS($V$2:V813),$V$2:$V$1001,0),MATCH(COLUMNS($AC$1006:AH1006),$AC$1006:$AS$1006,0)), HYPERLINK("#",""), HYPERLINK(CONCATENATE("#Metadata!", ADDRESS(INDEX($X$2:$X$1001,MATCH(ROWS($V$2:V813),$V$2:$V$1001,0),0), INDEX($AC$1004:$AS$1004,1,MATCH(COLUMNS($AC$1006:AH1006),$AC$1006:$AS$1006,0)))),"Fix")))</f>
        <v>0</v>
      </c>
      <c r="H813" s="5">
        <f>IF(OR(INDEX($W$2:$W$1001,MATCH(ROWS($V$2:V813),$V$2:$V$1001,0),1)&gt;=100000,INDEX($AC$1005:$AS$1005,1,MATCH(COLUMNS($AC$1006:AI1006),$AC$1006:$AS$1006,0))&gt;=100000), " ",IF(INDEX($AC$2:$AS$1001,MATCH(ROWS($V$2:V813),$V$2:$V$1001,0),MATCH(COLUMNS($AC$1006:AI1006),$AC$1006:$AS$1006,0)), HYPERLINK("#",""), HYPERLINK(CONCATENATE("#Metadata!", ADDRESS(INDEX($X$2:$X$1001,MATCH(ROWS($V$2:V813),$V$2:$V$1001,0),0), INDEX($AC$1004:$AS$1004,1,MATCH(COLUMNS($AC$1006:AI1006),$AC$1006:$AS$1006,0)))),"Fix")))</f>
        <v>0</v>
      </c>
      <c r="I813" s="5">
        <f>IF(OR(INDEX($W$2:$W$1001,MATCH(ROWS($V$2:V813),$V$2:$V$1001,0),1)&gt;=100000,INDEX($AC$1005:$AS$1005,1,MATCH(COLUMNS($AC$1006:AJ1006),$AC$1006:$AS$1006,0))&gt;=100000), " ",IF(INDEX($AC$2:$AS$1001,MATCH(ROWS($V$2:V813),$V$2:$V$1001,0),MATCH(COLUMNS($AC$1006:AJ1006),$AC$1006:$AS$1006,0)), HYPERLINK("#",""), HYPERLINK(CONCATENATE("#Metadata!", ADDRESS(INDEX($X$2:$X$1001,MATCH(ROWS($V$2:V813),$V$2:$V$1001,0),0), INDEX($AC$1004:$AS$1004,1,MATCH(COLUMNS($AC$1006:AJ1006),$AC$1006:$AS$1006,0)))),"Fix")))</f>
        <v>0</v>
      </c>
      <c r="J813" s="5">
        <f>IF(OR(INDEX($W$2:$W$1001,MATCH(ROWS($V$2:V813),$V$2:$V$1001,0),1)&gt;=100000,INDEX($AC$1005:$AS$1005,1,MATCH(COLUMNS($AC$1006:AK1006),$AC$1006:$AS$1006,0))&gt;=100000), " ",IF(INDEX($AC$2:$AS$1001,MATCH(ROWS($V$2:V813),$V$2:$V$1001,0),MATCH(COLUMNS($AC$1006:AK1006),$AC$1006:$AS$1006,0)), HYPERLINK("#",""), HYPERLINK(CONCATENATE("#Metadata!", ADDRESS(INDEX($X$2:$X$1001,MATCH(ROWS($V$2:V813),$V$2:$V$1001,0),0), INDEX($AC$1004:$AS$1004,1,MATCH(COLUMNS($AC$1006:AK1006),$AC$1006:$AS$1006,0)))),"Fix")))</f>
        <v>0</v>
      </c>
      <c r="K813" s="5">
        <f>IF(OR(INDEX($W$2:$W$1001,MATCH(ROWS($V$2:V813),$V$2:$V$1001,0),1)&gt;=100000,INDEX($AC$1005:$AS$1005,1,MATCH(COLUMNS($AC$1006:AL1006),$AC$1006:$AS$1006,0))&gt;=100000), " ",IF(INDEX($AC$2:$AS$1001,MATCH(ROWS($V$2:V813),$V$2:$V$1001,0),MATCH(COLUMNS($AC$1006:AL1006),$AC$1006:$AS$1006,0)), HYPERLINK("#",""), HYPERLINK(CONCATENATE("#Metadata!", ADDRESS(INDEX($X$2:$X$1001,MATCH(ROWS($V$2:V813),$V$2:$V$1001,0),0), INDEX($AC$1004:$AS$1004,1,MATCH(COLUMNS($AC$1006:AL1006),$AC$1006:$AS$1006,0)))),"Fix")))</f>
        <v>0</v>
      </c>
      <c r="L813" s="5">
        <f>IF(OR(INDEX($W$2:$W$1001,MATCH(ROWS($V$2:V813),$V$2:$V$1001,0),1)&gt;=100000,INDEX($AC$1005:$AS$1005,1,MATCH(COLUMNS($AC$1006:AM1006),$AC$1006:$AS$1006,0))&gt;=100000), " ",IF(INDEX($AC$2:$AS$1001,MATCH(ROWS($V$2:V813),$V$2:$V$1001,0),MATCH(COLUMNS($AC$1006:AM1006),$AC$1006:$AS$1006,0)), HYPERLINK("#",""), HYPERLINK(CONCATENATE("#Metadata!", ADDRESS(INDEX($X$2:$X$1001,MATCH(ROWS($V$2:V813),$V$2:$V$1001,0),0), INDEX($AC$1004:$AS$1004,1,MATCH(COLUMNS($AC$1006:AM1006),$AC$1006:$AS$1006,0)))),"Fix")))</f>
        <v>0</v>
      </c>
      <c r="M813" s="5">
        <f>IF(OR(INDEX($W$2:$W$1001,MATCH(ROWS($V$2:V813),$V$2:$V$1001,0),1)&gt;=100000,INDEX($AC$1005:$AS$1005,1,MATCH(COLUMNS($AC$1006:AN1006),$AC$1006:$AS$1006,0))&gt;=100000), " ",IF(INDEX($AC$2:$AS$1001,MATCH(ROWS($V$2:V813),$V$2:$V$1001,0),MATCH(COLUMNS($AC$1006:AN1006),$AC$1006:$AS$1006,0)), HYPERLINK("#",""), HYPERLINK(CONCATENATE("#Metadata!", ADDRESS(INDEX($X$2:$X$1001,MATCH(ROWS($V$2:V813),$V$2:$V$1001,0),0), INDEX($AC$1004:$AS$1004,1,MATCH(COLUMNS($AC$1006:AN1006),$AC$1006:$AS$1006,0)))),"Fix")))</f>
        <v>0</v>
      </c>
      <c r="N813" s="5">
        <f>IF(OR(INDEX($W$2:$W$1001,MATCH(ROWS($V$2:V813),$V$2:$V$1001,0),1)&gt;=100000,INDEX($AC$1005:$AS$1005,1,MATCH(COLUMNS($AC$1006:AO1006),$AC$1006:$AS$1006,0))&gt;=100000), " ",IF(INDEX($AC$2:$AS$1001,MATCH(ROWS($V$2:V813),$V$2:$V$1001,0),MATCH(COLUMNS($AC$1006:AO1006),$AC$1006:$AS$1006,0)), HYPERLINK("#",""), HYPERLINK(CONCATENATE("#Metadata!", ADDRESS(INDEX($X$2:$X$1001,MATCH(ROWS($V$2:V813),$V$2:$V$1001,0),0), INDEX($AC$1004:$AS$1004,1,MATCH(COLUMNS($AC$1006:AO1006),$AC$1006:$AS$1006,0)))),"Fix")))</f>
        <v>0</v>
      </c>
      <c r="O813" s="5">
        <f>IF(OR(INDEX($W$2:$W$1001,MATCH(ROWS($V$2:V813),$V$2:$V$1001,0),1)&gt;=100000,INDEX($AC$1005:$AS$1005,1,MATCH(COLUMNS($AC$1006:AP1006),$AC$1006:$AS$1006,0))&gt;=100000), " ",IF(INDEX($AC$2:$AS$1001,MATCH(ROWS($V$2:V813),$V$2:$V$1001,0),MATCH(COLUMNS($AC$1006:AP1006),$AC$1006:$AS$1006,0)), HYPERLINK("#",""), HYPERLINK(CONCATENATE("#Metadata!", ADDRESS(INDEX($X$2:$X$1001,MATCH(ROWS($V$2:V813),$V$2:$V$1001,0),0), INDEX($AC$1004:$AS$1004,1,MATCH(COLUMNS($AC$1006:AP1006),$AC$1006:$AS$1006,0)))),"Fix")))</f>
        <v>0</v>
      </c>
      <c r="P813" s="5">
        <f>IF(OR(INDEX($W$2:$W$1001,MATCH(ROWS($V$2:V813),$V$2:$V$1001,0),1)&gt;=100000,INDEX($AC$1005:$AS$1005,1,MATCH(COLUMNS($AC$1006:AQ1006),$AC$1006:$AS$1006,0))&gt;=100000), " ",IF(INDEX($AC$2:$AS$1001,MATCH(ROWS($V$2:V813),$V$2:$V$1001,0),MATCH(COLUMNS($AC$1006:AQ1006),$AC$1006:$AS$1006,0)), HYPERLINK("#",""), HYPERLINK(CONCATENATE("#Metadata!", ADDRESS(INDEX($X$2:$X$1001,MATCH(ROWS($V$2:V813),$V$2:$V$1001,0),0), INDEX($AC$1004:$AS$1004,1,MATCH(COLUMNS($AC$1006:AQ1006),$AC$1006:$AS$1006,0)))),"Fix")))</f>
        <v>0</v>
      </c>
      <c r="Q813" s="5">
        <f>IF(OR(INDEX($W$2:$W$1001,MATCH(ROWS($V$2:V813),$V$2:$V$1001,0),1)&gt;=100000,INDEX($AC$1005:$AS$1005,1,MATCH(COLUMNS($AC$1006:AR1006),$AC$1006:$AS$1006,0))&gt;=100000), " ",IF(INDEX($AC$2:$AS$1001,MATCH(ROWS($V$2:V813),$V$2:$V$1001,0),MATCH(COLUMNS($AC$1006:AR1006),$AC$1006:$AS$1006,0)), HYPERLINK("#",""), HYPERLINK(CONCATENATE("#Metadata!", ADDRESS(INDEX($X$2:$X$1001,MATCH(ROWS($V$2:V813),$V$2:$V$1001,0),0), INDEX($AC$1004:$AS$1004,1,MATCH(COLUMNS($AC$1006:AR1006),$AC$1006:$AS$1006,0)))),"Fix")))</f>
        <v>0</v>
      </c>
      <c r="R813" s="5">
        <f>IF(OR(INDEX($W$2:$W$1001,MATCH(ROWS($V$2:V813),$V$2:$V$1001,0),1)&gt;=100000,INDEX($AC$1005:$AS$1005,1,MATCH(COLUMNS($AC$1006:AS1006),$AC$1006:$AS$1006,0))&gt;=100000), " ",IF(INDEX($AC$2:$AS$1001,MATCH(ROWS($V$2:V813),$V$2:$V$1001,0),MATCH(COLUMNS($AC$1006:AS1006),$AC$1006:$AS$1006,0)), HYPERLINK("#",""), HYPERLINK(CONCATENATE("#Metadata!", ADDRESS(INDEX($X$2:$X$1001,MATCH(ROWS($V$2:V813),$V$2:$V$1001,0),0), INDEX($AC$1004:$AS$1004,1,MATCH(COLUMNS($AC$1006:AS1006),$AC$1006:$AS$1006,0)))),"Fix")))</f>
        <v>0</v>
      </c>
      <c r="V813">
        <v>0</v>
      </c>
      <c r="W813">
        <v>0</v>
      </c>
      <c r="X813">
        <v>0</v>
      </c>
      <c r="Y813">
        <f>IF(Z813,TRUE,AND(AC813:AS813))</f>
        <v>0</v>
      </c>
      <c r="Z813">
        <f>COUNTBLANK(Metadata!B813:R813)=COLUMNS(Metadata!B813:R813)</f>
        <v>0</v>
      </c>
      <c r="AA813">
        <v>0</v>
      </c>
      <c r="AC813">
        <f>AND(IF(Metadata!B813="",FALSE,TRUE),COUNTIF(Metadata!B:B, Metadata!B813) = 1,NOT(ISERROR(SUMPRODUCT(SEARCH(MID(Metadata!B813,ROW(INDIRECT("1:"&amp;LEN(Metadata!B813))), 1),"0123456789abcdefghijklmnopqrstuvwxyzABCDEFGHIJKLMNOPQRSTUVWXYZ.")))))</f>
        <v>0</v>
      </c>
      <c r="AD813">
        <f>AND(IF(Metadata!C813="",FALSE,TRUE),exact(Metadata!C813,"Host-associated"))</f>
        <v>0</v>
      </c>
      <c r="AE813">
        <f>AND(IF(Metadata!D813="",FALSE,TRUE),OR(exact(Metadata!D813,"Animal"),exact(Metadata!D813,"Fungus"),exact(Metadata!D813,"Plant")))</f>
        <v>0</v>
      </c>
      <c r="AF813">
        <f>AND(IF(Metadata!E813="",FALSE,TRUE),OR(exact(Metadata!E813,"Plant secretion"),exact(Metadata!E813,"Plant rhizosphere"),exact(Metadata!E813,"Plant surface"),exact(Metadata!E813,"Plant corpus"),exact(Metadata!E813,"Fungus surface"),exact(Metadata!E813,"Fungus corpus"),exact(Metadata!E813,"Animal surface"),exact(Metadata!E813,"Animal proximal gut"),exact(Metadata!E813,"Animal corpus"),exact(Metadata!E813,"Animal distal gut"),exact(Metadata!E813,"Animal secretion")))</f>
        <v>0</v>
      </c>
      <c r="AG813">
        <f>OR(AND(IF(Metadata!F813="",FALSE,TRUE),OR(exact(Metadata!F813,"not collected"),exact(Metadata!F813,"not provided"),exact(Metadata!F813,"restricted access"))),AND(IF(Metadata!F813="",FALSE,TRUE),OR(exact(Metadata!F813,"organism-associated habitat"),exact(Metadata!F813,"plant-associated habitat"),exact(Metadata!F813,"animal-associated habitat"),exact(Metadata!F813,"insecta-associated habitat"),exact(Metadata!F813,"mammalia-associated habitat"),exact(Metadata!F813,"human-associated habitat"),exact(Metadata!F813,"livestock-associated habitat"))))</f>
        <v>0</v>
      </c>
      <c r="AH813">
        <f>AND(IF(Metadata!G813="",FALSE,TRUE),exact(Metadata!G813,"host-associated"))</f>
        <v>0</v>
      </c>
      <c r="AI813">
        <f>OR(AND(IF(Metadata!H813="",FALSE,TRUE),OR(exact(Metadata!H813,"not collected"),exact(Metadata!H813,"not provided"))),AND(IF(Metadata!H813="",FALSE,ISNUMBER(VALUE(Metadata!H813))),Metadata!H813&gt;0))</f>
        <v>0</v>
      </c>
      <c r="AJ813">
        <f>AND(IF(Metadata!I813="",FALSE,TRUE),exact(Metadata!I813,"years"))</f>
        <v>0</v>
      </c>
      <c r="AK813">
        <f>IF(Metadata!J813="",FALSE,TRUE)</f>
        <v>0</v>
      </c>
      <c r="AL813">
        <f>OR(AND(IF(Metadata!K813="",FALSE,TRUE),OR(exact(Metadata!K813,"not collected"),exact(Metadata!K813,"not provided"))),AND(IF(Metadata!K813="",FALSE,ISNUMBER(VALUE(Metadata!K813))),Metadata!K813&gt;0))</f>
        <v>0</v>
      </c>
      <c r="AM813">
        <f>AND(IF(Metadata!L813="",FALSE,TRUE),exact(Metadata!L813,"cm"))</f>
        <v>0</v>
      </c>
      <c r="AN813">
        <f>IF(Metadata!M813="",FALSE,TRUE)</f>
        <v>0</v>
      </c>
      <c r="AO813">
        <f>OR(AND(IF(Metadata!N813="",FALSE,TRUE),OR(exact(Metadata!N813,"not applicable"),exact(Metadata!N813,"not collected"),exact(Metadata!N813,"not provided"))),AND(IF(Metadata!N813="",FALSE,IF(ISERROR(INT(Metadata!N813)),FALSE,INT(Metadata!N813)=Metadata!N813)),Metadata!N813&gt;0))</f>
        <v>0</v>
      </c>
      <c r="AP813">
        <f>OR(AND(IF(Metadata!O813="",FALSE,TRUE),OR(exact(Metadata!O813,"not collected"),exact(Metadata!O813,"not provided"))),AND(IF(Metadata!O813="",FALSE,ISNUMBER(VALUE(Metadata!O813))),Metadata!O813&gt;0))</f>
        <v>0</v>
      </c>
      <c r="AQ813">
        <f>AND(IF(Metadata!P813="",FALSE,TRUE),exact(Metadata!P813,"kg"))</f>
        <v>0</v>
      </c>
      <c r="AR813">
        <f>OR(AND(IF(Metadata!Q813="",FALSE,TRUE),OR(exact(Metadata!Q813,"not applicable"),exact(Metadata!Q813,"not collected"),exact(Metadata!Q813,"not provided"),exact(Metadata!Q813,"restricted access"))),IF(Metadata!Q813="",FALSE,IF(ISERROR(INT(Metadata!Q813)),FALSE,INT(Metadata!Q813)=Metadata!Q813)))</f>
        <v>0</v>
      </c>
      <c r="AS813">
        <f>AND(IF(Metadata!R813="",FALSE,TRUE),exact(Metadata!R813,"Not applicable"))</f>
        <v>0</v>
      </c>
    </row>
    <row r="814" spans="1:45">
      <c r="A814" s="4">
        <f>IF(B814=" "," ",HYPERLINK(CONCATENATE("#metadata!",ADDRESS(INDEX($X$2:$X$1001,MATCH(ROWS($V$2:V814),$V$2:$V$1001,0),0),2)),INDEX($AA$2:$AA$1001,MATCH(ROWS($V$2:V814),$V$2:$V$1001,0),0)))</f>
        <v>0</v>
      </c>
      <c r="B814" s="5">
        <f>IF(OR(INDEX($W$2:$W$1001,MATCH(ROWS($V$2:V814),$V$2:$V$1001,0),1)&gt;=100000,INDEX($AC$1005:$AS$1005,1,MATCH(COLUMNS($AC$1006:AC1006),$AC$1006:$AS$1006,0))&gt;=100000), " ",IF(INDEX($AC$2:$AS$1001,MATCH(ROWS($V$2:V814),$V$2:$V$1001,0),MATCH(COLUMNS($AC$1006:AC1006),$AC$1006:$AS$1006,0)), HYPERLINK("#",""), HYPERLINK(CONCATENATE("#Metadata!", ADDRESS(INDEX($X$2:$X$1001,MATCH(ROWS($V$2:V814),$V$2:$V$1001,0),0), INDEX($AC$1004:$AS$1004,1,MATCH(COLUMNS($AC$1006:AC1006),$AC$1006:$AS$1006,0)))),"Fix")))</f>
        <v>0</v>
      </c>
      <c r="C814" s="5">
        <f>IF(OR(INDEX($W$2:$W$1001,MATCH(ROWS($V$2:V814),$V$2:$V$1001,0),1)&gt;=100000,INDEX($AC$1005:$AS$1005,1,MATCH(COLUMNS($AC$1006:AD1006),$AC$1006:$AS$1006,0))&gt;=100000), " ",IF(INDEX($AC$2:$AS$1001,MATCH(ROWS($V$2:V814),$V$2:$V$1001,0),MATCH(COLUMNS($AC$1006:AD1006),$AC$1006:$AS$1006,0)), HYPERLINK("#",""), HYPERLINK(CONCATENATE("#Metadata!", ADDRESS(INDEX($X$2:$X$1001,MATCH(ROWS($V$2:V814),$V$2:$V$1001,0),0), INDEX($AC$1004:$AS$1004,1,MATCH(COLUMNS($AC$1006:AD1006),$AC$1006:$AS$1006,0)))),"Fix")))</f>
        <v>0</v>
      </c>
      <c r="D814" s="5">
        <f>IF(OR(INDEX($W$2:$W$1001,MATCH(ROWS($V$2:V814),$V$2:$V$1001,0),1)&gt;=100000,INDEX($AC$1005:$AS$1005,1,MATCH(COLUMNS($AC$1006:AE1006),$AC$1006:$AS$1006,0))&gt;=100000), " ",IF(INDEX($AC$2:$AS$1001,MATCH(ROWS($V$2:V814),$V$2:$V$1001,0),MATCH(COLUMNS($AC$1006:AE1006),$AC$1006:$AS$1006,0)), HYPERLINK("#",""), HYPERLINK(CONCATENATE("#Metadata!", ADDRESS(INDEX($X$2:$X$1001,MATCH(ROWS($V$2:V814),$V$2:$V$1001,0),0), INDEX($AC$1004:$AS$1004,1,MATCH(COLUMNS($AC$1006:AE1006),$AC$1006:$AS$1006,0)))),"Fix")))</f>
        <v>0</v>
      </c>
      <c r="E814" s="5">
        <f>IF(OR(INDEX($W$2:$W$1001,MATCH(ROWS($V$2:V814),$V$2:$V$1001,0),1)&gt;=100000,INDEX($AC$1005:$AS$1005,1,MATCH(COLUMNS($AC$1006:AF1006),$AC$1006:$AS$1006,0))&gt;=100000), " ",IF(INDEX($AC$2:$AS$1001,MATCH(ROWS($V$2:V814),$V$2:$V$1001,0),MATCH(COLUMNS($AC$1006:AF1006),$AC$1006:$AS$1006,0)), HYPERLINK("#",""), HYPERLINK(CONCATENATE("#Metadata!", ADDRESS(INDEX($X$2:$X$1001,MATCH(ROWS($V$2:V814),$V$2:$V$1001,0),0), INDEX($AC$1004:$AS$1004,1,MATCH(COLUMNS($AC$1006:AF1006),$AC$1006:$AS$1006,0)))),"Fix")))</f>
        <v>0</v>
      </c>
      <c r="F814" s="5">
        <f>IF(OR(INDEX($W$2:$W$1001,MATCH(ROWS($V$2:V814),$V$2:$V$1001,0),1)&gt;=100000,INDEX($AC$1005:$AS$1005,1,MATCH(COLUMNS($AC$1006:AG1006),$AC$1006:$AS$1006,0))&gt;=100000), " ",IF(INDEX($AC$2:$AS$1001,MATCH(ROWS($V$2:V814),$V$2:$V$1001,0),MATCH(COLUMNS($AC$1006:AG1006),$AC$1006:$AS$1006,0)), HYPERLINK("#",""), HYPERLINK(CONCATENATE("#Metadata!", ADDRESS(INDEX($X$2:$X$1001,MATCH(ROWS($V$2:V814),$V$2:$V$1001,0),0), INDEX($AC$1004:$AS$1004,1,MATCH(COLUMNS($AC$1006:AG1006),$AC$1006:$AS$1006,0)))),"Fix")))</f>
        <v>0</v>
      </c>
      <c r="G814" s="5">
        <f>IF(OR(INDEX($W$2:$W$1001,MATCH(ROWS($V$2:V814),$V$2:$V$1001,0),1)&gt;=100000,INDEX($AC$1005:$AS$1005,1,MATCH(COLUMNS($AC$1006:AH1006),$AC$1006:$AS$1006,0))&gt;=100000), " ",IF(INDEX($AC$2:$AS$1001,MATCH(ROWS($V$2:V814),$V$2:$V$1001,0),MATCH(COLUMNS($AC$1006:AH1006),$AC$1006:$AS$1006,0)), HYPERLINK("#",""), HYPERLINK(CONCATENATE("#Metadata!", ADDRESS(INDEX($X$2:$X$1001,MATCH(ROWS($V$2:V814),$V$2:$V$1001,0),0), INDEX($AC$1004:$AS$1004,1,MATCH(COLUMNS($AC$1006:AH1006),$AC$1006:$AS$1006,0)))),"Fix")))</f>
        <v>0</v>
      </c>
      <c r="H814" s="5">
        <f>IF(OR(INDEX($W$2:$W$1001,MATCH(ROWS($V$2:V814),$V$2:$V$1001,0),1)&gt;=100000,INDEX($AC$1005:$AS$1005,1,MATCH(COLUMNS($AC$1006:AI1006),$AC$1006:$AS$1006,0))&gt;=100000), " ",IF(INDEX($AC$2:$AS$1001,MATCH(ROWS($V$2:V814),$V$2:$V$1001,0),MATCH(COLUMNS($AC$1006:AI1006),$AC$1006:$AS$1006,0)), HYPERLINK("#",""), HYPERLINK(CONCATENATE("#Metadata!", ADDRESS(INDEX($X$2:$X$1001,MATCH(ROWS($V$2:V814),$V$2:$V$1001,0),0), INDEX($AC$1004:$AS$1004,1,MATCH(COLUMNS($AC$1006:AI1006),$AC$1006:$AS$1006,0)))),"Fix")))</f>
        <v>0</v>
      </c>
      <c r="I814" s="5">
        <f>IF(OR(INDEX($W$2:$W$1001,MATCH(ROWS($V$2:V814),$V$2:$V$1001,0),1)&gt;=100000,INDEX($AC$1005:$AS$1005,1,MATCH(COLUMNS($AC$1006:AJ1006),$AC$1006:$AS$1006,0))&gt;=100000), " ",IF(INDEX($AC$2:$AS$1001,MATCH(ROWS($V$2:V814),$V$2:$V$1001,0),MATCH(COLUMNS($AC$1006:AJ1006),$AC$1006:$AS$1006,0)), HYPERLINK("#",""), HYPERLINK(CONCATENATE("#Metadata!", ADDRESS(INDEX($X$2:$X$1001,MATCH(ROWS($V$2:V814),$V$2:$V$1001,0),0), INDEX($AC$1004:$AS$1004,1,MATCH(COLUMNS($AC$1006:AJ1006),$AC$1006:$AS$1006,0)))),"Fix")))</f>
        <v>0</v>
      </c>
      <c r="J814" s="5">
        <f>IF(OR(INDEX($W$2:$W$1001,MATCH(ROWS($V$2:V814),$V$2:$V$1001,0),1)&gt;=100000,INDEX($AC$1005:$AS$1005,1,MATCH(COLUMNS($AC$1006:AK1006),$AC$1006:$AS$1006,0))&gt;=100000), " ",IF(INDEX($AC$2:$AS$1001,MATCH(ROWS($V$2:V814),$V$2:$V$1001,0),MATCH(COLUMNS($AC$1006:AK1006),$AC$1006:$AS$1006,0)), HYPERLINK("#",""), HYPERLINK(CONCATENATE("#Metadata!", ADDRESS(INDEX($X$2:$X$1001,MATCH(ROWS($V$2:V814),$V$2:$V$1001,0),0), INDEX($AC$1004:$AS$1004,1,MATCH(COLUMNS($AC$1006:AK1006),$AC$1006:$AS$1006,0)))),"Fix")))</f>
        <v>0</v>
      </c>
      <c r="K814" s="5">
        <f>IF(OR(INDEX($W$2:$W$1001,MATCH(ROWS($V$2:V814),$V$2:$V$1001,0),1)&gt;=100000,INDEX($AC$1005:$AS$1005,1,MATCH(COLUMNS($AC$1006:AL1006),$AC$1006:$AS$1006,0))&gt;=100000), " ",IF(INDEX($AC$2:$AS$1001,MATCH(ROWS($V$2:V814),$V$2:$V$1001,0),MATCH(COLUMNS($AC$1006:AL1006),$AC$1006:$AS$1006,0)), HYPERLINK("#",""), HYPERLINK(CONCATENATE("#Metadata!", ADDRESS(INDEX($X$2:$X$1001,MATCH(ROWS($V$2:V814),$V$2:$V$1001,0),0), INDEX($AC$1004:$AS$1004,1,MATCH(COLUMNS($AC$1006:AL1006),$AC$1006:$AS$1006,0)))),"Fix")))</f>
        <v>0</v>
      </c>
      <c r="L814" s="5">
        <f>IF(OR(INDEX($W$2:$W$1001,MATCH(ROWS($V$2:V814),$V$2:$V$1001,0),1)&gt;=100000,INDEX($AC$1005:$AS$1005,1,MATCH(COLUMNS($AC$1006:AM1006),$AC$1006:$AS$1006,0))&gt;=100000), " ",IF(INDEX($AC$2:$AS$1001,MATCH(ROWS($V$2:V814),$V$2:$V$1001,0),MATCH(COLUMNS($AC$1006:AM1006),$AC$1006:$AS$1006,0)), HYPERLINK("#",""), HYPERLINK(CONCATENATE("#Metadata!", ADDRESS(INDEX($X$2:$X$1001,MATCH(ROWS($V$2:V814),$V$2:$V$1001,0),0), INDEX($AC$1004:$AS$1004,1,MATCH(COLUMNS($AC$1006:AM1006),$AC$1006:$AS$1006,0)))),"Fix")))</f>
        <v>0</v>
      </c>
      <c r="M814" s="5">
        <f>IF(OR(INDEX($W$2:$W$1001,MATCH(ROWS($V$2:V814),$V$2:$V$1001,0),1)&gt;=100000,INDEX($AC$1005:$AS$1005,1,MATCH(COLUMNS($AC$1006:AN1006),$AC$1006:$AS$1006,0))&gt;=100000), " ",IF(INDEX($AC$2:$AS$1001,MATCH(ROWS($V$2:V814),$V$2:$V$1001,0),MATCH(COLUMNS($AC$1006:AN1006),$AC$1006:$AS$1006,0)), HYPERLINK("#",""), HYPERLINK(CONCATENATE("#Metadata!", ADDRESS(INDEX($X$2:$X$1001,MATCH(ROWS($V$2:V814),$V$2:$V$1001,0),0), INDEX($AC$1004:$AS$1004,1,MATCH(COLUMNS($AC$1006:AN1006),$AC$1006:$AS$1006,0)))),"Fix")))</f>
        <v>0</v>
      </c>
      <c r="N814" s="5">
        <f>IF(OR(INDEX($W$2:$W$1001,MATCH(ROWS($V$2:V814),$V$2:$V$1001,0),1)&gt;=100000,INDEX($AC$1005:$AS$1005,1,MATCH(COLUMNS($AC$1006:AO1006),$AC$1006:$AS$1006,0))&gt;=100000), " ",IF(INDEX($AC$2:$AS$1001,MATCH(ROWS($V$2:V814),$V$2:$V$1001,0),MATCH(COLUMNS($AC$1006:AO1006),$AC$1006:$AS$1006,0)), HYPERLINK("#",""), HYPERLINK(CONCATENATE("#Metadata!", ADDRESS(INDEX($X$2:$X$1001,MATCH(ROWS($V$2:V814),$V$2:$V$1001,0),0), INDEX($AC$1004:$AS$1004,1,MATCH(COLUMNS($AC$1006:AO1006),$AC$1006:$AS$1006,0)))),"Fix")))</f>
        <v>0</v>
      </c>
      <c r="O814" s="5">
        <f>IF(OR(INDEX($W$2:$W$1001,MATCH(ROWS($V$2:V814),$V$2:$V$1001,0),1)&gt;=100000,INDEX($AC$1005:$AS$1005,1,MATCH(COLUMNS($AC$1006:AP1006),$AC$1006:$AS$1006,0))&gt;=100000), " ",IF(INDEX($AC$2:$AS$1001,MATCH(ROWS($V$2:V814),$V$2:$V$1001,0),MATCH(COLUMNS($AC$1006:AP1006),$AC$1006:$AS$1006,0)), HYPERLINK("#",""), HYPERLINK(CONCATENATE("#Metadata!", ADDRESS(INDEX($X$2:$X$1001,MATCH(ROWS($V$2:V814),$V$2:$V$1001,0),0), INDEX($AC$1004:$AS$1004,1,MATCH(COLUMNS($AC$1006:AP1006),$AC$1006:$AS$1006,0)))),"Fix")))</f>
        <v>0</v>
      </c>
      <c r="P814" s="5">
        <f>IF(OR(INDEX($W$2:$W$1001,MATCH(ROWS($V$2:V814),$V$2:$V$1001,0),1)&gt;=100000,INDEX($AC$1005:$AS$1005,1,MATCH(COLUMNS($AC$1006:AQ1006),$AC$1006:$AS$1006,0))&gt;=100000), " ",IF(INDEX($AC$2:$AS$1001,MATCH(ROWS($V$2:V814),$V$2:$V$1001,0),MATCH(COLUMNS($AC$1006:AQ1006),$AC$1006:$AS$1006,0)), HYPERLINK("#",""), HYPERLINK(CONCATENATE("#Metadata!", ADDRESS(INDEX($X$2:$X$1001,MATCH(ROWS($V$2:V814),$V$2:$V$1001,0),0), INDEX($AC$1004:$AS$1004,1,MATCH(COLUMNS($AC$1006:AQ1006),$AC$1006:$AS$1006,0)))),"Fix")))</f>
        <v>0</v>
      </c>
      <c r="Q814" s="5">
        <f>IF(OR(INDEX($W$2:$W$1001,MATCH(ROWS($V$2:V814),$V$2:$V$1001,0),1)&gt;=100000,INDEX($AC$1005:$AS$1005,1,MATCH(COLUMNS($AC$1006:AR1006),$AC$1006:$AS$1006,0))&gt;=100000), " ",IF(INDEX($AC$2:$AS$1001,MATCH(ROWS($V$2:V814),$V$2:$V$1001,0),MATCH(COLUMNS($AC$1006:AR1006),$AC$1006:$AS$1006,0)), HYPERLINK("#",""), HYPERLINK(CONCATENATE("#Metadata!", ADDRESS(INDEX($X$2:$X$1001,MATCH(ROWS($V$2:V814),$V$2:$V$1001,0),0), INDEX($AC$1004:$AS$1004,1,MATCH(COLUMNS($AC$1006:AR1006),$AC$1006:$AS$1006,0)))),"Fix")))</f>
        <v>0</v>
      </c>
      <c r="R814" s="5">
        <f>IF(OR(INDEX($W$2:$W$1001,MATCH(ROWS($V$2:V814),$V$2:$V$1001,0),1)&gt;=100000,INDEX($AC$1005:$AS$1005,1,MATCH(COLUMNS($AC$1006:AS1006),$AC$1006:$AS$1006,0))&gt;=100000), " ",IF(INDEX($AC$2:$AS$1001,MATCH(ROWS($V$2:V814),$V$2:$V$1001,0),MATCH(COLUMNS($AC$1006:AS1006),$AC$1006:$AS$1006,0)), HYPERLINK("#",""), HYPERLINK(CONCATENATE("#Metadata!", ADDRESS(INDEX($X$2:$X$1001,MATCH(ROWS($V$2:V814),$V$2:$V$1001,0),0), INDEX($AC$1004:$AS$1004,1,MATCH(COLUMNS($AC$1006:AS1006),$AC$1006:$AS$1006,0)))),"Fix")))</f>
        <v>0</v>
      </c>
      <c r="V814">
        <v>0</v>
      </c>
      <c r="W814">
        <v>0</v>
      </c>
      <c r="X814">
        <v>0</v>
      </c>
      <c r="Y814">
        <f>IF(Z814,TRUE,AND(AC814:AS814))</f>
        <v>0</v>
      </c>
      <c r="Z814">
        <f>COUNTBLANK(Metadata!B814:R814)=COLUMNS(Metadata!B814:R814)</f>
        <v>0</v>
      </c>
      <c r="AA814">
        <v>0</v>
      </c>
      <c r="AC814">
        <f>AND(IF(Metadata!B814="",FALSE,TRUE),COUNTIF(Metadata!B:B, Metadata!B814) = 1,NOT(ISERROR(SUMPRODUCT(SEARCH(MID(Metadata!B814,ROW(INDIRECT("1:"&amp;LEN(Metadata!B814))), 1),"0123456789abcdefghijklmnopqrstuvwxyzABCDEFGHIJKLMNOPQRSTUVWXYZ.")))))</f>
        <v>0</v>
      </c>
      <c r="AD814">
        <f>AND(IF(Metadata!C814="",FALSE,TRUE),exact(Metadata!C814,"Host-associated"))</f>
        <v>0</v>
      </c>
      <c r="AE814">
        <f>AND(IF(Metadata!D814="",FALSE,TRUE),OR(exact(Metadata!D814,"Animal"),exact(Metadata!D814,"Fungus"),exact(Metadata!D814,"Plant")))</f>
        <v>0</v>
      </c>
      <c r="AF814">
        <f>AND(IF(Metadata!E814="",FALSE,TRUE),OR(exact(Metadata!E814,"Plant secretion"),exact(Metadata!E814,"Plant rhizosphere"),exact(Metadata!E814,"Plant surface"),exact(Metadata!E814,"Plant corpus"),exact(Metadata!E814,"Fungus surface"),exact(Metadata!E814,"Fungus corpus"),exact(Metadata!E814,"Animal surface"),exact(Metadata!E814,"Animal proximal gut"),exact(Metadata!E814,"Animal corpus"),exact(Metadata!E814,"Animal distal gut"),exact(Metadata!E814,"Animal secretion")))</f>
        <v>0</v>
      </c>
      <c r="AG814">
        <f>OR(AND(IF(Metadata!F814="",FALSE,TRUE),OR(exact(Metadata!F814,"not collected"),exact(Metadata!F814,"not provided"),exact(Metadata!F814,"restricted access"))),AND(IF(Metadata!F814="",FALSE,TRUE),OR(exact(Metadata!F814,"organism-associated habitat"),exact(Metadata!F814,"plant-associated habitat"),exact(Metadata!F814,"animal-associated habitat"),exact(Metadata!F814,"insecta-associated habitat"),exact(Metadata!F814,"mammalia-associated habitat"),exact(Metadata!F814,"human-associated habitat"),exact(Metadata!F814,"livestock-associated habitat"))))</f>
        <v>0</v>
      </c>
      <c r="AH814">
        <f>AND(IF(Metadata!G814="",FALSE,TRUE),exact(Metadata!G814,"host-associated"))</f>
        <v>0</v>
      </c>
      <c r="AI814">
        <f>OR(AND(IF(Metadata!H814="",FALSE,TRUE),OR(exact(Metadata!H814,"not collected"),exact(Metadata!H814,"not provided"))),AND(IF(Metadata!H814="",FALSE,ISNUMBER(VALUE(Metadata!H814))),Metadata!H814&gt;0))</f>
        <v>0</v>
      </c>
      <c r="AJ814">
        <f>AND(IF(Metadata!I814="",FALSE,TRUE),exact(Metadata!I814,"years"))</f>
        <v>0</v>
      </c>
      <c r="AK814">
        <f>IF(Metadata!J814="",FALSE,TRUE)</f>
        <v>0</v>
      </c>
      <c r="AL814">
        <f>OR(AND(IF(Metadata!K814="",FALSE,TRUE),OR(exact(Metadata!K814,"not collected"),exact(Metadata!K814,"not provided"))),AND(IF(Metadata!K814="",FALSE,ISNUMBER(VALUE(Metadata!K814))),Metadata!K814&gt;0))</f>
        <v>0</v>
      </c>
      <c r="AM814">
        <f>AND(IF(Metadata!L814="",FALSE,TRUE),exact(Metadata!L814,"cm"))</f>
        <v>0</v>
      </c>
      <c r="AN814">
        <f>IF(Metadata!M814="",FALSE,TRUE)</f>
        <v>0</v>
      </c>
      <c r="AO814">
        <f>OR(AND(IF(Metadata!N814="",FALSE,TRUE),OR(exact(Metadata!N814,"not applicable"),exact(Metadata!N814,"not collected"),exact(Metadata!N814,"not provided"))),AND(IF(Metadata!N814="",FALSE,IF(ISERROR(INT(Metadata!N814)),FALSE,INT(Metadata!N814)=Metadata!N814)),Metadata!N814&gt;0))</f>
        <v>0</v>
      </c>
      <c r="AP814">
        <f>OR(AND(IF(Metadata!O814="",FALSE,TRUE),OR(exact(Metadata!O814,"not collected"),exact(Metadata!O814,"not provided"))),AND(IF(Metadata!O814="",FALSE,ISNUMBER(VALUE(Metadata!O814))),Metadata!O814&gt;0))</f>
        <v>0</v>
      </c>
      <c r="AQ814">
        <f>AND(IF(Metadata!P814="",FALSE,TRUE),exact(Metadata!P814,"kg"))</f>
        <v>0</v>
      </c>
      <c r="AR814">
        <f>OR(AND(IF(Metadata!Q814="",FALSE,TRUE),OR(exact(Metadata!Q814,"not applicable"),exact(Metadata!Q814,"not collected"),exact(Metadata!Q814,"not provided"),exact(Metadata!Q814,"restricted access"))),IF(Metadata!Q814="",FALSE,IF(ISERROR(INT(Metadata!Q814)),FALSE,INT(Metadata!Q814)=Metadata!Q814)))</f>
        <v>0</v>
      </c>
      <c r="AS814">
        <f>AND(IF(Metadata!R814="",FALSE,TRUE),exact(Metadata!R814,"Not applicable"))</f>
        <v>0</v>
      </c>
    </row>
    <row r="815" spans="1:45">
      <c r="A815" s="4">
        <f>IF(B815=" "," ",HYPERLINK(CONCATENATE("#metadata!",ADDRESS(INDEX($X$2:$X$1001,MATCH(ROWS($V$2:V815),$V$2:$V$1001,0),0),2)),INDEX($AA$2:$AA$1001,MATCH(ROWS($V$2:V815),$V$2:$V$1001,0),0)))</f>
        <v>0</v>
      </c>
      <c r="B815" s="5">
        <f>IF(OR(INDEX($W$2:$W$1001,MATCH(ROWS($V$2:V815),$V$2:$V$1001,0),1)&gt;=100000,INDEX($AC$1005:$AS$1005,1,MATCH(COLUMNS($AC$1006:AC1006),$AC$1006:$AS$1006,0))&gt;=100000), " ",IF(INDEX($AC$2:$AS$1001,MATCH(ROWS($V$2:V815),$V$2:$V$1001,0),MATCH(COLUMNS($AC$1006:AC1006),$AC$1006:$AS$1006,0)), HYPERLINK("#",""), HYPERLINK(CONCATENATE("#Metadata!", ADDRESS(INDEX($X$2:$X$1001,MATCH(ROWS($V$2:V815),$V$2:$V$1001,0),0), INDEX($AC$1004:$AS$1004,1,MATCH(COLUMNS($AC$1006:AC1006),$AC$1006:$AS$1006,0)))),"Fix")))</f>
        <v>0</v>
      </c>
      <c r="C815" s="5">
        <f>IF(OR(INDEX($W$2:$W$1001,MATCH(ROWS($V$2:V815),$V$2:$V$1001,0),1)&gt;=100000,INDEX($AC$1005:$AS$1005,1,MATCH(COLUMNS($AC$1006:AD1006),$AC$1006:$AS$1006,0))&gt;=100000), " ",IF(INDEX($AC$2:$AS$1001,MATCH(ROWS($V$2:V815),$V$2:$V$1001,0),MATCH(COLUMNS($AC$1006:AD1006),$AC$1006:$AS$1006,0)), HYPERLINK("#",""), HYPERLINK(CONCATENATE("#Metadata!", ADDRESS(INDEX($X$2:$X$1001,MATCH(ROWS($V$2:V815),$V$2:$V$1001,0),0), INDEX($AC$1004:$AS$1004,1,MATCH(COLUMNS($AC$1006:AD1006),$AC$1006:$AS$1006,0)))),"Fix")))</f>
        <v>0</v>
      </c>
      <c r="D815" s="5">
        <f>IF(OR(INDEX($W$2:$W$1001,MATCH(ROWS($V$2:V815),$V$2:$V$1001,0),1)&gt;=100000,INDEX($AC$1005:$AS$1005,1,MATCH(COLUMNS($AC$1006:AE1006),$AC$1006:$AS$1006,0))&gt;=100000), " ",IF(INDEX($AC$2:$AS$1001,MATCH(ROWS($V$2:V815),$V$2:$V$1001,0),MATCH(COLUMNS($AC$1006:AE1006),$AC$1006:$AS$1006,0)), HYPERLINK("#",""), HYPERLINK(CONCATENATE("#Metadata!", ADDRESS(INDEX($X$2:$X$1001,MATCH(ROWS($V$2:V815),$V$2:$V$1001,0),0), INDEX($AC$1004:$AS$1004,1,MATCH(COLUMNS($AC$1006:AE1006),$AC$1006:$AS$1006,0)))),"Fix")))</f>
        <v>0</v>
      </c>
      <c r="E815" s="5">
        <f>IF(OR(INDEX($W$2:$W$1001,MATCH(ROWS($V$2:V815),$V$2:$V$1001,0),1)&gt;=100000,INDEX($AC$1005:$AS$1005,1,MATCH(COLUMNS($AC$1006:AF1006),$AC$1006:$AS$1006,0))&gt;=100000), " ",IF(INDEX($AC$2:$AS$1001,MATCH(ROWS($V$2:V815),$V$2:$V$1001,0),MATCH(COLUMNS($AC$1006:AF1006),$AC$1006:$AS$1006,0)), HYPERLINK("#",""), HYPERLINK(CONCATENATE("#Metadata!", ADDRESS(INDEX($X$2:$X$1001,MATCH(ROWS($V$2:V815),$V$2:$V$1001,0),0), INDEX($AC$1004:$AS$1004,1,MATCH(COLUMNS($AC$1006:AF1006),$AC$1006:$AS$1006,0)))),"Fix")))</f>
        <v>0</v>
      </c>
      <c r="F815" s="5">
        <f>IF(OR(INDEX($W$2:$W$1001,MATCH(ROWS($V$2:V815),$V$2:$V$1001,0),1)&gt;=100000,INDEX($AC$1005:$AS$1005,1,MATCH(COLUMNS($AC$1006:AG1006),$AC$1006:$AS$1006,0))&gt;=100000), " ",IF(INDEX($AC$2:$AS$1001,MATCH(ROWS($V$2:V815),$V$2:$V$1001,0),MATCH(COLUMNS($AC$1006:AG1006),$AC$1006:$AS$1006,0)), HYPERLINK("#",""), HYPERLINK(CONCATENATE("#Metadata!", ADDRESS(INDEX($X$2:$X$1001,MATCH(ROWS($V$2:V815),$V$2:$V$1001,0),0), INDEX($AC$1004:$AS$1004,1,MATCH(COLUMNS($AC$1006:AG1006),$AC$1006:$AS$1006,0)))),"Fix")))</f>
        <v>0</v>
      </c>
      <c r="G815" s="5">
        <f>IF(OR(INDEX($W$2:$W$1001,MATCH(ROWS($V$2:V815),$V$2:$V$1001,0),1)&gt;=100000,INDEX($AC$1005:$AS$1005,1,MATCH(COLUMNS($AC$1006:AH1006),$AC$1006:$AS$1006,0))&gt;=100000), " ",IF(INDEX($AC$2:$AS$1001,MATCH(ROWS($V$2:V815),$V$2:$V$1001,0),MATCH(COLUMNS($AC$1006:AH1006),$AC$1006:$AS$1006,0)), HYPERLINK("#",""), HYPERLINK(CONCATENATE("#Metadata!", ADDRESS(INDEX($X$2:$X$1001,MATCH(ROWS($V$2:V815),$V$2:$V$1001,0),0), INDEX($AC$1004:$AS$1004,1,MATCH(COLUMNS($AC$1006:AH1006),$AC$1006:$AS$1006,0)))),"Fix")))</f>
        <v>0</v>
      </c>
      <c r="H815" s="5">
        <f>IF(OR(INDEX($W$2:$W$1001,MATCH(ROWS($V$2:V815),$V$2:$V$1001,0),1)&gt;=100000,INDEX($AC$1005:$AS$1005,1,MATCH(COLUMNS($AC$1006:AI1006),$AC$1006:$AS$1006,0))&gt;=100000), " ",IF(INDEX($AC$2:$AS$1001,MATCH(ROWS($V$2:V815),$V$2:$V$1001,0),MATCH(COLUMNS($AC$1006:AI1006),$AC$1006:$AS$1006,0)), HYPERLINK("#",""), HYPERLINK(CONCATENATE("#Metadata!", ADDRESS(INDEX($X$2:$X$1001,MATCH(ROWS($V$2:V815),$V$2:$V$1001,0),0), INDEX($AC$1004:$AS$1004,1,MATCH(COLUMNS($AC$1006:AI1006),$AC$1006:$AS$1006,0)))),"Fix")))</f>
        <v>0</v>
      </c>
      <c r="I815" s="5">
        <f>IF(OR(INDEX($W$2:$W$1001,MATCH(ROWS($V$2:V815),$V$2:$V$1001,0),1)&gt;=100000,INDEX($AC$1005:$AS$1005,1,MATCH(COLUMNS($AC$1006:AJ1006),$AC$1006:$AS$1006,0))&gt;=100000), " ",IF(INDEX($AC$2:$AS$1001,MATCH(ROWS($V$2:V815),$V$2:$V$1001,0),MATCH(COLUMNS($AC$1006:AJ1006),$AC$1006:$AS$1006,0)), HYPERLINK("#",""), HYPERLINK(CONCATENATE("#Metadata!", ADDRESS(INDEX($X$2:$X$1001,MATCH(ROWS($V$2:V815),$V$2:$V$1001,0),0), INDEX($AC$1004:$AS$1004,1,MATCH(COLUMNS($AC$1006:AJ1006),$AC$1006:$AS$1006,0)))),"Fix")))</f>
        <v>0</v>
      </c>
      <c r="J815" s="5">
        <f>IF(OR(INDEX($W$2:$W$1001,MATCH(ROWS($V$2:V815),$V$2:$V$1001,0),1)&gt;=100000,INDEX($AC$1005:$AS$1005,1,MATCH(COLUMNS($AC$1006:AK1006),$AC$1006:$AS$1006,0))&gt;=100000), " ",IF(INDEX($AC$2:$AS$1001,MATCH(ROWS($V$2:V815),$V$2:$V$1001,0),MATCH(COLUMNS($AC$1006:AK1006),$AC$1006:$AS$1006,0)), HYPERLINK("#",""), HYPERLINK(CONCATENATE("#Metadata!", ADDRESS(INDEX($X$2:$X$1001,MATCH(ROWS($V$2:V815),$V$2:$V$1001,0),0), INDEX($AC$1004:$AS$1004,1,MATCH(COLUMNS($AC$1006:AK1006),$AC$1006:$AS$1006,0)))),"Fix")))</f>
        <v>0</v>
      </c>
      <c r="K815" s="5">
        <f>IF(OR(INDEX($W$2:$W$1001,MATCH(ROWS($V$2:V815),$V$2:$V$1001,0),1)&gt;=100000,INDEX($AC$1005:$AS$1005,1,MATCH(COLUMNS($AC$1006:AL1006),$AC$1006:$AS$1006,0))&gt;=100000), " ",IF(INDEX($AC$2:$AS$1001,MATCH(ROWS($V$2:V815),$V$2:$V$1001,0),MATCH(COLUMNS($AC$1006:AL1006),$AC$1006:$AS$1006,0)), HYPERLINK("#",""), HYPERLINK(CONCATENATE("#Metadata!", ADDRESS(INDEX($X$2:$X$1001,MATCH(ROWS($V$2:V815),$V$2:$V$1001,0),0), INDEX($AC$1004:$AS$1004,1,MATCH(COLUMNS($AC$1006:AL1006),$AC$1006:$AS$1006,0)))),"Fix")))</f>
        <v>0</v>
      </c>
      <c r="L815" s="5">
        <f>IF(OR(INDEX($W$2:$W$1001,MATCH(ROWS($V$2:V815),$V$2:$V$1001,0),1)&gt;=100000,INDEX($AC$1005:$AS$1005,1,MATCH(COLUMNS($AC$1006:AM1006),$AC$1006:$AS$1006,0))&gt;=100000), " ",IF(INDEX($AC$2:$AS$1001,MATCH(ROWS($V$2:V815),$V$2:$V$1001,0),MATCH(COLUMNS($AC$1006:AM1006),$AC$1006:$AS$1006,0)), HYPERLINK("#",""), HYPERLINK(CONCATENATE("#Metadata!", ADDRESS(INDEX($X$2:$X$1001,MATCH(ROWS($V$2:V815),$V$2:$V$1001,0),0), INDEX($AC$1004:$AS$1004,1,MATCH(COLUMNS($AC$1006:AM1006),$AC$1006:$AS$1006,0)))),"Fix")))</f>
        <v>0</v>
      </c>
      <c r="M815" s="5">
        <f>IF(OR(INDEX($W$2:$W$1001,MATCH(ROWS($V$2:V815),$V$2:$V$1001,0),1)&gt;=100000,INDEX($AC$1005:$AS$1005,1,MATCH(COLUMNS($AC$1006:AN1006),$AC$1006:$AS$1006,0))&gt;=100000), " ",IF(INDEX($AC$2:$AS$1001,MATCH(ROWS($V$2:V815),$V$2:$V$1001,0),MATCH(COLUMNS($AC$1006:AN1006),$AC$1006:$AS$1006,0)), HYPERLINK("#",""), HYPERLINK(CONCATENATE("#Metadata!", ADDRESS(INDEX($X$2:$X$1001,MATCH(ROWS($V$2:V815),$V$2:$V$1001,0),0), INDEX($AC$1004:$AS$1004,1,MATCH(COLUMNS($AC$1006:AN1006),$AC$1006:$AS$1006,0)))),"Fix")))</f>
        <v>0</v>
      </c>
      <c r="N815" s="5">
        <f>IF(OR(INDEX($W$2:$W$1001,MATCH(ROWS($V$2:V815),$V$2:$V$1001,0),1)&gt;=100000,INDEX($AC$1005:$AS$1005,1,MATCH(COLUMNS($AC$1006:AO1006),$AC$1006:$AS$1006,0))&gt;=100000), " ",IF(INDEX($AC$2:$AS$1001,MATCH(ROWS($V$2:V815),$V$2:$V$1001,0),MATCH(COLUMNS($AC$1006:AO1006),$AC$1006:$AS$1006,0)), HYPERLINK("#",""), HYPERLINK(CONCATENATE("#Metadata!", ADDRESS(INDEX($X$2:$X$1001,MATCH(ROWS($V$2:V815),$V$2:$V$1001,0),0), INDEX($AC$1004:$AS$1004,1,MATCH(COLUMNS($AC$1006:AO1006),$AC$1006:$AS$1006,0)))),"Fix")))</f>
        <v>0</v>
      </c>
      <c r="O815" s="5">
        <f>IF(OR(INDEX($W$2:$W$1001,MATCH(ROWS($V$2:V815),$V$2:$V$1001,0),1)&gt;=100000,INDEX($AC$1005:$AS$1005,1,MATCH(COLUMNS($AC$1006:AP1006),$AC$1006:$AS$1006,0))&gt;=100000), " ",IF(INDEX($AC$2:$AS$1001,MATCH(ROWS($V$2:V815),$V$2:$V$1001,0),MATCH(COLUMNS($AC$1006:AP1006),$AC$1006:$AS$1006,0)), HYPERLINK("#",""), HYPERLINK(CONCATENATE("#Metadata!", ADDRESS(INDEX($X$2:$X$1001,MATCH(ROWS($V$2:V815),$V$2:$V$1001,0),0), INDEX($AC$1004:$AS$1004,1,MATCH(COLUMNS($AC$1006:AP1006),$AC$1006:$AS$1006,0)))),"Fix")))</f>
        <v>0</v>
      </c>
      <c r="P815" s="5">
        <f>IF(OR(INDEX($W$2:$W$1001,MATCH(ROWS($V$2:V815),$V$2:$V$1001,0),1)&gt;=100000,INDEX($AC$1005:$AS$1005,1,MATCH(COLUMNS($AC$1006:AQ1006),$AC$1006:$AS$1006,0))&gt;=100000), " ",IF(INDEX($AC$2:$AS$1001,MATCH(ROWS($V$2:V815),$V$2:$V$1001,0),MATCH(COLUMNS($AC$1006:AQ1006),$AC$1006:$AS$1006,0)), HYPERLINK("#",""), HYPERLINK(CONCATENATE("#Metadata!", ADDRESS(INDEX($X$2:$X$1001,MATCH(ROWS($V$2:V815),$V$2:$V$1001,0),0), INDEX($AC$1004:$AS$1004,1,MATCH(COLUMNS($AC$1006:AQ1006),$AC$1006:$AS$1006,0)))),"Fix")))</f>
        <v>0</v>
      </c>
      <c r="Q815" s="5">
        <f>IF(OR(INDEX($W$2:$W$1001,MATCH(ROWS($V$2:V815),$V$2:$V$1001,0),1)&gt;=100000,INDEX($AC$1005:$AS$1005,1,MATCH(COLUMNS($AC$1006:AR1006),$AC$1006:$AS$1006,0))&gt;=100000), " ",IF(INDEX($AC$2:$AS$1001,MATCH(ROWS($V$2:V815),$V$2:$V$1001,0),MATCH(COLUMNS($AC$1006:AR1006),$AC$1006:$AS$1006,0)), HYPERLINK("#",""), HYPERLINK(CONCATENATE("#Metadata!", ADDRESS(INDEX($X$2:$X$1001,MATCH(ROWS($V$2:V815),$V$2:$V$1001,0),0), INDEX($AC$1004:$AS$1004,1,MATCH(COLUMNS($AC$1006:AR1006),$AC$1006:$AS$1006,0)))),"Fix")))</f>
        <v>0</v>
      </c>
      <c r="R815" s="5">
        <f>IF(OR(INDEX($W$2:$W$1001,MATCH(ROWS($V$2:V815),$V$2:$V$1001,0),1)&gt;=100000,INDEX($AC$1005:$AS$1005,1,MATCH(COLUMNS($AC$1006:AS1006),$AC$1006:$AS$1006,0))&gt;=100000), " ",IF(INDEX($AC$2:$AS$1001,MATCH(ROWS($V$2:V815),$V$2:$V$1001,0),MATCH(COLUMNS($AC$1006:AS1006),$AC$1006:$AS$1006,0)), HYPERLINK("#",""), HYPERLINK(CONCATENATE("#Metadata!", ADDRESS(INDEX($X$2:$X$1001,MATCH(ROWS($V$2:V815),$V$2:$V$1001,0),0), INDEX($AC$1004:$AS$1004,1,MATCH(COLUMNS($AC$1006:AS1006),$AC$1006:$AS$1006,0)))),"Fix")))</f>
        <v>0</v>
      </c>
      <c r="V815">
        <v>0</v>
      </c>
      <c r="W815">
        <v>0</v>
      </c>
      <c r="X815">
        <v>0</v>
      </c>
      <c r="Y815">
        <f>IF(Z815,TRUE,AND(AC815:AS815))</f>
        <v>0</v>
      </c>
      <c r="Z815">
        <f>COUNTBLANK(Metadata!B815:R815)=COLUMNS(Metadata!B815:R815)</f>
        <v>0</v>
      </c>
      <c r="AA815">
        <v>0</v>
      </c>
      <c r="AC815">
        <f>AND(IF(Metadata!B815="",FALSE,TRUE),COUNTIF(Metadata!B:B, Metadata!B815) = 1,NOT(ISERROR(SUMPRODUCT(SEARCH(MID(Metadata!B815,ROW(INDIRECT("1:"&amp;LEN(Metadata!B815))), 1),"0123456789abcdefghijklmnopqrstuvwxyzABCDEFGHIJKLMNOPQRSTUVWXYZ.")))))</f>
        <v>0</v>
      </c>
      <c r="AD815">
        <f>AND(IF(Metadata!C815="",FALSE,TRUE),exact(Metadata!C815,"Host-associated"))</f>
        <v>0</v>
      </c>
      <c r="AE815">
        <f>AND(IF(Metadata!D815="",FALSE,TRUE),OR(exact(Metadata!D815,"Animal"),exact(Metadata!D815,"Fungus"),exact(Metadata!D815,"Plant")))</f>
        <v>0</v>
      </c>
      <c r="AF815">
        <f>AND(IF(Metadata!E815="",FALSE,TRUE),OR(exact(Metadata!E815,"Plant secretion"),exact(Metadata!E815,"Plant rhizosphere"),exact(Metadata!E815,"Plant surface"),exact(Metadata!E815,"Plant corpus"),exact(Metadata!E815,"Fungus surface"),exact(Metadata!E815,"Fungus corpus"),exact(Metadata!E815,"Animal surface"),exact(Metadata!E815,"Animal proximal gut"),exact(Metadata!E815,"Animal corpus"),exact(Metadata!E815,"Animal distal gut"),exact(Metadata!E815,"Animal secretion")))</f>
        <v>0</v>
      </c>
      <c r="AG815">
        <f>OR(AND(IF(Metadata!F815="",FALSE,TRUE),OR(exact(Metadata!F815,"not collected"),exact(Metadata!F815,"not provided"),exact(Metadata!F815,"restricted access"))),AND(IF(Metadata!F815="",FALSE,TRUE),OR(exact(Metadata!F815,"organism-associated habitat"),exact(Metadata!F815,"plant-associated habitat"),exact(Metadata!F815,"animal-associated habitat"),exact(Metadata!F815,"insecta-associated habitat"),exact(Metadata!F815,"mammalia-associated habitat"),exact(Metadata!F815,"human-associated habitat"),exact(Metadata!F815,"livestock-associated habitat"))))</f>
        <v>0</v>
      </c>
      <c r="AH815">
        <f>AND(IF(Metadata!G815="",FALSE,TRUE),exact(Metadata!G815,"host-associated"))</f>
        <v>0</v>
      </c>
      <c r="AI815">
        <f>OR(AND(IF(Metadata!H815="",FALSE,TRUE),OR(exact(Metadata!H815,"not collected"),exact(Metadata!H815,"not provided"))),AND(IF(Metadata!H815="",FALSE,ISNUMBER(VALUE(Metadata!H815))),Metadata!H815&gt;0))</f>
        <v>0</v>
      </c>
      <c r="AJ815">
        <f>AND(IF(Metadata!I815="",FALSE,TRUE),exact(Metadata!I815,"years"))</f>
        <v>0</v>
      </c>
      <c r="AK815">
        <f>IF(Metadata!J815="",FALSE,TRUE)</f>
        <v>0</v>
      </c>
      <c r="AL815">
        <f>OR(AND(IF(Metadata!K815="",FALSE,TRUE),OR(exact(Metadata!K815,"not collected"),exact(Metadata!K815,"not provided"))),AND(IF(Metadata!K815="",FALSE,ISNUMBER(VALUE(Metadata!K815))),Metadata!K815&gt;0))</f>
        <v>0</v>
      </c>
      <c r="AM815">
        <f>AND(IF(Metadata!L815="",FALSE,TRUE),exact(Metadata!L815,"cm"))</f>
        <v>0</v>
      </c>
      <c r="AN815">
        <f>IF(Metadata!M815="",FALSE,TRUE)</f>
        <v>0</v>
      </c>
      <c r="AO815">
        <f>OR(AND(IF(Metadata!N815="",FALSE,TRUE),OR(exact(Metadata!N815,"not applicable"),exact(Metadata!N815,"not collected"),exact(Metadata!N815,"not provided"))),AND(IF(Metadata!N815="",FALSE,IF(ISERROR(INT(Metadata!N815)),FALSE,INT(Metadata!N815)=Metadata!N815)),Metadata!N815&gt;0))</f>
        <v>0</v>
      </c>
      <c r="AP815">
        <f>OR(AND(IF(Metadata!O815="",FALSE,TRUE),OR(exact(Metadata!O815,"not collected"),exact(Metadata!O815,"not provided"))),AND(IF(Metadata!O815="",FALSE,ISNUMBER(VALUE(Metadata!O815))),Metadata!O815&gt;0))</f>
        <v>0</v>
      </c>
      <c r="AQ815">
        <f>AND(IF(Metadata!P815="",FALSE,TRUE),exact(Metadata!P815,"kg"))</f>
        <v>0</v>
      </c>
      <c r="AR815">
        <f>OR(AND(IF(Metadata!Q815="",FALSE,TRUE),OR(exact(Metadata!Q815,"not applicable"),exact(Metadata!Q815,"not collected"),exact(Metadata!Q815,"not provided"),exact(Metadata!Q815,"restricted access"))),IF(Metadata!Q815="",FALSE,IF(ISERROR(INT(Metadata!Q815)),FALSE,INT(Metadata!Q815)=Metadata!Q815)))</f>
        <v>0</v>
      </c>
      <c r="AS815">
        <f>AND(IF(Metadata!R815="",FALSE,TRUE),exact(Metadata!R815,"Not applicable"))</f>
        <v>0</v>
      </c>
    </row>
    <row r="816" spans="1:45">
      <c r="A816" s="4">
        <f>IF(B816=" "," ",HYPERLINK(CONCATENATE("#metadata!",ADDRESS(INDEX($X$2:$X$1001,MATCH(ROWS($V$2:V816),$V$2:$V$1001,0),0),2)),INDEX($AA$2:$AA$1001,MATCH(ROWS($V$2:V816),$V$2:$V$1001,0),0)))</f>
        <v>0</v>
      </c>
      <c r="B816" s="5">
        <f>IF(OR(INDEX($W$2:$W$1001,MATCH(ROWS($V$2:V816),$V$2:$V$1001,0),1)&gt;=100000,INDEX($AC$1005:$AS$1005,1,MATCH(COLUMNS($AC$1006:AC1006),$AC$1006:$AS$1006,0))&gt;=100000), " ",IF(INDEX($AC$2:$AS$1001,MATCH(ROWS($V$2:V816),$V$2:$V$1001,0),MATCH(COLUMNS($AC$1006:AC1006),$AC$1006:$AS$1006,0)), HYPERLINK("#",""), HYPERLINK(CONCATENATE("#Metadata!", ADDRESS(INDEX($X$2:$X$1001,MATCH(ROWS($V$2:V816),$V$2:$V$1001,0),0), INDEX($AC$1004:$AS$1004,1,MATCH(COLUMNS($AC$1006:AC1006),$AC$1006:$AS$1006,0)))),"Fix")))</f>
        <v>0</v>
      </c>
      <c r="C816" s="5">
        <f>IF(OR(INDEX($W$2:$W$1001,MATCH(ROWS($V$2:V816),$V$2:$V$1001,0),1)&gt;=100000,INDEX($AC$1005:$AS$1005,1,MATCH(COLUMNS($AC$1006:AD1006),$AC$1006:$AS$1006,0))&gt;=100000), " ",IF(INDEX($AC$2:$AS$1001,MATCH(ROWS($V$2:V816),$V$2:$V$1001,0),MATCH(COLUMNS($AC$1006:AD1006),$AC$1006:$AS$1006,0)), HYPERLINK("#",""), HYPERLINK(CONCATENATE("#Metadata!", ADDRESS(INDEX($X$2:$X$1001,MATCH(ROWS($V$2:V816),$V$2:$V$1001,0),0), INDEX($AC$1004:$AS$1004,1,MATCH(COLUMNS($AC$1006:AD1006),$AC$1006:$AS$1006,0)))),"Fix")))</f>
        <v>0</v>
      </c>
      <c r="D816" s="5">
        <f>IF(OR(INDEX($W$2:$W$1001,MATCH(ROWS($V$2:V816),$V$2:$V$1001,0),1)&gt;=100000,INDEX($AC$1005:$AS$1005,1,MATCH(COLUMNS($AC$1006:AE1006),$AC$1006:$AS$1006,0))&gt;=100000), " ",IF(INDEX($AC$2:$AS$1001,MATCH(ROWS($V$2:V816),$V$2:$V$1001,0),MATCH(COLUMNS($AC$1006:AE1006),$AC$1006:$AS$1006,0)), HYPERLINK("#",""), HYPERLINK(CONCATENATE("#Metadata!", ADDRESS(INDEX($X$2:$X$1001,MATCH(ROWS($V$2:V816),$V$2:$V$1001,0),0), INDEX($AC$1004:$AS$1004,1,MATCH(COLUMNS($AC$1006:AE1006),$AC$1006:$AS$1006,0)))),"Fix")))</f>
        <v>0</v>
      </c>
      <c r="E816" s="5">
        <f>IF(OR(INDEX($W$2:$W$1001,MATCH(ROWS($V$2:V816),$V$2:$V$1001,0),1)&gt;=100000,INDEX($AC$1005:$AS$1005,1,MATCH(COLUMNS($AC$1006:AF1006),$AC$1006:$AS$1006,0))&gt;=100000), " ",IF(INDEX($AC$2:$AS$1001,MATCH(ROWS($V$2:V816),$V$2:$V$1001,0),MATCH(COLUMNS($AC$1006:AF1006),$AC$1006:$AS$1006,0)), HYPERLINK("#",""), HYPERLINK(CONCATENATE("#Metadata!", ADDRESS(INDEX($X$2:$X$1001,MATCH(ROWS($V$2:V816),$V$2:$V$1001,0),0), INDEX($AC$1004:$AS$1004,1,MATCH(COLUMNS($AC$1006:AF1006),$AC$1006:$AS$1006,0)))),"Fix")))</f>
        <v>0</v>
      </c>
      <c r="F816" s="5">
        <f>IF(OR(INDEX($W$2:$W$1001,MATCH(ROWS($V$2:V816),$V$2:$V$1001,0),1)&gt;=100000,INDEX($AC$1005:$AS$1005,1,MATCH(COLUMNS($AC$1006:AG1006),$AC$1006:$AS$1006,0))&gt;=100000), " ",IF(INDEX($AC$2:$AS$1001,MATCH(ROWS($V$2:V816),$V$2:$V$1001,0),MATCH(COLUMNS($AC$1006:AG1006),$AC$1006:$AS$1006,0)), HYPERLINK("#",""), HYPERLINK(CONCATENATE("#Metadata!", ADDRESS(INDEX($X$2:$X$1001,MATCH(ROWS($V$2:V816),$V$2:$V$1001,0),0), INDEX($AC$1004:$AS$1004,1,MATCH(COLUMNS($AC$1006:AG1006),$AC$1006:$AS$1006,0)))),"Fix")))</f>
        <v>0</v>
      </c>
      <c r="G816" s="5">
        <f>IF(OR(INDEX($W$2:$W$1001,MATCH(ROWS($V$2:V816),$V$2:$V$1001,0),1)&gt;=100000,INDEX($AC$1005:$AS$1005,1,MATCH(COLUMNS($AC$1006:AH1006),$AC$1006:$AS$1006,0))&gt;=100000), " ",IF(INDEX($AC$2:$AS$1001,MATCH(ROWS($V$2:V816),$V$2:$V$1001,0),MATCH(COLUMNS($AC$1006:AH1006),$AC$1006:$AS$1006,0)), HYPERLINK("#",""), HYPERLINK(CONCATENATE("#Metadata!", ADDRESS(INDEX($X$2:$X$1001,MATCH(ROWS($V$2:V816),$V$2:$V$1001,0),0), INDEX($AC$1004:$AS$1004,1,MATCH(COLUMNS($AC$1006:AH1006),$AC$1006:$AS$1006,0)))),"Fix")))</f>
        <v>0</v>
      </c>
      <c r="H816" s="5">
        <f>IF(OR(INDEX($W$2:$W$1001,MATCH(ROWS($V$2:V816),$V$2:$V$1001,0),1)&gt;=100000,INDEX($AC$1005:$AS$1005,1,MATCH(COLUMNS($AC$1006:AI1006),$AC$1006:$AS$1006,0))&gt;=100000), " ",IF(INDEX($AC$2:$AS$1001,MATCH(ROWS($V$2:V816),$V$2:$V$1001,0),MATCH(COLUMNS($AC$1006:AI1006),$AC$1006:$AS$1006,0)), HYPERLINK("#",""), HYPERLINK(CONCATENATE("#Metadata!", ADDRESS(INDEX($X$2:$X$1001,MATCH(ROWS($V$2:V816),$V$2:$V$1001,0),0), INDEX($AC$1004:$AS$1004,1,MATCH(COLUMNS($AC$1006:AI1006),$AC$1006:$AS$1006,0)))),"Fix")))</f>
        <v>0</v>
      </c>
      <c r="I816" s="5">
        <f>IF(OR(INDEX($W$2:$W$1001,MATCH(ROWS($V$2:V816),$V$2:$V$1001,0),1)&gt;=100000,INDEX($AC$1005:$AS$1005,1,MATCH(COLUMNS($AC$1006:AJ1006),$AC$1006:$AS$1006,0))&gt;=100000), " ",IF(INDEX($AC$2:$AS$1001,MATCH(ROWS($V$2:V816),$V$2:$V$1001,0),MATCH(COLUMNS($AC$1006:AJ1006),$AC$1006:$AS$1006,0)), HYPERLINK("#",""), HYPERLINK(CONCATENATE("#Metadata!", ADDRESS(INDEX($X$2:$X$1001,MATCH(ROWS($V$2:V816),$V$2:$V$1001,0),0), INDEX($AC$1004:$AS$1004,1,MATCH(COLUMNS($AC$1006:AJ1006),$AC$1006:$AS$1006,0)))),"Fix")))</f>
        <v>0</v>
      </c>
      <c r="J816" s="5">
        <f>IF(OR(INDEX($W$2:$W$1001,MATCH(ROWS($V$2:V816),$V$2:$V$1001,0),1)&gt;=100000,INDEX($AC$1005:$AS$1005,1,MATCH(COLUMNS($AC$1006:AK1006),$AC$1006:$AS$1006,0))&gt;=100000), " ",IF(INDEX($AC$2:$AS$1001,MATCH(ROWS($V$2:V816),$V$2:$V$1001,0),MATCH(COLUMNS($AC$1006:AK1006),$AC$1006:$AS$1006,0)), HYPERLINK("#",""), HYPERLINK(CONCATENATE("#Metadata!", ADDRESS(INDEX($X$2:$X$1001,MATCH(ROWS($V$2:V816),$V$2:$V$1001,0),0), INDEX($AC$1004:$AS$1004,1,MATCH(COLUMNS($AC$1006:AK1006),$AC$1006:$AS$1006,0)))),"Fix")))</f>
        <v>0</v>
      </c>
      <c r="K816" s="5">
        <f>IF(OR(INDEX($W$2:$W$1001,MATCH(ROWS($V$2:V816),$V$2:$V$1001,0),1)&gt;=100000,INDEX($AC$1005:$AS$1005,1,MATCH(COLUMNS($AC$1006:AL1006),$AC$1006:$AS$1006,0))&gt;=100000), " ",IF(INDEX($AC$2:$AS$1001,MATCH(ROWS($V$2:V816),$V$2:$V$1001,0),MATCH(COLUMNS($AC$1006:AL1006),$AC$1006:$AS$1006,0)), HYPERLINK("#",""), HYPERLINK(CONCATENATE("#Metadata!", ADDRESS(INDEX($X$2:$X$1001,MATCH(ROWS($V$2:V816),$V$2:$V$1001,0),0), INDEX($AC$1004:$AS$1004,1,MATCH(COLUMNS($AC$1006:AL1006),$AC$1006:$AS$1006,0)))),"Fix")))</f>
        <v>0</v>
      </c>
      <c r="L816" s="5">
        <f>IF(OR(INDEX($W$2:$W$1001,MATCH(ROWS($V$2:V816),$V$2:$V$1001,0),1)&gt;=100000,INDEX($AC$1005:$AS$1005,1,MATCH(COLUMNS($AC$1006:AM1006),$AC$1006:$AS$1006,0))&gt;=100000), " ",IF(INDEX($AC$2:$AS$1001,MATCH(ROWS($V$2:V816),$V$2:$V$1001,0),MATCH(COLUMNS($AC$1006:AM1006),$AC$1006:$AS$1006,0)), HYPERLINK("#",""), HYPERLINK(CONCATENATE("#Metadata!", ADDRESS(INDEX($X$2:$X$1001,MATCH(ROWS($V$2:V816),$V$2:$V$1001,0),0), INDEX($AC$1004:$AS$1004,1,MATCH(COLUMNS($AC$1006:AM1006),$AC$1006:$AS$1006,0)))),"Fix")))</f>
        <v>0</v>
      </c>
      <c r="M816" s="5">
        <f>IF(OR(INDEX($W$2:$W$1001,MATCH(ROWS($V$2:V816),$V$2:$V$1001,0),1)&gt;=100000,INDEX($AC$1005:$AS$1005,1,MATCH(COLUMNS($AC$1006:AN1006),$AC$1006:$AS$1006,0))&gt;=100000), " ",IF(INDEX($AC$2:$AS$1001,MATCH(ROWS($V$2:V816),$V$2:$V$1001,0),MATCH(COLUMNS($AC$1006:AN1006),$AC$1006:$AS$1006,0)), HYPERLINK("#",""), HYPERLINK(CONCATENATE("#Metadata!", ADDRESS(INDEX($X$2:$X$1001,MATCH(ROWS($V$2:V816),$V$2:$V$1001,0),0), INDEX($AC$1004:$AS$1004,1,MATCH(COLUMNS($AC$1006:AN1006),$AC$1006:$AS$1006,0)))),"Fix")))</f>
        <v>0</v>
      </c>
      <c r="N816" s="5">
        <f>IF(OR(INDEX($W$2:$W$1001,MATCH(ROWS($V$2:V816),$V$2:$V$1001,0),1)&gt;=100000,INDEX($AC$1005:$AS$1005,1,MATCH(COLUMNS($AC$1006:AO1006),$AC$1006:$AS$1006,0))&gt;=100000), " ",IF(INDEX($AC$2:$AS$1001,MATCH(ROWS($V$2:V816),$V$2:$V$1001,0),MATCH(COLUMNS($AC$1006:AO1006),$AC$1006:$AS$1006,0)), HYPERLINK("#",""), HYPERLINK(CONCATENATE("#Metadata!", ADDRESS(INDEX($X$2:$X$1001,MATCH(ROWS($V$2:V816),$V$2:$V$1001,0),0), INDEX($AC$1004:$AS$1004,1,MATCH(COLUMNS($AC$1006:AO1006),$AC$1006:$AS$1006,0)))),"Fix")))</f>
        <v>0</v>
      </c>
      <c r="O816" s="5">
        <f>IF(OR(INDEX($W$2:$W$1001,MATCH(ROWS($V$2:V816),$V$2:$V$1001,0),1)&gt;=100000,INDEX($AC$1005:$AS$1005,1,MATCH(COLUMNS($AC$1006:AP1006),$AC$1006:$AS$1006,0))&gt;=100000), " ",IF(INDEX($AC$2:$AS$1001,MATCH(ROWS($V$2:V816),$V$2:$V$1001,0),MATCH(COLUMNS($AC$1006:AP1006),$AC$1006:$AS$1006,0)), HYPERLINK("#",""), HYPERLINK(CONCATENATE("#Metadata!", ADDRESS(INDEX($X$2:$X$1001,MATCH(ROWS($V$2:V816),$V$2:$V$1001,0),0), INDEX($AC$1004:$AS$1004,1,MATCH(COLUMNS($AC$1006:AP1006),$AC$1006:$AS$1006,0)))),"Fix")))</f>
        <v>0</v>
      </c>
      <c r="P816" s="5">
        <f>IF(OR(INDEX($W$2:$W$1001,MATCH(ROWS($V$2:V816),$V$2:$V$1001,0),1)&gt;=100000,INDEX($AC$1005:$AS$1005,1,MATCH(COLUMNS($AC$1006:AQ1006),$AC$1006:$AS$1006,0))&gt;=100000), " ",IF(INDEX($AC$2:$AS$1001,MATCH(ROWS($V$2:V816),$V$2:$V$1001,0),MATCH(COLUMNS($AC$1006:AQ1006),$AC$1006:$AS$1006,0)), HYPERLINK("#",""), HYPERLINK(CONCATENATE("#Metadata!", ADDRESS(INDEX($X$2:$X$1001,MATCH(ROWS($V$2:V816),$V$2:$V$1001,0),0), INDEX($AC$1004:$AS$1004,1,MATCH(COLUMNS($AC$1006:AQ1006),$AC$1006:$AS$1006,0)))),"Fix")))</f>
        <v>0</v>
      </c>
      <c r="Q816" s="5">
        <f>IF(OR(INDEX($W$2:$W$1001,MATCH(ROWS($V$2:V816),$V$2:$V$1001,0),1)&gt;=100000,INDEX($AC$1005:$AS$1005,1,MATCH(COLUMNS($AC$1006:AR1006),$AC$1006:$AS$1006,0))&gt;=100000), " ",IF(INDEX($AC$2:$AS$1001,MATCH(ROWS($V$2:V816),$V$2:$V$1001,0),MATCH(COLUMNS($AC$1006:AR1006),$AC$1006:$AS$1006,0)), HYPERLINK("#",""), HYPERLINK(CONCATENATE("#Metadata!", ADDRESS(INDEX($X$2:$X$1001,MATCH(ROWS($V$2:V816),$V$2:$V$1001,0),0), INDEX($AC$1004:$AS$1004,1,MATCH(COLUMNS($AC$1006:AR1006),$AC$1006:$AS$1006,0)))),"Fix")))</f>
        <v>0</v>
      </c>
      <c r="R816" s="5">
        <f>IF(OR(INDEX($W$2:$W$1001,MATCH(ROWS($V$2:V816),$V$2:$V$1001,0),1)&gt;=100000,INDEX($AC$1005:$AS$1005,1,MATCH(COLUMNS($AC$1006:AS1006),$AC$1006:$AS$1006,0))&gt;=100000), " ",IF(INDEX($AC$2:$AS$1001,MATCH(ROWS($V$2:V816),$V$2:$V$1001,0),MATCH(COLUMNS($AC$1006:AS1006),$AC$1006:$AS$1006,0)), HYPERLINK("#",""), HYPERLINK(CONCATENATE("#Metadata!", ADDRESS(INDEX($X$2:$X$1001,MATCH(ROWS($V$2:V816),$V$2:$V$1001,0),0), INDEX($AC$1004:$AS$1004,1,MATCH(COLUMNS($AC$1006:AS1006),$AC$1006:$AS$1006,0)))),"Fix")))</f>
        <v>0</v>
      </c>
      <c r="V816">
        <v>0</v>
      </c>
      <c r="W816">
        <v>0</v>
      </c>
      <c r="X816">
        <v>0</v>
      </c>
      <c r="Y816">
        <f>IF(Z816,TRUE,AND(AC816:AS816))</f>
        <v>0</v>
      </c>
      <c r="Z816">
        <f>COUNTBLANK(Metadata!B816:R816)=COLUMNS(Metadata!B816:R816)</f>
        <v>0</v>
      </c>
      <c r="AA816">
        <v>0</v>
      </c>
      <c r="AC816">
        <f>AND(IF(Metadata!B816="",FALSE,TRUE),COUNTIF(Metadata!B:B, Metadata!B816) = 1,NOT(ISERROR(SUMPRODUCT(SEARCH(MID(Metadata!B816,ROW(INDIRECT("1:"&amp;LEN(Metadata!B816))), 1),"0123456789abcdefghijklmnopqrstuvwxyzABCDEFGHIJKLMNOPQRSTUVWXYZ.")))))</f>
        <v>0</v>
      </c>
      <c r="AD816">
        <f>AND(IF(Metadata!C816="",FALSE,TRUE),exact(Metadata!C816,"Host-associated"))</f>
        <v>0</v>
      </c>
      <c r="AE816">
        <f>AND(IF(Metadata!D816="",FALSE,TRUE),OR(exact(Metadata!D816,"Animal"),exact(Metadata!D816,"Fungus"),exact(Metadata!D816,"Plant")))</f>
        <v>0</v>
      </c>
      <c r="AF816">
        <f>AND(IF(Metadata!E816="",FALSE,TRUE),OR(exact(Metadata!E816,"Plant secretion"),exact(Metadata!E816,"Plant rhizosphere"),exact(Metadata!E816,"Plant surface"),exact(Metadata!E816,"Plant corpus"),exact(Metadata!E816,"Fungus surface"),exact(Metadata!E816,"Fungus corpus"),exact(Metadata!E816,"Animal surface"),exact(Metadata!E816,"Animal proximal gut"),exact(Metadata!E816,"Animal corpus"),exact(Metadata!E816,"Animal distal gut"),exact(Metadata!E816,"Animal secretion")))</f>
        <v>0</v>
      </c>
      <c r="AG816">
        <f>OR(AND(IF(Metadata!F816="",FALSE,TRUE),OR(exact(Metadata!F816,"not collected"),exact(Metadata!F816,"not provided"),exact(Metadata!F816,"restricted access"))),AND(IF(Metadata!F816="",FALSE,TRUE),OR(exact(Metadata!F816,"organism-associated habitat"),exact(Metadata!F816,"plant-associated habitat"),exact(Metadata!F816,"animal-associated habitat"),exact(Metadata!F816,"insecta-associated habitat"),exact(Metadata!F816,"mammalia-associated habitat"),exact(Metadata!F816,"human-associated habitat"),exact(Metadata!F816,"livestock-associated habitat"))))</f>
        <v>0</v>
      </c>
      <c r="AH816">
        <f>AND(IF(Metadata!G816="",FALSE,TRUE),exact(Metadata!G816,"host-associated"))</f>
        <v>0</v>
      </c>
      <c r="AI816">
        <f>OR(AND(IF(Metadata!H816="",FALSE,TRUE),OR(exact(Metadata!H816,"not collected"),exact(Metadata!H816,"not provided"))),AND(IF(Metadata!H816="",FALSE,ISNUMBER(VALUE(Metadata!H816))),Metadata!H816&gt;0))</f>
        <v>0</v>
      </c>
      <c r="AJ816">
        <f>AND(IF(Metadata!I816="",FALSE,TRUE),exact(Metadata!I816,"years"))</f>
        <v>0</v>
      </c>
      <c r="AK816">
        <f>IF(Metadata!J816="",FALSE,TRUE)</f>
        <v>0</v>
      </c>
      <c r="AL816">
        <f>OR(AND(IF(Metadata!K816="",FALSE,TRUE),OR(exact(Metadata!K816,"not collected"),exact(Metadata!K816,"not provided"))),AND(IF(Metadata!K816="",FALSE,ISNUMBER(VALUE(Metadata!K816))),Metadata!K816&gt;0))</f>
        <v>0</v>
      </c>
      <c r="AM816">
        <f>AND(IF(Metadata!L816="",FALSE,TRUE),exact(Metadata!L816,"cm"))</f>
        <v>0</v>
      </c>
      <c r="AN816">
        <f>IF(Metadata!M816="",FALSE,TRUE)</f>
        <v>0</v>
      </c>
      <c r="AO816">
        <f>OR(AND(IF(Metadata!N816="",FALSE,TRUE),OR(exact(Metadata!N816,"not applicable"),exact(Metadata!N816,"not collected"),exact(Metadata!N816,"not provided"))),AND(IF(Metadata!N816="",FALSE,IF(ISERROR(INT(Metadata!N816)),FALSE,INT(Metadata!N816)=Metadata!N816)),Metadata!N816&gt;0))</f>
        <v>0</v>
      </c>
      <c r="AP816">
        <f>OR(AND(IF(Metadata!O816="",FALSE,TRUE),OR(exact(Metadata!O816,"not collected"),exact(Metadata!O816,"not provided"))),AND(IF(Metadata!O816="",FALSE,ISNUMBER(VALUE(Metadata!O816))),Metadata!O816&gt;0))</f>
        <v>0</v>
      </c>
      <c r="AQ816">
        <f>AND(IF(Metadata!P816="",FALSE,TRUE),exact(Metadata!P816,"kg"))</f>
        <v>0</v>
      </c>
      <c r="AR816">
        <f>OR(AND(IF(Metadata!Q816="",FALSE,TRUE),OR(exact(Metadata!Q816,"not applicable"),exact(Metadata!Q816,"not collected"),exact(Metadata!Q816,"not provided"),exact(Metadata!Q816,"restricted access"))),IF(Metadata!Q816="",FALSE,IF(ISERROR(INT(Metadata!Q816)),FALSE,INT(Metadata!Q816)=Metadata!Q816)))</f>
        <v>0</v>
      </c>
      <c r="AS816">
        <f>AND(IF(Metadata!R816="",FALSE,TRUE),exact(Metadata!R816,"Not applicable"))</f>
        <v>0</v>
      </c>
    </row>
    <row r="817" spans="1:45">
      <c r="A817" s="4">
        <f>IF(B817=" "," ",HYPERLINK(CONCATENATE("#metadata!",ADDRESS(INDEX($X$2:$X$1001,MATCH(ROWS($V$2:V817),$V$2:$V$1001,0),0),2)),INDEX($AA$2:$AA$1001,MATCH(ROWS($V$2:V817),$V$2:$V$1001,0),0)))</f>
        <v>0</v>
      </c>
      <c r="B817" s="5">
        <f>IF(OR(INDEX($W$2:$W$1001,MATCH(ROWS($V$2:V817),$V$2:$V$1001,0),1)&gt;=100000,INDEX($AC$1005:$AS$1005,1,MATCH(COLUMNS($AC$1006:AC1006),$AC$1006:$AS$1006,0))&gt;=100000), " ",IF(INDEX($AC$2:$AS$1001,MATCH(ROWS($V$2:V817),$V$2:$V$1001,0),MATCH(COLUMNS($AC$1006:AC1006),$AC$1006:$AS$1006,0)), HYPERLINK("#",""), HYPERLINK(CONCATENATE("#Metadata!", ADDRESS(INDEX($X$2:$X$1001,MATCH(ROWS($V$2:V817),$V$2:$V$1001,0),0), INDEX($AC$1004:$AS$1004,1,MATCH(COLUMNS($AC$1006:AC1006),$AC$1006:$AS$1006,0)))),"Fix")))</f>
        <v>0</v>
      </c>
      <c r="C817" s="5">
        <f>IF(OR(INDEX($W$2:$W$1001,MATCH(ROWS($V$2:V817),$V$2:$V$1001,0),1)&gt;=100000,INDEX($AC$1005:$AS$1005,1,MATCH(COLUMNS($AC$1006:AD1006),$AC$1006:$AS$1006,0))&gt;=100000), " ",IF(INDEX($AC$2:$AS$1001,MATCH(ROWS($V$2:V817),$V$2:$V$1001,0),MATCH(COLUMNS($AC$1006:AD1006),$AC$1006:$AS$1006,0)), HYPERLINK("#",""), HYPERLINK(CONCATENATE("#Metadata!", ADDRESS(INDEX($X$2:$X$1001,MATCH(ROWS($V$2:V817),$V$2:$V$1001,0),0), INDEX($AC$1004:$AS$1004,1,MATCH(COLUMNS($AC$1006:AD1006),$AC$1006:$AS$1006,0)))),"Fix")))</f>
        <v>0</v>
      </c>
      <c r="D817" s="5">
        <f>IF(OR(INDEX($W$2:$W$1001,MATCH(ROWS($V$2:V817),$V$2:$V$1001,0),1)&gt;=100000,INDEX($AC$1005:$AS$1005,1,MATCH(COLUMNS($AC$1006:AE1006),$AC$1006:$AS$1006,0))&gt;=100000), " ",IF(INDEX($AC$2:$AS$1001,MATCH(ROWS($V$2:V817),$V$2:$V$1001,0),MATCH(COLUMNS($AC$1006:AE1006),$AC$1006:$AS$1006,0)), HYPERLINK("#",""), HYPERLINK(CONCATENATE("#Metadata!", ADDRESS(INDEX($X$2:$X$1001,MATCH(ROWS($V$2:V817),$V$2:$V$1001,0),0), INDEX($AC$1004:$AS$1004,1,MATCH(COLUMNS($AC$1006:AE1006),$AC$1006:$AS$1006,0)))),"Fix")))</f>
        <v>0</v>
      </c>
      <c r="E817" s="5">
        <f>IF(OR(INDEX($W$2:$W$1001,MATCH(ROWS($V$2:V817),$V$2:$V$1001,0),1)&gt;=100000,INDEX($AC$1005:$AS$1005,1,MATCH(COLUMNS($AC$1006:AF1006),$AC$1006:$AS$1006,0))&gt;=100000), " ",IF(INDEX($AC$2:$AS$1001,MATCH(ROWS($V$2:V817),$V$2:$V$1001,0),MATCH(COLUMNS($AC$1006:AF1006),$AC$1006:$AS$1006,0)), HYPERLINK("#",""), HYPERLINK(CONCATENATE("#Metadata!", ADDRESS(INDEX($X$2:$X$1001,MATCH(ROWS($V$2:V817),$V$2:$V$1001,0),0), INDEX($AC$1004:$AS$1004,1,MATCH(COLUMNS($AC$1006:AF1006),$AC$1006:$AS$1006,0)))),"Fix")))</f>
        <v>0</v>
      </c>
      <c r="F817" s="5">
        <f>IF(OR(INDEX($W$2:$W$1001,MATCH(ROWS($V$2:V817),$V$2:$V$1001,0),1)&gt;=100000,INDEX($AC$1005:$AS$1005,1,MATCH(COLUMNS($AC$1006:AG1006),$AC$1006:$AS$1006,0))&gt;=100000), " ",IF(INDEX($AC$2:$AS$1001,MATCH(ROWS($V$2:V817),$V$2:$V$1001,0),MATCH(COLUMNS($AC$1006:AG1006),$AC$1006:$AS$1006,0)), HYPERLINK("#",""), HYPERLINK(CONCATENATE("#Metadata!", ADDRESS(INDEX($X$2:$X$1001,MATCH(ROWS($V$2:V817),$V$2:$V$1001,0),0), INDEX($AC$1004:$AS$1004,1,MATCH(COLUMNS($AC$1006:AG1006),$AC$1006:$AS$1006,0)))),"Fix")))</f>
        <v>0</v>
      </c>
      <c r="G817" s="5">
        <f>IF(OR(INDEX($W$2:$W$1001,MATCH(ROWS($V$2:V817),$V$2:$V$1001,0),1)&gt;=100000,INDEX($AC$1005:$AS$1005,1,MATCH(COLUMNS($AC$1006:AH1006),$AC$1006:$AS$1006,0))&gt;=100000), " ",IF(INDEX($AC$2:$AS$1001,MATCH(ROWS($V$2:V817),$V$2:$V$1001,0),MATCH(COLUMNS($AC$1006:AH1006),$AC$1006:$AS$1006,0)), HYPERLINK("#",""), HYPERLINK(CONCATENATE("#Metadata!", ADDRESS(INDEX($X$2:$X$1001,MATCH(ROWS($V$2:V817),$V$2:$V$1001,0),0), INDEX($AC$1004:$AS$1004,1,MATCH(COLUMNS($AC$1006:AH1006),$AC$1006:$AS$1006,0)))),"Fix")))</f>
        <v>0</v>
      </c>
      <c r="H817" s="5">
        <f>IF(OR(INDEX($W$2:$W$1001,MATCH(ROWS($V$2:V817),$V$2:$V$1001,0),1)&gt;=100000,INDEX($AC$1005:$AS$1005,1,MATCH(COLUMNS($AC$1006:AI1006),$AC$1006:$AS$1006,0))&gt;=100000), " ",IF(INDEX($AC$2:$AS$1001,MATCH(ROWS($V$2:V817),$V$2:$V$1001,0),MATCH(COLUMNS($AC$1006:AI1006),$AC$1006:$AS$1006,0)), HYPERLINK("#",""), HYPERLINK(CONCATENATE("#Metadata!", ADDRESS(INDEX($X$2:$X$1001,MATCH(ROWS($V$2:V817),$V$2:$V$1001,0),0), INDEX($AC$1004:$AS$1004,1,MATCH(COLUMNS($AC$1006:AI1006),$AC$1006:$AS$1006,0)))),"Fix")))</f>
        <v>0</v>
      </c>
      <c r="I817" s="5">
        <f>IF(OR(INDEX($W$2:$W$1001,MATCH(ROWS($V$2:V817),$V$2:$V$1001,0),1)&gt;=100000,INDEX($AC$1005:$AS$1005,1,MATCH(COLUMNS($AC$1006:AJ1006),$AC$1006:$AS$1006,0))&gt;=100000), " ",IF(INDEX($AC$2:$AS$1001,MATCH(ROWS($V$2:V817),$V$2:$V$1001,0),MATCH(COLUMNS($AC$1006:AJ1006),$AC$1006:$AS$1006,0)), HYPERLINK("#",""), HYPERLINK(CONCATENATE("#Metadata!", ADDRESS(INDEX($X$2:$X$1001,MATCH(ROWS($V$2:V817),$V$2:$V$1001,0),0), INDEX($AC$1004:$AS$1004,1,MATCH(COLUMNS($AC$1006:AJ1006),$AC$1006:$AS$1006,0)))),"Fix")))</f>
        <v>0</v>
      </c>
      <c r="J817" s="5">
        <f>IF(OR(INDEX($W$2:$W$1001,MATCH(ROWS($V$2:V817),$V$2:$V$1001,0),1)&gt;=100000,INDEX($AC$1005:$AS$1005,1,MATCH(COLUMNS($AC$1006:AK1006),$AC$1006:$AS$1006,0))&gt;=100000), " ",IF(INDEX($AC$2:$AS$1001,MATCH(ROWS($V$2:V817),$V$2:$V$1001,0),MATCH(COLUMNS($AC$1006:AK1006),$AC$1006:$AS$1006,0)), HYPERLINK("#",""), HYPERLINK(CONCATENATE("#Metadata!", ADDRESS(INDEX($X$2:$X$1001,MATCH(ROWS($V$2:V817),$V$2:$V$1001,0),0), INDEX($AC$1004:$AS$1004,1,MATCH(COLUMNS($AC$1006:AK1006),$AC$1006:$AS$1006,0)))),"Fix")))</f>
        <v>0</v>
      </c>
      <c r="K817" s="5">
        <f>IF(OR(INDEX($W$2:$W$1001,MATCH(ROWS($V$2:V817),$V$2:$V$1001,0),1)&gt;=100000,INDEX($AC$1005:$AS$1005,1,MATCH(COLUMNS($AC$1006:AL1006),$AC$1006:$AS$1006,0))&gt;=100000), " ",IF(INDEX($AC$2:$AS$1001,MATCH(ROWS($V$2:V817),$V$2:$V$1001,0),MATCH(COLUMNS($AC$1006:AL1006),$AC$1006:$AS$1006,0)), HYPERLINK("#",""), HYPERLINK(CONCATENATE("#Metadata!", ADDRESS(INDEX($X$2:$X$1001,MATCH(ROWS($V$2:V817),$V$2:$V$1001,0),0), INDEX($AC$1004:$AS$1004,1,MATCH(COLUMNS($AC$1006:AL1006),$AC$1006:$AS$1006,0)))),"Fix")))</f>
        <v>0</v>
      </c>
      <c r="L817" s="5">
        <f>IF(OR(INDEX($W$2:$W$1001,MATCH(ROWS($V$2:V817),$V$2:$V$1001,0),1)&gt;=100000,INDEX($AC$1005:$AS$1005,1,MATCH(COLUMNS($AC$1006:AM1006),$AC$1006:$AS$1006,0))&gt;=100000), " ",IF(INDEX($AC$2:$AS$1001,MATCH(ROWS($V$2:V817),$V$2:$V$1001,0),MATCH(COLUMNS($AC$1006:AM1006),$AC$1006:$AS$1006,0)), HYPERLINK("#",""), HYPERLINK(CONCATENATE("#Metadata!", ADDRESS(INDEX($X$2:$X$1001,MATCH(ROWS($V$2:V817),$V$2:$V$1001,0),0), INDEX($AC$1004:$AS$1004,1,MATCH(COLUMNS($AC$1006:AM1006),$AC$1006:$AS$1006,0)))),"Fix")))</f>
        <v>0</v>
      </c>
      <c r="M817" s="5">
        <f>IF(OR(INDEX($W$2:$W$1001,MATCH(ROWS($V$2:V817),$V$2:$V$1001,0),1)&gt;=100000,INDEX($AC$1005:$AS$1005,1,MATCH(COLUMNS($AC$1006:AN1006),$AC$1006:$AS$1006,0))&gt;=100000), " ",IF(INDEX($AC$2:$AS$1001,MATCH(ROWS($V$2:V817),$V$2:$V$1001,0),MATCH(COLUMNS($AC$1006:AN1006),$AC$1006:$AS$1006,0)), HYPERLINK("#",""), HYPERLINK(CONCATENATE("#Metadata!", ADDRESS(INDEX($X$2:$X$1001,MATCH(ROWS($V$2:V817),$V$2:$V$1001,0),0), INDEX($AC$1004:$AS$1004,1,MATCH(COLUMNS($AC$1006:AN1006),$AC$1006:$AS$1006,0)))),"Fix")))</f>
        <v>0</v>
      </c>
      <c r="N817" s="5">
        <f>IF(OR(INDEX($W$2:$W$1001,MATCH(ROWS($V$2:V817),$V$2:$V$1001,0),1)&gt;=100000,INDEX($AC$1005:$AS$1005,1,MATCH(COLUMNS($AC$1006:AO1006),$AC$1006:$AS$1006,0))&gt;=100000), " ",IF(INDEX($AC$2:$AS$1001,MATCH(ROWS($V$2:V817),$V$2:$V$1001,0),MATCH(COLUMNS($AC$1006:AO1006),$AC$1006:$AS$1006,0)), HYPERLINK("#",""), HYPERLINK(CONCATENATE("#Metadata!", ADDRESS(INDEX($X$2:$X$1001,MATCH(ROWS($V$2:V817),$V$2:$V$1001,0),0), INDEX($AC$1004:$AS$1004,1,MATCH(COLUMNS($AC$1006:AO1006),$AC$1006:$AS$1006,0)))),"Fix")))</f>
        <v>0</v>
      </c>
      <c r="O817" s="5">
        <f>IF(OR(INDEX($W$2:$W$1001,MATCH(ROWS($V$2:V817),$V$2:$V$1001,0),1)&gt;=100000,INDEX($AC$1005:$AS$1005,1,MATCH(COLUMNS($AC$1006:AP1006),$AC$1006:$AS$1006,0))&gt;=100000), " ",IF(INDEX($AC$2:$AS$1001,MATCH(ROWS($V$2:V817),$V$2:$V$1001,0),MATCH(COLUMNS($AC$1006:AP1006),$AC$1006:$AS$1006,0)), HYPERLINK("#",""), HYPERLINK(CONCATENATE("#Metadata!", ADDRESS(INDEX($X$2:$X$1001,MATCH(ROWS($V$2:V817),$V$2:$V$1001,0),0), INDEX($AC$1004:$AS$1004,1,MATCH(COLUMNS($AC$1006:AP1006),$AC$1006:$AS$1006,0)))),"Fix")))</f>
        <v>0</v>
      </c>
      <c r="P817" s="5">
        <f>IF(OR(INDEX($W$2:$W$1001,MATCH(ROWS($V$2:V817),$V$2:$V$1001,0),1)&gt;=100000,INDEX($AC$1005:$AS$1005,1,MATCH(COLUMNS($AC$1006:AQ1006),$AC$1006:$AS$1006,0))&gt;=100000), " ",IF(INDEX($AC$2:$AS$1001,MATCH(ROWS($V$2:V817),$V$2:$V$1001,0),MATCH(COLUMNS($AC$1006:AQ1006),$AC$1006:$AS$1006,0)), HYPERLINK("#",""), HYPERLINK(CONCATENATE("#Metadata!", ADDRESS(INDEX($X$2:$X$1001,MATCH(ROWS($V$2:V817),$V$2:$V$1001,0),0), INDEX($AC$1004:$AS$1004,1,MATCH(COLUMNS($AC$1006:AQ1006),$AC$1006:$AS$1006,0)))),"Fix")))</f>
        <v>0</v>
      </c>
      <c r="Q817" s="5">
        <f>IF(OR(INDEX($W$2:$W$1001,MATCH(ROWS($V$2:V817),$V$2:$V$1001,0),1)&gt;=100000,INDEX($AC$1005:$AS$1005,1,MATCH(COLUMNS($AC$1006:AR1006),$AC$1006:$AS$1006,0))&gt;=100000), " ",IF(INDEX($AC$2:$AS$1001,MATCH(ROWS($V$2:V817),$V$2:$V$1001,0),MATCH(COLUMNS($AC$1006:AR1006),$AC$1006:$AS$1006,0)), HYPERLINK("#",""), HYPERLINK(CONCATENATE("#Metadata!", ADDRESS(INDEX($X$2:$X$1001,MATCH(ROWS($V$2:V817),$V$2:$V$1001,0),0), INDEX($AC$1004:$AS$1004,1,MATCH(COLUMNS($AC$1006:AR1006),$AC$1006:$AS$1006,0)))),"Fix")))</f>
        <v>0</v>
      </c>
      <c r="R817" s="5">
        <f>IF(OR(INDEX($W$2:$W$1001,MATCH(ROWS($V$2:V817),$V$2:$V$1001,0),1)&gt;=100000,INDEX($AC$1005:$AS$1005,1,MATCH(COLUMNS($AC$1006:AS1006),$AC$1006:$AS$1006,0))&gt;=100000), " ",IF(INDEX($AC$2:$AS$1001,MATCH(ROWS($V$2:V817),$V$2:$V$1001,0),MATCH(COLUMNS($AC$1006:AS1006),$AC$1006:$AS$1006,0)), HYPERLINK("#",""), HYPERLINK(CONCATENATE("#Metadata!", ADDRESS(INDEX($X$2:$X$1001,MATCH(ROWS($V$2:V817),$V$2:$V$1001,0),0), INDEX($AC$1004:$AS$1004,1,MATCH(COLUMNS($AC$1006:AS1006),$AC$1006:$AS$1006,0)))),"Fix")))</f>
        <v>0</v>
      </c>
      <c r="V817">
        <v>0</v>
      </c>
      <c r="W817">
        <v>0</v>
      </c>
      <c r="X817">
        <v>0</v>
      </c>
      <c r="Y817">
        <f>IF(Z817,TRUE,AND(AC817:AS817))</f>
        <v>0</v>
      </c>
      <c r="Z817">
        <f>COUNTBLANK(Metadata!B817:R817)=COLUMNS(Metadata!B817:R817)</f>
        <v>0</v>
      </c>
      <c r="AA817">
        <v>0</v>
      </c>
      <c r="AC817">
        <f>AND(IF(Metadata!B817="",FALSE,TRUE),COUNTIF(Metadata!B:B, Metadata!B817) = 1,NOT(ISERROR(SUMPRODUCT(SEARCH(MID(Metadata!B817,ROW(INDIRECT("1:"&amp;LEN(Metadata!B817))), 1),"0123456789abcdefghijklmnopqrstuvwxyzABCDEFGHIJKLMNOPQRSTUVWXYZ.")))))</f>
        <v>0</v>
      </c>
      <c r="AD817">
        <f>AND(IF(Metadata!C817="",FALSE,TRUE),exact(Metadata!C817,"Host-associated"))</f>
        <v>0</v>
      </c>
      <c r="AE817">
        <f>AND(IF(Metadata!D817="",FALSE,TRUE),OR(exact(Metadata!D817,"Animal"),exact(Metadata!D817,"Fungus"),exact(Metadata!D817,"Plant")))</f>
        <v>0</v>
      </c>
      <c r="AF817">
        <f>AND(IF(Metadata!E817="",FALSE,TRUE),OR(exact(Metadata!E817,"Plant secretion"),exact(Metadata!E817,"Plant rhizosphere"),exact(Metadata!E817,"Plant surface"),exact(Metadata!E817,"Plant corpus"),exact(Metadata!E817,"Fungus surface"),exact(Metadata!E817,"Fungus corpus"),exact(Metadata!E817,"Animal surface"),exact(Metadata!E817,"Animal proximal gut"),exact(Metadata!E817,"Animal corpus"),exact(Metadata!E817,"Animal distal gut"),exact(Metadata!E817,"Animal secretion")))</f>
        <v>0</v>
      </c>
      <c r="AG817">
        <f>OR(AND(IF(Metadata!F817="",FALSE,TRUE),OR(exact(Metadata!F817,"not collected"),exact(Metadata!F817,"not provided"),exact(Metadata!F817,"restricted access"))),AND(IF(Metadata!F817="",FALSE,TRUE),OR(exact(Metadata!F817,"organism-associated habitat"),exact(Metadata!F817,"plant-associated habitat"),exact(Metadata!F817,"animal-associated habitat"),exact(Metadata!F817,"insecta-associated habitat"),exact(Metadata!F817,"mammalia-associated habitat"),exact(Metadata!F817,"human-associated habitat"),exact(Metadata!F817,"livestock-associated habitat"))))</f>
        <v>0</v>
      </c>
      <c r="AH817">
        <f>AND(IF(Metadata!G817="",FALSE,TRUE),exact(Metadata!G817,"host-associated"))</f>
        <v>0</v>
      </c>
      <c r="AI817">
        <f>OR(AND(IF(Metadata!H817="",FALSE,TRUE),OR(exact(Metadata!H817,"not collected"),exact(Metadata!H817,"not provided"))),AND(IF(Metadata!H817="",FALSE,ISNUMBER(VALUE(Metadata!H817))),Metadata!H817&gt;0))</f>
        <v>0</v>
      </c>
      <c r="AJ817">
        <f>AND(IF(Metadata!I817="",FALSE,TRUE),exact(Metadata!I817,"years"))</f>
        <v>0</v>
      </c>
      <c r="AK817">
        <f>IF(Metadata!J817="",FALSE,TRUE)</f>
        <v>0</v>
      </c>
      <c r="AL817">
        <f>OR(AND(IF(Metadata!K817="",FALSE,TRUE),OR(exact(Metadata!K817,"not collected"),exact(Metadata!K817,"not provided"))),AND(IF(Metadata!K817="",FALSE,ISNUMBER(VALUE(Metadata!K817))),Metadata!K817&gt;0))</f>
        <v>0</v>
      </c>
      <c r="AM817">
        <f>AND(IF(Metadata!L817="",FALSE,TRUE),exact(Metadata!L817,"cm"))</f>
        <v>0</v>
      </c>
      <c r="AN817">
        <f>IF(Metadata!M817="",FALSE,TRUE)</f>
        <v>0</v>
      </c>
      <c r="AO817">
        <f>OR(AND(IF(Metadata!N817="",FALSE,TRUE),OR(exact(Metadata!N817,"not applicable"),exact(Metadata!N817,"not collected"),exact(Metadata!N817,"not provided"))),AND(IF(Metadata!N817="",FALSE,IF(ISERROR(INT(Metadata!N817)),FALSE,INT(Metadata!N817)=Metadata!N817)),Metadata!N817&gt;0))</f>
        <v>0</v>
      </c>
      <c r="AP817">
        <f>OR(AND(IF(Metadata!O817="",FALSE,TRUE),OR(exact(Metadata!O817,"not collected"),exact(Metadata!O817,"not provided"))),AND(IF(Metadata!O817="",FALSE,ISNUMBER(VALUE(Metadata!O817))),Metadata!O817&gt;0))</f>
        <v>0</v>
      </c>
      <c r="AQ817">
        <f>AND(IF(Metadata!P817="",FALSE,TRUE),exact(Metadata!P817,"kg"))</f>
        <v>0</v>
      </c>
      <c r="AR817">
        <f>OR(AND(IF(Metadata!Q817="",FALSE,TRUE),OR(exact(Metadata!Q817,"not applicable"),exact(Metadata!Q817,"not collected"),exact(Metadata!Q817,"not provided"),exact(Metadata!Q817,"restricted access"))),IF(Metadata!Q817="",FALSE,IF(ISERROR(INT(Metadata!Q817)),FALSE,INT(Metadata!Q817)=Metadata!Q817)))</f>
        <v>0</v>
      </c>
      <c r="AS817">
        <f>AND(IF(Metadata!R817="",FALSE,TRUE),exact(Metadata!R817,"Not applicable"))</f>
        <v>0</v>
      </c>
    </row>
    <row r="818" spans="1:45">
      <c r="A818" s="4">
        <f>IF(B818=" "," ",HYPERLINK(CONCATENATE("#metadata!",ADDRESS(INDEX($X$2:$X$1001,MATCH(ROWS($V$2:V818),$V$2:$V$1001,0),0),2)),INDEX($AA$2:$AA$1001,MATCH(ROWS($V$2:V818),$V$2:$V$1001,0),0)))</f>
        <v>0</v>
      </c>
      <c r="B818" s="5">
        <f>IF(OR(INDEX($W$2:$W$1001,MATCH(ROWS($V$2:V818),$V$2:$V$1001,0),1)&gt;=100000,INDEX($AC$1005:$AS$1005,1,MATCH(COLUMNS($AC$1006:AC1006),$AC$1006:$AS$1006,0))&gt;=100000), " ",IF(INDEX($AC$2:$AS$1001,MATCH(ROWS($V$2:V818),$V$2:$V$1001,0),MATCH(COLUMNS($AC$1006:AC1006),$AC$1006:$AS$1006,0)), HYPERLINK("#",""), HYPERLINK(CONCATENATE("#Metadata!", ADDRESS(INDEX($X$2:$X$1001,MATCH(ROWS($V$2:V818),$V$2:$V$1001,0),0), INDEX($AC$1004:$AS$1004,1,MATCH(COLUMNS($AC$1006:AC1006),$AC$1006:$AS$1006,0)))),"Fix")))</f>
        <v>0</v>
      </c>
      <c r="C818" s="5">
        <f>IF(OR(INDEX($W$2:$W$1001,MATCH(ROWS($V$2:V818),$V$2:$V$1001,0),1)&gt;=100000,INDEX($AC$1005:$AS$1005,1,MATCH(COLUMNS($AC$1006:AD1006),$AC$1006:$AS$1006,0))&gt;=100000), " ",IF(INDEX($AC$2:$AS$1001,MATCH(ROWS($V$2:V818),$V$2:$V$1001,0),MATCH(COLUMNS($AC$1006:AD1006),$AC$1006:$AS$1006,0)), HYPERLINK("#",""), HYPERLINK(CONCATENATE("#Metadata!", ADDRESS(INDEX($X$2:$X$1001,MATCH(ROWS($V$2:V818),$V$2:$V$1001,0),0), INDEX($AC$1004:$AS$1004,1,MATCH(COLUMNS($AC$1006:AD1006),$AC$1006:$AS$1006,0)))),"Fix")))</f>
        <v>0</v>
      </c>
      <c r="D818" s="5">
        <f>IF(OR(INDEX($W$2:$W$1001,MATCH(ROWS($V$2:V818),$V$2:$V$1001,0),1)&gt;=100000,INDEX($AC$1005:$AS$1005,1,MATCH(COLUMNS($AC$1006:AE1006),$AC$1006:$AS$1006,0))&gt;=100000), " ",IF(INDEX($AC$2:$AS$1001,MATCH(ROWS($V$2:V818),$V$2:$V$1001,0),MATCH(COLUMNS($AC$1006:AE1006),$AC$1006:$AS$1006,0)), HYPERLINK("#",""), HYPERLINK(CONCATENATE("#Metadata!", ADDRESS(INDEX($X$2:$X$1001,MATCH(ROWS($V$2:V818),$V$2:$V$1001,0),0), INDEX($AC$1004:$AS$1004,1,MATCH(COLUMNS($AC$1006:AE1006),$AC$1006:$AS$1006,0)))),"Fix")))</f>
        <v>0</v>
      </c>
      <c r="E818" s="5">
        <f>IF(OR(INDEX($W$2:$W$1001,MATCH(ROWS($V$2:V818),$V$2:$V$1001,0),1)&gt;=100000,INDEX($AC$1005:$AS$1005,1,MATCH(COLUMNS($AC$1006:AF1006),$AC$1006:$AS$1006,0))&gt;=100000), " ",IF(INDEX($AC$2:$AS$1001,MATCH(ROWS($V$2:V818),$V$2:$V$1001,0),MATCH(COLUMNS($AC$1006:AF1006),$AC$1006:$AS$1006,0)), HYPERLINK("#",""), HYPERLINK(CONCATENATE("#Metadata!", ADDRESS(INDEX($X$2:$X$1001,MATCH(ROWS($V$2:V818),$V$2:$V$1001,0),0), INDEX($AC$1004:$AS$1004,1,MATCH(COLUMNS($AC$1006:AF1006),$AC$1006:$AS$1006,0)))),"Fix")))</f>
        <v>0</v>
      </c>
      <c r="F818" s="5">
        <f>IF(OR(INDEX($W$2:$W$1001,MATCH(ROWS($V$2:V818),$V$2:$V$1001,0),1)&gt;=100000,INDEX($AC$1005:$AS$1005,1,MATCH(COLUMNS($AC$1006:AG1006),$AC$1006:$AS$1006,0))&gt;=100000), " ",IF(INDEX($AC$2:$AS$1001,MATCH(ROWS($V$2:V818),$V$2:$V$1001,0),MATCH(COLUMNS($AC$1006:AG1006),$AC$1006:$AS$1006,0)), HYPERLINK("#",""), HYPERLINK(CONCATENATE("#Metadata!", ADDRESS(INDEX($X$2:$X$1001,MATCH(ROWS($V$2:V818),$V$2:$V$1001,0),0), INDEX($AC$1004:$AS$1004,1,MATCH(COLUMNS($AC$1006:AG1006),$AC$1006:$AS$1006,0)))),"Fix")))</f>
        <v>0</v>
      </c>
      <c r="G818" s="5">
        <f>IF(OR(INDEX($W$2:$W$1001,MATCH(ROWS($V$2:V818),$V$2:$V$1001,0),1)&gt;=100000,INDEX($AC$1005:$AS$1005,1,MATCH(COLUMNS($AC$1006:AH1006),$AC$1006:$AS$1006,0))&gt;=100000), " ",IF(INDEX($AC$2:$AS$1001,MATCH(ROWS($V$2:V818),$V$2:$V$1001,0),MATCH(COLUMNS($AC$1006:AH1006),$AC$1006:$AS$1006,0)), HYPERLINK("#",""), HYPERLINK(CONCATENATE("#Metadata!", ADDRESS(INDEX($X$2:$X$1001,MATCH(ROWS($V$2:V818),$V$2:$V$1001,0),0), INDEX($AC$1004:$AS$1004,1,MATCH(COLUMNS($AC$1006:AH1006),$AC$1006:$AS$1006,0)))),"Fix")))</f>
        <v>0</v>
      </c>
      <c r="H818" s="5">
        <f>IF(OR(INDEX($W$2:$W$1001,MATCH(ROWS($V$2:V818),$V$2:$V$1001,0),1)&gt;=100000,INDEX($AC$1005:$AS$1005,1,MATCH(COLUMNS($AC$1006:AI1006),$AC$1006:$AS$1006,0))&gt;=100000), " ",IF(INDEX($AC$2:$AS$1001,MATCH(ROWS($V$2:V818),$V$2:$V$1001,0),MATCH(COLUMNS($AC$1006:AI1006),$AC$1006:$AS$1006,0)), HYPERLINK("#",""), HYPERLINK(CONCATENATE("#Metadata!", ADDRESS(INDEX($X$2:$X$1001,MATCH(ROWS($V$2:V818),$V$2:$V$1001,0),0), INDEX($AC$1004:$AS$1004,1,MATCH(COLUMNS($AC$1006:AI1006),$AC$1006:$AS$1006,0)))),"Fix")))</f>
        <v>0</v>
      </c>
      <c r="I818" s="5">
        <f>IF(OR(INDEX($W$2:$W$1001,MATCH(ROWS($V$2:V818),$V$2:$V$1001,0),1)&gt;=100000,INDEX($AC$1005:$AS$1005,1,MATCH(COLUMNS($AC$1006:AJ1006),$AC$1006:$AS$1006,0))&gt;=100000), " ",IF(INDEX($AC$2:$AS$1001,MATCH(ROWS($V$2:V818),$V$2:$V$1001,0),MATCH(COLUMNS($AC$1006:AJ1006),$AC$1006:$AS$1006,0)), HYPERLINK("#",""), HYPERLINK(CONCATENATE("#Metadata!", ADDRESS(INDEX($X$2:$X$1001,MATCH(ROWS($V$2:V818),$V$2:$V$1001,0),0), INDEX($AC$1004:$AS$1004,1,MATCH(COLUMNS($AC$1006:AJ1006),$AC$1006:$AS$1006,0)))),"Fix")))</f>
        <v>0</v>
      </c>
      <c r="J818" s="5">
        <f>IF(OR(INDEX($W$2:$W$1001,MATCH(ROWS($V$2:V818),$V$2:$V$1001,0),1)&gt;=100000,INDEX($AC$1005:$AS$1005,1,MATCH(COLUMNS($AC$1006:AK1006),$AC$1006:$AS$1006,0))&gt;=100000), " ",IF(INDEX($AC$2:$AS$1001,MATCH(ROWS($V$2:V818),$V$2:$V$1001,0),MATCH(COLUMNS($AC$1006:AK1006),$AC$1006:$AS$1006,0)), HYPERLINK("#",""), HYPERLINK(CONCATENATE("#Metadata!", ADDRESS(INDEX($X$2:$X$1001,MATCH(ROWS($V$2:V818),$V$2:$V$1001,0),0), INDEX($AC$1004:$AS$1004,1,MATCH(COLUMNS($AC$1006:AK1006),$AC$1006:$AS$1006,0)))),"Fix")))</f>
        <v>0</v>
      </c>
      <c r="K818" s="5">
        <f>IF(OR(INDEX($W$2:$W$1001,MATCH(ROWS($V$2:V818),$V$2:$V$1001,0),1)&gt;=100000,INDEX($AC$1005:$AS$1005,1,MATCH(COLUMNS($AC$1006:AL1006),$AC$1006:$AS$1006,0))&gt;=100000), " ",IF(INDEX($AC$2:$AS$1001,MATCH(ROWS($V$2:V818),$V$2:$V$1001,0),MATCH(COLUMNS($AC$1006:AL1006),$AC$1006:$AS$1006,0)), HYPERLINK("#",""), HYPERLINK(CONCATENATE("#Metadata!", ADDRESS(INDEX($X$2:$X$1001,MATCH(ROWS($V$2:V818),$V$2:$V$1001,0),0), INDEX($AC$1004:$AS$1004,1,MATCH(COLUMNS($AC$1006:AL1006),$AC$1006:$AS$1006,0)))),"Fix")))</f>
        <v>0</v>
      </c>
      <c r="L818" s="5">
        <f>IF(OR(INDEX($W$2:$W$1001,MATCH(ROWS($V$2:V818),$V$2:$V$1001,0),1)&gt;=100000,INDEX($AC$1005:$AS$1005,1,MATCH(COLUMNS($AC$1006:AM1006),$AC$1006:$AS$1006,0))&gt;=100000), " ",IF(INDEX($AC$2:$AS$1001,MATCH(ROWS($V$2:V818),$V$2:$V$1001,0),MATCH(COLUMNS($AC$1006:AM1006),$AC$1006:$AS$1006,0)), HYPERLINK("#",""), HYPERLINK(CONCATENATE("#Metadata!", ADDRESS(INDEX($X$2:$X$1001,MATCH(ROWS($V$2:V818),$V$2:$V$1001,0),0), INDEX($AC$1004:$AS$1004,1,MATCH(COLUMNS($AC$1006:AM1006),$AC$1006:$AS$1006,0)))),"Fix")))</f>
        <v>0</v>
      </c>
      <c r="M818" s="5">
        <f>IF(OR(INDEX($W$2:$W$1001,MATCH(ROWS($V$2:V818),$V$2:$V$1001,0),1)&gt;=100000,INDEX($AC$1005:$AS$1005,1,MATCH(COLUMNS($AC$1006:AN1006),$AC$1006:$AS$1006,0))&gt;=100000), " ",IF(INDEX($AC$2:$AS$1001,MATCH(ROWS($V$2:V818),$V$2:$V$1001,0),MATCH(COLUMNS($AC$1006:AN1006),$AC$1006:$AS$1006,0)), HYPERLINK("#",""), HYPERLINK(CONCATENATE("#Metadata!", ADDRESS(INDEX($X$2:$X$1001,MATCH(ROWS($V$2:V818),$V$2:$V$1001,0),0), INDEX($AC$1004:$AS$1004,1,MATCH(COLUMNS($AC$1006:AN1006),$AC$1006:$AS$1006,0)))),"Fix")))</f>
        <v>0</v>
      </c>
      <c r="N818" s="5">
        <f>IF(OR(INDEX($W$2:$W$1001,MATCH(ROWS($V$2:V818),$V$2:$V$1001,0),1)&gt;=100000,INDEX($AC$1005:$AS$1005,1,MATCH(COLUMNS($AC$1006:AO1006),$AC$1006:$AS$1006,0))&gt;=100000), " ",IF(INDEX($AC$2:$AS$1001,MATCH(ROWS($V$2:V818),$V$2:$V$1001,0),MATCH(COLUMNS($AC$1006:AO1006),$AC$1006:$AS$1006,0)), HYPERLINK("#",""), HYPERLINK(CONCATENATE("#Metadata!", ADDRESS(INDEX($X$2:$X$1001,MATCH(ROWS($V$2:V818),$V$2:$V$1001,0),0), INDEX($AC$1004:$AS$1004,1,MATCH(COLUMNS($AC$1006:AO1006),$AC$1006:$AS$1006,0)))),"Fix")))</f>
        <v>0</v>
      </c>
      <c r="O818" s="5">
        <f>IF(OR(INDEX($W$2:$W$1001,MATCH(ROWS($V$2:V818),$V$2:$V$1001,0),1)&gt;=100000,INDEX($AC$1005:$AS$1005,1,MATCH(COLUMNS($AC$1006:AP1006),$AC$1006:$AS$1006,0))&gt;=100000), " ",IF(INDEX($AC$2:$AS$1001,MATCH(ROWS($V$2:V818),$V$2:$V$1001,0),MATCH(COLUMNS($AC$1006:AP1006),$AC$1006:$AS$1006,0)), HYPERLINK("#",""), HYPERLINK(CONCATENATE("#Metadata!", ADDRESS(INDEX($X$2:$X$1001,MATCH(ROWS($V$2:V818),$V$2:$V$1001,0),0), INDEX($AC$1004:$AS$1004,1,MATCH(COLUMNS($AC$1006:AP1006),$AC$1006:$AS$1006,0)))),"Fix")))</f>
        <v>0</v>
      </c>
      <c r="P818" s="5">
        <f>IF(OR(INDEX($W$2:$W$1001,MATCH(ROWS($V$2:V818),$V$2:$V$1001,0),1)&gt;=100000,INDEX($AC$1005:$AS$1005,1,MATCH(COLUMNS($AC$1006:AQ1006),$AC$1006:$AS$1006,0))&gt;=100000), " ",IF(INDEX($AC$2:$AS$1001,MATCH(ROWS($V$2:V818),$V$2:$V$1001,0),MATCH(COLUMNS($AC$1006:AQ1006),$AC$1006:$AS$1006,0)), HYPERLINK("#",""), HYPERLINK(CONCATENATE("#Metadata!", ADDRESS(INDEX($X$2:$X$1001,MATCH(ROWS($V$2:V818),$V$2:$V$1001,0),0), INDEX($AC$1004:$AS$1004,1,MATCH(COLUMNS($AC$1006:AQ1006),$AC$1006:$AS$1006,0)))),"Fix")))</f>
        <v>0</v>
      </c>
      <c r="Q818" s="5">
        <f>IF(OR(INDEX($W$2:$W$1001,MATCH(ROWS($V$2:V818),$V$2:$V$1001,0),1)&gt;=100000,INDEX($AC$1005:$AS$1005,1,MATCH(COLUMNS($AC$1006:AR1006),$AC$1006:$AS$1006,0))&gt;=100000), " ",IF(INDEX($AC$2:$AS$1001,MATCH(ROWS($V$2:V818),$V$2:$V$1001,0),MATCH(COLUMNS($AC$1006:AR1006),$AC$1006:$AS$1006,0)), HYPERLINK("#",""), HYPERLINK(CONCATENATE("#Metadata!", ADDRESS(INDEX($X$2:$X$1001,MATCH(ROWS($V$2:V818),$V$2:$V$1001,0),0), INDEX($AC$1004:$AS$1004,1,MATCH(COLUMNS($AC$1006:AR1006),$AC$1006:$AS$1006,0)))),"Fix")))</f>
        <v>0</v>
      </c>
      <c r="R818" s="5">
        <f>IF(OR(INDEX($W$2:$W$1001,MATCH(ROWS($V$2:V818),$V$2:$V$1001,0),1)&gt;=100000,INDEX($AC$1005:$AS$1005,1,MATCH(COLUMNS($AC$1006:AS1006),$AC$1006:$AS$1006,0))&gt;=100000), " ",IF(INDEX($AC$2:$AS$1001,MATCH(ROWS($V$2:V818),$V$2:$V$1001,0),MATCH(COLUMNS($AC$1006:AS1006),$AC$1006:$AS$1006,0)), HYPERLINK("#",""), HYPERLINK(CONCATENATE("#Metadata!", ADDRESS(INDEX($X$2:$X$1001,MATCH(ROWS($V$2:V818),$V$2:$V$1001,0),0), INDEX($AC$1004:$AS$1004,1,MATCH(COLUMNS($AC$1006:AS1006),$AC$1006:$AS$1006,0)))),"Fix")))</f>
        <v>0</v>
      </c>
      <c r="V818">
        <v>0</v>
      </c>
      <c r="W818">
        <v>0</v>
      </c>
      <c r="X818">
        <v>0</v>
      </c>
      <c r="Y818">
        <f>IF(Z818,TRUE,AND(AC818:AS818))</f>
        <v>0</v>
      </c>
      <c r="Z818">
        <f>COUNTBLANK(Metadata!B818:R818)=COLUMNS(Metadata!B818:R818)</f>
        <v>0</v>
      </c>
      <c r="AA818">
        <v>0</v>
      </c>
      <c r="AC818">
        <f>AND(IF(Metadata!B818="",FALSE,TRUE),COUNTIF(Metadata!B:B, Metadata!B818) = 1,NOT(ISERROR(SUMPRODUCT(SEARCH(MID(Metadata!B818,ROW(INDIRECT("1:"&amp;LEN(Metadata!B818))), 1),"0123456789abcdefghijklmnopqrstuvwxyzABCDEFGHIJKLMNOPQRSTUVWXYZ.")))))</f>
        <v>0</v>
      </c>
      <c r="AD818">
        <f>AND(IF(Metadata!C818="",FALSE,TRUE),exact(Metadata!C818,"Host-associated"))</f>
        <v>0</v>
      </c>
      <c r="AE818">
        <f>AND(IF(Metadata!D818="",FALSE,TRUE),OR(exact(Metadata!D818,"Animal"),exact(Metadata!D818,"Fungus"),exact(Metadata!D818,"Plant")))</f>
        <v>0</v>
      </c>
      <c r="AF818">
        <f>AND(IF(Metadata!E818="",FALSE,TRUE),OR(exact(Metadata!E818,"Plant secretion"),exact(Metadata!E818,"Plant rhizosphere"),exact(Metadata!E818,"Plant surface"),exact(Metadata!E818,"Plant corpus"),exact(Metadata!E818,"Fungus surface"),exact(Metadata!E818,"Fungus corpus"),exact(Metadata!E818,"Animal surface"),exact(Metadata!E818,"Animal proximal gut"),exact(Metadata!E818,"Animal corpus"),exact(Metadata!E818,"Animal distal gut"),exact(Metadata!E818,"Animal secretion")))</f>
        <v>0</v>
      </c>
      <c r="AG818">
        <f>OR(AND(IF(Metadata!F818="",FALSE,TRUE),OR(exact(Metadata!F818,"not collected"),exact(Metadata!F818,"not provided"),exact(Metadata!F818,"restricted access"))),AND(IF(Metadata!F818="",FALSE,TRUE),OR(exact(Metadata!F818,"organism-associated habitat"),exact(Metadata!F818,"plant-associated habitat"),exact(Metadata!F818,"animal-associated habitat"),exact(Metadata!F818,"insecta-associated habitat"),exact(Metadata!F818,"mammalia-associated habitat"),exact(Metadata!F818,"human-associated habitat"),exact(Metadata!F818,"livestock-associated habitat"))))</f>
        <v>0</v>
      </c>
      <c r="AH818">
        <f>AND(IF(Metadata!G818="",FALSE,TRUE),exact(Metadata!G818,"host-associated"))</f>
        <v>0</v>
      </c>
      <c r="AI818">
        <f>OR(AND(IF(Metadata!H818="",FALSE,TRUE),OR(exact(Metadata!H818,"not collected"),exact(Metadata!H818,"not provided"))),AND(IF(Metadata!H818="",FALSE,ISNUMBER(VALUE(Metadata!H818))),Metadata!H818&gt;0))</f>
        <v>0</v>
      </c>
      <c r="AJ818">
        <f>AND(IF(Metadata!I818="",FALSE,TRUE),exact(Metadata!I818,"years"))</f>
        <v>0</v>
      </c>
      <c r="AK818">
        <f>IF(Metadata!J818="",FALSE,TRUE)</f>
        <v>0</v>
      </c>
      <c r="AL818">
        <f>OR(AND(IF(Metadata!K818="",FALSE,TRUE),OR(exact(Metadata!K818,"not collected"),exact(Metadata!K818,"not provided"))),AND(IF(Metadata!K818="",FALSE,ISNUMBER(VALUE(Metadata!K818))),Metadata!K818&gt;0))</f>
        <v>0</v>
      </c>
      <c r="AM818">
        <f>AND(IF(Metadata!L818="",FALSE,TRUE),exact(Metadata!L818,"cm"))</f>
        <v>0</v>
      </c>
      <c r="AN818">
        <f>IF(Metadata!M818="",FALSE,TRUE)</f>
        <v>0</v>
      </c>
      <c r="AO818">
        <f>OR(AND(IF(Metadata!N818="",FALSE,TRUE),OR(exact(Metadata!N818,"not applicable"),exact(Metadata!N818,"not collected"),exact(Metadata!N818,"not provided"))),AND(IF(Metadata!N818="",FALSE,IF(ISERROR(INT(Metadata!N818)),FALSE,INT(Metadata!N818)=Metadata!N818)),Metadata!N818&gt;0))</f>
        <v>0</v>
      </c>
      <c r="AP818">
        <f>OR(AND(IF(Metadata!O818="",FALSE,TRUE),OR(exact(Metadata!O818,"not collected"),exact(Metadata!O818,"not provided"))),AND(IF(Metadata!O818="",FALSE,ISNUMBER(VALUE(Metadata!O818))),Metadata!O818&gt;0))</f>
        <v>0</v>
      </c>
      <c r="AQ818">
        <f>AND(IF(Metadata!P818="",FALSE,TRUE),exact(Metadata!P818,"kg"))</f>
        <v>0</v>
      </c>
      <c r="AR818">
        <f>OR(AND(IF(Metadata!Q818="",FALSE,TRUE),OR(exact(Metadata!Q818,"not applicable"),exact(Metadata!Q818,"not collected"),exact(Metadata!Q818,"not provided"),exact(Metadata!Q818,"restricted access"))),IF(Metadata!Q818="",FALSE,IF(ISERROR(INT(Metadata!Q818)),FALSE,INT(Metadata!Q818)=Metadata!Q818)))</f>
        <v>0</v>
      </c>
      <c r="AS818">
        <f>AND(IF(Metadata!R818="",FALSE,TRUE),exact(Metadata!R818,"Not applicable"))</f>
        <v>0</v>
      </c>
    </row>
    <row r="819" spans="1:45">
      <c r="A819" s="4">
        <f>IF(B819=" "," ",HYPERLINK(CONCATENATE("#metadata!",ADDRESS(INDEX($X$2:$X$1001,MATCH(ROWS($V$2:V819),$V$2:$V$1001,0),0),2)),INDEX($AA$2:$AA$1001,MATCH(ROWS($V$2:V819),$V$2:$V$1001,0),0)))</f>
        <v>0</v>
      </c>
      <c r="B819" s="5">
        <f>IF(OR(INDEX($W$2:$W$1001,MATCH(ROWS($V$2:V819),$V$2:$V$1001,0),1)&gt;=100000,INDEX($AC$1005:$AS$1005,1,MATCH(COLUMNS($AC$1006:AC1006),$AC$1006:$AS$1006,0))&gt;=100000), " ",IF(INDEX($AC$2:$AS$1001,MATCH(ROWS($V$2:V819),$V$2:$V$1001,0),MATCH(COLUMNS($AC$1006:AC1006),$AC$1006:$AS$1006,0)), HYPERLINK("#",""), HYPERLINK(CONCATENATE("#Metadata!", ADDRESS(INDEX($X$2:$X$1001,MATCH(ROWS($V$2:V819),$V$2:$V$1001,0),0), INDEX($AC$1004:$AS$1004,1,MATCH(COLUMNS($AC$1006:AC1006),$AC$1006:$AS$1006,0)))),"Fix")))</f>
        <v>0</v>
      </c>
      <c r="C819" s="5">
        <f>IF(OR(INDEX($W$2:$W$1001,MATCH(ROWS($V$2:V819),$V$2:$V$1001,0),1)&gt;=100000,INDEX($AC$1005:$AS$1005,1,MATCH(COLUMNS($AC$1006:AD1006),$AC$1006:$AS$1006,0))&gt;=100000), " ",IF(INDEX($AC$2:$AS$1001,MATCH(ROWS($V$2:V819),$V$2:$V$1001,0),MATCH(COLUMNS($AC$1006:AD1006),$AC$1006:$AS$1006,0)), HYPERLINK("#",""), HYPERLINK(CONCATENATE("#Metadata!", ADDRESS(INDEX($X$2:$X$1001,MATCH(ROWS($V$2:V819),$V$2:$V$1001,0),0), INDEX($AC$1004:$AS$1004,1,MATCH(COLUMNS($AC$1006:AD1006),$AC$1006:$AS$1006,0)))),"Fix")))</f>
        <v>0</v>
      </c>
      <c r="D819" s="5">
        <f>IF(OR(INDEX($W$2:$W$1001,MATCH(ROWS($V$2:V819),$V$2:$V$1001,0),1)&gt;=100000,INDEX($AC$1005:$AS$1005,1,MATCH(COLUMNS($AC$1006:AE1006),$AC$1006:$AS$1006,0))&gt;=100000), " ",IF(INDEX($AC$2:$AS$1001,MATCH(ROWS($V$2:V819),$V$2:$V$1001,0),MATCH(COLUMNS($AC$1006:AE1006),$AC$1006:$AS$1006,0)), HYPERLINK("#",""), HYPERLINK(CONCATENATE("#Metadata!", ADDRESS(INDEX($X$2:$X$1001,MATCH(ROWS($V$2:V819),$V$2:$V$1001,0),0), INDEX($AC$1004:$AS$1004,1,MATCH(COLUMNS($AC$1006:AE1006),$AC$1006:$AS$1006,0)))),"Fix")))</f>
        <v>0</v>
      </c>
      <c r="E819" s="5">
        <f>IF(OR(INDEX($W$2:$W$1001,MATCH(ROWS($V$2:V819),$V$2:$V$1001,0),1)&gt;=100000,INDEX($AC$1005:$AS$1005,1,MATCH(COLUMNS($AC$1006:AF1006),$AC$1006:$AS$1006,0))&gt;=100000), " ",IF(INDEX($AC$2:$AS$1001,MATCH(ROWS($V$2:V819),$V$2:$V$1001,0),MATCH(COLUMNS($AC$1006:AF1006),$AC$1006:$AS$1006,0)), HYPERLINK("#",""), HYPERLINK(CONCATENATE("#Metadata!", ADDRESS(INDEX($X$2:$X$1001,MATCH(ROWS($V$2:V819),$V$2:$V$1001,0),0), INDEX($AC$1004:$AS$1004,1,MATCH(COLUMNS($AC$1006:AF1006),$AC$1006:$AS$1006,0)))),"Fix")))</f>
        <v>0</v>
      </c>
      <c r="F819" s="5">
        <f>IF(OR(INDEX($W$2:$W$1001,MATCH(ROWS($V$2:V819),$V$2:$V$1001,0),1)&gt;=100000,INDEX($AC$1005:$AS$1005,1,MATCH(COLUMNS($AC$1006:AG1006),$AC$1006:$AS$1006,0))&gt;=100000), " ",IF(INDEX($AC$2:$AS$1001,MATCH(ROWS($V$2:V819),$V$2:$V$1001,0),MATCH(COLUMNS($AC$1006:AG1006),$AC$1006:$AS$1006,0)), HYPERLINK("#",""), HYPERLINK(CONCATENATE("#Metadata!", ADDRESS(INDEX($X$2:$X$1001,MATCH(ROWS($V$2:V819),$V$2:$V$1001,0),0), INDEX($AC$1004:$AS$1004,1,MATCH(COLUMNS($AC$1006:AG1006),$AC$1006:$AS$1006,0)))),"Fix")))</f>
        <v>0</v>
      </c>
      <c r="G819" s="5">
        <f>IF(OR(INDEX($W$2:$W$1001,MATCH(ROWS($V$2:V819),$V$2:$V$1001,0),1)&gt;=100000,INDEX($AC$1005:$AS$1005,1,MATCH(COLUMNS($AC$1006:AH1006),$AC$1006:$AS$1006,0))&gt;=100000), " ",IF(INDEX($AC$2:$AS$1001,MATCH(ROWS($V$2:V819),$V$2:$V$1001,0),MATCH(COLUMNS($AC$1006:AH1006),$AC$1006:$AS$1006,0)), HYPERLINK("#",""), HYPERLINK(CONCATENATE("#Metadata!", ADDRESS(INDEX($X$2:$X$1001,MATCH(ROWS($V$2:V819),$V$2:$V$1001,0),0), INDEX($AC$1004:$AS$1004,1,MATCH(COLUMNS($AC$1006:AH1006),$AC$1006:$AS$1006,0)))),"Fix")))</f>
        <v>0</v>
      </c>
      <c r="H819" s="5">
        <f>IF(OR(INDEX($W$2:$W$1001,MATCH(ROWS($V$2:V819),$V$2:$V$1001,0),1)&gt;=100000,INDEX($AC$1005:$AS$1005,1,MATCH(COLUMNS($AC$1006:AI1006),$AC$1006:$AS$1006,0))&gt;=100000), " ",IF(INDEX($AC$2:$AS$1001,MATCH(ROWS($V$2:V819),$V$2:$V$1001,0),MATCH(COLUMNS($AC$1006:AI1006),$AC$1006:$AS$1006,0)), HYPERLINK("#",""), HYPERLINK(CONCATENATE("#Metadata!", ADDRESS(INDEX($X$2:$X$1001,MATCH(ROWS($V$2:V819),$V$2:$V$1001,0),0), INDEX($AC$1004:$AS$1004,1,MATCH(COLUMNS($AC$1006:AI1006),$AC$1006:$AS$1006,0)))),"Fix")))</f>
        <v>0</v>
      </c>
      <c r="I819" s="5">
        <f>IF(OR(INDEX($W$2:$W$1001,MATCH(ROWS($V$2:V819),$V$2:$V$1001,0),1)&gt;=100000,INDEX($AC$1005:$AS$1005,1,MATCH(COLUMNS($AC$1006:AJ1006),$AC$1006:$AS$1006,0))&gt;=100000), " ",IF(INDEX($AC$2:$AS$1001,MATCH(ROWS($V$2:V819),$V$2:$V$1001,0),MATCH(COLUMNS($AC$1006:AJ1006),$AC$1006:$AS$1006,0)), HYPERLINK("#",""), HYPERLINK(CONCATENATE("#Metadata!", ADDRESS(INDEX($X$2:$X$1001,MATCH(ROWS($V$2:V819),$V$2:$V$1001,0),0), INDEX($AC$1004:$AS$1004,1,MATCH(COLUMNS($AC$1006:AJ1006),$AC$1006:$AS$1006,0)))),"Fix")))</f>
        <v>0</v>
      </c>
      <c r="J819" s="5">
        <f>IF(OR(INDEX($W$2:$W$1001,MATCH(ROWS($V$2:V819),$V$2:$V$1001,0),1)&gt;=100000,INDEX($AC$1005:$AS$1005,1,MATCH(COLUMNS($AC$1006:AK1006),$AC$1006:$AS$1006,0))&gt;=100000), " ",IF(INDEX($AC$2:$AS$1001,MATCH(ROWS($V$2:V819),$V$2:$V$1001,0),MATCH(COLUMNS($AC$1006:AK1006),$AC$1006:$AS$1006,0)), HYPERLINK("#",""), HYPERLINK(CONCATENATE("#Metadata!", ADDRESS(INDEX($X$2:$X$1001,MATCH(ROWS($V$2:V819),$V$2:$V$1001,0),0), INDEX($AC$1004:$AS$1004,1,MATCH(COLUMNS($AC$1006:AK1006),$AC$1006:$AS$1006,0)))),"Fix")))</f>
        <v>0</v>
      </c>
      <c r="K819" s="5">
        <f>IF(OR(INDEX($W$2:$W$1001,MATCH(ROWS($V$2:V819),$V$2:$V$1001,0),1)&gt;=100000,INDEX($AC$1005:$AS$1005,1,MATCH(COLUMNS($AC$1006:AL1006),$AC$1006:$AS$1006,0))&gt;=100000), " ",IF(INDEX($AC$2:$AS$1001,MATCH(ROWS($V$2:V819),$V$2:$V$1001,0),MATCH(COLUMNS($AC$1006:AL1006),$AC$1006:$AS$1006,0)), HYPERLINK("#",""), HYPERLINK(CONCATENATE("#Metadata!", ADDRESS(INDEX($X$2:$X$1001,MATCH(ROWS($V$2:V819),$V$2:$V$1001,0),0), INDEX($AC$1004:$AS$1004,1,MATCH(COLUMNS($AC$1006:AL1006),$AC$1006:$AS$1006,0)))),"Fix")))</f>
        <v>0</v>
      </c>
      <c r="L819" s="5">
        <f>IF(OR(INDEX($W$2:$W$1001,MATCH(ROWS($V$2:V819),$V$2:$V$1001,0),1)&gt;=100000,INDEX($AC$1005:$AS$1005,1,MATCH(COLUMNS($AC$1006:AM1006),$AC$1006:$AS$1006,0))&gt;=100000), " ",IF(INDEX($AC$2:$AS$1001,MATCH(ROWS($V$2:V819),$V$2:$V$1001,0),MATCH(COLUMNS($AC$1006:AM1006),$AC$1006:$AS$1006,0)), HYPERLINK("#",""), HYPERLINK(CONCATENATE("#Metadata!", ADDRESS(INDEX($X$2:$X$1001,MATCH(ROWS($V$2:V819),$V$2:$V$1001,0),0), INDEX($AC$1004:$AS$1004,1,MATCH(COLUMNS($AC$1006:AM1006),$AC$1006:$AS$1006,0)))),"Fix")))</f>
        <v>0</v>
      </c>
      <c r="M819" s="5">
        <f>IF(OR(INDEX($W$2:$W$1001,MATCH(ROWS($V$2:V819),$V$2:$V$1001,0),1)&gt;=100000,INDEX($AC$1005:$AS$1005,1,MATCH(COLUMNS($AC$1006:AN1006),$AC$1006:$AS$1006,0))&gt;=100000), " ",IF(INDEX($AC$2:$AS$1001,MATCH(ROWS($V$2:V819),$V$2:$V$1001,0),MATCH(COLUMNS($AC$1006:AN1006),$AC$1006:$AS$1006,0)), HYPERLINK("#",""), HYPERLINK(CONCATENATE("#Metadata!", ADDRESS(INDEX($X$2:$X$1001,MATCH(ROWS($V$2:V819),$V$2:$V$1001,0),0), INDEX($AC$1004:$AS$1004,1,MATCH(COLUMNS($AC$1006:AN1006),$AC$1006:$AS$1006,0)))),"Fix")))</f>
        <v>0</v>
      </c>
      <c r="N819" s="5">
        <f>IF(OR(INDEX($W$2:$W$1001,MATCH(ROWS($V$2:V819),$V$2:$V$1001,0),1)&gt;=100000,INDEX($AC$1005:$AS$1005,1,MATCH(COLUMNS($AC$1006:AO1006),$AC$1006:$AS$1006,0))&gt;=100000), " ",IF(INDEX($AC$2:$AS$1001,MATCH(ROWS($V$2:V819),$V$2:$V$1001,0),MATCH(COLUMNS($AC$1006:AO1006),$AC$1006:$AS$1006,0)), HYPERLINK("#",""), HYPERLINK(CONCATENATE("#Metadata!", ADDRESS(INDEX($X$2:$X$1001,MATCH(ROWS($V$2:V819),$V$2:$V$1001,0),0), INDEX($AC$1004:$AS$1004,1,MATCH(COLUMNS($AC$1006:AO1006),$AC$1006:$AS$1006,0)))),"Fix")))</f>
        <v>0</v>
      </c>
      <c r="O819" s="5">
        <f>IF(OR(INDEX($W$2:$W$1001,MATCH(ROWS($V$2:V819),$V$2:$V$1001,0),1)&gt;=100000,INDEX($AC$1005:$AS$1005,1,MATCH(COLUMNS($AC$1006:AP1006),$AC$1006:$AS$1006,0))&gt;=100000), " ",IF(INDEX($AC$2:$AS$1001,MATCH(ROWS($V$2:V819),$V$2:$V$1001,0),MATCH(COLUMNS($AC$1006:AP1006),$AC$1006:$AS$1006,0)), HYPERLINK("#",""), HYPERLINK(CONCATENATE("#Metadata!", ADDRESS(INDEX($X$2:$X$1001,MATCH(ROWS($V$2:V819),$V$2:$V$1001,0),0), INDEX($AC$1004:$AS$1004,1,MATCH(COLUMNS($AC$1006:AP1006),$AC$1006:$AS$1006,0)))),"Fix")))</f>
        <v>0</v>
      </c>
      <c r="P819" s="5">
        <f>IF(OR(INDEX($W$2:$W$1001,MATCH(ROWS($V$2:V819),$V$2:$V$1001,0),1)&gt;=100000,INDEX($AC$1005:$AS$1005,1,MATCH(COLUMNS($AC$1006:AQ1006),$AC$1006:$AS$1006,0))&gt;=100000), " ",IF(INDEX($AC$2:$AS$1001,MATCH(ROWS($V$2:V819),$V$2:$V$1001,0),MATCH(COLUMNS($AC$1006:AQ1006),$AC$1006:$AS$1006,0)), HYPERLINK("#",""), HYPERLINK(CONCATENATE("#Metadata!", ADDRESS(INDEX($X$2:$X$1001,MATCH(ROWS($V$2:V819),$V$2:$V$1001,0),0), INDEX($AC$1004:$AS$1004,1,MATCH(COLUMNS($AC$1006:AQ1006),$AC$1006:$AS$1006,0)))),"Fix")))</f>
        <v>0</v>
      </c>
      <c r="Q819" s="5">
        <f>IF(OR(INDEX($W$2:$W$1001,MATCH(ROWS($V$2:V819),$V$2:$V$1001,0),1)&gt;=100000,INDEX($AC$1005:$AS$1005,1,MATCH(COLUMNS($AC$1006:AR1006),$AC$1006:$AS$1006,0))&gt;=100000), " ",IF(INDEX($AC$2:$AS$1001,MATCH(ROWS($V$2:V819),$V$2:$V$1001,0),MATCH(COLUMNS($AC$1006:AR1006),$AC$1006:$AS$1006,0)), HYPERLINK("#",""), HYPERLINK(CONCATENATE("#Metadata!", ADDRESS(INDEX($X$2:$X$1001,MATCH(ROWS($V$2:V819),$V$2:$V$1001,0),0), INDEX($AC$1004:$AS$1004,1,MATCH(COLUMNS($AC$1006:AR1006),$AC$1006:$AS$1006,0)))),"Fix")))</f>
        <v>0</v>
      </c>
      <c r="R819" s="5">
        <f>IF(OR(INDEX($W$2:$W$1001,MATCH(ROWS($V$2:V819),$V$2:$V$1001,0),1)&gt;=100000,INDEX($AC$1005:$AS$1005,1,MATCH(COLUMNS($AC$1006:AS1006),$AC$1006:$AS$1006,0))&gt;=100000), " ",IF(INDEX($AC$2:$AS$1001,MATCH(ROWS($V$2:V819),$V$2:$V$1001,0),MATCH(COLUMNS($AC$1006:AS1006),$AC$1006:$AS$1006,0)), HYPERLINK("#",""), HYPERLINK(CONCATENATE("#Metadata!", ADDRESS(INDEX($X$2:$X$1001,MATCH(ROWS($V$2:V819),$V$2:$V$1001,0),0), INDEX($AC$1004:$AS$1004,1,MATCH(COLUMNS($AC$1006:AS1006),$AC$1006:$AS$1006,0)))),"Fix")))</f>
        <v>0</v>
      </c>
      <c r="V819">
        <v>0</v>
      </c>
      <c r="W819">
        <v>0</v>
      </c>
      <c r="X819">
        <v>0</v>
      </c>
      <c r="Y819">
        <f>IF(Z819,TRUE,AND(AC819:AS819))</f>
        <v>0</v>
      </c>
      <c r="Z819">
        <f>COUNTBLANK(Metadata!B819:R819)=COLUMNS(Metadata!B819:R819)</f>
        <v>0</v>
      </c>
      <c r="AA819">
        <v>0</v>
      </c>
      <c r="AC819">
        <f>AND(IF(Metadata!B819="",FALSE,TRUE),COUNTIF(Metadata!B:B, Metadata!B819) = 1,NOT(ISERROR(SUMPRODUCT(SEARCH(MID(Metadata!B819,ROW(INDIRECT("1:"&amp;LEN(Metadata!B819))), 1),"0123456789abcdefghijklmnopqrstuvwxyzABCDEFGHIJKLMNOPQRSTUVWXYZ.")))))</f>
        <v>0</v>
      </c>
      <c r="AD819">
        <f>AND(IF(Metadata!C819="",FALSE,TRUE),exact(Metadata!C819,"Host-associated"))</f>
        <v>0</v>
      </c>
      <c r="AE819">
        <f>AND(IF(Metadata!D819="",FALSE,TRUE),OR(exact(Metadata!D819,"Animal"),exact(Metadata!D819,"Fungus"),exact(Metadata!D819,"Plant")))</f>
        <v>0</v>
      </c>
      <c r="AF819">
        <f>AND(IF(Metadata!E819="",FALSE,TRUE),OR(exact(Metadata!E819,"Plant secretion"),exact(Metadata!E819,"Plant rhizosphere"),exact(Metadata!E819,"Plant surface"),exact(Metadata!E819,"Plant corpus"),exact(Metadata!E819,"Fungus surface"),exact(Metadata!E819,"Fungus corpus"),exact(Metadata!E819,"Animal surface"),exact(Metadata!E819,"Animal proximal gut"),exact(Metadata!E819,"Animal corpus"),exact(Metadata!E819,"Animal distal gut"),exact(Metadata!E819,"Animal secretion")))</f>
        <v>0</v>
      </c>
      <c r="AG819">
        <f>OR(AND(IF(Metadata!F819="",FALSE,TRUE),OR(exact(Metadata!F819,"not collected"),exact(Metadata!F819,"not provided"),exact(Metadata!F819,"restricted access"))),AND(IF(Metadata!F819="",FALSE,TRUE),OR(exact(Metadata!F819,"organism-associated habitat"),exact(Metadata!F819,"plant-associated habitat"),exact(Metadata!F819,"animal-associated habitat"),exact(Metadata!F819,"insecta-associated habitat"),exact(Metadata!F819,"mammalia-associated habitat"),exact(Metadata!F819,"human-associated habitat"),exact(Metadata!F819,"livestock-associated habitat"))))</f>
        <v>0</v>
      </c>
      <c r="AH819">
        <f>AND(IF(Metadata!G819="",FALSE,TRUE),exact(Metadata!G819,"host-associated"))</f>
        <v>0</v>
      </c>
      <c r="AI819">
        <f>OR(AND(IF(Metadata!H819="",FALSE,TRUE),OR(exact(Metadata!H819,"not collected"),exact(Metadata!H819,"not provided"))),AND(IF(Metadata!H819="",FALSE,ISNUMBER(VALUE(Metadata!H819))),Metadata!H819&gt;0))</f>
        <v>0</v>
      </c>
      <c r="AJ819">
        <f>AND(IF(Metadata!I819="",FALSE,TRUE),exact(Metadata!I819,"years"))</f>
        <v>0</v>
      </c>
      <c r="AK819">
        <f>IF(Metadata!J819="",FALSE,TRUE)</f>
        <v>0</v>
      </c>
      <c r="AL819">
        <f>OR(AND(IF(Metadata!K819="",FALSE,TRUE),OR(exact(Metadata!K819,"not collected"),exact(Metadata!K819,"not provided"))),AND(IF(Metadata!K819="",FALSE,ISNUMBER(VALUE(Metadata!K819))),Metadata!K819&gt;0))</f>
        <v>0</v>
      </c>
      <c r="AM819">
        <f>AND(IF(Metadata!L819="",FALSE,TRUE),exact(Metadata!L819,"cm"))</f>
        <v>0</v>
      </c>
      <c r="AN819">
        <f>IF(Metadata!M819="",FALSE,TRUE)</f>
        <v>0</v>
      </c>
      <c r="AO819">
        <f>OR(AND(IF(Metadata!N819="",FALSE,TRUE),OR(exact(Metadata!N819,"not applicable"),exact(Metadata!N819,"not collected"),exact(Metadata!N819,"not provided"))),AND(IF(Metadata!N819="",FALSE,IF(ISERROR(INT(Metadata!N819)),FALSE,INT(Metadata!N819)=Metadata!N819)),Metadata!N819&gt;0))</f>
        <v>0</v>
      </c>
      <c r="AP819">
        <f>OR(AND(IF(Metadata!O819="",FALSE,TRUE),OR(exact(Metadata!O819,"not collected"),exact(Metadata!O819,"not provided"))),AND(IF(Metadata!O819="",FALSE,ISNUMBER(VALUE(Metadata!O819))),Metadata!O819&gt;0))</f>
        <v>0</v>
      </c>
      <c r="AQ819">
        <f>AND(IF(Metadata!P819="",FALSE,TRUE),exact(Metadata!P819,"kg"))</f>
        <v>0</v>
      </c>
      <c r="AR819">
        <f>OR(AND(IF(Metadata!Q819="",FALSE,TRUE),OR(exact(Metadata!Q819,"not applicable"),exact(Metadata!Q819,"not collected"),exact(Metadata!Q819,"not provided"),exact(Metadata!Q819,"restricted access"))),IF(Metadata!Q819="",FALSE,IF(ISERROR(INT(Metadata!Q819)),FALSE,INT(Metadata!Q819)=Metadata!Q819)))</f>
        <v>0</v>
      </c>
      <c r="AS819">
        <f>AND(IF(Metadata!R819="",FALSE,TRUE),exact(Metadata!R819,"Not applicable"))</f>
        <v>0</v>
      </c>
    </row>
    <row r="820" spans="1:45">
      <c r="A820" s="4">
        <f>IF(B820=" "," ",HYPERLINK(CONCATENATE("#metadata!",ADDRESS(INDEX($X$2:$X$1001,MATCH(ROWS($V$2:V820),$V$2:$V$1001,0),0),2)),INDEX($AA$2:$AA$1001,MATCH(ROWS($V$2:V820),$V$2:$V$1001,0),0)))</f>
        <v>0</v>
      </c>
      <c r="B820" s="5">
        <f>IF(OR(INDEX($W$2:$W$1001,MATCH(ROWS($V$2:V820),$V$2:$V$1001,0),1)&gt;=100000,INDEX($AC$1005:$AS$1005,1,MATCH(COLUMNS($AC$1006:AC1006),$AC$1006:$AS$1006,0))&gt;=100000), " ",IF(INDEX($AC$2:$AS$1001,MATCH(ROWS($V$2:V820),$V$2:$V$1001,0),MATCH(COLUMNS($AC$1006:AC1006),$AC$1006:$AS$1006,0)), HYPERLINK("#",""), HYPERLINK(CONCATENATE("#Metadata!", ADDRESS(INDEX($X$2:$X$1001,MATCH(ROWS($V$2:V820),$V$2:$V$1001,0),0), INDEX($AC$1004:$AS$1004,1,MATCH(COLUMNS($AC$1006:AC1006),$AC$1006:$AS$1006,0)))),"Fix")))</f>
        <v>0</v>
      </c>
      <c r="C820" s="5">
        <f>IF(OR(INDEX($W$2:$W$1001,MATCH(ROWS($V$2:V820),$V$2:$V$1001,0),1)&gt;=100000,INDEX($AC$1005:$AS$1005,1,MATCH(COLUMNS($AC$1006:AD1006),$AC$1006:$AS$1006,0))&gt;=100000), " ",IF(INDEX($AC$2:$AS$1001,MATCH(ROWS($V$2:V820),$V$2:$V$1001,0),MATCH(COLUMNS($AC$1006:AD1006),$AC$1006:$AS$1006,0)), HYPERLINK("#",""), HYPERLINK(CONCATENATE("#Metadata!", ADDRESS(INDEX($X$2:$X$1001,MATCH(ROWS($V$2:V820),$V$2:$V$1001,0),0), INDEX($AC$1004:$AS$1004,1,MATCH(COLUMNS($AC$1006:AD1006),$AC$1006:$AS$1006,0)))),"Fix")))</f>
        <v>0</v>
      </c>
      <c r="D820" s="5">
        <f>IF(OR(INDEX($W$2:$W$1001,MATCH(ROWS($V$2:V820),$V$2:$V$1001,0),1)&gt;=100000,INDEX($AC$1005:$AS$1005,1,MATCH(COLUMNS($AC$1006:AE1006),$AC$1006:$AS$1006,0))&gt;=100000), " ",IF(INDEX($AC$2:$AS$1001,MATCH(ROWS($V$2:V820),$V$2:$V$1001,0),MATCH(COLUMNS($AC$1006:AE1006),$AC$1006:$AS$1006,0)), HYPERLINK("#",""), HYPERLINK(CONCATENATE("#Metadata!", ADDRESS(INDEX($X$2:$X$1001,MATCH(ROWS($V$2:V820),$V$2:$V$1001,0),0), INDEX($AC$1004:$AS$1004,1,MATCH(COLUMNS($AC$1006:AE1006),$AC$1006:$AS$1006,0)))),"Fix")))</f>
        <v>0</v>
      </c>
      <c r="E820" s="5">
        <f>IF(OR(INDEX($W$2:$W$1001,MATCH(ROWS($V$2:V820),$V$2:$V$1001,0),1)&gt;=100000,INDEX($AC$1005:$AS$1005,1,MATCH(COLUMNS($AC$1006:AF1006),$AC$1006:$AS$1006,0))&gt;=100000), " ",IF(INDEX($AC$2:$AS$1001,MATCH(ROWS($V$2:V820),$V$2:$V$1001,0),MATCH(COLUMNS($AC$1006:AF1006),$AC$1006:$AS$1006,0)), HYPERLINK("#",""), HYPERLINK(CONCATENATE("#Metadata!", ADDRESS(INDEX($X$2:$X$1001,MATCH(ROWS($V$2:V820),$V$2:$V$1001,0),0), INDEX($AC$1004:$AS$1004,1,MATCH(COLUMNS($AC$1006:AF1006),$AC$1006:$AS$1006,0)))),"Fix")))</f>
        <v>0</v>
      </c>
      <c r="F820" s="5">
        <f>IF(OR(INDEX($W$2:$W$1001,MATCH(ROWS($V$2:V820),$V$2:$V$1001,0),1)&gt;=100000,INDEX($AC$1005:$AS$1005,1,MATCH(COLUMNS($AC$1006:AG1006),$AC$1006:$AS$1006,0))&gt;=100000), " ",IF(INDEX($AC$2:$AS$1001,MATCH(ROWS($V$2:V820),$V$2:$V$1001,0),MATCH(COLUMNS($AC$1006:AG1006),$AC$1006:$AS$1006,0)), HYPERLINK("#",""), HYPERLINK(CONCATENATE("#Metadata!", ADDRESS(INDEX($X$2:$X$1001,MATCH(ROWS($V$2:V820),$V$2:$V$1001,0),0), INDEX($AC$1004:$AS$1004,1,MATCH(COLUMNS($AC$1006:AG1006),$AC$1006:$AS$1006,0)))),"Fix")))</f>
        <v>0</v>
      </c>
      <c r="G820" s="5">
        <f>IF(OR(INDEX($W$2:$W$1001,MATCH(ROWS($V$2:V820),$V$2:$V$1001,0),1)&gt;=100000,INDEX($AC$1005:$AS$1005,1,MATCH(COLUMNS($AC$1006:AH1006),$AC$1006:$AS$1006,0))&gt;=100000), " ",IF(INDEX($AC$2:$AS$1001,MATCH(ROWS($V$2:V820),$V$2:$V$1001,0),MATCH(COLUMNS($AC$1006:AH1006),$AC$1006:$AS$1006,0)), HYPERLINK("#",""), HYPERLINK(CONCATENATE("#Metadata!", ADDRESS(INDEX($X$2:$X$1001,MATCH(ROWS($V$2:V820),$V$2:$V$1001,0),0), INDEX($AC$1004:$AS$1004,1,MATCH(COLUMNS($AC$1006:AH1006),$AC$1006:$AS$1006,0)))),"Fix")))</f>
        <v>0</v>
      </c>
      <c r="H820" s="5">
        <f>IF(OR(INDEX($W$2:$W$1001,MATCH(ROWS($V$2:V820),$V$2:$V$1001,0),1)&gt;=100000,INDEX($AC$1005:$AS$1005,1,MATCH(COLUMNS($AC$1006:AI1006),$AC$1006:$AS$1006,0))&gt;=100000), " ",IF(INDEX($AC$2:$AS$1001,MATCH(ROWS($V$2:V820),$V$2:$V$1001,0),MATCH(COLUMNS($AC$1006:AI1006),$AC$1006:$AS$1006,0)), HYPERLINK("#",""), HYPERLINK(CONCATENATE("#Metadata!", ADDRESS(INDEX($X$2:$X$1001,MATCH(ROWS($V$2:V820),$V$2:$V$1001,0),0), INDEX($AC$1004:$AS$1004,1,MATCH(COLUMNS($AC$1006:AI1006),$AC$1006:$AS$1006,0)))),"Fix")))</f>
        <v>0</v>
      </c>
      <c r="I820" s="5">
        <f>IF(OR(INDEX($W$2:$W$1001,MATCH(ROWS($V$2:V820),$V$2:$V$1001,0),1)&gt;=100000,INDEX($AC$1005:$AS$1005,1,MATCH(COLUMNS($AC$1006:AJ1006),$AC$1006:$AS$1006,0))&gt;=100000), " ",IF(INDEX($AC$2:$AS$1001,MATCH(ROWS($V$2:V820),$V$2:$V$1001,0),MATCH(COLUMNS($AC$1006:AJ1006),$AC$1006:$AS$1006,0)), HYPERLINK("#",""), HYPERLINK(CONCATENATE("#Metadata!", ADDRESS(INDEX($X$2:$X$1001,MATCH(ROWS($V$2:V820),$V$2:$V$1001,0),0), INDEX($AC$1004:$AS$1004,1,MATCH(COLUMNS($AC$1006:AJ1006),$AC$1006:$AS$1006,0)))),"Fix")))</f>
        <v>0</v>
      </c>
      <c r="J820" s="5">
        <f>IF(OR(INDEX($W$2:$W$1001,MATCH(ROWS($V$2:V820),$V$2:$V$1001,0),1)&gt;=100000,INDEX($AC$1005:$AS$1005,1,MATCH(COLUMNS($AC$1006:AK1006),$AC$1006:$AS$1006,0))&gt;=100000), " ",IF(INDEX($AC$2:$AS$1001,MATCH(ROWS($V$2:V820),$V$2:$V$1001,0),MATCH(COLUMNS($AC$1006:AK1006),$AC$1006:$AS$1006,0)), HYPERLINK("#",""), HYPERLINK(CONCATENATE("#Metadata!", ADDRESS(INDEX($X$2:$X$1001,MATCH(ROWS($V$2:V820),$V$2:$V$1001,0),0), INDEX($AC$1004:$AS$1004,1,MATCH(COLUMNS($AC$1006:AK1006),$AC$1006:$AS$1006,0)))),"Fix")))</f>
        <v>0</v>
      </c>
      <c r="K820" s="5">
        <f>IF(OR(INDEX($W$2:$W$1001,MATCH(ROWS($V$2:V820),$V$2:$V$1001,0),1)&gt;=100000,INDEX($AC$1005:$AS$1005,1,MATCH(COLUMNS($AC$1006:AL1006),$AC$1006:$AS$1006,0))&gt;=100000), " ",IF(INDEX($AC$2:$AS$1001,MATCH(ROWS($V$2:V820),$V$2:$V$1001,0),MATCH(COLUMNS($AC$1006:AL1006),$AC$1006:$AS$1006,0)), HYPERLINK("#",""), HYPERLINK(CONCATENATE("#Metadata!", ADDRESS(INDEX($X$2:$X$1001,MATCH(ROWS($V$2:V820),$V$2:$V$1001,0),0), INDEX($AC$1004:$AS$1004,1,MATCH(COLUMNS($AC$1006:AL1006),$AC$1006:$AS$1006,0)))),"Fix")))</f>
        <v>0</v>
      </c>
      <c r="L820" s="5">
        <f>IF(OR(INDEX($W$2:$W$1001,MATCH(ROWS($V$2:V820),$V$2:$V$1001,0),1)&gt;=100000,INDEX($AC$1005:$AS$1005,1,MATCH(COLUMNS($AC$1006:AM1006),$AC$1006:$AS$1006,0))&gt;=100000), " ",IF(INDEX($AC$2:$AS$1001,MATCH(ROWS($V$2:V820),$V$2:$V$1001,0),MATCH(COLUMNS($AC$1006:AM1006),$AC$1006:$AS$1006,0)), HYPERLINK("#",""), HYPERLINK(CONCATENATE("#Metadata!", ADDRESS(INDEX($X$2:$X$1001,MATCH(ROWS($V$2:V820),$V$2:$V$1001,0),0), INDEX($AC$1004:$AS$1004,1,MATCH(COLUMNS($AC$1006:AM1006),$AC$1006:$AS$1006,0)))),"Fix")))</f>
        <v>0</v>
      </c>
      <c r="M820" s="5">
        <f>IF(OR(INDEX($W$2:$W$1001,MATCH(ROWS($V$2:V820),$V$2:$V$1001,0),1)&gt;=100000,INDEX($AC$1005:$AS$1005,1,MATCH(COLUMNS($AC$1006:AN1006),$AC$1006:$AS$1006,0))&gt;=100000), " ",IF(INDEX($AC$2:$AS$1001,MATCH(ROWS($V$2:V820),$V$2:$V$1001,0),MATCH(COLUMNS($AC$1006:AN1006),$AC$1006:$AS$1006,0)), HYPERLINK("#",""), HYPERLINK(CONCATENATE("#Metadata!", ADDRESS(INDEX($X$2:$X$1001,MATCH(ROWS($V$2:V820),$V$2:$V$1001,0),0), INDEX($AC$1004:$AS$1004,1,MATCH(COLUMNS($AC$1006:AN1006),$AC$1006:$AS$1006,0)))),"Fix")))</f>
        <v>0</v>
      </c>
      <c r="N820" s="5">
        <f>IF(OR(INDEX($W$2:$W$1001,MATCH(ROWS($V$2:V820),$V$2:$V$1001,0),1)&gt;=100000,INDEX($AC$1005:$AS$1005,1,MATCH(COLUMNS($AC$1006:AO1006),$AC$1006:$AS$1006,0))&gt;=100000), " ",IF(INDEX($AC$2:$AS$1001,MATCH(ROWS($V$2:V820),$V$2:$V$1001,0),MATCH(COLUMNS($AC$1006:AO1006),$AC$1006:$AS$1006,0)), HYPERLINK("#",""), HYPERLINK(CONCATENATE("#Metadata!", ADDRESS(INDEX($X$2:$X$1001,MATCH(ROWS($V$2:V820),$V$2:$V$1001,0),0), INDEX($AC$1004:$AS$1004,1,MATCH(COLUMNS($AC$1006:AO1006),$AC$1006:$AS$1006,0)))),"Fix")))</f>
        <v>0</v>
      </c>
      <c r="O820" s="5">
        <f>IF(OR(INDEX($W$2:$W$1001,MATCH(ROWS($V$2:V820),$V$2:$V$1001,0),1)&gt;=100000,INDEX($AC$1005:$AS$1005,1,MATCH(COLUMNS($AC$1006:AP1006),$AC$1006:$AS$1006,0))&gt;=100000), " ",IF(INDEX($AC$2:$AS$1001,MATCH(ROWS($V$2:V820),$V$2:$V$1001,0),MATCH(COLUMNS($AC$1006:AP1006),$AC$1006:$AS$1006,0)), HYPERLINK("#",""), HYPERLINK(CONCATENATE("#Metadata!", ADDRESS(INDEX($X$2:$X$1001,MATCH(ROWS($V$2:V820),$V$2:$V$1001,0),0), INDEX($AC$1004:$AS$1004,1,MATCH(COLUMNS($AC$1006:AP1006),$AC$1006:$AS$1006,0)))),"Fix")))</f>
        <v>0</v>
      </c>
      <c r="P820" s="5">
        <f>IF(OR(INDEX($W$2:$W$1001,MATCH(ROWS($V$2:V820),$V$2:$V$1001,0),1)&gt;=100000,INDEX($AC$1005:$AS$1005,1,MATCH(COLUMNS($AC$1006:AQ1006),$AC$1006:$AS$1006,0))&gt;=100000), " ",IF(INDEX($AC$2:$AS$1001,MATCH(ROWS($V$2:V820),$V$2:$V$1001,0),MATCH(COLUMNS($AC$1006:AQ1006),$AC$1006:$AS$1006,0)), HYPERLINK("#",""), HYPERLINK(CONCATENATE("#Metadata!", ADDRESS(INDEX($X$2:$X$1001,MATCH(ROWS($V$2:V820),$V$2:$V$1001,0),0), INDEX($AC$1004:$AS$1004,1,MATCH(COLUMNS($AC$1006:AQ1006),$AC$1006:$AS$1006,0)))),"Fix")))</f>
        <v>0</v>
      </c>
      <c r="Q820" s="5">
        <f>IF(OR(INDEX($W$2:$W$1001,MATCH(ROWS($V$2:V820),$V$2:$V$1001,0),1)&gt;=100000,INDEX($AC$1005:$AS$1005,1,MATCH(COLUMNS($AC$1006:AR1006),$AC$1006:$AS$1006,0))&gt;=100000), " ",IF(INDEX($AC$2:$AS$1001,MATCH(ROWS($V$2:V820),$V$2:$V$1001,0),MATCH(COLUMNS($AC$1006:AR1006),$AC$1006:$AS$1006,0)), HYPERLINK("#",""), HYPERLINK(CONCATENATE("#Metadata!", ADDRESS(INDEX($X$2:$X$1001,MATCH(ROWS($V$2:V820),$V$2:$V$1001,0),0), INDEX($AC$1004:$AS$1004,1,MATCH(COLUMNS($AC$1006:AR1006),$AC$1006:$AS$1006,0)))),"Fix")))</f>
        <v>0</v>
      </c>
      <c r="R820" s="5">
        <f>IF(OR(INDEX($W$2:$W$1001,MATCH(ROWS($V$2:V820),$V$2:$V$1001,0),1)&gt;=100000,INDEX($AC$1005:$AS$1005,1,MATCH(COLUMNS($AC$1006:AS1006),$AC$1006:$AS$1006,0))&gt;=100000), " ",IF(INDEX($AC$2:$AS$1001,MATCH(ROWS($V$2:V820),$V$2:$V$1001,0),MATCH(COLUMNS($AC$1006:AS1006),$AC$1006:$AS$1006,0)), HYPERLINK("#",""), HYPERLINK(CONCATENATE("#Metadata!", ADDRESS(INDEX($X$2:$X$1001,MATCH(ROWS($V$2:V820),$V$2:$V$1001,0),0), INDEX($AC$1004:$AS$1004,1,MATCH(COLUMNS($AC$1006:AS1006),$AC$1006:$AS$1006,0)))),"Fix")))</f>
        <v>0</v>
      </c>
      <c r="V820">
        <v>0</v>
      </c>
      <c r="W820">
        <v>0</v>
      </c>
      <c r="X820">
        <v>0</v>
      </c>
      <c r="Y820">
        <f>IF(Z820,TRUE,AND(AC820:AS820))</f>
        <v>0</v>
      </c>
      <c r="Z820">
        <f>COUNTBLANK(Metadata!B820:R820)=COLUMNS(Metadata!B820:R820)</f>
        <v>0</v>
      </c>
      <c r="AA820">
        <v>0</v>
      </c>
      <c r="AC820">
        <f>AND(IF(Metadata!B820="",FALSE,TRUE),COUNTIF(Metadata!B:B, Metadata!B820) = 1,NOT(ISERROR(SUMPRODUCT(SEARCH(MID(Metadata!B820,ROW(INDIRECT("1:"&amp;LEN(Metadata!B820))), 1),"0123456789abcdefghijklmnopqrstuvwxyzABCDEFGHIJKLMNOPQRSTUVWXYZ.")))))</f>
        <v>0</v>
      </c>
      <c r="AD820">
        <f>AND(IF(Metadata!C820="",FALSE,TRUE),exact(Metadata!C820,"Host-associated"))</f>
        <v>0</v>
      </c>
      <c r="AE820">
        <f>AND(IF(Metadata!D820="",FALSE,TRUE),OR(exact(Metadata!D820,"Animal"),exact(Metadata!D820,"Fungus"),exact(Metadata!D820,"Plant")))</f>
        <v>0</v>
      </c>
      <c r="AF820">
        <f>AND(IF(Metadata!E820="",FALSE,TRUE),OR(exact(Metadata!E820,"Plant secretion"),exact(Metadata!E820,"Plant rhizosphere"),exact(Metadata!E820,"Plant surface"),exact(Metadata!E820,"Plant corpus"),exact(Metadata!E820,"Fungus surface"),exact(Metadata!E820,"Fungus corpus"),exact(Metadata!E820,"Animal surface"),exact(Metadata!E820,"Animal proximal gut"),exact(Metadata!E820,"Animal corpus"),exact(Metadata!E820,"Animal distal gut"),exact(Metadata!E820,"Animal secretion")))</f>
        <v>0</v>
      </c>
      <c r="AG820">
        <f>OR(AND(IF(Metadata!F820="",FALSE,TRUE),OR(exact(Metadata!F820,"not collected"),exact(Metadata!F820,"not provided"),exact(Metadata!F820,"restricted access"))),AND(IF(Metadata!F820="",FALSE,TRUE),OR(exact(Metadata!F820,"organism-associated habitat"),exact(Metadata!F820,"plant-associated habitat"),exact(Metadata!F820,"animal-associated habitat"),exact(Metadata!F820,"insecta-associated habitat"),exact(Metadata!F820,"mammalia-associated habitat"),exact(Metadata!F820,"human-associated habitat"),exact(Metadata!F820,"livestock-associated habitat"))))</f>
        <v>0</v>
      </c>
      <c r="AH820">
        <f>AND(IF(Metadata!G820="",FALSE,TRUE),exact(Metadata!G820,"host-associated"))</f>
        <v>0</v>
      </c>
      <c r="AI820">
        <f>OR(AND(IF(Metadata!H820="",FALSE,TRUE),OR(exact(Metadata!H820,"not collected"),exact(Metadata!H820,"not provided"))),AND(IF(Metadata!H820="",FALSE,ISNUMBER(VALUE(Metadata!H820))),Metadata!H820&gt;0))</f>
        <v>0</v>
      </c>
      <c r="AJ820">
        <f>AND(IF(Metadata!I820="",FALSE,TRUE),exact(Metadata!I820,"years"))</f>
        <v>0</v>
      </c>
      <c r="AK820">
        <f>IF(Metadata!J820="",FALSE,TRUE)</f>
        <v>0</v>
      </c>
      <c r="AL820">
        <f>OR(AND(IF(Metadata!K820="",FALSE,TRUE),OR(exact(Metadata!K820,"not collected"),exact(Metadata!K820,"not provided"))),AND(IF(Metadata!K820="",FALSE,ISNUMBER(VALUE(Metadata!K820))),Metadata!K820&gt;0))</f>
        <v>0</v>
      </c>
      <c r="AM820">
        <f>AND(IF(Metadata!L820="",FALSE,TRUE),exact(Metadata!L820,"cm"))</f>
        <v>0</v>
      </c>
      <c r="AN820">
        <f>IF(Metadata!M820="",FALSE,TRUE)</f>
        <v>0</v>
      </c>
      <c r="AO820">
        <f>OR(AND(IF(Metadata!N820="",FALSE,TRUE),OR(exact(Metadata!N820,"not applicable"),exact(Metadata!N820,"not collected"),exact(Metadata!N820,"not provided"))),AND(IF(Metadata!N820="",FALSE,IF(ISERROR(INT(Metadata!N820)),FALSE,INT(Metadata!N820)=Metadata!N820)),Metadata!N820&gt;0))</f>
        <v>0</v>
      </c>
      <c r="AP820">
        <f>OR(AND(IF(Metadata!O820="",FALSE,TRUE),OR(exact(Metadata!O820,"not collected"),exact(Metadata!O820,"not provided"))),AND(IF(Metadata!O820="",FALSE,ISNUMBER(VALUE(Metadata!O820))),Metadata!O820&gt;0))</f>
        <v>0</v>
      </c>
      <c r="AQ820">
        <f>AND(IF(Metadata!P820="",FALSE,TRUE),exact(Metadata!P820,"kg"))</f>
        <v>0</v>
      </c>
      <c r="AR820">
        <f>OR(AND(IF(Metadata!Q820="",FALSE,TRUE),OR(exact(Metadata!Q820,"not applicable"),exact(Metadata!Q820,"not collected"),exact(Metadata!Q820,"not provided"),exact(Metadata!Q820,"restricted access"))),IF(Metadata!Q820="",FALSE,IF(ISERROR(INT(Metadata!Q820)),FALSE,INT(Metadata!Q820)=Metadata!Q820)))</f>
        <v>0</v>
      </c>
      <c r="AS820">
        <f>AND(IF(Metadata!R820="",FALSE,TRUE),exact(Metadata!R820,"Not applicable"))</f>
        <v>0</v>
      </c>
    </row>
    <row r="821" spans="1:45">
      <c r="A821" s="4">
        <f>IF(B821=" "," ",HYPERLINK(CONCATENATE("#metadata!",ADDRESS(INDEX($X$2:$X$1001,MATCH(ROWS($V$2:V821),$V$2:$V$1001,0),0),2)),INDEX($AA$2:$AA$1001,MATCH(ROWS($V$2:V821),$V$2:$V$1001,0),0)))</f>
        <v>0</v>
      </c>
      <c r="B821" s="5">
        <f>IF(OR(INDEX($W$2:$W$1001,MATCH(ROWS($V$2:V821),$V$2:$V$1001,0),1)&gt;=100000,INDEX($AC$1005:$AS$1005,1,MATCH(COLUMNS($AC$1006:AC1006),$AC$1006:$AS$1006,0))&gt;=100000), " ",IF(INDEX($AC$2:$AS$1001,MATCH(ROWS($V$2:V821),$V$2:$V$1001,0),MATCH(COLUMNS($AC$1006:AC1006),$AC$1006:$AS$1006,0)), HYPERLINK("#",""), HYPERLINK(CONCATENATE("#Metadata!", ADDRESS(INDEX($X$2:$X$1001,MATCH(ROWS($V$2:V821),$V$2:$V$1001,0),0), INDEX($AC$1004:$AS$1004,1,MATCH(COLUMNS($AC$1006:AC1006),$AC$1006:$AS$1006,0)))),"Fix")))</f>
        <v>0</v>
      </c>
      <c r="C821" s="5">
        <f>IF(OR(INDEX($W$2:$W$1001,MATCH(ROWS($V$2:V821),$V$2:$V$1001,0),1)&gt;=100000,INDEX($AC$1005:$AS$1005,1,MATCH(COLUMNS($AC$1006:AD1006),$AC$1006:$AS$1006,0))&gt;=100000), " ",IF(INDEX($AC$2:$AS$1001,MATCH(ROWS($V$2:V821),$V$2:$V$1001,0),MATCH(COLUMNS($AC$1006:AD1006),$AC$1006:$AS$1006,0)), HYPERLINK("#",""), HYPERLINK(CONCATENATE("#Metadata!", ADDRESS(INDEX($X$2:$X$1001,MATCH(ROWS($V$2:V821),$V$2:$V$1001,0),0), INDEX($AC$1004:$AS$1004,1,MATCH(COLUMNS($AC$1006:AD1006),$AC$1006:$AS$1006,0)))),"Fix")))</f>
        <v>0</v>
      </c>
      <c r="D821" s="5">
        <f>IF(OR(INDEX($W$2:$W$1001,MATCH(ROWS($V$2:V821),$V$2:$V$1001,0),1)&gt;=100000,INDEX($AC$1005:$AS$1005,1,MATCH(COLUMNS($AC$1006:AE1006),$AC$1006:$AS$1006,0))&gt;=100000), " ",IF(INDEX($AC$2:$AS$1001,MATCH(ROWS($V$2:V821),$V$2:$V$1001,0),MATCH(COLUMNS($AC$1006:AE1006),$AC$1006:$AS$1006,0)), HYPERLINK("#",""), HYPERLINK(CONCATENATE("#Metadata!", ADDRESS(INDEX($X$2:$X$1001,MATCH(ROWS($V$2:V821),$V$2:$V$1001,0),0), INDEX($AC$1004:$AS$1004,1,MATCH(COLUMNS($AC$1006:AE1006),$AC$1006:$AS$1006,0)))),"Fix")))</f>
        <v>0</v>
      </c>
      <c r="E821" s="5">
        <f>IF(OR(INDEX($W$2:$W$1001,MATCH(ROWS($V$2:V821),$V$2:$V$1001,0),1)&gt;=100000,INDEX($AC$1005:$AS$1005,1,MATCH(COLUMNS($AC$1006:AF1006),$AC$1006:$AS$1006,0))&gt;=100000), " ",IF(INDEX($AC$2:$AS$1001,MATCH(ROWS($V$2:V821),$V$2:$V$1001,0),MATCH(COLUMNS($AC$1006:AF1006),$AC$1006:$AS$1006,0)), HYPERLINK("#",""), HYPERLINK(CONCATENATE("#Metadata!", ADDRESS(INDEX($X$2:$X$1001,MATCH(ROWS($V$2:V821),$V$2:$V$1001,0),0), INDEX($AC$1004:$AS$1004,1,MATCH(COLUMNS($AC$1006:AF1006),$AC$1006:$AS$1006,0)))),"Fix")))</f>
        <v>0</v>
      </c>
      <c r="F821" s="5">
        <f>IF(OR(INDEX($W$2:$W$1001,MATCH(ROWS($V$2:V821),$V$2:$V$1001,0),1)&gt;=100000,INDEX($AC$1005:$AS$1005,1,MATCH(COLUMNS($AC$1006:AG1006),$AC$1006:$AS$1006,0))&gt;=100000), " ",IF(INDEX($AC$2:$AS$1001,MATCH(ROWS($V$2:V821),$V$2:$V$1001,0),MATCH(COLUMNS($AC$1006:AG1006),$AC$1006:$AS$1006,0)), HYPERLINK("#",""), HYPERLINK(CONCATENATE("#Metadata!", ADDRESS(INDEX($X$2:$X$1001,MATCH(ROWS($V$2:V821),$V$2:$V$1001,0),0), INDEX($AC$1004:$AS$1004,1,MATCH(COLUMNS($AC$1006:AG1006),$AC$1006:$AS$1006,0)))),"Fix")))</f>
        <v>0</v>
      </c>
      <c r="G821" s="5">
        <f>IF(OR(INDEX($W$2:$W$1001,MATCH(ROWS($V$2:V821),$V$2:$V$1001,0),1)&gt;=100000,INDEX($AC$1005:$AS$1005,1,MATCH(COLUMNS($AC$1006:AH1006),$AC$1006:$AS$1006,0))&gt;=100000), " ",IF(INDEX($AC$2:$AS$1001,MATCH(ROWS($V$2:V821),$V$2:$V$1001,0),MATCH(COLUMNS($AC$1006:AH1006),$AC$1006:$AS$1006,0)), HYPERLINK("#",""), HYPERLINK(CONCATENATE("#Metadata!", ADDRESS(INDEX($X$2:$X$1001,MATCH(ROWS($V$2:V821),$V$2:$V$1001,0),0), INDEX($AC$1004:$AS$1004,1,MATCH(COLUMNS($AC$1006:AH1006),$AC$1006:$AS$1006,0)))),"Fix")))</f>
        <v>0</v>
      </c>
      <c r="H821" s="5">
        <f>IF(OR(INDEX($W$2:$W$1001,MATCH(ROWS($V$2:V821),$V$2:$V$1001,0),1)&gt;=100000,INDEX($AC$1005:$AS$1005,1,MATCH(COLUMNS($AC$1006:AI1006),$AC$1006:$AS$1006,0))&gt;=100000), " ",IF(INDEX($AC$2:$AS$1001,MATCH(ROWS($V$2:V821),$V$2:$V$1001,0),MATCH(COLUMNS($AC$1006:AI1006),$AC$1006:$AS$1006,0)), HYPERLINK("#",""), HYPERLINK(CONCATENATE("#Metadata!", ADDRESS(INDEX($X$2:$X$1001,MATCH(ROWS($V$2:V821),$V$2:$V$1001,0),0), INDEX($AC$1004:$AS$1004,1,MATCH(COLUMNS($AC$1006:AI1006),$AC$1006:$AS$1006,0)))),"Fix")))</f>
        <v>0</v>
      </c>
      <c r="I821" s="5">
        <f>IF(OR(INDEX($W$2:$W$1001,MATCH(ROWS($V$2:V821),$V$2:$V$1001,0),1)&gt;=100000,INDEX($AC$1005:$AS$1005,1,MATCH(COLUMNS($AC$1006:AJ1006),$AC$1006:$AS$1006,0))&gt;=100000), " ",IF(INDEX($AC$2:$AS$1001,MATCH(ROWS($V$2:V821),$V$2:$V$1001,0),MATCH(COLUMNS($AC$1006:AJ1006),$AC$1006:$AS$1006,0)), HYPERLINK("#",""), HYPERLINK(CONCATENATE("#Metadata!", ADDRESS(INDEX($X$2:$X$1001,MATCH(ROWS($V$2:V821),$V$2:$V$1001,0),0), INDEX($AC$1004:$AS$1004,1,MATCH(COLUMNS($AC$1006:AJ1006),$AC$1006:$AS$1006,0)))),"Fix")))</f>
        <v>0</v>
      </c>
      <c r="J821" s="5">
        <f>IF(OR(INDEX($W$2:$W$1001,MATCH(ROWS($V$2:V821),$V$2:$V$1001,0),1)&gt;=100000,INDEX($AC$1005:$AS$1005,1,MATCH(COLUMNS($AC$1006:AK1006),$AC$1006:$AS$1006,0))&gt;=100000), " ",IF(INDEX($AC$2:$AS$1001,MATCH(ROWS($V$2:V821),$V$2:$V$1001,0),MATCH(COLUMNS($AC$1006:AK1006),$AC$1006:$AS$1006,0)), HYPERLINK("#",""), HYPERLINK(CONCATENATE("#Metadata!", ADDRESS(INDEX($X$2:$X$1001,MATCH(ROWS($V$2:V821),$V$2:$V$1001,0),0), INDEX($AC$1004:$AS$1004,1,MATCH(COLUMNS($AC$1006:AK1006),$AC$1006:$AS$1006,0)))),"Fix")))</f>
        <v>0</v>
      </c>
      <c r="K821" s="5">
        <f>IF(OR(INDEX($W$2:$W$1001,MATCH(ROWS($V$2:V821),$V$2:$V$1001,0),1)&gt;=100000,INDEX($AC$1005:$AS$1005,1,MATCH(COLUMNS($AC$1006:AL1006),$AC$1006:$AS$1006,0))&gt;=100000), " ",IF(INDEX($AC$2:$AS$1001,MATCH(ROWS($V$2:V821),$V$2:$V$1001,0),MATCH(COLUMNS($AC$1006:AL1006),$AC$1006:$AS$1006,0)), HYPERLINK("#",""), HYPERLINK(CONCATENATE("#Metadata!", ADDRESS(INDEX($X$2:$X$1001,MATCH(ROWS($V$2:V821),$V$2:$V$1001,0),0), INDEX($AC$1004:$AS$1004,1,MATCH(COLUMNS($AC$1006:AL1006),$AC$1006:$AS$1006,0)))),"Fix")))</f>
        <v>0</v>
      </c>
      <c r="L821" s="5">
        <f>IF(OR(INDEX($W$2:$W$1001,MATCH(ROWS($V$2:V821),$V$2:$V$1001,0),1)&gt;=100000,INDEX($AC$1005:$AS$1005,1,MATCH(COLUMNS($AC$1006:AM1006),$AC$1006:$AS$1006,0))&gt;=100000), " ",IF(INDEX($AC$2:$AS$1001,MATCH(ROWS($V$2:V821),$V$2:$V$1001,0),MATCH(COLUMNS($AC$1006:AM1006),$AC$1006:$AS$1006,0)), HYPERLINK("#",""), HYPERLINK(CONCATENATE("#Metadata!", ADDRESS(INDEX($X$2:$X$1001,MATCH(ROWS($V$2:V821),$V$2:$V$1001,0),0), INDEX($AC$1004:$AS$1004,1,MATCH(COLUMNS($AC$1006:AM1006),$AC$1006:$AS$1006,0)))),"Fix")))</f>
        <v>0</v>
      </c>
      <c r="M821" s="5">
        <f>IF(OR(INDEX($W$2:$W$1001,MATCH(ROWS($V$2:V821),$V$2:$V$1001,0),1)&gt;=100000,INDEX($AC$1005:$AS$1005,1,MATCH(COLUMNS($AC$1006:AN1006),$AC$1006:$AS$1006,0))&gt;=100000), " ",IF(INDEX($AC$2:$AS$1001,MATCH(ROWS($V$2:V821),$V$2:$V$1001,0),MATCH(COLUMNS($AC$1006:AN1006),$AC$1006:$AS$1006,0)), HYPERLINK("#",""), HYPERLINK(CONCATENATE("#Metadata!", ADDRESS(INDEX($X$2:$X$1001,MATCH(ROWS($V$2:V821),$V$2:$V$1001,0),0), INDEX($AC$1004:$AS$1004,1,MATCH(COLUMNS($AC$1006:AN1006),$AC$1006:$AS$1006,0)))),"Fix")))</f>
        <v>0</v>
      </c>
      <c r="N821" s="5">
        <f>IF(OR(INDEX($W$2:$W$1001,MATCH(ROWS($V$2:V821),$V$2:$V$1001,0),1)&gt;=100000,INDEX($AC$1005:$AS$1005,1,MATCH(COLUMNS($AC$1006:AO1006),$AC$1006:$AS$1006,0))&gt;=100000), " ",IF(INDEX($AC$2:$AS$1001,MATCH(ROWS($V$2:V821),$V$2:$V$1001,0),MATCH(COLUMNS($AC$1006:AO1006),$AC$1006:$AS$1006,0)), HYPERLINK("#",""), HYPERLINK(CONCATENATE("#Metadata!", ADDRESS(INDEX($X$2:$X$1001,MATCH(ROWS($V$2:V821),$V$2:$V$1001,0),0), INDEX($AC$1004:$AS$1004,1,MATCH(COLUMNS($AC$1006:AO1006),$AC$1006:$AS$1006,0)))),"Fix")))</f>
        <v>0</v>
      </c>
      <c r="O821" s="5">
        <f>IF(OR(INDEX($W$2:$W$1001,MATCH(ROWS($V$2:V821),$V$2:$V$1001,0),1)&gt;=100000,INDEX($AC$1005:$AS$1005,1,MATCH(COLUMNS($AC$1006:AP1006),$AC$1006:$AS$1006,0))&gt;=100000), " ",IF(INDEX($AC$2:$AS$1001,MATCH(ROWS($V$2:V821),$V$2:$V$1001,0),MATCH(COLUMNS($AC$1006:AP1006),$AC$1006:$AS$1006,0)), HYPERLINK("#",""), HYPERLINK(CONCATENATE("#Metadata!", ADDRESS(INDEX($X$2:$X$1001,MATCH(ROWS($V$2:V821),$V$2:$V$1001,0),0), INDEX($AC$1004:$AS$1004,1,MATCH(COLUMNS($AC$1006:AP1006),$AC$1006:$AS$1006,0)))),"Fix")))</f>
        <v>0</v>
      </c>
      <c r="P821" s="5">
        <f>IF(OR(INDEX($W$2:$W$1001,MATCH(ROWS($V$2:V821),$V$2:$V$1001,0),1)&gt;=100000,INDEX($AC$1005:$AS$1005,1,MATCH(COLUMNS($AC$1006:AQ1006),$AC$1006:$AS$1006,0))&gt;=100000), " ",IF(INDEX($AC$2:$AS$1001,MATCH(ROWS($V$2:V821),$V$2:$V$1001,0),MATCH(COLUMNS($AC$1006:AQ1006),$AC$1006:$AS$1006,0)), HYPERLINK("#",""), HYPERLINK(CONCATENATE("#Metadata!", ADDRESS(INDEX($X$2:$X$1001,MATCH(ROWS($V$2:V821),$V$2:$V$1001,0),0), INDEX($AC$1004:$AS$1004,1,MATCH(COLUMNS($AC$1006:AQ1006),$AC$1006:$AS$1006,0)))),"Fix")))</f>
        <v>0</v>
      </c>
      <c r="Q821" s="5">
        <f>IF(OR(INDEX($W$2:$W$1001,MATCH(ROWS($V$2:V821),$V$2:$V$1001,0),1)&gt;=100000,INDEX($AC$1005:$AS$1005,1,MATCH(COLUMNS($AC$1006:AR1006),$AC$1006:$AS$1006,0))&gt;=100000), " ",IF(INDEX($AC$2:$AS$1001,MATCH(ROWS($V$2:V821),$V$2:$V$1001,0),MATCH(COLUMNS($AC$1006:AR1006),$AC$1006:$AS$1006,0)), HYPERLINK("#",""), HYPERLINK(CONCATENATE("#Metadata!", ADDRESS(INDEX($X$2:$X$1001,MATCH(ROWS($V$2:V821),$V$2:$V$1001,0),0), INDEX($AC$1004:$AS$1004,1,MATCH(COLUMNS($AC$1006:AR1006),$AC$1006:$AS$1006,0)))),"Fix")))</f>
        <v>0</v>
      </c>
      <c r="R821" s="5">
        <f>IF(OR(INDEX($W$2:$W$1001,MATCH(ROWS($V$2:V821),$V$2:$V$1001,0),1)&gt;=100000,INDEX($AC$1005:$AS$1005,1,MATCH(COLUMNS($AC$1006:AS1006),$AC$1006:$AS$1006,0))&gt;=100000), " ",IF(INDEX($AC$2:$AS$1001,MATCH(ROWS($V$2:V821),$V$2:$V$1001,0),MATCH(COLUMNS($AC$1006:AS1006),$AC$1006:$AS$1006,0)), HYPERLINK("#",""), HYPERLINK(CONCATENATE("#Metadata!", ADDRESS(INDEX($X$2:$X$1001,MATCH(ROWS($V$2:V821),$V$2:$V$1001,0),0), INDEX($AC$1004:$AS$1004,1,MATCH(COLUMNS($AC$1006:AS1006),$AC$1006:$AS$1006,0)))),"Fix")))</f>
        <v>0</v>
      </c>
      <c r="V821">
        <v>0</v>
      </c>
      <c r="W821">
        <v>0</v>
      </c>
      <c r="X821">
        <v>0</v>
      </c>
      <c r="Y821">
        <f>IF(Z821,TRUE,AND(AC821:AS821))</f>
        <v>0</v>
      </c>
      <c r="Z821">
        <f>COUNTBLANK(Metadata!B821:R821)=COLUMNS(Metadata!B821:R821)</f>
        <v>0</v>
      </c>
      <c r="AA821">
        <v>0</v>
      </c>
      <c r="AC821">
        <f>AND(IF(Metadata!B821="",FALSE,TRUE),COUNTIF(Metadata!B:B, Metadata!B821) = 1,NOT(ISERROR(SUMPRODUCT(SEARCH(MID(Metadata!B821,ROW(INDIRECT("1:"&amp;LEN(Metadata!B821))), 1),"0123456789abcdefghijklmnopqrstuvwxyzABCDEFGHIJKLMNOPQRSTUVWXYZ.")))))</f>
        <v>0</v>
      </c>
      <c r="AD821">
        <f>AND(IF(Metadata!C821="",FALSE,TRUE),exact(Metadata!C821,"Host-associated"))</f>
        <v>0</v>
      </c>
      <c r="AE821">
        <f>AND(IF(Metadata!D821="",FALSE,TRUE),OR(exact(Metadata!D821,"Animal"),exact(Metadata!D821,"Fungus"),exact(Metadata!D821,"Plant")))</f>
        <v>0</v>
      </c>
      <c r="AF821">
        <f>AND(IF(Metadata!E821="",FALSE,TRUE),OR(exact(Metadata!E821,"Plant secretion"),exact(Metadata!E821,"Plant rhizosphere"),exact(Metadata!E821,"Plant surface"),exact(Metadata!E821,"Plant corpus"),exact(Metadata!E821,"Fungus surface"),exact(Metadata!E821,"Fungus corpus"),exact(Metadata!E821,"Animal surface"),exact(Metadata!E821,"Animal proximal gut"),exact(Metadata!E821,"Animal corpus"),exact(Metadata!E821,"Animal distal gut"),exact(Metadata!E821,"Animal secretion")))</f>
        <v>0</v>
      </c>
      <c r="AG821">
        <f>OR(AND(IF(Metadata!F821="",FALSE,TRUE),OR(exact(Metadata!F821,"not collected"),exact(Metadata!F821,"not provided"),exact(Metadata!F821,"restricted access"))),AND(IF(Metadata!F821="",FALSE,TRUE),OR(exact(Metadata!F821,"organism-associated habitat"),exact(Metadata!F821,"plant-associated habitat"),exact(Metadata!F821,"animal-associated habitat"),exact(Metadata!F821,"insecta-associated habitat"),exact(Metadata!F821,"mammalia-associated habitat"),exact(Metadata!F821,"human-associated habitat"),exact(Metadata!F821,"livestock-associated habitat"))))</f>
        <v>0</v>
      </c>
      <c r="AH821">
        <f>AND(IF(Metadata!G821="",FALSE,TRUE),exact(Metadata!G821,"host-associated"))</f>
        <v>0</v>
      </c>
      <c r="AI821">
        <f>OR(AND(IF(Metadata!H821="",FALSE,TRUE),OR(exact(Metadata!H821,"not collected"),exact(Metadata!H821,"not provided"))),AND(IF(Metadata!H821="",FALSE,ISNUMBER(VALUE(Metadata!H821))),Metadata!H821&gt;0))</f>
        <v>0</v>
      </c>
      <c r="AJ821">
        <f>AND(IF(Metadata!I821="",FALSE,TRUE),exact(Metadata!I821,"years"))</f>
        <v>0</v>
      </c>
      <c r="AK821">
        <f>IF(Metadata!J821="",FALSE,TRUE)</f>
        <v>0</v>
      </c>
      <c r="AL821">
        <f>OR(AND(IF(Metadata!K821="",FALSE,TRUE),OR(exact(Metadata!K821,"not collected"),exact(Metadata!K821,"not provided"))),AND(IF(Metadata!K821="",FALSE,ISNUMBER(VALUE(Metadata!K821))),Metadata!K821&gt;0))</f>
        <v>0</v>
      </c>
      <c r="AM821">
        <f>AND(IF(Metadata!L821="",FALSE,TRUE),exact(Metadata!L821,"cm"))</f>
        <v>0</v>
      </c>
      <c r="AN821">
        <f>IF(Metadata!M821="",FALSE,TRUE)</f>
        <v>0</v>
      </c>
      <c r="AO821">
        <f>OR(AND(IF(Metadata!N821="",FALSE,TRUE),OR(exact(Metadata!N821,"not applicable"),exact(Metadata!N821,"not collected"),exact(Metadata!N821,"not provided"))),AND(IF(Metadata!N821="",FALSE,IF(ISERROR(INT(Metadata!N821)),FALSE,INT(Metadata!N821)=Metadata!N821)),Metadata!N821&gt;0))</f>
        <v>0</v>
      </c>
      <c r="AP821">
        <f>OR(AND(IF(Metadata!O821="",FALSE,TRUE),OR(exact(Metadata!O821,"not collected"),exact(Metadata!O821,"not provided"))),AND(IF(Metadata!O821="",FALSE,ISNUMBER(VALUE(Metadata!O821))),Metadata!O821&gt;0))</f>
        <v>0</v>
      </c>
      <c r="AQ821">
        <f>AND(IF(Metadata!P821="",FALSE,TRUE),exact(Metadata!P821,"kg"))</f>
        <v>0</v>
      </c>
      <c r="AR821">
        <f>OR(AND(IF(Metadata!Q821="",FALSE,TRUE),OR(exact(Metadata!Q821,"not applicable"),exact(Metadata!Q821,"not collected"),exact(Metadata!Q821,"not provided"),exact(Metadata!Q821,"restricted access"))),IF(Metadata!Q821="",FALSE,IF(ISERROR(INT(Metadata!Q821)),FALSE,INT(Metadata!Q821)=Metadata!Q821)))</f>
        <v>0</v>
      </c>
      <c r="AS821">
        <f>AND(IF(Metadata!R821="",FALSE,TRUE),exact(Metadata!R821,"Not applicable"))</f>
        <v>0</v>
      </c>
    </row>
    <row r="822" spans="1:45">
      <c r="A822" s="4">
        <f>IF(B822=" "," ",HYPERLINK(CONCATENATE("#metadata!",ADDRESS(INDEX($X$2:$X$1001,MATCH(ROWS($V$2:V822),$V$2:$V$1001,0),0),2)),INDEX($AA$2:$AA$1001,MATCH(ROWS($V$2:V822),$V$2:$V$1001,0),0)))</f>
        <v>0</v>
      </c>
      <c r="B822" s="5">
        <f>IF(OR(INDEX($W$2:$W$1001,MATCH(ROWS($V$2:V822),$V$2:$V$1001,0),1)&gt;=100000,INDEX($AC$1005:$AS$1005,1,MATCH(COLUMNS($AC$1006:AC1006),$AC$1006:$AS$1006,0))&gt;=100000), " ",IF(INDEX($AC$2:$AS$1001,MATCH(ROWS($V$2:V822),$V$2:$V$1001,0),MATCH(COLUMNS($AC$1006:AC1006),$AC$1006:$AS$1006,0)), HYPERLINK("#",""), HYPERLINK(CONCATENATE("#Metadata!", ADDRESS(INDEX($X$2:$X$1001,MATCH(ROWS($V$2:V822),$V$2:$V$1001,0),0), INDEX($AC$1004:$AS$1004,1,MATCH(COLUMNS($AC$1006:AC1006),$AC$1006:$AS$1006,0)))),"Fix")))</f>
        <v>0</v>
      </c>
      <c r="C822" s="5">
        <f>IF(OR(INDEX($W$2:$W$1001,MATCH(ROWS($V$2:V822),$V$2:$V$1001,0),1)&gt;=100000,INDEX($AC$1005:$AS$1005,1,MATCH(COLUMNS($AC$1006:AD1006),$AC$1006:$AS$1006,0))&gt;=100000), " ",IF(INDEX($AC$2:$AS$1001,MATCH(ROWS($V$2:V822),$V$2:$V$1001,0),MATCH(COLUMNS($AC$1006:AD1006),$AC$1006:$AS$1006,0)), HYPERLINK("#",""), HYPERLINK(CONCATENATE("#Metadata!", ADDRESS(INDEX($X$2:$X$1001,MATCH(ROWS($V$2:V822),$V$2:$V$1001,0),0), INDEX($AC$1004:$AS$1004,1,MATCH(COLUMNS($AC$1006:AD1006),$AC$1006:$AS$1006,0)))),"Fix")))</f>
        <v>0</v>
      </c>
      <c r="D822" s="5">
        <f>IF(OR(INDEX($W$2:$W$1001,MATCH(ROWS($V$2:V822),$V$2:$V$1001,0),1)&gt;=100000,INDEX($AC$1005:$AS$1005,1,MATCH(COLUMNS($AC$1006:AE1006),$AC$1006:$AS$1006,0))&gt;=100000), " ",IF(INDEX($AC$2:$AS$1001,MATCH(ROWS($V$2:V822),$V$2:$V$1001,0),MATCH(COLUMNS($AC$1006:AE1006),$AC$1006:$AS$1006,0)), HYPERLINK("#",""), HYPERLINK(CONCATENATE("#Metadata!", ADDRESS(INDEX($X$2:$X$1001,MATCH(ROWS($V$2:V822),$V$2:$V$1001,0),0), INDEX($AC$1004:$AS$1004,1,MATCH(COLUMNS($AC$1006:AE1006),$AC$1006:$AS$1006,0)))),"Fix")))</f>
        <v>0</v>
      </c>
      <c r="E822" s="5">
        <f>IF(OR(INDEX($W$2:$W$1001,MATCH(ROWS($V$2:V822),$V$2:$V$1001,0),1)&gt;=100000,INDEX($AC$1005:$AS$1005,1,MATCH(COLUMNS($AC$1006:AF1006),$AC$1006:$AS$1006,0))&gt;=100000), " ",IF(INDEX($AC$2:$AS$1001,MATCH(ROWS($V$2:V822),$V$2:$V$1001,0),MATCH(COLUMNS($AC$1006:AF1006),$AC$1006:$AS$1006,0)), HYPERLINK("#",""), HYPERLINK(CONCATENATE("#Metadata!", ADDRESS(INDEX($X$2:$X$1001,MATCH(ROWS($V$2:V822),$V$2:$V$1001,0),0), INDEX($AC$1004:$AS$1004,1,MATCH(COLUMNS($AC$1006:AF1006),$AC$1006:$AS$1006,0)))),"Fix")))</f>
        <v>0</v>
      </c>
      <c r="F822" s="5">
        <f>IF(OR(INDEX($W$2:$W$1001,MATCH(ROWS($V$2:V822),$V$2:$V$1001,0),1)&gt;=100000,INDEX($AC$1005:$AS$1005,1,MATCH(COLUMNS($AC$1006:AG1006),$AC$1006:$AS$1006,0))&gt;=100000), " ",IF(INDEX($AC$2:$AS$1001,MATCH(ROWS($V$2:V822),$V$2:$V$1001,0),MATCH(COLUMNS($AC$1006:AG1006),$AC$1006:$AS$1006,0)), HYPERLINK("#",""), HYPERLINK(CONCATENATE("#Metadata!", ADDRESS(INDEX($X$2:$X$1001,MATCH(ROWS($V$2:V822),$V$2:$V$1001,0),0), INDEX($AC$1004:$AS$1004,1,MATCH(COLUMNS($AC$1006:AG1006),$AC$1006:$AS$1006,0)))),"Fix")))</f>
        <v>0</v>
      </c>
      <c r="G822" s="5">
        <f>IF(OR(INDEX($W$2:$W$1001,MATCH(ROWS($V$2:V822),$V$2:$V$1001,0),1)&gt;=100000,INDEX($AC$1005:$AS$1005,1,MATCH(COLUMNS($AC$1006:AH1006),$AC$1006:$AS$1006,0))&gt;=100000), " ",IF(INDEX($AC$2:$AS$1001,MATCH(ROWS($V$2:V822),$V$2:$V$1001,0),MATCH(COLUMNS($AC$1006:AH1006),$AC$1006:$AS$1006,0)), HYPERLINK("#",""), HYPERLINK(CONCATENATE("#Metadata!", ADDRESS(INDEX($X$2:$X$1001,MATCH(ROWS($V$2:V822),$V$2:$V$1001,0),0), INDEX($AC$1004:$AS$1004,1,MATCH(COLUMNS($AC$1006:AH1006),$AC$1006:$AS$1006,0)))),"Fix")))</f>
        <v>0</v>
      </c>
      <c r="H822" s="5">
        <f>IF(OR(INDEX($W$2:$W$1001,MATCH(ROWS($V$2:V822),$V$2:$V$1001,0),1)&gt;=100000,INDEX($AC$1005:$AS$1005,1,MATCH(COLUMNS($AC$1006:AI1006),$AC$1006:$AS$1006,0))&gt;=100000), " ",IF(INDEX($AC$2:$AS$1001,MATCH(ROWS($V$2:V822),$V$2:$V$1001,0),MATCH(COLUMNS($AC$1006:AI1006),$AC$1006:$AS$1006,0)), HYPERLINK("#",""), HYPERLINK(CONCATENATE("#Metadata!", ADDRESS(INDEX($X$2:$X$1001,MATCH(ROWS($V$2:V822),$V$2:$V$1001,0),0), INDEX($AC$1004:$AS$1004,1,MATCH(COLUMNS($AC$1006:AI1006),$AC$1006:$AS$1006,0)))),"Fix")))</f>
        <v>0</v>
      </c>
      <c r="I822" s="5">
        <f>IF(OR(INDEX($W$2:$W$1001,MATCH(ROWS($V$2:V822),$V$2:$V$1001,0),1)&gt;=100000,INDEX($AC$1005:$AS$1005,1,MATCH(COLUMNS($AC$1006:AJ1006),$AC$1006:$AS$1006,0))&gt;=100000), " ",IF(INDEX($AC$2:$AS$1001,MATCH(ROWS($V$2:V822),$V$2:$V$1001,0),MATCH(COLUMNS($AC$1006:AJ1006),$AC$1006:$AS$1006,0)), HYPERLINK("#",""), HYPERLINK(CONCATENATE("#Metadata!", ADDRESS(INDEX($X$2:$X$1001,MATCH(ROWS($V$2:V822),$V$2:$V$1001,0),0), INDEX($AC$1004:$AS$1004,1,MATCH(COLUMNS($AC$1006:AJ1006),$AC$1006:$AS$1006,0)))),"Fix")))</f>
        <v>0</v>
      </c>
      <c r="J822" s="5">
        <f>IF(OR(INDEX($W$2:$W$1001,MATCH(ROWS($V$2:V822),$V$2:$V$1001,0),1)&gt;=100000,INDEX($AC$1005:$AS$1005,1,MATCH(COLUMNS($AC$1006:AK1006),$AC$1006:$AS$1006,0))&gt;=100000), " ",IF(INDEX($AC$2:$AS$1001,MATCH(ROWS($V$2:V822),$V$2:$V$1001,0),MATCH(COLUMNS($AC$1006:AK1006),$AC$1006:$AS$1006,0)), HYPERLINK("#",""), HYPERLINK(CONCATENATE("#Metadata!", ADDRESS(INDEX($X$2:$X$1001,MATCH(ROWS($V$2:V822),$V$2:$V$1001,0),0), INDEX($AC$1004:$AS$1004,1,MATCH(COLUMNS($AC$1006:AK1006),$AC$1006:$AS$1006,0)))),"Fix")))</f>
        <v>0</v>
      </c>
      <c r="K822" s="5">
        <f>IF(OR(INDEX($W$2:$W$1001,MATCH(ROWS($V$2:V822),$V$2:$V$1001,0),1)&gt;=100000,INDEX($AC$1005:$AS$1005,1,MATCH(COLUMNS($AC$1006:AL1006),$AC$1006:$AS$1006,0))&gt;=100000), " ",IF(INDEX($AC$2:$AS$1001,MATCH(ROWS($V$2:V822),$V$2:$V$1001,0),MATCH(COLUMNS($AC$1006:AL1006),$AC$1006:$AS$1006,0)), HYPERLINK("#",""), HYPERLINK(CONCATENATE("#Metadata!", ADDRESS(INDEX($X$2:$X$1001,MATCH(ROWS($V$2:V822),$V$2:$V$1001,0),0), INDEX($AC$1004:$AS$1004,1,MATCH(COLUMNS($AC$1006:AL1006),$AC$1006:$AS$1006,0)))),"Fix")))</f>
        <v>0</v>
      </c>
      <c r="L822" s="5">
        <f>IF(OR(INDEX($W$2:$W$1001,MATCH(ROWS($V$2:V822),$V$2:$V$1001,0),1)&gt;=100000,INDEX($AC$1005:$AS$1005,1,MATCH(COLUMNS($AC$1006:AM1006),$AC$1006:$AS$1006,0))&gt;=100000), " ",IF(INDEX($AC$2:$AS$1001,MATCH(ROWS($V$2:V822),$V$2:$V$1001,0),MATCH(COLUMNS($AC$1006:AM1006),$AC$1006:$AS$1006,0)), HYPERLINK("#",""), HYPERLINK(CONCATENATE("#Metadata!", ADDRESS(INDEX($X$2:$X$1001,MATCH(ROWS($V$2:V822),$V$2:$V$1001,0),0), INDEX($AC$1004:$AS$1004,1,MATCH(COLUMNS($AC$1006:AM1006),$AC$1006:$AS$1006,0)))),"Fix")))</f>
        <v>0</v>
      </c>
      <c r="M822" s="5">
        <f>IF(OR(INDEX($W$2:$W$1001,MATCH(ROWS($V$2:V822),$V$2:$V$1001,0),1)&gt;=100000,INDEX($AC$1005:$AS$1005,1,MATCH(COLUMNS($AC$1006:AN1006),$AC$1006:$AS$1006,0))&gt;=100000), " ",IF(INDEX($AC$2:$AS$1001,MATCH(ROWS($V$2:V822),$V$2:$V$1001,0),MATCH(COLUMNS($AC$1006:AN1006),$AC$1006:$AS$1006,0)), HYPERLINK("#",""), HYPERLINK(CONCATENATE("#Metadata!", ADDRESS(INDEX($X$2:$X$1001,MATCH(ROWS($V$2:V822),$V$2:$V$1001,0),0), INDEX($AC$1004:$AS$1004,1,MATCH(COLUMNS($AC$1006:AN1006),$AC$1006:$AS$1006,0)))),"Fix")))</f>
        <v>0</v>
      </c>
      <c r="N822" s="5">
        <f>IF(OR(INDEX($W$2:$W$1001,MATCH(ROWS($V$2:V822),$V$2:$V$1001,0),1)&gt;=100000,INDEX($AC$1005:$AS$1005,1,MATCH(COLUMNS($AC$1006:AO1006),$AC$1006:$AS$1006,0))&gt;=100000), " ",IF(INDEX($AC$2:$AS$1001,MATCH(ROWS($V$2:V822),$V$2:$V$1001,0),MATCH(COLUMNS($AC$1006:AO1006),$AC$1006:$AS$1006,0)), HYPERLINK("#",""), HYPERLINK(CONCATENATE("#Metadata!", ADDRESS(INDEX($X$2:$X$1001,MATCH(ROWS($V$2:V822),$V$2:$V$1001,0),0), INDEX($AC$1004:$AS$1004,1,MATCH(COLUMNS($AC$1006:AO1006),$AC$1006:$AS$1006,0)))),"Fix")))</f>
        <v>0</v>
      </c>
      <c r="O822" s="5">
        <f>IF(OR(INDEX($W$2:$W$1001,MATCH(ROWS($V$2:V822),$V$2:$V$1001,0),1)&gt;=100000,INDEX($AC$1005:$AS$1005,1,MATCH(COLUMNS($AC$1006:AP1006),$AC$1006:$AS$1006,0))&gt;=100000), " ",IF(INDEX($AC$2:$AS$1001,MATCH(ROWS($V$2:V822),$V$2:$V$1001,0),MATCH(COLUMNS($AC$1006:AP1006),$AC$1006:$AS$1006,0)), HYPERLINK("#",""), HYPERLINK(CONCATENATE("#Metadata!", ADDRESS(INDEX($X$2:$X$1001,MATCH(ROWS($V$2:V822),$V$2:$V$1001,0),0), INDEX($AC$1004:$AS$1004,1,MATCH(COLUMNS($AC$1006:AP1006),$AC$1006:$AS$1006,0)))),"Fix")))</f>
        <v>0</v>
      </c>
      <c r="P822" s="5">
        <f>IF(OR(INDEX($W$2:$W$1001,MATCH(ROWS($V$2:V822),$V$2:$V$1001,0),1)&gt;=100000,INDEX($AC$1005:$AS$1005,1,MATCH(COLUMNS($AC$1006:AQ1006),$AC$1006:$AS$1006,0))&gt;=100000), " ",IF(INDEX($AC$2:$AS$1001,MATCH(ROWS($V$2:V822),$V$2:$V$1001,0),MATCH(COLUMNS($AC$1006:AQ1006),$AC$1006:$AS$1006,0)), HYPERLINK("#",""), HYPERLINK(CONCATENATE("#Metadata!", ADDRESS(INDEX($X$2:$X$1001,MATCH(ROWS($V$2:V822),$V$2:$V$1001,0),0), INDEX($AC$1004:$AS$1004,1,MATCH(COLUMNS($AC$1006:AQ1006),$AC$1006:$AS$1006,0)))),"Fix")))</f>
        <v>0</v>
      </c>
      <c r="Q822" s="5">
        <f>IF(OR(INDEX($W$2:$W$1001,MATCH(ROWS($V$2:V822),$V$2:$V$1001,0),1)&gt;=100000,INDEX($AC$1005:$AS$1005,1,MATCH(COLUMNS($AC$1006:AR1006),$AC$1006:$AS$1006,0))&gt;=100000), " ",IF(INDEX($AC$2:$AS$1001,MATCH(ROWS($V$2:V822),$V$2:$V$1001,0),MATCH(COLUMNS($AC$1006:AR1006),$AC$1006:$AS$1006,0)), HYPERLINK("#",""), HYPERLINK(CONCATENATE("#Metadata!", ADDRESS(INDEX($X$2:$X$1001,MATCH(ROWS($V$2:V822),$V$2:$V$1001,0),0), INDEX($AC$1004:$AS$1004,1,MATCH(COLUMNS($AC$1006:AR1006),$AC$1006:$AS$1006,0)))),"Fix")))</f>
        <v>0</v>
      </c>
      <c r="R822" s="5">
        <f>IF(OR(INDEX($W$2:$W$1001,MATCH(ROWS($V$2:V822),$V$2:$V$1001,0),1)&gt;=100000,INDEX($AC$1005:$AS$1005,1,MATCH(COLUMNS($AC$1006:AS1006),$AC$1006:$AS$1006,0))&gt;=100000), " ",IF(INDEX($AC$2:$AS$1001,MATCH(ROWS($V$2:V822),$V$2:$V$1001,0),MATCH(COLUMNS($AC$1006:AS1006),$AC$1006:$AS$1006,0)), HYPERLINK("#",""), HYPERLINK(CONCATENATE("#Metadata!", ADDRESS(INDEX($X$2:$X$1001,MATCH(ROWS($V$2:V822),$V$2:$V$1001,0),0), INDEX($AC$1004:$AS$1004,1,MATCH(COLUMNS($AC$1006:AS1006),$AC$1006:$AS$1006,0)))),"Fix")))</f>
        <v>0</v>
      </c>
      <c r="V822">
        <v>0</v>
      </c>
      <c r="W822">
        <v>0</v>
      </c>
      <c r="X822">
        <v>0</v>
      </c>
      <c r="Y822">
        <f>IF(Z822,TRUE,AND(AC822:AS822))</f>
        <v>0</v>
      </c>
      <c r="Z822">
        <f>COUNTBLANK(Metadata!B822:R822)=COLUMNS(Metadata!B822:R822)</f>
        <v>0</v>
      </c>
      <c r="AA822">
        <v>0</v>
      </c>
      <c r="AC822">
        <f>AND(IF(Metadata!B822="",FALSE,TRUE),COUNTIF(Metadata!B:B, Metadata!B822) = 1,NOT(ISERROR(SUMPRODUCT(SEARCH(MID(Metadata!B822,ROW(INDIRECT("1:"&amp;LEN(Metadata!B822))), 1),"0123456789abcdefghijklmnopqrstuvwxyzABCDEFGHIJKLMNOPQRSTUVWXYZ.")))))</f>
        <v>0</v>
      </c>
      <c r="AD822">
        <f>AND(IF(Metadata!C822="",FALSE,TRUE),exact(Metadata!C822,"Host-associated"))</f>
        <v>0</v>
      </c>
      <c r="AE822">
        <f>AND(IF(Metadata!D822="",FALSE,TRUE),OR(exact(Metadata!D822,"Animal"),exact(Metadata!D822,"Fungus"),exact(Metadata!D822,"Plant")))</f>
        <v>0</v>
      </c>
      <c r="AF822">
        <f>AND(IF(Metadata!E822="",FALSE,TRUE),OR(exact(Metadata!E822,"Plant secretion"),exact(Metadata!E822,"Plant rhizosphere"),exact(Metadata!E822,"Plant surface"),exact(Metadata!E822,"Plant corpus"),exact(Metadata!E822,"Fungus surface"),exact(Metadata!E822,"Fungus corpus"),exact(Metadata!E822,"Animal surface"),exact(Metadata!E822,"Animal proximal gut"),exact(Metadata!E822,"Animal corpus"),exact(Metadata!E822,"Animal distal gut"),exact(Metadata!E822,"Animal secretion")))</f>
        <v>0</v>
      </c>
      <c r="AG822">
        <f>OR(AND(IF(Metadata!F822="",FALSE,TRUE),OR(exact(Metadata!F822,"not collected"),exact(Metadata!F822,"not provided"),exact(Metadata!F822,"restricted access"))),AND(IF(Metadata!F822="",FALSE,TRUE),OR(exact(Metadata!F822,"organism-associated habitat"),exact(Metadata!F822,"plant-associated habitat"),exact(Metadata!F822,"animal-associated habitat"),exact(Metadata!F822,"insecta-associated habitat"),exact(Metadata!F822,"mammalia-associated habitat"),exact(Metadata!F822,"human-associated habitat"),exact(Metadata!F822,"livestock-associated habitat"))))</f>
        <v>0</v>
      </c>
      <c r="AH822">
        <f>AND(IF(Metadata!G822="",FALSE,TRUE),exact(Metadata!G822,"host-associated"))</f>
        <v>0</v>
      </c>
      <c r="AI822">
        <f>OR(AND(IF(Metadata!H822="",FALSE,TRUE),OR(exact(Metadata!H822,"not collected"),exact(Metadata!H822,"not provided"))),AND(IF(Metadata!H822="",FALSE,ISNUMBER(VALUE(Metadata!H822))),Metadata!H822&gt;0))</f>
        <v>0</v>
      </c>
      <c r="AJ822">
        <f>AND(IF(Metadata!I822="",FALSE,TRUE),exact(Metadata!I822,"years"))</f>
        <v>0</v>
      </c>
      <c r="AK822">
        <f>IF(Metadata!J822="",FALSE,TRUE)</f>
        <v>0</v>
      </c>
      <c r="AL822">
        <f>OR(AND(IF(Metadata!K822="",FALSE,TRUE),OR(exact(Metadata!K822,"not collected"),exact(Metadata!K822,"not provided"))),AND(IF(Metadata!K822="",FALSE,ISNUMBER(VALUE(Metadata!K822))),Metadata!K822&gt;0))</f>
        <v>0</v>
      </c>
      <c r="AM822">
        <f>AND(IF(Metadata!L822="",FALSE,TRUE),exact(Metadata!L822,"cm"))</f>
        <v>0</v>
      </c>
      <c r="AN822">
        <f>IF(Metadata!M822="",FALSE,TRUE)</f>
        <v>0</v>
      </c>
      <c r="AO822">
        <f>OR(AND(IF(Metadata!N822="",FALSE,TRUE),OR(exact(Metadata!N822,"not applicable"),exact(Metadata!N822,"not collected"),exact(Metadata!N822,"not provided"))),AND(IF(Metadata!N822="",FALSE,IF(ISERROR(INT(Metadata!N822)),FALSE,INT(Metadata!N822)=Metadata!N822)),Metadata!N822&gt;0))</f>
        <v>0</v>
      </c>
      <c r="AP822">
        <f>OR(AND(IF(Metadata!O822="",FALSE,TRUE),OR(exact(Metadata!O822,"not collected"),exact(Metadata!O822,"not provided"))),AND(IF(Metadata!O822="",FALSE,ISNUMBER(VALUE(Metadata!O822))),Metadata!O822&gt;0))</f>
        <v>0</v>
      </c>
      <c r="AQ822">
        <f>AND(IF(Metadata!P822="",FALSE,TRUE),exact(Metadata!P822,"kg"))</f>
        <v>0</v>
      </c>
      <c r="AR822">
        <f>OR(AND(IF(Metadata!Q822="",FALSE,TRUE),OR(exact(Metadata!Q822,"not applicable"),exact(Metadata!Q822,"not collected"),exact(Metadata!Q822,"not provided"),exact(Metadata!Q822,"restricted access"))),IF(Metadata!Q822="",FALSE,IF(ISERROR(INT(Metadata!Q822)),FALSE,INT(Metadata!Q822)=Metadata!Q822)))</f>
        <v>0</v>
      </c>
      <c r="AS822">
        <f>AND(IF(Metadata!R822="",FALSE,TRUE),exact(Metadata!R822,"Not applicable"))</f>
        <v>0</v>
      </c>
    </row>
    <row r="823" spans="1:45">
      <c r="A823" s="4">
        <f>IF(B823=" "," ",HYPERLINK(CONCATENATE("#metadata!",ADDRESS(INDEX($X$2:$X$1001,MATCH(ROWS($V$2:V823),$V$2:$V$1001,0),0),2)),INDEX($AA$2:$AA$1001,MATCH(ROWS($V$2:V823),$V$2:$V$1001,0),0)))</f>
        <v>0</v>
      </c>
      <c r="B823" s="5">
        <f>IF(OR(INDEX($W$2:$W$1001,MATCH(ROWS($V$2:V823),$V$2:$V$1001,0),1)&gt;=100000,INDEX($AC$1005:$AS$1005,1,MATCH(COLUMNS($AC$1006:AC1006),$AC$1006:$AS$1006,0))&gt;=100000), " ",IF(INDEX($AC$2:$AS$1001,MATCH(ROWS($V$2:V823),$V$2:$V$1001,0),MATCH(COLUMNS($AC$1006:AC1006),$AC$1006:$AS$1006,0)), HYPERLINK("#",""), HYPERLINK(CONCATENATE("#Metadata!", ADDRESS(INDEX($X$2:$X$1001,MATCH(ROWS($V$2:V823),$V$2:$V$1001,0),0), INDEX($AC$1004:$AS$1004,1,MATCH(COLUMNS($AC$1006:AC1006),$AC$1006:$AS$1006,0)))),"Fix")))</f>
        <v>0</v>
      </c>
      <c r="C823" s="5">
        <f>IF(OR(INDEX($W$2:$W$1001,MATCH(ROWS($V$2:V823),$V$2:$V$1001,0),1)&gt;=100000,INDEX($AC$1005:$AS$1005,1,MATCH(COLUMNS($AC$1006:AD1006),$AC$1006:$AS$1006,0))&gt;=100000), " ",IF(INDEX($AC$2:$AS$1001,MATCH(ROWS($V$2:V823),$V$2:$V$1001,0),MATCH(COLUMNS($AC$1006:AD1006),$AC$1006:$AS$1006,0)), HYPERLINK("#",""), HYPERLINK(CONCATENATE("#Metadata!", ADDRESS(INDEX($X$2:$X$1001,MATCH(ROWS($V$2:V823),$V$2:$V$1001,0),0), INDEX($AC$1004:$AS$1004,1,MATCH(COLUMNS($AC$1006:AD1006),$AC$1006:$AS$1006,0)))),"Fix")))</f>
        <v>0</v>
      </c>
      <c r="D823" s="5">
        <f>IF(OR(INDEX($W$2:$W$1001,MATCH(ROWS($V$2:V823),$V$2:$V$1001,0),1)&gt;=100000,INDEX($AC$1005:$AS$1005,1,MATCH(COLUMNS($AC$1006:AE1006),$AC$1006:$AS$1006,0))&gt;=100000), " ",IF(INDEX($AC$2:$AS$1001,MATCH(ROWS($V$2:V823),$V$2:$V$1001,0),MATCH(COLUMNS($AC$1006:AE1006),$AC$1006:$AS$1006,0)), HYPERLINK("#",""), HYPERLINK(CONCATENATE("#Metadata!", ADDRESS(INDEX($X$2:$X$1001,MATCH(ROWS($V$2:V823),$V$2:$V$1001,0),0), INDEX($AC$1004:$AS$1004,1,MATCH(COLUMNS($AC$1006:AE1006),$AC$1006:$AS$1006,0)))),"Fix")))</f>
        <v>0</v>
      </c>
      <c r="E823" s="5">
        <f>IF(OR(INDEX($W$2:$W$1001,MATCH(ROWS($V$2:V823),$V$2:$V$1001,0),1)&gt;=100000,INDEX($AC$1005:$AS$1005,1,MATCH(COLUMNS($AC$1006:AF1006),$AC$1006:$AS$1006,0))&gt;=100000), " ",IF(INDEX($AC$2:$AS$1001,MATCH(ROWS($V$2:V823),$V$2:$V$1001,0),MATCH(COLUMNS($AC$1006:AF1006),$AC$1006:$AS$1006,0)), HYPERLINK("#",""), HYPERLINK(CONCATENATE("#Metadata!", ADDRESS(INDEX($X$2:$X$1001,MATCH(ROWS($V$2:V823),$V$2:$V$1001,0),0), INDEX($AC$1004:$AS$1004,1,MATCH(COLUMNS($AC$1006:AF1006),$AC$1006:$AS$1006,0)))),"Fix")))</f>
        <v>0</v>
      </c>
      <c r="F823" s="5">
        <f>IF(OR(INDEX($W$2:$W$1001,MATCH(ROWS($V$2:V823),$V$2:$V$1001,0),1)&gt;=100000,INDEX($AC$1005:$AS$1005,1,MATCH(COLUMNS($AC$1006:AG1006),$AC$1006:$AS$1006,0))&gt;=100000), " ",IF(INDEX($AC$2:$AS$1001,MATCH(ROWS($V$2:V823),$V$2:$V$1001,0),MATCH(COLUMNS($AC$1006:AG1006),$AC$1006:$AS$1006,0)), HYPERLINK("#",""), HYPERLINK(CONCATENATE("#Metadata!", ADDRESS(INDEX($X$2:$X$1001,MATCH(ROWS($V$2:V823),$V$2:$V$1001,0),0), INDEX($AC$1004:$AS$1004,1,MATCH(COLUMNS($AC$1006:AG1006),$AC$1006:$AS$1006,0)))),"Fix")))</f>
        <v>0</v>
      </c>
      <c r="G823" s="5">
        <f>IF(OR(INDEX($W$2:$W$1001,MATCH(ROWS($V$2:V823),$V$2:$V$1001,0),1)&gt;=100000,INDEX($AC$1005:$AS$1005,1,MATCH(COLUMNS($AC$1006:AH1006),$AC$1006:$AS$1006,0))&gt;=100000), " ",IF(INDEX($AC$2:$AS$1001,MATCH(ROWS($V$2:V823),$V$2:$V$1001,0),MATCH(COLUMNS($AC$1006:AH1006),$AC$1006:$AS$1006,0)), HYPERLINK("#",""), HYPERLINK(CONCATENATE("#Metadata!", ADDRESS(INDEX($X$2:$X$1001,MATCH(ROWS($V$2:V823),$V$2:$V$1001,0),0), INDEX($AC$1004:$AS$1004,1,MATCH(COLUMNS($AC$1006:AH1006),$AC$1006:$AS$1006,0)))),"Fix")))</f>
        <v>0</v>
      </c>
      <c r="H823" s="5">
        <f>IF(OR(INDEX($W$2:$W$1001,MATCH(ROWS($V$2:V823),$V$2:$V$1001,0),1)&gt;=100000,INDEX($AC$1005:$AS$1005,1,MATCH(COLUMNS($AC$1006:AI1006),$AC$1006:$AS$1006,0))&gt;=100000), " ",IF(INDEX($AC$2:$AS$1001,MATCH(ROWS($V$2:V823),$V$2:$V$1001,0),MATCH(COLUMNS($AC$1006:AI1006),$AC$1006:$AS$1006,0)), HYPERLINK("#",""), HYPERLINK(CONCATENATE("#Metadata!", ADDRESS(INDEX($X$2:$X$1001,MATCH(ROWS($V$2:V823),$V$2:$V$1001,0),0), INDEX($AC$1004:$AS$1004,1,MATCH(COLUMNS($AC$1006:AI1006),$AC$1006:$AS$1006,0)))),"Fix")))</f>
        <v>0</v>
      </c>
      <c r="I823" s="5">
        <f>IF(OR(INDEX($W$2:$W$1001,MATCH(ROWS($V$2:V823),$V$2:$V$1001,0),1)&gt;=100000,INDEX($AC$1005:$AS$1005,1,MATCH(COLUMNS($AC$1006:AJ1006),$AC$1006:$AS$1006,0))&gt;=100000), " ",IF(INDEX($AC$2:$AS$1001,MATCH(ROWS($V$2:V823),$V$2:$V$1001,0),MATCH(COLUMNS($AC$1006:AJ1006),$AC$1006:$AS$1006,0)), HYPERLINK("#",""), HYPERLINK(CONCATENATE("#Metadata!", ADDRESS(INDEX($X$2:$X$1001,MATCH(ROWS($V$2:V823),$V$2:$V$1001,0),0), INDEX($AC$1004:$AS$1004,1,MATCH(COLUMNS($AC$1006:AJ1006),$AC$1006:$AS$1006,0)))),"Fix")))</f>
        <v>0</v>
      </c>
      <c r="J823" s="5">
        <f>IF(OR(INDEX($W$2:$W$1001,MATCH(ROWS($V$2:V823),$V$2:$V$1001,0),1)&gt;=100000,INDEX($AC$1005:$AS$1005,1,MATCH(COLUMNS($AC$1006:AK1006),$AC$1006:$AS$1006,0))&gt;=100000), " ",IF(INDEX($AC$2:$AS$1001,MATCH(ROWS($V$2:V823),$V$2:$V$1001,0),MATCH(COLUMNS($AC$1006:AK1006),$AC$1006:$AS$1006,0)), HYPERLINK("#",""), HYPERLINK(CONCATENATE("#Metadata!", ADDRESS(INDEX($X$2:$X$1001,MATCH(ROWS($V$2:V823),$V$2:$V$1001,0),0), INDEX($AC$1004:$AS$1004,1,MATCH(COLUMNS($AC$1006:AK1006),$AC$1006:$AS$1006,0)))),"Fix")))</f>
        <v>0</v>
      </c>
      <c r="K823" s="5">
        <f>IF(OR(INDEX($W$2:$W$1001,MATCH(ROWS($V$2:V823),$V$2:$V$1001,0),1)&gt;=100000,INDEX($AC$1005:$AS$1005,1,MATCH(COLUMNS($AC$1006:AL1006),$AC$1006:$AS$1006,0))&gt;=100000), " ",IF(INDEX($AC$2:$AS$1001,MATCH(ROWS($V$2:V823),$V$2:$V$1001,0),MATCH(COLUMNS($AC$1006:AL1006),$AC$1006:$AS$1006,0)), HYPERLINK("#",""), HYPERLINK(CONCATENATE("#Metadata!", ADDRESS(INDEX($X$2:$X$1001,MATCH(ROWS($V$2:V823),$V$2:$V$1001,0),0), INDEX($AC$1004:$AS$1004,1,MATCH(COLUMNS($AC$1006:AL1006),$AC$1006:$AS$1006,0)))),"Fix")))</f>
        <v>0</v>
      </c>
      <c r="L823" s="5">
        <f>IF(OR(INDEX($W$2:$W$1001,MATCH(ROWS($V$2:V823),$V$2:$V$1001,0),1)&gt;=100000,INDEX($AC$1005:$AS$1005,1,MATCH(COLUMNS($AC$1006:AM1006),$AC$1006:$AS$1006,0))&gt;=100000), " ",IF(INDEX($AC$2:$AS$1001,MATCH(ROWS($V$2:V823),$V$2:$V$1001,0),MATCH(COLUMNS($AC$1006:AM1006),$AC$1006:$AS$1006,0)), HYPERLINK("#",""), HYPERLINK(CONCATENATE("#Metadata!", ADDRESS(INDEX($X$2:$X$1001,MATCH(ROWS($V$2:V823),$V$2:$V$1001,0),0), INDEX($AC$1004:$AS$1004,1,MATCH(COLUMNS($AC$1006:AM1006),$AC$1006:$AS$1006,0)))),"Fix")))</f>
        <v>0</v>
      </c>
      <c r="M823" s="5">
        <f>IF(OR(INDEX($W$2:$W$1001,MATCH(ROWS($V$2:V823),$V$2:$V$1001,0),1)&gt;=100000,INDEX($AC$1005:$AS$1005,1,MATCH(COLUMNS($AC$1006:AN1006),$AC$1006:$AS$1006,0))&gt;=100000), " ",IF(INDEX($AC$2:$AS$1001,MATCH(ROWS($V$2:V823),$V$2:$V$1001,0),MATCH(COLUMNS($AC$1006:AN1006),$AC$1006:$AS$1006,0)), HYPERLINK("#",""), HYPERLINK(CONCATENATE("#Metadata!", ADDRESS(INDEX($X$2:$X$1001,MATCH(ROWS($V$2:V823),$V$2:$V$1001,0),0), INDEX($AC$1004:$AS$1004,1,MATCH(COLUMNS($AC$1006:AN1006),$AC$1006:$AS$1006,0)))),"Fix")))</f>
        <v>0</v>
      </c>
      <c r="N823" s="5">
        <f>IF(OR(INDEX($W$2:$W$1001,MATCH(ROWS($V$2:V823),$V$2:$V$1001,0),1)&gt;=100000,INDEX($AC$1005:$AS$1005,1,MATCH(COLUMNS($AC$1006:AO1006),$AC$1006:$AS$1006,0))&gt;=100000), " ",IF(INDEX($AC$2:$AS$1001,MATCH(ROWS($V$2:V823),$V$2:$V$1001,0),MATCH(COLUMNS($AC$1006:AO1006),$AC$1006:$AS$1006,0)), HYPERLINK("#",""), HYPERLINK(CONCATENATE("#Metadata!", ADDRESS(INDEX($X$2:$X$1001,MATCH(ROWS($V$2:V823),$V$2:$V$1001,0),0), INDEX($AC$1004:$AS$1004,1,MATCH(COLUMNS($AC$1006:AO1006),$AC$1006:$AS$1006,0)))),"Fix")))</f>
        <v>0</v>
      </c>
      <c r="O823" s="5">
        <f>IF(OR(INDEX($W$2:$W$1001,MATCH(ROWS($V$2:V823),$V$2:$V$1001,0),1)&gt;=100000,INDEX($AC$1005:$AS$1005,1,MATCH(COLUMNS($AC$1006:AP1006),$AC$1006:$AS$1006,0))&gt;=100000), " ",IF(INDEX($AC$2:$AS$1001,MATCH(ROWS($V$2:V823),$V$2:$V$1001,0),MATCH(COLUMNS($AC$1006:AP1006),$AC$1006:$AS$1006,0)), HYPERLINK("#",""), HYPERLINK(CONCATENATE("#Metadata!", ADDRESS(INDEX($X$2:$X$1001,MATCH(ROWS($V$2:V823),$V$2:$V$1001,0),0), INDEX($AC$1004:$AS$1004,1,MATCH(COLUMNS($AC$1006:AP1006),$AC$1006:$AS$1006,0)))),"Fix")))</f>
        <v>0</v>
      </c>
      <c r="P823" s="5">
        <f>IF(OR(INDEX($W$2:$W$1001,MATCH(ROWS($V$2:V823),$V$2:$V$1001,0),1)&gt;=100000,INDEX($AC$1005:$AS$1005,1,MATCH(COLUMNS($AC$1006:AQ1006),$AC$1006:$AS$1006,0))&gt;=100000), " ",IF(INDEX($AC$2:$AS$1001,MATCH(ROWS($V$2:V823),$V$2:$V$1001,0),MATCH(COLUMNS($AC$1006:AQ1006),$AC$1006:$AS$1006,0)), HYPERLINK("#",""), HYPERLINK(CONCATENATE("#Metadata!", ADDRESS(INDEX($X$2:$X$1001,MATCH(ROWS($V$2:V823),$V$2:$V$1001,0),0), INDEX($AC$1004:$AS$1004,1,MATCH(COLUMNS($AC$1006:AQ1006),$AC$1006:$AS$1006,0)))),"Fix")))</f>
        <v>0</v>
      </c>
      <c r="Q823" s="5">
        <f>IF(OR(INDEX($W$2:$W$1001,MATCH(ROWS($V$2:V823),$V$2:$V$1001,0),1)&gt;=100000,INDEX($AC$1005:$AS$1005,1,MATCH(COLUMNS($AC$1006:AR1006),$AC$1006:$AS$1006,0))&gt;=100000), " ",IF(INDEX($AC$2:$AS$1001,MATCH(ROWS($V$2:V823),$V$2:$V$1001,0),MATCH(COLUMNS($AC$1006:AR1006),$AC$1006:$AS$1006,0)), HYPERLINK("#",""), HYPERLINK(CONCATENATE("#Metadata!", ADDRESS(INDEX($X$2:$X$1001,MATCH(ROWS($V$2:V823),$V$2:$V$1001,0),0), INDEX($AC$1004:$AS$1004,1,MATCH(COLUMNS($AC$1006:AR1006),$AC$1006:$AS$1006,0)))),"Fix")))</f>
        <v>0</v>
      </c>
      <c r="R823" s="5">
        <f>IF(OR(INDEX($W$2:$W$1001,MATCH(ROWS($V$2:V823),$V$2:$V$1001,0),1)&gt;=100000,INDEX($AC$1005:$AS$1005,1,MATCH(COLUMNS($AC$1006:AS1006),$AC$1006:$AS$1006,0))&gt;=100000), " ",IF(INDEX($AC$2:$AS$1001,MATCH(ROWS($V$2:V823),$V$2:$V$1001,0),MATCH(COLUMNS($AC$1006:AS1006),$AC$1006:$AS$1006,0)), HYPERLINK("#",""), HYPERLINK(CONCATENATE("#Metadata!", ADDRESS(INDEX($X$2:$X$1001,MATCH(ROWS($V$2:V823),$V$2:$V$1001,0),0), INDEX($AC$1004:$AS$1004,1,MATCH(COLUMNS($AC$1006:AS1006),$AC$1006:$AS$1006,0)))),"Fix")))</f>
        <v>0</v>
      </c>
      <c r="V823">
        <v>0</v>
      </c>
      <c r="W823">
        <v>0</v>
      </c>
      <c r="X823">
        <v>0</v>
      </c>
      <c r="Y823">
        <f>IF(Z823,TRUE,AND(AC823:AS823))</f>
        <v>0</v>
      </c>
      <c r="Z823">
        <f>COUNTBLANK(Metadata!B823:R823)=COLUMNS(Metadata!B823:R823)</f>
        <v>0</v>
      </c>
      <c r="AA823">
        <v>0</v>
      </c>
      <c r="AC823">
        <f>AND(IF(Metadata!B823="",FALSE,TRUE),COUNTIF(Metadata!B:B, Metadata!B823) = 1,NOT(ISERROR(SUMPRODUCT(SEARCH(MID(Metadata!B823,ROW(INDIRECT("1:"&amp;LEN(Metadata!B823))), 1),"0123456789abcdefghijklmnopqrstuvwxyzABCDEFGHIJKLMNOPQRSTUVWXYZ.")))))</f>
        <v>0</v>
      </c>
      <c r="AD823">
        <f>AND(IF(Metadata!C823="",FALSE,TRUE),exact(Metadata!C823,"Host-associated"))</f>
        <v>0</v>
      </c>
      <c r="AE823">
        <f>AND(IF(Metadata!D823="",FALSE,TRUE),OR(exact(Metadata!D823,"Animal"),exact(Metadata!D823,"Fungus"),exact(Metadata!D823,"Plant")))</f>
        <v>0</v>
      </c>
      <c r="AF823">
        <f>AND(IF(Metadata!E823="",FALSE,TRUE),OR(exact(Metadata!E823,"Plant secretion"),exact(Metadata!E823,"Plant rhizosphere"),exact(Metadata!E823,"Plant surface"),exact(Metadata!E823,"Plant corpus"),exact(Metadata!E823,"Fungus surface"),exact(Metadata!E823,"Fungus corpus"),exact(Metadata!E823,"Animal surface"),exact(Metadata!E823,"Animal proximal gut"),exact(Metadata!E823,"Animal corpus"),exact(Metadata!E823,"Animal distal gut"),exact(Metadata!E823,"Animal secretion")))</f>
        <v>0</v>
      </c>
      <c r="AG823">
        <f>OR(AND(IF(Metadata!F823="",FALSE,TRUE),OR(exact(Metadata!F823,"not collected"),exact(Metadata!F823,"not provided"),exact(Metadata!F823,"restricted access"))),AND(IF(Metadata!F823="",FALSE,TRUE),OR(exact(Metadata!F823,"organism-associated habitat"),exact(Metadata!F823,"plant-associated habitat"),exact(Metadata!F823,"animal-associated habitat"),exact(Metadata!F823,"insecta-associated habitat"),exact(Metadata!F823,"mammalia-associated habitat"),exact(Metadata!F823,"human-associated habitat"),exact(Metadata!F823,"livestock-associated habitat"))))</f>
        <v>0</v>
      </c>
      <c r="AH823">
        <f>AND(IF(Metadata!G823="",FALSE,TRUE),exact(Metadata!G823,"host-associated"))</f>
        <v>0</v>
      </c>
      <c r="AI823">
        <f>OR(AND(IF(Metadata!H823="",FALSE,TRUE),OR(exact(Metadata!H823,"not collected"),exact(Metadata!H823,"not provided"))),AND(IF(Metadata!H823="",FALSE,ISNUMBER(VALUE(Metadata!H823))),Metadata!H823&gt;0))</f>
        <v>0</v>
      </c>
      <c r="AJ823">
        <f>AND(IF(Metadata!I823="",FALSE,TRUE),exact(Metadata!I823,"years"))</f>
        <v>0</v>
      </c>
      <c r="AK823">
        <f>IF(Metadata!J823="",FALSE,TRUE)</f>
        <v>0</v>
      </c>
      <c r="AL823">
        <f>OR(AND(IF(Metadata!K823="",FALSE,TRUE),OR(exact(Metadata!K823,"not collected"),exact(Metadata!K823,"not provided"))),AND(IF(Metadata!K823="",FALSE,ISNUMBER(VALUE(Metadata!K823))),Metadata!K823&gt;0))</f>
        <v>0</v>
      </c>
      <c r="AM823">
        <f>AND(IF(Metadata!L823="",FALSE,TRUE),exact(Metadata!L823,"cm"))</f>
        <v>0</v>
      </c>
      <c r="AN823">
        <f>IF(Metadata!M823="",FALSE,TRUE)</f>
        <v>0</v>
      </c>
      <c r="AO823">
        <f>OR(AND(IF(Metadata!N823="",FALSE,TRUE),OR(exact(Metadata!N823,"not applicable"),exact(Metadata!N823,"not collected"),exact(Metadata!N823,"not provided"))),AND(IF(Metadata!N823="",FALSE,IF(ISERROR(INT(Metadata!N823)),FALSE,INT(Metadata!N823)=Metadata!N823)),Metadata!N823&gt;0))</f>
        <v>0</v>
      </c>
      <c r="AP823">
        <f>OR(AND(IF(Metadata!O823="",FALSE,TRUE),OR(exact(Metadata!O823,"not collected"),exact(Metadata!O823,"not provided"))),AND(IF(Metadata!O823="",FALSE,ISNUMBER(VALUE(Metadata!O823))),Metadata!O823&gt;0))</f>
        <v>0</v>
      </c>
      <c r="AQ823">
        <f>AND(IF(Metadata!P823="",FALSE,TRUE),exact(Metadata!P823,"kg"))</f>
        <v>0</v>
      </c>
      <c r="AR823">
        <f>OR(AND(IF(Metadata!Q823="",FALSE,TRUE),OR(exact(Metadata!Q823,"not applicable"),exact(Metadata!Q823,"not collected"),exact(Metadata!Q823,"not provided"),exact(Metadata!Q823,"restricted access"))),IF(Metadata!Q823="",FALSE,IF(ISERROR(INT(Metadata!Q823)),FALSE,INT(Metadata!Q823)=Metadata!Q823)))</f>
        <v>0</v>
      </c>
      <c r="AS823">
        <f>AND(IF(Metadata!R823="",FALSE,TRUE),exact(Metadata!R823,"Not applicable"))</f>
        <v>0</v>
      </c>
    </row>
    <row r="824" spans="1:45">
      <c r="A824" s="4">
        <f>IF(B824=" "," ",HYPERLINK(CONCATENATE("#metadata!",ADDRESS(INDEX($X$2:$X$1001,MATCH(ROWS($V$2:V824),$V$2:$V$1001,0),0),2)),INDEX($AA$2:$AA$1001,MATCH(ROWS($V$2:V824),$V$2:$V$1001,0),0)))</f>
        <v>0</v>
      </c>
      <c r="B824" s="5">
        <f>IF(OR(INDEX($W$2:$W$1001,MATCH(ROWS($V$2:V824),$V$2:$V$1001,0),1)&gt;=100000,INDEX($AC$1005:$AS$1005,1,MATCH(COLUMNS($AC$1006:AC1006),$AC$1006:$AS$1006,0))&gt;=100000), " ",IF(INDEX($AC$2:$AS$1001,MATCH(ROWS($V$2:V824),$V$2:$V$1001,0),MATCH(COLUMNS($AC$1006:AC1006),$AC$1006:$AS$1006,0)), HYPERLINK("#",""), HYPERLINK(CONCATENATE("#Metadata!", ADDRESS(INDEX($X$2:$X$1001,MATCH(ROWS($V$2:V824),$V$2:$V$1001,0),0), INDEX($AC$1004:$AS$1004,1,MATCH(COLUMNS($AC$1006:AC1006),$AC$1006:$AS$1006,0)))),"Fix")))</f>
        <v>0</v>
      </c>
      <c r="C824" s="5">
        <f>IF(OR(INDEX($W$2:$W$1001,MATCH(ROWS($V$2:V824),$V$2:$V$1001,0),1)&gt;=100000,INDEX($AC$1005:$AS$1005,1,MATCH(COLUMNS($AC$1006:AD1006),$AC$1006:$AS$1006,0))&gt;=100000), " ",IF(INDEX($AC$2:$AS$1001,MATCH(ROWS($V$2:V824),$V$2:$V$1001,0),MATCH(COLUMNS($AC$1006:AD1006),$AC$1006:$AS$1006,0)), HYPERLINK("#",""), HYPERLINK(CONCATENATE("#Metadata!", ADDRESS(INDEX($X$2:$X$1001,MATCH(ROWS($V$2:V824),$V$2:$V$1001,0),0), INDEX($AC$1004:$AS$1004,1,MATCH(COLUMNS($AC$1006:AD1006),$AC$1006:$AS$1006,0)))),"Fix")))</f>
        <v>0</v>
      </c>
      <c r="D824" s="5">
        <f>IF(OR(INDEX($W$2:$W$1001,MATCH(ROWS($V$2:V824),$V$2:$V$1001,0),1)&gt;=100000,INDEX($AC$1005:$AS$1005,1,MATCH(COLUMNS($AC$1006:AE1006),$AC$1006:$AS$1006,0))&gt;=100000), " ",IF(INDEX($AC$2:$AS$1001,MATCH(ROWS($V$2:V824),$V$2:$V$1001,0),MATCH(COLUMNS($AC$1006:AE1006),$AC$1006:$AS$1006,0)), HYPERLINK("#",""), HYPERLINK(CONCATENATE("#Metadata!", ADDRESS(INDEX($X$2:$X$1001,MATCH(ROWS($V$2:V824),$V$2:$V$1001,0),0), INDEX($AC$1004:$AS$1004,1,MATCH(COLUMNS($AC$1006:AE1006),$AC$1006:$AS$1006,0)))),"Fix")))</f>
        <v>0</v>
      </c>
      <c r="E824" s="5">
        <f>IF(OR(INDEX($W$2:$W$1001,MATCH(ROWS($V$2:V824),$V$2:$V$1001,0),1)&gt;=100000,INDEX($AC$1005:$AS$1005,1,MATCH(COLUMNS($AC$1006:AF1006),$AC$1006:$AS$1006,0))&gt;=100000), " ",IF(INDEX($AC$2:$AS$1001,MATCH(ROWS($V$2:V824),$V$2:$V$1001,0),MATCH(COLUMNS($AC$1006:AF1006),$AC$1006:$AS$1006,0)), HYPERLINK("#",""), HYPERLINK(CONCATENATE("#Metadata!", ADDRESS(INDEX($X$2:$X$1001,MATCH(ROWS($V$2:V824),$V$2:$V$1001,0),0), INDEX($AC$1004:$AS$1004,1,MATCH(COLUMNS($AC$1006:AF1006),$AC$1006:$AS$1006,0)))),"Fix")))</f>
        <v>0</v>
      </c>
      <c r="F824" s="5">
        <f>IF(OR(INDEX($W$2:$W$1001,MATCH(ROWS($V$2:V824),$V$2:$V$1001,0),1)&gt;=100000,INDEX($AC$1005:$AS$1005,1,MATCH(COLUMNS($AC$1006:AG1006),$AC$1006:$AS$1006,0))&gt;=100000), " ",IF(INDEX($AC$2:$AS$1001,MATCH(ROWS($V$2:V824),$V$2:$V$1001,0),MATCH(COLUMNS($AC$1006:AG1006),$AC$1006:$AS$1006,0)), HYPERLINK("#",""), HYPERLINK(CONCATENATE("#Metadata!", ADDRESS(INDEX($X$2:$X$1001,MATCH(ROWS($V$2:V824),$V$2:$V$1001,0),0), INDEX($AC$1004:$AS$1004,1,MATCH(COLUMNS($AC$1006:AG1006),$AC$1006:$AS$1006,0)))),"Fix")))</f>
        <v>0</v>
      </c>
      <c r="G824" s="5">
        <f>IF(OR(INDEX($W$2:$W$1001,MATCH(ROWS($V$2:V824),$V$2:$V$1001,0),1)&gt;=100000,INDEX($AC$1005:$AS$1005,1,MATCH(COLUMNS($AC$1006:AH1006),$AC$1006:$AS$1006,0))&gt;=100000), " ",IF(INDEX($AC$2:$AS$1001,MATCH(ROWS($V$2:V824),$V$2:$V$1001,0),MATCH(COLUMNS($AC$1006:AH1006),$AC$1006:$AS$1006,0)), HYPERLINK("#",""), HYPERLINK(CONCATENATE("#Metadata!", ADDRESS(INDEX($X$2:$X$1001,MATCH(ROWS($V$2:V824),$V$2:$V$1001,0),0), INDEX($AC$1004:$AS$1004,1,MATCH(COLUMNS($AC$1006:AH1006),$AC$1006:$AS$1006,0)))),"Fix")))</f>
        <v>0</v>
      </c>
      <c r="H824" s="5">
        <f>IF(OR(INDEX($W$2:$W$1001,MATCH(ROWS($V$2:V824),$V$2:$V$1001,0),1)&gt;=100000,INDEX($AC$1005:$AS$1005,1,MATCH(COLUMNS($AC$1006:AI1006),$AC$1006:$AS$1006,0))&gt;=100000), " ",IF(INDEX($AC$2:$AS$1001,MATCH(ROWS($V$2:V824),$V$2:$V$1001,0),MATCH(COLUMNS($AC$1006:AI1006),$AC$1006:$AS$1006,0)), HYPERLINK("#",""), HYPERLINK(CONCATENATE("#Metadata!", ADDRESS(INDEX($X$2:$X$1001,MATCH(ROWS($V$2:V824),$V$2:$V$1001,0),0), INDEX($AC$1004:$AS$1004,1,MATCH(COLUMNS($AC$1006:AI1006),$AC$1006:$AS$1006,0)))),"Fix")))</f>
        <v>0</v>
      </c>
      <c r="I824" s="5">
        <f>IF(OR(INDEX($W$2:$W$1001,MATCH(ROWS($V$2:V824),$V$2:$V$1001,0),1)&gt;=100000,INDEX($AC$1005:$AS$1005,1,MATCH(COLUMNS($AC$1006:AJ1006),$AC$1006:$AS$1006,0))&gt;=100000), " ",IF(INDEX($AC$2:$AS$1001,MATCH(ROWS($V$2:V824),$V$2:$V$1001,0),MATCH(COLUMNS($AC$1006:AJ1006),$AC$1006:$AS$1006,0)), HYPERLINK("#",""), HYPERLINK(CONCATENATE("#Metadata!", ADDRESS(INDEX($X$2:$X$1001,MATCH(ROWS($V$2:V824),$V$2:$V$1001,0),0), INDEX($AC$1004:$AS$1004,1,MATCH(COLUMNS($AC$1006:AJ1006),$AC$1006:$AS$1006,0)))),"Fix")))</f>
        <v>0</v>
      </c>
      <c r="J824" s="5">
        <f>IF(OR(INDEX($W$2:$W$1001,MATCH(ROWS($V$2:V824),$V$2:$V$1001,0),1)&gt;=100000,INDEX($AC$1005:$AS$1005,1,MATCH(COLUMNS($AC$1006:AK1006),$AC$1006:$AS$1006,0))&gt;=100000), " ",IF(INDEX($AC$2:$AS$1001,MATCH(ROWS($V$2:V824),$V$2:$V$1001,0),MATCH(COLUMNS($AC$1006:AK1006),$AC$1006:$AS$1006,0)), HYPERLINK("#",""), HYPERLINK(CONCATENATE("#Metadata!", ADDRESS(INDEX($X$2:$X$1001,MATCH(ROWS($V$2:V824),$V$2:$V$1001,0),0), INDEX($AC$1004:$AS$1004,1,MATCH(COLUMNS($AC$1006:AK1006),$AC$1006:$AS$1006,0)))),"Fix")))</f>
        <v>0</v>
      </c>
      <c r="K824" s="5">
        <f>IF(OR(INDEX($W$2:$W$1001,MATCH(ROWS($V$2:V824),$V$2:$V$1001,0),1)&gt;=100000,INDEX($AC$1005:$AS$1005,1,MATCH(COLUMNS($AC$1006:AL1006),$AC$1006:$AS$1006,0))&gt;=100000), " ",IF(INDEX($AC$2:$AS$1001,MATCH(ROWS($V$2:V824),$V$2:$V$1001,0),MATCH(COLUMNS($AC$1006:AL1006),$AC$1006:$AS$1006,0)), HYPERLINK("#",""), HYPERLINK(CONCATENATE("#Metadata!", ADDRESS(INDEX($X$2:$X$1001,MATCH(ROWS($V$2:V824),$V$2:$V$1001,0),0), INDEX($AC$1004:$AS$1004,1,MATCH(COLUMNS($AC$1006:AL1006),$AC$1006:$AS$1006,0)))),"Fix")))</f>
        <v>0</v>
      </c>
      <c r="L824" s="5">
        <f>IF(OR(INDEX($W$2:$W$1001,MATCH(ROWS($V$2:V824),$V$2:$V$1001,0),1)&gt;=100000,INDEX($AC$1005:$AS$1005,1,MATCH(COLUMNS($AC$1006:AM1006),$AC$1006:$AS$1006,0))&gt;=100000), " ",IF(INDEX($AC$2:$AS$1001,MATCH(ROWS($V$2:V824),$V$2:$V$1001,0),MATCH(COLUMNS($AC$1006:AM1006),$AC$1006:$AS$1006,0)), HYPERLINK("#",""), HYPERLINK(CONCATENATE("#Metadata!", ADDRESS(INDEX($X$2:$X$1001,MATCH(ROWS($V$2:V824),$V$2:$V$1001,0),0), INDEX($AC$1004:$AS$1004,1,MATCH(COLUMNS($AC$1006:AM1006),$AC$1006:$AS$1006,0)))),"Fix")))</f>
        <v>0</v>
      </c>
      <c r="M824" s="5">
        <f>IF(OR(INDEX($W$2:$W$1001,MATCH(ROWS($V$2:V824),$V$2:$V$1001,0),1)&gt;=100000,INDEX($AC$1005:$AS$1005,1,MATCH(COLUMNS($AC$1006:AN1006),$AC$1006:$AS$1006,0))&gt;=100000), " ",IF(INDEX($AC$2:$AS$1001,MATCH(ROWS($V$2:V824),$V$2:$V$1001,0),MATCH(COLUMNS($AC$1006:AN1006),$AC$1006:$AS$1006,0)), HYPERLINK("#",""), HYPERLINK(CONCATENATE("#Metadata!", ADDRESS(INDEX($X$2:$X$1001,MATCH(ROWS($V$2:V824),$V$2:$V$1001,0),0), INDEX($AC$1004:$AS$1004,1,MATCH(COLUMNS($AC$1006:AN1006),$AC$1006:$AS$1006,0)))),"Fix")))</f>
        <v>0</v>
      </c>
      <c r="N824" s="5">
        <f>IF(OR(INDEX($W$2:$W$1001,MATCH(ROWS($V$2:V824),$V$2:$V$1001,0),1)&gt;=100000,INDEX($AC$1005:$AS$1005,1,MATCH(COLUMNS($AC$1006:AO1006),$AC$1006:$AS$1006,0))&gt;=100000), " ",IF(INDEX($AC$2:$AS$1001,MATCH(ROWS($V$2:V824),$V$2:$V$1001,0),MATCH(COLUMNS($AC$1006:AO1006),$AC$1006:$AS$1006,0)), HYPERLINK("#",""), HYPERLINK(CONCATENATE("#Metadata!", ADDRESS(INDEX($X$2:$X$1001,MATCH(ROWS($V$2:V824),$V$2:$V$1001,0),0), INDEX($AC$1004:$AS$1004,1,MATCH(COLUMNS($AC$1006:AO1006),$AC$1006:$AS$1006,0)))),"Fix")))</f>
        <v>0</v>
      </c>
      <c r="O824" s="5">
        <f>IF(OR(INDEX($W$2:$W$1001,MATCH(ROWS($V$2:V824),$V$2:$V$1001,0),1)&gt;=100000,INDEX($AC$1005:$AS$1005,1,MATCH(COLUMNS($AC$1006:AP1006),$AC$1006:$AS$1006,0))&gt;=100000), " ",IF(INDEX($AC$2:$AS$1001,MATCH(ROWS($V$2:V824),$V$2:$V$1001,0),MATCH(COLUMNS($AC$1006:AP1006),$AC$1006:$AS$1006,0)), HYPERLINK("#",""), HYPERLINK(CONCATENATE("#Metadata!", ADDRESS(INDEX($X$2:$X$1001,MATCH(ROWS($V$2:V824),$V$2:$V$1001,0),0), INDEX($AC$1004:$AS$1004,1,MATCH(COLUMNS($AC$1006:AP1006),$AC$1006:$AS$1006,0)))),"Fix")))</f>
        <v>0</v>
      </c>
      <c r="P824" s="5">
        <f>IF(OR(INDEX($W$2:$W$1001,MATCH(ROWS($V$2:V824),$V$2:$V$1001,0),1)&gt;=100000,INDEX($AC$1005:$AS$1005,1,MATCH(COLUMNS($AC$1006:AQ1006),$AC$1006:$AS$1006,0))&gt;=100000), " ",IF(INDEX($AC$2:$AS$1001,MATCH(ROWS($V$2:V824),$V$2:$V$1001,0),MATCH(COLUMNS($AC$1006:AQ1006),$AC$1006:$AS$1006,0)), HYPERLINK("#",""), HYPERLINK(CONCATENATE("#Metadata!", ADDRESS(INDEX($X$2:$X$1001,MATCH(ROWS($V$2:V824),$V$2:$V$1001,0),0), INDEX($AC$1004:$AS$1004,1,MATCH(COLUMNS($AC$1006:AQ1006),$AC$1006:$AS$1006,0)))),"Fix")))</f>
        <v>0</v>
      </c>
      <c r="Q824" s="5">
        <f>IF(OR(INDEX($W$2:$W$1001,MATCH(ROWS($V$2:V824),$V$2:$V$1001,0),1)&gt;=100000,INDEX($AC$1005:$AS$1005,1,MATCH(COLUMNS($AC$1006:AR1006),$AC$1006:$AS$1006,0))&gt;=100000), " ",IF(INDEX($AC$2:$AS$1001,MATCH(ROWS($V$2:V824),$V$2:$V$1001,0),MATCH(COLUMNS($AC$1006:AR1006),$AC$1006:$AS$1006,0)), HYPERLINK("#",""), HYPERLINK(CONCATENATE("#Metadata!", ADDRESS(INDEX($X$2:$X$1001,MATCH(ROWS($V$2:V824),$V$2:$V$1001,0),0), INDEX($AC$1004:$AS$1004,1,MATCH(COLUMNS($AC$1006:AR1006),$AC$1006:$AS$1006,0)))),"Fix")))</f>
        <v>0</v>
      </c>
      <c r="R824" s="5">
        <f>IF(OR(INDEX($W$2:$W$1001,MATCH(ROWS($V$2:V824),$V$2:$V$1001,0),1)&gt;=100000,INDEX($AC$1005:$AS$1005,1,MATCH(COLUMNS($AC$1006:AS1006),$AC$1006:$AS$1006,0))&gt;=100000), " ",IF(INDEX($AC$2:$AS$1001,MATCH(ROWS($V$2:V824),$V$2:$V$1001,0),MATCH(COLUMNS($AC$1006:AS1006),$AC$1006:$AS$1006,0)), HYPERLINK("#",""), HYPERLINK(CONCATENATE("#Metadata!", ADDRESS(INDEX($X$2:$X$1001,MATCH(ROWS($V$2:V824),$V$2:$V$1001,0),0), INDEX($AC$1004:$AS$1004,1,MATCH(COLUMNS($AC$1006:AS1006),$AC$1006:$AS$1006,0)))),"Fix")))</f>
        <v>0</v>
      </c>
      <c r="V824">
        <v>0</v>
      </c>
      <c r="W824">
        <v>0</v>
      </c>
      <c r="X824">
        <v>0</v>
      </c>
      <c r="Y824">
        <f>IF(Z824,TRUE,AND(AC824:AS824))</f>
        <v>0</v>
      </c>
      <c r="Z824">
        <f>COUNTBLANK(Metadata!B824:R824)=COLUMNS(Metadata!B824:R824)</f>
        <v>0</v>
      </c>
      <c r="AA824">
        <v>0</v>
      </c>
      <c r="AC824">
        <f>AND(IF(Metadata!B824="",FALSE,TRUE),COUNTIF(Metadata!B:B, Metadata!B824) = 1,NOT(ISERROR(SUMPRODUCT(SEARCH(MID(Metadata!B824,ROW(INDIRECT("1:"&amp;LEN(Metadata!B824))), 1),"0123456789abcdefghijklmnopqrstuvwxyzABCDEFGHIJKLMNOPQRSTUVWXYZ.")))))</f>
        <v>0</v>
      </c>
      <c r="AD824">
        <f>AND(IF(Metadata!C824="",FALSE,TRUE),exact(Metadata!C824,"Host-associated"))</f>
        <v>0</v>
      </c>
      <c r="AE824">
        <f>AND(IF(Metadata!D824="",FALSE,TRUE),OR(exact(Metadata!D824,"Animal"),exact(Metadata!D824,"Fungus"),exact(Metadata!D824,"Plant")))</f>
        <v>0</v>
      </c>
      <c r="AF824">
        <f>AND(IF(Metadata!E824="",FALSE,TRUE),OR(exact(Metadata!E824,"Plant secretion"),exact(Metadata!E824,"Plant rhizosphere"),exact(Metadata!E824,"Plant surface"),exact(Metadata!E824,"Plant corpus"),exact(Metadata!E824,"Fungus surface"),exact(Metadata!E824,"Fungus corpus"),exact(Metadata!E824,"Animal surface"),exact(Metadata!E824,"Animal proximal gut"),exact(Metadata!E824,"Animal corpus"),exact(Metadata!E824,"Animal distal gut"),exact(Metadata!E824,"Animal secretion")))</f>
        <v>0</v>
      </c>
      <c r="AG824">
        <f>OR(AND(IF(Metadata!F824="",FALSE,TRUE),OR(exact(Metadata!F824,"not collected"),exact(Metadata!F824,"not provided"),exact(Metadata!F824,"restricted access"))),AND(IF(Metadata!F824="",FALSE,TRUE),OR(exact(Metadata!F824,"organism-associated habitat"),exact(Metadata!F824,"plant-associated habitat"),exact(Metadata!F824,"animal-associated habitat"),exact(Metadata!F824,"insecta-associated habitat"),exact(Metadata!F824,"mammalia-associated habitat"),exact(Metadata!F824,"human-associated habitat"),exact(Metadata!F824,"livestock-associated habitat"))))</f>
        <v>0</v>
      </c>
      <c r="AH824">
        <f>AND(IF(Metadata!G824="",FALSE,TRUE),exact(Metadata!G824,"host-associated"))</f>
        <v>0</v>
      </c>
      <c r="AI824">
        <f>OR(AND(IF(Metadata!H824="",FALSE,TRUE),OR(exact(Metadata!H824,"not collected"),exact(Metadata!H824,"not provided"))),AND(IF(Metadata!H824="",FALSE,ISNUMBER(VALUE(Metadata!H824))),Metadata!H824&gt;0))</f>
        <v>0</v>
      </c>
      <c r="AJ824">
        <f>AND(IF(Metadata!I824="",FALSE,TRUE),exact(Metadata!I824,"years"))</f>
        <v>0</v>
      </c>
      <c r="AK824">
        <f>IF(Metadata!J824="",FALSE,TRUE)</f>
        <v>0</v>
      </c>
      <c r="AL824">
        <f>OR(AND(IF(Metadata!K824="",FALSE,TRUE),OR(exact(Metadata!K824,"not collected"),exact(Metadata!K824,"not provided"))),AND(IF(Metadata!K824="",FALSE,ISNUMBER(VALUE(Metadata!K824))),Metadata!K824&gt;0))</f>
        <v>0</v>
      </c>
      <c r="AM824">
        <f>AND(IF(Metadata!L824="",FALSE,TRUE),exact(Metadata!L824,"cm"))</f>
        <v>0</v>
      </c>
      <c r="AN824">
        <f>IF(Metadata!M824="",FALSE,TRUE)</f>
        <v>0</v>
      </c>
      <c r="AO824">
        <f>OR(AND(IF(Metadata!N824="",FALSE,TRUE),OR(exact(Metadata!N824,"not applicable"),exact(Metadata!N824,"not collected"),exact(Metadata!N824,"not provided"))),AND(IF(Metadata!N824="",FALSE,IF(ISERROR(INT(Metadata!N824)),FALSE,INT(Metadata!N824)=Metadata!N824)),Metadata!N824&gt;0))</f>
        <v>0</v>
      </c>
      <c r="AP824">
        <f>OR(AND(IF(Metadata!O824="",FALSE,TRUE),OR(exact(Metadata!O824,"not collected"),exact(Metadata!O824,"not provided"))),AND(IF(Metadata!O824="",FALSE,ISNUMBER(VALUE(Metadata!O824))),Metadata!O824&gt;0))</f>
        <v>0</v>
      </c>
      <c r="AQ824">
        <f>AND(IF(Metadata!P824="",FALSE,TRUE),exact(Metadata!P824,"kg"))</f>
        <v>0</v>
      </c>
      <c r="AR824">
        <f>OR(AND(IF(Metadata!Q824="",FALSE,TRUE),OR(exact(Metadata!Q824,"not applicable"),exact(Metadata!Q824,"not collected"),exact(Metadata!Q824,"not provided"),exact(Metadata!Q824,"restricted access"))),IF(Metadata!Q824="",FALSE,IF(ISERROR(INT(Metadata!Q824)),FALSE,INT(Metadata!Q824)=Metadata!Q824)))</f>
        <v>0</v>
      </c>
      <c r="AS824">
        <f>AND(IF(Metadata!R824="",FALSE,TRUE),exact(Metadata!R824,"Not applicable"))</f>
        <v>0</v>
      </c>
    </row>
    <row r="825" spans="1:45">
      <c r="A825" s="4">
        <f>IF(B825=" "," ",HYPERLINK(CONCATENATE("#metadata!",ADDRESS(INDEX($X$2:$X$1001,MATCH(ROWS($V$2:V825),$V$2:$V$1001,0),0),2)),INDEX($AA$2:$AA$1001,MATCH(ROWS($V$2:V825),$V$2:$V$1001,0),0)))</f>
        <v>0</v>
      </c>
      <c r="B825" s="5">
        <f>IF(OR(INDEX($W$2:$W$1001,MATCH(ROWS($V$2:V825),$V$2:$V$1001,0),1)&gt;=100000,INDEX($AC$1005:$AS$1005,1,MATCH(COLUMNS($AC$1006:AC1006),$AC$1006:$AS$1006,0))&gt;=100000), " ",IF(INDEX($AC$2:$AS$1001,MATCH(ROWS($V$2:V825),$V$2:$V$1001,0),MATCH(COLUMNS($AC$1006:AC1006),$AC$1006:$AS$1006,0)), HYPERLINK("#",""), HYPERLINK(CONCATENATE("#Metadata!", ADDRESS(INDEX($X$2:$X$1001,MATCH(ROWS($V$2:V825),$V$2:$V$1001,0),0), INDEX($AC$1004:$AS$1004,1,MATCH(COLUMNS($AC$1006:AC1006),$AC$1006:$AS$1006,0)))),"Fix")))</f>
        <v>0</v>
      </c>
      <c r="C825" s="5">
        <f>IF(OR(INDEX($W$2:$W$1001,MATCH(ROWS($V$2:V825),$V$2:$V$1001,0),1)&gt;=100000,INDEX($AC$1005:$AS$1005,1,MATCH(COLUMNS($AC$1006:AD1006),$AC$1006:$AS$1006,0))&gt;=100000), " ",IF(INDEX($AC$2:$AS$1001,MATCH(ROWS($V$2:V825),$V$2:$V$1001,0),MATCH(COLUMNS($AC$1006:AD1006),$AC$1006:$AS$1006,0)), HYPERLINK("#",""), HYPERLINK(CONCATENATE("#Metadata!", ADDRESS(INDEX($X$2:$X$1001,MATCH(ROWS($V$2:V825),$V$2:$V$1001,0),0), INDEX($AC$1004:$AS$1004,1,MATCH(COLUMNS($AC$1006:AD1006),$AC$1006:$AS$1006,0)))),"Fix")))</f>
        <v>0</v>
      </c>
      <c r="D825" s="5">
        <f>IF(OR(INDEX($W$2:$W$1001,MATCH(ROWS($V$2:V825),$V$2:$V$1001,0),1)&gt;=100000,INDEX($AC$1005:$AS$1005,1,MATCH(COLUMNS($AC$1006:AE1006),$AC$1006:$AS$1006,0))&gt;=100000), " ",IF(INDEX($AC$2:$AS$1001,MATCH(ROWS($V$2:V825),$V$2:$V$1001,0),MATCH(COLUMNS($AC$1006:AE1006),$AC$1006:$AS$1006,0)), HYPERLINK("#",""), HYPERLINK(CONCATENATE("#Metadata!", ADDRESS(INDEX($X$2:$X$1001,MATCH(ROWS($V$2:V825),$V$2:$V$1001,0),0), INDEX($AC$1004:$AS$1004,1,MATCH(COLUMNS($AC$1006:AE1006),$AC$1006:$AS$1006,0)))),"Fix")))</f>
        <v>0</v>
      </c>
      <c r="E825" s="5">
        <f>IF(OR(INDEX($W$2:$W$1001,MATCH(ROWS($V$2:V825),$V$2:$V$1001,0),1)&gt;=100000,INDEX($AC$1005:$AS$1005,1,MATCH(COLUMNS($AC$1006:AF1006),$AC$1006:$AS$1006,0))&gt;=100000), " ",IF(INDEX($AC$2:$AS$1001,MATCH(ROWS($V$2:V825),$V$2:$V$1001,0),MATCH(COLUMNS($AC$1006:AF1006),$AC$1006:$AS$1006,0)), HYPERLINK("#",""), HYPERLINK(CONCATENATE("#Metadata!", ADDRESS(INDEX($X$2:$X$1001,MATCH(ROWS($V$2:V825),$V$2:$V$1001,0),0), INDEX($AC$1004:$AS$1004,1,MATCH(COLUMNS($AC$1006:AF1006),$AC$1006:$AS$1006,0)))),"Fix")))</f>
        <v>0</v>
      </c>
      <c r="F825" s="5">
        <f>IF(OR(INDEX($W$2:$W$1001,MATCH(ROWS($V$2:V825),$V$2:$V$1001,0),1)&gt;=100000,INDEX($AC$1005:$AS$1005,1,MATCH(COLUMNS($AC$1006:AG1006),$AC$1006:$AS$1006,0))&gt;=100000), " ",IF(INDEX($AC$2:$AS$1001,MATCH(ROWS($V$2:V825),$V$2:$V$1001,0),MATCH(COLUMNS($AC$1006:AG1006),$AC$1006:$AS$1006,0)), HYPERLINK("#",""), HYPERLINK(CONCATENATE("#Metadata!", ADDRESS(INDEX($X$2:$X$1001,MATCH(ROWS($V$2:V825),$V$2:$V$1001,0),0), INDEX($AC$1004:$AS$1004,1,MATCH(COLUMNS($AC$1006:AG1006),$AC$1006:$AS$1006,0)))),"Fix")))</f>
        <v>0</v>
      </c>
      <c r="G825" s="5">
        <f>IF(OR(INDEX($W$2:$W$1001,MATCH(ROWS($V$2:V825),$V$2:$V$1001,0),1)&gt;=100000,INDEX($AC$1005:$AS$1005,1,MATCH(COLUMNS($AC$1006:AH1006),$AC$1006:$AS$1006,0))&gt;=100000), " ",IF(INDEX($AC$2:$AS$1001,MATCH(ROWS($V$2:V825),$V$2:$V$1001,0),MATCH(COLUMNS($AC$1006:AH1006),$AC$1006:$AS$1006,0)), HYPERLINK("#",""), HYPERLINK(CONCATENATE("#Metadata!", ADDRESS(INDEX($X$2:$X$1001,MATCH(ROWS($V$2:V825),$V$2:$V$1001,0),0), INDEX($AC$1004:$AS$1004,1,MATCH(COLUMNS($AC$1006:AH1006),$AC$1006:$AS$1006,0)))),"Fix")))</f>
        <v>0</v>
      </c>
      <c r="H825" s="5">
        <f>IF(OR(INDEX($W$2:$W$1001,MATCH(ROWS($V$2:V825),$V$2:$V$1001,0),1)&gt;=100000,INDEX($AC$1005:$AS$1005,1,MATCH(COLUMNS($AC$1006:AI1006),$AC$1006:$AS$1006,0))&gt;=100000), " ",IF(INDEX($AC$2:$AS$1001,MATCH(ROWS($V$2:V825),$V$2:$V$1001,0),MATCH(COLUMNS($AC$1006:AI1006),$AC$1006:$AS$1006,0)), HYPERLINK("#",""), HYPERLINK(CONCATENATE("#Metadata!", ADDRESS(INDEX($X$2:$X$1001,MATCH(ROWS($V$2:V825),$V$2:$V$1001,0),0), INDEX($AC$1004:$AS$1004,1,MATCH(COLUMNS($AC$1006:AI1006),$AC$1006:$AS$1006,0)))),"Fix")))</f>
        <v>0</v>
      </c>
      <c r="I825" s="5">
        <f>IF(OR(INDEX($W$2:$W$1001,MATCH(ROWS($V$2:V825),$V$2:$V$1001,0),1)&gt;=100000,INDEX($AC$1005:$AS$1005,1,MATCH(COLUMNS($AC$1006:AJ1006),$AC$1006:$AS$1006,0))&gt;=100000), " ",IF(INDEX($AC$2:$AS$1001,MATCH(ROWS($V$2:V825),$V$2:$V$1001,0),MATCH(COLUMNS($AC$1006:AJ1006),$AC$1006:$AS$1006,0)), HYPERLINK("#",""), HYPERLINK(CONCATENATE("#Metadata!", ADDRESS(INDEX($X$2:$X$1001,MATCH(ROWS($V$2:V825),$V$2:$V$1001,0),0), INDEX($AC$1004:$AS$1004,1,MATCH(COLUMNS($AC$1006:AJ1006),$AC$1006:$AS$1006,0)))),"Fix")))</f>
        <v>0</v>
      </c>
      <c r="J825" s="5">
        <f>IF(OR(INDEX($W$2:$W$1001,MATCH(ROWS($V$2:V825),$V$2:$V$1001,0),1)&gt;=100000,INDEX($AC$1005:$AS$1005,1,MATCH(COLUMNS($AC$1006:AK1006),$AC$1006:$AS$1006,0))&gt;=100000), " ",IF(INDEX($AC$2:$AS$1001,MATCH(ROWS($V$2:V825),$V$2:$V$1001,0),MATCH(COLUMNS($AC$1006:AK1006),$AC$1006:$AS$1006,0)), HYPERLINK("#",""), HYPERLINK(CONCATENATE("#Metadata!", ADDRESS(INDEX($X$2:$X$1001,MATCH(ROWS($V$2:V825),$V$2:$V$1001,0),0), INDEX($AC$1004:$AS$1004,1,MATCH(COLUMNS($AC$1006:AK1006),$AC$1006:$AS$1006,0)))),"Fix")))</f>
        <v>0</v>
      </c>
      <c r="K825" s="5">
        <f>IF(OR(INDEX($W$2:$W$1001,MATCH(ROWS($V$2:V825),$V$2:$V$1001,0),1)&gt;=100000,INDEX($AC$1005:$AS$1005,1,MATCH(COLUMNS($AC$1006:AL1006),$AC$1006:$AS$1006,0))&gt;=100000), " ",IF(INDEX($AC$2:$AS$1001,MATCH(ROWS($V$2:V825),$V$2:$V$1001,0),MATCH(COLUMNS($AC$1006:AL1006),$AC$1006:$AS$1006,0)), HYPERLINK("#",""), HYPERLINK(CONCATENATE("#Metadata!", ADDRESS(INDEX($X$2:$X$1001,MATCH(ROWS($V$2:V825),$V$2:$V$1001,0),0), INDEX($AC$1004:$AS$1004,1,MATCH(COLUMNS($AC$1006:AL1006),$AC$1006:$AS$1006,0)))),"Fix")))</f>
        <v>0</v>
      </c>
      <c r="L825" s="5">
        <f>IF(OR(INDEX($W$2:$W$1001,MATCH(ROWS($V$2:V825),$V$2:$V$1001,0),1)&gt;=100000,INDEX($AC$1005:$AS$1005,1,MATCH(COLUMNS($AC$1006:AM1006),$AC$1006:$AS$1006,0))&gt;=100000), " ",IF(INDEX($AC$2:$AS$1001,MATCH(ROWS($V$2:V825),$V$2:$V$1001,0),MATCH(COLUMNS($AC$1006:AM1006),$AC$1006:$AS$1006,0)), HYPERLINK("#",""), HYPERLINK(CONCATENATE("#Metadata!", ADDRESS(INDEX($X$2:$X$1001,MATCH(ROWS($V$2:V825),$V$2:$V$1001,0),0), INDEX($AC$1004:$AS$1004,1,MATCH(COLUMNS($AC$1006:AM1006),$AC$1006:$AS$1006,0)))),"Fix")))</f>
        <v>0</v>
      </c>
      <c r="M825" s="5">
        <f>IF(OR(INDEX($W$2:$W$1001,MATCH(ROWS($V$2:V825),$V$2:$V$1001,0),1)&gt;=100000,INDEX($AC$1005:$AS$1005,1,MATCH(COLUMNS($AC$1006:AN1006),$AC$1006:$AS$1006,0))&gt;=100000), " ",IF(INDEX($AC$2:$AS$1001,MATCH(ROWS($V$2:V825),$V$2:$V$1001,0),MATCH(COLUMNS($AC$1006:AN1006),$AC$1006:$AS$1006,0)), HYPERLINK("#",""), HYPERLINK(CONCATENATE("#Metadata!", ADDRESS(INDEX($X$2:$X$1001,MATCH(ROWS($V$2:V825),$V$2:$V$1001,0),0), INDEX($AC$1004:$AS$1004,1,MATCH(COLUMNS($AC$1006:AN1006),$AC$1006:$AS$1006,0)))),"Fix")))</f>
        <v>0</v>
      </c>
      <c r="N825" s="5">
        <f>IF(OR(INDEX($W$2:$W$1001,MATCH(ROWS($V$2:V825),$V$2:$V$1001,0),1)&gt;=100000,INDEX($AC$1005:$AS$1005,1,MATCH(COLUMNS($AC$1006:AO1006),$AC$1006:$AS$1006,0))&gt;=100000), " ",IF(INDEX($AC$2:$AS$1001,MATCH(ROWS($V$2:V825),$V$2:$V$1001,0),MATCH(COLUMNS($AC$1006:AO1006),$AC$1006:$AS$1006,0)), HYPERLINK("#",""), HYPERLINK(CONCATENATE("#Metadata!", ADDRESS(INDEX($X$2:$X$1001,MATCH(ROWS($V$2:V825),$V$2:$V$1001,0),0), INDEX($AC$1004:$AS$1004,1,MATCH(COLUMNS($AC$1006:AO1006),$AC$1006:$AS$1006,0)))),"Fix")))</f>
        <v>0</v>
      </c>
      <c r="O825" s="5">
        <f>IF(OR(INDEX($W$2:$W$1001,MATCH(ROWS($V$2:V825),$V$2:$V$1001,0),1)&gt;=100000,INDEX($AC$1005:$AS$1005,1,MATCH(COLUMNS($AC$1006:AP1006),$AC$1006:$AS$1006,0))&gt;=100000), " ",IF(INDEX($AC$2:$AS$1001,MATCH(ROWS($V$2:V825),$V$2:$V$1001,0),MATCH(COLUMNS($AC$1006:AP1006),$AC$1006:$AS$1006,0)), HYPERLINK("#",""), HYPERLINK(CONCATENATE("#Metadata!", ADDRESS(INDEX($X$2:$X$1001,MATCH(ROWS($V$2:V825),$V$2:$V$1001,0),0), INDEX($AC$1004:$AS$1004,1,MATCH(COLUMNS($AC$1006:AP1006),$AC$1006:$AS$1006,0)))),"Fix")))</f>
        <v>0</v>
      </c>
      <c r="P825" s="5">
        <f>IF(OR(INDEX($W$2:$W$1001,MATCH(ROWS($V$2:V825),$V$2:$V$1001,0),1)&gt;=100000,INDEX($AC$1005:$AS$1005,1,MATCH(COLUMNS($AC$1006:AQ1006),$AC$1006:$AS$1006,0))&gt;=100000), " ",IF(INDEX($AC$2:$AS$1001,MATCH(ROWS($V$2:V825),$V$2:$V$1001,0),MATCH(COLUMNS($AC$1006:AQ1006),$AC$1006:$AS$1006,0)), HYPERLINK("#",""), HYPERLINK(CONCATENATE("#Metadata!", ADDRESS(INDEX($X$2:$X$1001,MATCH(ROWS($V$2:V825),$V$2:$V$1001,0),0), INDEX($AC$1004:$AS$1004,1,MATCH(COLUMNS($AC$1006:AQ1006),$AC$1006:$AS$1006,0)))),"Fix")))</f>
        <v>0</v>
      </c>
      <c r="Q825" s="5">
        <f>IF(OR(INDEX($W$2:$W$1001,MATCH(ROWS($V$2:V825),$V$2:$V$1001,0),1)&gt;=100000,INDEX($AC$1005:$AS$1005,1,MATCH(COLUMNS($AC$1006:AR1006),$AC$1006:$AS$1006,0))&gt;=100000), " ",IF(INDEX($AC$2:$AS$1001,MATCH(ROWS($V$2:V825),$V$2:$V$1001,0),MATCH(COLUMNS($AC$1006:AR1006),$AC$1006:$AS$1006,0)), HYPERLINK("#",""), HYPERLINK(CONCATENATE("#Metadata!", ADDRESS(INDEX($X$2:$X$1001,MATCH(ROWS($V$2:V825),$V$2:$V$1001,0),0), INDEX($AC$1004:$AS$1004,1,MATCH(COLUMNS($AC$1006:AR1006),$AC$1006:$AS$1006,0)))),"Fix")))</f>
        <v>0</v>
      </c>
      <c r="R825" s="5">
        <f>IF(OR(INDEX($W$2:$W$1001,MATCH(ROWS($V$2:V825),$V$2:$V$1001,0),1)&gt;=100000,INDEX($AC$1005:$AS$1005,1,MATCH(COLUMNS($AC$1006:AS1006),$AC$1006:$AS$1006,0))&gt;=100000), " ",IF(INDEX($AC$2:$AS$1001,MATCH(ROWS($V$2:V825),$V$2:$V$1001,0),MATCH(COLUMNS($AC$1006:AS1006),$AC$1006:$AS$1006,0)), HYPERLINK("#",""), HYPERLINK(CONCATENATE("#Metadata!", ADDRESS(INDEX($X$2:$X$1001,MATCH(ROWS($V$2:V825),$V$2:$V$1001,0),0), INDEX($AC$1004:$AS$1004,1,MATCH(COLUMNS($AC$1006:AS1006),$AC$1006:$AS$1006,0)))),"Fix")))</f>
        <v>0</v>
      </c>
      <c r="V825">
        <v>0</v>
      </c>
      <c r="W825">
        <v>0</v>
      </c>
      <c r="X825">
        <v>0</v>
      </c>
      <c r="Y825">
        <f>IF(Z825,TRUE,AND(AC825:AS825))</f>
        <v>0</v>
      </c>
      <c r="Z825">
        <f>COUNTBLANK(Metadata!B825:R825)=COLUMNS(Metadata!B825:R825)</f>
        <v>0</v>
      </c>
      <c r="AA825">
        <v>0</v>
      </c>
      <c r="AC825">
        <f>AND(IF(Metadata!B825="",FALSE,TRUE),COUNTIF(Metadata!B:B, Metadata!B825) = 1,NOT(ISERROR(SUMPRODUCT(SEARCH(MID(Metadata!B825,ROW(INDIRECT("1:"&amp;LEN(Metadata!B825))), 1),"0123456789abcdefghijklmnopqrstuvwxyzABCDEFGHIJKLMNOPQRSTUVWXYZ.")))))</f>
        <v>0</v>
      </c>
      <c r="AD825">
        <f>AND(IF(Metadata!C825="",FALSE,TRUE),exact(Metadata!C825,"Host-associated"))</f>
        <v>0</v>
      </c>
      <c r="AE825">
        <f>AND(IF(Metadata!D825="",FALSE,TRUE),OR(exact(Metadata!D825,"Animal"),exact(Metadata!D825,"Fungus"),exact(Metadata!D825,"Plant")))</f>
        <v>0</v>
      </c>
      <c r="AF825">
        <f>AND(IF(Metadata!E825="",FALSE,TRUE),OR(exact(Metadata!E825,"Plant secretion"),exact(Metadata!E825,"Plant rhizosphere"),exact(Metadata!E825,"Plant surface"),exact(Metadata!E825,"Plant corpus"),exact(Metadata!E825,"Fungus surface"),exact(Metadata!E825,"Fungus corpus"),exact(Metadata!E825,"Animal surface"),exact(Metadata!E825,"Animal proximal gut"),exact(Metadata!E825,"Animal corpus"),exact(Metadata!E825,"Animal distal gut"),exact(Metadata!E825,"Animal secretion")))</f>
        <v>0</v>
      </c>
      <c r="AG825">
        <f>OR(AND(IF(Metadata!F825="",FALSE,TRUE),OR(exact(Metadata!F825,"not collected"),exact(Metadata!F825,"not provided"),exact(Metadata!F825,"restricted access"))),AND(IF(Metadata!F825="",FALSE,TRUE),OR(exact(Metadata!F825,"organism-associated habitat"),exact(Metadata!F825,"plant-associated habitat"),exact(Metadata!F825,"animal-associated habitat"),exact(Metadata!F825,"insecta-associated habitat"),exact(Metadata!F825,"mammalia-associated habitat"),exact(Metadata!F825,"human-associated habitat"),exact(Metadata!F825,"livestock-associated habitat"))))</f>
        <v>0</v>
      </c>
      <c r="AH825">
        <f>AND(IF(Metadata!G825="",FALSE,TRUE),exact(Metadata!G825,"host-associated"))</f>
        <v>0</v>
      </c>
      <c r="AI825">
        <f>OR(AND(IF(Metadata!H825="",FALSE,TRUE),OR(exact(Metadata!H825,"not collected"),exact(Metadata!H825,"not provided"))),AND(IF(Metadata!H825="",FALSE,ISNUMBER(VALUE(Metadata!H825))),Metadata!H825&gt;0))</f>
        <v>0</v>
      </c>
      <c r="AJ825">
        <f>AND(IF(Metadata!I825="",FALSE,TRUE),exact(Metadata!I825,"years"))</f>
        <v>0</v>
      </c>
      <c r="AK825">
        <f>IF(Metadata!J825="",FALSE,TRUE)</f>
        <v>0</v>
      </c>
      <c r="AL825">
        <f>OR(AND(IF(Metadata!K825="",FALSE,TRUE),OR(exact(Metadata!K825,"not collected"),exact(Metadata!K825,"not provided"))),AND(IF(Metadata!K825="",FALSE,ISNUMBER(VALUE(Metadata!K825))),Metadata!K825&gt;0))</f>
        <v>0</v>
      </c>
      <c r="AM825">
        <f>AND(IF(Metadata!L825="",FALSE,TRUE),exact(Metadata!L825,"cm"))</f>
        <v>0</v>
      </c>
      <c r="AN825">
        <f>IF(Metadata!M825="",FALSE,TRUE)</f>
        <v>0</v>
      </c>
      <c r="AO825">
        <f>OR(AND(IF(Metadata!N825="",FALSE,TRUE),OR(exact(Metadata!N825,"not applicable"),exact(Metadata!N825,"not collected"),exact(Metadata!N825,"not provided"))),AND(IF(Metadata!N825="",FALSE,IF(ISERROR(INT(Metadata!N825)),FALSE,INT(Metadata!N825)=Metadata!N825)),Metadata!N825&gt;0))</f>
        <v>0</v>
      </c>
      <c r="AP825">
        <f>OR(AND(IF(Metadata!O825="",FALSE,TRUE),OR(exact(Metadata!O825,"not collected"),exact(Metadata!O825,"not provided"))),AND(IF(Metadata!O825="",FALSE,ISNUMBER(VALUE(Metadata!O825))),Metadata!O825&gt;0))</f>
        <v>0</v>
      </c>
      <c r="AQ825">
        <f>AND(IF(Metadata!P825="",FALSE,TRUE),exact(Metadata!P825,"kg"))</f>
        <v>0</v>
      </c>
      <c r="AR825">
        <f>OR(AND(IF(Metadata!Q825="",FALSE,TRUE),OR(exact(Metadata!Q825,"not applicable"),exact(Metadata!Q825,"not collected"),exact(Metadata!Q825,"not provided"),exact(Metadata!Q825,"restricted access"))),IF(Metadata!Q825="",FALSE,IF(ISERROR(INT(Metadata!Q825)),FALSE,INT(Metadata!Q825)=Metadata!Q825)))</f>
        <v>0</v>
      </c>
      <c r="AS825">
        <f>AND(IF(Metadata!R825="",FALSE,TRUE),exact(Metadata!R825,"Not applicable"))</f>
        <v>0</v>
      </c>
    </row>
    <row r="826" spans="1:45">
      <c r="A826" s="4">
        <f>IF(B826=" "," ",HYPERLINK(CONCATENATE("#metadata!",ADDRESS(INDEX($X$2:$X$1001,MATCH(ROWS($V$2:V826),$V$2:$V$1001,0),0),2)),INDEX($AA$2:$AA$1001,MATCH(ROWS($V$2:V826),$V$2:$V$1001,0),0)))</f>
        <v>0</v>
      </c>
      <c r="B826" s="5">
        <f>IF(OR(INDEX($W$2:$W$1001,MATCH(ROWS($V$2:V826),$V$2:$V$1001,0),1)&gt;=100000,INDEX($AC$1005:$AS$1005,1,MATCH(COLUMNS($AC$1006:AC1006),$AC$1006:$AS$1006,0))&gt;=100000), " ",IF(INDEX($AC$2:$AS$1001,MATCH(ROWS($V$2:V826),$V$2:$V$1001,0),MATCH(COLUMNS($AC$1006:AC1006),$AC$1006:$AS$1006,0)), HYPERLINK("#",""), HYPERLINK(CONCATENATE("#Metadata!", ADDRESS(INDEX($X$2:$X$1001,MATCH(ROWS($V$2:V826),$V$2:$V$1001,0),0), INDEX($AC$1004:$AS$1004,1,MATCH(COLUMNS($AC$1006:AC1006),$AC$1006:$AS$1006,0)))),"Fix")))</f>
        <v>0</v>
      </c>
      <c r="C826" s="5">
        <f>IF(OR(INDEX($W$2:$W$1001,MATCH(ROWS($V$2:V826),$V$2:$V$1001,0),1)&gt;=100000,INDEX($AC$1005:$AS$1005,1,MATCH(COLUMNS($AC$1006:AD1006),$AC$1006:$AS$1006,0))&gt;=100000), " ",IF(INDEX($AC$2:$AS$1001,MATCH(ROWS($V$2:V826),$V$2:$V$1001,0),MATCH(COLUMNS($AC$1006:AD1006),$AC$1006:$AS$1006,0)), HYPERLINK("#",""), HYPERLINK(CONCATENATE("#Metadata!", ADDRESS(INDEX($X$2:$X$1001,MATCH(ROWS($V$2:V826),$V$2:$V$1001,0),0), INDEX($AC$1004:$AS$1004,1,MATCH(COLUMNS($AC$1006:AD1006),$AC$1006:$AS$1006,0)))),"Fix")))</f>
        <v>0</v>
      </c>
      <c r="D826" s="5">
        <f>IF(OR(INDEX($W$2:$W$1001,MATCH(ROWS($V$2:V826),$V$2:$V$1001,0),1)&gt;=100000,INDEX($AC$1005:$AS$1005,1,MATCH(COLUMNS($AC$1006:AE1006),$AC$1006:$AS$1006,0))&gt;=100000), " ",IF(INDEX($AC$2:$AS$1001,MATCH(ROWS($V$2:V826),$V$2:$V$1001,0),MATCH(COLUMNS($AC$1006:AE1006),$AC$1006:$AS$1006,0)), HYPERLINK("#",""), HYPERLINK(CONCATENATE("#Metadata!", ADDRESS(INDEX($X$2:$X$1001,MATCH(ROWS($V$2:V826),$V$2:$V$1001,0),0), INDEX($AC$1004:$AS$1004,1,MATCH(COLUMNS($AC$1006:AE1006),$AC$1006:$AS$1006,0)))),"Fix")))</f>
        <v>0</v>
      </c>
      <c r="E826" s="5">
        <f>IF(OR(INDEX($W$2:$W$1001,MATCH(ROWS($V$2:V826),$V$2:$V$1001,0),1)&gt;=100000,INDEX($AC$1005:$AS$1005,1,MATCH(COLUMNS($AC$1006:AF1006),$AC$1006:$AS$1006,0))&gt;=100000), " ",IF(INDEX($AC$2:$AS$1001,MATCH(ROWS($V$2:V826),$V$2:$V$1001,0),MATCH(COLUMNS($AC$1006:AF1006),$AC$1006:$AS$1006,0)), HYPERLINK("#",""), HYPERLINK(CONCATENATE("#Metadata!", ADDRESS(INDEX($X$2:$X$1001,MATCH(ROWS($V$2:V826),$V$2:$V$1001,0),0), INDEX($AC$1004:$AS$1004,1,MATCH(COLUMNS($AC$1006:AF1006),$AC$1006:$AS$1006,0)))),"Fix")))</f>
        <v>0</v>
      </c>
      <c r="F826" s="5">
        <f>IF(OR(INDEX($W$2:$W$1001,MATCH(ROWS($V$2:V826),$V$2:$V$1001,0),1)&gt;=100000,INDEX($AC$1005:$AS$1005,1,MATCH(COLUMNS($AC$1006:AG1006),$AC$1006:$AS$1006,0))&gt;=100000), " ",IF(INDEX($AC$2:$AS$1001,MATCH(ROWS($V$2:V826),$V$2:$V$1001,0),MATCH(COLUMNS($AC$1006:AG1006),$AC$1006:$AS$1006,0)), HYPERLINK("#",""), HYPERLINK(CONCATENATE("#Metadata!", ADDRESS(INDEX($X$2:$X$1001,MATCH(ROWS($V$2:V826),$V$2:$V$1001,0),0), INDEX($AC$1004:$AS$1004,1,MATCH(COLUMNS($AC$1006:AG1006),$AC$1006:$AS$1006,0)))),"Fix")))</f>
        <v>0</v>
      </c>
      <c r="G826" s="5">
        <f>IF(OR(INDEX($W$2:$W$1001,MATCH(ROWS($V$2:V826),$V$2:$V$1001,0),1)&gt;=100000,INDEX($AC$1005:$AS$1005,1,MATCH(COLUMNS($AC$1006:AH1006),$AC$1006:$AS$1006,0))&gt;=100000), " ",IF(INDEX($AC$2:$AS$1001,MATCH(ROWS($V$2:V826),$V$2:$V$1001,0),MATCH(COLUMNS($AC$1006:AH1006),$AC$1006:$AS$1006,0)), HYPERLINK("#",""), HYPERLINK(CONCATENATE("#Metadata!", ADDRESS(INDEX($X$2:$X$1001,MATCH(ROWS($V$2:V826),$V$2:$V$1001,0),0), INDEX($AC$1004:$AS$1004,1,MATCH(COLUMNS($AC$1006:AH1006),$AC$1006:$AS$1006,0)))),"Fix")))</f>
        <v>0</v>
      </c>
      <c r="H826" s="5">
        <f>IF(OR(INDEX($W$2:$W$1001,MATCH(ROWS($V$2:V826),$V$2:$V$1001,0),1)&gt;=100000,INDEX($AC$1005:$AS$1005,1,MATCH(COLUMNS($AC$1006:AI1006),$AC$1006:$AS$1006,0))&gt;=100000), " ",IF(INDEX($AC$2:$AS$1001,MATCH(ROWS($V$2:V826),$V$2:$V$1001,0),MATCH(COLUMNS($AC$1006:AI1006),$AC$1006:$AS$1006,0)), HYPERLINK("#",""), HYPERLINK(CONCATENATE("#Metadata!", ADDRESS(INDEX($X$2:$X$1001,MATCH(ROWS($V$2:V826),$V$2:$V$1001,0),0), INDEX($AC$1004:$AS$1004,1,MATCH(COLUMNS($AC$1006:AI1006),$AC$1006:$AS$1006,0)))),"Fix")))</f>
        <v>0</v>
      </c>
      <c r="I826" s="5">
        <f>IF(OR(INDEX($W$2:$W$1001,MATCH(ROWS($V$2:V826),$V$2:$V$1001,0),1)&gt;=100000,INDEX($AC$1005:$AS$1005,1,MATCH(COLUMNS($AC$1006:AJ1006),$AC$1006:$AS$1006,0))&gt;=100000), " ",IF(INDEX($AC$2:$AS$1001,MATCH(ROWS($V$2:V826),$V$2:$V$1001,0),MATCH(COLUMNS($AC$1006:AJ1006),$AC$1006:$AS$1006,0)), HYPERLINK("#",""), HYPERLINK(CONCATENATE("#Metadata!", ADDRESS(INDEX($X$2:$X$1001,MATCH(ROWS($V$2:V826),$V$2:$V$1001,0),0), INDEX($AC$1004:$AS$1004,1,MATCH(COLUMNS($AC$1006:AJ1006),$AC$1006:$AS$1006,0)))),"Fix")))</f>
        <v>0</v>
      </c>
      <c r="J826" s="5">
        <f>IF(OR(INDEX($W$2:$W$1001,MATCH(ROWS($V$2:V826),$V$2:$V$1001,0),1)&gt;=100000,INDEX($AC$1005:$AS$1005,1,MATCH(COLUMNS($AC$1006:AK1006),$AC$1006:$AS$1006,0))&gt;=100000), " ",IF(INDEX($AC$2:$AS$1001,MATCH(ROWS($V$2:V826),$V$2:$V$1001,0),MATCH(COLUMNS($AC$1006:AK1006),$AC$1006:$AS$1006,0)), HYPERLINK("#",""), HYPERLINK(CONCATENATE("#Metadata!", ADDRESS(INDEX($X$2:$X$1001,MATCH(ROWS($V$2:V826),$V$2:$V$1001,0),0), INDEX($AC$1004:$AS$1004,1,MATCH(COLUMNS($AC$1006:AK1006),$AC$1006:$AS$1006,0)))),"Fix")))</f>
        <v>0</v>
      </c>
      <c r="K826" s="5">
        <f>IF(OR(INDEX($W$2:$W$1001,MATCH(ROWS($V$2:V826),$V$2:$V$1001,0),1)&gt;=100000,INDEX($AC$1005:$AS$1005,1,MATCH(COLUMNS($AC$1006:AL1006),$AC$1006:$AS$1006,0))&gt;=100000), " ",IF(INDEX($AC$2:$AS$1001,MATCH(ROWS($V$2:V826),$V$2:$V$1001,0),MATCH(COLUMNS($AC$1006:AL1006),$AC$1006:$AS$1006,0)), HYPERLINK("#",""), HYPERLINK(CONCATENATE("#Metadata!", ADDRESS(INDEX($X$2:$X$1001,MATCH(ROWS($V$2:V826),$V$2:$V$1001,0),0), INDEX($AC$1004:$AS$1004,1,MATCH(COLUMNS($AC$1006:AL1006),$AC$1006:$AS$1006,0)))),"Fix")))</f>
        <v>0</v>
      </c>
      <c r="L826" s="5">
        <f>IF(OR(INDEX($W$2:$W$1001,MATCH(ROWS($V$2:V826),$V$2:$V$1001,0),1)&gt;=100000,INDEX($AC$1005:$AS$1005,1,MATCH(COLUMNS($AC$1006:AM1006),$AC$1006:$AS$1006,0))&gt;=100000), " ",IF(INDEX($AC$2:$AS$1001,MATCH(ROWS($V$2:V826),$V$2:$V$1001,0),MATCH(COLUMNS($AC$1006:AM1006),$AC$1006:$AS$1006,0)), HYPERLINK("#",""), HYPERLINK(CONCATENATE("#Metadata!", ADDRESS(INDEX($X$2:$X$1001,MATCH(ROWS($V$2:V826),$V$2:$V$1001,0),0), INDEX($AC$1004:$AS$1004,1,MATCH(COLUMNS($AC$1006:AM1006),$AC$1006:$AS$1006,0)))),"Fix")))</f>
        <v>0</v>
      </c>
      <c r="M826" s="5">
        <f>IF(OR(INDEX($W$2:$W$1001,MATCH(ROWS($V$2:V826),$V$2:$V$1001,0),1)&gt;=100000,INDEX($AC$1005:$AS$1005,1,MATCH(COLUMNS($AC$1006:AN1006),$AC$1006:$AS$1006,0))&gt;=100000), " ",IF(INDEX($AC$2:$AS$1001,MATCH(ROWS($V$2:V826),$V$2:$V$1001,0),MATCH(COLUMNS($AC$1006:AN1006),$AC$1006:$AS$1006,0)), HYPERLINK("#",""), HYPERLINK(CONCATENATE("#Metadata!", ADDRESS(INDEX($X$2:$X$1001,MATCH(ROWS($V$2:V826),$V$2:$V$1001,0),0), INDEX($AC$1004:$AS$1004,1,MATCH(COLUMNS($AC$1006:AN1006),$AC$1006:$AS$1006,0)))),"Fix")))</f>
        <v>0</v>
      </c>
      <c r="N826" s="5">
        <f>IF(OR(INDEX($W$2:$W$1001,MATCH(ROWS($V$2:V826),$V$2:$V$1001,0),1)&gt;=100000,INDEX($AC$1005:$AS$1005,1,MATCH(COLUMNS($AC$1006:AO1006),$AC$1006:$AS$1006,0))&gt;=100000), " ",IF(INDEX($AC$2:$AS$1001,MATCH(ROWS($V$2:V826),$V$2:$V$1001,0),MATCH(COLUMNS($AC$1006:AO1006),$AC$1006:$AS$1006,0)), HYPERLINK("#",""), HYPERLINK(CONCATENATE("#Metadata!", ADDRESS(INDEX($X$2:$X$1001,MATCH(ROWS($V$2:V826),$V$2:$V$1001,0),0), INDEX($AC$1004:$AS$1004,1,MATCH(COLUMNS($AC$1006:AO1006),$AC$1006:$AS$1006,0)))),"Fix")))</f>
        <v>0</v>
      </c>
      <c r="O826" s="5">
        <f>IF(OR(INDEX($W$2:$W$1001,MATCH(ROWS($V$2:V826),$V$2:$V$1001,0),1)&gt;=100000,INDEX($AC$1005:$AS$1005,1,MATCH(COLUMNS($AC$1006:AP1006),$AC$1006:$AS$1006,0))&gt;=100000), " ",IF(INDEX($AC$2:$AS$1001,MATCH(ROWS($V$2:V826),$V$2:$V$1001,0),MATCH(COLUMNS($AC$1006:AP1006),$AC$1006:$AS$1006,0)), HYPERLINK("#",""), HYPERLINK(CONCATENATE("#Metadata!", ADDRESS(INDEX($X$2:$X$1001,MATCH(ROWS($V$2:V826),$V$2:$V$1001,0),0), INDEX($AC$1004:$AS$1004,1,MATCH(COLUMNS($AC$1006:AP1006),$AC$1006:$AS$1006,0)))),"Fix")))</f>
        <v>0</v>
      </c>
      <c r="P826" s="5">
        <f>IF(OR(INDEX($W$2:$W$1001,MATCH(ROWS($V$2:V826),$V$2:$V$1001,0),1)&gt;=100000,INDEX($AC$1005:$AS$1005,1,MATCH(COLUMNS($AC$1006:AQ1006),$AC$1006:$AS$1006,0))&gt;=100000), " ",IF(INDEX($AC$2:$AS$1001,MATCH(ROWS($V$2:V826),$V$2:$V$1001,0),MATCH(COLUMNS($AC$1006:AQ1006),$AC$1006:$AS$1006,0)), HYPERLINK("#",""), HYPERLINK(CONCATENATE("#Metadata!", ADDRESS(INDEX($X$2:$X$1001,MATCH(ROWS($V$2:V826),$V$2:$V$1001,0),0), INDEX($AC$1004:$AS$1004,1,MATCH(COLUMNS($AC$1006:AQ1006),$AC$1006:$AS$1006,0)))),"Fix")))</f>
        <v>0</v>
      </c>
      <c r="Q826" s="5">
        <f>IF(OR(INDEX($W$2:$W$1001,MATCH(ROWS($V$2:V826),$V$2:$V$1001,0),1)&gt;=100000,INDEX($AC$1005:$AS$1005,1,MATCH(COLUMNS($AC$1006:AR1006),$AC$1006:$AS$1006,0))&gt;=100000), " ",IF(INDEX($AC$2:$AS$1001,MATCH(ROWS($V$2:V826),$V$2:$V$1001,0),MATCH(COLUMNS($AC$1006:AR1006),$AC$1006:$AS$1006,0)), HYPERLINK("#",""), HYPERLINK(CONCATENATE("#Metadata!", ADDRESS(INDEX($X$2:$X$1001,MATCH(ROWS($V$2:V826),$V$2:$V$1001,0),0), INDEX($AC$1004:$AS$1004,1,MATCH(COLUMNS($AC$1006:AR1006),$AC$1006:$AS$1006,0)))),"Fix")))</f>
        <v>0</v>
      </c>
      <c r="R826" s="5">
        <f>IF(OR(INDEX($W$2:$W$1001,MATCH(ROWS($V$2:V826),$V$2:$V$1001,0),1)&gt;=100000,INDEX($AC$1005:$AS$1005,1,MATCH(COLUMNS($AC$1006:AS1006),$AC$1006:$AS$1006,0))&gt;=100000), " ",IF(INDEX($AC$2:$AS$1001,MATCH(ROWS($V$2:V826),$V$2:$V$1001,0),MATCH(COLUMNS($AC$1006:AS1006),$AC$1006:$AS$1006,0)), HYPERLINK("#",""), HYPERLINK(CONCATENATE("#Metadata!", ADDRESS(INDEX($X$2:$X$1001,MATCH(ROWS($V$2:V826),$V$2:$V$1001,0),0), INDEX($AC$1004:$AS$1004,1,MATCH(COLUMNS($AC$1006:AS1006),$AC$1006:$AS$1006,0)))),"Fix")))</f>
        <v>0</v>
      </c>
      <c r="V826">
        <v>0</v>
      </c>
      <c r="W826">
        <v>0</v>
      </c>
      <c r="X826">
        <v>0</v>
      </c>
      <c r="Y826">
        <f>IF(Z826,TRUE,AND(AC826:AS826))</f>
        <v>0</v>
      </c>
      <c r="Z826">
        <f>COUNTBLANK(Metadata!B826:R826)=COLUMNS(Metadata!B826:R826)</f>
        <v>0</v>
      </c>
      <c r="AA826">
        <v>0</v>
      </c>
      <c r="AC826">
        <f>AND(IF(Metadata!B826="",FALSE,TRUE),COUNTIF(Metadata!B:B, Metadata!B826) = 1,NOT(ISERROR(SUMPRODUCT(SEARCH(MID(Metadata!B826,ROW(INDIRECT("1:"&amp;LEN(Metadata!B826))), 1),"0123456789abcdefghijklmnopqrstuvwxyzABCDEFGHIJKLMNOPQRSTUVWXYZ.")))))</f>
        <v>0</v>
      </c>
      <c r="AD826">
        <f>AND(IF(Metadata!C826="",FALSE,TRUE),exact(Metadata!C826,"Host-associated"))</f>
        <v>0</v>
      </c>
      <c r="AE826">
        <f>AND(IF(Metadata!D826="",FALSE,TRUE),OR(exact(Metadata!D826,"Animal"),exact(Metadata!D826,"Fungus"),exact(Metadata!D826,"Plant")))</f>
        <v>0</v>
      </c>
      <c r="AF826">
        <f>AND(IF(Metadata!E826="",FALSE,TRUE),OR(exact(Metadata!E826,"Plant secretion"),exact(Metadata!E826,"Plant rhizosphere"),exact(Metadata!E826,"Plant surface"),exact(Metadata!E826,"Plant corpus"),exact(Metadata!E826,"Fungus surface"),exact(Metadata!E826,"Fungus corpus"),exact(Metadata!E826,"Animal surface"),exact(Metadata!E826,"Animal proximal gut"),exact(Metadata!E826,"Animal corpus"),exact(Metadata!E826,"Animal distal gut"),exact(Metadata!E826,"Animal secretion")))</f>
        <v>0</v>
      </c>
      <c r="AG826">
        <f>OR(AND(IF(Metadata!F826="",FALSE,TRUE),OR(exact(Metadata!F826,"not collected"),exact(Metadata!F826,"not provided"),exact(Metadata!F826,"restricted access"))),AND(IF(Metadata!F826="",FALSE,TRUE),OR(exact(Metadata!F826,"organism-associated habitat"),exact(Metadata!F826,"plant-associated habitat"),exact(Metadata!F826,"animal-associated habitat"),exact(Metadata!F826,"insecta-associated habitat"),exact(Metadata!F826,"mammalia-associated habitat"),exact(Metadata!F826,"human-associated habitat"),exact(Metadata!F826,"livestock-associated habitat"))))</f>
        <v>0</v>
      </c>
      <c r="AH826">
        <f>AND(IF(Metadata!G826="",FALSE,TRUE),exact(Metadata!G826,"host-associated"))</f>
        <v>0</v>
      </c>
      <c r="AI826">
        <f>OR(AND(IF(Metadata!H826="",FALSE,TRUE),OR(exact(Metadata!H826,"not collected"),exact(Metadata!H826,"not provided"))),AND(IF(Metadata!H826="",FALSE,ISNUMBER(VALUE(Metadata!H826))),Metadata!H826&gt;0))</f>
        <v>0</v>
      </c>
      <c r="AJ826">
        <f>AND(IF(Metadata!I826="",FALSE,TRUE),exact(Metadata!I826,"years"))</f>
        <v>0</v>
      </c>
      <c r="AK826">
        <f>IF(Metadata!J826="",FALSE,TRUE)</f>
        <v>0</v>
      </c>
      <c r="AL826">
        <f>OR(AND(IF(Metadata!K826="",FALSE,TRUE),OR(exact(Metadata!K826,"not collected"),exact(Metadata!K826,"not provided"))),AND(IF(Metadata!K826="",FALSE,ISNUMBER(VALUE(Metadata!K826))),Metadata!K826&gt;0))</f>
        <v>0</v>
      </c>
      <c r="AM826">
        <f>AND(IF(Metadata!L826="",FALSE,TRUE),exact(Metadata!L826,"cm"))</f>
        <v>0</v>
      </c>
      <c r="AN826">
        <f>IF(Metadata!M826="",FALSE,TRUE)</f>
        <v>0</v>
      </c>
      <c r="AO826">
        <f>OR(AND(IF(Metadata!N826="",FALSE,TRUE),OR(exact(Metadata!N826,"not applicable"),exact(Metadata!N826,"not collected"),exact(Metadata!N826,"not provided"))),AND(IF(Metadata!N826="",FALSE,IF(ISERROR(INT(Metadata!N826)),FALSE,INT(Metadata!N826)=Metadata!N826)),Metadata!N826&gt;0))</f>
        <v>0</v>
      </c>
      <c r="AP826">
        <f>OR(AND(IF(Metadata!O826="",FALSE,TRUE),OR(exact(Metadata!O826,"not collected"),exact(Metadata!O826,"not provided"))),AND(IF(Metadata!O826="",FALSE,ISNUMBER(VALUE(Metadata!O826))),Metadata!O826&gt;0))</f>
        <v>0</v>
      </c>
      <c r="AQ826">
        <f>AND(IF(Metadata!P826="",FALSE,TRUE),exact(Metadata!P826,"kg"))</f>
        <v>0</v>
      </c>
      <c r="AR826">
        <f>OR(AND(IF(Metadata!Q826="",FALSE,TRUE),OR(exact(Metadata!Q826,"not applicable"),exact(Metadata!Q826,"not collected"),exact(Metadata!Q826,"not provided"),exact(Metadata!Q826,"restricted access"))),IF(Metadata!Q826="",FALSE,IF(ISERROR(INT(Metadata!Q826)),FALSE,INT(Metadata!Q826)=Metadata!Q826)))</f>
        <v>0</v>
      </c>
      <c r="AS826">
        <f>AND(IF(Metadata!R826="",FALSE,TRUE),exact(Metadata!R826,"Not applicable"))</f>
        <v>0</v>
      </c>
    </row>
    <row r="827" spans="1:45">
      <c r="A827" s="4">
        <f>IF(B827=" "," ",HYPERLINK(CONCATENATE("#metadata!",ADDRESS(INDEX($X$2:$X$1001,MATCH(ROWS($V$2:V827),$V$2:$V$1001,0),0),2)),INDEX($AA$2:$AA$1001,MATCH(ROWS($V$2:V827),$V$2:$V$1001,0),0)))</f>
        <v>0</v>
      </c>
      <c r="B827" s="5">
        <f>IF(OR(INDEX($W$2:$W$1001,MATCH(ROWS($V$2:V827),$V$2:$V$1001,0),1)&gt;=100000,INDEX($AC$1005:$AS$1005,1,MATCH(COLUMNS($AC$1006:AC1006),$AC$1006:$AS$1006,0))&gt;=100000), " ",IF(INDEX($AC$2:$AS$1001,MATCH(ROWS($V$2:V827),$V$2:$V$1001,0),MATCH(COLUMNS($AC$1006:AC1006),$AC$1006:$AS$1006,0)), HYPERLINK("#",""), HYPERLINK(CONCATENATE("#Metadata!", ADDRESS(INDEX($X$2:$X$1001,MATCH(ROWS($V$2:V827),$V$2:$V$1001,0),0), INDEX($AC$1004:$AS$1004,1,MATCH(COLUMNS($AC$1006:AC1006),$AC$1006:$AS$1006,0)))),"Fix")))</f>
        <v>0</v>
      </c>
      <c r="C827" s="5">
        <f>IF(OR(INDEX($W$2:$W$1001,MATCH(ROWS($V$2:V827),$V$2:$V$1001,0),1)&gt;=100000,INDEX($AC$1005:$AS$1005,1,MATCH(COLUMNS($AC$1006:AD1006),$AC$1006:$AS$1006,0))&gt;=100000), " ",IF(INDEX($AC$2:$AS$1001,MATCH(ROWS($V$2:V827),$V$2:$V$1001,0),MATCH(COLUMNS($AC$1006:AD1006),$AC$1006:$AS$1006,0)), HYPERLINK("#",""), HYPERLINK(CONCATENATE("#Metadata!", ADDRESS(INDEX($X$2:$X$1001,MATCH(ROWS($V$2:V827),$V$2:$V$1001,0),0), INDEX($AC$1004:$AS$1004,1,MATCH(COLUMNS($AC$1006:AD1006),$AC$1006:$AS$1006,0)))),"Fix")))</f>
        <v>0</v>
      </c>
      <c r="D827" s="5">
        <f>IF(OR(INDEX($W$2:$W$1001,MATCH(ROWS($V$2:V827),$V$2:$V$1001,0),1)&gt;=100000,INDEX($AC$1005:$AS$1005,1,MATCH(COLUMNS($AC$1006:AE1006),$AC$1006:$AS$1006,0))&gt;=100000), " ",IF(INDEX($AC$2:$AS$1001,MATCH(ROWS($V$2:V827),$V$2:$V$1001,0),MATCH(COLUMNS($AC$1006:AE1006),$AC$1006:$AS$1006,0)), HYPERLINK("#",""), HYPERLINK(CONCATENATE("#Metadata!", ADDRESS(INDEX($X$2:$X$1001,MATCH(ROWS($V$2:V827),$V$2:$V$1001,0),0), INDEX($AC$1004:$AS$1004,1,MATCH(COLUMNS($AC$1006:AE1006),$AC$1006:$AS$1006,0)))),"Fix")))</f>
        <v>0</v>
      </c>
      <c r="E827" s="5">
        <f>IF(OR(INDEX($W$2:$W$1001,MATCH(ROWS($V$2:V827),$V$2:$V$1001,0),1)&gt;=100000,INDEX($AC$1005:$AS$1005,1,MATCH(COLUMNS($AC$1006:AF1006),$AC$1006:$AS$1006,0))&gt;=100000), " ",IF(INDEX($AC$2:$AS$1001,MATCH(ROWS($V$2:V827),$V$2:$V$1001,0),MATCH(COLUMNS($AC$1006:AF1006),$AC$1006:$AS$1006,0)), HYPERLINK("#",""), HYPERLINK(CONCATENATE("#Metadata!", ADDRESS(INDEX($X$2:$X$1001,MATCH(ROWS($V$2:V827),$V$2:$V$1001,0),0), INDEX($AC$1004:$AS$1004,1,MATCH(COLUMNS($AC$1006:AF1006),$AC$1006:$AS$1006,0)))),"Fix")))</f>
        <v>0</v>
      </c>
      <c r="F827" s="5">
        <f>IF(OR(INDEX($W$2:$W$1001,MATCH(ROWS($V$2:V827),$V$2:$V$1001,0),1)&gt;=100000,INDEX($AC$1005:$AS$1005,1,MATCH(COLUMNS($AC$1006:AG1006),$AC$1006:$AS$1006,0))&gt;=100000), " ",IF(INDEX($AC$2:$AS$1001,MATCH(ROWS($V$2:V827),$V$2:$V$1001,0),MATCH(COLUMNS($AC$1006:AG1006),$AC$1006:$AS$1006,0)), HYPERLINK("#",""), HYPERLINK(CONCATENATE("#Metadata!", ADDRESS(INDEX($X$2:$X$1001,MATCH(ROWS($V$2:V827),$V$2:$V$1001,0),0), INDEX($AC$1004:$AS$1004,1,MATCH(COLUMNS($AC$1006:AG1006),$AC$1006:$AS$1006,0)))),"Fix")))</f>
        <v>0</v>
      </c>
      <c r="G827" s="5">
        <f>IF(OR(INDEX($W$2:$W$1001,MATCH(ROWS($V$2:V827),$V$2:$V$1001,0),1)&gt;=100000,INDEX($AC$1005:$AS$1005,1,MATCH(COLUMNS($AC$1006:AH1006),$AC$1006:$AS$1006,0))&gt;=100000), " ",IF(INDEX($AC$2:$AS$1001,MATCH(ROWS($V$2:V827),$V$2:$V$1001,0),MATCH(COLUMNS($AC$1006:AH1006),$AC$1006:$AS$1006,0)), HYPERLINK("#",""), HYPERLINK(CONCATENATE("#Metadata!", ADDRESS(INDEX($X$2:$X$1001,MATCH(ROWS($V$2:V827),$V$2:$V$1001,0),0), INDEX($AC$1004:$AS$1004,1,MATCH(COLUMNS($AC$1006:AH1006),$AC$1006:$AS$1006,0)))),"Fix")))</f>
        <v>0</v>
      </c>
      <c r="H827" s="5">
        <f>IF(OR(INDEX($W$2:$W$1001,MATCH(ROWS($V$2:V827),$V$2:$V$1001,0),1)&gt;=100000,INDEX($AC$1005:$AS$1005,1,MATCH(COLUMNS($AC$1006:AI1006),$AC$1006:$AS$1006,0))&gt;=100000), " ",IF(INDEX($AC$2:$AS$1001,MATCH(ROWS($V$2:V827),$V$2:$V$1001,0),MATCH(COLUMNS($AC$1006:AI1006),$AC$1006:$AS$1006,0)), HYPERLINK("#",""), HYPERLINK(CONCATENATE("#Metadata!", ADDRESS(INDEX($X$2:$X$1001,MATCH(ROWS($V$2:V827),$V$2:$V$1001,0),0), INDEX($AC$1004:$AS$1004,1,MATCH(COLUMNS($AC$1006:AI1006),$AC$1006:$AS$1006,0)))),"Fix")))</f>
        <v>0</v>
      </c>
      <c r="I827" s="5">
        <f>IF(OR(INDEX($W$2:$W$1001,MATCH(ROWS($V$2:V827),$V$2:$V$1001,0),1)&gt;=100000,INDEX($AC$1005:$AS$1005,1,MATCH(COLUMNS($AC$1006:AJ1006),$AC$1006:$AS$1006,0))&gt;=100000), " ",IF(INDEX($AC$2:$AS$1001,MATCH(ROWS($V$2:V827),$V$2:$V$1001,0),MATCH(COLUMNS($AC$1006:AJ1006),$AC$1006:$AS$1006,0)), HYPERLINK("#",""), HYPERLINK(CONCATENATE("#Metadata!", ADDRESS(INDEX($X$2:$X$1001,MATCH(ROWS($V$2:V827),$V$2:$V$1001,0),0), INDEX($AC$1004:$AS$1004,1,MATCH(COLUMNS($AC$1006:AJ1006),$AC$1006:$AS$1006,0)))),"Fix")))</f>
        <v>0</v>
      </c>
      <c r="J827" s="5">
        <f>IF(OR(INDEX($W$2:$W$1001,MATCH(ROWS($V$2:V827),$V$2:$V$1001,0),1)&gt;=100000,INDEX($AC$1005:$AS$1005,1,MATCH(COLUMNS($AC$1006:AK1006),$AC$1006:$AS$1006,0))&gt;=100000), " ",IF(INDEX($AC$2:$AS$1001,MATCH(ROWS($V$2:V827),$V$2:$V$1001,0),MATCH(COLUMNS($AC$1006:AK1006),$AC$1006:$AS$1006,0)), HYPERLINK("#",""), HYPERLINK(CONCATENATE("#Metadata!", ADDRESS(INDEX($X$2:$X$1001,MATCH(ROWS($V$2:V827),$V$2:$V$1001,0),0), INDEX($AC$1004:$AS$1004,1,MATCH(COLUMNS($AC$1006:AK1006),$AC$1006:$AS$1006,0)))),"Fix")))</f>
        <v>0</v>
      </c>
      <c r="K827" s="5">
        <f>IF(OR(INDEX($W$2:$W$1001,MATCH(ROWS($V$2:V827),$V$2:$V$1001,0),1)&gt;=100000,INDEX($AC$1005:$AS$1005,1,MATCH(COLUMNS($AC$1006:AL1006),$AC$1006:$AS$1006,0))&gt;=100000), " ",IF(INDEX($AC$2:$AS$1001,MATCH(ROWS($V$2:V827),$V$2:$V$1001,0),MATCH(COLUMNS($AC$1006:AL1006),$AC$1006:$AS$1006,0)), HYPERLINK("#",""), HYPERLINK(CONCATENATE("#Metadata!", ADDRESS(INDEX($X$2:$X$1001,MATCH(ROWS($V$2:V827),$V$2:$V$1001,0),0), INDEX($AC$1004:$AS$1004,1,MATCH(COLUMNS($AC$1006:AL1006),$AC$1006:$AS$1006,0)))),"Fix")))</f>
        <v>0</v>
      </c>
      <c r="L827" s="5">
        <f>IF(OR(INDEX($W$2:$W$1001,MATCH(ROWS($V$2:V827),$V$2:$V$1001,0),1)&gt;=100000,INDEX($AC$1005:$AS$1005,1,MATCH(COLUMNS($AC$1006:AM1006),$AC$1006:$AS$1006,0))&gt;=100000), " ",IF(INDEX($AC$2:$AS$1001,MATCH(ROWS($V$2:V827),$V$2:$V$1001,0),MATCH(COLUMNS($AC$1006:AM1006),$AC$1006:$AS$1006,0)), HYPERLINK("#",""), HYPERLINK(CONCATENATE("#Metadata!", ADDRESS(INDEX($X$2:$X$1001,MATCH(ROWS($V$2:V827),$V$2:$V$1001,0),0), INDEX($AC$1004:$AS$1004,1,MATCH(COLUMNS($AC$1006:AM1006),$AC$1006:$AS$1006,0)))),"Fix")))</f>
        <v>0</v>
      </c>
      <c r="M827" s="5">
        <f>IF(OR(INDEX($W$2:$W$1001,MATCH(ROWS($V$2:V827),$V$2:$V$1001,0),1)&gt;=100000,INDEX($AC$1005:$AS$1005,1,MATCH(COLUMNS($AC$1006:AN1006),$AC$1006:$AS$1006,0))&gt;=100000), " ",IF(INDEX($AC$2:$AS$1001,MATCH(ROWS($V$2:V827),$V$2:$V$1001,0),MATCH(COLUMNS($AC$1006:AN1006),$AC$1006:$AS$1006,0)), HYPERLINK("#",""), HYPERLINK(CONCATENATE("#Metadata!", ADDRESS(INDEX($X$2:$X$1001,MATCH(ROWS($V$2:V827),$V$2:$V$1001,0),0), INDEX($AC$1004:$AS$1004,1,MATCH(COLUMNS($AC$1006:AN1006),$AC$1006:$AS$1006,0)))),"Fix")))</f>
        <v>0</v>
      </c>
      <c r="N827" s="5">
        <f>IF(OR(INDEX($W$2:$W$1001,MATCH(ROWS($V$2:V827),$V$2:$V$1001,0),1)&gt;=100000,INDEX($AC$1005:$AS$1005,1,MATCH(COLUMNS($AC$1006:AO1006),$AC$1006:$AS$1006,0))&gt;=100000), " ",IF(INDEX($AC$2:$AS$1001,MATCH(ROWS($V$2:V827),$V$2:$V$1001,0),MATCH(COLUMNS($AC$1006:AO1006),$AC$1006:$AS$1006,0)), HYPERLINK("#",""), HYPERLINK(CONCATENATE("#Metadata!", ADDRESS(INDEX($X$2:$X$1001,MATCH(ROWS($V$2:V827),$V$2:$V$1001,0),0), INDEX($AC$1004:$AS$1004,1,MATCH(COLUMNS($AC$1006:AO1006),$AC$1006:$AS$1006,0)))),"Fix")))</f>
        <v>0</v>
      </c>
      <c r="O827" s="5">
        <f>IF(OR(INDEX($W$2:$W$1001,MATCH(ROWS($V$2:V827),$V$2:$V$1001,0),1)&gt;=100000,INDEX($AC$1005:$AS$1005,1,MATCH(COLUMNS($AC$1006:AP1006),$AC$1006:$AS$1006,0))&gt;=100000), " ",IF(INDEX($AC$2:$AS$1001,MATCH(ROWS($V$2:V827),$V$2:$V$1001,0),MATCH(COLUMNS($AC$1006:AP1006),$AC$1006:$AS$1006,0)), HYPERLINK("#",""), HYPERLINK(CONCATENATE("#Metadata!", ADDRESS(INDEX($X$2:$X$1001,MATCH(ROWS($V$2:V827),$V$2:$V$1001,0),0), INDEX($AC$1004:$AS$1004,1,MATCH(COLUMNS($AC$1006:AP1006),$AC$1006:$AS$1006,0)))),"Fix")))</f>
        <v>0</v>
      </c>
      <c r="P827" s="5">
        <f>IF(OR(INDEX($W$2:$W$1001,MATCH(ROWS($V$2:V827),$V$2:$V$1001,0),1)&gt;=100000,INDEX($AC$1005:$AS$1005,1,MATCH(COLUMNS($AC$1006:AQ1006),$AC$1006:$AS$1006,0))&gt;=100000), " ",IF(INDEX($AC$2:$AS$1001,MATCH(ROWS($V$2:V827),$V$2:$V$1001,0),MATCH(COLUMNS($AC$1006:AQ1006),$AC$1006:$AS$1006,0)), HYPERLINK("#",""), HYPERLINK(CONCATENATE("#Metadata!", ADDRESS(INDEX($X$2:$X$1001,MATCH(ROWS($V$2:V827),$V$2:$V$1001,0),0), INDEX($AC$1004:$AS$1004,1,MATCH(COLUMNS($AC$1006:AQ1006),$AC$1006:$AS$1006,0)))),"Fix")))</f>
        <v>0</v>
      </c>
      <c r="Q827" s="5">
        <f>IF(OR(INDEX($W$2:$W$1001,MATCH(ROWS($V$2:V827),$V$2:$V$1001,0),1)&gt;=100000,INDEX($AC$1005:$AS$1005,1,MATCH(COLUMNS($AC$1006:AR1006),$AC$1006:$AS$1006,0))&gt;=100000), " ",IF(INDEX($AC$2:$AS$1001,MATCH(ROWS($V$2:V827),$V$2:$V$1001,0),MATCH(COLUMNS($AC$1006:AR1006),$AC$1006:$AS$1006,0)), HYPERLINK("#",""), HYPERLINK(CONCATENATE("#Metadata!", ADDRESS(INDEX($X$2:$X$1001,MATCH(ROWS($V$2:V827),$V$2:$V$1001,0),0), INDEX($AC$1004:$AS$1004,1,MATCH(COLUMNS($AC$1006:AR1006),$AC$1006:$AS$1006,0)))),"Fix")))</f>
        <v>0</v>
      </c>
      <c r="R827" s="5">
        <f>IF(OR(INDEX($W$2:$W$1001,MATCH(ROWS($V$2:V827),$V$2:$V$1001,0),1)&gt;=100000,INDEX($AC$1005:$AS$1005,1,MATCH(COLUMNS($AC$1006:AS1006),$AC$1006:$AS$1006,0))&gt;=100000), " ",IF(INDEX($AC$2:$AS$1001,MATCH(ROWS($V$2:V827),$V$2:$V$1001,0),MATCH(COLUMNS($AC$1006:AS1006),$AC$1006:$AS$1006,0)), HYPERLINK("#",""), HYPERLINK(CONCATENATE("#Metadata!", ADDRESS(INDEX($X$2:$X$1001,MATCH(ROWS($V$2:V827),$V$2:$V$1001,0),0), INDEX($AC$1004:$AS$1004,1,MATCH(COLUMNS($AC$1006:AS1006),$AC$1006:$AS$1006,0)))),"Fix")))</f>
        <v>0</v>
      </c>
      <c r="V827">
        <v>0</v>
      </c>
      <c r="W827">
        <v>0</v>
      </c>
      <c r="X827">
        <v>0</v>
      </c>
      <c r="Y827">
        <f>IF(Z827,TRUE,AND(AC827:AS827))</f>
        <v>0</v>
      </c>
      <c r="Z827">
        <f>COUNTBLANK(Metadata!B827:R827)=COLUMNS(Metadata!B827:R827)</f>
        <v>0</v>
      </c>
      <c r="AA827">
        <v>0</v>
      </c>
      <c r="AC827">
        <f>AND(IF(Metadata!B827="",FALSE,TRUE),COUNTIF(Metadata!B:B, Metadata!B827) = 1,NOT(ISERROR(SUMPRODUCT(SEARCH(MID(Metadata!B827,ROW(INDIRECT("1:"&amp;LEN(Metadata!B827))), 1),"0123456789abcdefghijklmnopqrstuvwxyzABCDEFGHIJKLMNOPQRSTUVWXYZ.")))))</f>
        <v>0</v>
      </c>
      <c r="AD827">
        <f>AND(IF(Metadata!C827="",FALSE,TRUE),exact(Metadata!C827,"Host-associated"))</f>
        <v>0</v>
      </c>
      <c r="AE827">
        <f>AND(IF(Metadata!D827="",FALSE,TRUE),OR(exact(Metadata!D827,"Animal"),exact(Metadata!D827,"Fungus"),exact(Metadata!D827,"Plant")))</f>
        <v>0</v>
      </c>
      <c r="AF827">
        <f>AND(IF(Metadata!E827="",FALSE,TRUE),OR(exact(Metadata!E827,"Plant secretion"),exact(Metadata!E827,"Plant rhizosphere"),exact(Metadata!E827,"Plant surface"),exact(Metadata!E827,"Plant corpus"),exact(Metadata!E827,"Fungus surface"),exact(Metadata!E827,"Fungus corpus"),exact(Metadata!E827,"Animal surface"),exact(Metadata!E827,"Animal proximal gut"),exact(Metadata!E827,"Animal corpus"),exact(Metadata!E827,"Animal distal gut"),exact(Metadata!E827,"Animal secretion")))</f>
        <v>0</v>
      </c>
      <c r="AG827">
        <f>OR(AND(IF(Metadata!F827="",FALSE,TRUE),OR(exact(Metadata!F827,"not collected"),exact(Metadata!F827,"not provided"),exact(Metadata!F827,"restricted access"))),AND(IF(Metadata!F827="",FALSE,TRUE),OR(exact(Metadata!F827,"organism-associated habitat"),exact(Metadata!F827,"plant-associated habitat"),exact(Metadata!F827,"animal-associated habitat"),exact(Metadata!F827,"insecta-associated habitat"),exact(Metadata!F827,"mammalia-associated habitat"),exact(Metadata!F827,"human-associated habitat"),exact(Metadata!F827,"livestock-associated habitat"))))</f>
        <v>0</v>
      </c>
      <c r="AH827">
        <f>AND(IF(Metadata!G827="",FALSE,TRUE),exact(Metadata!G827,"host-associated"))</f>
        <v>0</v>
      </c>
      <c r="AI827">
        <f>OR(AND(IF(Metadata!H827="",FALSE,TRUE),OR(exact(Metadata!H827,"not collected"),exact(Metadata!H827,"not provided"))),AND(IF(Metadata!H827="",FALSE,ISNUMBER(VALUE(Metadata!H827))),Metadata!H827&gt;0))</f>
        <v>0</v>
      </c>
      <c r="AJ827">
        <f>AND(IF(Metadata!I827="",FALSE,TRUE),exact(Metadata!I827,"years"))</f>
        <v>0</v>
      </c>
      <c r="AK827">
        <f>IF(Metadata!J827="",FALSE,TRUE)</f>
        <v>0</v>
      </c>
      <c r="AL827">
        <f>OR(AND(IF(Metadata!K827="",FALSE,TRUE),OR(exact(Metadata!K827,"not collected"),exact(Metadata!K827,"not provided"))),AND(IF(Metadata!K827="",FALSE,ISNUMBER(VALUE(Metadata!K827))),Metadata!K827&gt;0))</f>
        <v>0</v>
      </c>
      <c r="AM827">
        <f>AND(IF(Metadata!L827="",FALSE,TRUE),exact(Metadata!L827,"cm"))</f>
        <v>0</v>
      </c>
      <c r="AN827">
        <f>IF(Metadata!M827="",FALSE,TRUE)</f>
        <v>0</v>
      </c>
      <c r="AO827">
        <f>OR(AND(IF(Metadata!N827="",FALSE,TRUE),OR(exact(Metadata!N827,"not applicable"),exact(Metadata!N827,"not collected"),exact(Metadata!N827,"not provided"))),AND(IF(Metadata!N827="",FALSE,IF(ISERROR(INT(Metadata!N827)),FALSE,INT(Metadata!N827)=Metadata!N827)),Metadata!N827&gt;0))</f>
        <v>0</v>
      </c>
      <c r="AP827">
        <f>OR(AND(IF(Metadata!O827="",FALSE,TRUE),OR(exact(Metadata!O827,"not collected"),exact(Metadata!O827,"not provided"))),AND(IF(Metadata!O827="",FALSE,ISNUMBER(VALUE(Metadata!O827))),Metadata!O827&gt;0))</f>
        <v>0</v>
      </c>
      <c r="AQ827">
        <f>AND(IF(Metadata!P827="",FALSE,TRUE),exact(Metadata!P827,"kg"))</f>
        <v>0</v>
      </c>
      <c r="AR827">
        <f>OR(AND(IF(Metadata!Q827="",FALSE,TRUE),OR(exact(Metadata!Q827,"not applicable"),exact(Metadata!Q827,"not collected"),exact(Metadata!Q827,"not provided"),exact(Metadata!Q827,"restricted access"))),IF(Metadata!Q827="",FALSE,IF(ISERROR(INT(Metadata!Q827)),FALSE,INT(Metadata!Q827)=Metadata!Q827)))</f>
        <v>0</v>
      </c>
      <c r="AS827">
        <f>AND(IF(Metadata!R827="",FALSE,TRUE),exact(Metadata!R827,"Not applicable"))</f>
        <v>0</v>
      </c>
    </row>
    <row r="828" spans="1:45">
      <c r="A828" s="4">
        <f>IF(B828=" "," ",HYPERLINK(CONCATENATE("#metadata!",ADDRESS(INDEX($X$2:$X$1001,MATCH(ROWS($V$2:V828),$V$2:$V$1001,0),0),2)),INDEX($AA$2:$AA$1001,MATCH(ROWS($V$2:V828),$V$2:$V$1001,0),0)))</f>
        <v>0</v>
      </c>
      <c r="B828" s="5">
        <f>IF(OR(INDEX($W$2:$W$1001,MATCH(ROWS($V$2:V828),$V$2:$V$1001,0),1)&gt;=100000,INDEX($AC$1005:$AS$1005,1,MATCH(COLUMNS($AC$1006:AC1006),$AC$1006:$AS$1006,0))&gt;=100000), " ",IF(INDEX($AC$2:$AS$1001,MATCH(ROWS($V$2:V828),$V$2:$V$1001,0),MATCH(COLUMNS($AC$1006:AC1006),$AC$1006:$AS$1006,0)), HYPERLINK("#",""), HYPERLINK(CONCATENATE("#Metadata!", ADDRESS(INDEX($X$2:$X$1001,MATCH(ROWS($V$2:V828),$V$2:$V$1001,0),0), INDEX($AC$1004:$AS$1004,1,MATCH(COLUMNS($AC$1006:AC1006),$AC$1006:$AS$1006,0)))),"Fix")))</f>
        <v>0</v>
      </c>
      <c r="C828" s="5">
        <f>IF(OR(INDEX($W$2:$W$1001,MATCH(ROWS($V$2:V828),$V$2:$V$1001,0),1)&gt;=100000,INDEX($AC$1005:$AS$1005,1,MATCH(COLUMNS($AC$1006:AD1006),$AC$1006:$AS$1006,0))&gt;=100000), " ",IF(INDEX($AC$2:$AS$1001,MATCH(ROWS($V$2:V828),$V$2:$V$1001,0),MATCH(COLUMNS($AC$1006:AD1006),$AC$1006:$AS$1006,0)), HYPERLINK("#",""), HYPERLINK(CONCATENATE("#Metadata!", ADDRESS(INDEX($X$2:$X$1001,MATCH(ROWS($V$2:V828),$V$2:$V$1001,0),0), INDEX($AC$1004:$AS$1004,1,MATCH(COLUMNS($AC$1006:AD1006),$AC$1006:$AS$1006,0)))),"Fix")))</f>
        <v>0</v>
      </c>
      <c r="D828" s="5">
        <f>IF(OR(INDEX($W$2:$W$1001,MATCH(ROWS($V$2:V828),$V$2:$V$1001,0),1)&gt;=100000,INDEX($AC$1005:$AS$1005,1,MATCH(COLUMNS($AC$1006:AE1006),$AC$1006:$AS$1006,0))&gt;=100000), " ",IF(INDEX($AC$2:$AS$1001,MATCH(ROWS($V$2:V828),$V$2:$V$1001,0),MATCH(COLUMNS($AC$1006:AE1006),$AC$1006:$AS$1006,0)), HYPERLINK("#",""), HYPERLINK(CONCATENATE("#Metadata!", ADDRESS(INDEX($X$2:$X$1001,MATCH(ROWS($V$2:V828),$V$2:$V$1001,0),0), INDEX($AC$1004:$AS$1004,1,MATCH(COLUMNS($AC$1006:AE1006),$AC$1006:$AS$1006,0)))),"Fix")))</f>
        <v>0</v>
      </c>
      <c r="E828" s="5">
        <f>IF(OR(INDEX($W$2:$W$1001,MATCH(ROWS($V$2:V828),$V$2:$V$1001,0),1)&gt;=100000,INDEX($AC$1005:$AS$1005,1,MATCH(COLUMNS($AC$1006:AF1006),$AC$1006:$AS$1006,0))&gt;=100000), " ",IF(INDEX($AC$2:$AS$1001,MATCH(ROWS($V$2:V828),$V$2:$V$1001,0),MATCH(COLUMNS($AC$1006:AF1006),$AC$1006:$AS$1006,0)), HYPERLINK("#",""), HYPERLINK(CONCATENATE("#Metadata!", ADDRESS(INDEX($X$2:$X$1001,MATCH(ROWS($V$2:V828),$V$2:$V$1001,0),0), INDEX($AC$1004:$AS$1004,1,MATCH(COLUMNS($AC$1006:AF1006),$AC$1006:$AS$1006,0)))),"Fix")))</f>
        <v>0</v>
      </c>
      <c r="F828" s="5">
        <f>IF(OR(INDEX($W$2:$W$1001,MATCH(ROWS($V$2:V828),$V$2:$V$1001,0),1)&gt;=100000,INDEX($AC$1005:$AS$1005,1,MATCH(COLUMNS($AC$1006:AG1006),$AC$1006:$AS$1006,0))&gt;=100000), " ",IF(INDEX($AC$2:$AS$1001,MATCH(ROWS($V$2:V828),$V$2:$V$1001,0),MATCH(COLUMNS($AC$1006:AG1006),$AC$1006:$AS$1006,0)), HYPERLINK("#",""), HYPERLINK(CONCATENATE("#Metadata!", ADDRESS(INDEX($X$2:$X$1001,MATCH(ROWS($V$2:V828),$V$2:$V$1001,0),0), INDEX($AC$1004:$AS$1004,1,MATCH(COLUMNS($AC$1006:AG1006),$AC$1006:$AS$1006,0)))),"Fix")))</f>
        <v>0</v>
      </c>
      <c r="G828" s="5">
        <f>IF(OR(INDEX($W$2:$W$1001,MATCH(ROWS($V$2:V828),$V$2:$V$1001,0),1)&gt;=100000,INDEX($AC$1005:$AS$1005,1,MATCH(COLUMNS($AC$1006:AH1006),$AC$1006:$AS$1006,0))&gt;=100000), " ",IF(INDEX($AC$2:$AS$1001,MATCH(ROWS($V$2:V828),$V$2:$V$1001,0),MATCH(COLUMNS($AC$1006:AH1006),$AC$1006:$AS$1006,0)), HYPERLINK("#",""), HYPERLINK(CONCATENATE("#Metadata!", ADDRESS(INDEX($X$2:$X$1001,MATCH(ROWS($V$2:V828),$V$2:$V$1001,0),0), INDEX($AC$1004:$AS$1004,1,MATCH(COLUMNS($AC$1006:AH1006),$AC$1006:$AS$1006,0)))),"Fix")))</f>
        <v>0</v>
      </c>
      <c r="H828" s="5">
        <f>IF(OR(INDEX($W$2:$W$1001,MATCH(ROWS($V$2:V828),$V$2:$V$1001,0),1)&gt;=100000,INDEX($AC$1005:$AS$1005,1,MATCH(COLUMNS($AC$1006:AI1006),$AC$1006:$AS$1006,0))&gt;=100000), " ",IF(INDEX($AC$2:$AS$1001,MATCH(ROWS($V$2:V828),$V$2:$V$1001,0),MATCH(COLUMNS($AC$1006:AI1006),$AC$1006:$AS$1006,0)), HYPERLINK("#",""), HYPERLINK(CONCATENATE("#Metadata!", ADDRESS(INDEX($X$2:$X$1001,MATCH(ROWS($V$2:V828),$V$2:$V$1001,0),0), INDEX($AC$1004:$AS$1004,1,MATCH(COLUMNS($AC$1006:AI1006),$AC$1006:$AS$1006,0)))),"Fix")))</f>
        <v>0</v>
      </c>
      <c r="I828" s="5">
        <f>IF(OR(INDEX($W$2:$W$1001,MATCH(ROWS($V$2:V828),$V$2:$V$1001,0),1)&gt;=100000,INDEX($AC$1005:$AS$1005,1,MATCH(COLUMNS($AC$1006:AJ1006),$AC$1006:$AS$1006,0))&gt;=100000), " ",IF(INDEX($AC$2:$AS$1001,MATCH(ROWS($V$2:V828),$V$2:$V$1001,0),MATCH(COLUMNS($AC$1006:AJ1006),$AC$1006:$AS$1006,0)), HYPERLINK("#",""), HYPERLINK(CONCATENATE("#Metadata!", ADDRESS(INDEX($X$2:$X$1001,MATCH(ROWS($V$2:V828),$V$2:$V$1001,0),0), INDEX($AC$1004:$AS$1004,1,MATCH(COLUMNS($AC$1006:AJ1006),$AC$1006:$AS$1006,0)))),"Fix")))</f>
        <v>0</v>
      </c>
      <c r="J828" s="5">
        <f>IF(OR(INDEX($W$2:$W$1001,MATCH(ROWS($V$2:V828),$V$2:$V$1001,0),1)&gt;=100000,INDEX($AC$1005:$AS$1005,1,MATCH(COLUMNS($AC$1006:AK1006),$AC$1006:$AS$1006,0))&gt;=100000), " ",IF(INDEX($AC$2:$AS$1001,MATCH(ROWS($V$2:V828),$V$2:$V$1001,0),MATCH(COLUMNS($AC$1006:AK1006),$AC$1006:$AS$1006,0)), HYPERLINK("#",""), HYPERLINK(CONCATENATE("#Metadata!", ADDRESS(INDEX($X$2:$X$1001,MATCH(ROWS($V$2:V828),$V$2:$V$1001,0),0), INDEX($AC$1004:$AS$1004,1,MATCH(COLUMNS($AC$1006:AK1006),$AC$1006:$AS$1006,0)))),"Fix")))</f>
        <v>0</v>
      </c>
      <c r="K828" s="5">
        <f>IF(OR(INDEX($W$2:$W$1001,MATCH(ROWS($V$2:V828),$V$2:$V$1001,0),1)&gt;=100000,INDEX($AC$1005:$AS$1005,1,MATCH(COLUMNS($AC$1006:AL1006),$AC$1006:$AS$1006,0))&gt;=100000), " ",IF(INDEX($AC$2:$AS$1001,MATCH(ROWS($V$2:V828),$V$2:$V$1001,0),MATCH(COLUMNS($AC$1006:AL1006),$AC$1006:$AS$1006,0)), HYPERLINK("#",""), HYPERLINK(CONCATENATE("#Metadata!", ADDRESS(INDEX($X$2:$X$1001,MATCH(ROWS($V$2:V828),$V$2:$V$1001,0),0), INDEX($AC$1004:$AS$1004,1,MATCH(COLUMNS($AC$1006:AL1006),$AC$1006:$AS$1006,0)))),"Fix")))</f>
        <v>0</v>
      </c>
      <c r="L828" s="5">
        <f>IF(OR(INDEX($W$2:$W$1001,MATCH(ROWS($V$2:V828),$V$2:$V$1001,0),1)&gt;=100000,INDEX($AC$1005:$AS$1005,1,MATCH(COLUMNS($AC$1006:AM1006),$AC$1006:$AS$1006,0))&gt;=100000), " ",IF(INDEX($AC$2:$AS$1001,MATCH(ROWS($V$2:V828),$V$2:$V$1001,0),MATCH(COLUMNS($AC$1006:AM1006),$AC$1006:$AS$1006,0)), HYPERLINK("#",""), HYPERLINK(CONCATENATE("#Metadata!", ADDRESS(INDEX($X$2:$X$1001,MATCH(ROWS($V$2:V828),$V$2:$V$1001,0),0), INDEX($AC$1004:$AS$1004,1,MATCH(COLUMNS($AC$1006:AM1006),$AC$1006:$AS$1006,0)))),"Fix")))</f>
        <v>0</v>
      </c>
      <c r="M828" s="5">
        <f>IF(OR(INDEX($W$2:$W$1001,MATCH(ROWS($V$2:V828),$V$2:$V$1001,0),1)&gt;=100000,INDEX($AC$1005:$AS$1005,1,MATCH(COLUMNS($AC$1006:AN1006),$AC$1006:$AS$1006,0))&gt;=100000), " ",IF(INDEX($AC$2:$AS$1001,MATCH(ROWS($V$2:V828),$V$2:$V$1001,0),MATCH(COLUMNS($AC$1006:AN1006),$AC$1006:$AS$1006,0)), HYPERLINK("#",""), HYPERLINK(CONCATENATE("#Metadata!", ADDRESS(INDEX($X$2:$X$1001,MATCH(ROWS($V$2:V828),$V$2:$V$1001,0),0), INDEX($AC$1004:$AS$1004,1,MATCH(COLUMNS($AC$1006:AN1006),$AC$1006:$AS$1006,0)))),"Fix")))</f>
        <v>0</v>
      </c>
      <c r="N828" s="5">
        <f>IF(OR(INDEX($W$2:$W$1001,MATCH(ROWS($V$2:V828),$V$2:$V$1001,0),1)&gt;=100000,INDEX($AC$1005:$AS$1005,1,MATCH(COLUMNS($AC$1006:AO1006),$AC$1006:$AS$1006,0))&gt;=100000), " ",IF(INDEX($AC$2:$AS$1001,MATCH(ROWS($V$2:V828),$V$2:$V$1001,0),MATCH(COLUMNS($AC$1006:AO1006),$AC$1006:$AS$1006,0)), HYPERLINK("#",""), HYPERLINK(CONCATENATE("#Metadata!", ADDRESS(INDEX($X$2:$X$1001,MATCH(ROWS($V$2:V828),$V$2:$V$1001,0),0), INDEX($AC$1004:$AS$1004,1,MATCH(COLUMNS($AC$1006:AO1006),$AC$1006:$AS$1006,0)))),"Fix")))</f>
        <v>0</v>
      </c>
      <c r="O828" s="5">
        <f>IF(OR(INDEX($W$2:$W$1001,MATCH(ROWS($V$2:V828),$V$2:$V$1001,0),1)&gt;=100000,INDEX($AC$1005:$AS$1005,1,MATCH(COLUMNS($AC$1006:AP1006),$AC$1006:$AS$1006,0))&gt;=100000), " ",IF(INDEX($AC$2:$AS$1001,MATCH(ROWS($V$2:V828),$V$2:$V$1001,0),MATCH(COLUMNS($AC$1006:AP1006),$AC$1006:$AS$1006,0)), HYPERLINK("#",""), HYPERLINK(CONCATENATE("#Metadata!", ADDRESS(INDEX($X$2:$X$1001,MATCH(ROWS($V$2:V828),$V$2:$V$1001,0),0), INDEX($AC$1004:$AS$1004,1,MATCH(COLUMNS($AC$1006:AP1006),$AC$1006:$AS$1006,0)))),"Fix")))</f>
        <v>0</v>
      </c>
      <c r="P828" s="5">
        <f>IF(OR(INDEX($W$2:$W$1001,MATCH(ROWS($V$2:V828),$V$2:$V$1001,0),1)&gt;=100000,INDEX($AC$1005:$AS$1005,1,MATCH(COLUMNS($AC$1006:AQ1006),$AC$1006:$AS$1006,0))&gt;=100000), " ",IF(INDEX($AC$2:$AS$1001,MATCH(ROWS($V$2:V828),$V$2:$V$1001,0),MATCH(COLUMNS($AC$1006:AQ1006),$AC$1006:$AS$1006,0)), HYPERLINK("#",""), HYPERLINK(CONCATENATE("#Metadata!", ADDRESS(INDEX($X$2:$X$1001,MATCH(ROWS($V$2:V828),$V$2:$V$1001,0),0), INDEX($AC$1004:$AS$1004,1,MATCH(COLUMNS($AC$1006:AQ1006),$AC$1006:$AS$1006,0)))),"Fix")))</f>
        <v>0</v>
      </c>
      <c r="Q828" s="5">
        <f>IF(OR(INDEX($W$2:$W$1001,MATCH(ROWS($V$2:V828),$V$2:$V$1001,0),1)&gt;=100000,INDEX($AC$1005:$AS$1005,1,MATCH(COLUMNS($AC$1006:AR1006),$AC$1006:$AS$1006,0))&gt;=100000), " ",IF(INDEX($AC$2:$AS$1001,MATCH(ROWS($V$2:V828),$V$2:$V$1001,0),MATCH(COLUMNS($AC$1006:AR1006),$AC$1006:$AS$1006,0)), HYPERLINK("#",""), HYPERLINK(CONCATENATE("#Metadata!", ADDRESS(INDEX($X$2:$X$1001,MATCH(ROWS($V$2:V828),$V$2:$V$1001,0),0), INDEX($AC$1004:$AS$1004,1,MATCH(COLUMNS($AC$1006:AR1006),$AC$1006:$AS$1006,0)))),"Fix")))</f>
        <v>0</v>
      </c>
      <c r="R828" s="5">
        <f>IF(OR(INDEX($W$2:$W$1001,MATCH(ROWS($V$2:V828),$V$2:$V$1001,0),1)&gt;=100000,INDEX($AC$1005:$AS$1005,1,MATCH(COLUMNS($AC$1006:AS1006),$AC$1006:$AS$1006,0))&gt;=100000), " ",IF(INDEX($AC$2:$AS$1001,MATCH(ROWS($V$2:V828),$V$2:$V$1001,0),MATCH(COLUMNS($AC$1006:AS1006),$AC$1006:$AS$1006,0)), HYPERLINK("#",""), HYPERLINK(CONCATENATE("#Metadata!", ADDRESS(INDEX($X$2:$X$1001,MATCH(ROWS($V$2:V828),$V$2:$V$1001,0),0), INDEX($AC$1004:$AS$1004,1,MATCH(COLUMNS($AC$1006:AS1006),$AC$1006:$AS$1006,0)))),"Fix")))</f>
        <v>0</v>
      </c>
      <c r="V828">
        <v>0</v>
      </c>
      <c r="W828">
        <v>0</v>
      </c>
      <c r="X828">
        <v>0</v>
      </c>
      <c r="Y828">
        <f>IF(Z828,TRUE,AND(AC828:AS828))</f>
        <v>0</v>
      </c>
      <c r="Z828">
        <f>COUNTBLANK(Metadata!B828:R828)=COLUMNS(Metadata!B828:R828)</f>
        <v>0</v>
      </c>
      <c r="AA828">
        <v>0</v>
      </c>
      <c r="AC828">
        <f>AND(IF(Metadata!B828="",FALSE,TRUE),COUNTIF(Metadata!B:B, Metadata!B828) = 1,NOT(ISERROR(SUMPRODUCT(SEARCH(MID(Metadata!B828,ROW(INDIRECT("1:"&amp;LEN(Metadata!B828))), 1),"0123456789abcdefghijklmnopqrstuvwxyzABCDEFGHIJKLMNOPQRSTUVWXYZ.")))))</f>
        <v>0</v>
      </c>
      <c r="AD828">
        <f>AND(IF(Metadata!C828="",FALSE,TRUE),exact(Metadata!C828,"Host-associated"))</f>
        <v>0</v>
      </c>
      <c r="AE828">
        <f>AND(IF(Metadata!D828="",FALSE,TRUE),OR(exact(Metadata!D828,"Animal"),exact(Metadata!D828,"Fungus"),exact(Metadata!D828,"Plant")))</f>
        <v>0</v>
      </c>
      <c r="AF828">
        <f>AND(IF(Metadata!E828="",FALSE,TRUE),OR(exact(Metadata!E828,"Plant secretion"),exact(Metadata!E828,"Plant rhizosphere"),exact(Metadata!E828,"Plant surface"),exact(Metadata!E828,"Plant corpus"),exact(Metadata!E828,"Fungus surface"),exact(Metadata!E828,"Fungus corpus"),exact(Metadata!E828,"Animal surface"),exact(Metadata!E828,"Animal proximal gut"),exact(Metadata!E828,"Animal corpus"),exact(Metadata!E828,"Animal distal gut"),exact(Metadata!E828,"Animal secretion")))</f>
        <v>0</v>
      </c>
      <c r="AG828">
        <f>OR(AND(IF(Metadata!F828="",FALSE,TRUE),OR(exact(Metadata!F828,"not collected"),exact(Metadata!F828,"not provided"),exact(Metadata!F828,"restricted access"))),AND(IF(Metadata!F828="",FALSE,TRUE),OR(exact(Metadata!F828,"organism-associated habitat"),exact(Metadata!F828,"plant-associated habitat"),exact(Metadata!F828,"animal-associated habitat"),exact(Metadata!F828,"insecta-associated habitat"),exact(Metadata!F828,"mammalia-associated habitat"),exact(Metadata!F828,"human-associated habitat"),exact(Metadata!F828,"livestock-associated habitat"))))</f>
        <v>0</v>
      </c>
      <c r="AH828">
        <f>AND(IF(Metadata!G828="",FALSE,TRUE),exact(Metadata!G828,"host-associated"))</f>
        <v>0</v>
      </c>
      <c r="AI828">
        <f>OR(AND(IF(Metadata!H828="",FALSE,TRUE),OR(exact(Metadata!H828,"not collected"),exact(Metadata!H828,"not provided"))),AND(IF(Metadata!H828="",FALSE,ISNUMBER(VALUE(Metadata!H828))),Metadata!H828&gt;0))</f>
        <v>0</v>
      </c>
      <c r="AJ828">
        <f>AND(IF(Metadata!I828="",FALSE,TRUE),exact(Metadata!I828,"years"))</f>
        <v>0</v>
      </c>
      <c r="AK828">
        <f>IF(Metadata!J828="",FALSE,TRUE)</f>
        <v>0</v>
      </c>
      <c r="AL828">
        <f>OR(AND(IF(Metadata!K828="",FALSE,TRUE),OR(exact(Metadata!K828,"not collected"),exact(Metadata!K828,"not provided"))),AND(IF(Metadata!K828="",FALSE,ISNUMBER(VALUE(Metadata!K828))),Metadata!K828&gt;0))</f>
        <v>0</v>
      </c>
      <c r="AM828">
        <f>AND(IF(Metadata!L828="",FALSE,TRUE),exact(Metadata!L828,"cm"))</f>
        <v>0</v>
      </c>
      <c r="AN828">
        <f>IF(Metadata!M828="",FALSE,TRUE)</f>
        <v>0</v>
      </c>
      <c r="AO828">
        <f>OR(AND(IF(Metadata!N828="",FALSE,TRUE),OR(exact(Metadata!N828,"not applicable"),exact(Metadata!N828,"not collected"),exact(Metadata!N828,"not provided"))),AND(IF(Metadata!N828="",FALSE,IF(ISERROR(INT(Metadata!N828)),FALSE,INT(Metadata!N828)=Metadata!N828)),Metadata!N828&gt;0))</f>
        <v>0</v>
      </c>
      <c r="AP828">
        <f>OR(AND(IF(Metadata!O828="",FALSE,TRUE),OR(exact(Metadata!O828,"not collected"),exact(Metadata!O828,"not provided"))),AND(IF(Metadata!O828="",FALSE,ISNUMBER(VALUE(Metadata!O828))),Metadata!O828&gt;0))</f>
        <v>0</v>
      </c>
      <c r="AQ828">
        <f>AND(IF(Metadata!P828="",FALSE,TRUE),exact(Metadata!P828,"kg"))</f>
        <v>0</v>
      </c>
      <c r="AR828">
        <f>OR(AND(IF(Metadata!Q828="",FALSE,TRUE),OR(exact(Metadata!Q828,"not applicable"),exact(Metadata!Q828,"not collected"),exact(Metadata!Q828,"not provided"),exact(Metadata!Q828,"restricted access"))),IF(Metadata!Q828="",FALSE,IF(ISERROR(INT(Metadata!Q828)),FALSE,INT(Metadata!Q828)=Metadata!Q828)))</f>
        <v>0</v>
      </c>
      <c r="AS828">
        <f>AND(IF(Metadata!R828="",FALSE,TRUE),exact(Metadata!R828,"Not applicable"))</f>
        <v>0</v>
      </c>
    </row>
    <row r="829" spans="1:45">
      <c r="A829" s="4">
        <f>IF(B829=" "," ",HYPERLINK(CONCATENATE("#metadata!",ADDRESS(INDEX($X$2:$X$1001,MATCH(ROWS($V$2:V829),$V$2:$V$1001,0),0),2)),INDEX($AA$2:$AA$1001,MATCH(ROWS($V$2:V829),$V$2:$V$1001,0),0)))</f>
        <v>0</v>
      </c>
      <c r="B829" s="5">
        <f>IF(OR(INDEX($W$2:$W$1001,MATCH(ROWS($V$2:V829),$V$2:$V$1001,0),1)&gt;=100000,INDEX($AC$1005:$AS$1005,1,MATCH(COLUMNS($AC$1006:AC1006),$AC$1006:$AS$1006,0))&gt;=100000), " ",IF(INDEX($AC$2:$AS$1001,MATCH(ROWS($V$2:V829),$V$2:$V$1001,0),MATCH(COLUMNS($AC$1006:AC1006),$AC$1006:$AS$1006,0)), HYPERLINK("#",""), HYPERLINK(CONCATENATE("#Metadata!", ADDRESS(INDEX($X$2:$X$1001,MATCH(ROWS($V$2:V829),$V$2:$V$1001,0),0), INDEX($AC$1004:$AS$1004,1,MATCH(COLUMNS($AC$1006:AC1006),$AC$1006:$AS$1006,0)))),"Fix")))</f>
        <v>0</v>
      </c>
      <c r="C829" s="5">
        <f>IF(OR(INDEX($W$2:$W$1001,MATCH(ROWS($V$2:V829),$V$2:$V$1001,0),1)&gt;=100000,INDEX($AC$1005:$AS$1005,1,MATCH(COLUMNS($AC$1006:AD1006),$AC$1006:$AS$1006,0))&gt;=100000), " ",IF(INDEX($AC$2:$AS$1001,MATCH(ROWS($V$2:V829),$V$2:$V$1001,0),MATCH(COLUMNS($AC$1006:AD1006),$AC$1006:$AS$1006,0)), HYPERLINK("#",""), HYPERLINK(CONCATENATE("#Metadata!", ADDRESS(INDEX($X$2:$X$1001,MATCH(ROWS($V$2:V829),$V$2:$V$1001,0),0), INDEX($AC$1004:$AS$1004,1,MATCH(COLUMNS($AC$1006:AD1006),$AC$1006:$AS$1006,0)))),"Fix")))</f>
        <v>0</v>
      </c>
      <c r="D829" s="5">
        <f>IF(OR(INDEX($W$2:$W$1001,MATCH(ROWS($V$2:V829),$V$2:$V$1001,0),1)&gt;=100000,INDEX($AC$1005:$AS$1005,1,MATCH(COLUMNS($AC$1006:AE1006),$AC$1006:$AS$1006,0))&gt;=100000), " ",IF(INDEX($AC$2:$AS$1001,MATCH(ROWS($V$2:V829),$V$2:$V$1001,0),MATCH(COLUMNS($AC$1006:AE1006),$AC$1006:$AS$1006,0)), HYPERLINK("#",""), HYPERLINK(CONCATENATE("#Metadata!", ADDRESS(INDEX($X$2:$X$1001,MATCH(ROWS($V$2:V829),$V$2:$V$1001,0),0), INDEX($AC$1004:$AS$1004,1,MATCH(COLUMNS($AC$1006:AE1006),$AC$1006:$AS$1006,0)))),"Fix")))</f>
        <v>0</v>
      </c>
      <c r="E829" s="5">
        <f>IF(OR(INDEX($W$2:$W$1001,MATCH(ROWS($V$2:V829),$V$2:$V$1001,0),1)&gt;=100000,INDEX($AC$1005:$AS$1005,1,MATCH(COLUMNS($AC$1006:AF1006),$AC$1006:$AS$1006,0))&gt;=100000), " ",IF(INDEX($AC$2:$AS$1001,MATCH(ROWS($V$2:V829),$V$2:$V$1001,0),MATCH(COLUMNS($AC$1006:AF1006),$AC$1006:$AS$1006,0)), HYPERLINK("#",""), HYPERLINK(CONCATENATE("#Metadata!", ADDRESS(INDEX($X$2:$X$1001,MATCH(ROWS($V$2:V829),$V$2:$V$1001,0),0), INDEX($AC$1004:$AS$1004,1,MATCH(COLUMNS($AC$1006:AF1006),$AC$1006:$AS$1006,0)))),"Fix")))</f>
        <v>0</v>
      </c>
      <c r="F829" s="5">
        <f>IF(OR(INDEX($W$2:$W$1001,MATCH(ROWS($V$2:V829),$V$2:$V$1001,0),1)&gt;=100000,INDEX($AC$1005:$AS$1005,1,MATCH(COLUMNS($AC$1006:AG1006),$AC$1006:$AS$1006,0))&gt;=100000), " ",IF(INDEX($AC$2:$AS$1001,MATCH(ROWS($V$2:V829),$V$2:$V$1001,0),MATCH(COLUMNS($AC$1006:AG1006),$AC$1006:$AS$1006,0)), HYPERLINK("#",""), HYPERLINK(CONCATENATE("#Metadata!", ADDRESS(INDEX($X$2:$X$1001,MATCH(ROWS($V$2:V829),$V$2:$V$1001,0),0), INDEX($AC$1004:$AS$1004,1,MATCH(COLUMNS($AC$1006:AG1006),$AC$1006:$AS$1006,0)))),"Fix")))</f>
        <v>0</v>
      </c>
      <c r="G829" s="5">
        <f>IF(OR(INDEX($W$2:$W$1001,MATCH(ROWS($V$2:V829),$V$2:$V$1001,0),1)&gt;=100000,INDEX($AC$1005:$AS$1005,1,MATCH(COLUMNS($AC$1006:AH1006),$AC$1006:$AS$1006,0))&gt;=100000), " ",IF(INDEX($AC$2:$AS$1001,MATCH(ROWS($V$2:V829),$V$2:$V$1001,0),MATCH(COLUMNS($AC$1006:AH1006),$AC$1006:$AS$1006,0)), HYPERLINK("#",""), HYPERLINK(CONCATENATE("#Metadata!", ADDRESS(INDEX($X$2:$X$1001,MATCH(ROWS($V$2:V829),$V$2:$V$1001,0),0), INDEX($AC$1004:$AS$1004,1,MATCH(COLUMNS($AC$1006:AH1006),$AC$1006:$AS$1006,0)))),"Fix")))</f>
        <v>0</v>
      </c>
      <c r="H829" s="5">
        <f>IF(OR(INDEX($W$2:$W$1001,MATCH(ROWS($V$2:V829),$V$2:$V$1001,0),1)&gt;=100000,INDEX($AC$1005:$AS$1005,1,MATCH(COLUMNS($AC$1006:AI1006),$AC$1006:$AS$1006,0))&gt;=100000), " ",IF(INDEX($AC$2:$AS$1001,MATCH(ROWS($V$2:V829),$V$2:$V$1001,0),MATCH(COLUMNS($AC$1006:AI1006),$AC$1006:$AS$1006,0)), HYPERLINK("#",""), HYPERLINK(CONCATENATE("#Metadata!", ADDRESS(INDEX($X$2:$X$1001,MATCH(ROWS($V$2:V829),$V$2:$V$1001,0),0), INDEX($AC$1004:$AS$1004,1,MATCH(COLUMNS($AC$1006:AI1006),$AC$1006:$AS$1006,0)))),"Fix")))</f>
        <v>0</v>
      </c>
      <c r="I829" s="5">
        <f>IF(OR(INDEX($W$2:$W$1001,MATCH(ROWS($V$2:V829),$V$2:$V$1001,0),1)&gt;=100000,INDEX($AC$1005:$AS$1005,1,MATCH(COLUMNS($AC$1006:AJ1006),$AC$1006:$AS$1006,0))&gt;=100000), " ",IF(INDEX($AC$2:$AS$1001,MATCH(ROWS($V$2:V829),$V$2:$V$1001,0),MATCH(COLUMNS($AC$1006:AJ1006),$AC$1006:$AS$1006,0)), HYPERLINK("#",""), HYPERLINK(CONCATENATE("#Metadata!", ADDRESS(INDEX($X$2:$X$1001,MATCH(ROWS($V$2:V829),$V$2:$V$1001,0),0), INDEX($AC$1004:$AS$1004,1,MATCH(COLUMNS($AC$1006:AJ1006),$AC$1006:$AS$1006,0)))),"Fix")))</f>
        <v>0</v>
      </c>
      <c r="J829" s="5">
        <f>IF(OR(INDEX($W$2:$W$1001,MATCH(ROWS($V$2:V829),$V$2:$V$1001,0),1)&gt;=100000,INDEX($AC$1005:$AS$1005,1,MATCH(COLUMNS($AC$1006:AK1006),$AC$1006:$AS$1006,0))&gt;=100000), " ",IF(INDEX($AC$2:$AS$1001,MATCH(ROWS($V$2:V829),$V$2:$V$1001,0),MATCH(COLUMNS($AC$1006:AK1006),$AC$1006:$AS$1006,0)), HYPERLINK("#",""), HYPERLINK(CONCATENATE("#Metadata!", ADDRESS(INDEX($X$2:$X$1001,MATCH(ROWS($V$2:V829),$V$2:$V$1001,0),0), INDEX($AC$1004:$AS$1004,1,MATCH(COLUMNS($AC$1006:AK1006),$AC$1006:$AS$1006,0)))),"Fix")))</f>
        <v>0</v>
      </c>
      <c r="K829" s="5">
        <f>IF(OR(INDEX($W$2:$W$1001,MATCH(ROWS($V$2:V829),$V$2:$V$1001,0),1)&gt;=100000,INDEX($AC$1005:$AS$1005,1,MATCH(COLUMNS($AC$1006:AL1006),$AC$1006:$AS$1006,0))&gt;=100000), " ",IF(INDEX($AC$2:$AS$1001,MATCH(ROWS($V$2:V829),$V$2:$V$1001,0),MATCH(COLUMNS($AC$1006:AL1006),$AC$1006:$AS$1006,0)), HYPERLINK("#",""), HYPERLINK(CONCATENATE("#Metadata!", ADDRESS(INDEX($X$2:$X$1001,MATCH(ROWS($V$2:V829),$V$2:$V$1001,0),0), INDEX($AC$1004:$AS$1004,1,MATCH(COLUMNS($AC$1006:AL1006),$AC$1006:$AS$1006,0)))),"Fix")))</f>
        <v>0</v>
      </c>
      <c r="L829" s="5">
        <f>IF(OR(INDEX($W$2:$W$1001,MATCH(ROWS($V$2:V829),$V$2:$V$1001,0),1)&gt;=100000,INDEX($AC$1005:$AS$1005,1,MATCH(COLUMNS($AC$1006:AM1006),$AC$1006:$AS$1006,0))&gt;=100000), " ",IF(INDEX($AC$2:$AS$1001,MATCH(ROWS($V$2:V829),$V$2:$V$1001,0),MATCH(COLUMNS($AC$1006:AM1006),$AC$1006:$AS$1006,0)), HYPERLINK("#",""), HYPERLINK(CONCATENATE("#Metadata!", ADDRESS(INDEX($X$2:$X$1001,MATCH(ROWS($V$2:V829),$V$2:$V$1001,0),0), INDEX($AC$1004:$AS$1004,1,MATCH(COLUMNS($AC$1006:AM1006),$AC$1006:$AS$1006,0)))),"Fix")))</f>
        <v>0</v>
      </c>
      <c r="M829" s="5">
        <f>IF(OR(INDEX($W$2:$W$1001,MATCH(ROWS($V$2:V829),$V$2:$V$1001,0),1)&gt;=100000,INDEX($AC$1005:$AS$1005,1,MATCH(COLUMNS($AC$1006:AN1006),$AC$1006:$AS$1006,0))&gt;=100000), " ",IF(INDEX($AC$2:$AS$1001,MATCH(ROWS($V$2:V829),$V$2:$V$1001,0),MATCH(COLUMNS($AC$1006:AN1006),$AC$1006:$AS$1006,0)), HYPERLINK("#",""), HYPERLINK(CONCATENATE("#Metadata!", ADDRESS(INDEX($X$2:$X$1001,MATCH(ROWS($V$2:V829),$V$2:$V$1001,0),0), INDEX($AC$1004:$AS$1004,1,MATCH(COLUMNS($AC$1006:AN1006),$AC$1006:$AS$1006,0)))),"Fix")))</f>
        <v>0</v>
      </c>
      <c r="N829" s="5">
        <f>IF(OR(INDEX($W$2:$W$1001,MATCH(ROWS($V$2:V829),$V$2:$V$1001,0),1)&gt;=100000,INDEX($AC$1005:$AS$1005,1,MATCH(COLUMNS($AC$1006:AO1006),$AC$1006:$AS$1006,0))&gt;=100000), " ",IF(INDEX($AC$2:$AS$1001,MATCH(ROWS($V$2:V829),$V$2:$V$1001,0),MATCH(COLUMNS($AC$1006:AO1006),$AC$1006:$AS$1006,0)), HYPERLINK("#",""), HYPERLINK(CONCATENATE("#Metadata!", ADDRESS(INDEX($X$2:$X$1001,MATCH(ROWS($V$2:V829),$V$2:$V$1001,0),0), INDEX($AC$1004:$AS$1004,1,MATCH(COLUMNS($AC$1006:AO1006),$AC$1006:$AS$1006,0)))),"Fix")))</f>
        <v>0</v>
      </c>
      <c r="O829" s="5">
        <f>IF(OR(INDEX($W$2:$W$1001,MATCH(ROWS($V$2:V829),$V$2:$V$1001,0),1)&gt;=100000,INDEX($AC$1005:$AS$1005,1,MATCH(COLUMNS($AC$1006:AP1006),$AC$1006:$AS$1006,0))&gt;=100000), " ",IF(INDEX($AC$2:$AS$1001,MATCH(ROWS($V$2:V829),$V$2:$V$1001,0),MATCH(COLUMNS($AC$1006:AP1006),$AC$1006:$AS$1006,0)), HYPERLINK("#",""), HYPERLINK(CONCATENATE("#Metadata!", ADDRESS(INDEX($X$2:$X$1001,MATCH(ROWS($V$2:V829),$V$2:$V$1001,0),0), INDEX($AC$1004:$AS$1004,1,MATCH(COLUMNS($AC$1006:AP1006),$AC$1006:$AS$1006,0)))),"Fix")))</f>
        <v>0</v>
      </c>
      <c r="P829" s="5">
        <f>IF(OR(INDEX($W$2:$W$1001,MATCH(ROWS($V$2:V829),$V$2:$V$1001,0),1)&gt;=100000,INDEX($AC$1005:$AS$1005,1,MATCH(COLUMNS($AC$1006:AQ1006),$AC$1006:$AS$1006,0))&gt;=100000), " ",IF(INDEX($AC$2:$AS$1001,MATCH(ROWS($V$2:V829),$V$2:$V$1001,0),MATCH(COLUMNS($AC$1006:AQ1006),$AC$1006:$AS$1006,0)), HYPERLINK("#",""), HYPERLINK(CONCATENATE("#Metadata!", ADDRESS(INDEX($X$2:$X$1001,MATCH(ROWS($V$2:V829),$V$2:$V$1001,0),0), INDEX($AC$1004:$AS$1004,1,MATCH(COLUMNS($AC$1006:AQ1006),$AC$1006:$AS$1006,0)))),"Fix")))</f>
        <v>0</v>
      </c>
      <c r="Q829" s="5">
        <f>IF(OR(INDEX($W$2:$W$1001,MATCH(ROWS($V$2:V829),$V$2:$V$1001,0),1)&gt;=100000,INDEX($AC$1005:$AS$1005,1,MATCH(COLUMNS($AC$1006:AR1006),$AC$1006:$AS$1006,0))&gt;=100000), " ",IF(INDEX($AC$2:$AS$1001,MATCH(ROWS($V$2:V829),$V$2:$V$1001,0),MATCH(COLUMNS($AC$1006:AR1006),$AC$1006:$AS$1006,0)), HYPERLINK("#",""), HYPERLINK(CONCATENATE("#Metadata!", ADDRESS(INDEX($X$2:$X$1001,MATCH(ROWS($V$2:V829),$V$2:$V$1001,0),0), INDEX($AC$1004:$AS$1004,1,MATCH(COLUMNS($AC$1006:AR1006),$AC$1006:$AS$1006,0)))),"Fix")))</f>
        <v>0</v>
      </c>
      <c r="R829" s="5">
        <f>IF(OR(INDEX($W$2:$W$1001,MATCH(ROWS($V$2:V829),$V$2:$V$1001,0),1)&gt;=100000,INDEX($AC$1005:$AS$1005,1,MATCH(COLUMNS($AC$1006:AS1006),$AC$1006:$AS$1006,0))&gt;=100000), " ",IF(INDEX($AC$2:$AS$1001,MATCH(ROWS($V$2:V829),$V$2:$V$1001,0),MATCH(COLUMNS($AC$1006:AS1006),$AC$1006:$AS$1006,0)), HYPERLINK("#",""), HYPERLINK(CONCATENATE("#Metadata!", ADDRESS(INDEX($X$2:$X$1001,MATCH(ROWS($V$2:V829),$V$2:$V$1001,0),0), INDEX($AC$1004:$AS$1004,1,MATCH(COLUMNS($AC$1006:AS1006),$AC$1006:$AS$1006,0)))),"Fix")))</f>
        <v>0</v>
      </c>
      <c r="V829">
        <v>0</v>
      </c>
      <c r="W829">
        <v>0</v>
      </c>
      <c r="X829">
        <v>0</v>
      </c>
      <c r="Y829">
        <f>IF(Z829,TRUE,AND(AC829:AS829))</f>
        <v>0</v>
      </c>
      <c r="Z829">
        <f>COUNTBLANK(Metadata!B829:R829)=COLUMNS(Metadata!B829:R829)</f>
        <v>0</v>
      </c>
      <c r="AA829">
        <v>0</v>
      </c>
      <c r="AC829">
        <f>AND(IF(Metadata!B829="",FALSE,TRUE),COUNTIF(Metadata!B:B, Metadata!B829) = 1,NOT(ISERROR(SUMPRODUCT(SEARCH(MID(Metadata!B829,ROW(INDIRECT("1:"&amp;LEN(Metadata!B829))), 1),"0123456789abcdefghijklmnopqrstuvwxyzABCDEFGHIJKLMNOPQRSTUVWXYZ.")))))</f>
        <v>0</v>
      </c>
      <c r="AD829">
        <f>AND(IF(Metadata!C829="",FALSE,TRUE),exact(Metadata!C829,"Host-associated"))</f>
        <v>0</v>
      </c>
      <c r="AE829">
        <f>AND(IF(Metadata!D829="",FALSE,TRUE),OR(exact(Metadata!D829,"Animal"),exact(Metadata!D829,"Fungus"),exact(Metadata!D829,"Plant")))</f>
        <v>0</v>
      </c>
      <c r="AF829">
        <f>AND(IF(Metadata!E829="",FALSE,TRUE),OR(exact(Metadata!E829,"Plant secretion"),exact(Metadata!E829,"Plant rhizosphere"),exact(Metadata!E829,"Plant surface"),exact(Metadata!E829,"Plant corpus"),exact(Metadata!E829,"Fungus surface"),exact(Metadata!E829,"Fungus corpus"),exact(Metadata!E829,"Animal surface"),exact(Metadata!E829,"Animal proximal gut"),exact(Metadata!E829,"Animal corpus"),exact(Metadata!E829,"Animal distal gut"),exact(Metadata!E829,"Animal secretion")))</f>
        <v>0</v>
      </c>
      <c r="AG829">
        <f>OR(AND(IF(Metadata!F829="",FALSE,TRUE),OR(exact(Metadata!F829,"not collected"),exact(Metadata!F829,"not provided"),exact(Metadata!F829,"restricted access"))),AND(IF(Metadata!F829="",FALSE,TRUE),OR(exact(Metadata!F829,"organism-associated habitat"),exact(Metadata!F829,"plant-associated habitat"),exact(Metadata!F829,"animal-associated habitat"),exact(Metadata!F829,"insecta-associated habitat"),exact(Metadata!F829,"mammalia-associated habitat"),exact(Metadata!F829,"human-associated habitat"),exact(Metadata!F829,"livestock-associated habitat"))))</f>
        <v>0</v>
      </c>
      <c r="AH829">
        <f>AND(IF(Metadata!G829="",FALSE,TRUE),exact(Metadata!G829,"host-associated"))</f>
        <v>0</v>
      </c>
      <c r="AI829">
        <f>OR(AND(IF(Metadata!H829="",FALSE,TRUE),OR(exact(Metadata!H829,"not collected"),exact(Metadata!H829,"not provided"))),AND(IF(Metadata!H829="",FALSE,ISNUMBER(VALUE(Metadata!H829))),Metadata!H829&gt;0))</f>
        <v>0</v>
      </c>
      <c r="AJ829">
        <f>AND(IF(Metadata!I829="",FALSE,TRUE),exact(Metadata!I829,"years"))</f>
        <v>0</v>
      </c>
      <c r="AK829">
        <f>IF(Metadata!J829="",FALSE,TRUE)</f>
        <v>0</v>
      </c>
      <c r="AL829">
        <f>OR(AND(IF(Metadata!K829="",FALSE,TRUE),OR(exact(Metadata!K829,"not collected"),exact(Metadata!K829,"not provided"))),AND(IF(Metadata!K829="",FALSE,ISNUMBER(VALUE(Metadata!K829))),Metadata!K829&gt;0))</f>
        <v>0</v>
      </c>
      <c r="AM829">
        <f>AND(IF(Metadata!L829="",FALSE,TRUE),exact(Metadata!L829,"cm"))</f>
        <v>0</v>
      </c>
      <c r="AN829">
        <f>IF(Metadata!M829="",FALSE,TRUE)</f>
        <v>0</v>
      </c>
      <c r="AO829">
        <f>OR(AND(IF(Metadata!N829="",FALSE,TRUE),OR(exact(Metadata!N829,"not applicable"),exact(Metadata!N829,"not collected"),exact(Metadata!N829,"not provided"))),AND(IF(Metadata!N829="",FALSE,IF(ISERROR(INT(Metadata!N829)),FALSE,INT(Metadata!N829)=Metadata!N829)),Metadata!N829&gt;0))</f>
        <v>0</v>
      </c>
      <c r="AP829">
        <f>OR(AND(IF(Metadata!O829="",FALSE,TRUE),OR(exact(Metadata!O829,"not collected"),exact(Metadata!O829,"not provided"))),AND(IF(Metadata!O829="",FALSE,ISNUMBER(VALUE(Metadata!O829))),Metadata!O829&gt;0))</f>
        <v>0</v>
      </c>
      <c r="AQ829">
        <f>AND(IF(Metadata!P829="",FALSE,TRUE),exact(Metadata!P829,"kg"))</f>
        <v>0</v>
      </c>
      <c r="AR829">
        <f>OR(AND(IF(Metadata!Q829="",FALSE,TRUE),OR(exact(Metadata!Q829,"not applicable"),exact(Metadata!Q829,"not collected"),exact(Metadata!Q829,"not provided"),exact(Metadata!Q829,"restricted access"))),IF(Metadata!Q829="",FALSE,IF(ISERROR(INT(Metadata!Q829)),FALSE,INT(Metadata!Q829)=Metadata!Q829)))</f>
        <v>0</v>
      </c>
      <c r="AS829">
        <f>AND(IF(Metadata!R829="",FALSE,TRUE),exact(Metadata!R829,"Not applicable"))</f>
        <v>0</v>
      </c>
    </row>
    <row r="830" spans="1:45">
      <c r="A830" s="4">
        <f>IF(B830=" "," ",HYPERLINK(CONCATENATE("#metadata!",ADDRESS(INDEX($X$2:$X$1001,MATCH(ROWS($V$2:V830),$V$2:$V$1001,0),0),2)),INDEX($AA$2:$AA$1001,MATCH(ROWS($V$2:V830),$V$2:$V$1001,0),0)))</f>
        <v>0</v>
      </c>
      <c r="B830" s="5">
        <f>IF(OR(INDEX($W$2:$W$1001,MATCH(ROWS($V$2:V830),$V$2:$V$1001,0),1)&gt;=100000,INDEX($AC$1005:$AS$1005,1,MATCH(COLUMNS($AC$1006:AC1006),$AC$1006:$AS$1006,0))&gt;=100000), " ",IF(INDEX($AC$2:$AS$1001,MATCH(ROWS($V$2:V830),$V$2:$V$1001,0),MATCH(COLUMNS($AC$1006:AC1006),$AC$1006:$AS$1006,0)), HYPERLINK("#",""), HYPERLINK(CONCATENATE("#Metadata!", ADDRESS(INDEX($X$2:$X$1001,MATCH(ROWS($V$2:V830),$V$2:$V$1001,0),0), INDEX($AC$1004:$AS$1004,1,MATCH(COLUMNS($AC$1006:AC1006),$AC$1006:$AS$1006,0)))),"Fix")))</f>
        <v>0</v>
      </c>
      <c r="C830" s="5">
        <f>IF(OR(INDEX($W$2:$W$1001,MATCH(ROWS($V$2:V830),$V$2:$V$1001,0),1)&gt;=100000,INDEX($AC$1005:$AS$1005,1,MATCH(COLUMNS($AC$1006:AD1006),$AC$1006:$AS$1006,0))&gt;=100000), " ",IF(INDEX($AC$2:$AS$1001,MATCH(ROWS($V$2:V830),$V$2:$V$1001,0),MATCH(COLUMNS($AC$1006:AD1006),$AC$1006:$AS$1006,0)), HYPERLINK("#",""), HYPERLINK(CONCATENATE("#Metadata!", ADDRESS(INDEX($X$2:$X$1001,MATCH(ROWS($V$2:V830),$V$2:$V$1001,0),0), INDEX($AC$1004:$AS$1004,1,MATCH(COLUMNS($AC$1006:AD1006),$AC$1006:$AS$1006,0)))),"Fix")))</f>
        <v>0</v>
      </c>
      <c r="D830" s="5">
        <f>IF(OR(INDEX($W$2:$W$1001,MATCH(ROWS($V$2:V830),$V$2:$V$1001,0),1)&gt;=100000,INDEX($AC$1005:$AS$1005,1,MATCH(COLUMNS($AC$1006:AE1006),$AC$1006:$AS$1006,0))&gt;=100000), " ",IF(INDEX($AC$2:$AS$1001,MATCH(ROWS($V$2:V830),$V$2:$V$1001,0),MATCH(COLUMNS($AC$1006:AE1006),$AC$1006:$AS$1006,0)), HYPERLINK("#",""), HYPERLINK(CONCATENATE("#Metadata!", ADDRESS(INDEX($X$2:$X$1001,MATCH(ROWS($V$2:V830),$V$2:$V$1001,0),0), INDEX($AC$1004:$AS$1004,1,MATCH(COLUMNS($AC$1006:AE1006),$AC$1006:$AS$1006,0)))),"Fix")))</f>
        <v>0</v>
      </c>
      <c r="E830" s="5">
        <f>IF(OR(INDEX($W$2:$W$1001,MATCH(ROWS($V$2:V830),$V$2:$V$1001,0),1)&gt;=100000,INDEX($AC$1005:$AS$1005,1,MATCH(COLUMNS($AC$1006:AF1006),$AC$1006:$AS$1006,0))&gt;=100000), " ",IF(INDEX($AC$2:$AS$1001,MATCH(ROWS($V$2:V830),$V$2:$V$1001,0),MATCH(COLUMNS($AC$1006:AF1006),$AC$1006:$AS$1006,0)), HYPERLINK("#",""), HYPERLINK(CONCATENATE("#Metadata!", ADDRESS(INDEX($X$2:$X$1001,MATCH(ROWS($V$2:V830),$V$2:$V$1001,0),0), INDEX($AC$1004:$AS$1004,1,MATCH(COLUMNS($AC$1006:AF1006),$AC$1006:$AS$1006,0)))),"Fix")))</f>
        <v>0</v>
      </c>
      <c r="F830" s="5">
        <f>IF(OR(INDEX($W$2:$W$1001,MATCH(ROWS($V$2:V830),$V$2:$V$1001,0),1)&gt;=100000,INDEX($AC$1005:$AS$1005,1,MATCH(COLUMNS($AC$1006:AG1006),$AC$1006:$AS$1006,0))&gt;=100000), " ",IF(INDEX($AC$2:$AS$1001,MATCH(ROWS($V$2:V830),$V$2:$V$1001,0),MATCH(COLUMNS($AC$1006:AG1006),$AC$1006:$AS$1006,0)), HYPERLINK("#",""), HYPERLINK(CONCATENATE("#Metadata!", ADDRESS(INDEX($X$2:$X$1001,MATCH(ROWS($V$2:V830),$V$2:$V$1001,0),0), INDEX($AC$1004:$AS$1004,1,MATCH(COLUMNS($AC$1006:AG1006),$AC$1006:$AS$1006,0)))),"Fix")))</f>
        <v>0</v>
      </c>
      <c r="G830" s="5">
        <f>IF(OR(INDEX($W$2:$W$1001,MATCH(ROWS($V$2:V830),$V$2:$V$1001,0),1)&gt;=100000,INDEX($AC$1005:$AS$1005,1,MATCH(COLUMNS($AC$1006:AH1006),$AC$1006:$AS$1006,0))&gt;=100000), " ",IF(INDEX($AC$2:$AS$1001,MATCH(ROWS($V$2:V830),$V$2:$V$1001,0),MATCH(COLUMNS($AC$1006:AH1006),$AC$1006:$AS$1006,0)), HYPERLINK("#",""), HYPERLINK(CONCATENATE("#Metadata!", ADDRESS(INDEX($X$2:$X$1001,MATCH(ROWS($V$2:V830),$V$2:$V$1001,0),0), INDEX($AC$1004:$AS$1004,1,MATCH(COLUMNS($AC$1006:AH1006),$AC$1006:$AS$1006,0)))),"Fix")))</f>
        <v>0</v>
      </c>
      <c r="H830" s="5">
        <f>IF(OR(INDEX($W$2:$W$1001,MATCH(ROWS($V$2:V830),$V$2:$V$1001,0),1)&gt;=100000,INDEX($AC$1005:$AS$1005,1,MATCH(COLUMNS($AC$1006:AI1006),$AC$1006:$AS$1006,0))&gt;=100000), " ",IF(INDEX($AC$2:$AS$1001,MATCH(ROWS($V$2:V830),$V$2:$V$1001,0),MATCH(COLUMNS($AC$1006:AI1006),$AC$1006:$AS$1006,0)), HYPERLINK("#",""), HYPERLINK(CONCATENATE("#Metadata!", ADDRESS(INDEX($X$2:$X$1001,MATCH(ROWS($V$2:V830),$V$2:$V$1001,0),0), INDEX($AC$1004:$AS$1004,1,MATCH(COLUMNS($AC$1006:AI1006),$AC$1006:$AS$1006,0)))),"Fix")))</f>
        <v>0</v>
      </c>
      <c r="I830" s="5">
        <f>IF(OR(INDEX($W$2:$W$1001,MATCH(ROWS($V$2:V830),$V$2:$V$1001,0),1)&gt;=100000,INDEX($AC$1005:$AS$1005,1,MATCH(COLUMNS($AC$1006:AJ1006),$AC$1006:$AS$1006,0))&gt;=100000), " ",IF(INDEX($AC$2:$AS$1001,MATCH(ROWS($V$2:V830),$V$2:$V$1001,0),MATCH(COLUMNS($AC$1006:AJ1006),$AC$1006:$AS$1006,0)), HYPERLINK("#",""), HYPERLINK(CONCATENATE("#Metadata!", ADDRESS(INDEX($X$2:$X$1001,MATCH(ROWS($V$2:V830),$V$2:$V$1001,0),0), INDEX($AC$1004:$AS$1004,1,MATCH(COLUMNS($AC$1006:AJ1006),$AC$1006:$AS$1006,0)))),"Fix")))</f>
        <v>0</v>
      </c>
      <c r="J830" s="5">
        <f>IF(OR(INDEX($W$2:$W$1001,MATCH(ROWS($V$2:V830),$V$2:$V$1001,0),1)&gt;=100000,INDEX($AC$1005:$AS$1005,1,MATCH(COLUMNS($AC$1006:AK1006),$AC$1006:$AS$1006,0))&gt;=100000), " ",IF(INDEX($AC$2:$AS$1001,MATCH(ROWS($V$2:V830),$V$2:$V$1001,0),MATCH(COLUMNS($AC$1006:AK1006),$AC$1006:$AS$1006,0)), HYPERLINK("#",""), HYPERLINK(CONCATENATE("#Metadata!", ADDRESS(INDEX($X$2:$X$1001,MATCH(ROWS($V$2:V830),$V$2:$V$1001,0),0), INDEX($AC$1004:$AS$1004,1,MATCH(COLUMNS($AC$1006:AK1006),$AC$1006:$AS$1006,0)))),"Fix")))</f>
        <v>0</v>
      </c>
      <c r="K830" s="5">
        <f>IF(OR(INDEX($W$2:$W$1001,MATCH(ROWS($V$2:V830),$V$2:$V$1001,0),1)&gt;=100000,INDEX($AC$1005:$AS$1005,1,MATCH(COLUMNS($AC$1006:AL1006),$AC$1006:$AS$1006,0))&gt;=100000), " ",IF(INDEX($AC$2:$AS$1001,MATCH(ROWS($V$2:V830),$V$2:$V$1001,0),MATCH(COLUMNS($AC$1006:AL1006),$AC$1006:$AS$1006,0)), HYPERLINK("#",""), HYPERLINK(CONCATENATE("#Metadata!", ADDRESS(INDEX($X$2:$X$1001,MATCH(ROWS($V$2:V830),$V$2:$V$1001,0),0), INDEX($AC$1004:$AS$1004,1,MATCH(COLUMNS($AC$1006:AL1006),$AC$1006:$AS$1006,0)))),"Fix")))</f>
        <v>0</v>
      </c>
      <c r="L830" s="5">
        <f>IF(OR(INDEX($W$2:$W$1001,MATCH(ROWS($V$2:V830),$V$2:$V$1001,0),1)&gt;=100000,INDEX($AC$1005:$AS$1005,1,MATCH(COLUMNS($AC$1006:AM1006),$AC$1006:$AS$1006,0))&gt;=100000), " ",IF(INDEX($AC$2:$AS$1001,MATCH(ROWS($V$2:V830),$V$2:$V$1001,0),MATCH(COLUMNS($AC$1006:AM1006),$AC$1006:$AS$1006,0)), HYPERLINK("#",""), HYPERLINK(CONCATENATE("#Metadata!", ADDRESS(INDEX($X$2:$X$1001,MATCH(ROWS($V$2:V830),$V$2:$V$1001,0),0), INDEX($AC$1004:$AS$1004,1,MATCH(COLUMNS($AC$1006:AM1006),$AC$1006:$AS$1006,0)))),"Fix")))</f>
        <v>0</v>
      </c>
      <c r="M830" s="5">
        <f>IF(OR(INDEX($W$2:$W$1001,MATCH(ROWS($V$2:V830),$V$2:$V$1001,0),1)&gt;=100000,INDEX($AC$1005:$AS$1005,1,MATCH(COLUMNS($AC$1006:AN1006),$AC$1006:$AS$1006,0))&gt;=100000), " ",IF(INDEX($AC$2:$AS$1001,MATCH(ROWS($V$2:V830),$V$2:$V$1001,0),MATCH(COLUMNS($AC$1006:AN1006),$AC$1006:$AS$1006,0)), HYPERLINK("#",""), HYPERLINK(CONCATENATE("#Metadata!", ADDRESS(INDEX($X$2:$X$1001,MATCH(ROWS($V$2:V830),$V$2:$V$1001,0),0), INDEX($AC$1004:$AS$1004,1,MATCH(COLUMNS($AC$1006:AN1006),$AC$1006:$AS$1006,0)))),"Fix")))</f>
        <v>0</v>
      </c>
      <c r="N830" s="5">
        <f>IF(OR(INDEX($W$2:$W$1001,MATCH(ROWS($V$2:V830),$V$2:$V$1001,0),1)&gt;=100000,INDEX($AC$1005:$AS$1005,1,MATCH(COLUMNS($AC$1006:AO1006),$AC$1006:$AS$1006,0))&gt;=100000), " ",IF(INDEX($AC$2:$AS$1001,MATCH(ROWS($V$2:V830),$V$2:$V$1001,0),MATCH(COLUMNS($AC$1006:AO1006),$AC$1006:$AS$1006,0)), HYPERLINK("#",""), HYPERLINK(CONCATENATE("#Metadata!", ADDRESS(INDEX($X$2:$X$1001,MATCH(ROWS($V$2:V830),$V$2:$V$1001,0),0), INDEX($AC$1004:$AS$1004,1,MATCH(COLUMNS($AC$1006:AO1006),$AC$1006:$AS$1006,0)))),"Fix")))</f>
        <v>0</v>
      </c>
      <c r="O830" s="5">
        <f>IF(OR(INDEX($W$2:$W$1001,MATCH(ROWS($V$2:V830),$V$2:$V$1001,0),1)&gt;=100000,INDEX($AC$1005:$AS$1005,1,MATCH(COLUMNS($AC$1006:AP1006),$AC$1006:$AS$1006,0))&gt;=100000), " ",IF(INDEX($AC$2:$AS$1001,MATCH(ROWS($V$2:V830),$V$2:$V$1001,0),MATCH(COLUMNS($AC$1006:AP1006),$AC$1006:$AS$1006,0)), HYPERLINK("#",""), HYPERLINK(CONCATENATE("#Metadata!", ADDRESS(INDEX($X$2:$X$1001,MATCH(ROWS($V$2:V830),$V$2:$V$1001,0),0), INDEX($AC$1004:$AS$1004,1,MATCH(COLUMNS($AC$1006:AP1006),$AC$1006:$AS$1006,0)))),"Fix")))</f>
        <v>0</v>
      </c>
      <c r="P830" s="5">
        <f>IF(OR(INDEX($W$2:$W$1001,MATCH(ROWS($V$2:V830),$V$2:$V$1001,0),1)&gt;=100000,INDEX($AC$1005:$AS$1005,1,MATCH(COLUMNS($AC$1006:AQ1006),$AC$1006:$AS$1006,0))&gt;=100000), " ",IF(INDEX($AC$2:$AS$1001,MATCH(ROWS($V$2:V830),$V$2:$V$1001,0),MATCH(COLUMNS($AC$1006:AQ1006),$AC$1006:$AS$1006,0)), HYPERLINK("#",""), HYPERLINK(CONCATENATE("#Metadata!", ADDRESS(INDEX($X$2:$X$1001,MATCH(ROWS($V$2:V830),$V$2:$V$1001,0),0), INDEX($AC$1004:$AS$1004,1,MATCH(COLUMNS($AC$1006:AQ1006),$AC$1006:$AS$1006,0)))),"Fix")))</f>
        <v>0</v>
      </c>
      <c r="Q830" s="5">
        <f>IF(OR(INDEX($W$2:$W$1001,MATCH(ROWS($V$2:V830),$V$2:$V$1001,0),1)&gt;=100000,INDEX($AC$1005:$AS$1005,1,MATCH(COLUMNS($AC$1006:AR1006),$AC$1006:$AS$1006,0))&gt;=100000), " ",IF(INDEX($AC$2:$AS$1001,MATCH(ROWS($V$2:V830),$V$2:$V$1001,0),MATCH(COLUMNS($AC$1006:AR1006),$AC$1006:$AS$1006,0)), HYPERLINK("#",""), HYPERLINK(CONCATENATE("#Metadata!", ADDRESS(INDEX($X$2:$X$1001,MATCH(ROWS($V$2:V830),$V$2:$V$1001,0),0), INDEX($AC$1004:$AS$1004,1,MATCH(COLUMNS($AC$1006:AR1006),$AC$1006:$AS$1006,0)))),"Fix")))</f>
        <v>0</v>
      </c>
      <c r="R830" s="5">
        <f>IF(OR(INDEX($W$2:$W$1001,MATCH(ROWS($V$2:V830),$V$2:$V$1001,0),1)&gt;=100000,INDEX($AC$1005:$AS$1005,1,MATCH(COLUMNS($AC$1006:AS1006),$AC$1006:$AS$1006,0))&gt;=100000), " ",IF(INDEX($AC$2:$AS$1001,MATCH(ROWS($V$2:V830),$V$2:$V$1001,0),MATCH(COLUMNS($AC$1006:AS1006),$AC$1006:$AS$1006,0)), HYPERLINK("#",""), HYPERLINK(CONCATENATE("#Metadata!", ADDRESS(INDEX($X$2:$X$1001,MATCH(ROWS($V$2:V830),$V$2:$V$1001,0),0), INDEX($AC$1004:$AS$1004,1,MATCH(COLUMNS($AC$1006:AS1006),$AC$1006:$AS$1006,0)))),"Fix")))</f>
        <v>0</v>
      </c>
      <c r="V830">
        <v>0</v>
      </c>
      <c r="W830">
        <v>0</v>
      </c>
      <c r="X830">
        <v>0</v>
      </c>
      <c r="Y830">
        <f>IF(Z830,TRUE,AND(AC830:AS830))</f>
        <v>0</v>
      </c>
      <c r="Z830">
        <f>COUNTBLANK(Metadata!B830:R830)=COLUMNS(Metadata!B830:R830)</f>
        <v>0</v>
      </c>
      <c r="AA830">
        <v>0</v>
      </c>
      <c r="AC830">
        <f>AND(IF(Metadata!B830="",FALSE,TRUE),COUNTIF(Metadata!B:B, Metadata!B830) = 1,NOT(ISERROR(SUMPRODUCT(SEARCH(MID(Metadata!B830,ROW(INDIRECT("1:"&amp;LEN(Metadata!B830))), 1),"0123456789abcdefghijklmnopqrstuvwxyzABCDEFGHIJKLMNOPQRSTUVWXYZ.")))))</f>
        <v>0</v>
      </c>
      <c r="AD830">
        <f>AND(IF(Metadata!C830="",FALSE,TRUE),exact(Metadata!C830,"Host-associated"))</f>
        <v>0</v>
      </c>
      <c r="AE830">
        <f>AND(IF(Metadata!D830="",FALSE,TRUE),OR(exact(Metadata!D830,"Animal"),exact(Metadata!D830,"Fungus"),exact(Metadata!D830,"Plant")))</f>
        <v>0</v>
      </c>
      <c r="AF830">
        <f>AND(IF(Metadata!E830="",FALSE,TRUE),OR(exact(Metadata!E830,"Plant secretion"),exact(Metadata!E830,"Plant rhizosphere"),exact(Metadata!E830,"Plant surface"),exact(Metadata!E830,"Plant corpus"),exact(Metadata!E830,"Fungus surface"),exact(Metadata!E830,"Fungus corpus"),exact(Metadata!E830,"Animal surface"),exact(Metadata!E830,"Animal proximal gut"),exact(Metadata!E830,"Animal corpus"),exact(Metadata!E830,"Animal distal gut"),exact(Metadata!E830,"Animal secretion")))</f>
        <v>0</v>
      </c>
      <c r="AG830">
        <f>OR(AND(IF(Metadata!F830="",FALSE,TRUE),OR(exact(Metadata!F830,"not collected"),exact(Metadata!F830,"not provided"),exact(Metadata!F830,"restricted access"))),AND(IF(Metadata!F830="",FALSE,TRUE),OR(exact(Metadata!F830,"organism-associated habitat"),exact(Metadata!F830,"plant-associated habitat"),exact(Metadata!F830,"animal-associated habitat"),exact(Metadata!F830,"insecta-associated habitat"),exact(Metadata!F830,"mammalia-associated habitat"),exact(Metadata!F830,"human-associated habitat"),exact(Metadata!F830,"livestock-associated habitat"))))</f>
        <v>0</v>
      </c>
      <c r="AH830">
        <f>AND(IF(Metadata!G830="",FALSE,TRUE),exact(Metadata!G830,"host-associated"))</f>
        <v>0</v>
      </c>
      <c r="AI830">
        <f>OR(AND(IF(Metadata!H830="",FALSE,TRUE),OR(exact(Metadata!H830,"not collected"),exact(Metadata!H830,"not provided"))),AND(IF(Metadata!H830="",FALSE,ISNUMBER(VALUE(Metadata!H830))),Metadata!H830&gt;0))</f>
        <v>0</v>
      </c>
      <c r="AJ830">
        <f>AND(IF(Metadata!I830="",FALSE,TRUE),exact(Metadata!I830,"years"))</f>
        <v>0</v>
      </c>
      <c r="AK830">
        <f>IF(Metadata!J830="",FALSE,TRUE)</f>
        <v>0</v>
      </c>
      <c r="AL830">
        <f>OR(AND(IF(Metadata!K830="",FALSE,TRUE),OR(exact(Metadata!K830,"not collected"),exact(Metadata!K830,"not provided"))),AND(IF(Metadata!K830="",FALSE,ISNUMBER(VALUE(Metadata!K830))),Metadata!K830&gt;0))</f>
        <v>0</v>
      </c>
      <c r="AM830">
        <f>AND(IF(Metadata!L830="",FALSE,TRUE),exact(Metadata!L830,"cm"))</f>
        <v>0</v>
      </c>
      <c r="AN830">
        <f>IF(Metadata!M830="",FALSE,TRUE)</f>
        <v>0</v>
      </c>
      <c r="AO830">
        <f>OR(AND(IF(Metadata!N830="",FALSE,TRUE),OR(exact(Metadata!N830,"not applicable"),exact(Metadata!N830,"not collected"),exact(Metadata!N830,"not provided"))),AND(IF(Metadata!N830="",FALSE,IF(ISERROR(INT(Metadata!N830)),FALSE,INT(Metadata!N830)=Metadata!N830)),Metadata!N830&gt;0))</f>
        <v>0</v>
      </c>
      <c r="AP830">
        <f>OR(AND(IF(Metadata!O830="",FALSE,TRUE),OR(exact(Metadata!O830,"not collected"),exact(Metadata!O830,"not provided"))),AND(IF(Metadata!O830="",FALSE,ISNUMBER(VALUE(Metadata!O830))),Metadata!O830&gt;0))</f>
        <v>0</v>
      </c>
      <c r="AQ830">
        <f>AND(IF(Metadata!P830="",FALSE,TRUE),exact(Metadata!P830,"kg"))</f>
        <v>0</v>
      </c>
      <c r="AR830">
        <f>OR(AND(IF(Metadata!Q830="",FALSE,TRUE),OR(exact(Metadata!Q830,"not applicable"),exact(Metadata!Q830,"not collected"),exact(Metadata!Q830,"not provided"),exact(Metadata!Q830,"restricted access"))),IF(Metadata!Q830="",FALSE,IF(ISERROR(INT(Metadata!Q830)),FALSE,INT(Metadata!Q830)=Metadata!Q830)))</f>
        <v>0</v>
      </c>
      <c r="AS830">
        <f>AND(IF(Metadata!R830="",FALSE,TRUE),exact(Metadata!R830,"Not applicable"))</f>
        <v>0</v>
      </c>
    </row>
    <row r="831" spans="1:45">
      <c r="A831" s="4">
        <f>IF(B831=" "," ",HYPERLINK(CONCATENATE("#metadata!",ADDRESS(INDEX($X$2:$X$1001,MATCH(ROWS($V$2:V831),$V$2:$V$1001,0),0),2)),INDEX($AA$2:$AA$1001,MATCH(ROWS($V$2:V831),$V$2:$V$1001,0),0)))</f>
        <v>0</v>
      </c>
      <c r="B831" s="5">
        <f>IF(OR(INDEX($W$2:$W$1001,MATCH(ROWS($V$2:V831),$V$2:$V$1001,0),1)&gt;=100000,INDEX($AC$1005:$AS$1005,1,MATCH(COLUMNS($AC$1006:AC1006),$AC$1006:$AS$1006,0))&gt;=100000), " ",IF(INDEX($AC$2:$AS$1001,MATCH(ROWS($V$2:V831),$V$2:$V$1001,0),MATCH(COLUMNS($AC$1006:AC1006),$AC$1006:$AS$1006,0)), HYPERLINK("#",""), HYPERLINK(CONCATENATE("#Metadata!", ADDRESS(INDEX($X$2:$X$1001,MATCH(ROWS($V$2:V831),$V$2:$V$1001,0),0), INDEX($AC$1004:$AS$1004,1,MATCH(COLUMNS($AC$1006:AC1006),$AC$1006:$AS$1006,0)))),"Fix")))</f>
        <v>0</v>
      </c>
      <c r="C831" s="5">
        <f>IF(OR(INDEX($W$2:$W$1001,MATCH(ROWS($V$2:V831),$V$2:$V$1001,0),1)&gt;=100000,INDEX($AC$1005:$AS$1005,1,MATCH(COLUMNS($AC$1006:AD1006),$AC$1006:$AS$1006,0))&gt;=100000), " ",IF(INDEX($AC$2:$AS$1001,MATCH(ROWS($V$2:V831),$V$2:$V$1001,0),MATCH(COLUMNS($AC$1006:AD1006),$AC$1006:$AS$1006,0)), HYPERLINK("#",""), HYPERLINK(CONCATENATE("#Metadata!", ADDRESS(INDEX($X$2:$X$1001,MATCH(ROWS($V$2:V831),$V$2:$V$1001,0),0), INDEX($AC$1004:$AS$1004,1,MATCH(COLUMNS($AC$1006:AD1006),$AC$1006:$AS$1006,0)))),"Fix")))</f>
        <v>0</v>
      </c>
      <c r="D831" s="5">
        <f>IF(OR(INDEX($W$2:$W$1001,MATCH(ROWS($V$2:V831),$V$2:$V$1001,0),1)&gt;=100000,INDEX($AC$1005:$AS$1005,1,MATCH(COLUMNS($AC$1006:AE1006),$AC$1006:$AS$1006,0))&gt;=100000), " ",IF(INDEX($AC$2:$AS$1001,MATCH(ROWS($V$2:V831),$V$2:$V$1001,0),MATCH(COLUMNS($AC$1006:AE1006),$AC$1006:$AS$1006,0)), HYPERLINK("#",""), HYPERLINK(CONCATENATE("#Metadata!", ADDRESS(INDEX($X$2:$X$1001,MATCH(ROWS($V$2:V831),$V$2:$V$1001,0),0), INDEX($AC$1004:$AS$1004,1,MATCH(COLUMNS($AC$1006:AE1006),$AC$1006:$AS$1006,0)))),"Fix")))</f>
        <v>0</v>
      </c>
      <c r="E831" s="5">
        <f>IF(OR(INDEX($W$2:$W$1001,MATCH(ROWS($V$2:V831),$V$2:$V$1001,0),1)&gt;=100000,INDEX($AC$1005:$AS$1005,1,MATCH(COLUMNS($AC$1006:AF1006),$AC$1006:$AS$1006,0))&gt;=100000), " ",IF(INDEX($AC$2:$AS$1001,MATCH(ROWS($V$2:V831),$V$2:$V$1001,0),MATCH(COLUMNS($AC$1006:AF1006),$AC$1006:$AS$1006,0)), HYPERLINK("#",""), HYPERLINK(CONCATENATE("#Metadata!", ADDRESS(INDEX($X$2:$X$1001,MATCH(ROWS($V$2:V831),$V$2:$V$1001,0),0), INDEX($AC$1004:$AS$1004,1,MATCH(COLUMNS($AC$1006:AF1006),$AC$1006:$AS$1006,0)))),"Fix")))</f>
        <v>0</v>
      </c>
      <c r="F831" s="5">
        <f>IF(OR(INDEX($W$2:$W$1001,MATCH(ROWS($V$2:V831),$V$2:$V$1001,0),1)&gt;=100000,INDEX($AC$1005:$AS$1005,1,MATCH(COLUMNS($AC$1006:AG1006),$AC$1006:$AS$1006,0))&gt;=100000), " ",IF(INDEX($AC$2:$AS$1001,MATCH(ROWS($V$2:V831),$V$2:$V$1001,0),MATCH(COLUMNS($AC$1006:AG1006),$AC$1006:$AS$1006,0)), HYPERLINK("#",""), HYPERLINK(CONCATENATE("#Metadata!", ADDRESS(INDEX($X$2:$X$1001,MATCH(ROWS($V$2:V831),$V$2:$V$1001,0),0), INDEX($AC$1004:$AS$1004,1,MATCH(COLUMNS($AC$1006:AG1006),$AC$1006:$AS$1006,0)))),"Fix")))</f>
        <v>0</v>
      </c>
      <c r="G831" s="5">
        <f>IF(OR(INDEX($W$2:$W$1001,MATCH(ROWS($V$2:V831),$V$2:$V$1001,0),1)&gt;=100000,INDEX($AC$1005:$AS$1005,1,MATCH(COLUMNS($AC$1006:AH1006),$AC$1006:$AS$1006,0))&gt;=100000), " ",IF(INDEX($AC$2:$AS$1001,MATCH(ROWS($V$2:V831),$V$2:$V$1001,0),MATCH(COLUMNS($AC$1006:AH1006),$AC$1006:$AS$1006,0)), HYPERLINK("#",""), HYPERLINK(CONCATENATE("#Metadata!", ADDRESS(INDEX($X$2:$X$1001,MATCH(ROWS($V$2:V831),$V$2:$V$1001,0),0), INDEX($AC$1004:$AS$1004,1,MATCH(COLUMNS($AC$1006:AH1006),$AC$1006:$AS$1006,0)))),"Fix")))</f>
        <v>0</v>
      </c>
      <c r="H831" s="5">
        <f>IF(OR(INDEX($W$2:$W$1001,MATCH(ROWS($V$2:V831),$V$2:$V$1001,0),1)&gt;=100000,INDEX($AC$1005:$AS$1005,1,MATCH(COLUMNS($AC$1006:AI1006),$AC$1006:$AS$1006,0))&gt;=100000), " ",IF(INDEX($AC$2:$AS$1001,MATCH(ROWS($V$2:V831),$V$2:$V$1001,0),MATCH(COLUMNS($AC$1006:AI1006),$AC$1006:$AS$1006,0)), HYPERLINK("#",""), HYPERLINK(CONCATENATE("#Metadata!", ADDRESS(INDEX($X$2:$X$1001,MATCH(ROWS($V$2:V831),$V$2:$V$1001,0),0), INDEX($AC$1004:$AS$1004,1,MATCH(COLUMNS($AC$1006:AI1006),$AC$1006:$AS$1006,0)))),"Fix")))</f>
        <v>0</v>
      </c>
      <c r="I831" s="5">
        <f>IF(OR(INDEX($W$2:$W$1001,MATCH(ROWS($V$2:V831),$V$2:$V$1001,0),1)&gt;=100000,INDEX($AC$1005:$AS$1005,1,MATCH(COLUMNS($AC$1006:AJ1006),$AC$1006:$AS$1006,0))&gt;=100000), " ",IF(INDEX($AC$2:$AS$1001,MATCH(ROWS($V$2:V831),$V$2:$V$1001,0),MATCH(COLUMNS($AC$1006:AJ1006),$AC$1006:$AS$1006,0)), HYPERLINK("#",""), HYPERLINK(CONCATENATE("#Metadata!", ADDRESS(INDEX($X$2:$X$1001,MATCH(ROWS($V$2:V831),$V$2:$V$1001,0),0), INDEX($AC$1004:$AS$1004,1,MATCH(COLUMNS($AC$1006:AJ1006),$AC$1006:$AS$1006,0)))),"Fix")))</f>
        <v>0</v>
      </c>
      <c r="J831" s="5">
        <f>IF(OR(INDEX($W$2:$W$1001,MATCH(ROWS($V$2:V831),$V$2:$V$1001,0),1)&gt;=100000,INDEX($AC$1005:$AS$1005,1,MATCH(COLUMNS($AC$1006:AK1006),$AC$1006:$AS$1006,0))&gt;=100000), " ",IF(INDEX($AC$2:$AS$1001,MATCH(ROWS($V$2:V831),$V$2:$V$1001,0),MATCH(COLUMNS($AC$1006:AK1006),$AC$1006:$AS$1006,0)), HYPERLINK("#",""), HYPERLINK(CONCATENATE("#Metadata!", ADDRESS(INDEX($X$2:$X$1001,MATCH(ROWS($V$2:V831),$V$2:$V$1001,0),0), INDEX($AC$1004:$AS$1004,1,MATCH(COLUMNS($AC$1006:AK1006),$AC$1006:$AS$1006,0)))),"Fix")))</f>
        <v>0</v>
      </c>
      <c r="K831" s="5">
        <f>IF(OR(INDEX($W$2:$W$1001,MATCH(ROWS($V$2:V831),$V$2:$V$1001,0),1)&gt;=100000,INDEX($AC$1005:$AS$1005,1,MATCH(COLUMNS($AC$1006:AL1006),$AC$1006:$AS$1006,0))&gt;=100000), " ",IF(INDEX($AC$2:$AS$1001,MATCH(ROWS($V$2:V831),$V$2:$V$1001,0),MATCH(COLUMNS($AC$1006:AL1006),$AC$1006:$AS$1006,0)), HYPERLINK("#",""), HYPERLINK(CONCATENATE("#Metadata!", ADDRESS(INDEX($X$2:$X$1001,MATCH(ROWS($V$2:V831),$V$2:$V$1001,0),0), INDEX($AC$1004:$AS$1004,1,MATCH(COLUMNS($AC$1006:AL1006),$AC$1006:$AS$1006,0)))),"Fix")))</f>
        <v>0</v>
      </c>
      <c r="L831" s="5">
        <f>IF(OR(INDEX($W$2:$W$1001,MATCH(ROWS($V$2:V831),$V$2:$V$1001,0),1)&gt;=100000,INDEX($AC$1005:$AS$1005,1,MATCH(COLUMNS($AC$1006:AM1006),$AC$1006:$AS$1006,0))&gt;=100000), " ",IF(INDEX($AC$2:$AS$1001,MATCH(ROWS($V$2:V831),$V$2:$V$1001,0),MATCH(COLUMNS($AC$1006:AM1006),$AC$1006:$AS$1006,0)), HYPERLINK("#",""), HYPERLINK(CONCATENATE("#Metadata!", ADDRESS(INDEX($X$2:$X$1001,MATCH(ROWS($V$2:V831),$V$2:$V$1001,0),0), INDEX($AC$1004:$AS$1004,1,MATCH(COLUMNS($AC$1006:AM1006),$AC$1006:$AS$1006,0)))),"Fix")))</f>
        <v>0</v>
      </c>
      <c r="M831" s="5">
        <f>IF(OR(INDEX($W$2:$W$1001,MATCH(ROWS($V$2:V831),$V$2:$V$1001,0),1)&gt;=100000,INDEX($AC$1005:$AS$1005,1,MATCH(COLUMNS($AC$1006:AN1006),$AC$1006:$AS$1006,0))&gt;=100000), " ",IF(INDEX($AC$2:$AS$1001,MATCH(ROWS($V$2:V831),$V$2:$V$1001,0),MATCH(COLUMNS($AC$1006:AN1006),$AC$1006:$AS$1006,0)), HYPERLINK("#",""), HYPERLINK(CONCATENATE("#Metadata!", ADDRESS(INDEX($X$2:$X$1001,MATCH(ROWS($V$2:V831),$V$2:$V$1001,0),0), INDEX($AC$1004:$AS$1004,1,MATCH(COLUMNS($AC$1006:AN1006),$AC$1006:$AS$1006,0)))),"Fix")))</f>
        <v>0</v>
      </c>
      <c r="N831" s="5">
        <f>IF(OR(INDEX($W$2:$W$1001,MATCH(ROWS($V$2:V831),$V$2:$V$1001,0),1)&gt;=100000,INDEX($AC$1005:$AS$1005,1,MATCH(COLUMNS($AC$1006:AO1006),$AC$1006:$AS$1006,0))&gt;=100000), " ",IF(INDEX($AC$2:$AS$1001,MATCH(ROWS($V$2:V831),$V$2:$V$1001,0),MATCH(COLUMNS($AC$1006:AO1006),$AC$1006:$AS$1006,0)), HYPERLINK("#",""), HYPERLINK(CONCATENATE("#Metadata!", ADDRESS(INDEX($X$2:$X$1001,MATCH(ROWS($V$2:V831),$V$2:$V$1001,0),0), INDEX($AC$1004:$AS$1004,1,MATCH(COLUMNS($AC$1006:AO1006),$AC$1006:$AS$1006,0)))),"Fix")))</f>
        <v>0</v>
      </c>
      <c r="O831" s="5">
        <f>IF(OR(INDEX($W$2:$W$1001,MATCH(ROWS($V$2:V831),$V$2:$V$1001,0),1)&gt;=100000,INDEX($AC$1005:$AS$1005,1,MATCH(COLUMNS($AC$1006:AP1006),$AC$1006:$AS$1006,0))&gt;=100000), " ",IF(INDEX($AC$2:$AS$1001,MATCH(ROWS($V$2:V831),$V$2:$V$1001,0),MATCH(COLUMNS($AC$1006:AP1006),$AC$1006:$AS$1006,0)), HYPERLINK("#",""), HYPERLINK(CONCATENATE("#Metadata!", ADDRESS(INDEX($X$2:$X$1001,MATCH(ROWS($V$2:V831),$V$2:$V$1001,0),0), INDEX($AC$1004:$AS$1004,1,MATCH(COLUMNS($AC$1006:AP1006),$AC$1006:$AS$1006,0)))),"Fix")))</f>
        <v>0</v>
      </c>
      <c r="P831" s="5">
        <f>IF(OR(INDEX($W$2:$W$1001,MATCH(ROWS($V$2:V831),$V$2:$V$1001,0),1)&gt;=100000,INDEX($AC$1005:$AS$1005,1,MATCH(COLUMNS($AC$1006:AQ1006),$AC$1006:$AS$1006,0))&gt;=100000), " ",IF(INDEX($AC$2:$AS$1001,MATCH(ROWS($V$2:V831),$V$2:$V$1001,0),MATCH(COLUMNS($AC$1006:AQ1006),$AC$1006:$AS$1006,0)), HYPERLINK("#",""), HYPERLINK(CONCATENATE("#Metadata!", ADDRESS(INDEX($X$2:$X$1001,MATCH(ROWS($V$2:V831),$V$2:$V$1001,0),0), INDEX($AC$1004:$AS$1004,1,MATCH(COLUMNS($AC$1006:AQ1006),$AC$1006:$AS$1006,0)))),"Fix")))</f>
        <v>0</v>
      </c>
      <c r="Q831" s="5">
        <f>IF(OR(INDEX($W$2:$W$1001,MATCH(ROWS($V$2:V831),$V$2:$V$1001,0),1)&gt;=100000,INDEX($AC$1005:$AS$1005,1,MATCH(COLUMNS($AC$1006:AR1006),$AC$1006:$AS$1006,0))&gt;=100000), " ",IF(INDEX($AC$2:$AS$1001,MATCH(ROWS($V$2:V831),$V$2:$V$1001,0),MATCH(COLUMNS($AC$1006:AR1006),$AC$1006:$AS$1006,0)), HYPERLINK("#",""), HYPERLINK(CONCATENATE("#Metadata!", ADDRESS(INDEX($X$2:$X$1001,MATCH(ROWS($V$2:V831),$V$2:$V$1001,0),0), INDEX($AC$1004:$AS$1004,1,MATCH(COLUMNS($AC$1006:AR1006),$AC$1006:$AS$1006,0)))),"Fix")))</f>
        <v>0</v>
      </c>
      <c r="R831" s="5">
        <f>IF(OR(INDEX($W$2:$W$1001,MATCH(ROWS($V$2:V831),$V$2:$V$1001,0),1)&gt;=100000,INDEX($AC$1005:$AS$1005,1,MATCH(COLUMNS($AC$1006:AS1006),$AC$1006:$AS$1006,0))&gt;=100000), " ",IF(INDEX($AC$2:$AS$1001,MATCH(ROWS($V$2:V831),$V$2:$V$1001,0),MATCH(COLUMNS($AC$1006:AS1006),$AC$1006:$AS$1006,0)), HYPERLINK("#",""), HYPERLINK(CONCATENATE("#Metadata!", ADDRESS(INDEX($X$2:$X$1001,MATCH(ROWS($V$2:V831),$V$2:$V$1001,0),0), INDEX($AC$1004:$AS$1004,1,MATCH(COLUMNS($AC$1006:AS1006),$AC$1006:$AS$1006,0)))),"Fix")))</f>
        <v>0</v>
      </c>
      <c r="V831">
        <v>0</v>
      </c>
      <c r="W831">
        <v>0</v>
      </c>
      <c r="X831">
        <v>0</v>
      </c>
      <c r="Y831">
        <f>IF(Z831,TRUE,AND(AC831:AS831))</f>
        <v>0</v>
      </c>
      <c r="Z831">
        <f>COUNTBLANK(Metadata!B831:R831)=COLUMNS(Metadata!B831:R831)</f>
        <v>0</v>
      </c>
      <c r="AA831">
        <v>0</v>
      </c>
      <c r="AC831">
        <f>AND(IF(Metadata!B831="",FALSE,TRUE),COUNTIF(Metadata!B:B, Metadata!B831) = 1,NOT(ISERROR(SUMPRODUCT(SEARCH(MID(Metadata!B831,ROW(INDIRECT("1:"&amp;LEN(Metadata!B831))), 1),"0123456789abcdefghijklmnopqrstuvwxyzABCDEFGHIJKLMNOPQRSTUVWXYZ.")))))</f>
        <v>0</v>
      </c>
      <c r="AD831">
        <f>AND(IF(Metadata!C831="",FALSE,TRUE),exact(Metadata!C831,"Host-associated"))</f>
        <v>0</v>
      </c>
      <c r="AE831">
        <f>AND(IF(Metadata!D831="",FALSE,TRUE),OR(exact(Metadata!D831,"Animal"),exact(Metadata!D831,"Fungus"),exact(Metadata!D831,"Plant")))</f>
        <v>0</v>
      </c>
      <c r="AF831">
        <f>AND(IF(Metadata!E831="",FALSE,TRUE),OR(exact(Metadata!E831,"Plant secretion"),exact(Metadata!E831,"Plant rhizosphere"),exact(Metadata!E831,"Plant surface"),exact(Metadata!E831,"Plant corpus"),exact(Metadata!E831,"Fungus surface"),exact(Metadata!E831,"Fungus corpus"),exact(Metadata!E831,"Animal surface"),exact(Metadata!E831,"Animal proximal gut"),exact(Metadata!E831,"Animal corpus"),exact(Metadata!E831,"Animal distal gut"),exact(Metadata!E831,"Animal secretion")))</f>
        <v>0</v>
      </c>
      <c r="AG831">
        <f>OR(AND(IF(Metadata!F831="",FALSE,TRUE),OR(exact(Metadata!F831,"not collected"),exact(Metadata!F831,"not provided"),exact(Metadata!F831,"restricted access"))),AND(IF(Metadata!F831="",FALSE,TRUE),OR(exact(Metadata!F831,"organism-associated habitat"),exact(Metadata!F831,"plant-associated habitat"),exact(Metadata!F831,"animal-associated habitat"),exact(Metadata!F831,"insecta-associated habitat"),exact(Metadata!F831,"mammalia-associated habitat"),exact(Metadata!F831,"human-associated habitat"),exact(Metadata!F831,"livestock-associated habitat"))))</f>
        <v>0</v>
      </c>
      <c r="AH831">
        <f>AND(IF(Metadata!G831="",FALSE,TRUE),exact(Metadata!G831,"host-associated"))</f>
        <v>0</v>
      </c>
      <c r="AI831">
        <f>OR(AND(IF(Metadata!H831="",FALSE,TRUE),OR(exact(Metadata!H831,"not collected"),exact(Metadata!H831,"not provided"))),AND(IF(Metadata!H831="",FALSE,ISNUMBER(VALUE(Metadata!H831))),Metadata!H831&gt;0))</f>
        <v>0</v>
      </c>
      <c r="AJ831">
        <f>AND(IF(Metadata!I831="",FALSE,TRUE),exact(Metadata!I831,"years"))</f>
        <v>0</v>
      </c>
      <c r="AK831">
        <f>IF(Metadata!J831="",FALSE,TRUE)</f>
        <v>0</v>
      </c>
      <c r="AL831">
        <f>OR(AND(IF(Metadata!K831="",FALSE,TRUE),OR(exact(Metadata!K831,"not collected"),exact(Metadata!K831,"not provided"))),AND(IF(Metadata!K831="",FALSE,ISNUMBER(VALUE(Metadata!K831))),Metadata!K831&gt;0))</f>
        <v>0</v>
      </c>
      <c r="AM831">
        <f>AND(IF(Metadata!L831="",FALSE,TRUE),exact(Metadata!L831,"cm"))</f>
        <v>0</v>
      </c>
      <c r="AN831">
        <f>IF(Metadata!M831="",FALSE,TRUE)</f>
        <v>0</v>
      </c>
      <c r="AO831">
        <f>OR(AND(IF(Metadata!N831="",FALSE,TRUE),OR(exact(Metadata!N831,"not applicable"),exact(Metadata!N831,"not collected"),exact(Metadata!N831,"not provided"))),AND(IF(Metadata!N831="",FALSE,IF(ISERROR(INT(Metadata!N831)),FALSE,INT(Metadata!N831)=Metadata!N831)),Metadata!N831&gt;0))</f>
        <v>0</v>
      </c>
      <c r="AP831">
        <f>OR(AND(IF(Metadata!O831="",FALSE,TRUE),OR(exact(Metadata!O831,"not collected"),exact(Metadata!O831,"not provided"))),AND(IF(Metadata!O831="",FALSE,ISNUMBER(VALUE(Metadata!O831))),Metadata!O831&gt;0))</f>
        <v>0</v>
      </c>
      <c r="AQ831">
        <f>AND(IF(Metadata!P831="",FALSE,TRUE),exact(Metadata!P831,"kg"))</f>
        <v>0</v>
      </c>
      <c r="AR831">
        <f>OR(AND(IF(Metadata!Q831="",FALSE,TRUE),OR(exact(Metadata!Q831,"not applicable"),exact(Metadata!Q831,"not collected"),exact(Metadata!Q831,"not provided"),exact(Metadata!Q831,"restricted access"))),IF(Metadata!Q831="",FALSE,IF(ISERROR(INT(Metadata!Q831)),FALSE,INT(Metadata!Q831)=Metadata!Q831)))</f>
        <v>0</v>
      </c>
      <c r="AS831">
        <f>AND(IF(Metadata!R831="",FALSE,TRUE),exact(Metadata!R831,"Not applicable"))</f>
        <v>0</v>
      </c>
    </row>
    <row r="832" spans="1:45">
      <c r="A832" s="4">
        <f>IF(B832=" "," ",HYPERLINK(CONCATENATE("#metadata!",ADDRESS(INDEX($X$2:$X$1001,MATCH(ROWS($V$2:V832),$V$2:$V$1001,0),0),2)),INDEX($AA$2:$AA$1001,MATCH(ROWS($V$2:V832),$V$2:$V$1001,0),0)))</f>
        <v>0</v>
      </c>
      <c r="B832" s="5">
        <f>IF(OR(INDEX($W$2:$W$1001,MATCH(ROWS($V$2:V832),$V$2:$V$1001,0),1)&gt;=100000,INDEX($AC$1005:$AS$1005,1,MATCH(COLUMNS($AC$1006:AC1006),$AC$1006:$AS$1006,0))&gt;=100000), " ",IF(INDEX($AC$2:$AS$1001,MATCH(ROWS($V$2:V832),$V$2:$V$1001,0),MATCH(COLUMNS($AC$1006:AC1006),$AC$1006:$AS$1006,0)), HYPERLINK("#",""), HYPERLINK(CONCATENATE("#Metadata!", ADDRESS(INDEX($X$2:$X$1001,MATCH(ROWS($V$2:V832),$V$2:$V$1001,0),0), INDEX($AC$1004:$AS$1004,1,MATCH(COLUMNS($AC$1006:AC1006),$AC$1006:$AS$1006,0)))),"Fix")))</f>
        <v>0</v>
      </c>
      <c r="C832" s="5">
        <f>IF(OR(INDEX($W$2:$W$1001,MATCH(ROWS($V$2:V832),$V$2:$V$1001,0),1)&gt;=100000,INDEX($AC$1005:$AS$1005,1,MATCH(COLUMNS($AC$1006:AD1006),$AC$1006:$AS$1006,0))&gt;=100000), " ",IF(INDEX($AC$2:$AS$1001,MATCH(ROWS($V$2:V832),$V$2:$V$1001,0),MATCH(COLUMNS($AC$1006:AD1006),$AC$1006:$AS$1006,0)), HYPERLINK("#",""), HYPERLINK(CONCATENATE("#Metadata!", ADDRESS(INDEX($X$2:$X$1001,MATCH(ROWS($V$2:V832),$V$2:$V$1001,0),0), INDEX($AC$1004:$AS$1004,1,MATCH(COLUMNS($AC$1006:AD1006),$AC$1006:$AS$1006,0)))),"Fix")))</f>
        <v>0</v>
      </c>
      <c r="D832" s="5">
        <f>IF(OR(INDEX($W$2:$W$1001,MATCH(ROWS($V$2:V832),$V$2:$V$1001,0),1)&gt;=100000,INDEX($AC$1005:$AS$1005,1,MATCH(COLUMNS($AC$1006:AE1006),$AC$1006:$AS$1006,0))&gt;=100000), " ",IF(INDEX($AC$2:$AS$1001,MATCH(ROWS($V$2:V832),$V$2:$V$1001,0),MATCH(COLUMNS($AC$1006:AE1006),$AC$1006:$AS$1006,0)), HYPERLINK("#",""), HYPERLINK(CONCATENATE("#Metadata!", ADDRESS(INDEX($X$2:$X$1001,MATCH(ROWS($V$2:V832),$V$2:$V$1001,0),0), INDEX($AC$1004:$AS$1004,1,MATCH(COLUMNS($AC$1006:AE1006),$AC$1006:$AS$1006,0)))),"Fix")))</f>
        <v>0</v>
      </c>
      <c r="E832" s="5">
        <f>IF(OR(INDEX($W$2:$W$1001,MATCH(ROWS($V$2:V832),$V$2:$V$1001,0),1)&gt;=100000,INDEX($AC$1005:$AS$1005,1,MATCH(COLUMNS($AC$1006:AF1006),$AC$1006:$AS$1006,0))&gt;=100000), " ",IF(INDEX($AC$2:$AS$1001,MATCH(ROWS($V$2:V832),$V$2:$V$1001,0),MATCH(COLUMNS($AC$1006:AF1006),$AC$1006:$AS$1006,0)), HYPERLINK("#",""), HYPERLINK(CONCATENATE("#Metadata!", ADDRESS(INDEX($X$2:$X$1001,MATCH(ROWS($V$2:V832),$V$2:$V$1001,0),0), INDEX($AC$1004:$AS$1004,1,MATCH(COLUMNS($AC$1006:AF1006),$AC$1006:$AS$1006,0)))),"Fix")))</f>
        <v>0</v>
      </c>
      <c r="F832" s="5">
        <f>IF(OR(INDEX($W$2:$W$1001,MATCH(ROWS($V$2:V832),$V$2:$V$1001,0),1)&gt;=100000,INDEX($AC$1005:$AS$1005,1,MATCH(COLUMNS($AC$1006:AG1006),$AC$1006:$AS$1006,0))&gt;=100000), " ",IF(INDEX($AC$2:$AS$1001,MATCH(ROWS($V$2:V832),$V$2:$V$1001,0),MATCH(COLUMNS($AC$1006:AG1006),$AC$1006:$AS$1006,0)), HYPERLINK("#",""), HYPERLINK(CONCATENATE("#Metadata!", ADDRESS(INDEX($X$2:$X$1001,MATCH(ROWS($V$2:V832),$V$2:$V$1001,0),0), INDEX($AC$1004:$AS$1004,1,MATCH(COLUMNS($AC$1006:AG1006),$AC$1006:$AS$1006,0)))),"Fix")))</f>
        <v>0</v>
      </c>
      <c r="G832" s="5">
        <f>IF(OR(INDEX($W$2:$W$1001,MATCH(ROWS($V$2:V832),$V$2:$V$1001,0),1)&gt;=100000,INDEX($AC$1005:$AS$1005,1,MATCH(COLUMNS($AC$1006:AH1006),$AC$1006:$AS$1006,0))&gt;=100000), " ",IF(INDEX($AC$2:$AS$1001,MATCH(ROWS($V$2:V832),$V$2:$V$1001,0),MATCH(COLUMNS($AC$1006:AH1006),$AC$1006:$AS$1006,0)), HYPERLINK("#",""), HYPERLINK(CONCATENATE("#Metadata!", ADDRESS(INDEX($X$2:$X$1001,MATCH(ROWS($V$2:V832),$V$2:$V$1001,0),0), INDEX($AC$1004:$AS$1004,1,MATCH(COLUMNS($AC$1006:AH1006),$AC$1006:$AS$1006,0)))),"Fix")))</f>
        <v>0</v>
      </c>
      <c r="H832" s="5">
        <f>IF(OR(INDEX($W$2:$W$1001,MATCH(ROWS($V$2:V832),$V$2:$V$1001,0),1)&gt;=100000,INDEX($AC$1005:$AS$1005,1,MATCH(COLUMNS($AC$1006:AI1006),$AC$1006:$AS$1006,0))&gt;=100000), " ",IF(INDEX($AC$2:$AS$1001,MATCH(ROWS($V$2:V832),$V$2:$V$1001,0),MATCH(COLUMNS($AC$1006:AI1006),$AC$1006:$AS$1006,0)), HYPERLINK("#",""), HYPERLINK(CONCATENATE("#Metadata!", ADDRESS(INDEX($X$2:$X$1001,MATCH(ROWS($V$2:V832),$V$2:$V$1001,0),0), INDEX($AC$1004:$AS$1004,1,MATCH(COLUMNS($AC$1006:AI1006),$AC$1006:$AS$1006,0)))),"Fix")))</f>
        <v>0</v>
      </c>
      <c r="I832" s="5">
        <f>IF(OR(INDEX($W$2:$W$1001,MATCH(ROWS($V$2:V832),$V$2:$V$1001,0),1)&gt;=100000,INDEX($AC$1005:$AS$1005,1,MATCH(COLUMNS($AC$1006:AJ1006),$AC$1006:$AS$1006,0))&gt;=100000), " ",IF(INDEX($AC$2:$AS$1001,MATCH(ROWS($V$2:V832),$V$2:$V$1001,0),MATCH(COLUMNS($AC$1006:AJ1006),$AC$1006:$AS$1006,0)), HYPERLINK("#",""), HYPERLINK(CONCATENATE("#Metadata!", ADDRESS(INDEX($X$2:$X$1001,MATCH(ROWS($V$2:V832),$V$2:$V$1001,0),0), INDEX($AC$1004:$AS$1004,1,MATCH(COLUMNS($AC$1006:AJ1006),$AC$1006:$AS$1006,0)))),"Fix")))</f>
        <v>0</v>
      </c>
      <c r="J832" s="5">
        <f>IF(OR(INDEX($W$2:$W$1001,MATCH(ROWS($V$2:V832),$V$2:$V$1001,0),1)&gt;=100000,INDEX($AC$1005:$AS$1005,1,MATCH(COLUMNS($AC$1006:AK1006),$AC$1006:$AS$1006,0))&gt;=100000), " ",IF(INDEX($AC$2:$AS$1001,MATCH(ROWS($V$2:V832),$V$2:$V$1001,0),MATCH(COLUMNS($AC$1006:AK1006),$AC$1006:$AS$1006,0)), HYPERLINK("#",""), HYPERLINK(CONCATENATE("#Metadata!", ADDRESS(INDEX($X$2:$X$1001,MATCH(ROWS($V$2:V832),$V$2:$V$1001,0),0), INDEX($AC$1004:$AS$1004,1,MATCH(COLUMNS($AC$1006:AK1006),$AC$1006:$AS$1006,0)))),"Fix")))</f>
        <v>0</v>
      </c>
      <c r="K832" s="5">
        <f>IF(OR(INDEX($W$2:$W$1001,MATCH(ROWS($V$2:V832),$V$2:$V$1001,0),1)&gt;=100000,INDEX($AC$1005:$AS$1005,1,MATCH(COLUMNS($AC$1006:AL1006),$AC$1006:$AS$1006,0))&gt;=100000), " ",IF(INDEX($AC$2:$AS$1001,MATCH(ROWS($V$2:V832),$V$2:$V$1001,0),MATCH(COLUMNS($AC$1006:AL1006),$AC$1006:$AS$1006,0)), HYPERLINK("#",""), HYPERLINK(CONCATENATE("#Metadata!", ADDRESS(INDEX($X$2:$X$1001,MATCH(ROWS($V$2:V832),$V$2:$V$1001,0),0), INDEX($AC$1004:$AS$1004,1,MATCH(COLUMNS($AC$1006:AL1006),$AC$1006:$AS$1006,0)))),"Fix")))</f>
        <v>0</v>
      </c>
      <c r="L832" s="5">
        <f>IF(OR(INDEX($W$2:$W$1001,MATCH(ROWS($V$2:V832),$V$2:$V$1001,0),1)&gt;=100000,INDEX($AC$1005:$AS$1005,1,MATCH(COLUMNS($AC$1006:AM1006),$AC$1006:$AS$1006,0))&gt;=100000), " ",IF(INDEX($AC$2:$AS$1001,MATCH(ROWS($V$2:V832),$V$2:$V$1001,0),MATCH(COLUMNS($AC$1006:AM1006),$AC$1006:$AS$1006,0)), HYPERLINK("#",""), HYPERLINK(CONCATENATE("#Metadata!", ADDRESS(INDEX($X$2:$X$1001,MATCH(ROWS($V$2:V832),$V$2:$V$1001,0),0), INDEX($AC$1004:$AS$1004,1,MATCH(COLUMNS($AC$1006:AM1006),$AC$1006:$AS$1006,0)))),"Fix")))</f>
        <v>0</v>
      </c>
      <c r="M832" s="5">
        <f>IF(OR(INDEX($W$2:$W$1001,MATCH(ROWS($V$2:V832),$V$2:$V$1001,0),1)&gt;=100000,INDEX($AC$1005:$AS$1005,1,MATCH(COLUMNS($AC$1006:AN1006),$AC$1006:$AS$1006,0))&gt;=100000), " ",IF(INDEX($AC$2:$AS$1001,MATCH(ROWS($V$2:V832),$V$2:$V$1001,0),MATCH(COLUMNS($AC$1006:AN1006),$AC$1006:$AS$1006,0)), HYPERLINK("#",""), HYPERLINK(CONCATENATE("#Metadata!", ADDRESS(INDEX($X$2:$X$1001,MATCH(ROWS($V$2:V832),$V$2:$V$1001,0),0), INDEX($AC$1004:$AS$1004,1,MATCH(COLUMNS($AC$1006:AN1006),$AC$1006:$AS$1006,0)))),"Fix")))</f>
        <v>0</v>
      </c>
      <c r="N832" s="5">
        <f>IF(OR(INDEX($W$2:$W$1001,MATCH(ROWS($V$2:V832),$V$2:$V$1001,0),1)&gt;=100000,INDEX($AC$1005:$AS$1005,1,MATCH(COLUMNS($AC$1006:AO1006),$AC$1006:$AS$1006,0))&gt;=100000), " ",IF(INDEX($AC$2:$AS$1001,MATCH(ROWS($V$2:V832),$V$2:$V$1001,0),MATCH(COLUMNS($AC$1006:AO1006),$AC$1006:$AS$1006,0)), HYPERLINK("#",""), HYPERLINK(CONCATENATE("#Metadata!", ADDRESS(INDEX($X$2:$X$1001,MATCH(ROWS($V$2:V832),$V$2:$V$1001,0),0), INDEX($AC$1004:$AS$1004,1,MATCH(COLUMNS($AC$1006:AO1006),$AC$1006:$AS$1006,0)))),"Fix")))</f>
        <v>0</v>
      </c>
      <c r="O832" s="5">
        <f>IF(OR(INDEX($W$2:$W$1001,MATCH(ROWS($V$2:V832),$V$2:$V$1001,0),1)&gt;=100000,INDEX($AC$1005:$AS$1005,1,MATCH(COLUMNS($AC$1006:AP1006),$AC$1006:$AS$1006,0))&gt;=100000), " ",IF(INDEX($AC$2:$AS$1001,MATCH(ROWS($V$2:V832),$V$2:$V$1001,0),MATCH(COLUMNS($AC$1006:AP1006),$AC$1006:$AS$1006,0)), HYPERLINK("#",""), HYPERLINK(CONCATENATE("#Metadata!", ADDRESS(INDEX($X$2:$X$1001,MATCH(ROWS($V$2:V832),$V$2:$V$1001,0),0), INDEX($AC$1004:$AS$1004,1,MATCH(COLUMNS($AC$1006:AP1006),$AC$1006:$AS$1006,0)))),"Fix")))</f>
        <v>0</v>
      </c>
      <c r="P832" s="5">
        <f>IF(OR(INDEX($W$2:$W$1001,MATCH(ROWS($V$2:V832),$V$2:$V$1001,0),1)&gt;=100000,INDEX($AC$1005:$AS$1005,1,MATCH(COLUMNS($AC$1006:AQ1006),$AC$1006:$AS$1006,0))&gt;=100000), " ",IF(INDEX($AC$2:$AS$1001,MATCH(ROWS($V$2:V832),$V$2:$V$1001,0),MATCH(COLUMNS($AC$1006:AQ1006),$AC$1006:$AS$1006,0)), HYPERLINK("#",""), HYPERLINK(CONCATENATE("#Metadata!", ADDRESS(INDEX($X$2:$X$1001,MATCH(ROWS($V$2:V832),$V$2:$V$1001,0),0), INDEX($AC$1004:$AS$1004,1,MATCH(COLUMNS($AC$1006:AQ1006),$AC$1006:$AS$1006,0)))),"Fix")))</f>
        <v>0</v>
      </c>
      <c r="Q832" s="5">
        <f>IF(OR(INDEX($W$2:$W$1001,MATCH(ROWS($V$2:V832),$V$2:$V$1001,0),1)&gt;=100000,INDEX($AC$1005:$AS$1005,1,MATCH(COLUMNS($AC$1006:AR1006),$AC$1006:$AS$1006,0))&gt;=100000), " ",IF(INDEX($AC$2:$AS$1001,MATCH(ROWS($V$2:V832),$V$2:$V$1001,0),MATCH(COLUMNS($AC$1006:AR1006),$AC$1006:$AS$1006,0)), HYPERLINK("#",""), HYPERLINK(CONCATENATE("#Metadata!", ADDRESS(INDEX($X$2:$X$1001,MATCH(ROWS($V$2:V832),$V$2:$V$1001,0),0), INDEX($AC$1004:$AS$1004,1,MATCH(COLUMNS($AC$1006:AR1006),$AC$1006:$AS$1006,0)))),"Fix")))</f>
        <v>0</v>
      </c>
      <c r="R832" s="5">
        <f>IF(OR(INDEX($W$2:$W$1001,MATCH(ROWS($V$2:V832),$V$2:$V$1001,0),1)&gt;=100000,INDEX($AC$1005:$AS$1005,1,MATCH(COLUMNS($AC$1006:AS1006),$AC$1006:$AS$1006,0))&gt;=100000), " ",IF(INDEX($AC$2:$AS$1001,MATCH(ROWS($V$2:V832),$V$2:$V$1001,0),MATCH(COLUMNS($AC$1006:AS1006),$AC$1006:$AS$1006,0)), HYPERLINK("#",""), HYPERLINK(CONCATENATE("#Metadata!", ADDRESS(INDEX($X$2:$X$1001,MATCH(ROWS($V$2:V832),$V$2:$V$1001,0),0), INDEX($AC$1004:$AS$1004,1,MATCH(COLUMNS($AC$1006:AS1006),$AC$1006:$AS$1006,0)))),"Fix")))</f>
        <v>0</v>
      </c>
      <c r="V832">
        <v>0</v>
      </c>
      <c r="W832">
        <v>0</v>
      </c>
      <c r="X832">
        <v>0</v>
      </c>
      <c r="Y832">
        <f>IF(Z832,TRUE,AND(AC832:AS832))</f>
        <v>0</v>
      </c>
      <c r="Z832">
        <f>COUNTBLANK(Metadata!B832:R832)=COLUMNS(Metadata!B832:R832)</f>
        <v>0</v>
      </c>
      <c r="AA832">
        <v>0</v>
      </c>
      <c r="AC832">
        <f>AND(IF(Metadata!B832="",FALSE,TRUE),COUNTIF(Metadata!B:B, Metadata!B832) = 1,NOT(ISERROR(SUMPRODUCT(SEARCH(MID(Metadata!B832,ROW(INDIRECT("1:"&amp;LEN(Metadata!B832))), 1),"0123456789abcdefghijklmnopqrstuvwxyzABCDEFGHIJKLMNOPQRSTUVWXYZ.")))))</f>
        <v>0</v>
      </c>
      <c r="AD832">
        <f>AND(IF(Metadata!C832="",FALSE,TRUE),exact(Metadata!C832,"Host-associated"))</f>
        <v>0</v>
      </c>
      <c r="AE832">
        <f>AND(IF(Metadata!D832="",FALSE,TRUE),OR(exact(Metadata!D832,"Animal"),exact(Metadata!D832,"Fungus"),exact(Metadata!D832,"Plant")))</f>
        <v>0</v>
      </c>
      <c r="AF832">
        <f>AND(IF(Metadata!E832="",FALSE,TRUE),OR(exact(Metadata!E832,"Plant secretion"),exact(Metadata!E832,"Plant rhizosphere"),exact(Metadata!E832,"Plant surface"),exact(Metadata!E832,"Plant corpus"),exact(Metadata!E832,"Fungus surface"),exact(Metadata!E832,"Fungus corpus"),exact(Metadata!E832,"Animal surface"),exact(Metadata!E832,"Animal proximal gut"),exact(Metadata!E832,"Animal corpus"),exact(Metadata!E832,"Animal distal gut"),exact(Metadata!E832,"Animal secretion")))</f>
        <v>0</v>
      </c>
      <c r="AG832">
        <f>OR(AND(IF(Metadata!F832="",FALSE,TRUE),OR(exact(Metadata!F832,"not collected"),exact(Metadata!F832,"not provided"),exact(Metadata!F832,"restricted access"))),AND(IF(Metadata!F832="",FALSE,TRUE),OR(exact(Metadata!F832,"organism-associated habitat"),exact(Metadata!F832,"plant-associated habitat"),exact(Metadata!F832,"animal-associated habitat"),exact(Metadata!F832,"insecta-associated habitat"),exact(Metadata!F832,"mammalia-associated habitat"),exact(Metadata!F832,"human-associated habitat"),exact(Metadata!F832,"livestock-associated habitat"))))</f>
        <v>0</v>
      </c>
      <c r="AH832">
        <f>AND(IF(Metadata!G832="",FALSE,TRUE),exact(Metadata!G832,"host-associated"))</f>
        <v>0</v>
      </c>
      <c r="AI832">
        <f>OR(AND(IF(Metadata!H832="",FALSE,TRUE),OR(exact(Metadata!H832,"not collected"),exact(Metadata!H832,"not provided"))),AND(IF(Metadata!H832="",FALSE,ISNUMBER(VALUE(Metadata!H832))),Metadata!H832&gt;0))</f>
        <v>0</v>
      </c>
      <c r="AJ832">
        <f>AND(IF(Metadata!I832="",FALSE,TRUE),exact(Metadata!I832,"years"))</f>
        <v>0</v>
      </c>
      <c r="AK832">
        <f>IF(Metadata!J832="",FALSE,TRUE)</f>
        <v>0</v>
      </c>
      <c r="AL832">
        <f>OR(AND(IF(Metadata!K832="",FALSE,TRUE),OR(exact(Metadata!K832,"not collected"),exact(Metadata!K832,"not provided"))),AND(IF(Metadata!K832="",FALSE,ISNUMBER(VALUE(Metadata!K832))),Metadata!K832&gt;0))</f>
        <v>0</v>
      </c>
      <c r="AM832">
        <f>AND(IF(Metadata!L832="",FALSE,TRUE),exact(Metadata!L832,"cm"))</f>
        <v>0</v>
      </c>
      <c r="AN832">
        <f>IF(Metadata!M832="",FALSE,TRUE)</f>
        <v>0</v>
      </c>
      <c r="AO832">
        <f>OR(AND(IF(Metadata!N832="",FALSE,TRUE),OR(exact(Metadata!N832,"not applicable"),exact(Metadata!N832,"not collected"),exact(Metadata!N832,"not provided"))),AND(IF(Metadata!N832="",FALSE,IF(ISERROR(INT(Metadata!N832)),FALSE,INT(Metadata!N832)=Metadata!N832)),Metadata!N832&gt;0))</f>
        <v>0</v>
      </c>
      <c r="AP832">
        <f>OR(AND(IF(Metadata!O832="",FALSE,TRUE),OR(exact(Metadata!O832,"not collected"),exact(Metadata!O832,"not provided"))),AND(IF(Metadata!O832="",FALSE,ISNUMBER(VALUE(Metadata!O832))),Metadata!O832&gt;0))</f>
        <v>0</v>
      </c>
      <c r="AQ832">
        <f>AND(IF(Metadata!P832="",FALSE,TRUE),exact(Metadata!P832,"kg"))</f>
        <v>0</v>
      </c>
      <c r="AR832">
        <f>OR(AND(IF(Metadata!Q832="",FALSE,TRUE),OR(exact(Metadata!Q832,"not applicable"),exact(Metadata!Q832,"not collected"),exact(Metadata!Q832,"not provided"),exact(Metadata!Q832,"restricted access"))),IF(Metadata!Q832="",FALSE,IF(ISERROR(INT(Metadata!Q832)),FALSE,INT(Metadata!Q832)=Metadata!Q832)))</f>
        <v>0</v>
      </c>
      <c r="AS832">
        <f>AND(IF(Metadata!R832="",FALSE,TRUE),exact(Metadata!R832,"Not applicable"))</f>
        <v>0</v>
      </c>
    </row>
    <row r="833" spans="1:45">
      <c r="A833" s="4">
        <f>IF(B833=" "," ",HYPERLINK(CONCATENATE("#metadata!",ADDRESS(INDEX($X$2:$X$1001,MATCH(ROWS($V$2:V833),$V$2:$V$1001,0),0),2)),INDEX($AA$2:$AA$1001,MATCH(ROWS($V$2:V833),$V$2:$V$1001,0),0)))</f>
        <v>0</v>
      </c>
      <c r="B833" s="5">
        <f>IF(OR(INDEX($W$2:$W$1001,MATCH(ROWS($V$2:V833),$V$2:$V$1001,0),1)&gt;=100000,INDEX($AC$1005:$AS$1005,1,MATCH(COLUMNS($AC$1006:AC1006),$AC$1006:$AS$1006,0))&gt;=100000), " ",IF(INDEX($AC$2:$AS$1001,MATCH(ROWS($V$2:V833),$V$2:$V$1001,0),MATCH(COLUMNS($AC$1006:AC1006),$AC$1006:$AS$1006,0)), HYPERLINK("#",""), HYPERLINK(CONCATENATE("#Metadata!", ADDRESS(INDEX($X$2:$X$1001,MATCH(ROWS($V$2:V833),$V$2:$V$1001,0),0), INDEX($AC$1004:$AS$1004,1,MATCH(COLUMNS($AC$1006:AC1006),$AC$1006:$AS$1006,0)))),"Fix")))</f>
        <v>0</v>
      </c>
      <c r="C833" s="5">
        <f>IF(OR(INDEX($W$2:$W$1001,MATCH(ROWS($V$2:V833),$V$2:$V$1001,0),1)&gt;=100000,INDEX($AC$1005:$AS$1005,1,MATCH(COLUMNS($AC$1006:AD1006),$AC$1006:$AS$1006,0))&gt;=100000), " ",IF(INDEX($AC$2:$AS$1001,MATCH(ROWS($V$2:V833),$V$2:$V$1001,0),MATCH(COLUMNS($AC$1006:AD1006),$AC$1006:$AS$1006,0)), HYPERLINK("#",""), HYPERLINK(CONCATENATE("#Metadata!", ADDRESS(INDEX($X$2:$X$1001,MATCH(ROWS($V$2:V833),$V$2:$V$1001,0),0), INDEX($AC$1004:$AS$1004,1,MATCH(COLUMNS($AC$1006:AD1006),$AC$1006:$AS$1006,0)))),"Fix")))</f>
        <v>0</v>
      </c>
      <c r="D833" s="5">
        <f>IF(OR(INDEX($W$2:$W$1001,MATCH(ROWS($V$2:V833),$V$2:$V$1001,0),1)&gt;=100000,INDEX($AC$1005:$AS$1005,1,MATCH(COLUMNS($AC$1006:AE1006),$AC$1006:$AS$1006,0))&gt;=100000), " ",IF(INDEX($AC$2:$AS$1001,MATCH(ROWS($V$2:V833),$V$2:$V$1001,0),MATCH(COLUMNS($AC$1006:AE1006),$AC$1006:$AS$1006,0)), HYPERLINK("#",""), HYPERLINK(CONCATENATE("#Metadata!", ADDRESS(INDEX($X$2:$X$1001,MATCH(ROWS($V$2:V833),$V$2:$V$1001,0),0), INDEX($AC$1004:$AS$1004,1,MATCH(COLUMNS($AC$1006:AE1006),$AC$1006:$AS$1006,0)))),"Fix")))</f>
        <v>0</v>
      </c>
      <c r="E833" s="5">
        <f>IF(OR(INDEX($W$2:$W$1001,MATCH(ROWS($V$2:V833),$V$2:$V$1001,0),1)&gt;=100000,INDEX($AC$1005:$AS$1005,1,MATCH(COLUMNS($AC$1006:AF1006),$AC$1006:$AS$1006,0))&gt;=100000), " ",IF(INDEX($AC$2:$AS$1001,MATCH(ROWS($V$2:V833),$V$2:$V$1001,0),MATCH(COLUMNS($AC$1006:AF1006),$AC$1006:$AS$1006,0)), HYPERLINK("#",""), HYPERLINK(CONCATENATE("#Metadata!", ADDRESS(INDEX($X$2:$X$1001,MATCH(ROWS($V$2:V833),$V$2:$V$1001,0),0), INDEX($AC$1004:$AS$1004,1,MATCH(COLUMNS($AC$1006:AF1006),$AC$1006:$AS$1006,0)))),"Fix")))</f>
        <v>0</v>
      </c>
      <c r="F833" s="5">
        <f>IF(OR(INDEX($W$2:$W$1001,MATCH(ROWS($V$2:V833),$V$2:$V$1001,0),1)&gt;=100000,INDEX($AC$1005:$AS$1005,1,MATCH(COLUMNS($AC$1006:AG1006),$AC$1006:$AS$1006,0))&gt;=100000), " ",IF(INDEX($AC$2:$AS$1001,MATCH(ROWS($V$2:V833),$V$2:$V$1001,0),MATCH(COLUMNS($AC$1006:AG1006),$AC$1006:$AS$1006,0)), HYPERLINK("#",""), HYPERLINK(CONCATENATE("#Metadata!", ADDRESS(INDEX($X$2:$X$1001,MATCH(ROWS($V$2:V833),$V$2:$V$1001,0),0), INDEX($AC$1004:$AS$1004,1,MATCH(COLUMNS($AC$1006:AG1006),$AC$1006:$AS$1006,0)))),"Fix")))</f>
        <v>0</v>
      </c>
      <c r="G833" s="5">
        <f>IF(OR(INDEX($W$2:$W$1001,MATCH(ROWS($V$2:V833),$V$2:$V$1001,0),1)&gt;=100000,INDEX($AC$1005:$AS$1005,1,MATCH(COLUMNS($AC$1006:AH1006),$AC$1006:$AS$1006,0))&gt;=100000), " ",IF(INDEX($AC$2:$AS$1001,MATCH(ROWS($V$2:V833),$V$2:$V$1001,0),MATCH(COLUMNS($AC$1006:AH1006),$AC$1006:$AS$1006,0)), HYPERLINK("#",""), HYPERLINK(CONCATENATE("#Metadata!", ADDRESS(INDEX($X$2:$X$1001,MATCH(ROWS($V$2:V833),$V$2:$V$1001,0),0), INDEX($AC$1004:$AS$1004,1,MATCH(COLUMNS($AC$1006:AH1006),$AC$1006:$AS$1006,0)))),"Fix")))</f>
        <v>0</v>
      </c>
      <c r="H833" s="5">
        <f>IF(OR(INDEX($W$2:$W$1001,MATCH(ROWS($V$2:V833),$V$2:$V$1001,0),1)&gt;=100000,INDEX($AC$1005:$AS$1005,1,MATCH(COLUMNS($AC$1006:AI1006),$AC$1006:$AS$1006,0))&gt;=100000), " ",IF(INDEX($AC$2:$AS$1001,MATCH(ROWS($V$2:V833),$V$2:$V$1001,0),MATCH(COLUMNS($AC$1006:AI1006),$AC$1006:$AS$1006,0)), HYPERLINK("#",""), HYPERLINK(CONCATENATE("#Metadata!", ADDRESS(INDEX($X$2:$X$1001,MATCH(ROWS($V$2:V833),$V$2:$V$1001,0),0), INDEX($AC$1004:$AS$1004,1,MATCH(COLUMNS($AC$1006:AI1006),$AC$1006:$AS$1006,0)))),"Fix")))</f>
        <v>0</v>
      </c>
      <c r="I833" s="5">
        <f>IF(OR(INDEX($W$2:$W$1001,MATCH(ROWS($V$2:V833),$V$2:$V$1001,0),1)&gt;=100000,INDEX($AC$1005:$AS$1005,1,MATCH(COLUMNS($AC$1006:AJ1006),$AC$1006:$AS$1006,0))&gt;=100000), " ",IF(INDEX($AC$2:$AS$1001,MATCH(ROWS($V$2:V833),$V$2:$V$1001,0),MATCH(COLUMNS($AC$1006:AJ1006),$AC$1006:$AS$1006,0)), HYPERLINK("#",""), HYPERLINK(CONCATENATE("#Metadata!", ADDRESS(INDEX($X$2:$X$1001,MATCH(ROWS($V$2:V833),$V$2:$V$1001,0),0), INDEX($AC$1004:$AS$1004,1,MATCH(COLUMNS($AC$1006:AJ1006),$AC$1006:$AS$1006,0)))),"Fix")))</f>
        <v>0</v>
      </c>
      <c r="J833" s="5">
        <f>IF(OR(INDEX($W$2:$W$1001,MATCH(ROWS($V$2:V833),$V$2:$V$1001,0),1)&gt;=100000,INDEX($AC$1005:$AS$1005,1,MATCH(COLUMNS($AC$1006:AK1006),$AC$1006:$AS$1006,0))&gt;=100000), " ",IF(INDEX($AC$2:$AS$1001,MATCH(ROWS($V$2:V833),$V$2:$V$1001,0),MATCH(COLUMNS($AC$1006:AK1006),$AC$1006:$AS$1006,0)), HYPERLINK("#",""), HYPERLINK(CONCATENATE("#Metadata!", ADDRESS(INDEX($X$2:$X$1001,MATCH(ROWS($V$2:V833),$V$2:$V$1001,0),0), INDEX($AC$1004:$AS$1004,1,MATCH(COLUMNS($AC$1006:AK1006),$AC$1006:$AS$1006,0)))),"Fix")))</f>
        <v>0</v>
      </c>
      <c r="K833" s="5">
        <f>IF(OR(INDEX($W$2:$W$1001,MATCH(ROWS($V$2:V833),$V$2:$V$1001,0),1)&gt;=100000,INDEX($AC$1005:$AS$1005,1,MATCH(COLUMNS($AC$1006:AL1006),$AC$1006:$AS$1006,0))&gt;=100000), " ",IF(INDEX($AC$2:$AS$1001,MATCH(ROWS($V$2:V833),$V$2:$V$1001,0),MATCH(COLUMNS($AC$1006:AL1006),$AC$1006:$AS$1006,0)), HYPERLINK("#",""), HYPERLINK(CONCATENATE("#Metadata!", ADDRESS(INDEX($X$2:$X$1001,MATCH(ROWS($V$2:V833),$V$2:$V$1001,0),0), INDEX($AC$1004:$AS$1004,1,MATCH(COLUMNS($AC$1006:AL1006),$AC$1006:$AS$1006,0)))),"Fix")))</f>
        <v>0</v>
      </c>
      <c r="L833" s="5">
        <f>IF(OR(INDEX($W$2:$W$1001,MATCH(ROWS($V$2:V833),$V$2:$V$1001,0),1)&gt;=100000,INDEX($AC$1005:$AS$1005,1,MATCH(COLUMNS($AC$1006:AM1006),$AC$1006:$AS$1006,0))&gt;=100000), " ",IF(INDEX($AC$2:$AS$1001,MATCH(ROWS($V$2:V833),$V$2:$V$1001,0),MATCH(COLUMNS($AC$1006:AM1006),$AC$1006:$AS$1006,0)), HYPERLINK("#",""), HYPERLINK(CONCATENATE("#Metadata!", ADDRESS(INDEX($X$2:$X$1001,MATCH(ROWS($V$2:V833),$V$2:$V$1001,0),0), INDEX($AC$1004:$AS$1004,1,MATCH(COLUMNS($AC$1006:AM1006),$AC$1006:$AS$1006,0)))),"Fix")))</f>
        <v>0</v>
      </c>
      <c r="M833" s="5">
        <f>IF(OR(INDEX($W$2:$W$1001,MATCH(ROWS($V$2:V833),$V$2:$V$1001,0),1)&gt;=100000,INDEX($AC$1005:$AS$1005,1,MATCH(COLUMNS($AC$1006:AN1006),$AC$1006:$AS$1006,0))&gt;=100000), " ",IF(INDEX($AC$2:$AS$1001,MATCH(ROWS($V$2:V833),$V$2:$V$1001,0),MATCH(COLUMNS($AC$1006:AN1006),$AC$1006:$AS$1006,0)), HYPERLINK("#",""), HYPERLINK(CONCATENATE("#Metadata!", ADDRESS(INDEX($X$2:$X$1001,MATCH(ROWS($V$2:V833),$V$2:$V$1001,0),0), INDEX($AC$1004:$AS$1004,1,MATCH(COLUMNS($AC$1006:AN1006),$AC$1006:$AS$1006,0)))),"Fix")))</f>
        <v>0</v>
      </c>
      <c r="N833" s="5">
        <f>IF(OR(INDEX($W$2:$W$1001,MATCH(ROWS($V$2:V833),$V$2:$V$1001,0),1)&gt;=100000,INDEX($AC$1005:$AS$1005,1,MATCH(COLUMNS($AC$1006:AO1006),$AC$1006:$AS$1006,0))&gt;=100000), " ",IF(INDEX($AC$2:$AS$1001,MATCH(ROWS($V$2:V833),$V$2:$V$1001,0),MATCH(COLUMNS($AC$1006:AO1006),$AC$1006:$AS$1006,0)), HYPERLINK("#",""), HYPERLINK(CONCATENATE("#Metadata!", ADDRESS(INDEX($X$2:$X$1001,MATCH(ROWS($V$2:V833),$V$2:$V$1001,0),0), INDEX($AC$1004:$AS$1004,1,MATCH(COLUMNS($AC$1006:AO1006),$AC$1006:$AS$1006,0)))),"Fix")))</f>
        <v>0</v>
      </c>
      <c r="O833" s="5">
        <f>IF(OR(INDEX($W$2:$W$1001,MATCH(ROWS($V$2:V833),$V$2:$V$1001,0),1)&gt;=100000,INDEX($AC$1005:$AS$1005,1,MATCH(COLUMNS($AC$1006:AP1006),$AC$1006:$AS$1006,0))&gt;=100000), " ",IF(INDEX($AC$2:$AS$1001,MATCH(ROWS($V$2:V833),$V$2:$V$1001,0),MATCH(COLUMNS($AC$1006:AP1006),$AC$1006:$AS$1006,0)), HYPERLINK("#",""), HYPERLINK(CONCATENATE("#Metadata!", ADDRESS(INDEX($X$2:$X$1001,MATCH(ROWS($V$2:V833),$V$2:$V$1001,0),0), INDEX($AC$1004:$AS$1004,1,MATCH(COLUMNS($AC$1006:AP1006),$AC$1006:$AS$1006,0)))),"Fix")))</f>
        <v>0</v>
      </c>
      <c r="P833" s="5">
        <f>IF(OR(INDEX($W$2:$W$1001,MATCH(ROWS($V$2:V833),$V$2:$V$1001,0),1)&gt;=100000,INDEX($AC$1005:$AS$1005,1,MATCH(COLUMNS($AC$1006:AQ1006),$AC$1006:$AS$1006,0))&gt;=100000), " ",IF(INDEX($AC$2:$AS$1001,MATCH(ROWS($V$2:V833),$V$2:$V$1001,0),MATCH(COLUMNS($AC$1006:AQ1006),$AC$1006:$AS$1006,0)), HYPERLINK("#",""), HYPERLINK(CONCATENATE("#Metadata!", ADDRESS(INDEX($X$2:$X$1001,MATCH(ROWS($V$2:V833),$V$2:$V$1001,0),0), INDEX($AC$1004:$AS$1004,1,MATCH(COLUMNS($AC$1006:AQ1006),$AC$1006:$AS$1006,0)))),"Fix")))</f>
        <v>0</v>
      </c>
      <c r="Q833" s="5">
        <f>IF(OR(INDEX($W$2:$W$1001,MATCH(ROWS($V$2:V833),$V$2:$V$1001,0),1)&gt;=100000,INDEX($AC$1005:$AS$1005,1,MATCH(COLUMNS($AC$1006:AR1006),$AC$1006:$AS$1006,0))&gt;=100000), " ",IF(INDEX($AC$2:$AS$1001,MATCH(ROWS($V$2:V833),$V$2:$V$1001,0),MATCH(COLUMNS($AC$1006:AR1006),$AC$1006:$AS$1006,0)), HYPERLINK("#",""), HYPERLINK(CONCATENATE("#Metadata!", ADDRESS(INDEX($X$2:$X$1001,MATCH(ROWS($V$2:V833),$V$2:$V$1001,0),0), INDEX($AC$1004:$AS$1004,1,MATCH(COLUMNS($AC$1006:AR1006),$AC$1006:$AS$1006,0)))),"Fix")))</f>
        <v>0</v>
      </c>
      <c r="R833" s="5">
        <f>IF(OR(INDEX($W$2:$W$1001,MATCH(ROWS($V$2:V833),$V$2:$V$1001,0),1)&gt;=100000,INDEX($AC$1005:$AS$1005,1,MATCH(COLUMNS($AC$1006:AS1006),$AC$1006:$AS$1006,0))&gt;=100000), " ",IF(INDEX($AC$2:$AS$1001,MATCH(ROWS($V$2:V833),$V$2:$V$1001,0),MATCH(COLUMNS($AC$1006:AS1006),$AC$1006:$AS$1006,0)), HYPERLINK("#",""), HYPERLINK(CONCATENATE("#Metadata!", ADDRESS(INDEX($X$2:$X$1001,MATCH(ROWS($V$2:V833),$V$2:$V$1001,0),0), INDEX($AC$1004:$AS$1004,1,MATCH(COLUMNS($AC$1006:AS1006),$AC$1006:$AS$1006,0)))),"Fix")))</f>
        <v>0</v>
      </c>
      <c r="V833">
        <v>0</v>
      </c>
      <c r="W833">
        <v>0</v>
      </c>
      <c r="X833">
        <v>0</v>
      </c>
      <c r="Y833">
        <f>IF(Z833,TRUE,AND(AC833:AS833))</f>
        <v>0</v>
      </c>
      <c r="Z833">
        <f>COUNTBLANK(Metadata!B833:R833)=COLUMNS(Metadata!B833:R833)</f>
        <v>0</v>
      </c>
      <c r="AA833">
        <v>0</v>
      </c>
      <c r="AC833">
        <f>AND(IF(Metadata!B833="",FALSE,TRUE),COUNTIF(Metadata!B:B, Metadata!B833) = 1,NOT(ISERROR(SUMPRODUCT(SEARCH(MID(Metadata!B833,ROW(INDIRECT("1:"&amp;LEN(Metadata!B833))), 1),"0123456789abcdefghijklmnopqrstuvwxyzABCDEFGHIJKLMNOPQRSTUVWXYZ.")))))</f>
        <v>0</v>
      </c>
      <c r="AD833">
        <f>AND(IF(Metadata!C833="",FALSE,TRUE),exact(Metadata!C833,"Host-associated"))</f>
        <v>0</v>
      </c>
      <c r="AE833">
        <f>AND(IF(Metadata!D833="",FALSE,TRUE),OR(exact(Metadata!D833,"Animal"),exact(Metadata!D833,"Fungus"),exact(Metadata!D833,"Plant")))</f>
        <v>0</v>
      </c>
      <c r="AF833">
        <f>AND(IF(Metadata!E833="",FALSE,TRUE),OR(exact(Metadata!E833,"Plant secretion"),exact(Metadata!E833,"Plant rhizosphere"),exact(Metadata!E833,"Plant surface"),exact(Metadata!E833,"Plant corpus"),exact(Metadata!E833,"Fungus surface"),exact(Metadata!E833,"Fungus corpus"),exact(Metadata!E833,"Animal surface"),exact(Metadata!E833,"Animal proximal gut"),exact(Metadata!E833,"Animal corpus"),exact(Metadata!E833,"Animal distal gut"),exact(Metadata!E833,"Animal secretion")))</f>
        <v>0</v>
      </c>
      <c r="AG833">
        <f>OR(AND(IF(Metadata!F833="",FALSE,TRUE),OR(exact(Metadata!F833,"not collected"),exact(Metadata!F833,"not provided"),exact(Metadata!F833,"restricted access"))),AND(IF(Metadata!F833="",FALSE,TRUE),OR(exact(Metadata!F833,"organism-associated habitat"),exact(Metadata!F833,"plant-associated habitat"),exact(Metadata!F833,"animal-associated habitat"),exact(Metadata!F833,"insecta-associated habitat"),exact(Metadata!F833,"mammalia-associated habitat"),exact(Metadata!F833,"human-associated habitat"),exact(Metadata!F833,"livestock-associated habitat"))))</f>
        <v>0</v>
      </c>
      <c r="AH833">
        <f>AND(IF(Metadata!G833="",FALSE,TRUE),exact(Metadata!G833,"host-associated"))</f>
        <v>0</v>
      </c>
      <c r="AI833">
        <f>OR(AND(IF(Metadata!H833="",FALSE,TRUE),OR(exact(Metadata!H833,"not collected"),exact(Metadata!H833,"not provided"))),AND(IF(Metadata!H833="",FALSE,ISNUMBER(VALUE(Metadata!H833))),Metadata!H833&gt;0))</f>
        <v>0</v>
      </c>
      <c r="AJ833">
        <f>AND(IF(Metadata!I833="",FALSE,TRUE),exact(Metadata!I833,"years"))</f>
        <v>0</v>
      </c>
      <c r="AK833">
        <f>IF(Metadata!J833="",FALSE,TRUE)</f>
        <v>0</v>
      </c>
      <c r="AL833">
        <f>OR(AND(IF(Metadata!K833="",FALSE,TRUE),OR(exact(Metadata!K833,"not collected"),exact(Metadata!K833,"not provided"))),AND(IF(Metadata!K833="",FALSE,ISNUMBER(VALUE(Metadata!K833))),Metadata!K833&gt;0))</f>
        <v>0</v>
      </c>
      <c r="AM833">
        <f>AND(IF(Metadata!L833="",FALSE,TRUE),exact(Metadata!L833,"cm"))</f>
        <v>0</v>
      </c>
      <c r="AN833">
        <f>IF(Metadata!M833="",FALSE,TRUE)</f>
        <v>0</v>
      </c>
      <c r="AO833">
        <f>OR(AND(IF(Metadata!N833="",FALSE,TRUE),OR(exact(Metadata!N833,"not applicable"),exact(Metadata!N833,"not collected"),exact(Metadata!N833,"not provided"))),AND(IF(Metadata!N833="",FALSE,IF(ISERROR(INT(Metadata!N833)),FALSE,INT(Metadata!N833)=Metadata!N833)),Metadata!N833&gt;0))</f>
        <v>0</v>
      </c>
      <c r="AP833">
        <f>OR(AND(IF(Metadata!O833="",FALSE,TRUE),OR(exact(Metadata!O833,"not collected"),exact(Metadata!O833,"not provided"))),AND(IF(Metadata!O833="",FALSE,ISNUMBER(VALUE(Metadata!O833))),Metadata!O833&gt;0))</f>
        <v>0</v>
      </c>
      <c r="AQ833">
        <f>AND(IF(Metadata!P833="",FALSE,TRUE),exact(Metadata!P833,"kg"))</f>
        <v>0</v>
      </c>
      <c r="AR833">
        <f>OR(AND(IF(Metadata!Q833="",FALSE,TRUE),OR(exact(Metadata!Q833,"not applicable"),exact(Metadata!Q833,"not collected"),exact(Metadata!Q833,"not provided"),exact(Metadata!Q833,"restricted access"))),IF(Metadata!Q833="",FALSE,IF(ISERROR(INT(Metadata!Q833)),FALSE,INT(Metadata!Q833)=Metadata!Q833)))</f>
        <v>0</v>
      </c>
      <c r="AS833">
        <f>AND(IF(Metadata!R833="",FALSE,TRUE),exact(Metadata!R833,"Not applicable"))</f>
        <v>0</v>
      </c>
    </row>
    <row r="834" spans="1:45">
      <c r="A834" s="4">
        <f>IF(B834=" "," ",HYPERLINK(CONCATENATE("#metadata!",ADDRESS(INDEX($X$2:$X$1001,MATCH(ROWS($V$2:V834),$V$2:$V$1001,0),0),2)),INDEX($AA$2:$AA$1001,MATCH(ROWS($V$2:V834),$V$2:$V$1001,0),0)))</f>
        <v>0</v>
      </c>
      <c r="B834" s="5">
        <f>IF(OR(INDEX($W$2:$W$1001,MATCH(ROWS($V$2:V834),$V$2:$V$1001,0),1)&gt;=100000,INDEX($AC$1005:$AS$1005,1,MATCH(COLUMNS($AC$1006:AC1006),$AC$1006:$AS$1006,0))&gt;=100000), " ",IF(INDEX($AC$2:$AS$1001,MATCH(ROWS($V$2:V834),$V$2:$V$1001,0),MATCH(COLUMNS($AC$1006:AC1006),$AC$1006:$AS$1006,0)), HYPERLINK("#",""), HYPERLINK(CONCATENATE("#Metadata!", ADDRESS(INDEX($X$2:$X$1001,MATCH(ROWS($V$2:V834),$V$2:$V$1001,0),0), INDEX($AC$1004:$AS$1004,1,MATCH(COLUMNS($AC$1006:AC1006),$AC$1006:$AS$1006,0)))),"Fix")))</f>
        <v>0</v>
      </c>
      <c r="C834" s="5">
        <f>IF(OR(INDEX($W$2:$W$1001,MATCH(ROWS($V$2:V834),$V$2:$V$1001,0),1)&gt;=100000,INDEX($AC$1005:$AS$1005,1,MATCH(COLUMNS($AC$1006:AD1006),$AC$1006:$AS$1006,0))&gt;=100000), " ",IF(INDEX($AC$2:$AS$1001,MATCH(ROWS($V$2:V834),$V$2:$V$1001,0),MATCH(COLUMNS($AC$1006:AD1006),$AC$1006:$AS$1006,0)), HYPERLINK("#",""), HYPERLINK(CONCATENATE("#Metadata!", ADDRESS(INDEX($X$2:$X$1001,MATCH(ROWS($V$2:V834),$V$2:$V$1001,0),0), INDEX($AC$1004:$AS$1004,1,MATCH(COLUMNS($AC$1006:AD1006),$AC$1006:$AS$1006,0)))),"Fix")))</f>
        <v>0</v>
      </c>
      <c r="D834" s="5">
        <f>IF(OR(INDEX($W$2:$W$1001,MATCH(ROWS($V$2:V834),$V$2:$V$1001,0),1)&gt;=100000,INDEX($AC$1005:$AS$1005,1,MATCH(COLUMNS($AC$1006:AE1006),$AC$1006:$AS$1006,0))&gt;=100000), " ",IF(INDEX($AC$2:$AS$1001,MATCH(ROWS($V$2:V834),$V$2:$V$1001,0),MATCH(COLUMNS($AC$1006:AE1006),$AC$1006:$AS$1006,0)), HYPERLINK("#",""), HYPERLINK(CONCATENATE("#Metadata!", ADDRESS(INDEX($X$2:$X$1001,MATCH(ROWS($V$2:V834),$V$2:$V$1001,0),0), INDEX($AC$1004:$AS$1004,1,MATCH(COLUMNS($AC$1006:AE1006),$AC$1006:$AS$1006,0)))),"Fix")))</f>
        <v>0</v>
      </c>
      <c r="E834" s="5">
        <f>IF(OR(INDEX($W$2:$W$1001,MATCH(ROWS($V$2:V834),$V$2:$V$1001,0),1)&gt;=100000,INDEX($AC$1005:$AS$1005,1,MATCH(COLUMNS($AC$1006:AF1006),$AC$1006:$AS$1006,0))&gt;=100000), " ",IF(INDEX($AC$2:$AS$1001,MATCH(ROWS($V$2:V834),$V$2:$V$1001,0),MATCH(COLUMNS($AC$1006:AF1006),$AC$1006:$AS$1006,0)), HYPERLINK("#",""), HYPERLINK(CONCATENATE("#Metadata!", ADDRESS(INDEX($X$2:$X$1001,MATCH(ROWS($V$2:V834),$V$2:$V$1001,0),0), INDEX($AC$1004:$AS$1004,1,MATCH(COLUMNS($AC$1006:AF1006),$AC$1006:$AS$1006,0)))),"Fix")))</f>
        <v>0</v>
      </c>
      <c r="F834" s="5">
        <f>IF(OR(INDEX($W$2:$W$1001,MATCH(ROWS($V$2:V834),$V$2:$V$1001,0),1)&gt;=100000,INDEX($AC$1005:$AS$1005,1,MATCH(COLUMNS($AC$1006:AG1006),$AC$1006:$AS$1006,0))&gt;=100000), " ",IF(INDEX($AC$2:$AS$1001,MATCH(ROWS($V$2:V834),$V$2:$V$1001,0),MATCH(COLUMNS($AC$1006:AG1006),$AC$1006:$AS$1006,0)), HYPERLINK("#",""), HYPERLINK(CONCATENATE("#Metadata!", ADDRESS(INDEX($X$2:$X$1001,MATCH(ROWS($V$2:V834),$V$2:$V$1001,0),0), INDEX($AC$1004:$AS$1004,1,MATCH(COLUMNS($AC$1006:AG1006),$AC$1006:$AS$1006,0)))),"Fix")))</f>
        <v>0</v>
      </c>
      <c r="G834" s="5">
        <f>IF(OR(INDEX($W$2:$W$1001,MATCH(ROWS($V$2:V834),$V$2:$V$1001,0),1)&gt;=100000,INDEX($AC$1005:$AS$1005,1,MATCH(COLUMNS($AC$1006:AH1006),$AC$1006:$AS$1006,0))&gt;=100000), " ",IF(INDEX($AC$2:$AS$1001,MATCH(ROWS($V$2:V834),$V$2:$V$1001,0),MATCH(COLUMNS($AC$1006:AH1006),$AC$1006:$AS$1006,0)), HYPERLINK("#",""), HYPERLINK(CONCATENATE("#Metadata!", ADDRESS(INDEX($X$2:$X$1001,MATCH(ROWS($V$2:V834),$V$2:$V$1001,0),0), INDEX($AC$1004:$AS$1004,1,MATCH(COLUMNS($AC$1006:AH1006),$AC$1006:$AS$1006,0)))),"Fix")))</f>
        <v>0</v>
      </c>
      <c r="H834" s="5">
        <f>IF(OR(INDEX($W$2:$W$1001,MATCH(ROWS($V$2:V834),$V$2:$V$1001,0),1)&gt;=100000,INDEX($AC$1005:$AS$1005,1,MATCH(COLUMNS($AC$1006:AI1006),$AC$1006:$AS$1006,0))&gt;=100000), " ",IF(INDEX($AC$2:$AS$1001,MATCH(ROWS($V$2:V834),$V$2:$V$1001,0),MATCH(COLUMNS($AC$1006:AI1006),$AC$1006:$AS$1006,0)), HYPERLINK("#",""), HYPERLINK(CONCATENATE("#Metadata!", ADDRESS(INDEX($X$2:$X$1001,MATCH(ROWS($V$2:V834),$V$2:$V$1001,0),0), INDEX($AC$1004:$AS$1004,1,MATCH(COLUMNS($AC$1006:AI1006),$AC$1006:$AS$1006,0)))),"Fix")))</f>
        <v>0</v>
      </c>
      <c r="I834" s="5">
        <f>IF(OR(INDEX($W$2:$W$1001,MATCH(ROWS($V$2:V834),$V$2:$V$1001,0),1)&gt;=100000,INDEX($AC$1005:$AS$1005,1,MATCH(COLUMNS($AC$1006:AJ1006),$AC$1006:$AS$1006,0))&gt;=100000), " ",IF(INDEX($AC$2:$AS$1001,MATCH(ROWS($V$2:V834),$V$2:$V$1001,0),MATCH(COLUMNS($AC$1006:AJ1006),$AC$1006:$AS$1006,0)), HYPERLINK("#",""), HYPERLINK(CONCATENATE("#Metadata!", ADDRESS(INDEX($X$2:$X$1001,MATCH(ROWS($V$2:V834),$V$2:$V$1001,0),0), INDEX($AC$1004:$AS$1004,1,MATCH(COLUMNS($AC$1006:AJ1006),$AC$1006:$AS$1006,0)))),"Fix")))</f>
        <v>0</v>
      </c>
      <c r="J834" s="5">
        <f>IF(OR(INDEX($W$2:$W$1001,MATCH(ROWS($V$2:V834),$V$2:$V$1001,0),1)&gt;=100000,INDEX($AC$1005:$AS$1005,1,MATCH(COLUMNS($AC$1006:AK1006),$AC$1006:$AS$1006,0))&gt;=100000), " ",IF(INDEX($AC$2:$AS$1001,MATCH(ROWS($V$2:V834),$V$2:$V$1001,0),MATCH(COLUMNS($AC$1006:AK1006),$AC$1006:$AS$1006,0)), HYPERLINK("#",""), HYPERLINK(CONCATENATE("#Metadata!", ADDRESS(INDEX($X$2:$X$1001,MATCH(ROWS($V$2:V834),$V$2:$V$1001,0),0), INDEX($AC$1004:$AS$1004,1,MATCH(COLUMNS($AC$1006:AK1006),$AC$1006:$AS$1006,0)))),"Fix")))</f>
        <v>0</v>
      </c>
      <c r="K834" s="5">
        <f>IF(OR(INDEX($W$2:$W$1001,MATCH(ROWS($V$2:V834),$V$2:$V$1001,0),1)&gt;=100000,INDEX($AC$1005:$AS$1005,1,MATCH(COLUMNS($AC$1006:AL1006),$AC$1006:$AS$1006,0))&gt;=100000), " ",IF(INDEX($AC$2:$AS$1001,MATCH(ROWS($V$2:V834),$V$2:$V$1001,0),MATCH(COLUMNS($AC$1006:AL1006),$AC$1006:$AS$1006,0)), HYPERLINK("#",""), HYPERLINK(CONCATENATE("#Metadata!", ADDRESS(INDEX($X$2:$X$1001,MATCH(ROWS($V$2:V834),$V$2:$V$1001,0),0), INDEX($AC$1004:$AS$1004,1,MATCH(COLUMNS($AC$1006:AL1006),$AC$1006:$AS$1006,0)))),"Fix")))</f>
        <v>0</v>
      </c>
      <c r="L834" s="5">
        <f>IF(OR(INDEX($W$2:$W$1001,MATCH(ROWS($V$2:V834),$V$2:$V$1001,0),1)&gt;=100000,INDEX($AC$1005:$AS$1005,1,MATCH(COLUMNS($AC$1006:AM1006),$AC$1006:$AS$1006,0))&gt;=100000), " ",IF(INDEX($AC$2:$AS$1001,MATCH(ROWS($V$2:V834),$V$2:$V$1001,0),MATCH(COLUMNS($AC$1006:AM1006),$AC$1006:$AS$1006,0)), HYPERLINK("#",""), HYPERLINK(CONCATENATE("#Metadata!", ADDRESS(INDEX($X$2:$X$1001,MATCH(ROWS($V$2:V834),$V$2:$V$1001,0),0), INDEX($AC$1004:$AS$1004,1,MATCH(COLUMNS($AC$1006:AM1006),$AC$1006:$AS$1006,0)))),"Fix")))</f>
        <v>0</v>
      </c>
      <c r="M834" s="5">
        <f>IF(OR(INDEX($W$2:$W$1001,MATCH(ROWS($V$2:V834),$V$2:$V$1001,0),1)&gt;=100000,INDEX($AC$1005:$AS$1005,1,MATCH(COLUMNS($AC$1006:AN1006),$AC$1006:$AS$1006,0))&gt;=100000), " ",IF(INDEX($AC$2:$AS$1001,MATCH(ROWS($V$2:V834),$V$2:$V$1001,0),MATCH(COLUMNS($AC$1006:AN1006),$AC$1006:$AS$1006,0)), HYPERLINK("#",""), HYPERLINK(CONCATENATE("#Metadata!", ADDRESS(INDEX($X$2:$X$1001,MATCH(ROWS($V$2:V834),$V$2:$V$1001,0),0), INDEX($AC$1004:$AS$1004,1,MATCH(COLUMNS($AC$1006:AN1006),$AC$1006:$AS$1006,0)))),"Fix")))</f>
        <v>0</v>
      </c>
      <c r="N834" s="5">
        <f>IF(OR(INDEX($W$2:$W$1001,MATCH(ROWS($V$2:V834),$V$2:$V$1001,0),1)&gt;=100000,INDEX($AC$1005:$AS$1005,1,MATCH(COLUMNS($AC$1006:AO1006),$AC$1006:$AS$1006,0))&gt;=100000), " ",IF(INDEX($AC$2:$AS$1001,MATCH(ROWS($V$2:V834),$V$2:$V$1001,0),MATCH(COLUMNS($AC$1006:AO1006),$AC$1006:$AS$1006,0)), HYPERLINK("#",""), HYPERLINK(CONCATENATE("#Metadata!", ADDRESS(INDEX($X$2:$X$1001,MATCH(ROWS($V$2:V834),$V$2:$V$1001,0),0), INDEX($AC$1004:$AS$1004,1,MATCH(COLUMNS($AC$1006:AO1006),$AC$1006:$AS$1006,0)))),"Fix")))</f>
        <v>0</v>
      </c>
      <c r="O834" s="5">
        <f>IF(OR(INDEX($W$2:$W$1001,MATCH(ROWS($V$2:V834),$V$2:$V$1001,0),1)&gt;=100000,INDEX($AC$1005:$AS$1005,1,MATCH(COLUMNS($AC$1006:AP1006),$AC$1006:$AS$1006,0))&gt;=100000), " ",IF(INDEX($AC$2:$AS$1001,MATCH(ROWS($V$2:V834),$V$2:$V$1001,0),MATCH(COLUMNS($AC$1006:AP1006),$AC$1006:$AS$1006,0)), HYPERLINK("#",""), HYPERLINK(CONCATENATE("#Metadata!", ADDRESS(INDEX($X$2:$X$1001,MATCH(ROWS($V$2:V834),$V$2:$V$1001,0),0), INDEX($AC$1004:$AS$1004,1,MATCH(COLUMNS($AC$1006:AP1006),$AC$1006:$AS$1006,0)))),"Fix")))</f>
        <v>0</v>
      </c>
      <c r="P834" s="5">
        <f>IF(OR(INDEX($W$2:$W$1001,MATCH(ROWS($V$2:V834),$V$2:$V$1001,0),1)&gt;=100000,INDEX($AC$1005:$AS$1005,1,MATCH(COLUMNS($AC$1006:AQ1006),$AC$1006:$AS$1006,0))&gt;=100000), " ",IF(INDEX($AC$2:$AS$1001,MATCH(ROWS($V$2:V834),$V$2:$V$1001,0),MATCH(COLUMNS($AC$1006:AQ1006),$AC$1006:$AS$1006,0)), HYPERLINK("#",""), HYPERLINK(CONCATENATE("#Metadata!", ADDRESS(INDEX($X$2:$X$1001,MATCH(ROWS($V$2:V834),$V$2:$V$1001,0),0), INDEX($AC$1004:$AS$1004,1,MATCH(COLUMNS($AC$1006:AQ1006),$AC$1006:$AS$1006,0)))),"Fix")))</f>
        <v>0</v>
      </c>
      <c r="Q834" s="5">
        <f>IF(OR(INDEX($W$2:$W$1001,MATCH(ROWS($V$2:V834),$V$2:$V$1001,0),1)&gt;=100000,INDEX($AC$1005:$AS$1005,1,MATCH(COLUMNS($AC$1006:AR1006),$AC$1006:$AS$1006,0))&gt;=100000), " ",IF(INDEX($AC$2:$AS$1001,MATCH(ROWS($V$2:V834),$V$2:$V$1001,0),MATCH(COLUMNS($AC$1006:AR1006),$AC$1006:$AS$1006,0)), HYPERLINK("#",""), HYPERLINK(CONCATENATE("#Metadata!", ADDRESS(INDEX($X$2:$X$1001,MATCH(ROWS($V$2:V834),$V$2:$V$1001,0),0), INDEX($AC$1004:$AS$1004,1,MATCH(COLUMNS($AC$1006:AR1006),$AC$1006:$AS$1006,0)))),"Fix")))</f>
        <v>0</v>
      </c>
      <c r="R834" s="5">
        <f>IF(OR(INDEX($W$2:$W$1001,MATCH(ROWS($V$2:V834),$V$2:$V$1001,0),1)&gt;=100000,INDEX($AC$1005:$AS$1005,1,MATCH(COLUMNS($AC$1006:AS1006),$AC$1006:$AS$1006,0))&gt;=100000), " ",IF(INDEX($AC$2:$AS$1001,MATCH(ROWS($V$2:V834),$V$2:$V$1001,0),MATCH(COLUMNS($AC$1006:AS1006),$AC$1006:$AS$1006,0)), HYPERLINK("#",""), HYPERLINK(CONCATENATE("#Metadata!", ADDRESS(INDEX($X$2:$X$1001,MATCH(ROWS($V$2:V834),$V$2:$V$1001,0),0), INDEX($AC$1004:$AS$1004,1,MATCH(COLUMNS($AC$1006:AS1006),$AC$1006:$AS$1006,0)))),"Fix")))</f>
        <v>0</v>
      </c>
      <c r="V834">
        <v>0</v>
      </c>
      <c r="W834">
        <v>0</v>
      </c>
      <c r="X834">
        <v>0</v>
      </c>
      <c r="Y834">
        <f>IF(Z834,TRUE,AND(AC834:AS834))</f>
        <v>0</v>
      </c>
      <c r="Z834">
        <f>COUNTBLANK(Metadata!B834:R834)=COLUMNS(Metadata!B834:R834)</f>
        <v>0</v>
      </c>
      <c r="AA834">
        <v>0</v>
      </c>
      <c r="AC834">
        <f>AND(IF(Metadata!B834="",FALSE,TRUE),COUNTIF(Metadata!B:B, Metadata!B834) = 1,NOT(ISERROR(SUMPRODUCT(SEARCH(MID(Metadata!B834,ROW(INDIRECT("1:"&amp;LEN(Metadata!B834))), 1),"0123456789abcdefghijklmnopqrstuvwxyzABCDEFGHIJKLMNOPQRSTUVWXYZ.")))))</f>
        <v>0</v>
      </c>
      <c r="AD834">
        <f>AND(IF(Metadata!C834="",FALSE,TRUE),exact(Metadata!C834,"Host-associated"))</f>
        <v>0</v>
      </c>
      <c r="AE834">
        <f>AND(IF(Metadata!D834="",FALSE,TRUE),OR(exact(Metadata!D834,"Animal"),exact(Metadata!D834,"Fungus"),exact(Metadata!D834,"Plant")))</f>
        <v>0</v>
      </c>
      <c r="AF834">
        <f>AND(IF(Metadata!E834="",FALSE,TRUE),OR(exact(Metadata!E834,"Plant secretion"),exact(Metadata!E834,"Plant rhizosphere"),exact(Metadata!E834,"Plant surface"),exact(Metadata!E834,"Plant corpus"),exact(Metadata!E834,"Fungus surface"),exact(Metadata!E834,"Fungus corpus"),exact(Metadata!E834,"Animal surface"),exact(Metadata!E834,"Animal proximal gut"),exact(Metadata!E834,"Animal corpus"),exact(Metadata!E834,"Animal distal gut"),exact(Metadata!E834,"Animal secretion")))</f>
        <v>0</v>
      </c>
      <c r="AG834">
        <f>OR(AND(IF(Metadata!F834="",FALSE,TRUE),OR(exact(Metadata!F834,"not collected"),exact(Metadata!F834,"not provided"),exact(Metadata!F834,"restricted access"))),AND(IF(Metadata!F834="",FALSE,TRUE),OR(exact(Metadata!F834,"organism-associated habitat"),exact(Metadata!F834,"plant-associated habitat"),exact(Metadata!F834,"animal-associated habitat"),exact(Metadata!F834,"insecta-associated habitat"),exact(Metadata!F834,"mammalia-associated habitat"),exact(Metadata!F834,"human-associated habitat"),exact(Metadata!F834,"livestock-associated habitat"))))</f>
        <v>0</v>
      </c>
      <c r="AH834">
        <f>AND(IF(Metadata!G834="",FALSE,TRUE),exact(Metadata!G834,"host-associated"))</f>
        <v>0</v>
      </c>
      <c r="AI834">
        <f>OR(AND(IF(Metadata!H834="",FALSE,TRUE),OR(exact(Metadata!H834,"not collected"),exact(Metadata!H834,"not provided"))),AND(IF(Metadata!H834="",FALSE,ISNUMBER(VALUE(Metadata!H834))),Metadata!H834&gt;0))</f>
        <v>0</v>
      </c>
      <c r="AJ834">
        <f>AND(IF(Metadata!I834="",FALSE,TRUE),exact(Metadata!I834,"years"))</f>
        <v>0</v>
      </c>
      <c r="AK834">
        <f>IF(Metadata!J834="",FALSE,TRUE)</f>
        <v>0</v>
      </c>
      <c r="AL834">
        <f>OR(AND(IF(Metadata!K834="",FALSE,TRUE),OR(exact(Metadata!K834,"not collected"),exact(Metadata!K834,"not provided"))),AND(IF(Metadata!K834="",FALSE,ISNUMBER(VALUE(Metadata!K834))),Metadata!K834&gt;0))</f>
        <v>0</v>
      </c>
      <c r="AM834">
        <f>AND(IF(Metadata!L834="",FALSE,TRUE),exact(Metadata!L834,"cm"))</f>
        <v>0</v>
      </c>
      <c r="AN834">
        <f>IF(Metadata!M834="",FALSE,TRUE)</f>
        <v>0</v>
      </c>
      <c r="AO834">
        <f>OR(AND(IF(Metadata!N834="",FALSE,TRUE),OR(exact(Metadata!N834,"not applicable"),exact(Metadata!N834,"not collected"),exact(Metadata!N834,"not provided"))),AND(IF(Metadata!N834="",FALSE,IF(ISERROR(INT(Metadata!N834)),FALSE,INT(Metadata!N834)=Metadata!N834)),Metadata!N834&gt;0))</f>
        <v>0</v>
      </c>
      <c r="AP834">
        <f>OR(AND(IF(Metadata!O834="",FALSE,TRUE),OR(exact(Metadata!O834,"not collected"),exact(Metadata!O834,"not provided"))),AND(IF(Metadata!O834="",FALSE,ISNUMBER(VALUE(Metadata!O834))),Metadata!O834&gt;0))</f>
        <v>0</v>
      </c>
      <c r="AQ834">
        <f>AND(IF(Metadata!P834="",FALSE,TRUE),exact(Metadata!P834,"kg"))</f>
        <v>0</v>
      </c>
      <c r="AR834">
        <f>OR(AND(IF(Metadata!Q834="",FALSE,TRUE),OR(exact(Metadata!Q834,"not applicable"),exact(Metadata!Q834,"not collected"),exact(Metadata!Q834,"not provided"),exact(Metadata!Q834,"restricted access"))),IF(Metadata!Q834="",FALSE,IF(ISERROR(INT(Metadata!Q834)),FALSE,INT(Metadata!Q834)=Metadata!Q834)))</f>
        <v>0</v>
      </c>
      <c r="AS834">
        <f>AND(IF(Metadata!R834="",FALSE,TRUE),exact(Metadata!R834,"Not applicable"))</f>
        <v>0</v>
      </c>
    </row>
    <row r="835" spans="1:45">
      <c r="A835" s="4">
        <f>IF(B835=" "," ",HYPERLINK(CONCATENATE("#metadata!",ADDRESS(INDEX($X$2:$X$1001,MATCH(ROWS($V$2:V835),$V$2:$V$1001,0),0),2)),INDEX($AA$2:$AA$1001,MATCH(ROWS($V$2:V835),$V$2:$V$1001,0),0)))</f>
        <v>0</v>
      </c>
      <c r="B835" s="5">
        <f>IF(OR(INDEX($W$2:$W$1001,MATCH(ROWS($V$2:V835),$V$2:$V$1001,0),1)&gt;=100000,INDEX($AC$1005:$AS$1005,1,MATCH(COLUMNS($AC$1006:AC1006),$AC$1006:$AS$1006,0))&gt;=100000), " ",IF(INDEX($AC$2:$AS$1001,MATCH(ROWS($V$2:V835),$V$2:$V$1001,0),MATCH(COLUMNS($AC$1006:AC1006),$AC$1006:$AS$1006,0)), HYPERLINK("#",""), HYPERLINK(CONCATENATE("#Metadata!", ADDRESS(INDEX($X$2:$X$1001,MATCH(ROWS($V$2:V835),$V$2:$V$1001,0),0), INDEX($AC$1004:$AS$1004,1,MATCH(COLUMNS($AC$1006:AC1006),$AC$1006:$AS$1006,0)))),"Fix")))</f>
        <v>0</v>
      </c>
      <c r="C835" s="5">
        <f>IF(OR(INDEX($W$2:$W$1001,MATCH(ROWS($V$2:V835),$V$2:$V$1001,0),1)&gt;=100000,INDEX($AC$1005:$AS$1005,1,MATCH(COLUMNS($AC$1006:AD1006),$AC$1006:$AS$1006,0))&gt;=100000), " ",IF(INDEX($AC$2:$AS$1001,MATCH(ROWS($V$2:V835),$V$2:$V$1001,0),MATCH(COLUMNS($AC$1006:AD1006),$AC$1006:$AS$1006,0)), HYPERLINK("#",""), HYPERLINK(CONCATENATE("#Metadata!", ADDRESS(INDEX($X$2:$X$1001,MATCH(ROWS($V$2:V835),$V$2:$V$1001,0),0), INDEX($AC$1004:$AS$1004,1,MATCH(COLUMNS($AC$1006:AD1006),$AC$1006:$AS$1006,0)))),"Fix")))</f>
        <v>0</v>
      </c>
      <c r="D835" s="5">
        <f>IF(OR(INDEX($W$2:$W$1001,MATCH(ROWS($V$2:V835),$V$2:$V$1001,0),1)&gt;=100000,INDEX($AC$1005:$AS$1005,1,MATCH(COLUMNS($AC$1006:AE1006),$AC$1006:$AS$1006,0))&gt;=100000), " ",IF(INDEX($AC$2:$AS$1001,MATCH(ROWS($V$2:V835),$V$2:$V$1001,0),MATCH(COLUMNS($AC$1006:AE1006),$AC$1006:$AS$1006,0)), HYPERLINK("#",""), HYPERLINK(CONCATENATE("#Metadata!", ADDRESS(INDEX($X$2:$X$1001,MATCH(ROWS($V$2:V835),$V$2:$V$1001,0),0), INDEX($AC$1004:$AS$1004,1,MATCH(COLUMNS($AC$1006:AE1006),$AC$1006:$AS$1006,0)))),"Fix")))</f>
        <v>0</v>
      </c>
      <c r="E835" s="5">
        <f>IF(OR(INDEX($W$2:$W$1001,MATCH(ROWS($V$2:V835),$V$2:$V$1001,0),1)&gt;=100000,INDEX($AC$1005:$AS$1005,1,MATCH(COLUMNS($AC$1006:AF1006),$AC$1006:$AS$1006,0))&gt;=100000), " ",IF(INDEX($AC$2:$AS$1001,MATCH(ROWS($V$2:V835),$V$2:$V$1001,0),MATCH(COLUMNS($AC$1006:AF1006),$AC$1006:$AS$1006,0)), HYPERLINK("#",""), HYPERLINK(CONCATENATE("#Metadata!", ADDRESS(INDEX($X$2:$X$1001,MATCH(ROWS($V$2:V835),$V$2:$V$1001,0),0), INDEX($AC$1004:$AS$1004,1,MATCH(COLUMNS($AC$1006:AF1006),$AC$1006:$AS$1006,0)))),"Fix")))</f>
        <v>0</v>
      </c>
      <c r="F835" s="5">
        <f>IF(OR(INDEX($W$2:$W$1001,MATCH(ROWS($V$2:V835),$V$2:$V$1001,0),1)&gt;=100000,INDEX($AC$1005:$AS$1005,1,MATCH(COLUMNS($AC$1006:AG1006),$AC$1006:$AS$1006,0))&gt;=100000), " ",IF(INDEX($AC$2:$AS$1001,MATCH(ROWS($V$2:V835),$V$2:$V$1001,0),MATCH(COLUMNS($AC$1006:AG1006),$AC$1006:$AS$1006,0)), HYPERLINK("#",""), HYPERLINK(CONCATENATE("#Metadata!", ADDRESS(INDEX($X$2:$X$1001,MATCH(ROWS($V$2:V835),$V$2:$V$1001,0),0), INDEX($AC$1004:$AS$1004,1,MATCH(COLUMNS($AC$1006:AG1006),$AC$1006:$AS$1006,0)))),"Fix")))</f>
        <v>0</v>
      </c>
      <c r="G835" s="5">
        <f>IF(OR(INDEX($W$2:$W$1001,MATCH(ROWS($V$2:V835),$V$2:$V$1001,0),1)&gt;=100000,INDEX($AC$1005:$AS$1005,1,MATCH(COLUMNS($AC$1006:AH1006),$AC$1006:$AS$1006,0))&gt;=100000), " ",IF(INDEX($AC$2:$AS$1001,MATCH(ROWS($V$2:V835),$V$2:$V$1001,0),MATCH(COLUMNS($AC$1006:AH1006),$AC$1006:$AS$1006,0)), HYPERLINK("#",""), HYPERLINK(CONCATENATE("#Metadata!", ADDRESS(INDEX($X$2:$X$1001,MATCH(ROWS($V$2:V835),$V$2:$V$1001,0),0), INDEX($AC$1004:$AS$1004,1,MATCH(COLUMNS($AC$1006:AH1006),$AC$1006:$AS$1006,0)))),"Fix")))</f>
        <v>0</v>
      </c>
      <c r="H835" s="5">
        <f>IF(OR(INDEX($W$2:$W$1001,MATCH(ROWS($V$2:V835),$V$2:$V$1001,0),1)&gt;=100000,INDEX($AC$1005:$AS$1005,1,MATCH(COLUMNS($AC$1006:AI1006),$AC$1006:$AS$1006,0))&gt;=100000), " ",IF(INDEX($AC$2:$AS$1001,MATCH(ROWS($V$2:V835),$V$2:$V$1001,0),MATCH(COLUMNS($AC$1006:AI1006),$AC$1006:$AS$1006,0)), HYPERLINK("#",""), HYPERLINK(CONCATENATE("#Metadata!", ADDRESS(INDEX($X$2:$X$1001,MATCH(ROWS($V$2:V835),$V$2:$V$1001,0),0), INDEX($AC$1004:$AS$1004,1,MATCH(COLUMNS($AC$1006:AI1006),$AC$1006:$AS$1006,0)))),"Fix")))</f>
        <v>0</v>
      </c>
      <c r="I835" s="5">
        <f>IF(OR(INDEX($W$2:$W$1001,MATCH(ROWS($V$2:V835),$V$2:$V$1001,0),1)&gt;=100000,INDEX($AC$1005:$AS$1005,1,MATCH(COLUMNS($AC$1006:AJ1006),$AC$1006:$AS$1006,0))&gt;=100000), " ",IF(INDEX($AC$2:$AS$1001,MATCH(ROWS($V$2:V835),$V$2:$V$1001,0),MATCH(COLUMNS($AC$1006:AJ1006),$AC$1006:$AS$1006,0)), HYPERLINK("#",""), HYPERLINK(CONCATENATE("#Metadata!", ADDRESS(INDEX($X$2:$X$1001,MATCH(ROWS($V$2:V835),$V$2:$V$1001,0),0), INDEX($AC$1004:$AS$1004,1,MATCH(COLUMNS($AC$1006:AJ1006),$AC$1006:$AS$1006,0)))),"Fix")))</f>
        <v>0</v>
      </c>
      <c r="J835" s="5">
        <f>IF(OR(INDEX($W$2:$W$1001,MATCH(ROWS($V$2:V835),$V$2:$V$1001,0),1)&gt;=100000,INDEX($AC$1005:$AS$1005,1,MATCH(COLUMNS($AC$1006:AK1006),$AC$1006:$AS$1006,0))&gt;=100000), " ",IF(INDEX($AC$2:$AS$1001,MATCH(ROWS($V$2:V835),$V$2:$V$1001,0),MATCH(COLUMNS($AC$1006:AK1006),$AC$1006:$AS$1006,0)), HYPERLINK("#",""), HYPERLINK(CONCATENATE("#Metadata!", ADDRESS(INDEX($X$2:$X$1001,MATCH(ROWS($V$2:V835),$V$2:$V$1001,0),0), INDEX($AC$1004:$AS$1004,1,MATCH(COLUMNS($AC$1006:AK1006),$AC$1006:$AS$1006,0)))),"Fix")))</f>
        <v>0</v>
      </c>
      <c r="K835" s="5">
        <f>IF(OR(INDEX($W$2:$W$1001,MATCH(ROWS($V$2:V835),$V$2:$V$1001,0),1)&gt;=100000,INDEX($AC$1005:$AS$1005,1,MATCH(COLUMNS($AC$1006:AL1006),$AC$1006:$AS$1006,0))&gt;=100000), " ",IF(INDEX($AC$2:$AS$1001,MATCH(ROWS($V$2:V835),$V$2:$V$1001,0),MATCH(COLUMNS($AC$1006:AL1006),$AC$1006:$AS$1006,0)), HYPERLINK("#",""), HYPERLINK(CONCATENATE("#Metadata!", ADDRESS(INDEX($X$2:$X$1001,MATCH(ROWS($V$2:V835),$V$2:$V$1001,0),0), INDEX($AC$1004:$AS$1004,1,MATCH(COLUMNS($AC$1006:AL1006),$AC$1006:$AS$1006,0)))),"Fix")))</f>
        <v>0</v>
      </c>
      <c r="L835" s="5">
        <f>IF(OR(INDEX($W$2:$W$1001,MATCH(ROWS($V$2:V835),$V$2:$V$1001,0),1)&gt;=100000,INDEX($AC$1005:$AS$1005,1,MATCH(COLUMNS($AC$1006:AM1006),$AC$1006:$AS$1006,0))&gt;=100000), " ",IF(INDEX($AC$2:$AS$1001,MATCH(ROWS($V$2:V835),$V$2:$V$1001,0),MATCH(COLUMNS($AC$1006:AM1006),$AC$1006:$AS$1006,0)), HYPERLINK("#",""), HYPERLINK(CONCATENATE("#Metadata!", ADDRESS(INDEX($X$2:$X$1001,MATCH(ROWS($V$2:V835),$V$2:$V$1001,0),0), INDEX($AC$1004:$AS$1004,1,MATCH(COLUMNS($AC$1006:AM1006),$AC$1006:$AS$1006,0)))),"Fix")))</f>
        <v>0</v>
      </c>
      <c r="M835" s="5">
        <f>IF(OR(INDEX($W$2:$W$1001,MATCH(ROWS($V$2:V835),$V$2:$V$1001,0),1)&gt;=100000,INDEX($AC$1005:$AS$1005,1,MATCH(COLUMNS($AC$1006:AN1006),$AC$1006:$AS$1006,0))&gt;=100000), " ",IF(INDEX($AC$2:$AS$1001,MATCH(ROWS($V$2:V835),$V$2:$V$1001,0),MATCH(COLUMNS($AC$1006:AN1006),$AC$1006:$AS$1006,0)), HYPERLINK("#",""), HYPERLINK(CONCATENATE("#Metadata!", ADDRESS(INDEX($X$2:$X$1001,MATCH(ROWS($V$2:V835),$V$2:$V$1001,0),0), INDEX($AC$1004:$AS$1004,1,MATCH(COLUMNS($AC$1006:AN1006),$AC$1006:$AS$1006,0)))),"Fix")))</f>
        <v>0</v>
      </c>
      <c r="N835" s="5">
        <f>IF(OR(INDEX($W$2:$W$1001,MATCH(ROWS($V$2:V835),$V$2:$V$1001,0),1)&gt;=100000,INDEX($AC$1005:$AS$1005,1,MATCH(COLUMNS($AC$1006:AO1006),$AC$1006:$AS$1006,0))&gt;=100000), " ",IF(INDEX($AC$2:$AS$1001,MATCH(ROWS($V$2:V835),$V$2:$V$1001,0),MATCH(COLUMNS($AC$1006:AO1006),$AC$1006:$AS$1006,0)), HYPERLINK("#",""), HYPERLINK(CONCATENATE("#Metadata!", ADDRESS(INDEX($X$2:$X$1001,MATCH(ROWS($V$2:V835),$V$2:$V$1001,0),0), INDEX($AC$1004:$AS$1004,1,MATCH(COLUMNS($AC$1006:AO1006),$AC$1006:$AS$1006,0)))),"Fix")))</f>
        <v>0</v>
      </c>
      <c r="O835" s="5">
        <f>IF(OR(INDEX($W$2:$W$1001,MATCH(ROWS($V$2:V835),$V$2:$V$1001,0),1)&gt;=100000,INDEX($AC$1005:$AS$1005,1,MATCH(COLUMNS($AC$1006:AP1006),$AC$1006:$AS$1006,0))&gt;=100000), " ",IF(INDEX($AC$2:$AS$1001,MATCH(ROWS($V$2:V835),$V$2:$V$1001,0),MATCH(COLUMNS($AC$1006:AP1006),$AC$1006:$AS$1006,0)), HYPERLINK("#",""), HYPERLINK(CONCATENATE("#Metadata!", ADDRESS(INDEX($X$2:$X$1001,MATCH(ROWS($V$2:V835),$V$2:$V$1001,0),0), INDEX($AC$1004:$AS$1004,1,MATCH(COLUMNS($AC$1006:AP1006),$AC$1006:$AS$1006,0)))),"Fix")))</f>
        <v>0</v>
      </c>
      <c r="P835" s="5">
        <f>IF(OR(INDEX($W$2:$W$1001,MATCH(ROWS($V$2:V835),$V$2:$V$1001,0),1)&gt;=100000,INDEX($AC$1005:$AS$1005,1,MATCH(COLUMNS($AC$1006:AQ1006),$AC$1006:$AS$1006,0))&gt;=100000), " ",IF(INDEX($AC$2:$AS$1001,MATCH(ROWS($V$2:V835),$V$2:$V$1001,0),MATCH(COLUMNS($AC$1006:AQ1006),$AC$1006:$AS$1006,0)), HYPERLINK("#",""), HYPERLINK(CONCATENATE("#Metadata!", ADDRESS(INDEX($X$2:$X$1001,MATCH(ROWS($V$2:V835),$V$2:$V$1001,0),0), INDEX($AC$1004:$AS$1004,1,MATCH(COLUMNS($AC$1006:AQ1006),$AC$1006:$AS$1006,0)))),"Fix")))</f>
        <v>0</v>
      </c>
      <c r="Q835" s="5">
        <f>IF(OR(INDEX($W$2:$W$1001,MATCH(ROWS($V$2:V835),$V$2:$V$1001,0),1)&gt;=100000,INDEX($AC$1005:$AS$1005,1,MATCH(COLUMNS($AC$1006:AR1006),$AC$1006:$AS$1006,0))&gt;=100000), " ",IF(INDEX($AC$2:$AS$1001,MATCH(ROWS($V$2:V835),$V$2:$V$1001,0),MATCH(COLUMNS($AC$1006:AR1006),$AC$1006:$AS$1006,0)), HYPERLINK("#",""), HYPERLINK(CONCATENATE("#Metadata!", ADDRESS(INDEX($X$2:$X$1001,MATCH(ROWS($V$2:V835),$V$2:$V$1001,0),0), INDEX($AC$1004:$AS$1004,1,MATCH(COLUMNS($AC$1006:AR1006),$AC$1006:$AS$1006,0)))),"Fix")))</f>
        <v>0</v>
      </c>
      <c r="R835" s="5">
        <f>IF(OR(INDEX($W$2:$W$1001,MATCH(ROWS($V$2:V835),$V$2:$V$1001,0),1)&gt;=100000,INDEX($AC$1005:$AS$1005,1,MATCH(COLUMNS($AC$1006:AS1006),$AC$1006:$AS$1006,0))&gt;=100000), " ",IF(INDEX($AC$2:$AS$1001,MATCH(ROWS($V$2:V835),$V$2:$V$1001,0),MATCH(COLUMNS($AC$1006:AS1006),$AC$1006:$AS$1006,0)), HYPERLINK("#",""), HYPERLINK(CONCATENATE("#Metadata!", ADDRESS(INDEX($X$2:$X$1001,MATCH(ROWS($V$2:V835),$V$2:$V$1001,0),0), INDEX($AC$1004:$AS$1004,1,MATCH(COLUMNS($AC$1006:AS1006),$AC$1006:$AS$1006,0)))),"Fix")))</f>
        <v>0</v>
      </c>
      <c r="V835">
        <v>0</v>
      </c>
      <c r="W835">
        <v>0</v>
      </c>
      <c r="X835">
        <v>0</v>
      </c>
      <c r="Y835">
        <f>IF(Z835,TRUE,AND(AC835:AS835))</f>
        <v>0</v>
      </c>
      <c r="Z835">
        <f>COUNTBLANK(Metadata!B835:R835)=COLUMNS(Metadata!B835:R835)</f>
        <v>0</v>
      </c>
      <c r="AA835">
        <v>0</v>
      </c>
      <c r="AC835">
        <f>AND(IF(Metadata!B835="",FALSE,TRUE),COUNTIF(Metadata!B:B, Metadata!B835) = 1,NOT(ISERROR(SUMPRODUCT(SEARCH(MID(Metadata!B835,ROW(INDIRECT("1:"&amp;LEN(Metadata!B835))), 1),"0123456789abcdefghijklmnopqrstuvwxyzABCDEFGHIJKLMNOPQRSTUVWXYZ.")))))</f>
        <v>0</v>
      </c>
      <c r="AD835">
        <f>AND(IF(Metadata!C835="",FALSE,TRUE),exact(Metadata!C835,"Host-associated"))</f>
        <v>0</v>
      </c>
      <c r="AE835">
        <f>AND(IF(Metadata!D835="",FALSE,TRUE),OR(exact(Metadata!D835,"Animal"),exact(Metadata!D835,"Fungus"),exact(Metadata!D835,"Plant")))</f>
        <v>0</v>
      </c>
      <c r="AF835">
        <f>AND(IF(Metadata!E835="",FALSE,TRUE),OR(exact(Metadata!E835,"Plant secretion"),exact(Metadata!E835,"Plant rhizosphere"),exact(Metadata!E835,"Plant surface"),exact(Metadata!E835,"Plant corpus"),exact(Metadata!E835,"Fungus surface"),exact(Metadata!E835,"Fungus corpus"),exact(Metadata!E835,"Animal surface"),exact(Metadata!E835,"Animal proximal gut"),exact(Metadata!E835,"Animal corpus"),exact(Metadata!E835,"Animal distal gut"),exact(Metadata!E835,"Animal secretion")))</f>
        <v>0</v>
      </c>
      <c r="AG835">
        <f>OR(AND(IF(Metadata!F835="",FALSE,TRUE),OR(exact(Metadata!F835,"not collected"),exact(Metadata!F835,"not provided"),exact(Metadata!F835,"restricted access"))),AND(IF(Metadata!F835="",FALSE,TRUE),OR(exact(Metadata!F835,"organism-associated habitat"),exact(Metadata!F835,"plant-associated habitat"),exact(Metadata!F835,"animal-associated habitat"),exact(Metadata!F835,"insecta-associated habitat"),exact(Metadata!F835,"mammalia-associated habitat"),exact(Metadata!F835,"human-associated habitat"),exact(Metadata!F835,"livestock-associated habitat"))))</f>
        <v>0</v>
      </c>
      <c r="AH835">
        <f>AND(IF(Metadata!G835="",FALSE,TRUE),exact(Metadata!G835,"host-associated"))</f>
        <v>0</v>
      </c>
      <c r="AI835">
        <f>OR(AND(IF(Metadata!H835="",FALSE,TRUE),OR(exact(Metadata!H835,"not collected"),exact(Metadata!H835,"not provided"))),AND(IF(Metadata!H835="",FALSE,ISNUMBER(VALUE(Metadata!H835))),Metadata!H835&gt;0))</f>
        <v>0</v>
      </c>
      <c r="AJ835">
        <f>AND(IF(Metadata!I835="",FALSE,TRUE),exact(Metadata!I835,"years"))</f>
        <v>0</v>
      </c>
      <c r="AK835">
        <f>IF(Metadata!J835="",FALSE,TRUE)</f>
        <v>0</v>
      </c>
      <c r="AL835">
        <f>OR(AND(IF(Metadata!K835="",FALSE,TRUE),OR(exact(Metadata!K835,"not collected"),exact(Metadata!K835,"not provided"))),AND(IF(Metadata!K835="",FALSE,ISNUMBER(VALUE(Metadata!K835))),Metadata!K835&gt;0))</f>
        <v>0</v>
      </c>
      <c r="AM835">
        <f>AND(IF(Metadata!L835="",FALSE,TRUE),exact(Metadata!L835,"cm"))</f>
        <v>0</v>
      </c>
      <c r="AN835">
        <f>IF(Metadata!M835="",FALSE,TRUE)</f>
        <v>0</v>
      </c>
      <c r="AO835">
        <f>OR(AND(IF(Metadata!N835="",FALSE,TRUE),OR(exact(Metadata!N835,"not applicable"),exact(Metadata!N835,"not collected"),exact(Metadata!N835,"not provided"))),AND(IF(Metadata!N835="",FALSE,IF(ISERROR(INT(Metadata!N835)),FALSE,INT(Metadata!N835)=Metadata!N835)),Metadata!N835&gt;0))</f>
        <v>0</v>
      </c>
      <c r="AP835">
        <f>OR(AND(IF(Metadata!O835="",FALSE,TRUE),OR(exact(Metadata!O835,"not collected"),exact(Metadata!O835,"not provided"))),AND(IF(Metadata!O835="",FALSE,ISNUMBER(VALUE(Metadata!O835))),Metadata!O835&gt;0))</f>
        <v>0</v>
      </c>
      <c r="AQ835">
        <f>AND(IF(Metadata!P835="",FALSE,TRUE),exact(Metadata!P835,"kg"))</f>
        <v>0</v>
      </c>
      <c r="AR835">
        <f>OR(AND(IF(Metadata!Q835="",FALSE,TRUE),OR(exact(Metadata!Q835,"not applicable"),exact(Metadata!Q835,"not collected"),exact(Metadata!Q835,"not provided"),exact(Metadata!Q835,"restricted access"))),IF(Metadata!Q835="",FALSE,IF(ISERROR(INT(Metadata!Q835)),FALSE,INT(Metadata!Q835)=Metadata!Q835)))</f>
        <v>0</v>
      </c>
      <c r="AS835">
        <f>AND(IF(Metadata!R835="",FALSE,TRUE),exact(Metadata!R835,"Not applicable"))</f>
        <v>0</v>
      </c>
    </row>
    <row r="836" spans="1:45">
      <c r="A836" s="4">
        <f>IF(B836=" "," ",HYPERLINK(CONCATENATE("#metadata!",ADDRESS(INDEX($X$2:$X$1001,MATCH(ROWS($V$2:V836),$V$2:$V$1001,0),0),2)),INDEX($AA$2:$AA$1001,MATCH(ROWS($V$2:V836),$V$2:$V$1001,0),0)))</f>
        <v>0</v>
      </c>
      <c r="B836" s="5">
        <f>IF(OR(INDEX($W$2:$W$1001,MATCH(ROWS($V$2:V836),$V$2:$V$1001,0),1)&gt;=100000,INDEX($AC$1005:$AS$1005,1,MATCH(COLUMNS($AC$1006:AC1006),$AC$1006:$AS$1006,0))&gt;=100000), " ",IF(INDEX($AC$2:$AS$1001,MATCH(ROWS($V$2:V836),$V$2:$V$1001,0),MATCH(COLUMNS($AC$1006:AC1006),$AC$1006:$AS$1006,0)), HYPERLINK("#",""), HYPERLINK(CONCATENATE("#Metadata!", ADDRESS(INDEX($X$2:$X$1001,MATCH(ROWS($V$2:V836),$V$2:$V$1001,0),0), INDEX($AC$1004:$AS$1004,1,MATCH(COLUMNS($AC$1006:AC1006),$AC$1006:$AS$1006,0)))),"Fix")))</f>
        <v>0</v>
      </c>
      <c r="C836" s="5">
        <f>IF(OR(INDEX($W$2:$W$1001,MATCH(ROWS($V$2:V836),$V$2:$V$1001,0),1)&gt;=100000,INDEX($AC$1005:$AS$1005,1,MATCH(COLUMNS($AC$1006:AD1006),$AC$1006:$AS$1006,0))&gt;=100000), " ",IF(INDEX($AC$2:$AS$1001,MATCH(ROWS($V$2:V836),$V$2:$V$1001,0),MATCH(COLUMNS($AC$1006:AD1006),$AC$1006:$AS$1006,0)), HYPERLINK("#",""), HYPERLINK(CONCATENATE("#Metadata!", ADDRESS(INDEX($X$2:$X$1001,MATCH(ROWS($V$2:V836),$V$2:$V$1001,0),0), INDEX($AC$1004:$AS$1004,1,MATCH(COLUMNS($AC$1006:AD1006),$AC$1006:$AS$1006,0)))),"Fix")))</f>
        <v>0</v>
      </c>
      <c r="D836" s="5">
        <f>IF(OR(INDEX($W$2:$W$1001,MATCH(ROWS($V$2:V836),$V$2:$V$1001,0),1)&gt;=100000,INDEX($AC$1005:$AS$1005,1,MATCH(COLUMNS($AC$1006:AE1006),$AC$1006:$AS$1006,0))&gt;=100000), " ",IF(INDEX($AC$2:$AS$1001,MATCH(ROWS($V$2:V836),$V$2:$V$1001,0),MATCH(COLUMNS($AC$1006:AE1006),$AC$1006:$AS$1006,0)), HYPERLINK("#",""), HYPERLINK(CONCATENATE("#Metadata!", ADDRESS(INDEX($X$2:$X$1001,MATCH(ROWS($V$2:V836),$V$2:$V$1001,0),0), INDEX($AC$1004:$AS$1004,1,MATCH(COLUMNS($AC$1006:AE1006),$AC$1006:$AS$1006,0)))),"Fix")))</f>
        <v>0</v>
      </c>
      <c r="E836" s="5">
        <f>IF(OR(INDEX($W$2:$W$1001,MATCH(ROWS($V$2:V836),$V$2:$V$1001,0),1)&gt;=100000,INDEX($AC$1005:$AS$1005,1,MATCH(COLUMNS($AC$1006:AF1006),$AC$1006:$AS$1006,0))&gt;=100000), " ",IF(INDEX($AC$2:$AS$1001,MATCH(ROWS($V$2:V836),$V$2:$V$1001,0),MATCH(COLUMNS($AC$1006:AF1006),$AC$1006:$AS$1006,0)), HYPERLINK("#",""), HYPERLINK(CONCATENATE("#Metadata!", ADDRESS(INDEX($X$2:$X$1001,MATCH(ROWS($V$2:V836),$V$2:$V$1001,0),0), INDEX($AC$1004:$AS$1004,1,MATCH(COLUMNS($AC$1006:AF1006),$AC$1006:$AS$1006,0)))),"Fix")))</f>
        <v>0</v>
      </c>
      <c r="F836" s="5">
        <f>IF(OR(INDEX($W$2:$W$1001,MATCH(ROWS($V$2:V836),$V$2:$V$1001,0),1)&gt;=100000,INDEX($AC$1005:$AS$1005,1,MATCH(COLUMNS($AC$1006:AG1006),$AC$1006:$AS$1006,0))&gt;=100000), " ",IF(INDEX($AC$2:$AS$1001,MATCH(ROWS($V$2:V836),$V$2:$V$1001,0),MATCH(COLUMNS($AC$1006:AG1006),$AC$1006:$AS$1006,0)), HYPERLINK("#",""), HYPERLINK(CONCATENATE("#Metadata!", ADDRESS(INDEX($X$2:$X$1001,MATCH(ROWS($V$2:V836),$V$2:$V$1001,0),0), INDEX($AC$1004:$AS$1004,1,MATCH(COLUMNS($AC$1006:AG1006),$AC$1006:$AS$1006,0)))),"Fix")))</f>
        <v>0</v>
      </c>
      <c r="G836" s="5">
        <f>IF(OR(INDEX($W$2:$W$1001,MATCH(ROWS($V$2:V836),$V$2:$V$1001,0),1)&gt;=100000,INDEX($AC$1005:$AS$1005,1,MATCH(COLUMNS($AC$1006:AH1006),$AC$1006:$AS$1006,0))&gt;=100000), " ",IF(INDEX($AC$2:$AS$1001,MATCH(ROWS($V$2:V836),$V$2:$V$1001,0),MATCH(COLUMNS($AC$1006:AH1006),$AC$1006:$AS$1006,0)), HYPERLINK("#",""), HYPERLINK(CONCATENATE("#Metadata!", ADDRESS(INDEX($X$2:$X$1001,MATCH(ROWS($V$2:V836),$V$2:$V$1001,0),0), INDEX($AC$1004:$AS$1004,1,MATCH(COLUMNS($AC$1006:AH1006),$AC$1006:$AS$1006,0)))),"Fix")))</f>
        <v>0</v>
      </c>
      <c r="H836" s="5">
        <f>IF(OR(INDEX($W$2:$W$1001,MATCH(ROWS($V$2:V836),$V$2:$V$1001,0),1)&gt;=100000,INDEX($AC$1005:$AS$1005,1,MATCH(COLUMNS($AC$1006:AI1006),$AC$1006:$AS$1006,0))&gt;=100000), " ",IF(INDEX($AC$2:$AS$1001,MATCH(ROWS($V$2:V836),$V$2:$V$1001,0),MATCH(COLUMNS($AC$1006:AI1006),$AC$1006:$AS$1006,0)), HYPERLINK("#",""), HYPERLINK(CONCATENATE("#Metadata!", ADDRESS(INDEX($X$2:$X$1001,MATCH(ROWS($V$2:V836),$V$2:$V$1001,0),0), INDEX($AC$1004:$AS$1004,1,MATCH(COLUMNS($AC$1006:AI1006),$AC$1006:$AS$1006,0)))),"Fix")))</f>
        <v>0</v>
      </c>
      <c r="I836" s="5">
        <f>IF(OR(INDEX($W$2:$W$1001,MATCH(ROWS($V$2:V836),$V$2:$V$1001,0),1)&gt;=100000,INDEX($AC$1005:$AS$1005,1,MATCH(COLUMNS($AC$1006:AJ1006),$AC$1006:$AS$1006,0))&gt;=100000), " ",IF(INDEX($AC$2:$AS$1001,MATCH(ROWS($V$2:V836),$V$2:$V$1001,0),MATCH(COLUMNS($AC$1006:AJ1006),$AC$1006:$AS$1006,0)), HYPERLINK("#",""), HYPERLINK(CONCATENATE("#Metadata!", ADDRESS(INDEX($X$2:$X$1001,MATCH(ROWS($V$2:V836),$V$2:$V$1001,0),0), INDEX($AC$1004:$AS$1004,1,MATCH(COLUMNS($AC$1006:AJ1006),$AC$1006:$AS$1006,0)))),"Fix")))</f>
        <v>0</v>
      </c>
      <c r="J836" s="5">
        <f>IF(OR(INDEX($W$2:$W$1001,MATCH(ROWS($V$2:V836),$V$2:$V$1001,0),1)&gt;=100000,INDEX($AC$1005:$AS$1005,1,MATCH(COLUMNS($AC$1006:AK1006),$AC$1006:$AS$1006,0))&gt;=100000), " ",IF(INDEX($AC$2:$AS$1001,MATCH(ROWS($V$2:V836),$V$2:$V$1001,0),MATCH(COLUMNS($AC$1006:AK1006),$AC$1006:$AS$1006,0)), HYPERLINK("#",""), HYPERLINK(CONCATENATE("#Metadata!", ADDRESS(INDEX($X$2:$X$1001,MATCH(ROWS($V$2:V836),$V$2:$V$1001,0),0), INDEX($AC$1004:$AS$1004,1,MATCH(COLUMNS($AC$1006:AK1006),$AC$1006:$AS$1006,0)))),"Fix")))</f>
        <v>0</v>
      </c>
      <c r="K836" s="5">
        <f>IF(OR(INDEX($W$2:$W$1001,MATCH(ROWS($V$2:V836),$V$2:$V$1001,0),1)&gt;=100000,INDEX($AC$1005:$AS$1005,1,MATCH(COLUMNS($AC$1006:AL1006),$AC$1006:$AS$1006,0))&gt;=100000), " ",IF(INDEX($AC$2:$AS$1001,MATCH(ROWS($V$2:V836),$V$2:$V$1001,0),MATCH(COLUMNS($AC$1006:AL1006),$AC$1006:$AS$1006,0)), HYPERLINK("#",""), HYPERLINK(CONCATENATE("#Metadata!", ADDRESS(INDEX($X$2:$X$1001,MATCH(ROWS($V$2:V836),$V$2:$V$1001,0),0), INDEX($AC$1004:$AS$1004,1,MATCH(COLUMNS($AC$1006:AL1006),$AC$1006:$AS$1006,0)))),"Fix")))</f>
        <v>0</v>
      </c>
      <c r="L836" s="5">
        <f>IF(OR(INDEX($W$2:$W$1001,MATCH(ROWS($V$2:V836),$V$2:$V$1001,0),1)&gt;=100000,INDEX($AC$1005:$AS$1005,1,MATCH(COLUMNS($AC$1006:AM1006),$AC$1006:$AS$1006,0))&gt;=100000), " ",IF(INDEX($AC$2:$AS$1001,MATCH(ROWS($V$2:V836),$V$2:$V$1001,0),MATCH(COLUMNS($AC$1006:AM1006),$AC$1006:$AS$1006,0)), HYPERLINK("#",""), HYPERLINK(CONCATENATE("#Metadata!", ADDRESS(INDEX($X$2:$X$1001,MATCH(ROWS($V$2:V836),$V$2:$V$1001,0),0), INDEX($AC$1004:$AS$1004,1,MATCH(COLUMNS($AC$1006:AM1006),$AC$1006:$AS$1006,0)))),"Fix")))</f>
        <v>0</v>
      </c>
      <c r="M836" s="5">
        <f>IF(OR(INDEX($W$2:$W$1001,MATCH(ROWS($V$2:V836),$V$2:$V$1001,0),1)&gt;=100000,INDEX($AC$1005:$AS$1005,1,MATCH(COLUMNS($AC$1006:AN1006),$AC$1006:$AS$1006,0))&gt;=100000), " ",IF(INDEX($AC$2:$AS$1001,MATCH(ROWS($V$2:V836),$V$2:$V$1001,0),MATCH(COLUMNS($AC$1006:AN1006),$AC$1006:$AS$1006,0)), HYPERLINK("#",""), HYPERLINK(CONCATENATE("#Metadata!", ADDRESS(INDEX($X$2:$X$1001,MATCH(ROWS($V$2:V836),$V$2:$V$1001,0),0), INDEX($AC$1004:$AS$1004,1,MATCH(COLUMNS($AC$1006:AN1006),$AC$1006:$AS$1006,0)))),"Fix")))</f>
        <v>0</v>
      </c>
      <c r="N836" s="5">
        <f>IF(OR(INDEX($W$2:$W$1001,MATCH(ROWS($V$2:V836),$V$2:$V$1001,0),1)&gt;=100000,INDEX($AC$1005:$AS$1005,1,MATCH(COLUMNS($AC$1006:AO1006),$AC$1006:$AS$1006,0))&gt;=100000), " ",IF(INDEX($AC$2:$AS$1001,MATCH(ROWS($V$2:V836),$V$2:$V$1001,0),MATCH(COLUMNS($AC$1006:AO1006),$AC$1006:$AS$1006,0)), HYPERLINK("#",""), HYPERLINK(CONCATENATE("#Metadata!", ADDRESS(INDEX($X$2:$X$1001,MATCH(ROWS($V$2:V836),$V$2:$V$1001,0),0), INDEX($AC$1004:$AS$1004,1,MATCH(COLUMNS($AC$1006:AO1006),$AC$1006:$AS$1006,0)))),"Fix")))</f>
        <v>0</v>
      </c>
      <c r="O836" s="5">
        <f>IF(OR(INDEX($W$2:$W$1001,MATCH(ROWS($V$2:V836),$V$2:$V$1001,0),1)&gt;=100000,INDEX($AC$1005:$AS$1005,1,MATCH(COLUMNS($AC$1006:AP1006),$AC$1006:$AS$1006,0))&gt;=100000), " ",IF(INDEX($AC$2:$AS$1001,MATCH(ROWS($V$2:V836),$V$2:$V$1001,0),MATCH(COLUMNS($AC$1006:AP1006),$AC$1006:$AS$1006,0)), HYPERLINK("#",""), HYPERLINK(CONCATENATE("#Metadata!", ADDRESS(INDEX($X$2:$X$1001,MATCH(ROWS($V$2:V836),$V$2:$V$1001,0),0), INDEX($AC$1004:$AS$1004,1,MATCH(COLUMNS($AC$1006:AP1006),$AC$1006:$AS$1006,0)))),"Fix")))</f>
        <v>0</v>
      </c>
      <c r="P836" s="5">
        <f>IF(OR(INDEX($W$2:$W$1001,MATCH(ROWS($V$2:V836),$V$2:$V$1001,0),1)&gt;=100000,INDEX($AC$1005:$AS$1005,1,MATCH(COLUMNS($AC$1006:AQ1006),$AC$1006:$AS$1006,0))&gt;=100000), " ",IF(INDEX($AC$2:$AS$1001,MATCH(ROWS($V$2:V836),$V$2:$V$1001,0),MATCH(COLUMNS($AC$1006:AQ1006),$AC$1006:$AS$1006,0)), HYPERLINK("#",""), HYPERLINK(CONCATENATE("#Metadata!", ADDRESS(INDEX($X$2:$X$1001,MATCH(ROWS($V$2:V836),$V$2:$V$1001,0),0), INDEX($AC$1004:$AS$1004,1,MATCH(COLUMNS($AC$1006:AQ1006),$AC$1006:$AS$1006,0)))),"Fix")))</f>
        <v>0</v>
      </c>
      <c r="Q836" s="5">
        <f>IF(OR(INDEX($W$2:$W$1001,MATCH(ROWS($V$2:V836),$V$2:$V$1001,0),1)&gt;=100000,INDEX($AC$1005:$AS$1005,1,MATCH(COLUMNS($AC$1006:AR1006),$AC$1006:$AS$1006,0))&gt;=100000), " ",IF(INDEX($AC$2:$AS$1001,MATCH(ROWS($V$2:V836),$V$2:$V$1001,0),MATCH(COLUMNS($AC$1006:AR1006),$AC$1006:$AS$1006,0)), HYPERLINK("#",""), HYPERLINK(CONCATENATE("#Metadata!", ADDRESS(INDEX($X$2:$X$1001,MATCH(ROWS($V$2:V836),$V$2:$V$1001,0),0), INDEX($AC$1004:$AS$1004,1,MATCH(COLUMNS($AC$1006:AR1006),$AC$1006:$AS$1006,0)))),"Fix")))</f>
        <v>0</v>
      </c>
      <c r="R836" s="5">
        <f>IF(OR(INDEX($W$2:$W$1001,MATCH(ROWS($V$2:V836),$V$2:$V$1001,0),1)&gt;=100000,INDEX($AC$1005:$AS$1005,1,MATCH(COLUMNS($AC$1006:AS1006),$AC$1006:$AS$1006,0))&gt;=100000), " ",IF(INDEX($AC$2:$AS$1001,MATCH(ROWS($V$2:V836),$V$2:$V$1001,0),MATCH(COLUMNS($AC$1006:AS1006),$AC$1006:$AS$1006,0)), HYPERLINK("#",""), HYPERLINK(CONCATENATE("#Metadata!", ADDRESS(INDEX($X$2:$X$1001,MATCH(ROWS($V$2:V836),$V$2:$V$1001,0),0), INDEX($AC$1004:$AS$1004,1,MATCH(COLUMNS($AC$1006:AS1006),$AC$1006:$AS$1006,0)))),"Fix")))</f>
        <v>0</v>
      </c>
      <c r="V836">
        <v>0</v>
      </c>
      <c r="W836">
        <v>0</v>
      </c>
      <c r="X836">
        <v>0</v>
      </c>
      <c r="Y836">
        <f>IF(Z836,TRUE,AND(AC836:AS836))</f>
        <v>0</v>
      </c>
      <c r="Z836">
        <f>COUNTBLANK(Metadata!B836:R836)=COLUMNS(Metadata!B836:R836)</f>
        <v>0</v>
      </c>
      <c r="AA836">
        <v>0</v>
      </c>
      <c r="AC836">
        <f>AND(IF(Metadata!B836="",FALSE,TRUE),COUNTIF(Metadata!B:B, Metadata!B836) = 1,NOT(ISERROR(SUMPRODUCT(SEARCH(MID(Metadata!B836,ROW(INDIRECT("1:"&amp;LEN(Metadata!B836))), 1),"0123456789abcdefghijklmnopqrstuvwxyzABCDEFGHIJKLMNOPQRSTUVWXYZ.")))))</f>
        <v>0</v>
      </c>
      <c r="AD836">
        <f>AND(IF(Metadata!C836="",FALSE,TRUE),exact(Metadata!C836,"Host-associated"))</f>
        <v>0</v>
      </c>
      <c r="AE836">
        <f>AND(IF(Metadata!D836="",FALSE,TRUE),OR(exact(Metadata!D836,"Animal"),exact(Metadata!D836,"Fungus"),exact(Metadata!D836,"Plant")))</f>
        <v>0</v>
      </c>
      <c r="AF836">
        <f>AND(IF(Metadata!E836="",FALSE,TRUE),OR(exact(Metadata!E836,"Plant secretion"),exact(Metadata!E836,"Plant rhizosphere"),exact(Metadata!E836,"Plant surface"),exact(Metadata!E836,"Plant corpus"),exact(Metadata!E836,"Fungus surface"),exact(Metadata!E836,"Fungus corpus"),exact(Metadata!E836,"Animal surface"),exact(Metadata!E836,"Animal proximal gut"),exact(Metadata!E836,"Animal corpus"),exact(Metadata!E836,"Animal distal gut"),exact(Metadata!E836,"Animal secretion")))</f>
        <v>0</v>
      </c>
      <c r="AG836">
        <f>OR(AND(IF(Metadata!F836="",FALSE,TRUE),OR(exact(Metadata!F836,"not collected"),exact(Metadata!F836,"not provided"),exact(Metadata!F836,"restricted access"))),AND(IF(Metadata!F836="",FALSE,TRUE),OR(exact(Metadata!F836,"organism-associated habitat"),exact(Metadata!F836,"plant-associated habitat"),exact(Metadata!F836,"animal-associated habitat"),exact(Metadata!F836,"insecta-associated habitat"),exact(Metadata!F836,"mammalia-associated habitat"),exact(Metadata!F836,"human-associated habitat"),exact(Metadata!F836,"livestock-associated habitat"))))</f>
        <v>0</v>
      </c>
      <c r="AH836">
        <f>AND(IF(Metadata!G836="",FALSE,TRUE),exact(Metadata!G836,"host-associated"))</f>
        <v>0</v>
      </c>
      <c r="AI836">
        <f>OR(AND(IF(Metadata!H836="",FALSE,TRUE),OR(exact(Metadata!H836,"not collected"),exact(Metadata!H836,"not provided"))),AND(IF(Metadata!H836="",FALSE,ISNUMBER(VALUE(Metadata!H836))),Metadata!H836&gt;0))</f>
        <v>0</v>
      </c>
      <c r="AJ836">
        <f>AND(IF(Metadata!I836="",FALSE,TRUE),exact(Metadata!I836,"years"))</f>
        <v>0</v>
      </c>
      <c r="AK836">
        <f>IF(Metadata!J836="",FALSE,TRUE)</f>
        <v>0</v>
      </c>
      <c r="AL836">
        <f>OR(AND(IF(Metadata!K836="",FALSE,TRUE),OR(exact(Metadata!K836,"not collected"),exact(Metadata!K836,"not provided"))),AND(IF(Metadata!K836="",FALSE,ISNUMBER(VALUE(Metadata!K836))),Metadata!K836&gt;0))</f>
        <v>0</v>
      </c>
      <c r="AM836">
        <f>AND(IF(Metadata!L836="",FALSE,TRUE),exact(Metadata!L836,"cm"))</f>
        <v>0</v>
      </c>
      <c r="AN836">
        <f>IF(Metadata!M836="",FALSE,TRUE)</f>
        <v>0</v>
      </c>
      <c r="AO836">
        <f>OR(AND(IF(Metadata!N836="",FALSE,TRUE),OR(exact(Metadata!N836,"not applicable"),exact(Metadata!N836,"not collected"),exact(Metadata!N836,"not provided"))),AND(IF(Metadata!N836="",FALSE,IF(ISERROR(INT(Metadata!N836)),FALSE,INT(Metadata!N836)=Metadata!N836)),Metadata!N836&gt;0))</f>
        <v>0</v>
      </c>
      <c r="AP836">
        <f>OR(AND(IF(Metadata!O836="",FALSE,TRUE),OR(exact(Metadata!O836,"not collected"),exact(Metadata!O836,"not provided"))),AND(IF(Metadata!O836="",FALSE,ISNUMBER(VALUE(Metadata!O836))),Metadata!O836&gt;0))</f>
        <v>0</v>
      </c>
      <c r="AQ836">
        <f>AND(IF(Metadata!P836="",FALSE,TRUE),exact(Metadata!P836,"kg"))</f>
        <v>0</v>
      </c>
      <c r="AR836">
        <f>OR(AND(IF(Metadata!Q836="",FALSE,TRUE),OR(exact(Metadata!Q836,"not applicable"),exact(Metadata!Q836,"not collected"),exact(Metadata!Q836,"not provided"),exact(Metadata!Q836,"restricted access"))),IF(Metadata!Q836="",FALSE,IF(ISERROR(INT(Metadata!Q836)),FALSE,INT(Metadata!Q836)=Metadata!Q836)))</f>
        <v>0</v>
      </c>
      <c r="AS836">
        <f>AND(IF(Metadata!R836="",FALSE,TRUE),exact(Metadata!R836,"Not applicable"))</f>
        <v>0</v>
      </c>
    </row>
    <row r="837" spans="1:45">
      <c r="A837" s="4">
        <f>IF(B837=" "," ",HYPERLINK(CONCATENATE("#metadata!",ADDRESS(INDEX($X$2:$X$1001,MATCH(ROWS($V$2:V837),$V$2:$V$1001,0),0),2)),INDEX($AA$2:$AA$1001,MATCH(ROWS($V$2:V837),$V$2:$V$1001,0),0)))</f>
        <v>0</v>
      </c>
      <c r="B837" s="5">
        <f>IF(OR(INDEX($W$2:$W$1001,MATCH(ROWS($V$2:V837),$V$2:$V$1001,0),1)&gt;=100000,INDEX($AC$1005:$AS$1005,1,MATCH(COLUMNS($AC$1006:AC1006),$AC$1006:$AS$1006,0))&gt;=100000), " ",IF(INDEX($AC$2:$AS$1001,MATCH(ROWS($V$2:V837),$V$2:$V$1001,0),MATCH(COLUMNS($AC$1006:AC1006),$AC$1006:$AS$1006,0)), HYPERLINK("#",""), HYPERLINK(CONCATENATE("#Metadata!", ADDRESS(INDEX($X$2:$X$1001,MATCH(ROWS($V$2:V837),$V$2:$V$1001,0),0), INDEX($AC$1004:$AS$1004,1,MATCH(COLUMNS($AC$1006:AC1006),$AC$1006:$AS$1006,0)))),"Fix")))</f>
        <v>0</v>
      </c>
      <c r="C837" s="5">
        <f>IF(OR(INDEX($W$2:$W$1001,MATCH(ROWS($V$2:V837),$V$2:$V$1001,0),1)&gt;=100000,INDEX($AC$1005:$AS$1005,1,MATCH(COLUMNS($AC$1006:AD1006),$AC$1006:$AS$1006,0))&gt;=100000), " ",IF(INDEX($AC$2:$AS$1001,MATCH(ROWS($V$2:V837),$V$2:$V$1001,0),MATCH(COLUMNS($AC$1006:AD1006),$AC$1006:$AS$1006,0)), HYPERLINK("#",""), HYPERLINK(CONCATENATE("#Metadata!", ADDRESS(INDEX($X$2:$X$1001,MATCH(ROWS($V$2:V837),$V$2:$V$1001,0),0), INDEX($AC$1004:$AS$1004,1,MATCH(COLUMNS($AC$1006:AD1006),$AC$1006:$AS$1006,0)))),"Fix")))</f>
        <v>0</v>
      </c>
      <c r="D837" s="5">
        <f>IF(OR(INDEX($W$2:$W$1001,MATCH(ROWS($V$2:V837),$V$2:$V$1001,0),1)&gt;=100000,INDEX($AC$1005:$AS$1005,1,MATCH(COLUMNS($AC$1006:AE1006),$AC$1006:$AS$1006,0))&gt;=100000), " ",IF(INDEX($AC$2:$AS$1001,MATCH(ROWS($V$2:V837),$V$2:$V$1001,0),MATCH(COLUMNS($AC$1006:AE1006),$AC$1006:$AS$1006,0)), HYPERLINK("#",""), HYPERLINK(CONCATENATE("#Metadata!", ADDRESS(INDEX($X$2:$X$1001,MATCH(ROWS($V$2:V837),$V$2:$V$1001,0),0), INDEX($AC$1004:$AS$1004,1,MATCH(COLUMNS($AC$1006:AE1006),$AC$1006:$AS$1006,0)))),"Fix")))</f>
        <v>0</v>
      </c>
      <c r="E837" s="5">
        <f>IF(OR(INDEX($W$2:$W$1001,MATCH(ROWS($V$2:V837),$V$2:$V$1001,0),1)&gt;=100000,INDEX($AC$1005:$AS$1005,1,MATCH(COLUMNS($AC$1006:AF1006),$AC$1006:$AS$1006,0))&gt;=100000), " ",IF(INDEX($AC$2:$AS$1001,MATCH(ROWS($V$2:V837),$V$2:$V$1001,0),MATCH(COLUMNS($AC$1006:AF1006),$AC$1006:$AS$1006,0)), HYPERLINK("#",""), HYPERLINK(CONCATENATE("#Metadata!", ADDRESS(INDEX($X$2:$X$1001,MATCH(ROWS($V$2:V837),$V$2:$V$1001,0),0), INDEX($AC$1004:$AS$1004,1,MATCH(COLUMNS($AC$1006:AF1006),$AC$1006:$AS$1006,0)))),"Fix")))</f>
        <v>0</v>
      </c>
      <c r="F837" s="5">
        <f>IF(OR(INDEX($W$2:$W$1001,MATCH(ROWS($V$2:V837),$V$2:$V$1001,0),1)&gt;=100000,INDEX($AC$1005:$AS$1005,1,MATCH(COLUMNS($AC$1006:AG1006),$AC$1006:$AS$1006,0))&gt;=100000), " ",IF(INDEX($AC$2:$AS$1001,MATCH(ROWS($V$2:V837),$V$2:$V$1001,0),MATCH(COLUMNS($AC$1006:AG1006),$AC$1006:$AS$1006,0)), HYPERLINK("#",""), HYPERLINK(CONCATENATE("#Metadata!", ADDRESS(INDEX($X$2:$X$1001,MATCH(ROWS($V$2:V837),$V$2:$V$1001,0),0), INDEX($AC$1004:$AS$1004,1,MATCH(COLUMNS($AC$1006:AG1006),$AC$1006:$AS$1006,0)))),"Fix")))</f>
        <v>0</v>
      </c>
      <c r="G837" s="5">
        <f>IF(OR(INDEX($W$2:$W$1001,MATCH(ROWS($V$2:V837),$V$2:$V$1001,0),1)&gt;=100000,INDEX($AC$1005:$AS$1005,1,MATCH(COLUMNS($AC$1006:AH1006),$AC$1006:$AS$1006,0))&gt;=100000), " ",IF(INDEX($AC$2:$AS$1001,MATCH(ROWS($V$2:V837),$V$2:$V$1001,0),MATCH(COLUMNS($AC$1006:AH1006),$AC$1006:$AS$1006,0)), HYPERLINK("#",""), HYPERLINK(CONCATENATE("#Metadata!", ADDRESS(INDEX($X$2:$X$1001,MATCH(ROWS($V$2:V837),$V$2:$V$1001,0),0), INDEX($AC$1004:$AS$1004,1,MATCH(COLUMNS($AC$1006:AH1006),$AC$1006:$AS$1006,0)))),"Fix")))</f>
        <v>0</v>
      </c>
      <c r="H837" s="5">
        <f>IF(OR(INDEX($W$2:$W$1001,MATCH(ROWS($V$2:V837),$V$2:$V$1001,0),1)&gt;=100000,INDEX($AC$1005:$AS$1005,1,MATCH(COLUMNS($AC$1006:AI1006),$AC$1006:$AS$1006,0))&gt;=100000), " ",IF(INDEX($AC$2:$AS$1001,MATCH(ROWS($V$2:V837),$V$2:$V$1001,0),MATCH(COLUMNS($AC$1006:AI1006),$AC$1006:$AS$1006,0)), HYPERLINK("#",""), HYPERLINK(CONCATENATE("#Metadata!", ADDRESS(INDEX($X$2:$X$1001,MATCH(ROWS($V$2:V837),$V$2:$V$1001,0),0), INDEX($AC$1004:$AS$1004,1,MATCH(COLUMNS($AC$1006:AI1006),$AC$1006:$AS$1006,0)))),"Fix")))</f>
        <v>0</v>
      </c>
      <c r="I837" s="5">
        <f>IF(OR(INDEX($W$2:$W$1001,MATCH(ROWS($V$2:V837),$V$2:$V$1001,0),1)&gt;=100000,INDEX($AC$1005:$AS$1005,1,MATCH(COLUMNS($AC$1006:AJ1006),$AC$1006:$AS$1006,0))&gt;=100000), " ",IF(INDEX($AC$2:$AS$1001,MATCH(ROWS($V$2:V837),$V$2:$V$1001,0),MATCH(COLUMNS($AC$1006:AJ1006),$AC$1006:$AS$1006,0)), HYPERLINK("#",""), HYPERLINK(CONCATENATE("#Metadata!", ADDRESS(INDEX($X$2:$X$1001,MATCH(ROWS($V$2:V837),$V$2:$V$1001,0),0), INDEX($AC$1004:$AS$1004,1,MATCH(COLUMNS($AC$1006:AJ1006),$AC$1006:$AS$1006,0)))),"Fix")))</f>
        <v>0</v>
      </c>
      <c r="J837" s="5">
        <f>IF(OR(INDEX($W$2:$W$1001,MATCH(ROWS($V$2:V837),$V$2:$V$1001,0),1)&gt;=100000,INDEX($AC$1005:$AS$1005,1,MATCH(COLUMNS($AC$1006:AK1006),$AC$1006:$AS$1006,0))&gt;=100000), " ",IF(INDEX($AC$2:$AS$1001,MATCH(ROWS($V$2:V837),$V$2:$V$1001,0),MATCH(COLUMNS($AC$1006:AK1006),$AC$1006:$AS$1006,0)), HYPERLINK("#",""), HYPERLINK(CONCATENATE("#Metadata!", ADDRESS(INDEX($X$2:$X$1001,MATCH(ROWS($V$2:V837),$V$2:$V$1001,0),0), INDEX($AC$1004:$AS$1004,1,MATCH(COLUMNS($AC$1006:AK1006),$AC$1006:$AS$1006,0)))),"Fix")))</f>
        <v>0</v>
      </c>
      <c r="K837" s="5">
        <f>IF(OR(INDEX($W$2:$W$1001,MATCH(ROWS($V$2:V837),$V$2:$V$1001,0),1)&gt;=100000,INDEX($AC$1005:$AS$1005,1,MATCH(COLUMNS($AC$1006:AL1006),$AC$1006:$AS$1006,0))&gt;=100000), " ",IF(INDEX($AC$2:$AS$1001,MATCH(ROWS($V$2:V837),$V$2:$V$1001,0),MATCH(COLUMNS($AC$1006:AL1006),$AC$1006:$AS$1006,0)), HYPERLINK("#",""), HYPERLINK(CONCATENATE("#Metadata!", ADDRESS(INDEX($X$2:$X$1001,MATCH(ROWS($V$2:V837),$V$2:$V$1001,0),0), INDEX($AC$1004:$AS$1004,1,MATCH(COLUMNS($AC$1006:AL1006),$AC$1006:$AS$1006,0)))),"Fix")))</f>
        <v>0</v>
      </c>
      <c r="L837" s="5">
        <f>IF(OR(INDEX($W$2:$W$1001,MATCH(ROWS($V$2:V837),$V$2:$V$1001,0),1)&gt;=100000,INDEX($AC$1005:$AS$1005,1,MATCH(COLUMNS($AC$1006:AM1006),$AC$1006:$AS$1006,0))&gt;=100000), " ",IF(INDEX($AC$2:$AS$1001,MATCH(ROWS($V$2:V837),$V$2:$V$1001,0),MATCH(COLUMNS($AC$1006:AM1006),$AC$1006:$AS$1006,0)), HYPERLINK("#",""), HYPERLINK(CONCATENATE("#Metadata!", ADDRESS(INDEX($X$2:$X$1001,MATCH(ROWS($V$2:V837),$V$2:$V$1001,0),0), INDEX($AC$1004:$AS$1004,1,MATCH(COLUMNS($AC$1006:AM1006),$AC$1006:$AS$1006,0)))),"Fix")))</f>
        <v>0</v>
      </c>
      <c r="M837" s="5">
        <f>IF(OR(INDEX($W$2:$W$1001,MATCH(ROWS($V$2:V837),$V$2:$V$1001,0),1)&gt;=100000,INDEX($AC$1005:$AS$1005,1,MATCH(COLUMNS($AC$1006:AN1006),$AC$1006:$AS$1006,0))&gt;=100000), " ",IF(INDEX($AC$2:$AS$1001,MATCH(ROWS($V$2:V837),$V$2:$V$1001,0),MATCH(COLUMNS($AC$1006:AN1006),$AC$1006:$AS$1006,0)), HYPERLINK("#",""), HYPERLINK(CONCATENATE("#Metadata!", ADDRESS(INDEX($X$2:$X$1001,MATCH(ROWS($V$2:V837),$V$2:$V$1001,0),0), INDEX($AC$1004:$AS$1004,1,MATCH(COLUMNS($AC$1006:AN1006),$AC$1006:$AS$1006,0)))),"Fix")))</f>
        <v>0</v>
      </c>
      <c r="N837" s="5">
        <f>IF(OR(INDEX($W$2:$W$1001,MATCH(ROWS($V$2:V837),$V$2:$V$1001,0),1)&gt;=100000,INDEX($AC$1005:$AS$1005,1,MATCH(COLUMNS($AC$1006:AO1006),$AC$1006:$AS$1006,0))&gt;=100000), " ",IF(INDEX($AC$2:$AS$1001,MATCH(ROWS($V$2:V837),$V$2:$V$1001,0),MATCH(COLUMNS($AC$1006:AO1006),$AC$1006:$AS$1006,0)), HYPERLINK("#",""), HYPERLINK(CONCATENATE("#Metadata!", ADDRESS(INDEX($X$2:$X$1001,MATCH(ROWS($V$2:V837),$V$2:$V$1001,0),0), INDEX($AC$1004:$AS$1004,1,MATCH(COLUMNS($AC$1006:AO1006),$AC$1006:$AS$1006,0)))),"Fix")))</f>
        <v>0</v>
      </c>
      <c r="O837" s="5">
        <f>IF(OR(INDEX($W$2:$W$1001,MATCH(ROWS($V$2:V837),$V$2:$V$1001,0),1)&gt;=100000,INDEX($AC$1005:$AS$1005,1,MATCH(COLUMNS($AC$1006:AP1006),$AC$1006:$AS$1006,0))&gt;=100000), " ",IF(INDEX($AC$2:$AS$1001,MATCH(ROWS($V$2:V837),$V$2:$V$1001,0),MATCH(COLUMNS($AC$1006:AP1006),$AC$1006:$AS$1006,0)), HYPERLINK("#",""), HYPERLINK(CONCATENATE("#Metadata!", ADDRESS(INDEX($X$2:$X$1001,MATCH(ROWS($V$2:V837),$V$2:$V$1001,0),0), INDEX($AC$1004:$AS$1004,1,MATCH(COLUMNS($AC$1006:AP1006),$AC$1006:$AS$1006,0)))),"Fix")))</f>
        <v>0</v>
      </c>
      <c r="P837" s="5">
        <f>IF(OR(INDEX($W$2:$W$1001,MATCH(ROWS($V$2:V837),$V$2:$V$1001,0),1)&gt;=100000,INDEX($AC$1005:$AS$1005,1,MATCH(COLUMNS($AC$1006:AQ1006),$AC$1006:$AS$1006,0))&gt;=100000), " ",IF(INDEX($AC$2:$AS$1001,MATCH(ROWS($V$2:V837),$V$2:$V$1001,0),MATCH(COLUMNS($AC$1006:AQ1006),$AC$1006:$AS$1006,0)), HYPERLINK("#",""), HYPERLINK(CONCATENATE("#Metadata!", ADDRESS(INDEX($X$2:$X$1001,MATCH(ROWS($V$2:V837),$V$2:$V$1001,0),0), INDEX($AC$1004:$AS$1004,1,MATCH(COLUMNS($AC$1006:AQ1006),$AC$1006:$AS$1006,0)))),"Fix")))</f>
        <v>0</v>
      </c>
      <c r="Q837" s="5">
        <f>IF(OR(INDEX($W$2:$W$1001,MATCH(ROWS($V$2:V837),$V$2:$V$1001,0),1)&gt;=100000,INDEX($AC$1005:$AS$1005,1,MATCH(COLUMNS($AC$1006:AR1006),$AC$1006:$AS$1006,0))&gt;=100000), " ",IF(INDEX($AC$2:$AS$1001,MATCH(ROWS($V$2:V837),$V$2:$V$1001,0),MATCH(COLUMNS($AC$1006:AR1006),$AC$1006:$AS$1006,0)), HYPERLINK("#",""), HYPERLINK(CONCATENATE("#Metadata!", ADDRESS(INDEX($X$2:$X$1001,MATCH(ROWS($V$2:V837),$V$2:$V$1001,0),0), INDEX($AC$1004:$AS$1004,1,MATCH(COLUMNS($AC$1006:AR1006),$AC$1006:$AS$1006,0)))),"Fix")))</f>
        <v>0</v>
      </c>
      <c r="R837" s="5">
        <f>IF(OR(INDEX($W$2:$W$1001,MATCH(ROWS($V$2:V837),$V$2:$V$1001,0),1)&gt;=100000,INDEX($AC$1005:$AS$1005,1,MATCH(COLUMNS($AC$1006:AS1006),$AC$1006:$AS$1006,0))&gt;=100000), " ",IF(INDEX($AC$2:$AS$1001,MATCH(ROWS($V$2:V837),$V$2:$V$1001,0),MATCH(COLUMNS($AC$1006:AS1006),$AC$1006:$AS$1006,0)), HYPERLINK("#",""), HYPERLINK(CONCATENATE("#Metadata!", ADDRESS(INDEX($X$2:$X$1001,MATCH(ROWS($V$2:V837),$V$2:$V$1001,0),0), INDEX($AC$1004:$AS$1004,1,MATCH(COLUMNS($AC$1006:AS1006),$AC$1006:$AS$1006,0)))),"Fix")))</f>
        <v>0</v>
      </c>
      <c r="V837">
        <v>0</v>
      </c>
      <c r="W837">
        <v>0</v>
      </c>
      <c r="X837">
        <v>0</v>
      </c>
      <c r="Y837">
        <f>IF(Z837,TRUE,AND(AC837:AS837))</f>
        <v>0</v>
      </c>
      <c r="Z837">
        <f>COUNTBLANK(Metadata!B837:R837)=COLUMNS(Metadata!B837:R837)</f>
        <v>0</v>
      </c>
      <c r="AA837">
        <v>0</v>
      </c>
      <c r="AC837">
        <f>AND(IF(Metadata!B837="",FALSE,TRUE),COUNTIF(Metadata!B:B, Metadata!B837) = 1,NOT(ISERROR(SUMPRODUCT(SEARCH(MID(Metadata!B837,ROW(INDIRECT("1:"&amp;LEN(Metadata!B837))), 1),"0123456789abcdefghijklmnopqrstuvwxyzABCDEFGHIJKLMNOPQRSTUVWXYZ.")))))</f>
        <v>0</v>
      </c>
      <c r="AD837">
        <f>AND(IF(Metadata!C837="",FALSE,TRUE),exact(Metadata!C837,"Host-associated"))</f>
        <v>0</v>
      </c>
      <c r="AE837">
        <f>AND(IF(Metadata!D837="",FALSE,TRUE),OR(exact(Metadata!D837,"Animal"),exact(Metadata!D837,"Fungus"),exact(Metadata!D837,"Plant")))</f>
        <v>0</v>
      </c>
      <c r="AF837">
        <f>AND(IF(Metadata!E837="",FALSE,TRUE),OR(exact(Metadata!E837,"Plant secretion"),exact(Metadata!E837,"Plant rhizosphere"),exact(Metadata!E837,"Plant surface"),exact(Metadata!E837,"Plant corpus"),exact(Metadata!E837,"Fungus surface"),exact(Metadata!E837,"Fungus corpus"),exact(Metadata!E837,"Animal surface"),exact(Metadata!E837,"Animal proximal gut"),exact(Metadata!E837,"Animal corpus"),exact(Metadata!E837,"Animal distal gut"),exact(Metadata!E837,"Animal secretion")))</f>
        <v>0</v>
      </c>
      <c r="AG837">
        <f>OR(AND(IF(Metadata!F837="",FALSE,TRUE),OR(exact(Metadata!F837,"not collected"),exact(Metadata!F837,"not provided"),exact(Metadata!F837,"restricted access"))),AND(IF(Metadata!F837="",FALSE,TRUE),OR(exact(Metadata!F837,"organism-associated habitat"),exact(Metadata!F837,"plant-associated habitat"),exact(Metadata!F837,"animal-associated habitat"),exact(Metadata!F837,"insecta-associated habitat"),exact(Metadata!F837,"mammalia-associated habitat"),exact(Metadata!F837,"human-associated habitat"),exact(Metadata!F837,"livestock-associated habitat"))))</f>
        <v>0</v>
      </c>
      <c r="AH837">
        <f>AND(IF(Metadata!G837="",FALSE,TRUE),exact(Metadata!G837,"host-associated"))</f>
        <v>0</v>
      </c>
      <c r="AI837">
        <f>OR(AND(IF(Metadata!H837="",FALSE,TRUE),OR(exact(Metadata!H837,"not collected"),exact(Metadata!H837,"not provided"))),AND(IF(Metadata!H837="",FALSE,ISNUMBER(VALUE(Metadata!H837))),Metadata!H837&gt;0))</f>
        <v>0</v>
      </c>
      <c r="AJ837">
        <f>AND(IF(Metadata!I837="",FALSE,TRUE),exact(Metadata!I837,"years"))</f>
        <v>0</v>
      </c>
      <c r="AK837">
        <f>IF(Metadata!J837="",FALSE,TRUE)</f>
        <v>0</v>
      </c>
      <c r="AL837">
        <f>OR(AND(IF(Metadata!K837="",FALSE,TRUE),OR(exact(Metadata!K837,"not collected"),exact(Metadata!K837,"not provided"))),AND(IF(Metadata!K837="",FALSE,ISNUMBER(VALUE(Metadata!K837))),Metadata!K837&gt;0))</f>
        <v>0</v>
      </c>
      <c r="AM837">
        <f>AND(IF(Metadata!L837="",FALSE,TRUE),exact(Metadata!L837,"cm"))</f>
        <v>0</v>
      </c>
      <c r="AN837">
        <f>IF(Metadata!M837="",FALSE,TRUE)</f>
        <v>0</v>
      </c>
      <c r="AO837">
        <f>OR(AND(IF(Metadata!N837="",FALSE,TRUE),OR(exact(Metadata!N837,"not applicable"),exact(Metadata!N837,"not collected"),exact(Metadata!N837,"not provided"))),AND(IF(Metadata!N837="",FALSE,IF(ISERROR(INT(Metadata!N837)),FALSE,INT(Metadata!N837)=Metadata!N837)),Metadata!N837&gt;0))</f>
        <v>0</v>
      </c>
      <c r="AP837">
        <f>OR(AND(IF(Metadata!O837="",FALSE,TRUE),OR(exact(Metadata!O837,"not collected"),exact(Metadata!O837,"not provided"))),AND(IF(Metadata!O837="",FALSE,ISNUMBER(VALUE(Metadata!O837))),Metadata!O837&gt;0))</f>
        <v>0</v>
      </c>
      <c r="AQ837">
        <f>AND(IF(Metadata!P837="",FALSE,TRUE),exact(Metadata!P837,"kg"))</f>
        <v>0</v>
      </c>
      <c r="AR837">
        <f>OR(AND(IF(Metadata!Q837="",FALSE,TRUE),OR(exact(Metadata!Q837,"not applicable"),exact(Metadata!Q837,"not collected"),exact(Metadata!Q837,"not provided"),exact(Metadata!Q837,"restricted access"))),IF(Metadata!Q837="",FALSE,IF(ISERROR(INT(Metadata!Q837)),FALSE,INT(Metadata!Q837)=Metadata!Q837)))</f>
        <v>0</v>
      </c>
      <c r="AS837">
        <f>AND(IF(Metadata!R837="",FALSE,TRUE),exact(Metadata!R837,"Not applicable"))</f>
        <v>0</v>
      </c>
    </row>
    <row r="838" spans="1:45">
      <c r="A838" s="4">
        <f>IF(B838=" "," ",HYPERLINK(CONCATENATE("#metadata!",ADDRESS(INDEX($X$2:$X$1001,MATCH(ROWS($V$2:V838),$V$2:$V$1001,0),0),2)),INDEX($AA$2:$AA$1001,MATCH(ROWS($V$2:V838),$V$2:$V$1001,0),0)))</f>
        <v>0</v>
      </c>
      <c r="B838" s="5">
        <f>IF(OR(INDEX($W$2:$W$1001,MATCH(ROWS($V$2:V838),$V$2:$V$1001,0),1)&gt;=100000,INDEX($AC$1005:$AS$1005,1,MATCH(COLUMNS($AC$1006:AC1006),$AC$1006:$AS$1006,0))&gt;=100000), " ",IF(INDEX($AC$2:$AS$1001,MATCH(ROWS($V$2:V838),$V$2:$V$1001,0),MATCH(COLUMNS($AC$1006:AC1006),$AC$1006:$AS$1006,0)), HYPERLINK("#",""), HYPERLINK(CONCATENATE("#Metadata!", ADDRESS(INDEX($X$2:$X$1001,MATCH(ROWS($V$2:V838),$V$2:$V$1001,0),0), INDEX($AC$1004:$AS$1004,1,MATCH(COLUMNS($AC$1006:AC1006),$AC$1006:$AS$1006,0)))),"Fix")))</f>
        <v>0</v>
      </c>
      <c r="C838" s="5">
        <f>IF(OR(INDEX($W$2:$W$1001,MATCH(ROWS($V$2:V838),$V$2:$V$1001,0),1)&gt;=100000,INDEX($AC$1005:$AS$1005,1,MATCH(COLUMNS($AC$1006:AD1006),$AC$1006:$AS$1006,0))&gt;=100000), " ",IF(INDEX($AC$2:$AS$1001,MATCH(ROWS($V$2:V838),$V$2:$V$1001,0),MATCH(COLUMNS($AC$1006:AD1006),$AC$1006:$AS$1006,0)), HYPERLINK("#",""), HYPERLINK(CONCATENATE("#Metadata!", ADDRESS(INDEX($X$2:$X$1001,MATCH(ROWS($V$2:V838),$V$2:$V$1001,0),0), INDEX($AC$1004:$AS$1004,1,MATCH(COLUMNS($AC$1006:AD1006),$AC$1006:$AS$1006,0)))),"Fix")))</f>
        <v>0</v>
      </c>
      <c r="D838" s="5">
        <f>IF(OR(INDEX($W$2:$W$1001,MATCH(ROWS($V$2:V838),$V$2:$V$1001,0),1)&gt;=100000,INDEX($AC$1005:$AS$1005,1,MATCH(COLUMNS($AC$1006:AE1006),$AC$1006:$AS$1006,0))&gt;=100000), " ",IF(INDEX($AC$2:$AS$1001,MATCH(ROWS($V$2:V838),$V$2:$V$1001,0),MATCH(COLUMNS($AC$1006:AE1006),$AC$1006:$AS$1006,0)), HYPERLINK("#",""), HYPERLINK(CONCATENATE("#Metadata!", ADDRESS(INDEX($X$2:$X$1001,MATCH(ROWS($V$2:V838),$V$2:$V$1001,0),0), INDEX($AC$1004:$AS$1004,1,MATCH(COLUMNS($AC$1006:AE1006),$AC$1006:$AS$1006,0)))),"Fix")))</f>
        <v>0</v>
      </c>
      <c r="E838" s="5">
        <f>IF(OR(INDEX($W$2:$W$1001,MATCH(ROWS($V$2:V838),$V$2:$V$1001,0),1)&gt;=100000,INDEX($AC$1005:$AS$1005,1,MATCH(COLUMNS($AC$1006:AF1006),$AC$1006:$AS$1006,0))&gt;=100000), " ",IF(INDEX($AC$2:$AS$1001,MATCH(ROWS($V$2:V838),$V$2:$V$1001,0),MATCH(COLUMNS($AC$1006:AF1006),$AC$1006:$AS$1006,0)), HYPERLINK("#",""), HYPERLINK(CONCATENATE("#Metadata!", ADDRESS(INDEX($X$2:$X$1001,MATCH(ROWS($V$2:V838),$V$2:$V$1001,0),0), INDEX($AC$1004:$AS$1004,1,MATCH(COLUMNS($AC$1006:AF1006),$AC$1006:$AS$1006,0)))),"Fix")))</f>
        <v>0</v>
      </c>
      <c r="F838" s="5">
        <f>IF(OR(INDEX($W$2:$W$1001,MATCH(ROWS($V$2:V838),$V$2:$V$1001,0),1)&gt;=100000,INDEX($AC$1005:$AS$1005,1,MATCH(COLUMNS($AC$1006:AG1006),$AC$1006:$AS$1006,0))&gt;=100000), " ",IF(INDEX($AC$2:$AS$1001,MATCH(ROWS($V$2:V838),$V$2:$V$1001,0),MATCH(COLUMNS($AC$1006:AG1006),$AC$1006:$AS$1006,0)), HYPERLINK("#",""), HYPERLINK(CONCATENATE("#Metadata!", ADDRESS(INDEX($X$2:$X$1001,MATCH(ROWS($V$2:V838),$V$2:$V$1001,0),0), INDEX($AC$1004:$AS$1004,1,MATCH(COLUMNS($AC$1006:AG1006),$AC$1006:$AS$1006,0)))),"Fix")))</f>
        <v>0</v>
      </c>
      <c r="G838" s="5">
        <f>IF(OR(INDEX($W$2:$W$1001,MATCH(ROWS($V$2:V838),$V$2:$V$1001,0),1)&gt;=100000,INDEX($AC$1005:$AS$1005,1,MATCH(COLUMNS($AC$1006:AH1006),$AC$1006:$AS$1006,0))&gt;=100000), " ",IF(INDEX($AC$2:$AS$1001,MATCH(ROWS($V$2:V838),$V$2:$V$1001,0),MATCH(COLUMNS($AC$1006:AH1006),$AC$1006:$AS$1006,0)), HYPERLINK("#",""), HYPERLINK(CONCATENATE("#Metadata!", ADDRESS(INDEX($X$2:$X$1001,MATCH(ROWS($V$2:V838),$V$2:$V$1001,0),0), INDEX($AC$1004:$AS$1004,1,MATCH(COLUMNS($AC$1006:AH1006),$AC$1006:$AS$1006,0)))),"Fix")))</f>
        <v>0</v>
      </c>
      <c r="H838" s="5">
        <f>IF(OR(INDEX($W$2:$W$1001,MATCH(ROWS($V$2:V838),$V$2:$V$1001,0),1)&gt;=100000,INDEX($AC$1005:$AS$1005,1,MATCH(COLUMNS($AC$1006:AI1006),$AC$1006:$AS$1006,0))&gt;=100000), " ",IF(INDEX($AC$2:$AS$1001,MATCH(ROWS($V$2:V838),$V$2:$V$1001,0),MATCH(COLUMNS($AC$1006:AI1006),$AC$1006:$AS$1006,0)), HYPERLINK("#",""), HYPERLINK(CONCATENATE("#Metadata!", ADDRESS(INDEX($X$2:$X$1001,MATCH(ROWS($V$2:V838),$V$2:$V$1001,0),0), INDEX($AC$1004:$AS$1004,1,MATCH(COLUMNS($AC$1006:AI1006),$AC$1006:$AS$1006,0)))),"Fix")))</f>
        <v>0</v>
      </c>
      <c r="I838" s="5">
        <f>IF(OR(INDEX($W$2:$W$1001,MATCH(ROWS($V$2:V838),$V$2:$V$1001,0),1)&gt;=100000,INDEX($AC$1005:$AS$1005,1,MATCH(COLUMNS($AC$1006:AJ1006),$AC$1006:$AS$1006,0))&gt;=100000), " ",IF(INDEX($AC$2:$AS$1001,MATCH(ROWS($V$2:V838),$V$2:$V$1001,0),MATCH(COLUMNS($AC$1006:AJ1006),$AC$1006:$AS$1006,0)), HYPERLINK("#",""), HYPERLINK(CONCATENATE("#Metadata!", ADDRESS(INDEX($X$2:$X$1001,MATCH(ROWS($V$2:V838),$V$2:$V$1001,0),0), INDEX($AC$1004:$AS$1004,1,MATCH(COLUMNS($AC$1006:AJ1006),$AC$1006:$AS$1006,0)))),"Fix")))</f>
        <v>0</v>
      </c>
      <c r="J838" s="5">
        <f>IF(OR(INDEX($W$2:$W$1001,MATCH(ROWS($V$2:V838),$V$2:$V$1001,0),1)&gt;=100000,INDEX($AC$1005:$AS$1005,1,MATCH(COLUMNS($AC$1006:AK1006),$AC$1006:$AS$1006,0))&gt;=100000), " ",IF(INDEX($AC$2:$AS$1001,MATCH(ROWS($V$2:V838),$V$2:$V$1001,0),MATCH(COLUMNS($AC$1006:AK1006),$AC$1006:$AS$1006,0)), HYPERLINK("#",""), HYPERLINK(CONCATENATE("#Metadata!", ADDRESS(INDEX($X$2:$X$1001,MATCH(ROWS($V$2:V838),$V$2:$V$1001,0),0), INDEX($AC$1004:$AS$1004,1,MATCH(COLUMNS($AC$1006:AK1006),$AC$1006:$AS$1006,0)))),"Fix")))</f>
        <v>0</v>
      </c>
      <c r="K838" s="5">
        <f>IF(OR(INDEX($W$2:$W$1001,MATCH(ROWS($V$2:V838),$V$2:$V$1001,0),1)&gt;=100000,INDEX($AC$1005:$AS$1005,1,MATCH(COLUMNS($AC$1006:AL1006),$AC$1006:$AS$1006,0))&gt;=100000), " ",IF(INDEX($AC$2:$AS$1001,MATCH(ROWS($V$2:V838),$V$2:$V$1001,0),MATCH(COLUMNS($AC$1006:AL1006),$AC$1006:$AS$1006,0)), HYPERLINK("#",""), HYPERLINK(CONCATENATE("#Metadata!", ADDRESS(INDEX($X$2:$X$1001,MATCH(ROWS($V$2:V838),$V$2:$V$1001,0),0), INDEX($AC$1004:$AS$1004,1,MATCH(COLUMNS($AC$1006:AL1006),$AC$1006:$AS$1006,0)))),"Fix")))</f>
        <v>0</v>
      </c>
      <c r="L838" s="5">
        <f>IF(OR(INDEX($W$2:$W$1001,MATCH(ROWS($V$2:V838),$V$2:$V$1001,0),1)&gt;=100000,INDEX($AC$1005:$AS$1005,1,MATCH(COLUMNS($AC$1006:AM1006),$AC$1006:$AS$1006,0))&gt;=100000), " ",IF(INDEX($AC$2:$AS$1001,MATCH(ROWS($V$2:V838),$V$2:$V$1001,0),MATCH(COLUMNS($AC$1006:AM1006),$AC$1006:$AS$1006,0)), HYPERLINK("#",""), HYPERLINK(CONCATENATE("#Metadata!", ADDRESS(INDEX($X$2:$X$1001,MATCH(ROWS($V$2:V838),$V$2:$V$1001,0),0), INDEX($AC$1004:$AS$1004,1,MATCH(COLUMNS($AC$1006:AM1006),$AC$1006:$AS$1006,0)))),"Fix")))</f>
        <v>0</v>
      </c>
      <c r="M838" s="5">
        <f>IF(OR(INDEX($W$2:$W$1001,MATCH(ROWS($V$2:V838),$V$2:$V$1001,0),1)&gt;=100000,INDEX($AC$1005:$AS$1005,1,MATCH(COLUMNS($AC$1006:AN1006),$AC$1006:$AS$1006,0))&gt;=100000), " ",IF(INDEX($AC$2:$AS$1001,MATCH(ROWS($V$2:V838),$V$2:$V$1001,0),MATCH(COLUMNS($AC$1006:AN1006),$AC$1006:$AS$1006,0)), HYPERLINK("#",""), HYPERLINK(CONCATENATE("#Metadata!", ADDRESS(INDEX($X$2:$X$1001,MATCH(ROWS($V$2:V838),$V$2:$V$1001,0),0), INDEX($AC$1004:$AS$1004,1,MATCH(COLUMNS($AC$1006:AN1006),$AC$1006:$AS$1006,0)))),"Fix")))</f>
        <v>0</v>
      </c>
      <c r="N838" s="5">
        <f>IF(OR(INDEX($W$2:$W$1001,MATCH(ROWS($V$2:V838),$V$2:$V$1001,0),1)&gt;=100000,INDEX($AC$1005:$AS$1005,1,MATCH(COLUMNS($AC$1006:AO1006),$AC$1006:$AS$1006,0))&gt;=100000), " ",IF(INDEX($AC$2:$AS$1001,MATCH(ROWS($V$2:V838),$V$2:$V$1001,0),MATCH(COLUMNS($AC$1006:AO1006),$AC$1006:$AS$1006,0)), HYPERLINK("#",""), HYPERLINK(CONCATENATE("#Metadata!", ADDRESS(INDEX($X$2:$X$1001,MATCH(ROWS($V$2:V838),$V$2:$V$1001,0),0), INDEX($AC$1004:$AS$1004,1,MATCH(COLUMNS($AC$1006:AO1006),$AC$1006:$AS$1006,0)))),"Fix")))</f>
        <v>0</v>
      </c>
      <c r="O838" s="5">
        <f>IF(OR(INDEX($W$2:$W$1001,MATCH(ROWS($V$2:V838),$V$2:$V$1001,0),1)&gt;=100000,INDEX($AC$1005:$AS$1005,1,MATCH(COLUMNS($AC$1006:AP1006),$AC$1006:$AS$1006,0))&gt;=100000), " ",IF(INDEX($AC$2:$AS$1001,MATCH(ROWS($V$2:V838),$V$2:$V$1001,0),MATCH(COLUMNS($AC$1006:AP1006),$AC$1006:$AS$1006,0)), HYPERLINK("#",""), HYPERLINK(CONCATENATE("#Metadata!", ADDRESS(INDEX($X$2:$X$1001,MATCH(ROWS($V$2:V838),$V$2:$V$1001,0),0), INDEX($AC$1004:$AS$1004,1,MATCH(COLUMNS($AC$1006:AP1006),$AC$1006:$AS$1006,0)))),"Fix")))</f>
        <v>0</v>
      </c>
      <c r="P838" s="5">
        <f>IF(OR(INDEX($W$2:$W$1001,MATCH(ROWS($V$2:V838),$V$2:$V$1001,0),1)&gt;=100000,INDEX($AC$1005:$AS$1005,1,MATCH(COLUMNS($AC$1006:AQ1006),$AC$1006:$AS$1006,0))&gt;=100000), " ",IF(INDEX($AC$2:$AS$1001,MATCH(ROWS($V$2:V838),$V$2:$V$1001,0),MATCH(COLUMNS($AC$1006:AQ1006),$AC$1006:$AS$1006,0)), HYPERLINK("#",""), HYPERLINK(CONCATENATE("#Metadata!", ADDRESS(INDEX($X$2:$X$1001,MATCH(ROWS($V$2:V838),$V$2:$V$1001,0),0), INDEX($AC$1004:$AS$1004,1,MATCH(COLUMNS($AC$1006:AQ1006),$AC$1006:$AS$1006,0)))),"Fix")))</f>
        <v>0</v>
      </c>
      <c r="Q838" s="5">
        <f>IF(OR(INDEX($W$2:$W$1001,MATCH(ROWS($V$2:V838),$V$2:$V$1001,0),1)&gt;=100000,INDEX($AC$1005:$AS$1005,1,MATCH(COLUMNS($AC$1006:AR1006),$AC$1006:$AS$1006,0))&gt;=100000), " ",IF(INDEX($AC$2:$AS$1001,MATCH(ROWS($V$2:V838),$V$2:$V$1001,0),MATCH(COLUMNS($AC$1006:AR1006),$AC$1006:$AS$1006,0)), HYPERLINK("#",""), HYPERLINK(CONCATENATE("#Metadata!", ADDRESS(INDEX($X$2:$X$1001,MATCH(ROWS($V$2:V838),$V$2:$V$1001,0),0), INDEX($AC$1004:$AS$1004,1,MATCH(COLUMNS($AC$1006:AR1006),$AC$1006:$AS$1006,0)))),"Fix")))</f>
        <v>0</v>
      </c>
      <c r="R838" s="5">
        <f>IF(OR(INDEX($W$2:$W$1001,MATCH(ROWS($V$2:V838),$V$2:$V$1001,0),1)&gt;=100000,INDEX($AC$1005:$AS$1005,1,MATCH(COLUMNS($AC$1006:AS1006),$AC$1006:$AS$1006,0))&gt;=100000), " ",IF(INDEX($AC$2:$AS$1001,MATCH(ROWS($V$2:V838),$V$2:$V$1001,0),MATCH(COLUMNS($AC$1006:AS1006),$AC$1006:$AS$1006,0)), HYPERLINK("#",""), HYPERLINK(CONCATENATE("#Metadata!", ADDRESS(INDEX($X$2:$X$1001,MATCH(ROWS($V$2:V838),$V$2:$V$1001,0),0), INDEX($AC$1004:$AS$1004,1,MATCH(COLUMNS($AC$1006:AS1006),$AC$1006:$AS$1006,0)))),"Fix")))</f>
        <v>0</v>
      </c>
      <c r="V838">
        <v>0</v>
      </c>
      <c r="W838">
        <v>0</v>
      </c>
      <c r="X838">
        <v>0</v>
      </c>
      <c r="Y838">
        <f>IF(Z838,TRUE,AND(AC838:AS838))</f>
        <v>0</v>
      </c>
      <c r="Z838">
        <f>COUNTBLANK(Metadata!B838:R838)=COLUMNS(Metadata!B838:R838)</f>
        <v>0</v>
      </c>
      <c r="AA838">
        <v>0</v>
      </c>
      <c r="AC838">
        <f>AND(IF(Metadata!B838="",FALSE,TRUE),COUNTIF(Metadata!B:B, Metadata!B838) = 1,NOT(ISERROR(SUMPRODUCT(SEARCH(MID(Metadata!B838,ROW(INDIRECT("1:"&amp;LEN(Metadata!B838))), 1),"0123456789abcdefghijklmnopqrstuvwxyzABCDEFGHIJKLMNOPQRSTUVWXYZ.")))))</f>
        <v>0</v>
      </c>
      <c r="AD838">
        <f>AND(IF(Metadata!C838="",FALSE,TRUE),exact(Metadata!C838,"Host-associated"))</f>
        <v>0</v>
      </c>
      <c r="AE838">
        <f>AND(IF(Metadata!D838="",FALSE,TRUE),OR(exact(Metadata!D838,"Animal"),exact(Metadata!D838,"Fungus"),exact(Metadata!D838,"Plant")))</f>
        <v>0</v>
      </c>
      <c r="AF838">
        <f>AND(IF(Metadata!E838="",FALSE,TRUE),OR(exact(Metadata!E838,"Plant secretion"),exact(Metadata!E838,"Plant rhizosphere"),exact(Metadata!E838,"Plant surface"),exact(Metadata!E838,"Plant corpus"),exact(Metadata!E838,"Fungus surface"),exact(Metadata!E838,"Fungus corpus"),exact(Metadata!E838,"Animal surface"),exact(Metadata!E838,"Animal proximal gut"),exact(Metadata!E838,"Animal corpus"),exact(Metadata!E838,"Animal distal gut"),exact(Metadata!E838,"Animal secretion")))</f>
        <v>0</v>
      </c>
      <c r="AG838">
        <f>OR(AND(IF(Metadata!F838="",FALSE,TRUE),OR(exact(Metadata!F838,"not collected"),exact(Metadata!F838,"not provided"),exact(Metadata!F838,"restricted access"))),AND(IF(Metadata!F838="",FALSE,TRUE),OR(exact(Metadata!F838,"organism-associated habitat"),exact(Metadata!F838,"plant-associated habitat"),exact(Metadata!F838,"animal-associated habitat"),exact(Metadata!F838,"insecta-associated habitat"),exact(Metadata!F838,"mammalia-associated habitat"),exact(Metadata!F838,"human-associated habitat"),exact(Metadata!F838,"livestock-associated habitat"))))</f>
        <v>0</v>
      </c>
      <c r="AH838">
        <f>AND(IF(Metadata!G838="",FALSE,TRUE),exact(Metadata!G838,"host-associated"))</f>
        <v>0</v>
      </c>
      <c r="AI838">
        <f>OR(AND(IF(Metadata!H838="",FALSE,TRUE),OR(exact(Metadata!H838,"not collected"),exact(Metadata!H838,"not provided"))),AND(IF(Metadata!H838="",FALSE,ISNUMBER(VALUE(Metadata!H838))),Metadata!H838&gt;0))</f>
        <v>0</v>
      </c>
      <c r="AJ838">
        <f>AND(IF(Metadata!I838="",FALSE,TRUE),exact(Metadata!I838,"years"))</f>
        <v>0</v>
      </c>
      <c r="AK838">
        <f>IF(Metadata!J838="",FALSE,TRUE)</f>
        <v>0</v>
      </c>
      <c r="AL838">
        <f>OR(AND(IF(Metadata!K838="",FALSE,TRUE),OR(exact(Metadata!K838,"not collected"),exact(Metadata!K838,"not provided"))),AND(IF(Metadata!K838="",FALSE,ISNUMBER(VALUE(Metadata!K838))),Metadata!K838&gt;0))</f>
        <v>0</v>
      </c>
      <c r="AM838">
        <f>AND(IF(Metadata!L838="",FALSE,TRUE),exact(Metadata!L838,"cm"))</f>
        <v>0</v>
      </c>
      <c r="AN838">
        <f>IF(Metadata!M838="",FALSE,TRUE)</f>
        <v>0</v>
      </c>
      <c r="AO838">
        <f>OR(AND(IF(Metadata!N838="",FALSE,TRUE),OR(exact(Metadata!N838,"not applicable"),exact(Metadata!N838,"not collected"),exact(Metadata!N838,"not provided"))),AND(IF(Metadata!N838="",FALSE,IF(ISERROR(INT(Metadata!N838)),FALSE,INT(Metadata!N838)=Metadata!N838)),Metadata!N838&gt;0))</f>
        <v>0</v>
      </c>
      <c r="AP838">
        <f>OR(AND(IF(Metadata!O838="",FALSE,TRUE),OR(exact(Metadata!O838,"not collected"),exact(Metadata!O838,"not provided"))),AND(IF(Metadata!O838="",FALSE,ISNUMBER(VALUE(Metadata!O838))),Metadata!O838&gt;0))</f>
        <v>0</v>
      </c>
      <c r="AQ838">
        <f>AND(IF(Metadata!P838="",FALSE,TRUE),exact(Metadata!P838,"kg"))</f>
        <v>0</v>
      </c>
      <c r="AR838">
        <f>OR(AND(IF(Metadata!Q838="",FALSE,TRUE),OR(exact(Metadata!Q838,"not applicable"),exact(Metadata!Q838,"not collected"),exact(Metadata!Q838,"not provided"),exact(Metadata!Q838,"restricted access"))),IF(Metadata!Q838="",FALSE,IF(ISERROR(INT(Metadata!Q838)),FALSE,INT(Metadata!Q838)=Metadata!Q838)))</f>
        <v>0</v>
      </c>
      <c r="AS838">
        <f>AND(IF(Metadata!R838="",FALSE,TRUE),exact(Metadata!R838,"Not applicable"))</f>
        <v>0</v>
      </c>
    </row>
    <row r="839" spans="1:45">
      <c r="A839" s="4">
        <f>IF(B839=" "," ",HYPERLINK(CONCATENATE("#metadata!",ADDRESS(INDEX($X$2:$X$1001,MATCH(ROWS($V$2:V839),$V$2:$V$1001,0),0),2)),INDEX($AA$2:$AA$1001,MATCH(ROWS($V$2:V839),$V$2:$V$1001,0),0)))</f>
        <v>0</v>
      </c>
      <c r="B839" s="5">
        <f>IF(OR(INDEX($W$2:$W$1001,MATCH(ROWS($V$2:V839),$V$2:$V$1001,0),1)&gt;=100000,INDEX($AC$1005:$AS$1005,1,MATCH(COLUMNS($AC$1006:AC1006),$AC$1006:$AS$1006,0))&gt;=100000), " ",IF(INDEX($AC$2:$AS$1001,MATCH(ROWS($V$2:V839),$V$2:$V$1001,0),MATCH(COLUMNS($AC$1006:AC1006),$AC$1006:$AS$1006,0)), HYPERLINK("#",""), HYPERLINK(CONCATENATE("#Metadata!", ADDRESS(INDEX($X$2:$X$1001,MATCH(ROWS($V$2:V839),$V$2:$V$1001,0),0), INDEX($AC$1004:$AS$1004,1,MATCH(COLUMNS($AC$1006:AC1006),$AC$1006:$AS$1006,0)))),"Fix")))</f>
        <v>0</v>
      </c>
      <c r="C839" s="5">
        <f>IF(OR(INDEX($W$2:$W$1001,MATCH(ROWS($V$2:V839),$V$2:$V$1001,0),1)&gt;=100000,INDEX($AC$1005:$AS$1005,1,MATCH(COLUMNS($AC$1006:AD1006),$AC$1006:$AS$1006,0))&gt;=100000), " ",IF(INDEX($AC$2:$AS$1001,MATCH(ROWS($V$2:V839),$V$2:$V$1001,0),MATCH(COLUMNS($AC$1006:AD1006),$AC$1006:$AS$1006,0)), HYPERLINK("#",""), HYPERLINK(CONCATENATE("#Metadata!", ADDRESS(INDEX($X$2:$X$1001,MATCH(ROWS($V$2:V839),$V$2:$V$1001,0),0), INDEX($AC$1004:$AS$1004,1,MATCH(COLUMNS($AC$1006:AD1006),$AC$1006:$AS$1006,0)))),"Fix")))</f>
        <v>0</v>
      </c>
      <c r="D839" s="5">
        <f>IF(OR(INDEX($W$2:$W$1001,MATCH(ROWS($V$2:V839),$V$2:$V$1001,0),1)&gt;=100000,INDEX($AC$1005:$AS$1005,1,MATCH(COLUMNS($AC$1006:AE1006),$AC$1006:$AS$1006,0))&gt;=100000), " ",IF(INDEX($AC$2:$AS$1001,MATCH(ROWS($V$2:V839),$V$2:$V$1001,0),MATCH(COLUMNS($AC$1006:AE1006),$AC$1006:$AS$1006,0)), HYPERLINK("#",""), HYPERLINK(CONCATENATE("#Metadata!", ADDRESS(INDEX($X$2:$X$1001,MATCH(ROWS($V$2:V839),$V$2:$V$1001,0),0), INDEX($AC$1004:$AS$1004,1,MATCH(COLUMNS($AC$1006:AE1006),$AC$1006:$AS$1006,0)))),"Fix")))</f>
        <v>0</v>
      </c>
      <c r="E839" s="5">
        <f>IF(OR(INDEX($W$2:$W$1001,MATCH(ROWS($V$2:V839),$V$2:$V$1001,0),1)&gt;=100000,INDEX($AC$1005:$AS$1005,1,MATCH(COLUMNS($AC$1006:AF1006),$AC$1006:$AS$1006,0))&gt;=100000), " ",IF(INDEX($AC$2:$AS$1001,MATCH(ROWS($V$2:V839),$V$2:$V$1001,0),MATCH(COLUMNS($AC$1006:AF1006),$AC$1006:$AS$1006,0)), HYPERLINK("#",""), HYPERLINK(CONCATENATE("#Metadata!", ADDRESS(INDEX($X$2:$X$1001,MATCH(ROWS($V$2:V839),$V$2:$V$1001,0),0), INDEX($AC$1004:$AS$1004,1,MATCH(COLUMNS($AC$1006:AF1006),$AC$1006:$AS$1006,0)))),"Fix")))</f>
        <v>0</v>
      </c>
      <c r="F839" s="5">
        <f>IF(OR(INDEX($W$2:$W$1001,MATCH(ROWS($V$2:V839),$V$2:$V$1001,0),1)&gt;=100000,INDEX($AC$1005:$AS$1005,1,MATCH(COLUMNS($AC$1006:AG1006),$AC$1006:$AS$1006,0))&gt;=100000), " ",IF(INDEX($AC$2:$AS$1001,MATCH(ROWS($V$2:V839),$V$2:$V$1001,0),MATCH(COLUMNS($AC$1006:AG1006),$AC$1006:$AS$1006,0)), HYPERLINK("#",""), HYPERLINK(CONCATENATE("#Metadata!", ADDRESS(INDEX($X$2:$X$1001,MATCH(ROWS($V$2:V839),$V$2:$V$1001,0),0), INDEX($AC$1004:$AS$1004,1,MATCH(COLUMNS($AC$1006:AG1006),$AC$1006:$AS$1006,0)))),"Fix")))</f>
        <v>0</v>
      </c>
      <c r="G839" s="5">
        <f>IF(OR(INDEX($W$2:$W$1001,MATCH(ROWS($V$2:V839),$V$2:$V$1001,0),1)&gt;=100000,INDEX($AC$1005:$AS$1005,1,MATCH(COLUMNS($AC$1006:AH1006),$AC$1006:$AS$1006,0))&gt;=100000), " ",IF(INDEX($AC$2:$AS$1001,MATCH(ROWS($V$2:V839),$V$2:$V$1001,0),MATCH(COLUMNS($AC$1006:AH1006),$AC$1006:$AS$1006,0)), HYPERLINK("#",""), HYPERLINK(CONCATENATE("#Metadata!", ADDRESS(INDEX($X$2:$X$1001,MATCH(ROWS($V$2:V839),$V$2:$V$1001,0),0), INDEX($AC$1004:$AS$1004,1,MATCH(COLUMNS($AC$1006:AH1006),$AC$1006:$AS$1006,0)))),"Fix")))</f>
        <v>0</v>
      </c>
      <c r="H839" s="5">
        <f>IF(OR(INDEX($W$2:$W$1001,MATCH(ROWS($V$2:V839),$V$2:$V$1001,0),1)&gt;=100000,INDEX($AC$1005:$AS$1005,1,MATCH(COLUMNS($AC$1006:AI1006),$AC$1006:$AS$1006,0))&gt;=100000), " ",IF(INDEX($AC$2:$AS$1001,MATCH(ROWS($V$2:V839),$V$2:$V$1001,0),MATCH(COLUMNS($AC$1006:AI1006),$AC$1006:$AS$1006,0)), HYPERLINK("#",""), HYPERLINK(CONCATENATE("#Metadata!", ADDRESS(INDEX($X$2:$X$1001,MATCH(ROWS($V$2:V839),$V$2:$V$1001,0),0), INDEX($AC$1004:$AS$1004,1,MATCH(COLUMNS($AC$1006:AI1006),$AC$1006:$AS$1006,0)))),"Fix")))</f>
        <v>0</v>
      </c>
      <c r="I839" s="5">
        <f>IF(OR(INDEX($W$2:$W$1001,MATCH(ROWS($V$2:V839),$V$2:$V$1001,0),1)&gt;=100000,INDEX($AC$1005:$AS$1005,1,MATCH(COLUMNS($AC$1006:AJ1006),$AC$1006:$AS$1006,0))&gt;=100000), " ",IF(INDEX($AC$2:$AS$1001,MATCH(ROWS($V$2:V839),$V$2:$V$1001,0),MATCH(COLUMNS($AC$1006:AJ1006),$AC$1006:$AS$1006,0)), HYPERLINK("#",""), HYPERLINK(CONCATENATE("#Metadata!", ADDRESS(INDEX($X$2:$X$1001,MATCH(ROWS($V$2:V839),$V$2:$V$1001,0),0), INDEX($AC$1004:$AS$1004,1,MATCH(COLUMNS($AC$1006:AJ1006),$AC$1006:$AS$1006,0)))),"Fix")))</f>
        <v>0</v>
      </c>
      <c r="J839" s="5">
        <f>IF(OR(INDEX($W$2:$W$1001,MATCH(ROWS($V$2:V839),$V$2:$V$1001,0),1)&gt;=100000,INDEX($AC$1005:$AS$1005,1,MATCH(COLUMNS($AC$1006:AK1006),$AC$1006:$AS$1006,0))&gt;=100000), " ",IF(INDEX($AC$2:$AS$1001,MATCH(ROWS($V$2:V839),$V$2:$V$1001,0),MATCH(COLUMNS($AC$1006:AK1006),$AC$1006:$AS$1006,0)), HYPERLINK("#",""), HYPERLINK(CONCATENATE("#Metadata!", ADDRESS(INDEX($X$2:$X$1001,MATCH(ROWS($V$2:V839),$V$2:$V$1001,0),0), INDEX($AC$1004:$AS$1004,1,MATCH(COLUMNS($AC$1006:AK1006),$AC$1006:$AS$1006,0)))),"Fix")))</f>
        <v>0</v>
      </c>
      <c r="K839" s="5">
        <f>IF(OR(INDEX($W$2:$W$1001,MATCH(ROWS($V$2:V839),$V$2:$V$1001,0),1)&gt;=100000,INDEX($AC$1005:$AS$1005,1,MATCH(COLUMNS($AC$1006:AL1006),$AC$1006:$AS$1006,0))&gt;=100000), " ",IF(INDEX($AC$2:$AS$1001,MATCH(ROWS($V$2:V839),$V$2:$V$1001,0),MATCH(COLUMNS($AC$1006:AL1006),$AC$1006:$AS$1006,0)), HYPERLINK("#",""), HYPERLINK(CONCATENATE("#Metadata!", ADDRESS(INDEX($X$2:$X$1001,MATCH(ROWS($V$2:V839),$V$2:$V$1001,0),0), INDEX($AC$1004:$AS$1004,1,MATCH(COLUMNS($AC$1006:AL1006),$AC$1006:$AS$1006,0)))),"Fix")))</f>
        <v>0</v>
      </c>
      <c r="L839" s="5">
        <f>IF(OR(INDEX($W$2:$W$1001,MATCH(ROWS($V$2:V839),$V$2:$V$1001,0),1)&gt;=100000,INDEX($AC$1005:$AS$1005,1,MATCH(COLUMNS($AC$1006:AM1006),$AC$1006:$AS$1006,0))&gt;=100000), " ",IF(INDEX($AC$2:$AS$1001,MATCH(ROWS($V$2:V839),$V$2:$V$1001,0),MATCH(COLUMNS($AC$1006:AM1006),$AC$1006:$AS$1006,0)), HYPERLINK("#",""), HYPERLINK(CONCATENATE("#Metadata!", ADDRESS(INDEX($X$2:$X$1001,MATCH(ROWS($V$2:V839),$V$2:$V$1001,0),0), INDEX($AC$1004:$AS$1004,1,MATCH(COLUMNS($AC$1006:AM1006),$AC$1006:$AS$1006,0)))),"Fix")))</f>
        <v>0</v>
      </c>
      <c r="M839" s="5">
        <f>IF(OR(INDEX($W$2:$W$1001,MATCH(ROWS($V$2:V839),$V$2:$V$1001,0),1)&gt;=100000,INDEX($AC$1005:$AS$1005,1,MATCH(COLUMNS($AC$1006:AN1006),$AC$1006:$AS$1006,0))&gt;=100000), " ",IF(INDEX($AC$2:$AS$1001,MATCH(ROWS($V$2:V839),$V$2:$V$1001,0),MATCH(COLUMNS($AC$1006:AN1006),$AC$1006:$AS$1006,0)), HYPERLINK("#",""), HYPERLINK(CONCATENATE("#Metadata!", ADDRESS(INDEX($X$2:$X$1001,MATCH(ROWS($V$2:V839),$V$2:$V$1001,0),0), INDEX($AC$1004:$AS$1004,1,MATCH(COLUMNS($AC$1006:AN1006),$AC$1006:$AS$1006,0)))),"Fix")))</f>
        <v>0</v>
      </c>
      <c r="N839" s="5">
        <f>IF(OR(INDEX($W$2:$W$1001,MATCH(ROWS($V$2:V839),$V$2:$V$1001,0),1)&gt;=100000,INDEX($AC$1005:$AS$1005,1,MATCH(COLUMNS($AC$1006:AO1006),$AC$1006:$AS$1006,0))&gt;=100000), " ",IF(INDEX($AC$2:$AS$1001,MATCH(ROWS($V$2:V839),$V$2:$V$1001,0),MATCH(COLUMNS($AC$1006:AO1006),$AC$1006:$AS$1006,0)), HYPERLINK("#",""), HYPERLINK(CONCATENATE("#Metadata!", ADDRESS(INDEX($X$2:$X$1001,MATCH(ROWS($V$2:V839),$V$2:$V$1001,0),0), INDEX($AC$1004:$AS$1004,1,MATCH(COLUMNS($AC$1006:AO1006),$AC$1006:$AS$1006,0)))),"Fix")))</f>
        <v>0</v>
      </c>
      <c r="O839" s="5">
        <f>IF(OR(INDEX($W$2:$W$1001,MATCH(ROWS($V$2:V839),$V$2:$V$1001,0),1)&gt;=100000,INDEX($AC$1005:$AS$1005,1,MATCH(COLUMNS($AC$1006:AP1006),$AC$1006:$AS$1006,0))&gt;=100000), " ",IF(INDEX($AC$2:$AS$1001,MATCH(ROWS($V$2:V839),$V$2:$V$1001,0),MATCH(COLUMNS($AC$1006:AP1006),$AC$1006:$AS$1006,0)), HYPERLINK("#",""), HYPERLINK(CONCATENATE("#Metadata!", ADDRESS(INDEX($X$2:$X$1001,MATCH(ROWS($V$2:V839),$V$2:$V$1001,0),0), INDEX($AC$1004:$AS$1004,1,MATCH(COLUMNS($AC$1006:AP1006),$AC$1006:$AS$1006,0)))),"Fix")))</f>
        <v>0</v>
      </c>
      <c r="P839" s="5">
        <f>IF(OR(INDEX($W$2:$W$1001,MATCH(ROWS($V$2:V839),$V$2:$V$1001,0),1)&gt;=100000,INDEX($AC$1005:$AS$1005,1,MATCH(COLUMNS($AC$1006:AQ1006),$AC$1006:$AS$1006,0))&gt;=100000), " ",IF(INDEX($AC$2:$AS$1001,MATCH(ROWS($V$2:V839),$V$2:$V$1001,0),MATCH(COLUMNS($AC$1006:AQ1006),$AC$1006:$AS$1006,0)), HYPERLINK("#",""), HYPERLINK(CONCATENATE("#Metadata!", ADDRESS(INDEX($X$2:$X$1001,MATCH(ROWS($V$2:V839),$V$2:$V$1001,0),0), INDEX($AC$1004:$AS$1004,1,MATCH(COLUMNS($AC$1006:AQ1006),$AC$1006:$AS$1006,0)))),"Fix")))</f>
        <v>0</v>
      </c>
      <c r="Q839" s="5">
        <f>IF(OR(INDEX($W$2:$W$1001,MATCH(ROWS($V$2:V839),$V$2:$V$1001,0),1)&gt;=100000,INDEX($AC$1005:$AS$1005,1,MATCH(COLUMNS($AC$1006:AR1006),$AC$1006:$AS$1006,0))&gt;=100000), " ",IF(INDEX($AC$2:$AS$1001,MATCH(ROWS($V$2:V839),$V$2:$V$1001,0),MATCH(COLUMNS($AC$1006:AR1006),$AC$1006:$AS$1006,0)), HYPERLINK("#",""), HYPERLINK(CONCATENATE("#Metadata!", ADDRESS(INDEX($X$2:$X$1001,MATCH(ROWS($V$2:V839),$V$2:$V$1001,0),0), INDEX($AC$1004:$AS$1004,1,MATCH(COLUMNS($AC$1006:AR1006),$AC$1006:$AS$1006,0)))),"Fix")))</f>
        <v>0</v>
      </c>
      <c r="R839" s="5">
        <f>IF(OR(INDEX($W$2:$W$1001,MATCH(ROWS($V$2:V839),$V$2:$V$1001,0),1)&gt;=100000,INDEX($AC$1005:$AS$1005,1,MATCH(COLUMNS($AC$1006:AS1006),$AC$1006:$AS$1006,0))&gt;=100000), " ",IF(INDEX($AC$2:$AS$1001,MATCH(ROWS($V$2:V839),$V$2:$V$1001,0),MATCH(COLUMNS($AC$1006:AS1006),$AC$1006:$AS$1006,0)), HYPERLINK("#",""), HYPERLINK(CONCATENATE("#Metadata!", ADDRESS(INDEX($X$2:$X$1001,MATCH(ROWS($V$2:V839),$V$2:$V$1001,0),0), INDEX($AC$1004:$AS$1004,1,MATCH(COLUMNS($AC$1006:AS1006),$AC$1006:$AS$1006,0)))),"Fix")))</f>
        <v>0</v>
      </c>
      <c r="V839">
        <v>0</v>
      </c>
      <c r="W839">
        <v>0</v>
      </c>
      <c r="X839">
        <v>0</v>
      </c>
      <c r="Y839">
        <f>IF(Z839,TRUE,AND(AC839:AS839))</f>
        <v>0</v>
      </c>
      <c r="Z839">
        <f>COUNTBLANK(Metadata!B839:R839)=COLUMNS(Metadata!B839:R839)</f>
        <v>0</v>
      </c>
      <c r="AA839">
        <v>0</v>
      </c>
      <c r="AC839">
        <f>AND(IF(Metadata!B839="",FALSE,TRUE),COUNTIF(Metadata!B:B, Metadata!B839) = 1,NOT(ISERROR(SUMPRODUCT(SEARCH(MID(Metadata!B839,ROW(INDIRECT("1:"&amp;LEN(Metadata!B839))), 1),"0123456789abcdefghijklmnopqrstuvwxyzABCDEFGHIJKLMNOPQRSTUVWXYZ.")))))</f>
        <v>0</v>
      </c>
      <c r="AD839">
        <f>AND(IF(Metadata!C839="",FALSE,TRUE),exact(Metadata!C839,"Host-associated"))</f>
        <v>0</v>
      </c>
      <c r="AE839">
        <f>AND(IF(Metadata!D839="",FALSE,TRUE),OR(exact(Metadata!D839,"Animal"),exact(Metadata!D839,"Fungus"),exact(Metadata!D839,"Plant")))</f>
        <v>0</v>
      </c>
      <c r="AF839">
        <f>AND(IF(Metadata!E839="",FALSE,TRUE),OR(exact(Metadata!E839,"Plant secretion"),exact(Metadata!E839,"Plant rhizosphere"),exact(Metadata!E839,"Plant surface"),exact(Metadata!E839,"Plant corpus"),exact(Metadata!E839,"Fungus surface"),exact(Metadata!E839,"Fungus corpus"),exact(Metadata!E839,"Animal surface"),exact(Metadata!E839,"Animal proximal gut"),exact(Metadata!E839,"Animal corpus"),exact(Metadata!E839,"Animal distal gut"),exact(Metadata!E839,"Animal secretion")))</f>
        <v>0</v>
      </c>
      <c r="AG839">
        <f>OR(AND(IF(Metadata!F839="",FALSE,TRUE),OR(exact(Metadata!F839,"not collected"),exact(Metadata!F839,"not provided"),exact(Metadata!F839,"restricted access"))),AND(IF(Metadata!F839="",FALSE,TRUE),OR(exact(Metadata!F839,"organism-associated habitat"),exact(Metadata!F839,"plant-associated habitat"),exact(Metadata!F839,"animal-associated habitat"),exact(Metadata!F839,"insecta-associated habitat"),exact(Metadata!F839,"mammalia-associated habitat"),exact(Metadata!F839,"human-associated habitat"),exact(Metadata!F839,"livestock-associated habitat"))))</f>
        <v>0</v>
      </c>
      <c r="AH839">
        <f>AND(IF(Metadata!G839="",FALSE,TRUE),exact(Metadata!G839,"host-associated"))</f>
        <v>0</v>
      </c>
      <c r="AI839">
        <f>OR(AND(IF(Metadata!H839="",FALSE,TRUE),OR(exact(Metadata!H839,"not collected"),exact(Metadata!H839,"not provided"))),AND(IF(Metadata!H839="",FALSE,ISNUMBER(VALUE(Metadata!H839))),Metadata!H839&gt;0))</f>
        <v>0</v>
      </c>
      <c r="AJ839">
        <f>AND(IF(Metadata!I839="",FALSE,TRUE),exact(Metadata!I839,"years"))</f>
        <v>0</v>
      </c>
      <c r="AK839">
        <f>IF(Metadata!J839="",FALSE,TRUE)</f>
        <v>0</v>
      </c>
      <c r="AL839">
        <f>OR(AND(IF(Metadata!K839="",FALSE,TRUE),OR(exact(Metadata!K839,"not collected"),exact(Metadata!K839,"not provided"))),AND(IF(Metadata!K839="",FALSE,ISNUMBER(VALUE(Metadata!K839))),Metadata!K839&gt;0))</f>
        <v>0</v>
      </c>
      <c r="AM839">
        <f>AND(IF(Metadata!L839="",FALSE,TRUE),exact(Metadata!L839,"cm"))</f>
        <v>0</v>
      </c>
      <c r="AN839">
        <f>IF(Metadata!M839="",FALSE,TRUE)</f>
        <v>0</v>
      </c>
      <c r="AO839">
        <f>OR(AND(IF(Metadata!N839="",FALSE,TRUE),OR(exact(Metadata!N839,"not applicable"),exact(Metadata!N839,"not collected"),exact(Metadata!N839,"not provided"))),AND(IF(Metadata!N839="",FALSE,IF(ISERROR(INT(Metadata!N839)),FALSE,INT(Metadata!N839)=Metadata!N839)),Metadata!N839&gt;0))</f>
        <v>0</v>
      </c>
      <c r="AP839">
        <f>OR(AND(IF(Metadata!O839="",FALSE,TRUE),OR(exact(Metadata!O839,"not collected"),exact(Metadata!O839,"not provided"))),AND(IF(Metadata!O839="",FALSE,ISNUMBER(VALUE(Metadata!O839))),Metadata!O839&gt;0))</f>
        <v>0</v>
      </c>
      <c r="AQ839">
        <f>AND(IF(Metadata!P839="",FALSE,TRUE),exact(Metadata!P839,"kg"))</f>
        <v>0</v>
      </c>
      <c r="AR839">
        <f>OR(AND(IF(Metadata!Q839="",FALSE,TRUE),OR(exact(Metadata!Q839,"not applicable"),exact(Metadata!Q839,"not collected"),exact(Metadata!Q839,"not provided"),exact(Metadata!Q839,"restricted access"))),IF(Metadata!Q839="",FALSE,IF(ISERROR(INT(Metadata!Q839)),FALSE,INT(Metadata!Q839)=Metadata!Q839)))</f>
        <v>0</v>
      </c>
      <c r="AS839">
        <f>AND(IF(Metadata!R839="",FALSE,TRUE),exact(Metadata!R839,"Not applicable"))</f>
        <v>0</v>
      </c>
    </row>
    <row r="840" spans="1:45">
      <c r="A840" s="4">
        <f>IF(B840=" "," ",HYPERLINK(CONCATENATE("#metadata!",ADDRESS(INDEX($X$2:$X$1001,MATCH(ROWS($V$2:V840),$V$2:$V$1001,0),0),2)),INDEX($AA$2:$AA$1001,MATCH(ROWS($V$2:V840),$V$2:$V$1001,0),0)))</f>
        <v>0</v>
      </c>
      <c r="B840" s="5">
        <f>IF(OR(INDEX($W$2:$W$1001,MATCH(ROWS($V$2:V840),$V$2:$V$1001,0),1)&gt;=100000,INDEX($AC$1005:$AS$1005,1,MATCH(COLUMNS($AC$1006:AC1006),$AC$1006:$AS$1006,0))&gt;=100000), " ",IF(INDEX($AC$2:$AS$1001,MATCH(ROWS($V$2:V840),$V$2:$V$1001,0),MATCH(COLUMNS($AC$1006:AC1006),$AC$1006:$AS$1006,0)), HYPERLINK("#",""), HYPERLINK(CONCATENATE("#Metadata!", ADDRESS(INDEX($X$2:$X$1001,MATCH(ROWS($V$2:V840),$V$2:$V$1001,0),0), INDEX($AC$1004:$AS$1004,1,MATCH(COLUMNS($AC$1006:AC1006),$AC$1006:$AS$1006,0)))),"Fix")))</f>
        <v>0</v>
      </c>
      <c r="C840" s="5">
        <f>IF(OR(INDEX($W$2:$W$1001,MATCH(ROWS($V$2:V840),$V$2:$V$1001,0),1)&gt;=100000,INDEX($AC$1005:$AS$1005,1,MATCH(COLUMNS($AC$1006:AD1006),$AC$1006:$AS$1006,0))&gt;=100000), " ",IF(INDEX($AC$2:$AS$1001,MATCH(ROWS($V$2:V840),$V$2:$V$1001,0),MATCH(COLUMNS($AC$1006:AD1006),$AC$1006:$AS$1006,0)), HYPERLINK("#",""), HYPERLINK(CONCATENATE("#Metadata!", ADDRESS(INDEX($X$2:$X$1001,MATCH(ROWS($V$2:V840),$V$2:$V$1001,0),0), INDEX($AC$1004:$AS$1004,1,MATCH(COLUMNS($AC$1006:AD1006),$AC$1006:$AS$1006,0)))),"Fix")))</f>
        <v>0</v>
      </c>
      <c r="D840" s="5">
        <f>IF(OR(INDEX($W$2:$W$1001,MATCH(ROWS($V$2:V840),$V$2:$V$1001,0),1)&gt;=100000,INDEX($AC$1005:$AS$1005,1,MATCH(COLUMNS($AC$1006:AE1006),$AC$1006:$AS$1006,0))&gt;=100000), " ",IF(INDEX($AC$2:$AS$1001,MATCH(ROWS($V$2:V840),$V$2:$V$1001,0),MATCH(COLUMNS($AC$1006:AE1006),$AC$1006:$AS$1006,0)), HYPERLINK("#",""), HYPERLINK(CONCATENATE("#Metadata!", ADDRESS(INDEX($X$2:$X$1001,MATCH(ROWS($V$2:V840),$V$2:$V$1001,0),0), INDEX($AC$1004:$AS$1004,1,MATCH(COLUMNS($AC$1006:AE1006),$AC$1006:$AS$1006,0)))),"Fix")))</f>
        <v>0</v>
      </c>
      <c r="E840" s="5">
        <f>IF(OR(INDEX($W$2:$W$1001,MATCH(ROWS($V$2:V840),$V$2:$V$1001,0),1)&gt;=100000,INDEX($AC$1005:$AS$1005,1,MATCH(COLUMNS($AC$1006:AF1006),$AC$1006:$AS$1006,0))&gt;=100000), " ",IF(INDEX($AC$2:$AS$1001,MATCH(ROWS($V$2:V840),$V$2:$V$1001,0),MATCH(COLUMNS($AC$1006:AF1006),$AC$1006:$AS$1006,0)), HYPERLINK("#",""), HYPERLINK(CONCATENATE("#Metadata!", ADDRESS(INDEX($X$2:$X$1001,MATCH(ROWS($V$2:V840),$V$2:$V$1001,0),0), INDEX($AC$1004:$AS$1004,1,MATCH(COLUMNS($AC$1006:AF1006),$AC$1006:$AS$1006,0)))),"Fix")))</f>
        <v>0</v>
      </c>
      <c r="F840" s="5">
        <f>IF(OR(INDEX($W$2:$W$1001,MATCH(ROWS($V$2:V840),$V$2:$V$1001,0),1)&gt;=100000,INDEX($AC$1005:$AS$1005,1,MATCH(COLUMNS($AC$1006:AG1006),$AC$1006:$AS$1006,0))&gt;=100000), " ",IF(INDEX($AC$2:$AS$1001,MATCH(ROWS($V$2:V840),$V$2:$V$1001,0),MATCH(COLUMNS($AC$1006:AG1006),$AC$1006:$AS$1006,0)), HYPERLINK("#",""), HYPERLINK(CONCATENATE("#Metadata!", ADDRESS(INDEX($X$2:$X$1001,MATCH(ROWS($V$2:V840),$V$2:$V$1001,0),0), INDEX($AC$1004:$AS$1004,1,MATCH(COLUMNS($AC$1006:AG1006),$AC$1006:$AS$1006,0)))),"Fix")))</f>
        <v>0</v>
      </c>
      <c r="G840" s="5">
        <f>IF(OR(INDEX($W$2:$W$1001,MATCH(ROWS($V$2:V840),$V$2:$V$1001,0),1)&gt;=100000,INDEX($AC$1005:$AS$1005,1,MATCH(COLUMNS($AC$1006:AH1006),$AC$1006:$AS$1006,0))&gt;=100000), " ",IF(INDEX($AC$2:$AS$1001,MATCH(ROWS($V$2:V840),$V$2:$V$1001,0),MATCH(COLUMNS($AC$1006:AH1006),$AC$1006:$AS$1006,0)), HYPERLINK("#",""), HYPERLINK(CONCATENATE("#Metadata!", ADDRESS(INDEX($X$2:$X$1001,MATCH(ROWS($V$2:V840),$V$2:$V$1001,0),0), INDEX($AC$1004:$AS$1004,1,MATCH(COLUMNS($AC$1006:AH1006),$AC$1006:$AS$1006,0)))),"Fix")))</f>
        <v>0</v>
      </c>
      <c r="H840" s="5">
        <f>IF(OR(INDEX($W$2:$W$1001,MATCH(ROWS($V$2:V840),$V$2:$V$1001,0),1)&gt;=100000,INDEX($AC$1005:$AS$1005,1,MATCH(COLUMNS($AC$1006:AI1006),$AC$1006:$AS$1006,0))&gt;=100000), " ",IF(INDEX($AC$2:$AS$1001,MATCH(ROWS($V$2:V840),$V$2:$V$1001,0),MATCH(COLUMNS($AC$1006:AI1006),$AC$1006:$AS$1006,0)), HYPERLINK("#",""), HYPERLINK(CONCATENATE("#Metadata!", ADDRESS(INDEX($X$2:$X$1001,MATCH(ROWS($V$2:V840),$V$2:$V$1001,0),0), INDEX($AC$1004:$AS$1004,1,MATCH(COLUMNS($AC$1006:AI1006),$AC$1006:$AS$1006,0)))),"Fix")))</f>
        <v>0</v>
      </c>
      <c r="I840" s="5">
        <f>IF(OR(INDEX($W$2:$W$1001,MATCH(ROWS($V$2:V840),$V$2:$V$1001,0),1)&gt;=100000,INDEX($AC$1005:$AS$1005,1,MATCH(COLUMNS($AC$1006:AJ1006),$AC$1006:$AS$1006,0))&gt;=100000), " ",IF(INDEX($AC$2:$AS$1001,MATCH(ROWS($V$2:V840),$V$2:$V$1001,0),MATCH(COLUMNS($AC$1006:AJ1006),$AC$1006:$AS$1006,0)), HYPERLINK("#",""), HYPERLINK(CONCATENATE("#Metadata!", ADDRESS(INDEX($X$2:$X$1001,MATCH(ROWS($V$2:V840),$V$2:$V$1001,0),0), INDEX($AC$1004:$AS$1004,1,MATCH(COLUMNS($AC$1006:AJ1006),$AC$1006:$AS$1006,0)))),"Fix")))</f>
        <v>0</v>
      </c>
      <c r="J840" s="5">
        <f>IF(OR(INDEX($W$2:$W$1001,MATCH(ROWS($V$2:V840),$V$2:$V$1001,0),1)&gt;=100000,INDEX($AC$1005:$AS$1005,1,MATCH(COLUMNS($AC$1006:AK1006),$AC$1006:$AS$1006,0))&gt;=100000), " ",IF(INDEX($AC$2:$AS$1001,MATCH(ROWS($V$2:V840),$V$2:$V$1001,0),MATCH(COLUMNS($AC$1006:AK1006),$AC$1006:$AS$1006,0)), HYPERLINK("#",""), HYPERLINK(CONCATENATE("#Metadata!", ADDRESS(INDEX($X$2:$X$1001,MATCH(ROWS($V$2:V840),$V$2:$V$1001,0),0), INDEX($AC$1004:$AS$1004,1,MATCH(COLUMNS($AC$1006:AK1006),$AC$1006:$AS$1006,0)))),"Fix")))</f>
        <v>0</v>
      </c>
      <c r="K840" s="5">
        <f>IF(OR(INDEX($W$2:$W$1001,MATCH(ROWS($V$2:V840),$V$2:$V$1001,0),1)&gt;=100000,INDEX($AC$1005:$AS$1005,1,MATCH(COLUMNS($AC$1006:AL1006),$AC$1006:$AS$1006,0))&gt;=100000), " ",IF(INDEX($AC$2:$AS$1001,MATCH(ROWS($V$2:V840),$V$2:$V$1001,0),MATCH(COLUMNS($AC$1006:AL1006),$AC$1006:$AS$1006,0)), HYPERLINK("#",""), HYPERLINK(CONCATENATE("#Metadata!", ADDRESS(INDEX($X$2:$X$1001,MATCH(ROWS($V$2:V840),$V$2:$V$1001,0),0), INDEX($AC$1004:$AS$1004,1,MATCH(COLUMNS($AC$1006:AL1006),$AC$1006:$AS$1006,0)))),"Fix")))</f>
        <v>0</v>
      </c>
      <c r="L840" s="5">
        <f>IF(OR(INDEX($W$2:$W$1001,MATCH(ROWS($V$2:V840),$V$2:$V$1001,0),1)&gt;=100000,INDEX($AC$1005:$AS$1005,1,MATCH(COLUMNS($AC$1006:AM1006),$AC$1006:$AS$1006,0))&gt;=100000), " ",IF(INDEX($AC$2:$AS$1001,MATCH(ROWS($V$2:V840),$V$2:$V$1001,0),MATCH(COLUMNS($AC$1006:AM1006),$AC$1006:$AS$1006,0)), HYPERLINK("#",""), HYPERLINK(CONCATENATE("#Metadata!", ADDRESS(INDEX($X$2:$X$1001,MATCH(ROWS($V$2:V840),$V$2:$V$1001,0),0), INDEX($AC$1004:$AS$1004,1,MATCH(COLUMNS($AC$1006:AM1006),$AC$1006:$AS$1006,0)))),"Fix")))</f>
        <v>0</v>
      </c>
      <c r="M840" s="5">
        <f>IF(OR(INDEX($W$2:$W$1001,MATCH(ROWS($V$2:V840),$V$2:$V$1001,0),1)&gt;=100000,INDEX($AC$1005:$AS$1005,1,MATCH(COLUMNS($AC$1006:AN1006),$AC$1006:$AS$1006,0))&gt;=100000), " ",IF(INDEX($AC$2:$AS$1001,MATCH(ROWS($V$2:V840),$V$2:$V$1001,0),MATCH(COLUMNS($AC$1006:AN1006),$AC$1006:$AS$1006,0)), HYPERLINK("#",""), HYPERLINK(CONCATENATE("#Metadata!", ADDRESS(INDEX($X$2:$X$1001,MATCH(ROWS($V$2:V840),$V$2:$V$1001,0),0), INDEX($AC$1004:$AS$1004,1,MATCH(COLUMNS($AC$1006:AN1006),$AC$1006:$AS$1006,0)))),"Fix")))</f>
        <v>0</v>
      </c>
      <c r="N840" s="5">
        <f>IF(OR(INDEX($W$2:$W$1001,MATCH(ROWS($V$2:V840),$V$2:$V$1001,0),1)&gt;=100000,INDEX($AC$1005:$AS$1005,1,MATCH(COLUMNS($AC$1006:AO1006),$AC$1006:$AS$1006,0))&gt;=100000), " ",IF(INDEX($AC$2:$AS$1001,MATCH(ROWS($V$2:V840),$V$2:$V$1001,0),MATCH(COLUMNS($AC$1006:AO1006),$AC$1006:$AS$1006,0)), HYPERLINK("#",""), HYPERLINK(CONCATENATE("#Metadata!", ADDRESS(INDEX($X$2:$X$1001,MATCH(ROWS($V$2:V840),$V$2:$V$1001,0),0), INDEX($AC$1004:$AS$1004,1,MATCH(COLUMNS($AC$1006:AO1006),$AC$1006:$AS$1006,0)))),"Fix")))</f>
        <v>0</v>
      </c>
      <c r="O840" s="5">
        <f>IF(OR(INDEX($W$2:$W$1001,MATCH(ROWS($V$2:V840),$V$2:$V$1001,0),1)&gt;=100000,INDEX($AC$1005:$AS$1005,1,MATCH(COLUMNS($AC$1006:AP1006),$AC$1006:$AS$1006,0))&gt;=100000), " ",IF(INDEX($AC$2:$AS$1001,MATCH(ROWS($V$2:V840),$V$2:$V$1001,0),MATCH(COLUMNS($AC$1006:AP1006),$AC$1006:$AS$1006,0)), HYPERLINK("#",""), HYPERLINK(CONCATENATE("#Metadata!", ADDRESS(INDEX($X$2:$X$1001,MATCH(ROWS($V$2:V840),$V$2:$V$1001,0),0), INDEX($AC$1004:$AS$1004,1,MATCH(COLUMNS($AC$1006:AP1006),$AC$1006:$AS$1006,0)))),"Fix")))</f>
        <v>0</v>
      </c>
      <c r="P840" s="5">
        <f>IF(OR(INDEX($W$2:$W$1001,MATCH(ROWS($V$2:V840),$V$2:$V$1001,0),1)&gt;=100000,INDEX($AC$1005:$AS$1005,1,MATCH(COLUMNS($AC$1006:AQ1006),$AC$1006:$AS$1006,0))&gt;=100000), " ",IF(INDEX($AC$2:$AS$1001,MATCH(ROWS($V$2:V840),$V$2:$V$1001,0),MATCH(COLUMNS($AC$1006:AQ1006),$AC$1006:$AS$1006,0)), HYPERLINK("#",""), HYPERLINK(CONCATENATE("#Metadata!", ADDRESS(INDEX($X$2:$X$1001,MATCH(ROWS($V$2:V840),$V$2:$V$1001,0),0), INDEX($AC$1004:$AS$1004,1,MATCH(COLUMNS($AC$1006:AQ1006),$AC$1006:$AS$1006,0)))),"Fix")))</f>
        <v>0</v>
      </c>
      <c r="Q840" s="5">
        <f>IF(OR(INDEX($W$2:$W$1001,MATCH(ROWS($V$2:V840),$V$2:$V$1001,0),1)&gt;=100000,INDEX($AC$1005:$AS$1005,1,MATCH(COLUMNS($AC$1006:AR1006),$AC$1006:$AS$1006,0))&gt;=100000), " ",IF(INDEX($AC$2:$AS$1001,MATCH(ROWS($V$2:V840),$V$2:$V$1001,0),MATCH(COLUMNS($AC$1006:AR1006),$AC$1006:$AS$1006,0)), HYPERLINK("#",""), HYPERLINK(CONCATENATE("#Metadata!", ADDRESS(INDEX($X$2:$X$1001,MATCH(ROWS($V$2:V840),$V$2:$V$1001,0),0), INDEX($AC$1004:$AS$1004,1,MATCH(COLUMNS($AC$1006:AR1006),$AC$1006:$AS$1006,0)))),"Fix")))</f>
        <v>0</v>
      </c>
      <c r="R840" s="5">
        <f>IF(OR(INDEX($W$2:$W$1001,MATCH(ROWS($V$2:V840),$V$2:$V$1001,0),1)&gt;=100000,INDEX($AC$1005:$AS$1005,1,MATCH(COLUMNS($AC$1006:AS1006),$AC$1006:$AS$1006,0))&gt;=100000), " ",IF(INDEX($AC$2:$AS$1001,MATCH(ROWS($V$2:V840),$V$2:$V$1001,0),MATCH(COLUMNS($AC$1006:AS1006),$AC$1006:$AS$1006,0)), HYPERLINK("#",""), HYPERLINK(CONCATENATE("#Metadata!", ADDRESS(INDEX($X$2:$X$1001,MATCH(ROWS($V$2:V840),$V$2:$V$1001,0),0), INDEX($AC$1004:$AS$1004,1,MATCH(COLUMNS($AC$1006:AS1006),$AC$1006:$AS$1006,0)))),"Fix")))</f>
        <v>0</v>
      </c>
      <c r="V840">
        <v>0</v>
      </c>
      <c r="W840">
        <v>0</v>
      </c>
      <c r="X840">
        <v>0</v>
      </c>
      <c r="Y840">
        <f>IF(Z840,TRUE,AND(AC840:AS840))</f>
        <v>0</v>
      </c>
      <c r="Z840">
        <f>COUNTBLANK(Metadata!B840:R840)=COLUMNS(Metadata!B840:R840)</f>
        <v>0</v>
      </c>
      <c r="AA840">
        <v>0</v>
      </c>
      <c r="AC840">
        <f>AND(IF(Metadata!B840="",FALSE,TRUE),COUNTIF(Metadata!B:B, Metadata!B840) = 1,NOT(ISERROR(SUMPRODUCT(SEARCH(MID(Metadata!B840,ROW(INDIRECT("1:"&amp;LEN(Metadata!B840))), 1),"0123456789abcdefghijklmnopqrstuvwxyzABCDEFGHIJKLMNOPQRSTUVWXYZ.")))))</f>
        <v>0</v>
      </c>
      <c r="AD840">
        <f>AND(IF(Metadata!C840="",FALSE,TRUE),exact(Metadata!C840,"Host-associated"))</f>
        <v>0</v>
      </c>
      <c r="AE840">
        <f>AND(IF(Metadata!D840="",FALSE,TRUE),OR(exact(Metadata!D840,"Animal"),exact(Metadata!D840,"Fungus"),exact(Metadata!D840,"Plant")))</f>
        <v>0</v>
      </c>
      <c r="AF840">
        <f>AND(IF(Metadata!E840="",FALSE,TRUE),OR(exact(Metadata!E840,"Plant secretion"),exact(Metadata!E840,"Plant rhizosphere"),exact(Metadata!E840,"Plant surface"),exact(Metadata!E840,"Plant corpus"),exact(Metadata!E840,"Fungus surface"),exact(Metadata!E840,"Fungus corpus"),exact(Metadata!E840,"Animal surface"),exact(Metadata!E840,"Animal proximal gut"),exact(Metadata!E840,"Animal corpus"),exact(Metadata!E840,"Animal distal gut"),exact(Metadata!E840,"Animal secretion")))</f>
        <v>0</v>
      </c>
      <c r="AG840">
        <f>OR(AND(IF(Metadata!F840="",FALSE,TRUE),OR(exact(Metadata!F840,"not collected"),exact(Metadata!F840,"not provided"),exact(Metadata!F840,"restricted access"))),AND(IF(Metadata!F840="",FALSE,TRUE),OR(exact(Metadata!F840,"organism-associated habitat"),exact(Metadata!F840,"plant-associated habitat"),exact(Metadata!F840,"animal-associated habitat"),exact(Metadata!F840,"insecta-associated habitat"),exact(Metadata!F840,"mammalia-associated habitat"),exact(Metadata!F840,"human-associated habitat"),exact(Metadata!F840,"livestock-associated habitat"))))</f>
        <v>0</v>
      </c>
      <c r="AH840">
        <f>AND(IF(Metadata!G840="",FALSE,TRUE),exact(Metadata!G840,"host-associated"))</f>
        <v>0</v>
      </c>
      <c r="AI840">
        <f>OR(AND(IF(Metadata!H840="",FALSE,TRUE),OR(exact(Metadata!H840,"not collected"),exact(Metadata!H840,"not provided"))),AND(IF(Metadata!H840="",FALSE,ISNUMBER(VALUE(Metadata!H840))),Metadata!H840&gt;0))</f>
        <v>0</v>
      </c>
      <c r="AJ840">
        <f>AND(IF(Metadata!I840="",FALSE,TRUE),exact(Metadata!I840,"years"))</f>
        <v>0</v>
      </c>
      <c r="AK840">
        <f>IF(Metadata!J840="",FALSE,TRUE)</f>
        <v>0</v>
      </c>
      <c r="AL840">
        <f>OR(AND(IF(Metadata!K840="",FALSE,TRUE),OR(exact(Metadata!K840,"not collected"),exact(Metadata!K840,"not provided"))),AND(IF(Metadata!K840="",FALSE,ISNUMBER(VALUE(Metadata!K840))),Metadata!K840&gt;0))</f>
        <v>0</v>
      </c>
      <c r="AM840">
        <f>AND(IF(Metadata!L840="",FALSE,TRUE),exact(Metadata!L840,"cm"))</f>
        <v>0</v>
      </c>
      <c r="AN840">
        <f>IF(Metadata!M840="",FALSE,TRUE)</f>
        <v>0</v>
      </c>
      <c r="AO840">
        <f>OR(AND(IF(Metadata!N840="",FALSE,TRUE),OR(exact(Metadata!N840,"not applicable"),exact(Metadata!N840,"not collected"),exact(Metadata!N840,"not provided"))),AND(IF(Metadata!N840="",FALSE,IF(ISERROR(INT(Metadata!N840)),FALSE,INT(Metadata!N840)=Metadata!N840)),Metadata!N840&gt;0))</f>
        <v>0</v>
      </c>
      <c r="AP840">
        <f>OR(AND(IF(Metadata!O840="",FALSE,TRUE),OR(exact(Metadata!O840,"not collected"),exact(Metadata!O840,"not provided"))),AND(IF(Metadata!O840="",FALSE,ISNUMBER(VALUE(Metadata!O840))),Metadata!O840&gt;0))</f>
        <v>0</v>
      </c>
      <c r="AQ840">
        <f>AND(IF(Metadata!P840="",FALSE,TRUE),exact(Metadata!P840,"kg"))</f>
        <v>0</v>
      </c>
      <c r="AR840">
        <f>OR(AND(IF(Metadata!Q840="",FALSE,TRUE),OR(exact(Metadata!Q840,"not applicable"),exact(Metadata!Q840,"not collected"),exact(Metadata!Q840,"not provided"),exact(Metadata!Q840,"restricted access"))),IF(Metadata!Q840="",FALSE,IF(ISERROR(INT(Metadata!Q840)),FALSE,INT(Metadata!Q840)=Metadata!Q840)))</f>
        <v>0</v>
      </c>
      <c r="AS840">
        <f>AND(IF(Metadata!R840="",FALSE,TRUE),exact(Metadata!R840,"Not applicable"))</f>
        <v>0</v>
      </c>
    </row>
    <row r="841" spans="1:45">
      <c r="A841" s="4">
        <f>IF(B841=" "," ",HYPERLINK(CONCATENATE("#metadata!",ADDRESS(INDEX($X$2:$X$1001,MATCH(ROWS($V$2:V841),$V$2:$V$1001,0),0),2)),INDEX($AA$2:$AA$1001,MATCH(ROWS($V$2:V841),$V$2:$V$1001,0),0)))</f>
        <v>0</v>
      </c>
      <c r="B841" s="5">
        <f>IF(OR(INDEX($W$2:$W$1001,MATCH(ROWS($V$2:V841),$V$2:$V$1001,0),1)&gt;=100000,INDEX($AC$1005:$AS$1005,1,MATCH(COLUMNS($AC$1006:AC1006),$AC$1006:$AS$1006,0))&gt;=100000), " ",IF(INDEX($AC$2:$AS$1001,MATCH(ROWS($V$2:V841),$V$2:$V$1001,0),MATCH(COLUMNS($AC$1006:AC1006),$AC$1006:$AS$1006,0)), HYPERLINK("#",""), HYPERLINK(CONCATENATE("#Metadata!", ADDRESS(INDEX($X$2:$X$1001,MATCH(ROWS($V$2:V841),$V$2:$V$1001,0),0), INDEX($AC$1004:$AS$1004,1,MATCH(COLUMNS($AC$1006:AC1006),$AC$1006:$AS$1006,0)))),"Fix")))</f>
        <v>0</v>
      </c>
      <c r="C841" s="5">
        <f>IF(OR(INDEX($W$2:$W$1001,MATCH(ROWS($V$2:V841),$V$2:$V$1001,0),1)&gt;=100000,INDEX($AC$1005:$AS$1005,1,MATCH(COLUMNS($AC$1006:AD1006),$AC$1006:$AS$1006,0))&gt;=100000), " ",IF(INDEX($AC$2:$AS$1001,MATCH(ROWS($V$2:V841),$V$2:$V$1001,0),MATCH(COLUMNS($AC$1006:AD1006),$AC$1006:$AS$1006,0)), HYPERLINK("#",""), HYPERLINK(CONCATENATE("#Metadata!", ADDRESS(INDEX($X$2:$X$1001,MATCH(ROWS($V$2:V841),$V$2:$V$1001,0),0), INDEX($AC$1004:$AS$1004,1,MATCH(COLUMNS($AC$1006:AD1006),$AC$1006:$AS$1006,0)))),"Fix")))</f>
        <v>0</v>
      </c>
      <c r="D841" s="5">
        <f>IF(OR(INDEX($W$2:$W$1001,MATCH(ROWS($V$2:V841),$V$2:$V$1001,0),1)&gt;=100000,INDEX($AC$1005:$AS$1005,1,MATCH(COLUMNS($AC$1006:AE1006),$AC$1006:$AS$1006,0))&gt;=100000), " ",IF(INDEX($AC$2:$AS$1001,MATCH(ROWS($V$2:V841),$V$2:$V$1001,0),MATCH(COLUMNS($AC$1006:AE1006),$AC$1006:$AS$1006,0)), HYPERLINK("#",""), HYPERLINK(CONCATENATE("#Metadata!", ADDRESS(INDEX($X$2:$X$1001,MATCH(ROWS($V$2:V841),$V$2:$V$1001,0),0), INDEX($AC$1004:$AS$1004,1,MATCH(COLUMNS($AC$1006:AE1006),$AC$1006:$AS$1006,0)))),"Fix")))</f>
        <v>0</v>
      </c>
      <c r="E841" s="5">
        <f>IF(OR(INDEX($W$2:$W$1001,MATCH(ROWS($V$2:V841),$V$2:$V$1001,0),1)&gt;=100000,INDEX($AC$1005:$AS$1005,1,MATCH(COLUMNS($AC$1006:AF1006),$AC$1006:$AS$1006,0))&gt;=100000), " ",IF(INDEX($AC$2:$AS$1001,MATCH(ROWS($V$2:V841),$V$2:$V$1001,0),MATCH(COLUMNS($AC$1006:AF1006),$AC$1006:$AS$1006,0)), HYPERLINK("#",""), HYPERLINK(CONCATENATE("#Metadata!", ADDRESS(INDEX($X$2:$X$1001,MATCH(ROWS($V$2:V841),$V$2:$V$1001,0),0), INDEX($AC$1004:$AS$1004,1,MATCH(COLUMNS($AC$1006:AF1006),$AC$1006:$AS$1006,0)))),"Fix")))</f>
        <v>0</v>
      </c>
      <c r="F841" s="5">
        <f>IF(OR(INDEX($W$2:$W$1001,MATCH(ROWS($V$2:V841),$V$2:$V$1001,0),1)&gt;=100000,INDEX($AC$1005:$AS$1005,1,MATCH(COLUMNS($AC$1006:AG1006),$AC$1006:$AS$1006,0))&gt;=100000), " ",IF(INDEX($AC$2:$AS$1001,MATCH(ROWS($V$2:V841),$V$2:$V$1001,0),MATCH(COLUMNS($AC$1006:AG1006),$AC$1006:$AS$1006,0)), HYPERLINK("#",""), HYPERLINK(CONCATENATE("#Metadata!", ADDRESS(INDEX($X$2:$X$1001,MATCH(ROWS($V$2:V841),$V$2:$V$1001,0),0), INDEX($AC$1004:$AS$1004,1,MATCH(COLUMNS($AC$1006:AG1006),$AC$1006:$AS$1006,0)))),"Fix")))</f>
        <v>0</v>
      </c>
      <c r="G841" s="5">
        <f>IF(OR(INDEX($W$2:$W$1001,MATCH(ROWS($V$2:V841),$V$2:$V$1001,0),1)&gt;=100000,INDEX($AC$1005:$AS$1005,1,MATCH(COLUMNS($AC$1006:AH1006),$AC$1006:$AS$1006,0))&gt;=100000), " ",IF(INDEX($AC$2:$AS$1001,MATCH(ROWS($V$2:V841),$V$2:$V$1001,0),MATCH(COLUMNS($AC$1006:AH1006),$AC$1006:$AS$1006,0)), HYPERLINK("#",""), HYPERLINK(CONCATENATE("#Metadata!", ADDRESS(INDEX($X$2:$X$1001,MATCH(ROWS($V$2:V841),$V$2:$V$1001,0),0), INDEX($AC$1004:$AS$1004,1,MATCH(COLUMNS($AC$1006:AH1006),$AC$1006:$AS$1006,0)))),"Fix")))</f>
        <v>0</v>
      </c>
      <c r="H841" s="5">
        <f>IF(OR(INDEX($W$2:$W$1001,MATCH(ROWS($V$2:V841),$V$2:$V$1001,0),1)&gt;=100000,INDEX($AC$1005:$AS$1005,1,MATCH(COLUMNS($AC$1006:AI1006),$AC$1006:$AS$1006,0))&gt;=100000), " ",IF(INDEX($AC$2:$AS$1001,MATCH(ROWS($V$2:V841),$V$2:$V$1001,0),MATCH(COLUMNS($AC$1006:AI1006),$AC$1006:$AS$1006,0)), HYPERLINK("#",""), HYPERLINK(CONCATENATE("#Metadata!", ADDRESS(INDEX($X$2:$X$1001,MATCH(ROWS($V$2:V841),$V$2:$V$1001,0),0), INDEX($AC$1004:$AS$1004,1,MATCH(COLUMNS($AC$1006:AI1006),$AC$1006:$AS$1006,0)))),"Fix")))</f>
        <v>0</v>
      </c>
      <c r="I841" s="5">
        <f>IF(OR(INDEX($W$2:$W$1001,MATCH(ROWS($V$2:V841),$V$2:$V$1001,0),1)&gt;=100000,INDEX($AC$1005:$AS$1005,1,MATCH(COLUMNS($AC$1006:AJ1006),$AC$1006:$AS$1006,0))&gt;=100000), " ",IF(INDEX($AC$2:$AS$1001,MATCH(ROWS($V$2:V841),$V$2:$V$1001,0),MATCH(COLUMNS($AC$1006:AJ1006),$AC$1006:$AS$1006,0)), HYPERLINK("#",""), HYPERLINK(CONCATENATE("#Metadata!", ADDRESS(INDEX($X$2:$X$1001,MATCH(ROWS($V$2:V841),$V$2:$V$1001,0),0), INDEX($AC$1004:$AS$1004,1,MATCH(COLUMNS($AC$1006:AJ1006),$AC$1006:$AS$1006,0)))),"Fix")))</f>
        <v>0</v>
      </c>
      <c r="J841" s="5">
        <f>IF(OR(INDEX($W$2:$W$1001,MATCH(ROWS($V$2:V841),$V$2:$V$1001,0),1)&gt;=100000,INDEX($AC$1005:$AS$1005,1,MATCH(COLUMNS($AC$1006:AK1006),$AC$1006:$AS$1006,0))&gt;=100000), " ",IF(INDEX($AC$2:$AS$1001,MATCH(ROWS($V$2:V841),$V$2:$V$1001,0),MATCH(COLUMNS($AC$1006:AK1006),$AC$1006:$AS$1006,0)), HYPERLINK("#",""), HYPERLINK(CONCATENATE("#Metadata!", ADDRESS(INDEX($X$2:$X$1001,MATCH(ROWS($V$2:V841),$V$2:$V$1001,0),0), INDEX($AC$1004:$AS$1004,1,MATCH(COLUMNS($AC$1006:AK1006),$AC$1006:$AS$1006,0)))),"Fix")))</f>
        <v>0</v>
      </c>
      <c r="K841" s="5">
        <f>IF(OR(INDEX($W$2:$W$1001,MATCH(ROWS($V$2:V841),$V$2:$V$1001,0),1)&gt;=100000,INDEX($AC$1005:$AS$1005,1,MATCH(COLUMNS($AC$1006:AL1006),$AC$1006:$AS$1006,0))&gt;=100000), " ",IF(INDEX($AC$2:$AS$1001,MATCH(ROWS($V$2:V841),$V$2:$V$1001,0),MATCH(COLUMNS($AC$1006:AL1006),$AC$1006:$AS$1006,0)), HYPERLINK("#",""), HYPERLINK(CONCATENATE("#Metadata!", ADDRESS(INDEX($X$2:$X$1001,MATCH(ROWS($V$2:V841),$V$2:$V$1001,0),0), INDEX($AC$1004:$AS$1004,1,MATCH(COLUMNS($AC$1006:AL1006),$AC$1006:$AS$1006,0)))),"Fix")))</f>
        <v>0</v>
      </c>
      <c r="L841" s="5">
        <f>IF(OR(INDEX($W$2:$W$1001,MATCH(ROWS($V$2:V841),$V$2:$V$1001,0),1)&gt;=100000,INDEX($AC$1005:$AS$1005,1,MATCH(COLUMNS($AC$1006:AM1006),$AC$1006:$AS$1006,0))&gt;=100000), " ",IF(INDEX($AC$2:$AS$1001,MATCH(ROWS($V$2:V841),$V$2:$V$1001,0),MATCH(COLUMNS($AC$1006:AM1006),$AC$1006:$AS$1006,0)), HYPERLINK("#",""), HYPERLINK(CONCATENATE("#Metadata!", ADDRESS(INDEX($X$2:$X$1001,MATCH(ROWS($V$2:V841),$V$2:$V$1001,0),0), INDEX($AC$1004:$AS$1004,1,MATCH(COLUMNS($AC$1006:AM1006),$AC$1006:$AS$1006,0)))),"Fix")))</f>
        <v>0</v>
      </c>
      <c r="M841" s="5">
        <f>IF(OR(INDEX($W$2:$W$1001,MATCH(ROWS($V$2:V841),$V$2:$V$1001,0),1)&gt;=100000,INDEX($AC$1005:$AS$1005,1,MATCH(COLUMNS($AC$1006:AN1006),$AC$1006:$AS$1006,0))&gt;=100000), " ",IF(INDEX($AC$2:$AS$1001,MATCH(ROWS($V$2:V841),$V$2:$V$1001,0),MATCH(COLUMNS($AC$1006:AN1006),$AC$1006:$AS$1006,0)), HYPERLINK("#",""), HYPERLINK(CONCATENATE("#Metadata!", ADDRESS(INDEX($X$2:$X$1001,MATCH(ROWS($V$2:V841),$V$2:$V$1001,0),0), INDEX($AC$1004:$AS$1004,1,MATCH(COLUMNS($AC$1006:AN1006),$AC$1006:$AS$1006,0)))),"Fix")))</f>
        <v>0</v>
      </c>
      <c r="N841" s="5">
        <f>IF(OR(INDEX($W$2:$W$1001,MATCH(ROWS($V$2:V841),$V$2:$V$1001,0),1)&gt;=100000,INDEX($AC$1005:$AS$1005,1,MATCH(COLUMNS($AC$1006:AO1006),$AC$1006:$AS$1006,0))&gt;=100000), " ",IF(INDEX($AC$2:$AS$1001,MATCH(ROWS($V$2:V841),$V$2:$V$1001,0),MATCH(COLUMNS($AC$1006:AO1006),$AC$1006:$AS$1006,0)), HYPERLINK("#",""), HYPERLINK(CONCATENATE("#Metadata!", ADDRESS(INDEX($X$2:$X$1001,MATCH(ROWS($V$2:V841),$V$2:$V$1001,0),0), INDEX($AC$1004:$AS$1004,1,MATCH(COLUMNS($AC$1006:AO1006),$AC$1006:$AS$1006,0)))),"Fix")))</f>
        <v>0</v>
      </c>
      <c r="O841" s="5">
        <f>IF(OR(INDEX($W$2:$W$1001,MATCH(ROWS($V$2:V841),$V$2:$V$1001,0),1)&gt;=100000,INDEX($AC$1005:$AS$1005,1,MATCH(COLUMNS($AC$1006:AP1006),$AC$1006:$AS$1006,0))&gt;=100000), " ",IF(INDEX($AC$2:$AS$1001,MATCH(ROWS($V$2:V841),$V$2:$V$1001,0),MATCH(COLUMNS($AC$1006:AP1006),$AC$1006:$AS$1006,0)), HYPERLINK("#",""), HYPERLINK(CONCATENATE("#Metadata!", ADDRESS(INDEX($X$2:$X$1001,MATCH(ROWS($V$2:V841),$V$2:$V$1001,0),0), INDEX($AC$1004:$AS$1004,1,MATCH(COLUMNS($AC$1006:AP1006),$AC$1006:$AS$1006,0)))),"Fix")))</f>
        <v>0</v>
      </c>
      <c r="P841" s="5">
        <f>IF(OR(INDEX($W$2:$W$1001,MATCH(ROWS($V$2:V841),$V$2:$V$1001,0),1)&gt;=100000,INDEX($AC$1005:$AS$1005,1,MATCH(COLUMNS($AC$1006:AQ1006),$AC$1006:$AS$1006,0))&gt;=100000), " ",IF(INDEX($AC$2:$AS$1001,MATCH(ROWS($V$2:V841),$V$2:$V$1001,0),MATCH(COLUMNS($AC$1006:AQ1006),$AC$1006:$AS$1006,0)), HYPERLINK("#",""), HYPERLINK(CONCATENATE("#Metadata!", ADDRESS(INDEX($X$2:$X$1001,MATCH(ROWS($V$2:V841),$V$2:$V$1001,0),0), INDEX($AC$1004:$AS$1004,1,MATCH(COLUMNS($AC$1006:AQ1006),$AC$1006:$AS$1006,0)))),"Fix")))</f>
        <v>0</v>
      </c>
      <c r="Q841" s="5">
        <f>IF(OR(INDEX($W$2:$W$1001,MATCH(ROWS($V$2:V841),$V$2:$V$1001,0),1)&gt;=100000,INDEX($AC$1005:$AS$1005,1,MATCH(COLUMNS($AC$1006:AR1006),$AC$1006:$AS$1006,0))&gt;=100000), " ",IF(INDEX($AC$2:$AS$1001,MATCH(ROWS($V$2:V841),$V$2:$V$1001,0),MATCH(COLUMNS($AC$1006:AR1006),$AC$1006:$AS$1006,0)), HYPERLINK("#",""), HYPERLINK(CONCATENATE("#Metadata!", ADDRESS(INDEX($X$2:$X$1001,MATCH(ROWS($V$2:V841),$V$2:$V$1001,0),0), INDEX($AC$1004:$AS$1004,1,MATCH(COLUMNS($AC$1006:AR1006),$AC$1006:$AS$1006,0)))),"Fix")))</f>
        <v>0</v>
      </c>
      <c r="R841" s="5">
        <f>IF(OR(INDEX($W$2:$W$1001,MATCH(ROWS($V$2:V841),$V$2:$V$1001,0),1)&gt;=100000,INDEX($AC$1005:$AS$1005,1,MATCH(COLUMNS($AC$1006:AS1006),$AC$1006:$AS$1006,0))&gt;=100000), " ",IF(INDEX($AC$2:$AS$1001,MATCH(ROWS($V$2:V841),$V$2:$V$1001,0),MATCH(COLUMNS($AC$1006:AS1006),$AC$1006:$AS$1006,0)), HYPERLINK("#",""), HYPERLINK(CONCATENATE("#Metadata!", ADDRESS(INDEX($X$2:$X$1001,MATCH(ROWS($V$2:V841),$V$2:$V$1001,0),0), INDEX($AC$1004:$AS$1004,1,MATCH(COLUMNS($AC$1006:AS1006),$AC$1006:$AS$1006,0)))),"Fix")))</f>
        <v>0</v>
      </c>
      <c r="V841">
        <v>0</v>
      </c>
      <c r="W841">
        <v>0</v>
      </c>
      <c r="X841">
        <v>0</v>
      </c>
      <c r="Y841">
        <f>IF(Z841,TRUE,AND(AC841:AS841))</f>
        <v>0</v>
      </c>
      <c r="Z841">
        <f>COUNTBLANK(Metadata!B841:R841)=COLUMNS(Metadata!B841:R841)</f>
        <v>0</v>
      </c>
      <c r="AA841">
        <v>0</v>
      </c>
      <c r="AC841">
        <f>AND(IF(Metadata!B841="",FALSE,TRUE),COUNTIF(Metadata!B:B, Metadata!B841) = 1,NOT(ISERROR(SUMPRODUCT(SEARCH(MID(Metadata!B841,ROW(INDIRECT("1:"&amp;LEN(Metadata!B841))), 1),"0123456789abcdefghijklmnopqrstuvwxyzABCDEFGHIJKLMNOPQRSTUVWXYZ.")))))</f>
        <v>0</v>
      </c>
      <c r="AD841">
        <f>AND(IF(Metadata!C841="",FALSE,TRUE),exact(Metadata!C841,"Host-associated"))</f>
        <v>0</v>
      </c>
      <c r="AE841">
        <f>AND(IF(Metadata!D841="",FALSE,TRUE),OR(exact(Metadata!D841,"Animal"),exact(Metadata!D841,"Fungus"),exact(Metadata!D841,"Plant")))</f>
        <v>0</v>
      </c>
      <c r="AF841">
        <f>AND(IF(Metadata!E841="",FALSE,TRUE),OR(exact(Metadata!E841,"Plant secretion"),exact(Metadata!E841,"Plant rhizosphere"),exact(Metadata!E841,"Plant surface"),exact(Metadata!E841,"Plant corpus"),exact(Metadata!E841,"Fungus surface"),exact(Metadata!E841,"Fungus corpus"),exact(Metadata!E841,"Animal surface"),exact(Metadata!E841,"Animal proximal gut"),exact(Metadata!E841,"Animal corpus"),exact(Metadata!E841,"Animal distal gut"),exact(Metadata!E841,"Animal secretion")))</f>
        <v>0</v>
      </c>
      <c r="AG841">
        <f>OR(AND(IF(Metadata!F841="",FALSE,TRUE),OR(exact(Metadata!F841,"not collected"),exact(Metadata!F841,"not provided"),exact(Metadata!F841,"restricted access"))),AND(IF(Metadata!F841="",FALSE,TRUE),OR(exact(Metadata!F841,"organism-associated habitat"),exact(Metadata!F841,"plant-associated habitat"),exact(Metadata!F841,"animal-associated habitat"),exact(Metadata!F841,"insecta-associated habitat"),exact(Metadata!F841,"mammalia-associated habitat"),exact(Metadata!F841,"human-associated habitat"),exact(Metadata!F841,"livestock-associated habitat"))))</f>
        <v>0</v>
      </c>
      <c r="AH841">
        <f>AND(IF(Metadata!G841="",FALSE,TRUE),exact(Metadata!G841,"host-associated"))</f>
        <v>0</v>
      </c>
      <c r="AI841">
        <f>OR(AND(IF(Metadata!H841="",FALSE,TRUE),OR(exact(Metadata!H841,"not collected"),exact(Metadata!H841,"not provided"))),AND(IF(Metadata!H841="",FALSE,ISNUMBER(VALUE(Metadata!H841))),Metadata!H841&gt;0))</f>
        <v>0</v>
      </c>
      <c r="AJ841">
        <f>AND(IF(Metadata!I841="",FALSE,TRUE),exact(Metadata!I841,"years"))</f>
        <v>0</v>
      </c>
      <c r="AK841">
        <f>IF(Metadata!J841="",FALSE,TRUE)</f>
        <v>0</v>
      </c>
      <c r="AL841">
        <f>OR(AND(IF(Metadata!K841="",FALSE,TRUE),OR(exact(Metadata!K841,"not collected"),exact(Metadata!K841,"not provided"))),AND(IF(Metadata!K841="",FALSE,ISNUMBER(VALUE(Metadata!K841))),Metadata!K841&gt;0))</f>
        <v>0</v>
      </c>
      <c r="AM841">
        <f>AND(IF(Metadata!L841="",FALSE,TRUE),exact(Metadata!L841,"cm"))</f>
        <v>0</v>
      </c>
      <c r="AN841">
        <f>IF(Metadata!M841="",FALSE,TRUE)</f>
        <v>0</v>
      </c>
      <c r="AO841">
        <f>OR(AND(IF(Metadata!N841="",FALSE,TRUE),OR(exact(Metadata!N841,"not applicable"),exact(Metadata!N841,"not collected"),exact(Metadata!N841,"not provided"))),AND(IF(Metadata!N841="",FALSE,IF(ISERROR(INT(Metadata!N841)),FALSE,INT(Metadata!N841)=Metadata!N841)),Metadata!N841&gt;0))</f>
        <v>0</v>
      </c>
      <c r="AP841">
        <f>OR(AND(IF(Metadata!O841="",FALSE,TRUE),OR(exact(Metadata!O841,"not collected"),exact(Metadata!O841,"not provided"))),AND(IF(Metadata!O841="",FALSE,ISNUMBER(VALUE(Metadata!O841))),Metadata!O841&gt;0))</f>
        <v>0</v>
      </c>
      <c r="AQ841">
        <f>AND(IF(Metadata!P841="",FALSE,TRUE),exact(Metadata!P841,"kg"))</f>
        <v>0</v>
      </c>
      <c r="AR841">
        <f>OR(AND(IF(Metadata!Q841="",FALSE,TRUE),OR(exact(Metadata!Q841,"not applicable"),exact(Metadata!Q841,"not collected"),exact(Metadata!Q841,"not provided"),exact(Metadata!Q841,"restricted access"))),IF(Metadata!Q841="",FALSE,IF(ISERROR(INT(Metadata!Q841)),FALSE,INT(Metadata!Q841)=Metadata!Q841)))</f>
        <v>0</v>
      </c>
      <c r="AS841">
        <f>AND(IF(Metadata!R841="",FALSE,TRUE),exact(Metadata!R841,"Not applicable"))</f>
        <v>0</v>
      </c>
    </row>
    <row r="842" spans="1:45">
      <c r="A842" s="4">
        <f>IF(B842=" "," ",HYPERLINK(CONCATENATE("#metadata!",ADDRESS(INDEX($X$2:$X$1001,MATCH(ROWS($V$2:V842),$V$2:$V$1001,0),0),2)),INDEX($AA$2:$AA$1001,MATCH(ROWS($V$2:V842),$V$2:$V$1001,0),0)))</f>
        <v>0</v>
      </c>
      <c r="B842" s="5">
        <f>IF(OR(INDEX($W$2:$W$1001,MATCH(ROWS($V$2:V842),$V$2:$V$1001,0),1)&gt;=100000,INDEX($AC$1005:$AS$1005,1,MATCH(COLUMNS($AC$1006:AC1006),$AC$1006:$AS$1006,0))&gt;=100000), " ",IF(INDEX($AC$2:$AS$1001,MATCH(ROWS($V$2:V842),$V$2:$V$1001,0),MATCH(COLUMNS($AC$1006:AC1006),$AC$1006:$AS$1006,0)), HYPERLINK("#",""), HYPERLINK(CONCATENATE("#Metadata!", ADDRESS(INDEX($X$2:$X$1001,MATCH(ROWS($V$2:V842),$V$2:$V$1001,0),0), INDEX($AC$1004:$AS$1004,1,MATCH(COLUMNS($AC$1006:AC1006),$AC$1006:$AS$1006,0)))),"Fix")))</f>
        <v>0</v>
      </c>
      <c r="C842" s="5">
        <f>IF(OR(INDEX($W$2:$W$1001,MATCH(ROWS($V$2:V842),$V$2:$V$1001,0),1)&gt;=100000,INDEX($AC$1005:$AS$1005,1,MATCH(COLUMNS($AC$1006:AD1006),$AC$1006:$AS$1006,0))&gt;=100000), " ",IF(INDEX($AC$2:$AS$1001,MATCH(ROWS($V$2:V842),$V$2:$V$1001,0),MATCH(COLUMNS($AC$1006:AD1006),$AC$1006:$AS$1006,0)), HYPERLINK("#",""), HYPERLINK(CONCATENATE("#Metadata!", ADDRESS(INDEX($X$2:$X$1001,MATCH(ROWS($V$2:V842),$V$2:$V$1001,0),0), INDEX($AC$1004:$AS$1004,1,MATCH(COLUMNS($AC$1006:AD1006),$AC$1006:$AS$1006,0)))),"Fix")))</f>
        <v>0</v>
      </c>
      <c r="D842" s="5">
        <f>IF(OR(INDEX($W$2:$W$1001,MATCH(ROWS($V$2:V842),$V$2:$V$1001,0),1)&gt;=100000,INDEX($AC$1005:$AS$1005,1,MATCH(COLUMNS($AC$1006:AE1006),$AC$1006:$AS$1006,0))&gt;=100000), " ",IF(INDEX($AC$2:$AS$1001,MATCH(ROWS($V$2:V842),$V$2:$V$1001,0),MATCH(COLUMNS($AC$1006:AE1006),$AC$1006:$AS$1006,0)), HYPERLINK("#",""), HYPERLINK(CONCATENATE("#Metadata!", ADDRESS(INDEX($X$2:$X$1001,MATCH(ROWS($V$2:V842),$V$2:$V$1001,0),0), INDEX($AC$1004:$AS$1004,1,MATCH(COLUMNS($AC$1006:AE1006),$AC$1006:$AS$1006,0)))),"Fix")))</f>
        <v>0</v>
      </c>
      <c r="E842" s="5">
        <f>IF(OR(INDEX($W$2:$W$1001,MATCH(ROWS($V$2:V842),$V$2:$V$1001,0),1)&gt;=100000,INDEX($AC$1005:$AS$1005,1,MATCH(COLUMNS($AC$1006:AF1006),$AC$1006:$AS$1006,0))&gt;=100000), " ",IF(INDEX($AC$2:$AS$1001,MATCH(ROWS($V$2:V842),$V$2:$V$1001,0),MATCH(COLUMNS($AC$1006:AF1006),$AC$1006:$AS$1006,0)), HYPERLINK("#",""), HYPERLINK(CONCATENATE("#Metadata!", ADDRESS(INDEX($X$2:$X$1001,MATCH(ROWS($V$2:V842),$V$2:$V$1001,0),0), INDEX($AC$1004:$AS$1004,1,MATCH(COLUMNS($AC$1006:AF1006),$AC$1006:$AS$1006,0)))),"Fix")))</f>
        <v>0</v>
      </c>
      <c r="F842" s="5">
        <f>IF(OR(INDEX($W$2:$W$1001,MATCH(ROWS($V$2:V842),$V$2:$V$1001,0),1)&gt;=100000,INDEX($AC$1005:$AS$1005,1,MATCH(COLUMNS($AC$1006:AG1006),$AC$1006:$AS$1006,0))&gt;=100000), " ",IF(INDEX($AC$2:$AS$1001,MATCH(ROWS($V$2:V842),$V$2:$V$1001,0),MATCH(COLUMNS($AC$1006:AG1006),$AC$1006:$AS$1006,0)), HYPERLINK("#",""), HYPERLINK(CONCATENATE("#Metadata!", ADDRESS(INDEX($X$2:$X$1001,MATCH(ROWS($V$2:V842),$V$2:$V$1001,0),0), INDEX($AC$1004:$AS$1004,1,MATCH(COLUMNS($AC$1006:AG1006),$AC$1006:$AS$1006,0)))),"Fix")))</f>
        <v>0</v>
      </c>
      <c r="G842" s="5">
        <f>IF(OR(INDEX($W$2:$W$1001,MATCH(ROWS($V$2:V842),$V$2:$V$1001,0),1)&gt;=100000,INDEX($AC$1005:$AS$1005,1,MATCH(COLUMNS($AC$1006:AH1006),$AC$1006:$AS$1006,0))&gt;=100000), " ",IF(INDEX($AC$2:$AS$1001,MATCH(ROWS($V$2:V842),$V$2:$V$1001,0),MATCH(COLUMNS($AC$1006:AH1006),$AC$1006:$AS$1006,0)), HYPERLINK("#",""), HYPERLINK(CONCATENATE("#Metadata!", ADDRESS(INDEX($X$2:$X$1001,MATCH(ROWS($V$2:V842),$V$2:$V$1001,0),0), INDEX($AC$1004:$AS$1004,1,MATCH(COLUMNS($AC$1006:AH1006),$AC$1006:$AS$1006,0)))),"Fix")))</f>
        <v>0</v>
      </c>
      <c r="H842" s="5">
        <f>IF(OR(INDEX($W$2:$W$1001,MATCH(ROWS($V$2:V842),$V$2:$V$1001,0),1)&gt;=100000,INDEX($AC$1005:$AS$1005,1,MATCH(COLUMNS($AC$1006:AI1006),$AC$1006:$AS$1006,0))&gt;=100000), " ",IF(INDEX($AC$2:$AS$1001,MATCH(ROWS($V$2:V842),$V$2:$V$1001,0),MATCH(COLUMNS($AC$1006:AI1006),$AC$1006:$AS$1006,0)), HYPERLINK("#",""), HYPERLINK(CONCATENATE("#Metadata!", ADDRESS(INDEX($X$2:$X$1001,MATCH(ROWS($V$2:V842),$V$2:$V$1001,0),0), INDEX($AC$1004:$AS$1004,1,MATCH(COLUMNS($AC$1006:AI1006),$AC$1006:$AS$1006,0)))),"Fix")))</f>
        <v>0</v>
      </c>
      <c r="I842" s="5">
        <f>IF(OR(INDEX($W$2:$W$1001,MATCH(ROWS($V$2:V842),$V$2:$V$1001,0),1)&gt;=100000,INDEX($AC$1005:$AS$1005,1,MATCH(COLUMNS($AC$1006:AJ1006),$AC$1006:$AS$1006,0))&gt;=100000), " ",IF(INDEX($AC$2:$AS$1001,MATCH(ROWS($V$2:V842),$V$2:$V$1001,0),MATCH(COLUMNS($AC$1006:AJ1006),$AC$1006:$AS$1006,0)), HYPERLINK("#",""), HYPERLINK(CONCATENATE("#Metadata!", ADDRESS(INDEX($X$2:$X$1001,MATCH(ROWS($V$2:V842),$V$2:$V$1001,0),0), INDEX($AC$1004:$AS$1004,1,MATCH(COLUMNS($AC$1006:AJ1006),$AC$1006:$AS$1006,0)))),"Fix")))</f>
        <v>0</v>
      </c>
      <c r="J842" s="5">
        <f>IF(OR(INDEX($W$2:$W$1001,MATCH(ROWS($V$2:V842),$V$2:$V$1001,0),1)&gt;=100000,INDEX($AC$1005:$AS$1005,1,MATCH(COLUMNS($AC$1006:AK1006),$AC$1006:$AS$1006,0))&gt;=100000), " ",IF(INDEX($AC$2:$AS$1001,MATCH(ROWS($V$2:V842),$V$2:$V$1001,0),MATCH(COLUMNS($AC$1006:AK1006),$AC$1006:$AS$1006,0)), HYPERLINK("#",""), HYPERLINK(CONCATENATE("#Metadata!", ADDRESS(INDEX($X$2:$X$1001,MATCH(ROWS($V$2:V842),$V$2:$V$1001,0),0), INDEX($AC$1004:$AS$1004,1,MATCH(COLUMNS($AC$1006:AK1006),$AC$1006:$AS$1006,0)))),"Fix")))</f>
        <v>0</v>
      </c>
      <c r="K842" s="5">
        <f>IF(OR(INDEX($W$2:$W$1001,MATCH(ROWS($V$2:V842),$V$2:$V$1001,0),1)&gt;=100000,INDEX($AC$1005:$AS$1005,1,MATCH(COLUMNS($AC$1006:AL1006),$AC$1006:$AS$1006,0))&gt;=100000), " ",IF(INDEX($AC$2:$AS$1001,MATCH(ROWS($V$2:V842),$V$2:$V$1001,0),MATCH(COLUMNS($AC$1006:AL1006),$AC$1006:$AS$1006,0)), HYPERLINK("#",""), HYPERLINK(CONCATENATE("#Metadata!", ADDRESS(INDEX($X$2:$X$1001,MATCH(ROWS($V$2:V842),$V$2:$V$1001,0),0), INDEX($AC$1004:$AS$1004,1,MATCH(COLUMNS($AC$1006:AL1006),$AC$1006:$AS$1006,0)))),"Fix")))</f>
        <v>0</v>
      </c>
      <c r="L842" s="5">
        <f>IF(OR(INDEX($W$2:$W$1001,MATCH(ROWS($V$2:V842),$V$2:$V$1001,0),1)&gt;=100000,INDEX($AC$1005:$AS$1005,1,MATCH(COLUMNS($AC$1006:AM1006),$AC$1006:$AS$1006,0))&gt;=100000), " ",IF(INDEX($AC$2:$AS$1001,MATCH(ROWS($V$2:V842),$V$2:$V$1001,0),MATCH(COLUMNS($AC$1006:AM1006),$AC$1006:$AS$1006,0)), HYPERLINK("#",""), HYPERLINK(CONCATENATE("#Metadata!", ADDRESS(INDEX($X$2:$X$1001,MATCH(ROWS($V$2:V842),$V$2:$V$1001,0),0), INDEX($AC$1004:$AS$1004,1,MATCH(COLUMNS($AC$1006:AM1006),$AC$1006:$AS$1006,0)))),"Fix")))</f>
        <v>0</v>
      </c>
      <c r="M842" s="5">
        <f>IF(OR(INDEX($W$2:$W$1001,MATCH(ROWS($V$2:V842),$V$2:$V$1001,0),1)&gt;=100000,INDEX($AC$1005:$AS$1005,1,MATCH(COLUMNS($AC$1006:AN1006),$AC$1006:$AS$1006,0))&gt;=100000), " ",IF(INDEX($AC$2:$AS$1001,MATCH(ROWS($V$2:V842),$V$2:$V$1001,0),MATCH(COLUMNS($AC$1006:AN1006),$AC$1006:$AS$1006,0)), HYPERLINK("#",""), HYPERLINK(CONCATENATE("#Metadata!", ADDRESS(INDEX($X$2:$X$1001,MATCH(ROWS($V$2:V842),$V$2:$V$1001,0),0), INDEX($AC$1004:$AS$1004,1,MATCH(COLUMNS($AC$1006:AN1006),$AC$1006:$AS$1006,0)))),"Fix")))</f>
        <v>0</v>
      </c>
      <c r="N842" s="5">
        <f>IF(OR(INDEX($W$2:$W$1001,MATCH(ROWS($V$2:V842),$V$2:$V$1001,0),1)&gt;=100000,INDEX($AC$1005:$AS$1005,1,MATCH(COLUMNS($AC$1006:AO1006),$AC$1006:$AS$1006,0))&gt;=100000), " ",IF(INDEX($AC$2:$AS$1001,MATCH(ROWS($V$2:V842),$V$2:$V$1001,0),MATCH(COLUMNS($AC$1006:AO1006),$AC$1006:$AS$1006,0)), HYPERLINK("#",""), HYPERLINK(CONCATENATE("#Metadata!", ADDRESS(INDEX($X$2:$X$1001,MATCH(ROWS($V$2:V842),$V$2:$V$1001,0),0), INDEX($AC$1004:$AS$1004,1,MATCH(COLUMNS($AC$1006:AO1006),$AC$1006:$AS$1006,0)))),"Fix")))</f>
        <v>0</v>
      </c>
      <c r="O842" s="5">
        <f>IF(OR(INDEX($W$2:$W$1001,MATCH(ROWS($V$2:V842),$V$2:$V$1001,0),1)&gt;=100000,INDEX($AC$1005:$AS$1005,1,MATCH(COLUMNS($AC$1006:AP1006),$AC$1006:$AS$1006,0))&gt;=100000), " ",IF(INDEX($AC$2:$AS$1001,MATCH(ROWS($V$2:V842),$V$2:$V$1001,0),MATCH(COLUMNS($AC$1006:AP1006),$AC$1006:$AS$1006,0)), HYPERLINK("#",""), HYPERLINK(CONCATENATE("#Metadata!", ADDRESS(INDEX($X$2:$X$1001,MATCH(ROWS($V$2:V842),$V$2:$V$1001,0),0), INDEX($AC$1004:$AS$1004,1,MATCH(COLUMNS($AC$1006:AP1006),$AC$1006:$AS$1006,0)))),"Fix")))</f>
        <v>0</v>
      </c>
      <c r="P842" s="5">
        <f>IF(OR(INDEX($W$2:$W$1001,MATCH(ROWS($V$2:V842),$V$2:$V$1001,0),1)&gt;=100000,INDEX($AC$1005:$AS$1005,1,MATCH(COLUMNS($AC$1006:AQ1006),$AC$1006:$AS$1006,0))&gt;=100000), " ",IF(INDEX($AC$2:$AS$1001,MATCH(ROWS($V$2:V842),$V$2:$V$1001,0),MATCH(COLUMNS($AC$1006:AQ1006),$AC$1006:$AS$1006,0)), HYPERLINK("#",""), HYPERLINK(CONCATENATE("#Metadata!", ADDRESS(INDEX($X$2:$X$1001,MATCH(ROWS($V$2:V842),$V$2:$V$1001,0),0), INDEX($AC$1004:$AS$1004,1,MATCH(COLUMNS($AC$1006:AQ1006),$AC$1006:$AS$1006,0)))),"Fix")))</f>
        <v>0</v>
      </c>
      <c r="Q842" s="5">
        <f>IF(OR(INDEX($W$2:$W$1001,MATCH(ROWS($V$2:V842),$V$2:$V$1001,0),1)&gt;=100000,INDEX($AC$1005:$AS$1005,1,MATCH(COLUMNS($AC$1006:AR1006),$AC$1006:$AS$1006,0))&gt;=100000), " ",IF(INDEX($AC$2:$AS$1001,MATCH(ROWS($V$2:V842),$V$2:$V$1001,0),MATCH(COLUMNS($AC$1006:AR1006),$AC$1006:$AS$1006,0)), HYPERLINK("#",""), HYPERLINK(CONCATENATE("#Metadata!", ADDRESS(INDEX($X$2:$X$1001,MATCH(ROWS($V$2:V842),$V$2:$V$1001,0),0), INDEX($AC$1004:$AS$1004,1,MATCH(COLUMNS($AC$1006:AR1006),$AC$1006:$AS$1006,0)))),"Fix")))</f>
        <v>0</v>
      </c>
      <c r="R842" s="5">
        <f>IF(OR(INDEX($W$2:$W$1001,MATCH(ROWS($V$2:V842),$V$2:$V$1001,0),1)&gt;=100000,INDEX($AC$1005:$AS$1005,1,MATCH(COLUMNS($AC$1006:AS1006),$AC$1006:$AS$1006,0))&gt;=100000), " ",IF(INDEX($AC$2:$AS$1001,MATCH(ROWS($V$2:V842),$V$2:$V$1001,0),MATCH(COLUMNS($AC$1006:AS1006),$AC$1006:$AS$1006,0)), HYPERLINK("#",""), HYPERLINK(CONCATENATE("#Metadata!", ADDRESS(INDEX($X$2:$X$1001,MATCH(ROWS($V$2:V842),$V$2:$V$1001,0),0), INDEX($AC$1004:$AS$1004,1,MATCH(COLUMNS($AC$1006:AS1006),$AC$1006:$AS$1006,0)))),"Fix")))</f>
        <v>0</v>
      </c>
      <c r="V842">
        <v>0</v>
      </c>
      <c r="W842">
        <v>0</v>
      </c>
      <c r="X842">
        <v>0</v>
      </c>
      <c r="Y842">
        <f>IF(Z842,TRUE,AND(AC842:AS842))</f>
        <v>0</v>
      </c>
      <c r="Z842">
        <f>COUNTBLANK(Metadata!B842:R842)=COLUMNS(Metadata!B842:R842)</f>
        <v>0</v>
      </c>
      <c r="AA842">
        <v>0</v>
      </c>
      <c r="AC842">
        <f>AND(IF(Metadata!B842="",FALSE,TRUE),COUNTIF(Metadata!B:B, Metadata!B842) = 1,NOT(ISERROR(SUMPRODUCT(SEARCH(MID(Metadata!B842,ROW(INDIRECT("1:"&amp;LEN(Metadata!B842))), 1),"0123456789abcdefghijklmnopqrstuvwxyzABCDEFGHIJKLMNOPQRSTUVWXYZ.")))))</f>
        <v>0</v>
      </c>
      <c r="AD842">
        <f>AND(IF(Metadata!C842="",FALSE,TRUE),exact(Metadata!C842,"Host-associated"))</f>
        <v>0</v>
      </c>
      <c r="AE842">
        <f>AND(IF(Metadata!D842="",FALSE,TRUE),OR(exact(Metadata!D842,"Animal"),exact(Metadata!D842,"Fungus"),exact(Metadata!D842,"Plant")))</f>
        <v>0</v>
      </c>
      <c r="AF842">
        <f>AND(IF(Metadata!E842="",FALSE,TRUE),OR(exact(Metadata!E842,"Plant secretion"),exact(Metadata!E842,"Plant rhizosphere"),exact(Metadata!E842,"Plant surface"),exact(Metadata!E842,"Plant corpus"),exact(Metadata!E842,"Fungus surface"),exact(Metadata!E842,"Fungus corpus"),exact(Metadata!E842,"Animal surface"),exact(Metadata!E842,"Animal proximal gut"),exact(Metadata!E842,"Animal corpus"),exact(Metadata!E842,"Animal distal gut"),exact(Metadata!E842,"Animal secretion")))</f>
        <v>0</v>
      </c>
      <c r="AG842">
        <f>OR(AND(IF(Metadata!F842="",FALSE,TRUE),OR(exact(Metadata!F842,"not collected"),exact(Metadata!F842,"not provided"),exact(Metadata!F842,"restricted access"))),AND(IF(Metadata!F842="",FALSE,TRUE),OR(exact(Metadata!F842,"organism-associated habitat"),exact(Metadata!F842,"plant-associated habitat"),exact(Metadata!F842,"animal-associated habitat"),exact(Metadata!F842,"insecta-associated habitat"),exact(Metadata!F842,"mammalia-associated habitat"),exact(Metadata!F842,"human-associated habitat"),exact(Metadata!F842,"livestock-associated habitat"))))</f>
        <v>0</v>
      </c>
      <c r="AH842">
        <f>AND(IF(Metadata!G842="",FALSE,TRUE),exact(Metadata!G842,"host-associated"))</f>
        <v>0</v>
      </c>
      <c r="AI842">
        <f>OR(AND(IF(Metadata!H842="",FALSE,TRUE),OR(exact(Metadata!H842,"not collected"),exact(Metadata!H842,"not provided"))),AND(IF(Metadata!H842="",FALSE,ISNUMBER(VALUE(Metadata!H842))),Metadata!H842&gt;0))</f>
        <v>0</v>
      </c>
      <c r="AJ842">
        <f>AND(IF(Metadata!I842="",FALSE,TRUE),exact(Metadata!I842,"years"))</f>
        <v>0</v>
      </c>
      <c r="AK842">
        <f>IF(Metadata!J842="",FALSE,TRUE)</f>
        <v>0</v>
      </c>
      <c r="AL842">
        <f>OR(AND(IF(Metadata!K842="",FALSE,TRUE),OR(exact(Metadata!K842,"not collected"),exact(Metadata!K842,"not provided"))),AND(IF(Metadata!K842="",FALSE,ISNUMBER(VALUE(Metadata!K842))),Metadata!K842&gt;0))</f>
        <v>0</v>
      </c>
      <c r="AM842">
        <f>AND(IF(Metadata!L842="",FALSE,TRUE),exact(Metadata!L842,"cm"))</f>
        <v>0</v>
      </c>
      <c r="AN842">
        <f>IF(Metadata!M842="",FALSE,TRUE)</f>
        <v>0</v>
      </c>
      <c r="AO842">
        <f>OR(AND(IF(Metadata!N842="",FALSE,TRUE),OR(exact(Metadata!N842,"not applicable"),exact(Metadata!N842,"not collected"),exact(Metadata!N842,"not provided"))),AND(IF(Metadata!N842="",FALSE,IF(ISERROR(INT(Metadata!N842)),FALSE,INT(Metadata!N842)=Metadata!N842)),Metadata!N842&gt;0))</f>
        <v>0</v>
      </c>
      <c r="AP842">
        <f>OR(AND(IF(Metadata!O842="",FALSE,TRUE),OR(exact(Metadata!O842,"not collected"),exact(Metadata!O842,"not provided"))),AND(IF(Metadata!O842="",FALSE,ISNUMBER(VALUE(Metadata!O842))),Metadata!O842&gt;0))</f>
        <v>0</v>
      </c>
      <c r="AQ842">
        <f>AND(IF(Metadata!P842="",FALSE,TRUE),exact(Metadata!P842,"kg"))</f>
        <v>0</v>
      </c>
      <c r="AR842">
        <f>OR(AND(IF(Metadata!Q842="",FALSE,TRUE),OR(exact(Metadata!Q842,"not applicable"),exact(Metadata!Q842,"not collected"),exact(Metadata!Q842,"not provided"),exact(Metadata!Q842,"restricted access"))),IF(Metadata!Q842="",FALSE,IF(ISERROR(INT(Metadata!Q842)),FALSE,INT(Metadata!Q842)=Metadata!Q842)))</f>
        <v>0</v>
      </c>
      <c r="AS842">
        <f>AND(IF(Metadata!R842="",FALSE,TRUE),exact(Metadata!R842,"Not applicable"))</f>
        <v>0</v>
      </c>
    </row>
    <row r="843" spans="1:45">
      <c r="A843" s="4">
        <f>IF(B843=" "," ",HYPERLINK(CONCATENATE("#metadata!",ADDRESS(INDEX($X$2:$X$1001,MATCH(ROWS($V$2:V843),$V$2:$V$1001,0),0),2)),INDEX($AA$2:$AA$1001,MATCH(ROWS($V$2:V843),$V$2:$V$1001,0),0)))</f>
        <v>0</v>
      </c>
      <c r="B843" s="5">
        <f>IF(OR(INDEX($W$2:$W$1001,MATCH(ROWS($V$2:V843),$V$2:$V$1001,0),1)&gt;=100000,INDEX($AC$1005:$AS$1005,1,MATCH(COLUMNS($AC$1006:AC1006),$AC$1006:$AS$1006,0))&gt;=100000), " ",IF(INDEX($AC$2:$AS$1001,MATCH(ROWS($V$2:V843),$V$2:$V$1001,0),MATCH(COLUMNS($AC$1006:AC1006),$AC$1006:$AS$1006,0)), HYPERLINK("#",""), HYPERLINK(CONCATENATE("#Metadata!", ADDRESS(INDEX($X$2:$X$1001,MATCH(ROWS($V$2:V843),$V$2:$V$1001,0),0), INDEX($AC$1004:$AS$1004,1,MATCH(COLUMNS($AC$1006:AC1006),$AC$1006:$AS$1006,0)))),"Fix")))</f>
        <v>0</v>
      </c>
      <c r="C843" s="5">
        <f>IF(OR(INDEX($W$2:$W$1001,MATCH(ROWS($V$2:V843),$V$2:$V$1001,0),1)&gt;=100000,INDEX($AC$1005:$AS$1005,1,MATCH(COLUMNS($AC$1006:AD1006),$AC$1006:$AS$1006,0))&gt;=100000), " ",IF(INDEX($AC$2:$AS$1001,MATCH(ROWS($V$2:V843),$V$2:$V$1001,0),MATCH(COLUMNS($AC$1006:AD1006),$AC$1006:$AS$1006,0)), HYPERLINK("#",""), HYPERLINK(CONCATENATE("#Metadata!", ADDRESS(INDEX($X$2:$X$1001,MATCH(ROWS($V$2:V843),$V$2:$V$1001,0),0), INDEX($AC$1004:$AS$1004,1,MATCH(COLUMNS($AC$1006:AD1006),$AC$1006:$AS$1006,0)))),"Fix")))</f>
        <v>0</v>
      </c>
      <c r="D843" s="5">
        <f>IF(OR(INDEX($W$2:$W$1001,MATCH(ROWS($V$2:V843),$V$2:$V$1001,0),1)&gt;=100000,INDEX($AC$1005:$AS$1005,1,MATCH(COLUMNS($AC$1006:AE1006),$AC$1006:$AS$1006,0))&gt;=100000), " ",IF(INDEX($AC$2:$AS$1001,MATCH(ROWS($V$2:V843),$V$2:$V$1001,0),MATCH(COLUMNS($AC$1006:AE1006),$AC$1006:$AS$1006,0)), HYPERLINK("#",""), HYPERLINK(CONCATENATE("#Metadata!", ADDRESS(INDEX($X$2:$X$1001,MATCH(ROWS($V$2:V843),$V$2:$V$1001,0),0), INDEX($AC$1004:$AS$1004,1,MATCH(COLUMNS($AC$1006:AE1006),$AC$1006:$AS$1006,0)))),"Fix")))</f>
        <v>0</v>
      </c>
      <c r="E843" s="5">
        <f>IF(OR(INDEX($W$2:$W$1001,MATCH(ROWS($V$2:V843),$V$2:$V$1001,0),1)&gt;=100000,INDEX($AC$1005:$AS$1005,1,MATCH(COLUMNS($AC$1006:AF1006),$AC$1006:$AS$1006,0))&gt;=100000), " ",IF(INDEX($AC$2:$AS$1001,MATCH(ROWS($V$2:V843),$V$2:$V$1001,0),MATCH(COLUMNS($AC$1006:AF1006),$AC$1006:$AS$1006,0)), HYPERLINK("#",""), HYPERLINK(CONCATENATE("#Metadata!", ADDRESS(INDEX($X$2:$X$1001,MATCH(ROWS($V$2:V843),$V$2:$V$1001,0),0), INDEX($AC$1004:$AS$1004,1,MATCH(COLUMNS($AC$1006:AF1006),$AC$1006:$AS$1006,0)))),"Fix")))</f>
        <v>0</v>
      </c>
      <c r="F843" s="5">
        <f>IF(OR(INDEX($W$2:$W$1001,MATCH(ROWS($V$2:V843),$V$2:$V$1001,0),1)&gt;=100000,INDEX($AC$1005:$AS$1005,1,MATCH(COLUMNS($AC$1006:AG1006),$AC$1006:$AS$1006,0))&gt;=100000), " ",IF(INDEX($AC$2:$AS$1001,MATCH(ROWS($V$2:V843),$V$2:$V$1001,0),MATCH(COLUMNS($AC$1006:AG1006),$AC$1006:$AS$1006,0)), HYPERLINK("#",""), HYPERLINK(CONCATENATE("#Metadata!", ADDRESS(INDEX($X$2:$X$1001,MATCH(ROWS($V$2:V843),$V$2:$V$1001,0),0), INDEX($AC$1004:$AS$1004,1,MATCH(COLUMNS($AC$1006:AG1006),$AC$1006:$AS$1006,0)))),"Fix")))</f>
        <v>0</v>
      </c>
      <c r="G843" s="5">
        <f>IF(OR(INDEX($W$2:$W$1001,MATCH(ROWS($V$2:V843),$V$2:$V$1001,0),1)&gt;=100000,INDEX($AC$1005:$AS$1005,1,MATCH(COLUMNS($AC$1006:AH1006),$AC$1006:$AS$1006,0))&gt;=100000), " ",IF(INDEX($AC$2:$AS$1001,MATCH(ROWS($V$2:V843),$V$2:$V$1001,0),MATCH(COLUMNS($AC$1006:AH1006),$AC$1006:$AS$1006,0)), HYPERLINK("#",""), HYPERLINK(CONCATENATE("#Metadata!", ADDRESS(INDEX($X$2:$X$1001,MATCH(ROWS($V$2:V843),$V$2:$V$1001,0),0), INDEX($AC$1004:$AS$1004,1,MATCH(COLUMNS($AC$1006:AH1006),$AC$1006:$AS$1006,0)))),"Fix")))</f>
        <v>0</v>
      </c>
      <c r="H843" s="5">
        <f>IF(OR(INDEX($W$2:$W$1001,MATCH(ROWS($V$2:V843),$V$2:$V$1001,0),1)&gt;=100000,INDEX($AC$1005:$AS$1005,1,MATCH(COLUMNS($AC$1006:AI1006),$AC$1006:$AS$1006,0))&gt;=100000), " ",IF(INDEX($AC$2:$AS$1001,MATCH(ROWS($V$2:V843),$V$2:$V$1001,0),MATCH(COLUMNS($AC$1006:AI1006),$AC$1006:$AS$1006,0)), HYPERLINK("#",""), HYPERLINK(CONCATENATE("#Metadata!", ADDRESS(INDEX($X$2:$X$1001,MATCH(ROWS($V$2:V843),$V$2:$V$1001,0),0), INDEX($AC$1004:$AS$1004,1,MATCH(COLUMNS($AC$1006:AI1006),$AC$1006:$AS$1006,0)))),"Fix")))</f>
        <v>0</v>
      </c>
      <c r="I843" s="5">
        <f>IF(OR(INDEX($W$2:$W$1001,MATCH(ROWS($V$2:V843),$V$2:$V$1001,0),1)&gt;=100000,INDEX($AC$1005:$AS$1005,1,MATCH(COLUMNS($AC$1006:AJ1006),$AC$1006:$AS$1006,0))&gt;=100000), " ",IF(INDEX($AC$2:$AS$1001,MATCH(ROWS($V$2:V843),$V$2:$V$1001,0),MATCH(COLUMNS($AC$1006:AJ1006),$AC$1006:$AS$1006,0)), HYPERLINK("#",""), HYPERLINK(CONCATENATE("#Metadata!", ADDRESS(INDEX($X$2:$X$1001,MATCH(ROWS($V$2:V843),$V$2:$V$1001,0),0), INDEX($AC$1004:$AS$1004,1,MATCH(COLUMNS($AC$1006:AJ1006),$AC$1006:$AS$1006,0)))),"Fix")))</f>
        <v>0</v>
      </c>
      <c r="J843" s="5">
        <f>IF(OR(INDEX($W$2:$W$1001,MATCH(ROWS($V$2:V843),$V$2:$V$1001,0),1)&gt;=100000,INDEX($AC$1005:$AS$1005,1,MATCH(COLUMNS($AC$1006:AK1006),$AC$1006:$AS$1006,0))&gt;=100000), " ",IF(INDEX($AC$2:$AS$1001,MATCH(ROWS($V$2:V843),$V$2:$V$1001,0),MATCH(COLUMNS($AC$1006:AK1006),$AC$1006:$AS$1006,0)), HYPERLINK("#",""), HYPERLINK(CONCATENATE("#Metadata!", ADDRESS(INDEX($X$2:$X$1001,MATCH(ROWS($V$2:V843),$V$2:$V$1001,0),0), INDEX($AC$1004:$AS$1004,1,MATCH(COLUMNS($AC$1006:AK1006),$AC$1006:$AS$1006,0)))),"Fix")))</f>
        <v>0</v>
      </c>
      <c r="K843" s="5">
        <f>IF(OR(INDEX($W$2:$W$1001,MATCH(ROWS($V$2:V843),$V$2:$V$1001,0),1)&gt;=100000,INDEX($AC$1005:$AS$1005,1,MATCH(COLUMNS($AC$1006:AL1006),$AC$1006:$AS$1006,0))&gt;=100000), " ",IF(INDEX($AC$2:$AS$1001,MATCH(ROWS($V$2:V843),$V$2:$V$1001,0),MATCH(COLUMNS($AC$1006:AL1006),$AC$1006:$AS$1006,0)), HYPERLINK("#",""), HYPERLINK(CONCATENATE("#Metadata!", ADDRESS(INDEX($X$2:$X$1001,MATCH(ROWS($V$2:V843),$V$2:$V$1001,0),0), INDEX($AC$1004:$AS$1004,1,MATCH(COLUMNS($AC$1006:AL1006),$AC$1006:$AS$1006,0)))),"Fix")))</f>
        <v>0</v>
      </c>
      <c r="L843" s="5">
        <f>IF(OR(INDEX($W$2:$W$1001,MATCH(ROWS($V$2:V843),$V$2:$V$1001,0),1)&gt;=100000,INDEX($AC$1005:$AS$1005,1,MATCH(COLUMNS($AC$1006:AM1006),$AC$1006:$AS$1006,0))&gt;=100000), " ",IF(INDEX($AC$2:$AS$1001,MATCH(ROWS($V$2:V843),$V$2:$V$1001,0),MATCH(COLUMNS($AC$1006:AM1006),$AC$1006:$AS$1006,0)), HYPERLINK("#",""), HYPERLINK(CONCATENATE("#Metadata!", ADDRESS(INDEX($X$2:$X$1001,MATCH(ROWS($V$2:V843),$V$2:$V$1001,0),0), INDEX($AC$1004:$AS$1004,1,MATCH(COLUMNS($AC$1006:AM1006),$AC$1006:$AS$1006,0)))),"Fix")))</f>
        <v>0</v>
      </c>
      <c r="M843" s="5">
        <f>IF(OR(INDEX($W$2:$W$1001,MATCH(ROWS($V$2:V843),$V$2:$V$1001,0),1)&gt;=100000,INDEX($AC$1005:$AS$1005,1,MATCH(COLUMNS($AC$1006:AN1006),$AC$1006:$AS$1006,0))&gt;=100000), " ",IF(INDEX($AC$2:$AS$1001,MATCH(ROWS($V$2:V843),$V$2:$V$1001,0),MATCH(COLUMNS($AC$1006:AN1006),$AC$1006:$AS$1006,0)), HYPERLINK("#",""), HYPERLINK(CONCATENATE("#Metadata!", ADDRESS(INDEX($X$2:$X$1001,MATCH(ROWS($V$2:V843),$V$2:$V$1001,0),0), INDEX($AC$1004:$AS$1004,1,MATCH(COLUMNS($AC$1006:AN1006),$AC$1006:$AS$1006,0)))),"Fix")))</f>
        <v>0</v>
      </c>
      <c r="N843" s="5">
        <f>IF(OR(INDEX($W$2:$W$1001,MATCH(ROWS($V$2:V843),$V$2:$V$1001,0),1)&gt;=100000,INDEX($AC$1005:$AS$1005,1,MATCH(COLUMNS($AC$1006:AO1006),$AC$1006:$AS$1006,0))&gt;=100000), " ",IF(INDEX($AC$2:$AS$1001,MATCH(ROWS($V$2:V843),$V$2:$V$1001,0),MATCH(COLUMNS($AC$1006:AO1006),$AC$1006:$AS$1006,0)), HYPERLINK("#",""), HYPERLINK(CONCATENATE("#Metadata!", ADDRESS(INDEX($X$2:$X$1001,MATCH(ROWS($V$2:V843),$V$2:$V$1001,0),0), INDEX($AC$1004:$AS$1004,1,MATCH(COLUMNS($AC$1006:AO1006),$AC$1006:$AS$1006,0)))),"Fix")))</f>
        <v>0</v>
      </c>
      <c r="O843" s="5">
        <f>IF(OR(INDEX($W$2:$W$1001,MATCH(ROWS($V$2:V843),$V$2:$V$1001,0),1)&gt;=100000,INDEX($AC$1005:$AS$1005,1,MATCH(COLUMNS($AC$1006:AP1006),$AC$1006:$AS$1006,0))&gt;=100000), " ",IF(INDEX($AC$2:$AS$1001,MATCH(ROWS($V$2:V843),$V$2:$V$1001,0),MATCH(COLUMNS($AC$1006:AP1006),$AC$1006:$AS$1006,0)), HYPERLINK("#",""), HYPERLINK(CONCATENATE("#Metadata!", ADDRESS(INDEX($X$2:$X$1001,MATCH(ROWS($V$2:V843),$V$2:$V$1001,0),0), INDEX($AC$1004:$AS$1004,1,MATCH(COLUMNS($AC$1006:AP1006),$AC$1006:$AS$1006,0)))),"Fix")))</f>
        <v>0</v>
      </c>
      <c r="P843" s="5">
        <f>IF(OR(INDEX($W$2:$W$1001,MATCH(ROWS($V$2:V843),$V$2:$V$1001,0),1)&gt;=100000,INDEX($AC$1005:$AS$1005,1,MATCH(COLUMNS($AC$1006:AQ1006),$AC$1006:$AS$1006,0))&gt;=100000), " ",IF(INDEX($AC$2:$AS$1001,MATCH(ROWS($V$2:V843),$V$2:$V$1001,0),MATCH(COLUMNS($AC$1006:AQ1006),$AC$1006:$AS$1006,0)), HYPERLINK("#",""), HYPERLINK(CONCATENATE("#Metadata!", ADDRESS(INDEX($X$2:$X$1001,MATCH(ROWS($V$2:V843),$V$2:$V$1001,0),0), INDEX($AC$1004:$AS$1004,1,MATCH(COLUMNS($AC$1006:AQ1006),$AC$1006:$AS$1006,0)))),"Fix")))</f>
        <v>0</v>
      </c>
      <c r="Q843" s="5">
        <f>IF(OR(INDEX($W$2:$W$1001,MATCH(ROWS($V$2:V843),$V$2:$V$1001,0),1)&gt;=100000,INDEX($AC$1005:$AS$1005,1,MATCH(COLUMNS($AC$1006:AR1006),$AC$1006:$AS$1006,0))&gt;=100000), " ",IF(INDEX($AC$2:$AS$1001,MATCH(ROWS($V$2:V843),$V$2:$V$1001,0),MATCH(COLUMNS($AC$1006:AR1006),$AC$1006:$AS$1006,0)), HYPERLINK("#",""), HYPERLINK(CONCATENATE("#Metadata!", ADDRESS(INDEX($X$2:$X$1001,MATCH(ROWS($V$2:V843),$V$2:$V$1001,0),0), INDEX($AC$1004:$AS$1004,1,MATCH(COLUMNS($AC$1006:AR1006),$AC$1006:$AS$1006,0)))),"Fix")))</f>
        <v>0</v>
      </c>
      <c r="R843" s="5">
        <f>IF(OR(INDEX($W$2:$W$1001,MATCH(ROWS($V$2:V843),$V$2:$V$1001,0),1)&gt;=100000,INDEX($AC$1005:$AS$1005,1,MATCH(COLUMNS($AC$1006:AS1006),$AC$1006:$AS$1006,0))&gt;=100000), " ",IF(INDEX($AC$2:$AS$1001,MATCH(ROWS($V$2:V843),$V$2:$V$1001,0),MATCH(COLUMNS($AC$1006:AS1006),$AC$1006:$AS$1006,0)), HYPERLINK("#",""), HYPERLINK(CONCATENATE("#Metadata!", ADDRESS(INDEX($X$2:$X$1001,MATCH(ROWS($V$2:V843),$V$2:$V$1001,0),0), INDEX($AC$1004:$AS$1004,1,MATCH(COLUMNS($AC$1006:AS1006),$AC$1006:$AS$1006,0)))),"Fix")))</f>
        <v>0</v>
      </c>
      <c r="V843">
        <v>0</v>
      </c>
      <c r="W843">
        <v>0</v>
      </c>
      <c r="X843">
        <v>0</v>
      </c>
      <c r="Y843">
        <f>IF(Z843,TRUE,AND(AC843:AS843))</f>
        <v>0</v>
      </c>
      <c r="Z843">
        <f>COUNTBLANK(Metadata!B843:R843)=COLUMNS(Metadata!B843:R843)</f>
        <v>0</v>
      </c>
      <c r="AA843">
        <v>0</v>
      </c>
      <c r="AC843">
        <f>AND(IF(Metadata!B843="",FALSE,TRUE),COUNTIF(Metadata!B:B, Metadata!B843) = 1,NOT(ISERROR(SUMPRODUCT(SEARCH(MID(Metadata!B843,ROW(INDIRECT("1:"&amp;LEN(Metadata!B843))), 1),"0123456789abcdefghijklmnopqrstuvwxyzABCDEFGHIJKLMNOPQRSTUVWXYZ.")))))</f>
        <v>0</v>
      </c>
      <c r="AD843">
        <f>AND(IF(Metadata!C843="",FALSE,TRUE),exact(Metadata!C843,"Host-associated"))</f>
        <v>0</v>
      </c>
      <c r="AE843">
        <f>AND(IF(Metadata!D843="",FALSE,TRUE),OR(exact(Metadata!D843,"Animal"),exact(Metadata!D843,"Fungus"),exact(Metadata!D843,"Plant")))</f>
        <v>0</v>
      </c>
      <c r="AF843">
        <f>AND(IF(Metadata!E843="",FALSE,TRUE),OR(exact(Metadata!E843,"Plant secretion"),exact(Metadata!E843,"Plant rhizosphere"),exact(Metadata!E843,"Plant surface"),exact(Metadata!E843,"Plant corpus"),exact(Metadata!E843,"Fungus surface"),exact(Metadata!E843,"Fungus corpus"),exact(Metadata!E843,"Animal surface"),exact(Metadata!E843,"Animal proximal gut"),exact(Metadata!E843,"Animal corpus"),exact(Metadata!E843,"Animal distal gut"),exact(Metadata!E843,"Animal secretion")))</f>
        <v>0</v>
      </c>
      <c r="AG843">
        <f>OR(AND(IF(Metadata!F843="",FALSE,TRUE),OR(exact(Metadata!F843,"not collected"),exact(Metadata!F843,"not provided"),exact(Metadata!F843,"restricted access"))),AND(IF(Metadata!F843="",FALSE,TRUE),OR(exact(Metadata!F843,"organism-associated habitat"),exact(Metadata!F843,"plant-associated habitat"),exact(Metadata!F843,"animal-associated habitat"),exact(Metadata!F843,"insecta-associated habitat"),exact(Metadata!F843,"mammalia-associated habitat"),exact(Metadata!F843,"human-associated habitat"),exact(Metadata!F843,"livestock-associated habitat"))))</f>
        <v>0</v>
      </c>
      <c r="AH843">
        <f>AND(IF(Metadata!G843="",FALSE,TRUE),exact(Metadata!G843,"host-associated"))</f>
        <v>0</v>
      </c>
      <c r="AI843">
        <f>OR(AND(IF(Metadata!H843="",FALSE,TRUE),OR(exact(Metadata!H843,"not collected"),exact(Metadata!H843,"not provided"))),AND(IF(Metadata!H843="",FALSE,ISNUMBER(VALUE(Metadata!H843))),Metadata!H843&gt;0))</f>
        <v>0</v>
      </c>
      <c r="AJ843">
        <f>AND(IF(Metadata!I843="",FALSE,TRUE),exact(Metadata!I843,"years"))</f>
        <v>0</v>
      </c>
      <c r="AK843">
        <f>IF(Metadata!J843="",FALSE,TRUE)</f>
        <v>0</v>
      </c>
      <c r="AL843">
        <f>OR(AND(IF(Metadata!K843="",FALSE,TRUE),OR(exact(Metadata!K843,"not collected"),exact(Metadata!K843,"not provided"))),AND(IF(Metadata!K843="",FALSE,ISNUMBER(VALUE(Metadata!K843))),Metadata!K843&gt;0))</f>
        <v>0</v>
      </c>
      <c r="AM843">
        <f>AND(IF(Metadata!L843="",FALSE,TRUE),exact(Metadata!L843,"cm"))</f>
        <v>0</v>
      </c>
      <c r="AN843">
        <f>IF(Metadata!M843="",FALSE,TRUE)</f>
        <v>0</v>
      </c>
      <c r="AO843">
        <f>OR(AND(IF(Metadata!N843="",FALSE,TRUE),OR(exact(Metadata!N843,"not applicable"),exact(Metadata!N843,"not collected"),exact(Metadata!N843,"not provided"))),AND(IF(Metadata!N843="",FALSE,IF(ISERROR(INT(Metadata!N843)),FALSE,INT(Metadata!N843)=Metadata!N843)),Metadata!N843&gt;0))</f>
        <v>0</v>
      </c>
      <c r="AP843">
        <f>OR(AND(IF(Metadata!O843="",FALSE,TRUE),OR(exact(Metadata!O843,"not collected"),exact(Metadata!O843,"not provided"))),AND(IF(Metadata!O843="",FALSE,ISNUMBER(VALUE(Metadata!O843))),Metadata!O843&gt;0))</f>
        <v>0</v>
      </c>
      <c r="AQ843">
        <f>AND(IF(Metadata!P843="",FALSE,TRUE),exact(Metadata!P843,"kg"))</f>
        <v>0</v>
      </c>
      <c r="AR843">
        <f>OR(AND(IF(Metadata!Q843="",FALSE,TRUE),OR(exact(Metadata!Q843,"not applicable"),exact(Metadata!Q843,"not collected"),exact(Metadata!Q843,"not provided"),exact(Metadata!Q843,"restricted access"))),IF(Metadata!Q843="",FALSE,IF(ISERROR(INT(Metadata!Q843)),FALSE,INT(Metadata!Q843)=Metadata!Q843)))</f>
        <v>0</v>
      </c>
      <c r="AS843">
        <f>AND(IF(Metadata!R843="",FALSE,TRUE),exact(Metadata!R843,"Not applicable"))</f>
        <v>0</v>
      </c>
    </row>
    <row r="844" spans="1:45">
      <c r="A844" s="4">
        <f>IF(B844=" "," ",HYPERLINK(CONCATENATE("#metadata!",ADDRESS(INDEX($X$2:$X$1001,MATCH(ROWS($V$2:V844),$V$2:$V$1001,0),0),2)),INDEX($AA$2:$AA$1001,MATCH(ROWS($V$2:V844),$V$2:$V$1001,0),0)))</f>
        <v>0</v>
      </c>
      <c r="B844" s="5">
        <f>IF(OR(INDEX($W$2:$W$1001,MATCH(ROWS($V$2:V844),$V$2:$V$1001,0),1)&gt;=100000,INDEX($AC$1005:$AS$1005,1,MATCH(COLUMNS($AC$1006:AC1006),$AC$1006:$AS$1006,0))&gt;=100000), " ",IF(INDEX($AC$2:$AS$1001,MATCH(ROWS($V$2:V844),$V$2:$V$1001,0),MATCH(COLUMNS($AC$1006:AC1006),$AC$1006:$AS$1006,0)), HYPERLINK("#",""), HYPERLINK(CONCATENATE("#Metadata!", ADDRESS(INDEX($X$2:$X$1001,MATCH(ROWS($V$2:V844),$V$2:$V$1001,0),0), INDEX($AC$1004:$AS$1004,1,MATCH(COLUMNS($AC$1006:AC1006),$AC$1006:$AS$1006,0)))),"Fix")))</f>
        <v>0</v>
      </c>
      <c r="C844" s="5">
        <f>IF(OR(INDEX($W$2:$W$1001,MATCH(ROWS($V$2:V844),$V$2:$V$1001,0),1)&gt;=100000,INDEX($AC$1005:$AS$1005,1,MATCH(COLUMNS($AC$1006:AD1006),$AC$1006:$AS$1006,0))&gt;=100000), " ",IF(INDEX($AC$2:$AS$1001,MATCH(ROWS($V$2:V844),$V$2:$V$1001,0),MATCH(COLUMNS($AC$1006:AD1006),$AC$1006:$AS$1006,0)), HYPERLINK("#",""), HYPERLINK(CONCATENATE("#Metadata!", ADDRESS(INDEX($X$2:$X$1001,MATCH(ROWS($V$2:V844),$V$2:$V$1001,0),0), INDEX($AC$1004:$AS$1004,1,MATCH(COLUMNS($AC$1006:AD1006),$AC$1006:$AS$1006,0)))),"Fix")))</f>
        <v>0</v>
      </c>
      <c r="D844" s="5">
        <f>IF(OR(INDEX($W$2:$W$1001,MATCH(ROWS($V$2:V844),$V$2:$V$1001,0),1)&gt;=100000,INDEX($AC$1005:$AS$1005,1,MATCH(COLUMNS($AC$1006:AE1006),$AC$1006:$AS$1006,0))&gt;=100000), " ",IF(INDEX($AC$2:$AS$1001,MATCH(ROWS($V$2:V844),$V$2:$V$1001,0),MATCH(COLUMNS($AC$1006:AE1006),$AC$1006:$AS$1006,0)), HYPERLINK("#",""), HYPERLINK(CONCATENATE("#Metadata!", ADDRESS(INDEX($X$2:$X$1001,MATCH(ROWS($V$2:V844),$V$2:$V$1001,0),0), INDEX($AC$1004:$AS$1004,1,MATCH(COLUMNS($AC$1006:AE1006),$AC$1006:$AS$1006,0)))),"Fix")))</f>
        <v>0</v>
      </c>
      <c r="E844" s="5">
        <f>IF(OR(INDEX($W$2:$W$1001,MATCH(ROWS($V$2:V844),$V$2:$V$1001,0),1)&gt;=100000,INDEX($AC$1005:$AS$1005,1,MATCH(COLUMNS($AC$1006:AF1006),$AC$1006:$AS$1006,0))&gt;=100000), " ",IF(INDEX($AC$2:$AS$1001,MATCH(ROWS($V$2:V844),$V$2:$V$1001,0),MATCH(COLUMNS($AC$1006:AF1006),$AC$1006:$AS$1006,0)), HYPERLINK("#",""), HYPERLINK(CONCATENATE("#Metadata!", ADDRESS(INDEX($X$2:$X$1001,MATCH(ROWS($V$2:V844),$V$2:$V$1001,0),0), INDEX($AC$1004:$AS$1004,1,MATCH(COLUMNS($AC$1006:AF1006),$AC$1006:$AS$1006,0)))),"Fix")))</f>
        <v>0</v>
      </c>
      <c r="F844" s="5">
        <f>IF(OR(INDEX($W$2:$W$1001,MATCH(ROWS($V$2:V844),$V$2:$V$1001,0),1)&gt;=100000,INDEX($AC$1005:$AS$1005,1,MATCH(COLUMNS($AC$1006:AG1006),$AC$1006:$AS$1006,0))&gt;=100000), " ",IF(INDEX($AC$2:$AS$1001,MATCH(ROWS($V$2:V844),$V$2:$V$1001,0),MATCH(COLUMNS($AC$1006:AG1006),$AC$1006:$AS$1006,0)), HYPERLINK("#",""), HYPERLINK(CONCATENATE("#Metadata!", ADDRESS(INDEX($X$2:$X$1001,MATCH(ROWS($V$2:V844),$V$2:$V$1001,0),0), INDEX($AC$1004:$AS$1004,1,MATCH(COLUMNS($AC$1006:AG1006),$AC$1006:$AS$1006,0)))),"Fix")))</f>
        <v>0</v>
      </c>
      <c r="G844" s="5">
        <f>IF(OR(INDEX($W$2:$W$1001,MATCH(ROWS($V$2:V844),$V$2:$V$1001,0),1)&gt;=100000,INDEX($AC$1005:$AS$1005,1,MATCH(COLUMNS($AC$1006:AH1006),$AC$1006:$AS$1006,0))&gt;=100000), " ",IF(INDEX($AC$2:$AS$1001,MATCH(ROWS($V$2:V844),$V$2:$V$1001,0),MATCH(COLUMNS($AC$1006:AH1006),$AC$1006:$AS$1006,0)), HYPERLINK("#",""), HYPERLINK(CONCATENATE("#Metadata!", ADDRESS(INDEX($X$2:$X$1001,MATCH(ROWS($V$2:V844),$V$2:$V$1001,0),0), INDEX($AC$1004:$AS$1004,1,MATCH(COLUMNS($AC$1006:AH1006),$AC$1006:$AS$1006,0)))),"Fix")))</f>
        <v>0</v>
      </c>
      <c r="H844" s="5">
        <f>IF(OR(INDEX($W$2:$W$1001,MATCH(ROWS($V$2:V844),$V$2:$V$1001,0),1)&gt;=100000,INDEX($AC$1005:$AS$1005,1,MATCH(COLUMNS($AC$1006:AI1006),$AC$1006:$AS$1006,0))&gt;=100000), " ",IF(INDEX($AC$2:$AS$1001,MATCH(ROWS($V$2:V844),$V$2:$V$1001,0),MATCH(COLUMNS($AC$1006:AI1006),$AC$1006:$AS$1006,0)), HYPERLINK("#",""), HYPERLINK(CONCATENATE("#Metadata!", ADDRESS(INDEX($X$2:$X$1001,MATCH(ROWS($V$2:V844),$V$2:$V$1001,0),0), INDEX($AC$1004:$AS$1004,1,MATCH(COLUMNS($AC$1006:AI1006),$AC$1006:$AS$1006,0)))),"Fix")))</f>
        <v>0</v>
      </c>
      <c r="I844" s="5">
        <f>IF(OR(INDEX($W$2:$W$1001,MATCH(ROWS($V$2:V844),$V$2:$V$1001,0),1)&gt;=100000,INDEX($AC$1005:$AS$1005,1,MATCH(COLUMNS($AC$1006:AJ1006),$AC$1006:$AS$1006,0))&gt;=100000), " ",IF(INDEX($AC$2:$AS$1001,MATCH(ROWS($V$2:V844),$V$2:$V$1001,0),MATCH(COLUMNS($AC$1006:AJ1006),$AC$1006:$AS$1006,0)), HYPERLINK("#",""), HYPERLINK(CONCATENATE("#Metadata!", ADDRESS(INDEX($X$2:$X$1001,MATCH(ROWS($V$2:V844),$V$2:$V$1001,0),0), INDEX($AC$1004:$AS$1004,1,MATCH(COLUMNS($AC$1006:AJ1006),$AC$1006:$AS$1006,0)))),"Fix")))</f>
        <v>0</v>
      </c>
      <c r="J844" s="5">
        <f>IF(OR(INDEX($W$2:$W$1001,MATCH(ROWS($V$2:V844),$V$2:$V$1001,0),1)&gt;=100000,INDEX($AC$1005:$AS$1005,1,MATCH(COLUMNS($AC$1006:AK1006),$AC$1006:$AS$1006,0))&gt;=100000), " ",IF(INDEX($AC$2:$AS$1001,MATCH(ROWS($V$2:V844),$V$2:$V$1001,0),MATCH(COLUMNS($AC$1006:AK1006),$AC$1006:$AS$1006,0)), HYPERLINK("#",""), HYPERLINK(CONCATENATE("#Metadata!", ADDRESS(INDEX($X$2:$X$1001,MATCH(ROWS($V$2:V844),$V$2:$V$1001,0),0), INDEX($AC$1004:$AS$1004,1,MATCH(COLUMNS($AC$1006:AK1006),$AC$1006:$AS$1006,0)))),"Fix")))</f>
        <v>0</v>
      </c>
      <c r="K844" s="5">
        <f>IF(OR(INDEX($W$2:$W$1001,MATCH(ROWS($V$2:V844),$V$2:$V$1001,0),1)&gt;=100000,INDEX($AC$1005:$AS$1005,1,MATCH(COLUMNS($AC$1006:AL1006),$AC$1006:$AS$1006,0))&gt;=100000), " ",IF(INDEX($AC$2:$AS$1001,MATCH(ROWS($V$2:V844),$V$2:$V$1001,0),MATCH(COLUMNS($AC$1006:AL1006),$AC$1006:$AS$1006,0)), HYPERLINK("#",""), HYPERLINK(CONCATENATE("#Metadata!", ADDRESS(INDEX($X$2:$X$1001,MATCH(ROWS($V$2:V844),$V$2:$V$1001,0),0), INDEX($AC$1004:$AS$1004,1,MATCH(COLUMNS($AC$1006:AL1006),$AC$1006:$AS$1006,0)))),"Fix")))</f>
        <v>0</v>
      </c>
      <c r="L844" s="5">
        <f>IF(OR(INDEX($W$2:$W$1001,MATCH(ROWS($V$2:V844),$V$2:$V$1001,0),1)&gt;=100000,INDEX($AC$1005:$AS$1005,1,MATCH(COLUMNS($AC$1006:AM1006),$AC$1006:$AS$1006,0))&gt;=100000), " ",IF(INDEX($AC$2:$AS$1001,MATCH(ROWS($V$2:V844),$V$2:$V$1001,0),MATCH(COLUMNS($AC$1006:AM1006),$AC$1006:$AS$1006,0)), HYPERLINK("#",""), HYPERLINK(CONCATENATE("#Metadata!", ADDRESS(INDEX($X$2:$X$1001,MATCH(ROWS($V$2:V844),$V$2:$V$1001,0),0), INDEX($AC$1004:$AS$1004,1,MATCH(COLUMNS($AC$1006:AM1006),$AC$1006:$AS$1006,0)))),"Fix")))</f>
        <v>0</v>
      </c>
      <c r="M844" s="5">
        <f>IF(OR(INDEX($W$2:$W$1001,MATCH(ROWS($V$2:V844),$V$2:$V$1001,0),1)&gt;=100000,INDEX($AC$1005:$AS$1005,1,MATCH(COLUMNS($AC$1006:AN1006),$AC$1006:$AS$1006,0))&gt;=100000), " ",IF(INDEX($AC$2:$AS$1001,MATCH(ROWS($V$2:V844),$V$2:$V$1001,0),MATCH(COLUMNS($AC$1006:AN1006),$AC$1006:$AS$1006,0)), HYPERLINK("#",""), HYPERLINK(CONCATENATE("#Metadata!", ADDRESS(INDEX($X$2:$X$1001,MATCH(ROWS($V$2:V844),$V$2:$V$1001,0),0), INDEX($AC$1004:$AS$1004,1,MATCH(COLUMNS($AC$1006:AN1006),$AC$1006:$AS$1006,0)))),"Fix")))</f>
        <v>0</v>
      </c>
      <c r="N844" s="5">
        <f>IF(OR(INDEX($W$2:$W$1001,MATCH(ROWS($V$2:V844),$V$2:$V$1001,0),1)&gt;=100000,INDEX($AC$1005:$AS$1005,1,MATCH(COLUMNS($AC$1006:AO1006),$AC$1006:$AS$1006,0))&gt;=100000), " ",IF(INDEX($AC$2:$AS$1001,MATCH(ROWS($V$2:V844),$V$2:$V$1001,0),MATCH(COLUMNS($AC$1006:AO1006),$AC$1006:$AS$1006,0)), HYPERLINK("#",""), HYPERLINK(CONCATENATE("#Metadata!", ADDRESS(INDEX($X$2:$X$1001,MATCH(ROWS($V$2:V844),$V$2:$V$1001,0),0), INDEX($AC$1004:$AS$1004,1,MATCH(COLUMNS($AC$1006:AO1006),$AC$1006:$AS$1006,0)))),"Fix")))</f>
        <v>0</v>
      </c>
      <c r="O844" s="5">
        <f>IF(OR(INDEX($W$2:$W$1001,MATCH(ROWS($V$2:V844),$V$2:$V$1001,0),1)&gt;=100000,INDEX($AC$1005:$AS$1005,1,MATCH(COLUMNS($AC$1006:AP1006),$AC$1006:$AS$1006,0))&gt;=100000), " ",IF(INDEX($AC$2:$AS$1001,MATCH(ROWS($V$2:V844),$V$2:$V$1001,0),MATCH(COLUMNS($AC$1006:AP1006),$AC$1006:$AS$1006,0)), HYPERLINK("#",""), HYPERLINK(CONCATENATE("#Metadata!", ADDRESS(INDEX($X$2:$X$1001,MATCH(ROWS($V$2:V844),$V$2:$V$1001,0),0), INDEX($AC$1004:$AS$1004,1,MATCH(COLUMNS($AC$1006:AP1006),$AC$1006:$AS$1006,0)))),"Fix")))</f>
        <v>0</v>
      </c>
      <c r="P844" s="5">
        <f>IF(OR(INDEX($W$2:$W$1001,MATCH(ROWS($V$2:V844),$V$2:$V$1001,0),1)&gt;=100000,INDEX($AC$1005:$AS$1005,1,MATCH(COLUMNS($AC$1006:AQ1006),$AC$1006:$AS$1006,0))&gt;=100000), " ",IF(INDEX($AC$2:$AS$1001,MATCH(ROWS($V$2:V844),$V$2:$V$1001,0),MATCH(COLUMNS($AC$1006:AQ1006),$AC$1006:$AS$1006,0)), HYPERLINK("#",""), HYPERLINK(CONCATENATE("#Metadata!", ADDRESS(INDEX($X$2:$X$1001,MATCH(ROWS($V$2:V844),$V$2:$V$1001,0),0), INDEX($AC$1004:$AS$1004,1,MATCH(COLUMNS($AC$1006:AQ1006),$AC$1006:$AS$1006,0)))),"Fix")))</f>
        <v>0</v>
      </c>
      <c r="Q844" s="5">
        <f>IF(OR(INDEX($W$2:$W$1001,MATCH(ROWS($V$2:V844),$V$2:$V$1001,0),1)&gt;=100000,INDEX($AC$1005:$AS$1005,1,MATCH(COLUMNS($AC$1006:AR1006),$AC$1006:$AS$1006,0))&gt;=100000), " ",IF(INDEX($AC$2:$AS$1001,MATCH(ROWS($V$2:V844),$V$2:$V$1001,0),MATCH(COLUMNS($AC$1006:AR1006),$AC$1006:$AS$1006,0)), HYPERLINK("#",""), HYPERLINK(CONCATENATE("#Metadata!", ADDRESS(INDEX($X$2:$X$1001,MATCH(ROWS($V$2:V844),$V$2:$V$1001,0),0), INDEX($AC$1004:$AS$1004,1,MATCH(COLUMNS($AC$1006:AR1006),$AC$1006:$AS$1006,0)))),"Fix")))</f>
        <v>0</v>
      </c>
      <c r="R844" s="5">
        <f>IF(OR(INDEX($W$2:$W$1001,MATCH(ROWS($V$2:V844),$V$2:$V$1001,0),1)&gt;=100000,INDEX($AC$1005:$AS$1005,1,MATCH(COLUMNS($AC$1006:AS1006),$AC$1006:$AS$1006,0))&gt;=100000), " ",IF(INDEX($AC$2:$AS$1001,MATCH(ROWS($V$2:V844),$V$2:$V$1001,0),MATCH(COLUMNS($AC$1006:AS1006),$AC$1006:$AS$1006,0)), HYPERLINK("#",""), HYPERLINK(CONCATENATE("#Metadata!", ADDRESS(INDEX($X$2:$X$1001,MATCH(ROWS($V$2:V844),$V$2:$V$1001,0),0), INDEX($AC$1004:$AS$1004,1,MATCH(COLUMNS($AC$1006:AS1006),$AC$1006:$AS$1006,0)))),"Fix")))</f>
        <v>0</v>
      </c>
      <c r="V844">
        <v>0</v>
      </c>
      <c r="W844">
        <v>0</v>
      </c>
      <c r="X844">
        <v>0</v>
      </c>
      <c r="Y844">
        <f>IF(Z844,TRUE,AND(AC844:AS844))</f>
        <v>0</v>
      </c>
      <c r="Z844">
        <f>COUNTBLANK(Metadata!B844:R844)=COLUMNS(Metadata!B844:R844)</f>
        <v>0</v>
      </c>
      <c r="AA844">
        <v>0</v>
      </c>
      <c r="AC844">
        <f>AND(IF(Metadata!B844="",FALSE,TRUE),COUNTIF(Metadata!B:B, Metadata!B844) = 1,NOT(ISERROR(SUMPRODUCT(SEARCH(MID(Metadata!B844,ROW(INDIRECT("1:"&amp;LEN(Metadata!B844))), 1),"0123456789abcdefghijklmnopqrstuvwxyzABCDEFGHIJKLMNOPQRSTUVWXYZ.")))))</f>
        <v>0</v>
      </c>
      <c r="AD844">
        <f>AND(IF(Metadata!C844="",FALSE,TRUE),exact(Metadata!C844,"Host-associated"))</f>
        <v>0</v>
      </c>
      <c r="AE844">
        <f>AND(IF(Metadata!D844="",FALSE,TRUE),OR(exact(Metadata!D844,"Animal"),exact(Metadata!D844,"Fungus"),exact(Metadata!D844,"Plant")))</f>
        <v>0</v>
      </c>
      <c r="AF844">
        <f>AND(IF(Metadata!E844="",FALSE,TRUE),OR(exact(Metadata!E844,"Plant secretion"),exact(Metadata!E844,"Plant rhizosphere"),exact(Metadata!E844,"Plant surface"),exact(Metadata!E844,"Plant corpus"),exact(Metadata!E844,"Fungus surface"),exact(Metadata!E844,"Fungus corpus"),exact(Metadata!E844,"Animal surface"),exact(Metadata!E844,"Animal proximal gut"),exact(Metadata!E844,"Animal corpus"),exact(Metadata!E844,"Animal distal gut"),exact(Metadata!E844,"Animal secretion")))</f>
        <v>0</v>
      </c>
      <c r="AG844">
        <f>OR(AND(IF(Metadata!F844="",FALSE,TRUE),OR(exact(Metadata!F844,"not collected"),exact(Metadata!F844,"not provided"),exact(Metadata!F844,"restricted access"))),AND(IF(Metadata!F844="",FALSE,TRUE),OR(exact(Metadata!F844,"organism-associated habitat"),exact(Metadata!F844,"plant-associated habitat"),exact(Metadata!F844,"animal-associated habitat"),exact(Metadata!F844,"insecta-associated habitat"),exact(Metadata!F844,"mammalia-associated habitat"),exact(Metadata!F844,"human-associated habitat"),exact(Metadata!F844,"livestock-associated habitat"))))</f>
        <v>0</v>
      </c>
      <c r="AH844">
        <f>AND(IF(Metadata!G844="",FALSE,TRUE),exact(Metadata!G844,"host-associated"))</f>
        <v>0</v>
      </c>
      <c r="AI844">
        <f>OR(AND(IF(Metadata!H844="",FALSE,TRUE),OR(exact(Metadata!H844,"not collected"),exact(Metadata!H844,"not provided"))),AND(IF(Metadata!H844="",FALSE,ISNUMBER(VALUE(Metadata!H844))),Metadata!H844&gt;0))</f>
        <v>0</v>
      </c>
      <c r="AJ844">
        <f>AND(IF(Metadata!I844="",FALSE,TRUE),exact(Metadata!I844,"years"))</f>
        <v>0</v>
      </c>
      <c r="AK844">
        <f>IF(Metadata!J844="",FALSE,TRUE)</f>
        <v>0</v>
      </c>
      <c r="AL844">
        <f>OR(AND(IF(Metadata!K844="",FALSE,TRUE),OR(exact(Metadata!K844,"not collected"),exact(Metadata!K844,"not provided"))),AND(IF(Metadata!K844="",FALSE,ISNUMBER(VALUE(Metadata!K844))),Metadata!K844&gt;0))</f>
        <v>0</v>
      </c>
      <c r="AM844">
        <f>AND(IF(Metadata!L844="",FALSE,TRUE),exact(Metadata!L844,"cm"))</f>
        <v>0</v>
      </c>
      <c r="AN844">
        <f>IF(Metadata!M844="",FALSE,TRUE)</f>
        <v>0</v>
      </c>
      <c r="AO844">
        <f>OR(AND(IF(Metadata!N844="",FALSE,TRUE),OR(exact(Metadata!N844,"not applicable"),exact(Metadata!N844,"not collected"),exact(Metadata!N844,"not provided"))),AND(IF(Metadata!N844="",FALSE,IF(ISERROR(INT(Metadata!N844)),FALSE,INT(Metadata!N844)=Metadata!N844)),Metadata!N844&gt;0))</f>
        <v>0</v>
      </c>
      <c r="AP844">
        <f>OR(AND(IF(Metadata!O844="",FALSE,TRUE),OR(exact(Metadata!O844,"not collected"),exact(Metadata!O844,"not provided"))),AND(IF(Metadata!O844="",FALSE,ISNUMBER(VALUE(Metadata!O844))),Metadata!O844&gt;0))</f>
        <v>0</v>
      </c>
      <c r="AQ844">
        <f>AND(IF(Metadata!P844="",FALSE,TRUE),exact(Metadata!P844,"kg"))</f>
        <v>0</v>
      </c>
      <c r="AR844">
        <f>OR(AND(IF(Metadata!Q844="",FALSE,TRUE),OR(exact(Metadata!Q844,"not applicable"),exact(Metadata!Q844,"not collected"),exact(Metadata!Q844,"not provided"),exact(Metadata!Q844,"restricted access"))),IF(Metadata!Q844="",FALSE,IF(ISERROR(INT(Metadata!Q844)),FALSE,INT(Metadata!Q844)=Metadata!Q844)))</f>
        <v>0</v>
      </c>
      <c r="AS844">
        <f>AND(IF(Metadata!R844="",FALSE,TRUE),exact(Metadata!R844,"Not applicable"))</f>
        <v>0</v>
      </c>
    </row>
    <row r="845" spans="1:45">
      <c r="A845" s="4">
        <f>IF(B845=" "," ",HYPERLINK(CONCATENATE("#metadata!",ADDRESS(INDEX($X$2:$X$1001,MATCH(ROWS($V$2:V845),$V$2:$V$1001,0),0),2)),INDEX($AA$2:$AA$1001,MATCH(ROWS($V$2:V845),$V$2:$V$1001,0),0)))</f>
        <v>0</v>
      </c>
      <c r="B845" s="5">
        <f>IF(OR(INDEX($W$2:$W$1001,MATCH(ROWS($V$2:V845),$V$2:$V$1001,0),1)&gt;=100000,INDEX($AC$1005:$AS$1005,1,MATCH(COLUMNS($AC$1006:AC1006),$AC$1006:$AS$1006,0))&gt;=100000), " ",IF(INDEX($AC$2:$AS$1001,MATCH(ROWS($V$2:V845),$V$2:$V$1001,0),MATCH(COLUMNS($AC$1006:AC1006),$AC$1006:$AS$1006,0)), HYPERLINK("#",""), HYPERLINK(CONCATENATE("#Metadata!", ADDRESS(INDEX($X$2:$X$1001,MATCH(ROWS($V$2:V845),$V$2:$V$1001,0),0), INDEX($AC$1004:$AS$1004,1,MATCH(COLUMNS($AC$1006:AC1006),$AC$1006:$AS$1006,0)))),"Fix")))</f>
        <v>0</v>
      </c>
      <c r="C845" s="5">
        <f>IF(OR(INDEX($W$2:$W$1001,MATCH(ROWS($V$2:V845),$V$2:$V$1001,0),1)&gt;=100000,INDEX($AC$1005:$AS$1005,1,MATCH(COLUMNS($AC$1006:AD1006),$AC$1006:$AS$1006,0))&gt;=100000), " ",IF(INDEX($AC$2:$AS$1001,MATCH(ROWS($V$2:V845),$V$2:$V$1001,0),MATCH(COLUMNS($AC$1006:AD1006),$AC$1006:$AS$1006,0)), HYPERLINK("#",""), HYPERLINK(CONCATENATE("#Metadata!", ADDRESS(INDEX($X$2:$X$1001,MATCH(ROWS($V$2:V845),$V$2:$V$1001,0),0), INDEX($AC$1004:$AS$1004,1,MATCH(COLUMNS($AC$1006:AD1006),$AC$1006:$AS$1006,0)))),"Fix")))</f>
        <v>0</v>
      </c>
      <c r="D845" s="5">
        <f>IF(OR(INDEX($W$2:$W$1001,MATCH(ROWS($V$2:V845),$V$2:$V$1001,0),1)&gt;=100000,INDEX($AC$1005:$AS$1005,1,MATCH(COLUMNS($AC$1006:AE1006),$AC$1006:$AS$1006,0))&gt;=100000), " ",IF(INDEX($AC$2:$AS$1001,MATCH(ROWS($V$2:V845),$V$2:$V$1001,0),MATCH(COLUMNS($AC$1006:AE1006),$AC$1006:$AS$1006,0)), HYPERLINK("#",""), HYPERLINK(CONCATENATE("#Metadata!", ADDRESS(INDEX($X$2:$X$1001,MATCH(ROWS($V$2:V845),$V$2:$V$1001,0),0), INDEX($AC$1004:$AS$1004,1,MATCH(COLUMNS($AC$1006:AE1006),$AC$1006:$AS$1006,0)))),"Fix")))</f>
        <v>0</v>
      </c>
      <c r="E845" s="5">
        <f>IF(OR(INDEX($W$2:$W$1001,MATCH(ROWS($V$2:V845),$V$2:$V$1001,0),1)&gt;=100000,INDEX($AC$1005:$AS$1005,1,MATCH(COLUMNS($AC$1006:AF1006),$AC$1006:$AS$1006,0))&gt;=100000), " ",IF(INDEX($AC$2:$AS$1001,MATCH(ROWS($V$2:V845),$V$2:$V$1001,0),MATCH(COLUMNS($AC$1006:AF1006),$AC$1006:$AS$1006,0)), HYPERLINK("#",""), HYPERLINK(CONCATENATE("#Metadata!", ADDRESS(INDEX($X$2:$X$1001,MATCH(ROWS($V$2:V845),$V$2:$V$1001,0),0), INDEX($AC$1004:$AS$1004,1,MATCH(COLUMNS($AC$1006:AF1006),$AC$1006:$AS$1006,0)))),"Fix")))</f>
        <v>0</v>
      </c>
      <c r="F845" s="5">
        <f>IF(OR(INDEX($W$2:$W$1001,MATCH(ROWS($V$2:V845),$V$2:$V$1001,0),1)&gt;=100000,INDEX($AC$1005:$AS$1005,1,MATCH(COLUMNS($AC$1006:AG1006),$AC$1006:$AS$1006,0))&gt;=100000), " ",IF(INDEX($AC$2:$AS$1001,MATCH(ROWS($V$2:V845),$V$2:$V$1001,0),MATCH(COLUMNS($AC$1006:AG1006),$AC$1006:$AS$1006,0)), HYPERLINK("#",""), HYPERLINK(CONCATENATE("#Metadata!", ADDRESS(INDEX($X$2:$X$1001,MATCH(ROWS($V$2:V845),$V$2:$V$1001,0),0), INDEX($AC$1004:$AS$1004,1,MATCH(COLUMNS($AC$1006:AG1006),$AC$1006:$AS$1006,0)))),"Fix")))</f>
        <v>0</v>
      </c>
      <c r="G845" s="5">
        <f>IF(OR(INDEX($W$2:$W$1001,MATCH(ROWS($V$2:V845),$V$2:$V$1001,0),1)&gt;=100000,INDEX($AC$1005:$AS$1005,1,MATCH(COLUMNS($AC$1006:AH1006),$AC$1006:$AS$1006,0))&gt;=100000), " ",IF(INDEX($AC$2:$AS$1001,MATCH(ROWS($V$2:V845),$V$2:$V$1001,0),MATCH(COLUMNS($AC$1006:AH1006),$AC$1006:$AS$1006,0)), HYPERLINK("#",""), HYPERLINK(CONCATENATE("#Metadata!", ADDRESS(INDEX($X$2:$X$1001,MATCH(ROWS($V$2:V845),$V$2:$V$1001,0),0), INDEX($AC$1004:$AS$1004,1,MATCH(COLUMNS($AC$1006:AH1006),$AC$1006:$AS$1006,0)))),"Fix")))</f>
        <v>0</v>
      </c>
      <c r="H845" s="5">
        <f>IF(OR(INDEX($W$2:$W$1001,MATCH(ROWS($V$2:V845),$V$2:$V$1001,0),1)&gt;=100000,INDEX($AC$1005:$AS$1005,1,MATCH(COLUMNS($AC$1006:AI1006),$AC$1006:$AS$1006,0))&gt;=100000), " ",IF(INDEX($AC$2:$AS$1001,MATCH(ROWS($V$2:V845),$V$2:$V$1001,0),MATCH(COLUMNS($AC$1006:AI1006),$AC$1006:$AS$1006,0)), HYPERLINK("#",""), HYPERLINK(CONCATENATE("#Metadata!", ADDRESS(INDEX($X$2:$X$1001,MATCH(ROWS($V$2:V845),$V$2:$V$1001,0),0), INDEX($AC$1004:$AS$1004,1,MATCH(COLUMNS($AC$1006:AI1006),$AC$1006:$AS$1006,0)))),"Fix")))</f>
        <v>0</v>
      </c>
      <c r="I845" s="5">
        <f>IF(OR(INDEX($W$2:$W$1001,MATCH(ROWS($V$2:V845),$V$2:$V$1001,0),1)&gt;=100000,INDEX($AC$1005:$AS$1005,1,MATCH(COLUMNS($AC$1006:AJ1006),$AC$1006:$AS$1006,0))&gt;=100000), " ",IF(INDEX($AC$2:$AS$1001,MATCH(ROWS($V$2:V845),$V$2:$V$1001,0),MATCH(COLUMNS($AC$1006:AJ1006),$AC$1006:$AS$1006,0)), HYPERLINK("#",""), HYPERLINK(CONCATENATE("#Metadata!", ADDRESS(INDEX($X$2:$X$1001,MATCH(ROWS($V$2:V845),$V$2:$V$1001,0),0), INDEX($AC$1004:$AS$1004,1,MATCH(COLUMNS($AC$1006:AJ1006),$AC$1006:$AS$1006,0)))),"Fix")))</f>
        <v>0</v>
      </c>
      <c r="J845" s="5">
        <f>IF(OR(INDEX($W$2:$W$1001,MATCH(ROWS($V$2:V845),$V$2:$V$1001,0),1)&gt;=100000,INDEX($AC$1005:$AS$1005,1,MATCH(COLUMNS($AC$1006:AK1006),$AC$1006:$AS$1006,0))&gt;=100000), " ",IF(INDEX($AC$2:$AS$1001,MATCH(ROWS($V$2:V845),$V$2:$V$1001,0),MATCH(COLUMNS($AC$1006:AK1006),$AC$1006:$AS$1006,0)), HYPERLINK("#",""), HYPERLINK(CONCATENATE("#Metadata!", ADDRESS(INDEX($X$2:$X$1001,MATCH(ROWS($V$2:V845),$V$2:$V$1001,0),0), INDEX($AC$1004:$AS$1004,1,MATCH(COLUMNS($AC$1006:AK1006),$AC$1006:$AS$1006,0)))),"Fix")))</f>
        <v>0</v>
      </c>
      <c r="K845" s="5">
        <f>IF(OR(INDEX($W$2:$W$1001,MATCH(ROWS($V$2:V845),$V$2:$V$1001,0),1)&gt;=100000,INDEX($AC$1005:$AS$1005,1,MATCH(COLUMNS($AC$1006:AL1006),$AC$1006:$AS$1006,0))&gt;=100000), " ",IF(INDEX($AC$2:$AS$1001,MATCH(ROWS($V$2:V845),$V$2:$V$1001,0),MATCH(COLUMNS($AC$1006:AL1006),$AC$1006:$AS$1006,0)), HYPERLINK("#",""), HYPERLINK(CONCATENATE("#Metadata!", ADDRESS(INDEX($X$2:$X$1001,MATCH(ROWS($V$2:V845),$V$2:$V$1001,0),0), INDEX($AC$1004:$AS$1004,1,MATCH(COLUMNS($AC$1006:AL1006),$AC$1006:$AS$1006,0)))),"Fix")))</f>
        <v>0</v>
      </c>
      <c r="L845" s="5">
        <f>IF(OR(INDEX($W$2:$W$1001,MATCH(ROWS($V$2:V845),$V$2:$V$1001,0),1)&gt;=100000,INDEX($AC$1005:$AS$1005,1,MATCH(COLUMNS($AC$1006:AM1006),$AC$1006:$AS$1006,0))&gt;=100000), " ",IF(INDEX($AC$2:$AS$1001,MATCH(ROWS($V$2:V845),$V$2:$V$1001,0),MATCH(COLUMNS($AC$1006:AM1006),$AC$1006:$AS$1006,0)), HYPERLINK("#",""), HYPERLINK(CONCATENATE("#Metadata!", ADDRESS(INDEX($X$2:$X$1001,MATCH(ROWS($V$2:V845),$V$2:$V$1001,0),0), INDEX($AC$1004:$AS$1004,1,MATCH(COLUMNS($AC$1006:AM1006),$AC$1006:$AS$1006,0)))),"Fix")))</f>
        <v>0</v>
      </c>
      <c r="M845" s="5">
        <f>IF(OR(INDEX($W$2:$W$1001,MATCH(ROWS($V$2:V845),$V$2:$V$1001,0),1)&gt;=100000,INDEX($AC$1005:$AS$1005,1,MATCH(COLUMNS($AC$1006:AN1006),$AC$1006:$AS$1006,0))&gt;=100000), " ",IF(INDEX($AC$2:$AS$1001,MATCH(ROWS($V$2:V845),$V$2:$V$1001,0),MATCH(COLUMNS($AC$1006:AN1006),$AC$1006:$AS$1006,0)), HYPERLINK("#",""), HYPERLINK(CONCATENATE("#Metadata!", ADDRESS(INDEX($X$2:$X$1001,MATCH(ROWS($V$2:V845),$V$2:$V$1001,0),0), INDEX($AC$1004:$AS$1004,1,MATCH(COLUMNS($AC$1006:AN1006),$AC$1006:$AS$1006,0)))),"Fix")))</f>
        <v>0</v>
      </c>
      <c r="N845" s="5">
        <f>IF(OR(INDEX($W$2:$W$1001,MATCH(ROWS($V$2:V845),$V$2:$V$1001,0),1)&gt;=100000,INDEX($AC$1005:$AS$1005,1,MATCH(COLUMNS($AC$1006:AO1006),$AC$1006:$AS$1006,0))&gt;=100000), " ",IF(INDEX($AC$2:$AS$1001,MATCH(ROWS($V$2:V845),$V$2:$V$1001,0),MATCH(COLUMNS($AC$1006:AO1006),$AC$1006:$AS$1006,0)), HYPERLINK("#",""), HYPERLINK(CONCATENATE("#Metadata!", ADDRESS(INDEX($X$2:$X$1001,MATCH(ROWS($V$2:V845),$V$2:$V$1001,0),0), INDEX($AC$1004:$AS$1004,1,MATCH(COLUMNS($AC$1006:AO1006),$AC$1006:$AS$1006,0)))),"Fix")))</f>
        <v>0</v>
      </c>
      <c r="O845" s="5">
        <f>IF(OR(INDEX($W$2:$W$1001,MATCH(ROWS($V$2:V845),$V$2:$V$1001,0),1)&gt;=100000,INDEX($AC$1005:$AS$1005,1,MATCH(COLUMNS($AC$1006:AP1006),$AC$1006:$AS$1006,0))&gt;=100000), " ",IF(INDEX($AC$2:$AS$1001,MATCH(ROWS($V$2:V845),$V$2:$V$1001,0),MATCH(COLUMNS($AC$1006:AP1006),$AC$1006:$AS$1006,0)), HYPERLINK("#",""), HYPERLINK(CONCATENATE("#Metadata!", ADDRESS(INDEX($X$2:$X$1001,MATCH(ROWS($V$2:V845),$V$2:$V$1001,0),0), INDEX($AC$1004:$AS$1004,1,MATCH(COLUMNS($AC$1006:AP1006),$AC$1006:$AS$1006,0)))),"Fix")))</f>
        <v>0</v>
      </c>
      <c r="P845" s="5">
        <f>IF(OR(INDEX($W$2:$W$1001,MATCH(ROWS($V$2:V845),$V$2:$V$1001,0),1)&gt;=100000,INDEX($AC$1005:$AS$1005,1,MATCH(COLUMNS($AC$1006:AQ1006),$AC$1006:$AS$1006,0))&gt;=100000), " ",IF(INDEX($AC$2:$AS$1001,MATCH(ROWS($V$2:V845),$V$2:$V$1001,0),MATCH(COLUMNS($AC$1006:AQ1006),$AC$1006:$AS$1006,0)), HYPERLINK("#",""), HYPERLINK(CONCATENATE("#Metadata!", ADDRESS(INDEX($X$2:$X$1001,MATCH(ROWS($V$2:V845),$V$2:$V$1001,0),0), INDEX($AC$1004:$AS$1004,1,MATCH(COLUMNS($AC$1006:AQ1006),$AC$1006:$AS$1006,0)))),"Fix")))</f>
        <v>0</v>
      </c>
      <c r="Q845" s="5">
        <f>IF(OR(INDEX($W$2:$W$1001,MATCH(ROWS($V$2:V845),$V$2:$V$1001,0),1)&gt;=100000,INDEX($AC$1005:$AS$1005,1,MATCH(COLUMNS($AC$1006:AR1006),$AC$1006:$AS$1006,0))&gt;=100000), " ",IF(INDEX($AC$2:$AS$1001,MATCH(ROWS($V$2:V845),$V$2:$V$1001,0),MATCH(COLUMNS($AC$1006:AR1006),$AC$1006:$AS$1006,0)), HYPERLINK("#",""), HYPERLINK(CONCATENATE("#Metadata!", ADDRESS(INDEX($X$2:$X$1001,MATCH(ROWS($V$2:V845),$V$2:$V$1001,0),0), INDEX($AC$1004:$AS$1004,1,MATCH(COLUMNS($AC$1006:AR1006),$AC$1006:$AS$1006,0)))),"Fix")))</f>
        <v>0</v>
      </c>
      <c r="R845" s="5">
        <f>IF(OR(INDEX($W$2:$W$1001,MATCH(ROWS($V$2:V845),$V$2:$V$1001,0),1)&gt;=100000,INDEX($AC$1005:$AS$1005,1,MATCH(COLUMNS($AC$1006:AS1006),$AC$1006:$AS$1006,0))&gt;=100000), " ",IF(INDEX($AC$2:$AS$1001,MATCH(ROWS($V$2:V845),$V$2:$V$1001,0),MATCH(COLUMNS($AC$1006:AS1006),$AC$1006:$AS$1006,0)), HYPERLINK("#",""), HYPERLINK(CONCATENATE("#Metadata!", ADDRESS(INDEX($X$2:$X$1001,MATCH(ROWS($V$2:V845),$V$2:$V$1001,0),0), INDEX($AC$1004:$AS$1004,1,MATCH(COLUMNS($AC$1006:AS1006),$AC$1006:$AS$1006,0)))),"Fix")))</f>
        <v>0</v>
      </c>
      <c r="V845">
        <v>0</v>
      </c>
      <c r="W845">
        <v>0</v>
      </c>
      <c r="X845">
        <v>0</v>
      </c>
      <c r="Y845">
        <f>IF(Z845,TRUE,AND(AC845:AS845))</f>
        <v>0</v>
      </c>
      <c r="Z845">
        <f>COUNTBLANK(Metadata!B845:R845)=COLUMNS(Metadata!B845:R845)</f>
        <v>0</v>
      </c>
      <c r="AA845">
        <v>0</v>
      </c>
      <c r="AC845">
        <f>AND(IF(Metadata!B845="",FALSE,TRUE),COUNTIF(Metadata!B:B, Metadata!B845) = 1,NOT(ISERROR(SUMPRODUCT(SEARCH(MID(Metadata!B845,ROW(INDIRECT("1:"&amp;LEN(Metadata!B845))), 1),"0123456789abcdefghijklmnopqrstuvwxyzABCDEFGHIJKLMNOPQRSTUVWXYZ.")))))</f>
        <v>0</v>
      </c>
      <c r="AD845">
        <f>AND(IF(Metadata!C845="",FALSE,TRUE),exact(Metadata!C845,"Host-associated"))</f>
        <v>0</v>
      </c>
      <c r="AE845">
        <f>AND(IF(Metadata!D845="",FALSE,TRUE),OR(exact(Metadata!D845,"Animal"),exact(Metadata!D845,"Fungus"),exact(Metadata!D845,"Plant")))</f>
        <v>0</v>
      </c>
      <c r="AF845">
        <f>AND(IF(Metadata!E845="",FALSE,TRUE),OR(exact(Metadata!E845,"Plant secretion"),exact(Metadata!E845,"Plant rhizosphere"),exact(Metadata!E845,"Plant surface"),exact(Metadata!E845,"Plant corpus"),exact(Metadata!E845,"Fungus surface"),exact(Metadata!E845,"Fungus corpus"),exact(Metadata!E845,"Animal surface"),exact(Metadata!E845,"Animal proximal gut"),exact(Metadata!E845,"Animal corpus"),exact(Metadata!E845,"Animal distal gut"),exact(Metadata!E845,"Animal secretion")))</f>
        <v>0</v>
      </c>
      <c r="AG845">
        <f>OR(AND(IF(Metadata!F845="",FALSE,TRUE),OR(exact(Metadata!F845,"not collected"),exact(Metadata!F845,"not provided"),exact(Metadata!F845,"restricted access"))),AND(IF(Metadata!F845="",FALSE,TRUE),OR(exact(Metadata!F845,"organism-associated habitat"),exact(Metadata!F845,"plant-associated habitat"),exact(Metadata!F845,"animal-associated habitat"),exact(Metadata!F845,"insecta-associated habitat"),exact(Metadata!F845,"mammalia-associated habitat"),exact(Metadata!F845,"human-associated habitat"),exact(Metadata!F845,"livestock-associated habitat"))))</f>
        <v>0</v>
      </c>
      <c r="AH845">
        <f>AND(IF(Metadata!G845="",FALSE,TRUE),exact(Metadata!G845,"host-associated"))</f>
        <v>0</v>
      </c>
      <c r="AI845">
        <f>OR(AND(IF(Metadata!H845="",FALSE,TRUE),OR(exact(Metadata!H845,"not collected"),exact(Metadata!H845,"not provided"))),AND(IF(Metadata!H845="",FALSE,ISNUMBER(VALUE(Metadata!H845))),Metadata!H845&gt;0))</f>
        <v>0</v>
      </c>
      <c r="AJ845">
        <f>AND(IF(Metadata!I845="",FALSE,TRUE),exact(Metadata!I845,"years"))</f>
        <v>0</v>
      </c>
      <c r="AK845">
        <f>IF(Metadata!J845="",FALSE,TRUE)</f>
        <v>0</v>
      </c>
      <c r="AL845">
        <f>OR(AND(IF(Metadata!K845="",FALSE,TRUE),OR(exact(Metadata!K845,"not collected"),exact(Metadata!K845,"not provided"))),AND(IF(Metadata!K845="",FALSE,ISNUMBER(VALUE(Metadata!K845))),Metadata!K845&gt;0))</f>
        <v>0</v>
      </c>
      <c r="AM845">
        <f>AND(IF(Metadata!L845="",FALSE,TRUE),exact(Metadata!L845,"cm"))</f>
        <v>0</v>
      </c>
      <c r="AN845">
        <f>IF(Metadata!M845="",FALSE,TRUE)</f>
        <v>0</v>
      </c>
      <c r="AO845">
        <f>OR(AND(IF(Metadata!N845="",FALSE,TRUE),OR(exact(Metadata!N845,"not applicable"),exact(Metadata!N845,"not collected"),exact(Metadata!N845,"not provided"))),AND(IF(Metadata!N845="",FALSE,IF(ISERROR(INT(Metadata!N845)),FALSE,INT(Metadata!N845)=Metadata!N845)),Metadata!N845&gt;0))</f>
        <v>0</v>
      </c>
      <c r="AP845">
        <f>OR(AND(IF(Metadata!O845="",FALSE,TRUE),OR(exact(Metadata!O845,"not collected"),exact(Metadata!O845,"not provided"))),AND(IF(Metadata!O845="",FALSE,ISNUMBER(VALUE(Metadata!O845))),Metadata!O845&gt;0))</f>
        <v>0</v>
      </c>
      <c r="AQ845">
        <f>AND(IF(Metadata!P845="",FALSE,TRUE),exact(Metadata!P845,"kg"))</f>
        <v>0</v>
      </c>
      <c r="AR845">
        <f>OR(AND(IF(Metadata!Q845="",FALSE,TRUE),OR(exact(Metadata!Q845,"not applicable"),exact(Metadata!Q845,"not collected"),exact(Metadata!Q845,"not provided"),exact(Metadata!Q845,"restricted access"))),IF(Metadata!Q845="",FALSE,IF(ISERROR(INT(Metadata!Q845)),FALSE,INT(Metadata!Q845)=Metadata!Q845)))</f>
        <v>0</v>
      </c>
      <c r="AS845">
        <f>AND(IF(Metadata!R845="",FALSE,TRUE),exact(Metadata!R845,"Not applicable"))</f>
        <v>0</v>
      </c>
    </row>
    <row r="846" spans="1:45">
      <c r="A846" s="4">
        <f>IF(B846=" "," ",HYPERLINK(CONCATENATE("#metadata!",ADDRESS(INDEX($X$2:$X$1001,MATCH(ROWS($V$2:V846),$V$2:$V$1001,0),0),2)),INDEX($AA$2:$AA$1001,MATCH(ROWS($V$2:V846),$V$2:$V$1001,0),0)))</f>
        <v>0</v>
      </c>
      <c r="B846" s="5">
        <f>IF(OR(INDEX($W$2:$W$1001,MATCH(ROWS($V$2:V846),$V$2:$V$1001,0),1)&gt;=100000,INDEX($AC$1005:$AS$1005,1,MATCH(COLUMNS($AC$1006:AC1006),$AC$1006:$AS$1006,0))&gt;=100000), " ",IF(INDEX($AC$2:$AS$1001,MATCH(ROWS($V$2:V846),$V$2:$V$1001,0),MATCH(COLUMNS($AC$1006:AC1006),$AC$1006:$AS$1006,0)), HYPERLINK("#",""), HYPERLINK(CONCATENATE("#Metadata!", ADDRESS(INDEX($X$2:$X$1001,MATCH(ROWS($V$2:V846),$V$2:$V$1001,0),0), INDEX($AC$1004:$AS$1004,1,MATCH(COLUMNS($AC$1006:AC1006),$AC$1006:$AS$1006,0)))),"Fix")))</f>
        <v>0</v>
      </c>
      <c r="C846" s="5">
        <f>IF(OR(INDEX($W$2:$W$1001,MATCH(ROWS($V$2:V846),$V$2:$V$1001,0),1)&gt;=100000,INDEX($AC$1005:$AS$1005,1,MATCH(COLUMNS($AC$1006:AD1006),$AC$1006:$AS$1006,0))&gt;=100000), " ",IF(INDEX($AC$2:$AS$1001,MATCH(ROWS($V$2:V846),$V$2:$V$1001,0),MATCH(COLUMNS($AC$1006:AD1006),$AC$1006:$AS$1006,0)), HYPERLINK("#",""), HYPERLINK(CONCATENATE("#Metadata!", ADDRESS(INDEX($X$2:$X$1001,MATCH(ROWS($V$2:V846),$V$2:$V$1001,0),0), INDEX($AC$1004:$AS$1004,1,MATCH(COLUMNS($AC$1006:AD1006),$AC$1006:$AS$1006,0)))),"Fix")))</f>
        <v>0</v>
      </c>
      <c r="D846" s="5">
        <f>IF(OR(INDEX($W$2:$W$1001,MATCH(ROWS($V$2:V846),$V$2:$V$1001,0),1)&gt;=100000,INDEX($AC$1005:$AS$1005,1,MATCH(COLUMNS($AC$1006:AE1006),$AC$1006:$AS$1006,0))&gt;=100000), " ",IF(INDEX($AC$2:$AS$1001,MATCH(ROWS($V$2:V846),$V$2:$V$1001,0),MATCH(COLUMNS($AC$1006:AE1006),$AC$1006:$AS$1006,0)), HYPERLINK("#",""), HYPERLINK(CONCATENATE("#Metadata!", ADDRESS(INDEX($X$2:$X$1001,MATCH(ROWS($V$2:V846),$V$2:$V$1001,0),0), INDEX($AC$1004:$AS$1004,1,MATCH(COLUMNS($AC$1006:AE1006),$AC$1006:$AS$1006,0)))),"Fix")))</f>
        <v>0</v>
      </c>
      <c r="E846" s="5">
        <f>IF(OR(INDEX($W$2:$W$1001,MATCH(ROWS($V$2:V846),$V$2:$V$1001,0),1)&gt;=100000,INDEX($AC$1005:$AS$1005,1,MATCH(COLUMNS($AC$1006:AF1006),$AC$1006:$AS$1006,0))&gt;=100000), " ",IF(INDEX($AC$2:$AS$1001,MATCH(ROWS($V$2:V846),$V$2:$V$1001,0),MATCH(COLUMNS($AC$1006:AF1006),$AC$1006:$AS$1006,0)), HYPERLINK("#",""), HYPERLINK(CONCATENATE("#Metadata!", ADDRESS(INDEX($X$2:$X$1001,MATCH(ROWS($V$2:V846),$V$2:$V$1001,0),0), INDEX($AC$1004:$AS$1004,1,MATCH(COLUMNS($AC$1006:AF1006),$AC$1006:$AS$1006,0)))),"Fix")))</f>
        <v>0</v>
      </c>
      <c r="F846" s="5">
        <f>IF(OR(INDEX($W$2:$W$1001,MATCH(ROWS($V$2:V846),$V$2:$V$1001,0),1)&gt;=100000,INDEX($AC$1005:$AS$1005,1,MATCH(COLUMNS($AC$1006:AG1006),$AC$1006:$AS$1006,0))&gt;=100000), " ",IF(INDEX($AC$2:$AS$1001,MATCH(ROWS($V$2:V846),$V$2:$V$1001,0),MATCH(COLUMNS($AC$1006:AG1006),$AC$1006:$AS$1006,0)), HYPERLINK("#",""), HYPERLINK(CONCATENATE("#Metadata!", ADDRESS(INDEX($X$2:$X$1001,MATCH(ROWS($V$2:V846),$V$2:$V$1001,0),0), INDEX($AC$1004:$AS$1004,1,MATCH(COLUMNS($AC$1006:AG1006),$AC$1006:$AS$1006,0)))),"Fix")))</f>
        <v>0</v>
      </c>
      <c r="G846" s="5">
        <f>IF(OR(INDEX($W$2:$W$1001,MATCH(ROWS($V$2:V846),$V$2:$V$1001,0),1)&gt;=100000,INDEX($AC$1005:$AS$1005,1,MATCH(COLUMNS($AC$1006:AH1006),$AC$1006:$AS$1006,0))&gt;=100000), " ",IF(INDEX($AC$2:$AS$1001,MATCH(ROWS($V$2:V846),$V$2:$V$1001,0),MATCH(COLUMNS($AC$1006:AH1006),$AC$1006:$AS$1006,0)), HYPERLINK("#",""), HYPERLINK(CONCATENATE("#Metadata!", ADDRESS(INDEX($X$2:$X$1001,MATCH(ROWS($V$2:V846),$V$2:$V$1001,0),0), INDEX($AC$1004:$AS$1004,1,MATCH(COLUMNS($AC$1006:AH1006),$AC$1006:$AS$1006,0)))),"Fix")))</f>
        <v>0</v>
      </c>
      <c r="H846" s="5">
        <f>IF(OR(INDEX($W$2:$W$1001,MATCH(ROWS($V$2:V846),$V$2:$V$1001,0),1)&gt;=100000,INDEX($AC$1005:$AS$1005,1,MATCH(COLUMNS($AC$1006:AI1006),$AC$1006:$AS$1006,0))&gt;=100000), " ",IF(INDEX($AC$2:$AS$1001,MATCH(ROWS($V$2:V846),$V$2:$V$1001,0),MATCH(COLUMNS($AC$1006:AI1006),$AC$1006:$AS$1006,0)), HYPERLINK("#",""), HYPERLINK(CONCATENATE("#Metadata!", ADDRESS(INDEX($X$2:$X$1001,MATCH(ROWS($V$2:V846),$V$2:$V$1001,0),0), INDEX($AC$1004:$AS$1004,1,MATCH(COLUMNS($AC$1006:AI1006),$AC$1006:$AS$1006,0)))),"Fix")))</f>
        <v>0</v>
      </c>
      <c r="I846" s="5">
        <f>IF(OR(INDEX($W$2:$W$1001,MATCH(ROWS($V$2:V846),$V$2:$V$1001,0),1)&gt;=100000,INDEX($AC$1005:$AS$1005,1,MATCH(COLUMNS($AC$1006:AJ1006),$AC$1006:$AS$1006,0))&gt;=100000), " ",IF(INDEX($AC$2:$AS$1001,MATCH(ROWS($V$2:V846),$V$2:$V$1001,0),MATCH(COLUMNS($AC$1006:AJ1006),$AC$1006:$AS$1006,0)), HYPERLINK("#",""), HYPERLINK(CONCATENATE("#Metadata!", ADDRESS(INDEX($X$2:$X$1001,MATCH(ROWS($V$2:V846),$V$2:$V$1001,0),0), INDEX($AC$1004:$AS$1004,1,MATCH(COLUMNS($AC$1006:AJ1006),$AC$1006:$AS$1006,0)))),"Fix")))</f>
        <v>0</v>
      </c>
      <c r="J846" s="5">
        <f>IF(OR(INDEX($W$2:$W$1001,MATCH(ROWS($V$2:V846),$V$2:$V$1001,0),1)&gt;=100000,INDEX($AC$1005:$AS$1005,1,MATCH(COLUMNS($AC$1006:AK1006),$AC$1006:$AS$1006,0))&gt;=100000), " ",IF(INDEX($AC$2:$AS$1001,MATCH(ROWS($V$2:V846),$V$2:$V$1001,0),MATCH(COLUMNS($AC$1006:AK1006),$AC$1006:$AS$1006,0)), HYPERLINK("#",""), HYPERLINK(CONCATENATE("#Metadata!", ADDRESS(INDEX($X$2:$X$1001,MATCH(ROWS($V$2:V846),$V$2:$V$1001,0),0), INDEX($AC$1004:$AS$1004,1,MATCH(COLUMNS($AC$1006:AK1006),$AC$1006:$AS$1006,0)))),"Fix")))</f>
        <v>0</v>
      </c>
      <c r="K846" s="5">
        <f>IF(OR(INDEX($W$2:$W$1001,MATCH(ROWS($V$2:V846),$V$2:$V$1001,0),1)&gt;=100000,INDEX($AC$1005:$AS$1005,1,MATCH(COLUMNS($AC$1006:AL1006),$AC$1006:$AS$1006,0))&gt;=100000), " ",IF(INDEX($AC$2:$AS$1001,MATCH(ROWS($V$2:V846),$V$2:$V$1001,0),MATCH(COLUMNS($AC$1006:AL1006),$AC$1006:$AS$1006,0)), HYPERLINK("#",""), HYPERLINK(CONCATENATE("#Metadata!", ADDRESS(INDEX($X$2:$X$1001,MATCH(ROWS($V$2:V846),$V$2:$V$1001,0),0), INDEX($AC$1004:$AS$1004,1,MATCH(COLUMNS($AC$1006:AL1006),$AC$1006:$AS$1006,0)))),"Fix")))</f>
        <v>0</v>
      </c>
      <c r="L846" s="5">
        <f>IF(OR(INDEX($W$2:$W$1001,MATCH(ROWS($V$2:V846),$V$2:$V$1001,0),1)&gt;=100000,INDEX($AC$1005:$AS$1005,1,MATCH(COLUMNS($AC$1006:AM1006),$AC$1006:$AS$1006,0))&gt;=100000), " ",IF(INDEX($AC$2:$AS$1001,MATCH(ROWS($V$2:V846),$V$2:$V$1001,0),MATCH(COLUMNS($AC$1006:AM1006),$AC$1006:$AS$1006,0)), HYPERLINK("#",""), HYPERLINK(CONCATENATE("#Metadata!", ADDRESS(INDEX($X$2:$X$1001,MATCH(ROWS($V$2:V846),$V$2:$V$1001,0),0), INDEX($AC$1004:$AS$1004,1,MATCH(COLUMNS($AC$1006:AM1006),$AC$1006:$AS$1006,0)))),"Fix")))</f>
        <v>0</v>
      </c>
      <c r="M846" s="5">
        <f>IF(OR(INDEX($W$2:$W$1001,MATCH(ROWS($V$2:V846),$V$2:$V$1001,0),1)&gt;=100000,INDEX($AC$1005:$AS$1005,1,MATCH(COLUMNS($AC$1006:AN1006),$AC$1006:$AS$1006,0))&gt;=100000), " ",IF(INDEX($AC$2:$AS$1001,MATCH(ROWS($V$2:V846),$V$2:$V$1001,0),MATCH(COLUMNS($AC$1006:AN1006),$AC$1006:$AS$1006,0)), HYPERLINK("#",""), HYPERLINK(CONCATENATE("#Metadata!", ADDRESS(INDEX($X$2:$X$1001,MATCH(ROWS($V$2:V846),$V$2:$V$1001,0),0), INDEX($AC$1004:$AS$1004,1,MATCH(COLUMNS($AC$1006:AN1006),$AC$1006:$AS$1006,0)))),"Fix")))</f>
        <v>0</v>
      </c>
      <c r="N846" s="5">
        <f>IF(OR(INDEX($W$2:$W$1001,MATCH(ROWS($V$2:V846),$V$2:$V$1001,0),1)&gt;=100000,INDEX($AC$1005:$AS$1005,1,MATCH(COLUMNS($AC$1006:AO1006),$AC$1006:$AS$1006,0))&gt;=100000), " ",IF(INDEX($AC$2:$AS$1001,MATCH(ROWS($V$2:V846),$V$2:$V$1001,0),MATCH(COLUMNS($AC$1006:AO1006),$AC$1006:$AS$1006,0)), HYPERLINK("#",""), HYPERLINK(CONCATENATE("#Metadata!", ADDRESS(INDEX($X$2:$X$1001,MATCH(ROWS($V$2:V846),$V$2:$V$1001,0),0), INDEX($AC$1004:$AS$1004,1,MATCH(COLUMNS($AC$1006:AO1006),$AC$1006:$AS$1006,0)))),"Fix")))</f>
        <v>0</v>
      </c>
      <c r="O846" s="5">
        <f>IF(OR(INDEX($W$2:$W$1001,MATCH(ROWS($V$2:V846),$V$2:$V$1001,0),1)&gt;=100000,INDEX($AC$1005:$AS$1005,1,MATCH(COLUMNS($AC$1006:AP1006),$AC$1006:$AS$1006,0))&gt;=100000), " ",IF(INDEX($AC$2:$AS$1001,MATCH(ROWS($V$2:V846),$V$2:$V$1001,0),MATCH(COLUMNS($AC$1006:AP1006),$AC$1006:$AS$1006,0)), HYPERLINK("#",""), HYPERLINK(CONCATENATE("#Metadata!", ADDRESS(INDEX($X$2:$X$1001,MATCH(ROWS($V$2:V846),$V$2:$V$1001,0),0), INDEX($AC$1004:$AS$1004,1,MATCH(COLUMNS($AC$1006:AP1006),$AC$1006:$AS$1006,0)))),"Fix")))</f>
        <v>0</v>
      </c>
      <c r="P846" s="5">
        <f>IF(OR(INDEX($W$2:$W$1001,MATCH(ROWS($V$2:V846),$V$2:$V$1001,0),1)&gt;=100000,INDEX($AC$1005:$AS$1005,1,MATCH(COLUMNS($AC$1006:AQ1006),$AC$1006:$AS$1006,0))&gt;=100000), " ",IF(INDEX($AC$2:$AS$1001,MATCH(ROWS($V$2:V846),$V$2:$V$1001,0),MATCH(COLUMNS($AC$1006:AQ1006),$AC$1006:$AS$1006,0)), HYPERLINK("#",""), HYPERLINK(CONCATENATE("#Metadata!", ADDRESS(INDEX($X$2:$X$1001,MATCH(ROWS($V$2:V846),$V$2:$V$1001,0),0), INDEX($AC$1004:$AS$1004,1,MATCH(COLUMNS($AC$1006:AQ1006),$AC$1006:$AS$1006,0)))),"Fix")))</f>
        <v>0</v>
      </c>
      <c r="Q846" s="5">
        <f>IF(OR(INDEX($W$2:$W$1001,MATCH(ROWS($V$2:V846),$V$2:$V$1001,0),1)&gt;=100000,INDEX($AC$1005:$AS$1005,1,MATCH(COLUMNS($AC$1006:AR1006),$AC$1006:$AS$1006,0))&gt;=100000), " ",IF(INDEX($AC$2:$AS$1001,MATCH(ROWS($V$2:V846),$V$2:$V$1001,0),MATCH(COLUMNS($AC$1006:AR1006),$AC$1006:$AS$1006,0)), HYPERLINK("#",""), HYPERLINK(CONCATENATE("#Metadata!", ADDRESS(INDEX($X$2:$X$1001,MATCH(ROWS($V$2:V846),$V$2:$V$1001,0),0), INDEX($AC$1004:$AS$1004,1,MATCH(COLUMNS($AC$1006:AR1006),$AC$1006:$AS$1006,0)))),"Fix")))</f>
        <v>0</v>
      </c>
      <c r="R846" s="5">
        <f>IF(OR(INDEX($W$2:$W$1001,MATCH(ROWS($V$2:V846),$V$2:$V$1001,0),1)&gt;=100000,INDEX($AC$1005:$AS$1005,1,MATCH(COLUMNS($AC$1006:AS1006),$AC$1006:$AS$1006,0))&gt;=100000), " ",IF(INDEX($AC$2:$AS$1001,MATCH(ROWS($V$2:V846),$V$2:$V$1001,0),MATCH(COLUMNS($AC$1006:AS1006),$AC$1006:$AS$1006,0)), HYPERLINK("#",""), HYPERLINK(CONCATENATE("#Metadata!", ADDRESS(INDEX($X$2:$X$1001,MATCH(ROWS($V$2:V846),$V$2:$V$1001,0),0), INDEX($AC$1004:$AS$1004,1,MATCH(COLUMNS($AC$1006:AS1006),$AC$1006:$AS$1006,0)))),"Fix")))</f>
        <v>0</v>
      </c>
      <c r="V846">
        <v>0</v>
      </c>
      <c r="W846">
        <v>0</v>
      </c>
      <c r="X846">
        <v>0</v>
      </c>
      <c r="Y846">
        <f>IF(Z846,TRUE,AND(AC846:AS846))</f>
        <v>0</v>
      </c>
      <c r="Z846">
        <f>COUNTBLANK(Metadata!B846:R846)=COLUMNS(Metadata!B846:R846)</f>
        <v>0</v>
      </c>
      <c r="AA846">
        <v>0</v>
      </c>
      <c r="AC846">
        <f>AND(IF(Metadata!B846="",FALSE,TRUE),COUNTIF(Metadata!B:B, Metadata!B846) = 1,NOT(ISERROR(SUMPRODUCT(SEARCH(MID(Metadata!B846,ROW(INDIRECT("1:"&amp;LEN(Metadata!B846))), 1),"0123456789abcdefghijklmnopqrstuvwxyzABCDEFGHIJKLMNOPQRSTUVWXYZ.")))))</f>
        <v>0</v>
      </c>
      <c r="AD846">
        <f>AND(IF(Metadata!C846="",FALSE,TRUE),exact(Metadata!C846,"Host-associated"))</f>
        <v>0</v>
      </c>
      <c r="AE846">
        <f>AND(IF(Metadata!D846="",FALSE,TRUE),OR(exact(Metadata!D846,"Animal"),exact(Metadata!D846,"Fungus"),exact(Metadata!D846,"Plant")))</f>
        <v>0</v>
      </c>
      <c r="AF846">
        <f>AND(IF(Metadata!E846="",FALSE,TRUE),OR(exact(Metadata!E846,"Plant secretion"),exact(Metadata!E846,"Plant rhizosphere"),exact(Metadata!E846,"Plant surface"),exact(Metadata!E846,"Plant corpus"),exact(Metadata!E846,"Fungus surface"),exact(Metadata!E846,"Fungus corpus"),exact(Metadata!E846,"Animal surface"),exact(Metadata!E846,"Animal proximal gut"),exact(Metadata!E846,"Animal corpus"),exact(Metadata!E846,"Animal distal gut"),exact(Metadata!E846,"Animal secretion")))</f>
        <v>0</v>
      </c>
      <c r="AG846">
        <f>OR(AND(IF(Metadata!F846="",FALSE,TRUE),OR(exact(Metadata!F846,"not collected"),exact(Metadata!F846,"not provided"),exact(Metadata!F846,"restricted access"))),AND(IF(Metadata!F846="",FALSE,TRUE),OR(exact(Metadata!F846,"organism-associated habitat"),exact(Metadata!F846,"plant-associated habitat"),exact(Metadata!F846,"animal-associated habitat"),exact(Metadata!F846,"insecta-associated habitat"),exact(Metadata!F846,"mammalia-associated habitat"),exact(Metadata!F846,"human-associated habitat"),exact(Metadata!F846,"livestock-associated habitat"))))</f>
        <v>0</v>
      </c>
      <c r="AH846">
        <f>AND(IF(Metadata!G846="",FALSE,TRUE),exact(Metadata!G846,"host-associated"))</f>
        <v>0</v>
      </c>
      <c r="AI846">
        <f>OR(AND(IF(Metadata!H846="",FALSE,TRUE),OR(exact(Metadata!H846,"not collected"),exact(Metadata!H846,"not provided"))),AND(IF(Metadata!H846="",FALSE,ISNUMBER(VALUE(Metadata!H846))),Metadata!H846&gt;0))</f>
        <v>0</v>
      </c>
      <c r="AJ846">
        <f>AND(IF(Metadata!I846="",FALSE,TRUE),exact(Metadata!I846,"years"))</f>
        <v>0</v>
      </c>
      <c r="AK846">
        <f>IF(Metadata!J846="",FALSE,TRUE)</f>
        <v>0</v>
      </c>
      <c r="AL846">
        <f>OR(AND(IF(Metadata!K846="",FALSE,TRUE),OR(exact(Metadata!K846,"not collected"),exact(Metadata!K846,"not provided"))),AND(IF(Metadata!K846="",FALSE,ISNUMBER(VALUE(Metadata!K846))),Metadata!K846&gt;0))</f>
        <v>0</v>
      </c>
      <c r="AM846">
        <f>AND(IF(Metadata!L846="",FALSE,TRUE),exact(Metadata!L846,"cm"))</f>
        <v>0</v>
      </c>
      <c r="AN846">
        <f>IF(Metadata!M846="",FALSE,TRUE)</f>
        <v>0</v>
      </c>
      <c r="AO846">
        <f>OR(AND(IF(Metadata!N846="",FALSE,TRUE),OR(exact(Metadata!N846,"not applicable"),exact(Metadata!N846,"not collected"),exact(Metadata!N846,"not provided"))),AND(IF(Metadata!N846="",FALSE,IF(ISERROR(INT(Metadata!N846)),FALSE,INT(Metadata!N846)=Metadata!N846)),Metadata!N846&gt;0))</f>
        <v>0</v>
      </c>
      <c r="AP846">
        <f>OR(AND(IF(Metadata!O846="",FALSE,TRUE),OR(exact(Metadata!O846,"not collected"),exact(Metadata!O846,"not provided"))),AND(IF(Metadata!O846="",FALSE,ISNUMBER(VALUE(Metadata!O846))),Metadata!O846&gt;0))</f>
        <v>0</v>
      </c>
      <c r="AQ846">
        <f>AND(IF(Metadata!P846="",FALSE,TRUE),exact(Metadata!P846,"kg"))</f>
        <v>0</v>
      </c>
      <c r="AR846">
        <f>OR(AND(IF(Metadata!Q846="",FALSE,TRUE),OR(exact(Metadata!Q846,"not applicable"),exact(Metadata!Q846,"not collected"),exact(Metadata!Q846,"not provided"),exact(Metadata!Q846,"restricted access"))),IF(Metadata!Q846="",FALSE,IF(ISERROR(INT(Metadata!Q846)),FALSE,INT(Metadata!Q846)=Metadata!Q846)))</f>
        <v>0</v>
      </c>
      <c r="AS846">
        <f>AND(IF(Metadata!R846="",FALSE,TRUE),exact(Metadata!R846,"Not applicable"))</f>
        <v>0</v>
      </c>
    </row>
    <row r="847" spans="1:45">
      <c r="A847" s="4">
        <f>IF(B847=" "," ",HYPERLINK(CONCATENATE("#metadata!",ADDRESS(INDEX($X$2:$X$1001,MATCH(ROWS($V$2:V847),$V$2:$V$1001,0),0),2)),INDEX($AA$2:$AA$1001,MATCH(ROWS($V$2:V847),$V$2:$V$1001,0),0)))</f>
        <v>0</v>
      </c>
      <c r="B847" s="5">
        <f>IF(OR(INDEX($W$2:$W$1001,MATCH(ROWS($V$2:V847),$V$2:$V$1001,0),1)&gt;=100000,INDEX($AC$1005:$AS$1005,1,MATCH(COLUMNS($AC$1006:AC1006),$AC$1006:$AS$1006,0))&gt;=100000), " ",IF(INDEX($AC$2:$AS$1001,MATCH(ROWS($V$2:V847),$V$2:$V$1001,0),MATCH(COLUMNS($AC$1006:AC1006),$AC$1006:$AS$1006,0)), HYPERLINK("#",""), HYPERLINK(CONCATENATE("#Metadata!", ADDRESS(INDEX($X$2:$X$1001,MATCH(ROWS($V$2:V847),$V$2:$V$1001,0),0), INDEX($AC$1004:$AS$1004,1,MATCH(COLUMNS($AC$1006:AC1006),$AC$1006:$AS$1006,0)))),"Fix")))</f>
        <v>0</v>
      </c>
      <c r="C847" s="5">
        <f>IF(OR(INDEX($W$2:$W$1001,MATCH(ROWS($V$2:V847),$V$2:$V$1001,0),1)&gt;=100000,INDEX($AC$1005:$AS$1005,1,MATCH(COLUMNS($AC$1006:AD1006),$AC$1006:$AS$1006,0))&gt;=100000), " ",IF(INDEX($AC$2:$AS$1001,MATCH(ROWS($V$2:V847),$V$2:$V$1001,0),MATCH(COLUMNS($AC$1006:AD1006),$AC$1006:$AS$1006,0)), HYPERLINK("#",""), HYPERLINK(CONCATENATE("#Metadata!", ADDRESS(INDEX($X$2:$X$1001,MATCH(ROWS($V$2:V847),$V$2:$V$1001,0),0), INDEX($AC$1004:$AS$1004,1,MATCH(COLUMNS($AC$1006:AD1006),$AC$1006:$AS$1006,0)))),"Fix")))</f>
        <v>0</v>
      </c>
      <c r="D847" s="5">
        <f>IF(OR(INDEX($W$2:$W$1001,MATCH(ROWS($V$2:V847),$V$2:$V$1001,0),1)&gt;=100000,INDEX($AC$1005:$AS$1005,1,MATCH(COLUMNS($AC$1006:AE1006),$AC$1006:$AS$1006,0))&gt;=100000), " ",IF(INDEX($AC$2:$AS$1001,MATCH(ROWS($V$2:V847),$V$2:$V$1001,0),MATCH(COLUMNS($AC$1006:AE1006),$AC$1006:$AS$1006,0)), HYPERLINK("#",""), HYPERLINK(CONCATENATE("#Metadata!", ADDRESS(INDEX($X$2:$X$1001,MATCH(ROWS($V$2:V847),$V$2:$V$1001,0),0), INDEX($AC$1004:$AS$1004,1,MATCH(COLUMNS($AC$1006:AE1006),$AC$1006:$AS$1006,0)))),"Fix")))</f>
        <v>0</v>
      </c>
      <c r="E847" s="5">
        <f>IF(OR(INDEX($W$2:$W$1001,MATCH(ROWS($V$2:V847),$V$2:$V$1001,0),1)&gt;=100000,INDEX($AC$1005:$AS$1005,1,MATCH(COLUMNS($AC$1006:AF1006),$AC$1006:$AS$1006,0))&gt;=100000), " ",IF(INDEX($AC$2:$AS$1001,MATCH(ROWS($V$2:V847),$V$2:$V$1001,0),MATCH(COLUMNS($AC$1006:AF1006),$AC$1006:$AS$1006,0)), HYPERLINK("#",""), HYPERLINK(CONCATENATE("#Metadata!", ADDRESS(INDEX($X$2:$X$1001,MATCH(ROWS($V$2:V847),$V$2:$V$1001,0),0), INDEX($AC$1004:$AS$1004,1,MATCH(COLUMNS($AC$1006:AF1006),$AC$1006:$AS$1006,0)))),"Fix")))</f>
        <v>0</v>
      </c>
      <c r="F847" s="5">
        <f>IF(OR(INDEX($W$2:$W$1001,MATCH(ROWS($V$2:V847),$V$2:$V$1001,0),1)&gt;=100000,INDEX($AC$1005:$AS$1005,1,MATCH(COLUMNS($AC$1006:AG1006),$AC$1006:$AS$1006,0))&gt;=100000), " ",IF(INDEX($AC$2:$AS$1001,MATCH(ROWS($V$2:V847),$V$2:$V$1001,0),MATCH(COLUMNS($AC$1006:AG1006),$AC$1006:$AS$1006,0)), HYPERLINK("#",""), HYPERLINK(CONCATENATE("#Metadata!", ADDRESS(INDEX($X$2:$X$1001,MATCH(ROWS($V$2:V847),$V$2:$V$1001,0),0), INDEX($AC$1004:$AS$1004,1,MATCH(COLUMNS($AC$1006:AG1006),$AC$1006:$AS$1006,0)))),"Fix")))</f>
        <v>0</v>
      </c>
      <c r="G847" s="5">
        <f>IF(OR(INDEX($W$2:$W$1001,MATCH(ROWS($V$2:V847),$V$2:$V$1001,0),1)&gt;=100000,INDEX($AC$1005:$AS$1005,1,MATCH(COLUMNS($AC$1006:AH1006),$AC$1006:$AS$1006,0))&gt;=100000), " ",IF(INDEX($AC$2:$AS$1001,MATCH(ROWS($V$2:V847),$V$2:$V$1001,0),MATCH(COLUMNS($AC$1006:AH1006),$AC$1006:$AS$1006,0)), HYPERLINK("#",""), HYPERLINK(CONCATENATE("#Metadata!", ADDRESS(INDEX($X$2:$X$1001,MATCH(ROWS($V$2:V847),$V$2:$V$1001,0),0), INDEX($AC$1004:$AS$1004,1,MATCH(COLUMNS($AC$1006:AH1006),$AC$1006:$AS$1006,0)))),"Fix")))</f>
        <v>0</v>
      </c>
      <c r="H847" s="5">
        <f>IF(OR(INDEX($W$2:$W$1001,MATCH(ROWS($V$2:V847),$V$2:$V$1001,0),1)&gt;=100000,INDEX($AC$1005:$AS$1005,1,MATCH(COLUMNS($AC$1006:AI1006),$AC$1006:$AS$1006,0))&gt;=100000), " ",IF(INDEX($AC$2:$AS$1001,MATCH(ROWS($V$2:V847),$V$2:$V$1001,0),MATCH(COLUMNS($AC$1006:AI1006),$AC$1006:$AS$1006,0)), HYPERLINK("#",""), HYPERLINK(CONCATENATE("#Metadata!", ADDRESS(INDEX($X$2:$X$1001,MATCH(ROWS($V$2:V847),$V$2:$V$1001,0),0), INDEX($AC$1004:$AS$1004,1,MATCH(COLUMNS($AC$1006:AI1006),$AC$1006:$AS$1006,0)))),"Fix")))</f>
        <v>0</v>
      </c>
      <c r="I847" s="5">
        <f>IF(OR(INDEX($W$2:$W$1001,MATCH(ROWS($V$2:V847),$V$2:$V$1001,0),1)&gt;=100000,INDEX($AC$1005:$AS$1005,1,MATCH(COLUMNS($AC$1006:AJ1006),$AC$1006:$AS$1006,0))&gt;=100000), " ",IF(INDEX($AC$2:$AS$1001,MATCH(ROWS($V$2:V847),$V$2:$V$1001,0),MATCH(COLUMNS($AC$1006:AJ1006),$AC$1006:$AS$1006,0)), HYPERLINK("#",""), HYPERLINK(CONCATENATE("#Metadata!", ADDRESS(INDEX($X$2:$X$1001,MATCH(ROWS($V$2:V847),$V$2:$V$1001,0),0), INDEX($AC$1004:$AS$1004,1,MATCH(COLUMNS($AC$1006:AJ1006),$AC$1006:$AS$1006,0)))),"Fix")))</f>
        <v>0</v>
      </c>
      <c r="J847" s="5">
        <f>IF(OR(INDEX($W$2:$W$1001,MATCH(ROWS($V$2:V847),$V$2:$V$1001,0),1)&gt;=100000,INDEX($AC$1005:$AS$1005,1,MATCH(COLUMNS($AC$1006:AK1006),$AC$1006:$AS$1006,0))&gt;=100000), " ",IF(INDEX($AC$2:$AS$1001,MATCH(ROWS($V$2:V847),$V$2:$V$1001,0),MATCH(COLUMNS($AC$1006:AK1006),$AC$1006:$AS$1006,0)), HYPERLINK("#",""), HYPERLINK(CONCATENATE("#Metadata!", ADDRESS(INDEX($X$2:$X$1001,MATCH(ROWS($V$2:V847),$V$2:$V$1001,0),0), INDEX($AC$1004:$AS$1004,1,MATCH(COLUMNS($AC$1006:AK1006),$AC$1006:$AS$1006,0)))),"Fix")))</f>
        <v>0</v>
      </c>
      <c r="K847" s="5">
        <f>IF(OR(INDEX($W$2:$W$1001,MATCH(ROWS($V$2:V847),$V$2:$V$1001,0),1)&gt;=100000,INDEX($AC$1005:$AS$1005,1,MATCH(COLUMNS($AC$1006:AL1006),$AC$1006:$AS$1006,0))&gt;=100000), " ",IF(INDEX($AC$2:$AS$1001,MATCH(ROWS($V$2:V847),$V$2:$V$1001,0),MATCH(COLUMNS($AC$1006:AL1006),$AC$1006:$AS$1006,0)), HYPERLINK("#",""), HYPERLINK(CONCATENATE("#Metadata!", ADDRESS(INDEX($X$2:$X$1001,MATCH(ROWS($V$2:V847),$V$2:$V$1001,0),0), INDEX($AC$1004:$AS$1004,1,MATCH(COLUMNS($AC$1006:AL1006),$AC$1006:$AS$1006,0)))),"Fix")))</f>
        <v>0</v>
      </c>
      <c r="L847" s="5">
        <f>IF(OR(INDEX($W$2:$W$1001,MATCH(ROWS($V$2:V847),$V$2:$V$1001,0),1)&gt;=100000,INDEX($AC$1005:$AS$1005,1,MATCH(COLUMNS($AC$1006:AM1006),$AC$1006:$AS$1006,0))&gt;=100000), " ",IF(INDEX($AC$2:$AS$1001,MATCH(ROWS($V$2:V847),$V$2:$V$1001,0),MATCH(COLUMNS($AC$1006:AM1006),$AC$1006:$AS$1006,0)), HYPERLINK("#",""), HYPERLINK(CONCATENATE("#Metadata!", ADDRESS(INDEX($X$2:$X$1001,MATCH(ROWS($V$2:V847),$V$2:$V$1001,0),0), INDEX($AC$1004:$AS$1004,1,MATCH(COLUMNS($AC$1006:AM1006),$AC$1006:$AS$1006,0)))),"Fix")))</f>
        <v>0</v>
      </c>
      <c r="M847" s="5">
        <f>IF(OR(INDEX($W$2:$W$1001,MATCH(ROWS($V$2:V847),$V$2:$V$1001,0),1)&gt;=100000,INDEX($AC$1005:$AS$1005,1,MATCH(COLUMNS($AC$1006:AN1006),$AC$1006:$AS$1006,0))&gt;=100000), " ",IF(INDEX($AC$2:$AS$1001,MATCH(ROWS($V$2:V847),$V$2:$V$1001,0),MATCH(COLUMNS($AC$1006:AN1006),$AC$1006:$AS$1006,0)), HYPERLINK("#",""), HYPERLINK(CONCATENATE("#Metadata!", ADDRESS(INDEX($X$2:$X$1001,MATCH(ROWS($V$2:V847),$V$2:$V$1001,0),0), INDEX($AC$1004:$AS$1004,1,MATCH(COLUMNS($AC$1006:AN1006),$AC$1006:$AS$1006,0)))),"Fix")))</f>
        <v>0</v>
      </c>
      <c r="N847" s="5">
        <f>IF(OR(INDEX($W$2:$W$1001,MATCH(ROWS($V$2:V847),$V$2:$V$1001,0),1)&gt;=100000,INDEX($AC$1005:$AS$1005,1,MATCH(COLUMNS($AC$1006:AO1006),$AC$1006:$AS$1006,0))&gt;=100000), " ",IF(INDEX($AC$2:$AS$1001,MATCH(ROWS($V$2:V847),$V$2:$V$1001,0),MATCH(COLUMNS($AC$1006:AO1006),$AC$1006:$AS$1006,0)), HYPERLINK("#",""), HYPERLINK(CONCATENATE("#Metadata!", ADDRESS(INDEX($X$2:$X$1001,MATCH(ROWS($V$2:V847),$V$2:$V$1001,0),0), INDEX($AC$1004:$AS$1004,1,MATCH(COLUMNS($AC$1006:AO1006),$AC$1006:$AS$1006,0)))),"Fix")))</f>
        <v>0</v>
      </c>
      <c r="O847" s="5">
        <f>IF(OR(INDEX($W$2:$W$1001,MATCH(ROWS($V$2:V847),$V$2:$V$1001,0),1)&gt;=100000,INDEX($AC$1005:$AS$1005,1,MATCH(COLUMNS($AC$1006:AP1006),$AC$1006:$AS$1006,0))&gt;=100000), " ",IF(INDEX($AC$2:$AS$1001,MATCH(ROWS($V$2:V847),$V$2:$V$1001,0),MATCH(COLUMNS($AC$1006:AP1006),$AC$1006:$AS$1006,0)), HYPERLINK("#",""), HYPERLINK(CONCATENATE("#Metadata!", ADDRESS(INDEX($X$2:$X$1001,MATCH(ROWS($V$2:V847),$V$2:$V$1001,0),0), INDEX($AC$1004:$AS$1004,1,MATCH(COLUMNS($AC$1006:AP1006),$AC$1006:$AS$1006,0)))),"Fix")))</f>
        <v>0</v>
      </c>
      <c r="P847" s="5">
        <f>IF(OR(INDEX($W$2:$W$1001,MATCH(ROWS($V$2:V847),$V$2:$V$1001,0),1)&gt;=100000,INDEX($AC$1005:$AS$1005,1,MATCH(COLUMNS($AC$1006:AQ1006),$AC$1006:$AS$1006,0))&gt;=100000), " ",IF(INDEX($AC$2:$AS$1001,MATCH(ROWS($V$2:V847),$V$2:$V$1001,0),MATCH(COLUMNS($AC$1006:AQ1006),$AC$1006:$AS$1006,0)), HYPERLINK("#",""), HYPERLINK(CONCATENATE("#Metadata!", ADDRESS(INDEX($X$2:$X$1001,MATCH(ROWS($V$2:V847),$V$2:$V$1001,0),0), INDEX($AC$1004:$AS$1004,1,MATCH(COLUMNS($AC$1006:AQ1006),$AC$1006:$AS$1006,0)))),"Fix")))</f>
        <v>0</v>
      </c>
      <c r="Q847" s="5">
        <f>IF(OR(INDEX($W$2:$W$1001,MATCH(ROWS($V$2:V847),$V$2:$V$1001,0),1)&gt;=100000,INDEX($AC$1005:$AS$1005,1,MATCH(COLUMNS($AC$1006:AR1006),$AC$1006:$AS$1006,0))&gt;=100000), " ",IF(INDEX($AC$2:$AS$1001,MATCH(ROWS($V$2:V847),$V$2:$V$1001,0),MATCH(COLUMNS($AC$1006:AR1006),$AC$1006:$AS$1006,0)), HYPERLINK("#",""), HYPERLINK(CONCATENATE("#Metadata!", ADDRESS(INDEX($X$2:$X$1001,MATCH(ROWS($V$2:V847),$V$2:$V$1001,0),0), INDEX($AC$1004:$AS$1004,1,MATCH(COLUMNS($AC$1006:AR1006),$AC$1006:$AS$1006,0)))),"Fix")))</f>
        <v>0</v>
      </c>
      <c r="R847" s="5">
        <f>IF(OR(INDEX($W$2:$W$1001,MATCH(ROWS($V$2:V847),$V$2:$V$1001,0),1)&gt;=100000,INDEX($AC$1005:$AS$1005,1,MATCH(COLUMNS($AC$1006:AS1006),$AC$1006:$AS$1006,0))&gt;=100000), " ",IF(INDEX($AC$2:$AS$1001,MATCH(ROWS($V$2:V847),$V$2:$V$1001,0),MATCH(COLUMNS($AC$1006:AS1006),$AC$1006:$AS$1006,0)), HYPERLINK("#",""), HYPERLINK(CONCATENATE("#Metadata!", ADDRESS(INDEX($X$2:$X$1001,MATCH(ROWS($V$2:V847),$V$2:$V$1001,0),0), INDEX($AC$1004:$AS$1004,1,MATCH(COLUMNS($AC$1006:AS1006),$AC$1006:$AS$1006,0)))),"Fix")))</f>
        <v>0</v>
      </c>
      <c r="V847">
        <v>0</v>
      </c>
      <c r="W847">
        <v>0</v>
      </c>
      <c r="X847">
        <v>0</v>
      </c>
      <c r="Y847">
        <f>IF(Z847,TRUE,AND(AC847:AS847))</f>
        <v>0</v>
      </c>
      <c r="Z847">
        <f>COUNTBLANK(Metadata!B847:R847)=COLUMNS(Metadata!B847:R847)</f>
        <v>0</v>
      </c>
      <c r="AA847">
        <v>0</v>
      </c>
      <c r="AC847">
        <f>AND(IF(Metadata!B847="",FALSE,TRUE),COUNTIF(Metadata!B:B, Metadata!B847) = 1,NOT(ISERROR(SUMPRODUCT(SEARCH(MID(Metadata!B847,ROW(INDIRECT("1:"&amp;LEN(Metadata!B847))), 1),"0123456789abcdefghijklmnopqrstuvwxyzABCDEFGHIJKLMNOPQRSTUVWXYZ.")))))</f>
        <v>0</v>
      </c>
      <c r="AD847">
        <f>AND(IF(Metadata!C847="",FALSE,TRUE),exact(Metadata!C847,"Host-associated"))</f>
        <v>0</v>
      </c>
      <c r="AE847">
        <f>AND(IF(Metadata!D847="",FALSE,TRUE),OR(exact(Metadata!D847,"Animal"),exact(Metadata!D847,"Fungus"),exact(Metadata!D847,"Plant")))</f>
        <v>0</v>
      </c>
      <c r="AF847">
        <f>AND(IF(Metadata!E847="",FALSE,TRUE),OR(exact(Metadata!E847,"Plant secretion"),exact(Metadata!E847,"Plant rhizosphere"),exact(Metadata!E847,"Plant surface"),exact(Metadata!E847,"Plant corpus"),exact(Metadata!E847,"Fungus surface"),exact(Metadata!E847,"Fungus corpus"),exact(Metadata!E847,"Animal surface"),exact(Metadata!E847,"Animal proximal gut"),exact(Metadata!E847,"Animal corpus"),exact(Metadata!E847,"Animal distal gut"),exact(Metadata!E847,"Animal secretion")))</f>
        <v>0</v>
      </c>
      <c r="AG847">
        <f>OR(AND(IF(Metadata!F847="",FALSE,TRUE),OR(exact(Metadata!F847,"not collected"),exact(Metadata!F847,"not provided"),exact(Metadata!F847,"restricted access"))),AND(IF(Metadata!F847="",FALSE,TRUE),OR(exact(Metadata!F847,"organism-associated habitat"),exact(Metadata!F847,"plant-associated habitat"),exact(Metadata!F847,"animal-associated habitat"),exact(Metadata!F847,"insecta-associated habitat"),exact(Metadata!F847,"mammalia-associated habitat"),exact(Metadata!F847,"human-associated habitat"),exact(Metadata!F847,"livestock-associated habitat"))))</f>
        <v>0</v>
      </c>
      <c r="AH847">
        <f>AND(IF(Metadata!G847="",FALSE,TRUE),exact(Metadata!G847,"host-associated"))</f>
        <v>0</v>
      </c>
      <c r="AI847">
        <f>OR(AND(IF(Metadata!H847="",FALSE,TRUE),OR(exact(Metadata!H847,"not collected"),exact(Metadata!H847,"not provided"))),AND(IF(Metadata!H847="",FALSE,ISNUMBER(VALUE(Metadata!H847))),Metadata!H847&gt;0))</f>
        <v>0</v>
      </c>
      <c r="AJ847">
        <f>AND(IF(Metadata!I847="",FALSE,TRUE),exact(Metadata!I847,"years"))</f>
        <v>0</v>
      </c>
      <c r="AK847">
        <f>IF(Metadata!J847="",FALSE,TRUE)</f>
        <v>0</v>
      </c>
      <c r="AL847">
        <f>OR(AND(IF(Metadata!K847="",FALSE,TRUE),OR(exact(Metadata!K847,"not collected"),exact(Metadata!K847,"not provided"))),AND(IF(Metadata!K847="",FALSE,ISNUMBER(VALUE(Metadata!K847))),Metadata!K847&gt;0))</f>
        <v>0</v>
      </c>
      <c r="AM847">
        <f>AND(IF(Metadata!L847="",FALSE,TRUE),exact(Metadata!L847,"cm"))</f>
        <v>0</v>
      </c>
      <c r="AN847">
        <f>IF(Metadata!M847="",FALSE,TRUE)</f>
        <v>0</v>
      </c>
      <c r="AO847">
        <f>OR(AND(IF(Metadata!N847="",FALSE,TRUE),OR(exact(Metadata!N847,"not applicable"),exact(Metadata!N847,"not collected"),exact(Metadata!N847,"not provided"))),AND(IF(Metadata!N847="",FALSE,IF(ISERROR(INT(Metadata!N847)),FALSE,INT(Metadata!N847)=Metadata!N847)),Metadata!N847&gt;0))</f>
        <v>0</v>
      </c>
      <c r="AP847">
        <f>OR(AND(IF(Metadata!O847="",FALSE,TRUE),OR(exact(Metadata!O847,"not collected"),exact(Metadata!O847,"not provided"))),AND(IF(Metadata!O847="",FALSE,ISNUMBER(VALUE(Metadata!O847))),Metadata!O847&gt;0))</f>
        <v>0</v>
      </c>
      <c r="AQ847">
        <f>AND(IF(Metadata!P847="",FALSE,TRUE),exact(Metadata!P847,"kg"))</f>
        <v>0</v>
      </c>
      <c r="AR847">
        <f>OR(AND(IF(Metadata!Q847="",FALSE,TRUE),OR(exact(Metadata!Q847,"not applicable"),exact(Metadata!Q847,"not collected"),exact(Metadata!Q847,"not provided"),exact(Metadata!Q847,"restricted access"))),IF(Metadata!Q847="",FALSE,IF(ISERROR(INT(Metadata!Q847)),FALSE,INT(Metadata!Q847)=Metadata!Q847)))</f>
        <v>0</v>
      </c>
      <c r="AS847">
        <f>AND(IF(Metadata!R847="",FALSE,TRUE),exact(Metadata!R847,"Not applicable"))</f>
        <v>0</v>
      </c>
    </row>
    <row r="848" spans="1:45">
      <c r="A848" s="4">
        <f>IF(B848=" "," ",HYPERLINK(CONCATENATE("#metadata!",ADDRESS(INDEX($X$2:$X$1001,MATCH(ROWS($V$2:V848),$V$2:$V$1001,0),0),2)),INDEX($AA$2:$AA$1001,MATCH(ROWS($V$2:V848),$V$2:$V$1001,0),0)))</f>
        <v>0</v>
      </c>
      <c r="B848" s="5">
        <f>IF(OR(INDEX($W$2:$W$1001,MATCH(ROWS($V$2:V848),$V$2:$V$1001,0),1)&gt;=100000,INDEX($AC$1005:$AS$1005,1,MATCH(COLUMNS($AC$1006:AC1006),$AC$1006:$AS$1006,0))&gt;=100000), " ",IF(INDEX($AC$2:$AS$1001,MATCH(ROWS($V$2:V848),$V$2:$V$1001,0),MATCH(COLUMNS($AC$1006:AC1006),$AC$1006:$AS$1006,0)), HYPERLINK("#",""), HYPERLINK(CONCATENATE("#Metadata!", ADDRESS(INDEX($X$2:$X$1001,MATCH(ROWS($V$2:V848),$V$2:$V$1001,0),0), INDEX($AC$1004:$AS$1004,1,MATCH(COLUMNS($AC$1006:AC1006),$AC$1006:$AS$1006,0)))),"Fix")))</f>
        <v>0</v>
      </c>
      <c r="C848" s="5">
        <f>IF(OR(INDEX($W$2:$W$1001,MATCH(ROWS($V$2:V848),$V$2:$V$1001,0),1)&gt;=100000,INDEX($AC$1005:$AS$1005,1,MATCH(COLUMNS($AC$1006:AD1006),$AC$1006:$AS$1006,0))&gt;=100000), " ",IF(INDEX($AC$2:$AS$1001,MATCH(ROWS($V$2:V848),$V$2:$V$1001,0),MATCH(COLUMNS($AC$1006:AD1006),$AC$1006:$AS$1006,0)), HYPERLINK("#",""), HYPERLINK(CONCATENATE("#Metadata!", ADDRESS(INDEX($X$2:$X$1001,MATCH(ROWS($V$2:V848),$V$2:$V$1001,0),0), INDEX($AC$1004:$AS$1004,1,MATCH(COLUMNS($AC$1006:AD1006),$AC$1006:$AS$1006,0)))),"Fix")))</f>
        <v>0</v>
      </c>
      <c r="D848" s="5">
        <f>IF(OR(INDEX($W$2:$W$1001,MATCH(ROWS($V$2:V848),$V$2:$V$1001,0),1)&gt;=100000,INDEX($AC$1005:$AS$1005,1,MATCH(COLUMNS($AC$1006:AE1006),$AC$1006:$AS$1006,0))&gt;=100000), " ",IF(INDEX($AC$2:$AS$1001,MATCH(ROWS($V$2:V848),$V$2:$V$1001,0),MATCH(COLUMNS($AC$1006:AE1006),$AC$1006:$AS$1006,0)), HYPERLINK("#",""), HYPERLINK(CONCATENATE("#Metadata!", ADDRESS(INDEX($X$2:$X$1001,MATCH(ROWS($V$2:V848),$V$2:$V$1001,0),0), INDEX($AC$1004:$AS$1004,1,MATCH(COLUMNS($AC$1006:AE1006),$AC$1006:$AS$1006,0)))),"Fix")))</f>
        <v>0</v>
      </c>
      <c r="E848" s="5">
        <f>IF(OR(INDEX($W$2:$W$1001,MATCH(ROWS($V$2:V848),$V$2:$V$1001,0),1)&gt;=100000,INDEX($AC$1005:$AS$1005,1,MATCH(COLUMNS($AC$1006:AF1006),$AC$1006:$AS$1006,0))&gt;=100000), " ",IF(INDEX($AC$2:$AS$1001,MATCH(ROWS($V$2:V848),$V$2:$V$1001,0),MATCH(COLUMNS($AC$1006:AF1006),$AC$1006:$AS$1006,0)), HYPERLINK("#",""), HYPERLINK(CONCATENATE("#Metadata!", ADDRESS(INDEX($X$2:$X$1001,MATCH(ROWS($V$2:V848),$V$2:$V$1001,0),0), INDEX($AC$1004:$AS$1004,1,MATCH(COLUMNS($AC$1006:AF1006),$AC$1006:$AS$1006,0)))),"Fix")))</f>
        <v>0</v>
      </c>
      <c r="F848" s="5">
        <f>IF(OR(INDEX($W$2:$W$1001,MATCH(ROWS($V$2:V848),$V$2:$V$1001,0),1)&gt;=100000,INDEX($AC$1005:$AS$1005,1,MATCH(COLUMNS($AC$1006:AG1006),$AC$1006:$AS$1006,0))&gt;=100000), " ",IF(INDEX($AC$2:$AS$1001,MATCH(ROWS($V$2:V848),$V$2:$V$1001,0),MATCH(COLUMNS($AC$1006:AG1006),$AC$1006:$AS$1006,0)), HYPERLINK("#",""), HYPERLINK(CONCATENATE("#Metadata!", ADDRESS(INDEX($X$2:$X$1001,MATCH(ROWS($V$2:V848),$V$2:$V$1001,0),0), INDEX($AC$1004:$AS$1004,1,MATCH(COLUMNS($AC$1006:AG1006),$AC$1006:$AS$1006,0)))),"Fix")))</f>
        <v>0</v>
      </c>
      <c r="G848" s="5">
        <f>IF(OR(INDEX($W$2:$W$1001,MATCH(ROWS($V$2:V848),$V$2:$V$1001,0),1)&gt;=100000,INDEX($AC$1005:$AS$1005,1,MATCH(COLUMNS($AC$1006:AH1006),$AC$1006:$AS$1006,0))&gt;=100000), " ",IF(INDEX($AC$2:$AS$1001,MATCH(ROWS($V$2:V848),$V$2:$V$1001,0),MATCH(COLUMNS($AC$1006:AH1006),$AC$1006:$AS$1006,0)), HYPERLINK("#",""), HYPERLINK(CONCATENATE("#Metadata!", ADDRESS(INDEX($X$2:$X$1001,MATCH(ROWS($V$2:V848),$V$2:$V$1001,0),0), INDEX($AC$1004:$AS$1004,1,MATCH(COLUMNS($AC$1006:AH1006),$AC$1006:$AS$1006,0)))),"Fix")))</f>
        <v>0</v>
      </c>
      <c r="H848" s="5">
        <f>IF(OR(INDEX($W$2:$W$1001,MATCH(ROWS($V$2:V848),$V$2:$V$1001,0),1)&gt;=100000,INDEX($AC$1005:$AS$1005,1,MATCH(COLUMNS($AC$1006:AI1006),$AC$1006:$AS$1006,0))&gt;=100000), " ",IF(INDEX($AC$2:$AS$1001,MATCH(ROWS($V$2:V848),$V$2:$V$1001,0),MATCH(COLUMNS($AC$1006:AI1006),$AC$1006:$AS$1006,0)), HYPERLINK("#",""), HYPERLINK(CONCATENATE("#Metadata!", ADDRESS(INDEX($X$2:$X$1001,MATCH(ROWS($V$2:V848),$V$2:$V$1001,0),0), INDEX($AC$1004:$AS$1004,1,MATCH(COLUMNS($AC$1006:AI1006),$AC$1006:$AS$1006,0)))),"Fix")))</f>
        <v>0</v>
      </c>
      <c r="I848" s="5">
        <f>IF(OR(INDEX($W$2:$W$1001,MATCH(ROWS($V$2:V848),$V$2:$V$1001,0),1)&gt;=100000,INDEX($AC$1005:$AS$1005,1,MATCH(COLUMNS($AC$1006:AJ1006),$AC$1006:$AS$1006,0))&gt;=100000), " ",IF(INDEX($AC$2:$AS$1001,MATCH(ROWS($V$2:V848),$V$2:$V$1001,0),MATCH(COLUMNS($AC$1006:AJ1006),$AC$1006:$AS$1006,0)), HYPERLINK("#",""), HYPERLINK(CONCATENATE("#Metadata!", ADDRESS(INDEX($X$2:$X$1001,MATCH(ROWS($V$2:V848),$V$2:$V$1001,0),0), INDEX($AC$1004:$AS$1004,1,MATCH(COLUMNS($AC$1006:AJ1006),$AC$1006:$AS$1006,0)))),"Fix")))</f>
        <v>0</v>
      </c>
      <c r="J848" s="5">
        <f>IF(OR(INDEX($W$2:$W$1001,MATCH(ROWS($V$2:V848),$V$2:$V$1001,0),1)&gt;=100000,INDEX($AC$1005:$AS$1005,1,MATCH(COLUMNS($AC$1006:AK1006),$AC$1006:$AS$1006,0))&gt;=100000), " ",IF(INDEX($AC$2:$AS$1001,MATCH(ROWS($V$2:V848),$V$2:$V$1001,0),MATCH(COLUMNS($AC$1006:AK1006),$AC$1006:$AS$1006,0)), HYPERLINK("#",""), HYPERLINK(CONCATENATE("#Metadata!", ADDRESS(INDEX($X$2:$X$1001,MATCH(ROWS($V$2:V848),$V$2:$V$1001,0),0), INDEX($AC$1004:$AS$1004,1,MATCH(COLUMNS($AC$1006:AK1006),$AC$1006:$AS$1006,0)))),"Fix")))</f>
        <v>0</v>
      </c>
      <c r="K848" s="5">
        <f>IF(OR(INDEX($W$2:$W$1001,MATCH(ROWS($V$2:V848),$V$2:$V$1001,0),1)&gt;=100000,INDEX($AC$1005:$AS$1005,1,MATCH(COLUMNS($AC$1006:AL1006),$AC$1006:$AS$1006,0))&gt;=100000), " ",IF(INDEX($AC$2:$AS$1001,MATCH(ROWS($V$2:V848),$V$2:$V$1001,0),MATCH(COLUMNS($AC$1006:AL1006),$AC$1006:$AS$1006,0)), HYPERLINK("#",""), HYPERLINK(CONCATENATE("#Metadata!", ADDRESS(INDEX($X$2:$X$1001,MATCH(ROWS($V$2:V848),$V$2:$V$1001,0),0), INDEX($AC$1004:$AS$1004,1,MATCH(COLUMNS($AC$1006:AL1006),$AC$1006:$AS$1006,0)))),"Fix")))</f>
        <v>0</v>
      </c>
      <c r="L848" s="5">
        <f>IF(OR(INDEX($W$2:$W$1001,MATCH(ROWS($V$2:V848),$V$2:$V$1001,0),1)&gt;=100000,INDEX($AC$1005:$AS$1005,1,MATCH(COLUMNS($AC$1006:AM1006),$AC$1006:$AS$1006,0))&gt;=100000), " ",IF(INDEX($AC$2:$AS$1001,MATCH(ROWS($V$2:V848),$V$2:$V$1001,0),MATCH(COLUMNS($AC$1006:AM1006),$AC$1006:$AS$1006,0)), HYPERLINK("#",""), HYPERLINK(CONCATENATE("#Metadata!", ADDRESS(INDEX($X$2:$X$1001,MATCH(ROWS($V$2:V848),$V$2:$V$1001,0),0), INDEX($AC$1004:$AS$1004,1,MATCH(COLUMNS($AC$1006:AM1006),$AC$1006:$AS$1006,0)))),"Fix")))</f>
        <v>0</v>
      </c>
      <c r="M848" s="5">
        <f>IF(OR(INDEX($W$2:$W$1001,MATCH(ROWS($V$2:V848),$V$2:$V$1001,0),1)&gt;=100000,INDEX($AC$1005:$AS$1005,1,MATCH(COLUMNS($AC$1006:AN1006),$AC$1006:$AS$1006,0))&gt;=100000), " ",IF(INDEX($AC$2:$AS$1001,MATCH(ROWS($V$2:V848),$V$2:$V$1001,0),MATCH(COLUMNS($AC$1006:AN1006),$AC$1006:$AS$1006,0)), HYPERLINK("#",""), HYPERLINK(CONCATENATE("#Metadata!", ADDRESS(INDEX($X$2:$X$1001,MATCH(ROWS($V$2:V848),$V$2:$V$1001,0),0), INDEX($AC$1004:$AS$1004,1,MATCH(COLUMNS($AC$1006:AN1006),$AC$1006:$AS$1006,0)))),"Fix")))</f>
        <v>0</v>
      </c>
      <c r="N848" s="5">
        <f>IF(OR(INDEX($W$2:$W$1001,MATCH(ROWS($V$2:V848),$V$2:$V$1001,0),1)&gt;=100000,INDEX($AC$1005:$AS$1005,1,MATCH(COLUMNS($AC$1006:AO1006),$AC$1006:$AS$1006,0))&gt;=100000), " ",IF(INDEX($AC$2:$AS$1001,MATCH(ROWS($V$2:V848),$V$2:$V$1001,0),MATCH(COLUMNS($AC$1006:AO1006),$AC$1006:$AS$1006,0)), HYPERLINK("#",""), HYPERLINK(CONCATENATE("#Metadata!", ADDRESS(INDEX($X$2:$X$1001,MATCH(ROWS($V$2:V848),$V$2:$V$1001,0),0), INDEX($AC$1004:$AS$1004,1,MATCH(COLUMNS($AC$1006:AO1006),$AC$1006:$AS$1006,0)))),"Fix")))</f>
        <v>0</v>
      </c>
      <c r="O848" s="5">
        <f>IF(OR(INDEX($W$2:$W$1001,MATCH(ROWS($V$2:V848),$V$2:$V$1001,0),1)&gt;=100000,INDEX($AC$1005:$AS$1005,1,MATCH(COLUMNS($AC$1006:AP1006),$AC$1006:$AS$1006,0))&gt;=100000), " ",IF(INDEX($AC$2:$AS$1001,MATCH(ROWS($V$2:V848),$V$2:$V$1001,0),MATCH(COLUMNS($AC$1006:AP1006),$AC$1006:$AS$1006,0)), HYPERLINK("#",""), HYPERLINK(CONCATENATE("#Metadata!", ADDRESS(INDEX($X$2:$X$1001,MATCH(ROWS($V$2:V848),$V$2:$V$1001,0),0), INDEX($AC$1004:$AS$1004,1,MATCH(COLUMNS($AC$1006:AP1006),$AC$1006:$AS$1006,0)))),"Fix")))</f>
        <v>0</v>
      </c>
      <c r="P848" s="5">
        <f>IF(OR(INDEX($W$2:$W$1001,MATCH(ROWS($V$2:V848),$V$2:$V$1001,0),1)&gt;=100000,INDEX($AC$1005:$AS$1005,1,MATCH(COLUMNS($AC$1006:AQ1006),$AC$1006:$AS$1006,0))&gt;=100000), " ",IF(INDEX($AC$2:$AS$1001,MATCH(ROWS($V$2:V848),$V$2:$V$1001,0),MATCH(COLUMNS($AC$1006:AQ1006),$AC$1006:$AS$1006,0)), HYPERLINK("#",""), HYPERLINK(CONCATENATE("#Metadata!", ADDRESS(INDEX($X$2:$X$1001,MATCH(ROWS($V$2:V848),$V$2:$V$1001,0),0), INDEX($AC$1004:$AS$1004,1,MATCH(COLUMNS($AC$1006:AQ1006),$AC$1006:$AS$1006,0)))),"Fix")))</f>
        <v>0</v>
      </c>
      <c r="Q848" s="5">
        <f>IF(OR(INDEX($W$2:$W$1001,MATCH(ROWS($V$2:V848),$V$2:$V$1001,0),1)&gt;=100000,INDEX($AC$1005:$AS$1005,1,MATCH(COLUMNS($AC$1006:AR1006),$AC$1006:$AS$1006,0))&gt;=100000), " ",IF(INDEX($AC$2:$AS$1001,MATCH(ROWS($V$2:V848),$V$2:$V$1001,0),MATCH(COLUMNS($AC$1006:AR1006),$AC$1006:$AS$1006,0)), HYPERLINK("#",""), HYPERLINK(CONCATENATE("#Metadata!", ADDRESS(INDEX($X$2:$X$1001,MATCH(ROWS($V$2:V848),$V$2:$V$1001,0),0), INDEX($AC$1004:$AS$1004,1,MATCH(COLUMNS($AC$1006:AR1006),$AC$1006:$AS$1006,0)))),"Fix")))</f>
        <v>0</v>
      </c>
      <c r="R848" s="5">
        <f>IF(OR(INDEX($W$2:$W$1001,MATCH(ROWS($V$2:V848),$V$2:$V$1001,0),1)&gt;=100000,INDEX($AC$1005:$AS$1005,1,MATCH(COLUMNS($AC$1006:AS1006),$AC$1006:$AS$1006,0))&gt;=100000), " ",IF(INDEX($AC$2:$AS$1001,MATCH(ROWS($V$2:V848),$V$2:$V$1001,0),MATCH(COLUMNS($AC$1006:AS1006),$AC$1006:$AS$1006,0)), HYPERLINK("#",""), HYPERLINK(CONCATENATE("#Metadata!", ADDRESS(INDEX($X$2:$X$1001,MATCH(ROWS($V$2:V848),$V$2:$V$1001,0),0), INDEX($AC$1004:$AS$1004,1,MATCH(COLUMNS($AC$1006:AS1006),$AC$1006:$AS$1006,0)))),"Fix")))</f>
        <v>0</v>
      </c>
      <c r="V848">
        <v>0</v>
      </c>
      <c r="W848">
        <v>0</v>
      </c>
      <c r="X848">
        <v>0</v>
      </c>
      <c r="Y848">
        <f>IF(Z848,TRUE,AND(AC848:AS848))</f>
        <v>0</v>
      </c>
      <c r="Z848">
        <f>COUNTBLANK(Metadata!B848:R848)=COLUMNS(Metadata!B848:R848)</f>
        <v>0</v>
      </c>
      <c r="AA848">
        <v>0</v>
      </c>
      <c r="AC848">
        <f>AND(IF(Metadata!B848="",FALSE,TRUE),COUNTIF(Metadata!B:B, Metadata!B848) = 1,NOT(ISERROR(SUMPRODUCT(SEARCH(MID(Metadata!B848,ROW(INDIRECT("1:"&amp;LEN(Metadata!B848))), 1),"0123456789abcdefghijklmnopqrstuvwxyzABCDEFGHIJKLMNOPQRSTUVWXYZ.")))))</f>
        <v>0</v>
      </c>
      <c r="AD848">
        <f>AND(IF(Metadata!C848="",FALSE,TRUE),exact(Metadata!C848,"Host-associated"))</f>
        <v>0</v>
      </c>
      <c r="AE848">
        <f>AND(IF(Metadata!D848="",FALSE,TRUE),OR(exact(Metadata!D848,"Animal"),exact(Metadata!D848,"Fungus"),exact(Metadata!D848,"Plant")))</f>
        <v>0</v>
      </c>
      <c r="AF848">
        <f>AND(IF(Metadata!E848="",FALSE,TRUE),OR(exact(Metadata!E848,"Plant secretion"),exact(Metadata!E848,"Plant rhizosphere"),exact(Metadata!E848,"Plant surface"),exact(Metadata!E848,"Plant corpus"),exact(Metadata!E848,"Fungus surface"),exact(Metadata!E848,"Fungus corpus"),exact(Metadata!E848,"Animal surface"),exact(Metadata!E848,"Animal proximal gut"),exact(Metadata!E848,"Animal corpus"),exact(Metadata!E848,"Animal distal gut"),exact(Metadata!E848,"Animal secretion")))</f>
        <v>0</v>
      </c>
      <c r="AG848">
        <f>OR(AND(IF(Metadata!F848="",FALSE,TRUE),OR(exact(Metadata!F848,"not collected"),exact(Metadata!F848,"not provided"),exact(Metadata!F848,"restricted access"))),AND(IF(Metadata!F848="",FALSE,TRUE),OR(exact(Metadata!F848,"organism-associated habitat"),exact(Metadata!F848,"plant-associated habitat"),exact(Metadata!F848,"animal-associated habitat"),exact(Metadata!F848,"insecta-associated habitat"),exact(Metadata!F848,"mammalia-associated habitat"),exact(Metadata!F848,"human-associated habitat"),exact(Metadata!F848,"livestock-associated habitat"))))</f>
        <v>0</v>
      </c>
      <c r="AH848">
        <f>AND(IF(Metadata!G848="",FALSE,TRUE),exact(Metadata!G848,"host-associated"))</f>
        <v>0</v>
      </c>
      <c r="AI848">
        <f>OR(AND(IF(Metadata!H848="",FALSE,TRUE),OR(exact(Metadata!H848,"not collected"),exact(Metadata!H848,"not provided"))),AND(IF(Metadata!H848="",FALSE,ISNUMBER(VALUE(Metadata!H848))),Metadata!H848&gt;0))</f>
        <v>0</v>
      </c>
      <c r="AJ848">
        <f>AND(IF(Metadata!I848="",FALSE,TRUE),exact(Metadata!I848,"years"))</f>
        <v>0</v>
      </c>
      <c r="AK848">
        <f>IF(Metadata!J848="",FALSE,TRUE)</f>
        <v>0</v>
      </c>
      <c r="AL848">
        <f>OR(AND(IF(Metadata!K848="",FALSE,TRUE),OR(exact(Metadata!K848,"not collected"),exact(Metadata!K848,"not provided"))),AND(IF(Metadata!K848="",FALSE,ISNUMBER(VALUE(Metadata!K848))),Metadata!K848&gt;0))</f>
        <v>0</v>
      </c>
      <c r="AM848">
        <f>AND(IF(Metadata!L848="",FALSE,TRUE),exact(Metadata!L848,"cm"))</f>
        <v>0</v>
      </c>
      <c r="AN848">
        <f>IF(Metadata!M848="",FALSE,TRUE)</f>
        <v>0</v>
      </c>
      <c r="AO848">
        <f>OR(AND(IF(Metadata!N848="",FALSE,TRUE),OR(exact(Metadata!N848,"not applicable"),exact(Metadata!N848,"not collected"),exact(Metadata!N848,"not provided"))),AND(IF(Metadata!N848="",FALSE,IF(ISERROR(INT(Metadata!N848)),FALSE,INT(Metadata!N848)=Metadata!N848)),Metadata!N848&gt;0))</f>
        <v>0</v>
      </c>
      <c r="AP848">
        <f>OR(AND(IF(Metadata!O848="",FALSE,TRUE),OR(exact(Metadata!O848,"not collected"),exact(Metadata!O848,"not provided"))),AND(IF(Metadata!O848="",FALSE,ISNUMBER(VALUE(Metadata!O848))),Metadata!O848&gt;0))</f>
        <v>0</v>
      </c>
      <c r="AQ848">
        <f>AND(IF(Metadata!P848="",FALSE,TRUE),exact(Metadata!P848,"kg"))</f>
        <v>0</v>
      </c>
      <c r="AR848">
        <f>OR(AND(IF(Metadata!Q848="",FALSE,TRUE),OR(exact(Metadata!Q848,"not applicable"),exact(Metadata!Q848,"not collected"),exact(Metadata!Q848,"not provided"),exact(Metadata!Q848,"restricted access"))),IF(Metadata!Q848="",FALSE,IF(ISERROR(INT(Metadata!Q848)),FALSE,INT(Metadata!Q848)=Metadata!Q848)))</f>
        <v>0</v>
      </c>
      <c r="AS848">
        <f>AND(IF(Metadata!R848="",FALSE,TRUE),exact(Metadata!R848,"Not applicable"))</f>
        <v>0</v>
      </c>
    </row>
    <row r="849" spans="1:45">
      <c r="A849" s="4">
        <f>IF(B849=" "," ",HYPERLINK(CONCATENATE("#metadata!",ADDRESS(INDEX($X$2:$X$1001,MATCH(ROWS($V$2:V849),$V$2:$V$1001,0),0),2)),INDEX($AA$2:$AA$1001,MATCH(ROWS($V$2:V849),$V$2:$V$1001,0),0)))</f>
        <v>0</v>
      </c>
      <c r="B849" s="5">
        <f>IF(OR(INDEX($W$2:$W$1001,MATCH(ROWS($V$2:V849),$V$2:$V$1001,0),1)&gt;=100000,INDEX($AC$1005:$AS$1005,1,MATCH(COLUMNS($AC$1006:AC1006),$AC$1006:$AS$1006,0))&gt;=100000), " ",IF(INDEX($AC$2:$AS$1001,MATCH(ROWS($V$2:V849),$V$2:$V$1001,0),MATCH(COLUMNS($AC$1006:AC1006),$AC$1006:$AS$1006,0)), HYPERLINK("#",""), HYPERLINK(CONCATENATE("#Metadata!", ADDRESS(INDEX($X$2:$X$1001,MATCH(ROWS($V$2:V849),$V$2:$V$1001,0),0), INDEX($AC$1004:$AS$1004,1,MATCH(COLUMNS($AC$1006:AC1006),$AC$1006:$AS$1006,0)))),"Fix")))</f>
        <v>0</v>
      </c>
      <c r="C849" s="5">
        <f>IF(OR(INDEX($W$2:$W$1001,MATCH(ROWS($V$2:V849),$V$2:$V$1001,0),1)&gt;=100000,INDEX($AC$1005:$AS$1005,1,MATCH(COLUMNS($AC$1006:AD1006),$AC$1006:$AS$1006,0))&gt;=100000), " ",IF(INDEX($AC$2:$AS$1001,MATCH(ROWS($V$2:V849),$V$2:$V$1001,0),MATCH(COLUMNS($AC$1006:AD1006),$AC$1006:$AS$1006,0)), HYPERLINK("#",""), HYPERLINK(CONCATENATE("#Metadata!", ADDRESS(INDEX($X$2:$X$1001,MATCH(ROWS($V$2:V849),$V$2:$V$1001,0),0), INDEX($AC$1004:$AS$1004,1,MATCH(COLUMNS($AC$1006:AD1006),$AC$1006:$AS$1006,0)))),"Fix")))</f>
        <v>0</v>
      </c>
      <c r="D849" s="5">
        <f>IF(OR(INDEX($W$2:$W$1001,MATCH(ROWS($V$2:V849),$V$2:$V$1001,0),1)&gt;=100000,INDEX($AC$1005:$AS$1005,1,MATCH(COLUMNS($AC$1006:AE1006),$AC$1006:$AS$1006,0))&gt;=100000), " ",IF(INDEX($AC$2:$AS$1001,MATCH(ROWS($V$2:V849),$V$2:$V$1001,0),MATCH(COLUMNS($AC$1006:AE1006),$AC$1006:$AS$1006,0)), HYPERLINK("#",""), HYPERLINK(CONCATENATE("#Metadata!", ADDRESS(INDEX($X$2:$X$1001,MATCH(ROWS($V$2:V849),$V$2:$V$1001,0),0), INDEX($AC$1004:$AS$1004,1,MATCH(COLUMNS($AC$1006:AE1006),$AC$1006:$AS$1006,0)))),"Fix")))</f>
        <v>0</v>
      </c>
      <c r="E849" s="5">
        <f>IF(OR(INDEX($W$2:$W$1001,MATCH(ROWS($V$2:V849),$V$2:$V$1001,0),1)&gt;=100000,INDEX($AC$1005:$AS$1005,1,MATCH(COLUMNS($AC$1006:AF1006),$AC$1006:$AS$1006,0))&gt;=100000), " ",IF(INDEX($AC$2:$AS$1001,MATCH(ROWS($V$2:V849),$V$2:$V$1001,0),MATCH(COLUMNS($AC$1006:AF1006),$AC$1006:$AS$1006,0)), HYPERLINK("#",""), HYPERLINK(CONCATENATE("#Metadata!", ADDRESS(INDEX($X$2:$X$1001,MATCH(ROWS($V$2:V849),$V$2:$V$1001,0),0), INDEX($AC$1004:$AS$1004,1,MATCH(COLUMNS($AC$1006:AF1006),$AC$1006:$AS$1006,0)))),"Fix")))</f>
        <v>0</v>
      </c>
      <c r="F849" s="5">
        <f>IF(OR(INDEX($W$2:$W$1001,MATCH(ROWS($V$2:V849),$V$2:$V$1001,0),1)&gt;=100000,INDEX($AC$1005:$AS$1005,1,MATCH(COLUMNS($AC$1006:AG1006),$AC$1006:$AS$1006,0))&gt;=100000), " ",IF(INDEX($AC$2:$AS$1001,MATCH(ROWS($V$2:V849),$V$2:$V$1001,0),MATCH(COLUMNS($AC$1006:AG1006),$AC$1006:$AS$1006,0)), HYPERLINK("#",""), HYPERLINK(CONCATENATE("#Metadata!", ADDRESS(INDEX($X$2:$X$1001,MATCH(ROWS($V$2:V849),$V$2:$V$1001,0),0), INDEX($AC$1004:$AS$1004,1,MATCH(COLUMNS($AC$1006:AG1006),$AC$1006:$AS$1006,0)))),"Fix")))</f>
        <v>0</v>
      </c>
      <c r="G849" s="5">
        <f>IF(OR(INDEX($W$2:$W$1001,MATCH(ROWS($V$2:V849),$V$2:$V$1001,0),1)&gt;=100000,INDEX($AC$1005:$AS$1005,1,MATCH(COLUMNS($AC$1006:AH1006),$AC$1006:$AS$1006,0))&gt;=100000), " ",IF(INDEX($AC$2:$AS$1001,MATCH(ROWS($V$2:V849),$V$2:$V$1001,0),MATCH(COLUMNS($AC$1006:AH1006),$AC$1006:$AS$1006,0)), HYPERLINK("#",""), HYPERLINK(CONCATENATE("#Metadata!", ADDRESS(INDEX($X$2:$X$1001,MATCH(ROWS($V$2:V849),$V$2:$V$1001,0),0), INDEX($AC$1004:$AS$1004,1,MATCH(COLUMNS($AC$1006:AH1006),$AC$1006:$AS$1006,0)))),"Fix")))</f>
        <v>0</v>
      </c>
      <c r="H849" s="5">
        <f>IF(OR(INDEX($W$2:$W$1001,MATCH(ROWS($V$2:V849),$V$2:$V$1001,0),1)&gt;=100000,INDEX($AC$1005:$AS$1005,1,MATCH(COLUMNS($AC$1006:AI1006),$AC$1006:$AS$1006,0))&gt;=100000), " ",IF(INDEX($AC$2:$AS$1001,MATCH(ROWS($V$2:V849),$V$2:$V$1001,0),MATCH(COLUMNS($AC$1006:AI1006),$AC$1006:$AS$1006,0)), HYPERLINK("#",""), HYPERLINK(CONCATENATE("#Metadata!", ADDRESS(INDEX($X$2:$X$1001,MATCH(ROWS($V$2:V849),$V$2:$V$1001,0),0), INDEX($AC$1004:$AS$1004,1,MATCH(COLUMNS($AC$1006:AI1006),$AC$1006:$AS$1006,0)))),"Fix")))</f>
        <v>0</v>
      </c>
      <c r="I849" s="5">
        <f>IF(OR(INDEX($W$2:$W$1001,MATCH(ROWS($V$2:V849),$V$2:$V$1001,0),1)&gt;=100000,INDEX($AC$1005:$AS$1005,1,MATCH(COLUMNS($AC$1006:AJ1006),$AC$1006:$AS$1006,0))&gt;=100000), " ",IF(INDEX($AC$2:$AS$1001,MATCH(ROWS($V$2:V849),$V$2:$V$1001,0),MATCH(COLUMNS($AC$1006:AJ1006),$AC$1006:$AS$1006,0)), HYPERLINK("#",""), HYPERLINK(CONCATENATE("#Metadata!", ADDRESS(INDEX($X$2:$X$1001,MATCH(ROWS($V$2:V849),$V$2:$V$1001,0),0), INDEX($AC$1004:$AS$1004,1,MATCH(COLUMNS($AC$1006:AJ1006),$AC$1006:$AS$1006,0)))),"Fix")))</f>
        <v>0</v>
      </c>
      <c r="J849" s="5">
        <f>IF(OR(INDEX($W$2:$W$1001,MATCH(ROWS($V$2:V849),$V$2:$V$1001,0),1)&gt;=100000,INDEX($AC$1005:$AS$1005,1,MATCH(COLUMNS($AC$1006:AK1006),$AC$1006:$AS$1006,0))&gt;=100000), " ",IF(INDEX($AC$2:$AS$1001,MATCH(ROWS($V$2:V849),$V$2:$V$1001,0),MATCH(COLUMNS($AC$1006:AK1006),$AC$1006:$AS$1006,0)), HYPERLINK("#",""), HYPERLINK(CONCATENATE("#Metadata!", ADDRESS(INDEX($X$2:$X$1001,MATCH(ROWS($V$2:V849),$V$2:$V$1001,0),0), INDEX($AC$1004:$AS$1004,1,MATCH(COLUMNS($AC$1006:AK1006),$AC$1006:$AS$1006,0)))),"Fix")))</f>
        <v>0</v>
      </c>
      <c r="K849" s="5">
        <f>IF(OR(INDEX($W$2:$W$1001,MATCH(ROWS($V$2:V849),$V$2:$V$1001,0),1)&gt;=100000,INDEX($AC$1005:$AS$1005,1,MATCH(COLUMNS($AC$1006:AL1006),$AC$1006:$AS$1006,0))&gt;=100000), " ",IF(INDEX($AC$2:$AS$1001,MATCH(ROWS($V$2:V849),$V$2:$V$1001,0),MATCH(COLUMNS($AC$1006:AL1006),$AC$1006:$AS$1006,0)), HYPERLINK("#",""), HYPERLINK(CONCATENATE("#Metadata!", ADDRESS(INDEX($X$2:$X$1001,MATCH(ROWS($V$2:V849),$V$2:$V$1001,0),0), INDEX($AC$1004:$AS$1004,1,MATCH(COLUMNS($AC$1006:AL1006),$AC$1006:$AS$1006,0)))),"Fix")))</f>
        <v>0</v>
      </c>
      <c r="L849" s="5">
        <f>IF(OR(INDEX($W$2:$W$1001,MATCH(ROWS($V$2:V849),$V$2:$V$1001,0),1)&gt;=100000,INDEX($AC$1005:$AS$1005,1,MATCH(COLUMNS($AC$1006:AM1006),$AC$1006:$AS$1006,0))&gt;=100000), " ",IF(INDEX($AC$2:$AS$1001,MATCH(ROWS($V$2:V849),$V$2:$V$1001,0),MATCH(COLUMNS($AC$1006:AM1006),$AC$1006:$AS$1006,0)), HYPERLINK("#",""), HYPERLINK(CONCATENATE("#Metadata!", ADDRESS(INDEX($X$2:$X$1001,MATCH(ROWS($V$2:V849),$V$2:$V$1001,0),0), INDEX($AC$1004:$AS$1004,1,MATCH(COLUMNS($AC$1006:AM1006),$AC$1006:$AS$1006,0)))),"Fix")))</f>
        <v>0</v>
      </c>
      <c r="M849" s="5">
        <f>IF(OR(INDEX($W$2:$W$1001,MATCH(ROWS($V$2:V849),$V$2:$V$1001,0),1)&gt;=100000,INDEX($AC$1005:$AS$1005,1,MATCH(COLUMNS($AC$1006:AN1006),$AC$1006:$AS$1006,0))&gt;=100000), " ",IF(INDEX($AC$2:$AS$1001,MATCH(ROWS($V$2:V849),$V$2:$V$1001,0),MATCH(COLUMNS($AC$1006:AN1006),$AC$1006:$AS$1006,0)), HYPERLINK("#",""), HYPERLINK(CONCATENATE("#Metadata!", ADDRESS(INDEX($X$2:$X$1001,MATCH(ROWS($V$2:V849),$V$2:$V$1001,0),0), INDEX($AC$1004:$AS$1004,1,MATCH(COLUMNS($AC$1006:AN1006),$AC$1006:$AS$1006,0)))),"Fix")))</f>
        <v>0</v>
      </c>
      <c r="N849" s="5">
        <f>IF(OR(INDEX($W$2:$W$1001,MATCH(ROWS($V$2:V849),$V$2:$V$1001,0),1)&gt;=100000,INDEX($AC$1005:$AS$1005,1,MATCH(COLUMNS($AC$1006:AO1006),$AC$1006:$AS$1006,0))&gt;=100000), " ",IF(INDEX($AC$2:$AS$1001,MATCH(ROWS($V$2:V849),$V$2:$V$1001,0),MATCH(COLUMNS($AC$1006:AO1006),$AC$1006:$AS$1006,0)), HYPERLINK("#",""), HYPERLINK(CONCATENATE("#Metadata!", ADDRESS(INDEX($X$2:$X$1001,MATCH(ROWS($V$2:V849),$V$2:$V$1001,0),0), INDEX($AC$1004:$AS$1004,1,MATCH(COLUMNS($AC$1006:AO1006),$AC$1006:$AS$1006,0)))),"Fix")))</f>
        <v>0</v>
      </c>
      <c r="O849" s="5">
        <f>IF(OR(INDEX($W$2:$W$1001,MATCH(ROWS($V$2:V849),$V$2:$V$1001,0),1)&gt;=100000,INDEX($AC$1005:$AS$1005,1,MATCH(COLUMNS($AC$1006:AP1006),$AC$1006:$AS$1006,0))&gt;=100000), " ",IF(INDEX($AC$2:$AS$1001,MATCH(ROWS($V$2:V849),$V$2:$V$1001,0),MATCH(COLUMNS($AC$1006:AP1006),$AC$1006:$AS$1006,0)), HYPERLINK("#",""), HYPERLINK(CONCATENATE("#Metadata!", ADDRESS(INDEX($X$2:$X$1001,MATCH(ROWS($V$2:V849),$V$2:$V$1001,0),0), INDEX($AC$1004:$AS$1004,1,MATCH(COLUMNS($AC$1006:AP1006),$AC$1006:$AS$1006,0)))),"Fix")))</f>
        <v>0</v>
      </c>
      <c r="P849" s="5">
        <f>IF(OR(INDEX($W$2:$W$1001,MATCH(ROWS($V$2:V849),$V$2:$V$1001,0),1)&gt;=100000,INDEX($AC$1005:$AS$1005,1,MATCH(COLUMNS($AC$1006:AQ1006),$AC$1006:$AS$1006,0))&gt;=100000), " ",IF(INDEX($AC$2:$AS$1001,MATCH(ROWS($V$2:V849),$V$2:$V$1001,0),MATCH(COLUMNS($AC$1006:AQ1006),$AC$1006:$AS$1006,0)), HYPERLINK("#",""), HYPERLINK(CONCATENATE("#Metadata!", ADDRESS(INDEX($X$2:$X$1001,MATCH(ROWS($V$2:V849),$V$2:$V$1001,0),0), INDEX($AC$1004:$AS$1004,1,MATCH(COLUMNS($AC$1006:AQ1006),$AC$1006:$AS$1006,0)))),"Fix")))</f>
        <v>0</v>
      </c>
      <c r="Q849" s="5">
        <f>IF(OR(INDEX($W$2:$W$1001,MATCH(ROWS($V$2:V849),$V$2:$V$1001,0),1)&gt;=100000,INDEX($AC$1005:$AS$1005,1,MATCH(COLUMNS($AC$1006:AR1006),$AC$1006:$AS$1006,0))&gt;=100000), " ",IF(INDEX($AC$2:$AS$1001,MATCH(ROWS($V$2:V849),$V$2:$V$1001,0),MATCH(COLUMNS($AC$1006:AR1006),$AC$1006:$AS$1006,0)), HYPERLINK("#",""), HYPERLINK(CONCATENATE("#Metadata!", ADDRESS(INDEX($X$2:$X$1001,MATCH(ROWS($V$2:V849),$V$2:$V$1001,0),0), INDEX($AC$1004:$AS$1004,1,MATCH(COLUMNS($AC$1006:AR1006),$AC$1006:$AS$1006,0)))),"Fix")))</f>
        <v>0</v>
      </c>
      <c r="R849" s="5">
        <f>IF(OR(INDEX($W$2:$W$1001,MATCH(ROWS($V$2:V849),$V$2:$V$1001,0),1)&gt;=100000,INDEX($AC$1005:$AS$1005,1,MATCH(COLUMNS($AC$1006:AS1006),$AC$1006:$AS$1006,0))&gt;=100000), " ",IF(INDEX($AC$2:$AS$1001,MATCH(ROWS($V$2:V849),$V$2:$V$1001,0),MATCH(COLUMNS($AC$1006:AS1006),$AC$1006:$AS$1006,0)), HYPERLINK("#",""), HYPERLINK(CONCATENATE("#Metadata!", ADDRESS(INDEX($X$2:$X$1001,MATCH(ROWS($V$2:V849),$V$2:$V$1001,0),0), INDEX($AC$1004:$AS$1004,1,MATCH(COLUMNS($AC$1006:AS1006),$AC$1006:$AS$1006,0)))),"Fix")))</f>
        <v>0</v>
      </c>
      <c r="V849">
        <v>0</v>
      </c>
      <c r="W849">
        <v>0</v>
      </c>
      <c r="X849">
        <v>0</v>
      </c>
      <c r="Y849">
        <f>IF(Z849,TRUE,AND(AC849:AS849))</f>
        <v>0</v>
      </c>
      <c r="Z849">
        <f>COUNTBLANK(Metadata!B849:R849)=COLUMNS(Metadata!B849:R849)</f>
        <v>0</v>
      </c>
      <c r="AA849">
        <v>0</v>
      </c>
      <c r="AC849">
        <f>AND(IF(Metadata!B849="",FALSE,TRUE),COUNTIF(Metadata!B:B, Metadata!B849) = 1,NOT(ISERROR(SUMPRODUCT(SEARCH(MID(Metadata!B849,ROW(INDIRECT("1:"&amp;LEN(Metadata!B849))), 1),"0123456789abcdefghijklmnopqrstuvwxyzABCDEFGHIJKLMNOPQRSTUVWXYZ.")))))</f>
        <v>0</v>
      </c>
      <c r="AD849">
        <f>AND(IF(Metadata!C849="",FALSE,TRUE),exact(Metadata!C849,"Host-associated"))</f>
        <v>0</v>
      </c>
      <c r="AE849">
        <f>AND(IF(Metadata!D849="",FALSE,TRUE),OR(exact(Metadata!D849,"Animal"),exact(Metadata!D849,"Fungus"),exact(Metadata!D849,"Plant")))</f>
        <v>0</v>
      </c>
      <c r="AF849">
        <f>AND(IF(Metadata!E849="",FALSE,TRUE),OR(exact(Metadata!E849,"Plant secretion"),exact(Metadata!E849,"Plant rhizosphere"),exact(Metadata!E849,"Plant surface"),exact(Metadata!E849,"Plant corpus"),exact(Metadata!E849,"Fungus surface"),exact(Metadata!E849,"Fungus corpus"),exact(Metadata!E849,"Animal surface"),exact(Metadata!E849,"Animal proximal gut"),exact(Metadata!E849,"Animal corpus"),exact(Metadata!E849,"Animal distal gut"),exact(Metadata!E849,"Animal secretion")))</f>
        <v>0</v>
      </c>
      <c r="AG849">
        <f>OR(AND(IF(Metadata!F849="",FALSE,TRUE),OR(exact(Metadata!F849,"not collected"),exact(Metadata!F849,"not provided"),exact(Metadata!F849,"restricted access"))),AND(IF(Metadata!F849="",FALSE,TRUE),OR(exact(Metadata!F849,"organism-associated habitat"),exact(Metadata!F849,"plant-associated habitat"),exact(Metadata!F849,"animal-associated habitat"),exact(Metadata!F849,"insecta-associated habitat"),exact(Metadata!F849,"mammalia-associated habitat"),exact(Metadata!F849,"human-associated habitat"),exact(Metadata!F849,"livestock-associated habitat"))))</f>
        <v>0</v>
      </c>
      <c r="AH849">
        <f>AND(IF(Metadata!G849="",FALSE,TRUE),exact(Metadata!G849,"host-associated"))</f>
        <v>0</v>
      </c>
      <c r="AI849">
        <f>OR(AND(IF(Metadata!H849="",FALSE,TRUE),OR(exact(Metadata!H849,"not collected"),exact(Metadata!H849,"not provided"))),AND(IF(Metadata!H849="",FALSE,ISNUMBER(VALUE(Metadata!H849))),Metadata!H849&gt;0))</f>
        <v>0</v>
      </c>
      <c r="AJ849">
        <f>AND(IF(Metadata!I849="",FALSE,TRUE),exact(Metadata!I849,"years"))</f>
        <v>0</v>
      </c>
      <c r="AK849">
        <f>IF(Metadata!J849="",FALSE,TRUE)</f>
        <v>0</v>
      </c>
      <c r="AL849">
        <f>OR(AND(IF(Metadata!K849="",FALSE,TRUE),OR(exact(Metadata!K849,"not collected"),exact(Metadata!K849,"not provided"))),AND(IF(Metadata!K849="",FALSE,ISNUMBER(VALUE(Metadata!K849))),Metadata!K849&gt;0))</f>
        <v>0</v>
      </c>
      <c r="AM849">
        <f>AND(IF(Metadata!L849="",FALSE,TRUE),exact(Metadata!L849,"cm"))</f>
        <v>0</v>
      </c>
      <c r="AN849">
        <f>IF(Metadata!M849="",FALSE,TRUE)</f>
        <v>0</v>
      </c>
      <c r="AO849">
        <f>OR(AND(IF(Metadata!N849="",FALSE,TRUE),OR(exact(Metadata!N849,"not applicable"),exact(Metadata!N849,"not collected"),exact(Metadata!N849,"not provided"))),AND(IF(Metadata!N849="",FALSE,IF(ISERROR(INT(Metadata!N849)),FALSE,INT(Metadata!N849)=Metadata!N849)),Metadata!N849&gt;0))</f>
        <v>0</v>
      </c>
      <c r="AP849">
        <f>OR(AND(IF(Metadata!O849="",FALSE,TRUE),OR(exact(Metadata!O849,"not collected"),exact(Metadata!O849,"not provided"))),AND(IF(Metadata!O849="",FALSE,ISNUMBER(VALUE(Metadata!O849))),Metadata!O849&gt;0))</f>
        <v>0</v>
      </c>
      <c r="AQ849">
        <f>AND(IF(Metadata!P849="",FALSE,TRUE),exact(Metadata!P849,"kg"))</f>
        <v>0</v>
      </c>
      <c r="AR849">
        <f>OR(AND(IF(Metadata!Q849="",FALSE,TRUE),OR(exact(Metadata!Q849,"not applicable"),exact(Metadata!Q849,"not collected"),exact(Metadata!Q849,"not provided"),exact(Metadata!Q849,"restricted access"))),IF(Metadata!Q849="",FALSE,IF(ISERROR(INT(Metadata!Q849)),FALSE,INT(Metadata!Q849)=Metadata!Q849)))</f>
        <v>0</v>
      </c>
      <c r="AS849">
        <f>AND(IF(Metadata!R849="",FALSE,TRUE),exact(Metadata!R849,"Not applicable"))</f>
        <v>0</v>
      </c>
    </row>
    <row r="850" spans="1:45">
      <c r="A850" s="4">
        <f>IF(B850=" "," ",HYPERLINK(CONCATENATE("#metadata!",ADDRESS(INDEX($X$2:$X$1001,MATCH(ROWS($V$2:V850),$V$2:$V$1001,0),0),2)),INDEX($AA$2:$AA$1001,MATCH(ROWS($V$2:V850),$V$2:$V$1001,0),0)))</f>
        <v>0</v>
      </c>
      <c r="B850" s="5">
        <f>IF(OR(INDEX($W$2:$W$1001,MATCH(ROWS($V$2:V850),$V$2:$V$1001,0),1)&gt;=100000,INDEX($AC$1005:$AS$1005,1,MATCH(COLUMNS($AC$1006:AC1006),$AC$1006:$AS$1006,0))&gt;=100000), " ",IF(INDEX($AC$2:$AS$1001,MATCH(ROWS($V$2:V850),$V$2:$V$1001,0),MATCH(COLUMNS($AC$1006:AC1006),$AC$1006:$AS$1006,0)), HYPERLINK("#",""), HYPERLINK(CONCATENATE("#Metadata!", ADDRESS(INDEX($X$2:$X$1001,MATCH(ROWS($V$2:V850),$V$2:$V$1001,0),0), INDEX($AC$1004:$AS$1004,1,MATCH(COLUMNS($AC$1006:AC1006),$AC$1006:$AS$1006,0)))),"Fix")))</f>
        <v>0</v>
      </c>
      <c r="C850" s="5">
        <f>IF(OR(INDEX($W$2:$W$1001,MATCH(ROWS($V$2:V850),$V$2:$V$1001,0),1)&gt;=100000,INDEX($AC$1005:$AS$1005,1,MATCH(COLUMNS($AC$1006:AD1006),$AC$1006:$AS$1006,0))&gt;=100000), " ",IF(INDEX($AC$2:$AS$1001,MATCH(ROWS($V$2:V850),$V$2:$V$1001,0),MATCH(COLUMNS($AC$1006:AD1006),$AC$1006:$AS$1006,0)), HYPERLINK("#",""), HYPERLINK(CONCATENATE("#Metadata!", ADDRESS(INDEX($X$2:$X$1001,MATCH(ROWS($V$2:V850),$V$2:$V$1001,0),0), INDEX($AC$1004:$AS$1004,1,MATCH(COLUMNS($AC$1006:AD1006),$AC$1006:$AS$1006,0)))),"Fix")))</f>
        <v>0</v>
      </c>
      <c r="D850" s="5">
        <f>IF(OR(INDEX($W$2:$W$1001,MATCH(ROWS($V$2:V850),$V$2:$V$1001,0),1)&gt;=100000,INDEX($AC$1005:$AS$1005,1,MATCH(COLUMNS($AC$1006:AE1006),$AC$1006:$AS$1006,0))&gt;=100000), " ",IF(INDEX($AC$2:$AS$1001,MATCH(ROWS($V$2:V850),$V$2:$V$1001,0),MATCH(COLUMNS($AC$1006:AE1006),$AC$1006:$AS$1006,0)), HYPERLINK("#",""), HYPERLINK(CONCATENATE("#Metadata!", ADDRESS(INDEX($X$2:$X$1001,MATCH(ROWS($V$2:V850),$V$2:$V$1001,0),0), INDEX($AC$1004:$AS$1004,1,MATCH(COLUMNS($AC$1006:AE1006),$AC$1006:$AS$1006,0)))),"Fix")))</f>
        <v>0</v>
      </c>
      <c r="E850" s="5">
        <f>IF(OR(INDEX($W$2:$W$1001,MATCH(ROWS($V$2:V850),$V$2:$V$1001,0),1)&gt;=100000,INDEX($AC$1005:$AS$1005,1,MATCH(COLUMNS($AC$1006:AF1006),$AC$1006:$AS$1006,0))&gt;=100000), " ",IF(INDEX($AC$2:$AS$1001,MATCH(ROWS($V$2:V850),$V$2:$V$1001,0),MATCH(COLUMNS($AC$1006:AF1006),$AC$1006:$AS$1006,0)), HYPERLINK("#",""), HYPERLINK(CONCATENATE("#Metadata!", ADDRESS(INDEX($X$2:$X$1001,MATCH(ROWS($V$2:V850),$V$2:$V$1001,0),0), INDEX($AC$1004:$AS$1004,1,MATCH(COLUMNS($AC$1006:AF1006),$AC$1006:$AS$1006,0)))),"Fix")))</f>
        <v>0</v>
      </c>
      <c r="F850" s="5">
        <f>IF(OR(INDEX($W$2:$W$1001,MATCH(ROWS($V$2:V850),$V$2:$V$1001,0),1)&gt;=100000,INDEX($AC$1005:$AS$1005,1,MATCH(COLUMNS($AC$1006:AG1006),$AC$1006:$AS$1006,0))&gt;=100000), " ",IF(INDEX($AC$2:$AS$1001,MATCH(ROWS($V$2:V850),$V$2:$V$1001,0),MATCH(COLUMNS($AC$1006:AG1006),$AC$1006:$AS$1006,0)), HYPERLINK("#",""), HYPERLINK(CONCATENATE("#Metadata!", ADDRESS(INDEX($X$2:$X$1001,MATCH(ROWS($V$2:V850),$V$2:$V$1001,0),0), INDEX($AC$1004:$AS$1004,1,MATCH(COLUMNS($AC$1006:AG1006),$AC$1006:$AS$1006,0)))),"Fix")))</f>
        <v>0</v>
      </c>
      <c r="G850" s="5">
        <f>IF(OR(INDEX($W$2:$W$1001,MATCH(ROWS($V$2:V850),$V$2:$V$1001,0),1)&gt;=100000,INDEX($AC$1005:$AS$1005,1,MATCH(COLUMNS($AC$1006:AH1006),$AC$1006:$AS$1006,0))&gt;=100000), " ",IF(INDEX($AC$2:$AS$1001,MATCH(ROWS($V$2:V850),$V$2:$V$1001,0),MATCH(COLUMNS($AC$1006:AH1006),$AC$1006:$AS$1006,0)), HYPERLINK("#",""), HYPERLINK(CONCATENATE("#Metadata!", ADDRESS(INDEX($X$2:$X$1001,MATCH(ROWS($V$2:V850),$V$2:$V$1001,0),0), INDEX($AC$1004:$AS$1004,1,MATCH(COLUMNS($AC$1006:AH1006),$AC$1006:$AS$1006,0)))),"Fix")))</f>
        <v>0</v>
      </c>
      <c r="H850" s="5">
        <f>IF(OR(INDEX($W$2:$W$1001,MATCH(ROWS($V$2:V850),$V$2:$V$1001,0),1)&gt;=100000,INDEX($AC$1005:$AS$1005,1,MATCH(COLUMNS($AC$1006:AI1006),$AC$1006:$AS$1006,0))&gt;=100000), " ",IF(INDEX($AC$2:$AS$1001,MATCH(ROWS($V$2:V850),$V$2:$V$1001,0),MATCH(COLUMNS($AC$1006:AI1006),$AC$1006:$AS$1006,0)), HYPERLINK("#",""), HYPERLINK(CONCATENATE("#Metadata!", ADDRESS(INDEX($X$2:$X$1001,MATCH(ROWS($V$2:V850),$V$2:$V$1001,0),0), INDEX($AC$1004:$AS$1004,1,MATCH(COLUMNS($AC$1006:AI1006),$AC$1006:$AS$1006,0)))),"Fix")))</f>
        <v>0</v>
      </c>
      <c r="I850" s="5">
        <f>IF(OR(INDEX($W$2:$W$1001,MATCH(ROWS($V$2:V850),$V$2:$V$1001,0),1)&gt;=100000,INDEX($AC$1005:$AS$1005,1,MATCH(COLUMNS($AC$1006:AJ1006),$AC$1006:$AS$1006,0))&gt;=100000), " ",IF(INDEX($AC$2:$AS$1001,MATCH(ROWS($V$2:V850),$V$2:$V$1001,0),MATCH(COLUMNS($AC$1006:AJ1006),$AC$1006:$AS$1006,0)), HYPERLINK("#",""), HYPERLINK(CONCATENATE("#Metadata!", ADDRESS(INDEX($X$2:$X$1001,MATCH(ROWS($V$2:V850),$V$2:$V$1001,0),0), INDEX($AC$1004:$AS$1004,1,MATCH(COLUMNS($AC$1006:AJ1006),$AC$1006:$AS$1006,0)))),"Fix")))</f>
        <v>0</v>
      </c>
      <c r="J850" s="5">
        <f>IF(OR(INDEX($W$2:$W$1001,MATCH(ROWS($V$2:V850),$V$2:$V$1001,0),1)&gt;=100000,INDEX($AC$1005:$AS$1005,1,MATCH(COLUMNS($AC$1006:AK1006),$AC$1006:$AS$1006,0))&gt;=100000), " ",IF(INDEX($AC$2:$AS$1001,MATCH(ROWS($V$2:V850),$V$2:$V$1001,0),MATCH(COLUMNS($AC$1006:AK1006),$AC$1006:$AS$1006,0)), HYPERLINK("#",""), HYPERLINK(CONCATENATE("#Metadata!", ADDRESS(INDEX($X$2:$X$1001,MATCH(ROWS($V$2:V850),$V$2:$V$1001,0),0), INDEX($AC$1004:$AS$1004,1,MATCH(COLUMNS($AC$1006:AK1006),$AC$1006:$AS$1006,0)))),"Fix")))</f>
        <v>0</v>
      </c>
      <c r="K850" s="5">
        <f>IF(OR(INDEX($W$2:$W$1001,MATCH(ROWS($V$2:V850),$V$2:$V$1001,0),1)&gt;=100000,INDEX($AC$1005:$AS$1005,1,MATCH(COLUMNS($AC$1006:AL1006),$AC$1006:$AS$1006,0))&gt;=100000), " ",IF(INDEX($AC$2:$AS$1001,MATCH(ROWS($V$2:V850),$V$2:$V$1001,0),MATCH(COLUMNS($AC$1006:AL1006),$AC$1006:$AS$1006,0)), HYPERLINK("#",""), HYPERLINK(CONCATENATE("#Metadata!", ADDRESS(INDEX($X$2:$X$1001,MATCH(ROWS($V$2:V850),$V$2:$V$1001,0),0), INDEX($AC$1004:$AS$1004,1,MATCH(COLUMNS($AC$1006:AL1006),$AC$1006:$AS$1006,0)))),"Fix")))</f>
        <v>0</v>
      </c>
      <c r="L850" s="5">
        <f>IF(OR(INDEX($W$2:$W$1001,MATCH(ROWS($V$2:V850),$V$2:$V$1001,0),1)&gt;=100000,INDEX($AC$1005:$AS$1005,1,MATCH(COLUMNS($AC$1006:AM1006),$AC$1006:$AS$1006,0))&gt;=100000), " ",IF(INDEX($AC$2:$AS$1001,MATCH(ROWS($V$2:V850),$V$2:$V$1001,0),MATCH(COLUMNS($AC$1006:AM1006),$AC$1006:$AS$1006,0)), HYPERLINK("#",""), HYPERLINK(CONCATENATE("#Metadata!", ADDRESS(INDEX($X$2:$X$1001,MATCH(ROWS($V$2:V850),$V$2:$V$1001,0),0), INDEX($AC$1004:$AS$1004,1,MATCH(COLUMNS($AC$1006:AM1006),$AC$1006:$AS$1006,0)))),"Fix")))</f>
        <v>0</v>
      </c>
      <c r="M850" s="5">
        <f>IF(OR(INDEX($W$2:$W$1001,MATCH(ROWS($V$2:V850),$V$2:$V$1001,0),1)&gt;=100000,INDEX($AC$1005:$AS$1005,1,MATCH(COLUMNS($AC$1006:AN1006),$AC$1006:$AS$1006,0))&gt;=100000), " ",IF(INDEX($AC$2:$AS$1001,MATCH(ROWS($V$2:V850),$V$2:$V$1001,0),MATCH(COLUMNS($AC$1006:AN1006),$AC$1006:$AS$1006,0)), HYPERLINK("#",""), HYPERLINK(CONCATENATE("#Metadata!", ADDRESS(INDEX($X$2:$X$1001,MATCH(ROWS($V$2:V850),$V$2:$V$1001,0),0), INDEX($AC$1004:$AS$1004,1,MATCH(COLUMNS($AC$1006:AN1006),$AC$1006:$AS$1006,0)))),"Fix")))</f>
        <v>0</v>
      </c>
      <c r="N850" s="5">
        <f>IF(OR(INDEX($W$2:$W$1001,MATCH(ROWS($V$2:V850),$V$2:$V$1001,0),1)&gt;=100000,INDEX($AC$1005:$AS$1005,1,MATCH(COLUMNS($AC$1006:AO1006),$AC$1006:$AS$1006,0))&gt;=100000), " ",IF(INDEX($AC$2:$AS$1001,MATCH(ROWS($V$2:V850),$V$2:$V$1001,0),MATCH(COLUMNS($AC$1006:AO1006),$AC$1006:$AS$1006,0)), HYPERLINK("#",""), HYPERLINK(CONCATENATE("#Metadata!", ADDRESS(INDEX($X$2:$X$1001,MATCH(ROWS($V$2:V850),$V$2:$V$1001,0),0), INDEX($AC$1004:$AS$1004,1,MATCH(COLUMNS($AC$1006:AO1006),$AC$1006:$AS$1006,0)))),"Fix")))</f>
        <v>0</v>
      </c>
      <c r="O850" s="5">
        <f>IF(OR(INDEX($W$2:$W$1001,MATCH(ROWS($V$2:V850),$V$2:$V$1001,0),1)&gt;=100000,INDEX($AC$1005:$AS$1005,1,MATCH(COLUMNS($AC$1006:AP1006),$AC$1006:$AS$1006,0))&gt;=100000), " ",IF(INDEX($AC$2:$AS$1001,MATCH(ROWS($V$2:V850),$V$2:$V$1001,0),MATCH(COLUMNS($AC$1006:AP1006),$AC$1006:$AS$1006,0)), HYPERLINK("#",""), HYPERLINK(CONCATENATE("#Metadata!", ADDRESS(INDEX($X$2:$X$1001,MATCH(ROWS($V$2:V850),$V$2:$V$1001,0),0), INDEX($AC$1004:$AS$1004,1,MATCH(COLUMNS($AC$1006:AP1006),$AC$1006:$AS$1006,0)))),"Fix")))</f>
        <v>0</v>
      </c>
      <c r="P850" s="5">
        <f>IF(OR(INDEX($W$2:$W$1001,MATCH(ROWS($V$2:V850),$V$2:$V$1001,0),1)&gt;=100000,INDEX($AC$1005:$AS$1005,1,MATCH(COLUMNS($AC$1006:AQ1006),$AC$1006:$AS$1006,0))&gt;=100000), " ",IF(INDEX($AC$2:$AS$1001,MATCH(ROWS($V$2:V850),$V$2:$V$1001,0),MATCH(COLUMNS($AC$1006:AQ1006),$AC$1006:$AS$1006,0)), HYPERLINK("#",""), HYPERLINK(CONCATENATE("#Metadata!", ADDRESS(INDEX($X$2:$X$1001,MATCH(ROWS($V$2:V850),$V$2:$V$1001,0),0), INDEX($AC$1004:$AS$1004,1,MATCH(COLUMNS($AC$1006:AQ1006),$AC$1006:$AS$1006,0)))),"Fix")))</f>
        <v>0</v>
      </c>
      <c r="Q850" s="5">
        <f>IF(OR(INDEX($W$2:$W$1001,MATCH(ROWS($V$2:V850),$V$2:$V$1001,0),1)&gt;=100000,INDEX($AC$1005:$AS$1005,1,MATCH(COLUMNS($AC$1006:AR1006),$AC$1006:$AS$1006,0))&gt;=100000), " ",IF(INDEX($AC$2:$AS$1001,MATCH(ROWS($V$2:V850),$V$2:$V$1001,0),MATCH(COLUMNS($AC$1006:AR1006),$AC$1006:$AS$1006,0)), HYPERLINK("#",""), HYPERLINK(CONCATENATE("#Metadata!", ADDRESS(INDEX($X$2:$X$1001,MATCH(ROWS($V$2:V850),$V$2:$V$1001,0),0), INDEX($AC$1004:$AS$1004,1,MATCH(COLUMNS($AC$1006:AR1006),$AC$1006:$AS$1006,0)))),"Fix")))</f>
        <v>0</v>
      </c>
      <c r="R850" s="5">
        <f>IF(OR(INDEX($W$2:$W$1001,MATCH(ROWS($V$2:V850),$V$2:$V$1001,0),1)&gt;=100000,INDEX($AC$1005:$AS$1005,1,MATCH(COLUMNS($AC$1006:AS1006),$AC$1006:$AS$1006,0))&gt;=100000), " ",IF(INDEX($AC$2:$AS$1001,MATCH(ROWS($V$2:V850),$V$2:$V$1001,0),MATCH(COLUMNS($AC$1006:AS1006),$AC$1006:$AS$1006,0)), HYPERLINK("#",""), HYPERLINK(CONCATENATE("#Metadata!", ADDRESS(INDEX($X$2:$X$1001,MATCH(ROWS($V$2:V850),$V$2:$V$1001,0),0), INDEX($AC$1004:$AS$1004,1,MATCH(COLUMNS($AC$1006:AS1006),$AC$1006:$AS$1006,0)))),"Fix")))</f>
        <v>0</v>
      </c>
      <c r="V850">
        <v>0</v>
      </c>
      <c r="W850">
        <v>0</v>
      </c>
      <c r="X850">
        <v>0</v>
      </c>
      <c r="Y850">
        <f>IF(Z850,TRUE,AND(AC850:AS850))</f>
        <v>0</v>
      </c>
      <c r="Z850">
        <f>COUNTBLANK(Metadata!B850:R850)=COLUMNS(Metadata!B850:R850)</f>
        <v>0</v>
      </c>
      <c r="AA850">
        <v>0</v>
      </c>
      <c r="AC850">
        <f>AND(IF(Metadata!B850="",FALSE,TRUE),COUNTIF(Metadata!B:B, Metadata!B850) = 1,NOT(ISERROR(SUMPRODUCT(SEARCH(MID(Metadata!B850,ROW(INDIRECT("1:"&amp;LEN(Metadata!B850))), 1),"0123456789abcdefghijklmnopqrstuvwxyzABCDEFGHIJKLMNOPQRSTUVWXYZ.")))))</f>
        <v>0</v>
      </c>
      <c r="AD850">
        <f>AND(IF(Metadata!C850="",FALSE,TRUE),exact(Metadata!C850,"Host-associated"))</f>
        <v>0</v>
      </c>
      <c r="AE850">
        <f>AND(IF(Metadata!D850="",FALSE,TRUE),OR(exact(Metadata!D850,"Animal"),exact(Metadata!D850,"Fungus"),exact(Metadata!D850,"Plant")))</f>
        <v>0</v>
      </c>
      <c r="AF850">
        <f>AND(IF(Metadata!E850="",FALSE,TRUE),OR(exact(Metadata!E850,"Plant secretion"),exact(Metadata!E850,"Plant rhizosphere"),exact(Metadata!E850,"Plant surface"),exact(Metadata!E850,"Plant corpus"),exact(Metadata!E850,"Fungus surface"),exact(Metadata!E850,"Fungus corpus"),exact(Metadata!E850,"Animal surface"),exact(Metadata!E850,"Animal proximal gut"),exact(Metadata!E850,"Animal corpus"),exact(Metadata!E850,"Animal distal gut"),exact(Metadata!E850,"Animal secretion")))</f>
        <v>0</v>
      </c>
      <c r="AG850">
        <f>OR(AND(IF(Metadata!F850="",FALSE,TRUE),OR(exact(Metadata!F850,"not collected"),exact(Metadata!F850,"not provided"),exact(Metadata!F850,"restricted access"))),AND(IF(Metadata!F850="",FALSE,TRUE),OR(exact(Metadata!F850,"organism-associated habitat"),exact(Metadata!F850,"plant-associated habitat"),exact(Metadata!F850,"animal-associated habitat"),exact(Metadata!F850,"insecta-associated habitat"),exact(Metadata!F850,"mammalia-associated habitat"),exact(Metadata!F850,"human-associated habitat"),exact(Metadata!F850,"livestock-associated habitat"))))</f>
        <v>0</v>
      </c>
      <c r="AH850">
        <f>AND(IF(Metadata!G850="",FALSE,TRUE),exact(Metadata!G850,"host-associated"))</f>
        <v>0</v>
      </c>
      <c r="AI850">
        <f>OR(AND(IF(Metadata!H850="",FALSE,TRUE),OR(exact(Metadata!H850,"not collected"),exact(Metadata!H850,"not provided"))),AND(IF(Metadata!H850="",FALSE,ISNUMBER(VALUE(Metadata!H850))),Metadata!H850&gt;0))</f>
        <v>0</v>
      </c>
      <c r="AJ850">
        <f>AND(IF(Metadata!I850="",FALSE,TRUE),exact(Metadata!I850,"years"))</f>
        <v>0</v>
      </c>
      <c r="AK850">
        <f>IF(Metadata!J850="",FALSE,TRUE)</f>
        <v>0</v>
      </c>
      <c r="AL850">
        <f>OR(AND(IF(Metadata!K850="",FALSE,TRUE),OR(exact(Metadata!K850,"not collected"),exact(Metadata!K850,"not provided"))),AND(IF(Metadata!K850="",FALSE,ISNUMBER(VALUE(Metadata!K850))),Metadata!K850&gt;0))</f>
        <v>0</v>
      </c>
      <c r="AM850">
        <f>AND(IF(Metadata!L850="",FALSE,TRUE),exact(Metadata!L850,"cm"))</f>
        <v>0</v>
      </c>
      <c r="AN850">
        <f>IF(Metadata!M850="",FALSE,TRUE)</f>
        <v>0</v>
      </c>
      <c r="AO850">
        <f>OR(AND(IF(Metadata!N850="",FALSE,TRUE),OR(exact(Metadata!N850,"not applicable"),exact(Metadata!N850,"not collected"),exact(Metadata!N850,"not provided"))),AND(IF(Metadata!N850="",FALSE,IF(ISERROR(INT(Metadata!N850)),FALSE,INT(Metadata!N850)=Metadata!N850)),Metadata!N850&gt;0))</f>
        <v>0</v>
      </c>
      <c r="AP850">
        <f>OR(AND(IF(Metadata!O850="",FALSE,TRUE),OR(exact(Metadata!O850,"not collected"),exact(Metadata!O850,"not provided"))),AND(IF(Metadata!O850="",FALSE,ISNUMBER(VALUE(Metadata!O850))),Metadata!O850&gt;0))</f>
        <v>0</v>
      </c>
      <c r="AQ850">
        <f>AND(IF(Metadata!P850="",FALSE,TRUE),exact(Metadata!P850,"kg"))</f>
        <v>0</v>
      </c>
      <c r="AR850">
        <f>OR(AND(IF(Metadata!Q850="",FALSE,TRUE),OR(exact(Metadata!Q850,"not applicable"),exact(Metadata!Q850,"not collected"),exact(Metadata!Q850,"not provided"),exact(Metadata!Q850,"restricted access"))),IF(Metadata!Q850="",FALSE,IF(ISERROR(INT(Metadata!Q850)),FALSE,INT(Metadata!Q850)=Metadata!Q850)))</f>
        <v>0</v>
      </c>
      <c r="AS850">
        <f>AND(IF(Metadata!R850="",FALSE,TRUE),exact(Metadata!R850,"Not applicable"))</f>
        <v>0</v>
      </c>
    </row>
    <row r="851" spans="1:45">
      <c r="A851" s="4">
        <f>IF(B851=" "," ",HYPERLINK(CONCATENATE("#metadata!",ADDRESS(INDEX($X$2:$X$1001,MATCH(ROWS($V$2:V851),$V$2:$V$1001,0),0),2)),INDEX($AA$2:$AA$1001,MATCH(ROWS($V$2:V851),$V$2:$V$1001,0),0)))</f>
        <v>0</v>
      </c>
      <c r="B851" s="5">
        <f>IF(OR(INDEX($W$2:$W$1001,MATCH(ROWS($V$2:V851),$V$2:$V$1001,0),1)&gt;=100000,INDEX($AC$1005:$AS$1005,1,MATCH(COLUMNS($AC$1006:AC1006),$AC$1006:$AS$1006,0))&gt;=100000), " ",IF(INDEX($AC$2:$AS$1001,MATCH(ROWS($V$2:V851),$V$2:$V$1001,0),MATCH(COLUMNS($AC$1006:AC1006),$AC$1006:$AS$1006,0)), HYPERLINK("#",""), HYPERLINK(CONCATENATE("#Metadata!", ADDRESS(INDEX($X$2:$X$1001,MATCH(ROWS($V$2:V851),$V$2:$V$1001,0),0), INDEX($AC$1004:$AS$1004,1,MATCH(COLUMNS($AC$1006:AC1006),$AC$1006:$AS$1006,0)))),"Fix")))</f>
        <v>0</v>
      </c>
      <c r="C851" s="5">
        <f>IF(OR(INDEX($W$2:$W$1001,MATCH(ROWS($V$2:V851),$V$2:$V$1001,0),1)&gt;=100000,INDEX($AC$1005:$AS$1005,1,MATCH(COLUMNS($AC$1006:AD1006),$AC$1006:$AS$1006,0))&gt;=100000), " ",IF(INDEX($AC$2:$AS$1001,MATCH(ROWS($V$2:V851),$V$2:$V$1001,0),MATCH(COLUMNS($AC$1006:AD1006),$AC$1006:$AS$1006,0)), HYPERLINK("#",""), HYPERLINK(CONCATENATE("#Metadata!", ADDRESS(INDEX($X$2:$X$1001,MATCH(ROWS($V$2:V851),$V$2:$V$1001,0),0), INDEX($AC$1004:$AS$1004,1,MATCH(COLUMNS($AC$1006:AD1006),$AC$1006:$AS$1006,0)))),"Fix")))</f>
        <v>0</v>
      </c>
      <c r="D851" s="5">
        <f>IF(OR(INDEX($W$2:$W$1001,MATCH(ROWS($V$2:V851),$V$2:$V$1001,0),1)&gt;=100000,INDEX($AC$1005:$AS$1005,1,MATCH(COLUMNS($AC$1006:AE1006),$AC$1006:$AS$1006,0))&gt;=100000), " ",IF(INDEX($AC$2:$AS$1001,MATCH(ROWS($V$2:V851),$V$2:$V$1001,0),MATCH(COLUMNS($AC$1006:AE1006),$AC$1006:$AS$1006,0)), HYPERLINK("#",""), HYPERLINK(CONCATENATE("#Metadata!", ADDRESS(INDEX($X$2:$X$1001,MATCH(ROWS($V$2:V851),$V$2:$V$1001,0),0), INDEX($AC$1004:$AS$1004,1,MATCH(COLUMNS($AC$1006:AE1006),$AC$1006:$AS$1006,0)))),"Fix")))</f>
        <v>0</v>
      </c>
      <c r="E851" s="5">
        <f>IF(OR(INDEX($W$2:$W$1001,MATCH(ROWS($V$2:V851),$V$2:$V$1001,0),1)&gt;=100000,INDEX($AC$1005:$AS$1005,1,MATCH(COLUMNS($AC$1006:AF1006),$AC$1006:$AS$1006,0))&gt;=100000), " ",IF(INDEX($AC$2:$AS$1001,MATCH(ROWS($V$2:V851),$V$2:$V$1001,0),MATCH(COLUMNS($AC$1006:AF1006),$AC$1006:$AS$1006,0)), HYPERLINK("#",""), HYPERLINK(CONCATENATE("#Metadata!", ADDRESS(INDEX($X$2:$X$1001,MATCH(ROWS($V$2:V851),$V$2:$V$1001,0),0), INDEX($AC$1004:$AS$1004,1,MATCH(COLUMNS($AC$1006:AF1006),$AC$1006:$AS$1006,0)))),"Fix")))</f>
        <v>0</v>
      </c>
      <c r="F851" s="5">
        <f>IF(OR(INDEX($W$2:$W$1001,MATCH(ROWS($V$2:V851),$V$2:$V$1001,0),1)&gt;=100000,INDEX($AC$1005:$AS$1005,1,MATCH(COLUMNS($AC$1006:AG1006),$AC$1006:$AS$1006,0))&gt;=100000), " ",IF(INDEX($AC$2:$AS$1001,MATCH(ROWS($V$2:V851),$V$2:$V$1001,0),MATCH(COLUMNS($AC$1006:AG1006),$AC$1006:$AS$1006,0)), HYPERLINK("#",""), HYPERLINK(CONCATENATE("#Metadata!", ADDRESS(INDEX($X$2:$X$1001,MATCH(ROWS($V$2:V851),$V$2:$V$1001,0),0), INDEX($AC$1004:$AS$1004,1,MATCH(COLUMNS($AC$1006:AG1006),$AC$1006:$AS$1006,0)))),"Fix")))</f>
        <v>0</v>
      </c>
      <c r="G851" s="5">
        <f>IF(OR(INDEX($W$2:$W$1001,MATCH(ROWS($V$2:V851),$V$2:$V$1001,0),1)&gt;=100000,INDEX($AC$1005:$AS$1005,1,MATCH(COLUMNS($AC$1006:AH1006),$AC$1006:$AS$1006,0))&gt;=100000), " ",IF(INDEX($AC$2:$AS$1001,MATCH(ROWS($V$2:V851),$V$2:$V$1001,0),MATCH(COLUMNS($AC$1006:AH1006),$AC$1006:$AS$1006,0)), HYPERLINK("#",""), HYPERLINK(CONCATENATE("#Metadata!", ADDRESS(INDEX($X$2:$X$1001,MATCH(ROWS($V$2:V851),$V$2:$V$1001,0),0), INDEX($AC$1004:$AS$1004,1,MATCH(COLUMNS($AC$1006:AH1006),$AC$1006:$AS$1006,0)))),"Fix")))</f>
        <v>0</v>
      </c>
      <c r="H851" s="5">
        <f>IF(OR(INDEX($W$2:$W$1001,MATCH(ROWS($V$2:V851),$V$2:$V$1001,0),1)&gt;=100000,INDEX($AC$1005:$AS$1005,1,MATCH(COLUMNS($AC$1006:AI1006),$AC$1006:$AS$1006,0))&gt;=100000), " ",IF(INDEX($AC$2:$AS$1001,MATCH(ROWS($V$2:V851),$V$2:$V$1001,0),MATCH(COLUMNS($AC$1006:AI1006),$AC$1006:$AS$1006,0)), HYPERLINK("#",""), HYPERLINK(CONCATENATE("#Metadata!", ADDRESS(INDEX($X$2:$X$1001,MATCH(ROWS($V$2:V851),$V$2:$V$1001,0),0), INDEX($AC$1004:$AS$1004,1,MATCH(COLUMNS($AC$1006:AI1006),$AC$1006:$AS$1006,0)))),"Fix")))</f>
        <v>0</v>
      </c>
      <c r="I851" s="5">
        <f>IF(OR(INDEX($W$2:$W$1001,MATCH(ROWS($V$2:V851),$V$2:$V$1001,0),1)&gt;=100000,INDEX($AC$1005:$AS$1005,1,MATCH(COLUMNS($AC$1006:AJ1006),$AC$1006:$AS$1006,0))&gt;=100000), " ",IF(INDEX($AC$2:$AS$1001,MATCH(ROWS($V$2:V851),$V$2:$V$1001,0),MATCH(COLUMNS($AC$1006:AJ1006),$AC$1006:$AS$1006,0)), HYPERLINK("#",""), HYPERLINK(CONCATENATE("#Metadata!", ADDRESS(INDEX($X$2:$X$1001,MATCH(ROWS($V$2:V851),$V$2:$V$1001,0),0), INDEX($AC$1004:$AS$1004,1,MATCH(COLUMNS($AC$1006:AJ1006),$AC$1006:$AS$1006,0)))),"Fix")))</f>
        <v>0</v>
      </c>
      <c r="J851" s="5">
        <f>IF(OR(INDEX($W$2:$W$1001,MATCH(ROWS($V$2:V851),$V$2:$V$1001,0),1)&gt;=100000,INDEX($AC$1005:$AS$1005,1,MATCH(COLUMNS($AC$1006:AK1006),$AC$1006:$AS$1006,0))&gt;=100000), " ",IF(INDEX($AC$2:$AS$1001,MATCH(ROWS($V$2:V851),$V$2:$V$1001,0),MATCH(COLUMNS($AC$1006:AK1006),$AC$1006:$AS$1006,0)), HYPERLINK("#",""), HYPERLINK(CONCATENATE("#Metadata!", ADDRESS(INDEX($X$2:$X$1001,MATCH(ROWS($V$2:V851),$V$2:$V$1001,0),0), INDEX($AC$1004:$AS$1004,1,MATCH(COLUMNS($AC$1006:AK1006),$AC$1006:$AS$1006,0)))),"Fix")))</f>
        <v>0</v>
      </c>
      <c r="K851" s="5">
        <f>IF(OR(INDEX($W$2:$W$1001,MATCH(ROWS($V$2:V851),$V$2:$V$1001,0),1)&gt;=100000,INDEX($AC$1005:$AS$1005,1,MATCH(COLUMNS($AC$1006:AL1006),$AC$1006:$AS$1006,0))&gt;=100000), " ",IF(INDEX($AC$2:$AS$1001,MATCH(ROWS($V$2:V851),$V$2:$V$1001,0),MATCH(COLUMNS($AC$1006:AL1006),$AC$1006:$AS$1006,0)), HYPERLINK("#",""), HYPERLINK(CONCATENATE("#Metadata!", ADDRESS(INDEX($X$2:$X$1001,MATCH(ROWS($V$2:V851),$V$2:$V$1001,0),0), INDEX($AC$1004:$AS$1004,1,MATCH(COLUMNS($AC$1006:AL1006),$AC$1006:$AS$1006,0)))),"Fix")))</f>
        <v>0</v>
      </c>
      <c r="L851" s="5">
        <f>IF(OR(INDEX($W$2:$W$1001,MATCH(ROWS($V$2:V851),$V$2:$V$1001,0),1)&gt;=100000,INDEX($AC$1005:$AS$1005,1,MATCH(COLUMNS($AC$1006:AM1006),$AC$1006:$AS$1006,0))&gt;=100000), " ",IF(INDEX($AC$2:$AS$1001,MATCH(ROWS($V$2:V851),$V$2:$V$1001,0),MATCH(COLUMNS($AC$1006:AM1006),$AC$1006:$AS$1006,0)), HYPERLINK("#",""), HYPERLINK(CONCATENATE("#Metadata!", ADDRESS(INDEX($X$2:$X$1001,MATCH(ROWS($V$2:V851),$V$2:$V$1001,0),0), INDEX($AC$1004:$AS$1004,1,MATCH(COLUMNS($AC$1006:AM1006),$AC$1006:$AS$1006,0)))),"Fix")))</f>
        <v>0</v>
      </c>
      <c r="M851" s="5">
        <f>IF(OR(INDEX($W$2:$W$1001,MATCH(ROWS($V$2:V851),$V$2:$V$1001,0),1)&gt;=100000,INDEX($AC$1005:$AS$1005,1,MATCH(COLUMNS($AC$1006:AN1006),$AC$1006:$AS$1006,0))&gt;=100000), " ",IF(INDEX($AC$2:$AS$1001,MATCH(ROWS($V$2:V851),$V$2:$V$1001,0),MATCH(COLUMNS($AC$1006:AN1006),$AC$1006:$AS$1006,0)), HYPERLINK("#",""), HYPERLINK(CONCATENATE("#Metadata!", ADDRESS(INDEX($X$2:$X$1001,MATCH(ROWS($V$2:V851),$V$2:$V$1001,0),0), INDEX($AC$1004:$AS$1004,1,MATCH(COLUMNS($AC$1006:AN1006),$AC$1006:$AS$1006,0)))),"Fix")))</f>
        <v>0</v>
      </c>
      <c r="N851" s="5">
        <f>IF(OR(INDEX($W$2:$W$1001,MATCH(ROWS($V$2:V851),$V$2:$V$1001,0),1)&gt;=100000,INDEX($AC$1005:$AS$1005,1,MATCH(COLUMNS($AC$1006:AO1006),$AC$1006:$AS$1006,0))&gt;=100000), " ",IF(INDEX($AC$2:$AS$1001,MATCH(ROWS($V$2:V851),$V$2:$V$1001,0),MATCH(COLUMNS($AC$1006:AO1006),$AC$1006:$AS$1006,0)), HYPERLINK("#",""), HYPERLINK(CONCATENATE("#Metadata!", ADDRESS(INDEX($X$2:$X$1001,MATCH(ROWS($V$2:V851),$V$2:$V$1001,0),0), INDEX($AC$1004:$AS$1004,1,MATCH(COLUMNS($AC$1006:AO1006),$AC$1006:$AS$1006,0)))),"Fix")))</f>
        <v>0</v>
      </c>
      <c r="O851" s="5">
        <f>IF(OR(INDEX($W$2:$W$1001,MATCH(ROWS($V$2:V851),$V$2:$V$1001,0),1)&gt;=100000,INDEX($AC$1005:$AS$1005,1,MATCH(COLUMNS($AC$1006:AP1006),$AC$1006:$AS$1006,0))&gt;=100000), " ",IF(INDEX($AC$2:$AS$1001,MATCH(ROWS($V$2:V851),$V$2:$V$1001,0),MATCH(COLUMNS($AC$1006:AP1006),$AC$1006:$AS$1006,0)), HYPERLINK("#",""), HYPERLINK(CONCATENATE("#Metadata!", ADDRESS(INDEX($X$2:$X$1001,MATCH(ROWS($V$2:V851),$V$2:$V$1001,0),0), INDEX($AC$1004:$AS$1004,1,MATCH(COLUMNS($AC$1006:AP1006),$AC$1006:$AS$1006,0)))),"Fix")))</f>
        <v>0</v>
      </c>
      <c r="P851" s="5">
        <f>IF(OR(INDEX($W$2:$W$1001,MATCH(ROWS($V$2:V851),$V$2:$V$1001,0),1)&gt;=100000,INDEX($AC$1005:$AS$1005,1,MATCH(COLUMNS($AC$1006:AQ1006),$AC$1006:$AS$1006,0))&gt;=100000), " ",IF(INDEX($AC$2:$AS$1001,MATCH(ROWS($V$2:V851),$V$2:$V$1001,0),MATCH(COLUMNS($AC$1006:AQ1006),$AC$1006:$AS$1006,0)), HYPERLINK("#",""), HYPERLINK(CONCATENATE("#Metadata!", ADDRESS(INDEX($X$2:$X$1001,MATCH(ROWS($V$2:V851),$V$2:$V$1001,0),0), INDEX($AC$1004:$AS$1004,1,MATCH(COLUMNS($AC$1006:AQ1006),$AC$1006:$AS$1006,0)))),"Fix")))</f>
        <v>0</v>
      </c>
      <c r="Q851" s="5">
        <f>IF(OR(INDEX($W$2:$W$1001,MATCH(ROWS($V$2:V851),$V$2:$V$1001,0),1)&gt;=100000,INDEX($AC$1005:$AS$1005,1,MATCH(COLUMNS($AC$1006:AR1006),$AC$1006:$AS$1006,0))&gt;=100000), " ",IF(INDEX($AC$2:$AS$1001,MATCH(ROWS($V$2:V851),$V$2:$V$1001,0),MATCH(COLUMNS($AC$1006:AR1006),$AC$1006:$AS$1006,0)), HYPERLINK("#",""), HYPERLINK(CONCATENATE("#Metadata!", ADDRESS(INDEX($X$2:$X$1001,MATCH(ROWS($V$2:V851),$V$2:$V$1001,0),0), INDEX($AC$1004:$AS$1004,1,MATCH(COLUMNS($AC$1006:AR1006),$AC$1006:$AS$1006,0)))),"Fix")))</f>
        <v>0</v>
      </c>
      <c r="R851" s="5">
        <f>IF(OR(INDEX($W$2:$W$1001,MATCH(ROWS($V$2:V851),$V$2:$V$1001,0),1)&gt;=100000,INDEX($AC$1005:$AS$1005,1,MATCH(COLUMNS($AC$1006:AS1006),$AC$1006:$AS$1006,0))&gt;=100000), " ",IF(INDEX($AC$2:$AS$1001,MATCH(ROWS($V$2:V851),$V$2:$V$1001,0),MATCH(COLUMNS($AC$1006:AS1006),$AC$1006:$AS$1006,0)), HYPERLINK("#",""), HYPERLINK(CONCATENATE("#Metadata!", ADDRESS(INDEX($X$2:$X$1001,MATCH(ROWS($V$2:V851),$V$2:$V$1001,0),0), INDEX($AC$1004:$AS$1004,1,MATCH(COLUMNS($AC$1006:AS1006),$AC$1006:$AS$1006,0)))),"Fix")))</f>
        <v>0</v>
      </c>
      <c r="V851">
        <v>0</v>
      </c>
      <c r="W851">
        <v>0</v>
      </c>
      <c r="X851">
        <v>0</v>
      </c>
      <c r="Y851">
        <f>IF(Z851,TRUE,AND(AC851:AS851))</f>
        <v>0</v>
      </c>
      <c r="Z851">
        <f>COUNTBLANK(Metadata!B851:R851)=COLUMNS(Metadata!B851:R851)</f>
        <v>0</v>
      </c>
      <c r="AA851">
        <v>0</v>
      </c>
      <c r="AC851">
        <f>AND(IF(Metadata!B851="",FALSE,TRUE),COUNTIF(Metadata!B:B, Metadata!B851) = 1,NOT(ISERROR(SUMPRODUCT(SEARCH(MID(Metadata!B851,ROW(INDIRECT("1:"&amp;LEN(Metadata!B851))), 1),"0123456789abcdefghijklmnopqrstuvwxyzABCDEFGHIJKLMNOPQRSTUVWXYZ.")))))</f>
        <v>0</v>
      </c>
      <c r="AD851">
        <f>AND(IF(Metadata!C851="",FALSE,TRUE),exact(Metadata!C851,"Host-associated"))</f>
        <v>0</v>
      </c>
      <c r="AE851">
        <f>AND(IF(Metadata!D851="",FALSE,TRUE),OR(exact(Metadata!D851,"Animal"),exact(Metadata!D851,"Fungus"),exact(Metadata!D851,"Plant")))</f>
        <v>0</v>
      </c>
      <c r="AF851">
        <f>AND(IF(Metadata!E851="",FALSE,TRUE),OR(exact(Metadata!E851,"Plant secretion"),exact(Metadata!E851,"Plant rhizosphere"),exact(Metadata!E851,"Plant surface"),exact(Metadata!E851,"Plant corpus"),exact(Metadata!E851,"Fungus surface"),exact(Metadata!E851,"Fungus corpus"),exact(Metadata!E851,"Animal surface"),exact(Metadata!E851,"Animal proximal gut"),exact(Metadata!E851,"Animal corpus"),exact(Metadata!E851,"Animal distal gut"),exact(Metadata!E851,"Animal secretion")))</f>
        <v>0</v>
      </c>
      <c r="AG851">
        <f>OR(AND(IF(Metadata!F851="",FALSE,TRUE),OR(exact(Metadata!F851,"not collected"),exact(Metadata!F851,"not provided"),exact(Metadata!F851,"restricted access"))),AND(IF(Metadata!F851="",FALSE,TRUE),OR(exact(Metadata!F851,"organism-associated habitat"),exact(Metadata!F851,"plant-associated habitat"),exact(Metadata!F851,"animal-associated habitat"),exact(Metadata!F851,"insecta-associated habitat"),exact(Metadata!F851,"mammalia-associated habitat"),exact(Metadata!F851,"human-associated habitat"),exact(Metadata!F851,"livestock-associated habitat"))))</f>
        <v>0</v>
      </c>
      <c r="AH851">
        <f>AND(IF(Metadata!G851="",FALSE,TRUE),exact(Metadata!G851,"host-associated"))</f>
        <v>0</v>
      </c>
      <c r="AI851">
        <f>OR(AND(IF(Metadata!H851="",FALSE,TRUE),OR(exact(Metadata!H851,"not collected"),exact(Metadata!H851,"not provided"))),AND(IF(Metadata!H851="",FALSE,ISNUMBER(VALUE(Metadata!H851))),Metadata!H851&gt;0))</f>
        <v>0</v>
      </c>
      <c r="AJ851">
        <f>AND(IF(Metadata!I851="",FALSE,TRUE),exact(Metadata!I851,"years"))</f>
        <v>0</v>
      </c>
      <c r="AK851">
        <f>IF(Metadata!J851="",FALSE,TRUE)</f>
        <v>0</v>
      </c>
      <c r="AL851">
        <f>OR(AND(IF(Metadata!K851="",FALSE,TRUE),OR(exact(Metadata!K851,"not collected"),exact(Metadata!K851,"not provided"))),AND(IF(Metadata!K851="",FALSE,ISNUMBER(VALUE(Metadata!K851))),Metadata!K851&gt;0))</f>
        <v>0</v>
      </c>
      <c r="AM851">
        <f>AND(IF(Metadata!L851="",FALSE,TRUE),exact(Metadata!L851,"cm"))</f>
        <v>0</v>
      </c>
      <c r="AN851">
        <f>IF(Metadata!M851="",FALSE,TRUE)</f>
        <v>0</v>
      </c>
      <c r="AO851">
        <f>OR(AND(IF(Metadata!N851="",FALSE,TRUE),OR(exact(Metadata!N851,"not applicable"),exact(Metadata!N851,"not collected"),exact(Metadata!N851,"not provided"))),AND(IF(Metadata!N851="",FALSE,IF(ISERROR(INT(Metadata!N851)),FALSE,INT(Metadata!N851)=Metadata!N851)),Metadata!N851&gt;0))</f>
        <v>0</v>
      </c>
      <c r="AP851">
        <f>OR(AND(IF(Metadata!O851="",FALSE,TRUE),OR(exact(Metadata!O851,"not collected"),exact(Metadata!O851,"not provided"))),AND(IF(Metadata!O851="",FALSE,ISNUMBER(VALUE(Metadata!O851))),Metadata!O851&gt;0))</f>
        <v>0</v>
      </c>
      <c r="AQ851">
        <f>AND(IF(Metadata!P851="",FALSE,TRUE),exact(Metadata!P851,"kg"))</f>
        <v>0</v>
      </c>
      <c r="AR851">
        <f>OR(AND(IF(Metadata!Q851="",FALSE,TRUE),OR(exact(Metadata!Q851,"not applicable"),exact(Metadata!Q851,"not collected"),exact(Metadata!Q851,"not provided"),exact(Metadata!Q851,"restricted access"))),IF(Metadata!Q851="",FALSE,IF(ISERROR(INT(Metadata!Q851)),FALSE,INT(Metadata!Q851)=Metadata!Q851)))</f>
        <v>0</v>
      </c>
      <c r="AS851">
        <f>AND(IF(Metadata!R851="",FALSE,TRUE),exact(Metadata!R851,"Not applicable"))</f>
        <v>0</v>
      </c>
    </row>
    <row r="852" spans="1:45">
      <c r="A852" s="4">
        <f>IF(B852=" "," ",HYPERLINK(CONCATENATE("#metadata!",ADDRESS(INDEX($X$2:$X$1001,MATCH(ROWS($V$2:V852),$V$2:$V$1001,0),0),2)),INDEX($AA$2:$AA$1001,MATCH(ROWS($V$2:V852),$V$2:$V$1001,0),0)))</f>
        <v>0</v>
      </c>
      <c r="B852" s="5">
        <f>IF(OR(INDEX($W$2:$W$1001,MATCH(ROWS($V$2:V852),$V$2:$V$1001,0),1)&gt;=100000,INDEX($AC$1005:$AS$1005,1,MATCH(COLUMNS($AC$1006:AC1006),$AC$1006:$AS$1006,0))&gt;=100000), " ",IF(INDEX($AC$2:$AS$1001,MATCH(ROWS($V$2:V852),$V$2:$V$1001,0),MATCH(COLUMNS($AC$1006:AC1006),$AC$1006:$AS$1006,0)), HYPERLINK("#",""), HYPERLINK(CONCATENATE("#Metadata!", ADDRESS(INDEX($X$2:$X$1001,MATCH(ROWS($V$2:V852),$V$2:$V$1001,0),0), INDEX($AC$1004:$AS$1004,1,MATCH(COLUMNS($AC$1006:AC1006),$AC$1006:$AS$1006,0)))),"Fix")))</f>
        <v>0</v>
      </c>
      <c r="C852" s="5">
        <f>IF(OR(INDEX($W$2:$W$1001,MATCH(ROWS($V$2:V852),$V$2:$V$1001,0),1)&gt;=100000,INDEX($AC$1005:$AS$1005,1,MATCH(COLUMNS($AC$1006:AD1006),$AC$1006:$AS$1006,0))&gt;=100000), " ",IF(INDEX($AC$2:$AS$1001,MATCH(ROWS($V$2:V852),$V$2:$V$1001,0),MATCH(COLUMNS($AC$1006:AD1006),$AC$1006:$AS$1006,0)), HYPERLINK("#",""), HYPERLINK(CONCATENATE("#Metadata!", ADDRESS(INDEX($X$2:$X$1001,MATCH(ROWS($V$2:V852),$V$2:$V$1001,0),0), INDEX($AC$1004:$AS$1004,1,MATCH(COLUMNS($AC$1006:AD1006),$AC$1006:$AS$1006,0)))),"Fix")))</f>
        <v>0</v>
      </c>
      <c r="D852" s="5">
        <f>IF(OR(INDEX($W$2:$W$1001,MATCH(ROWS($V$2:V852),$V$2:$V$1001,0),1)&gt;=100000,INDEX($AC$1005:$AS$1005,1,MATCH(COLUMNS($AC$1006:AE1006),$AC$1006:$AS$1006,0))&gt;=100000), " ",IF(INDEX($AC$2:$AS$1001,MATCH(ROWS($V$2:V852),$V$2:$V$1001,0),MATCH(COLUMNS($AC$1006:AE1006),$AC$1006:$AS$1006,0)), HYPERLINK("#",""), HYPERLINK(CONCATENATE("#Metadata!", ADDRESS(INDEX($X$2:$X$1001,MATCH(ROWS($V$2:V852),$V$2:$V$1001,0),0), INDEX($AC$1004:$AS$1004,1,MATCH(COLUMNS($AC$1006:AE1006),$AC$1006:$AS$1006,0)))),"Fix")))</f>
        <v>0</v>
      </c>
      <c r="E852" s="5">
        <f>IF(OR(INDEX($W$2:$W$1001,MATCH(ROWS($V$2:V852),$V$2:$V$1001,0),1)&gt;=100000,INDEX($AC$1005:$AS$1005,1,MATCH(COLUMNS($AC$1006:AF1006),$AC$1006:$AS$1006,0))&gt;=100000), " ",IF(INDEX($AC$2:$AS$1001,MATCH(ROWS($V$2:V852),$V$2:$V$1001,0),MATCH(COLUMNS($AC$1006:AF1006),$AC$1006:$AS$1006,0)), HYPERLINK("#",""), HYPERLINK(CONCATENATE("#Metadata!", ADDRESS(INDEX($X$2:$X$1001,MATCH(ROWS($V$2:V852),$V$2:$V$1001,0),0), INDEX($AC$1004:$AS$1004,1,MATCH(COLUMNS($AC$1006:AF1006),$AC$1006:$AS$1006,0)))),"Fix")))</f>
        <v>0</v>
      </c>
      <c r="F852" s="5">
        <f>IF(OR(INDEX($W$2:$W$1001,MATCH(ROWS($V$2:V852),$V$2:$V$1001,0),1)&gt;=100000,INDEX($AC$1005:$AS$1005,1,MATCH(COLUMNS($AC$1006:AG1006),$AC$1006:$AS$1006,0))&gt;=100000), " ",IF(INDEX($AC$2:$AS$1001,MATCH(ROWS($V$2:V852),$V$2:$V$1001,0),MATCH(COLUMNS($AC$1006:AG1006),$AC$1006:$AS$1006,0)), HYPERLINK("#",""), HYPERLINK(CONCATENATE("#Metadata!", ADDRESS(INDEX($X$2:$X$1001,MATCH(ROWS($V$2:V852),$V$2:$V$1001,0),0), INDEX($AC$1004:$AS$1004,1,MATCH(COLUMNS($AC$1006:AG1006),$AC$1006:$AS$1006,0)))),"Fix")))</f>
        <v>0</v>
      </c>
      <c r="G852" s="5">
        <f>IF(OR(INDEX($W$2:$W$1001,MATCH(ROWS($V$2:V852),$V$2:$V$1001,0),1)&gt;=100000,INDEX($AC$1005:$AS$1005,1,MATCH(COLUMNS($AC$1006:AH1006),$AC$1006:$AS$1006,0))&gt;=100000), " ",IF(INDEX($AC$2:$AS$1001,MATCH(ROWS($V$2:V852),$V$2:$V$1001,0),MATCH(COLUMNS($AC$1006:AH1006),$AC$1006:$AS$1006,0)), HYPERLINK("#",""), HYPERLINK(CONCATENATE("#Metadata!", ADDRESS(INDEX($X$2:$X$1001,MATCH(ROWS($V$2:V852),$V$2:$V$1001,0),0), INDEX($AC$1004:$AS$1004,1,MATCH(COLUMNS($AC$1006:AH1006),$AC$1006:$AS$1006,0)))),"Fix")))</f>
        <v>0</v>
      </c>
      <c r="H852" s="5">
        <f>IF(OR(INDEX($W$2:$W$1001,MATCH(ROWS($V$2:V852),$V$2:$V$1001,0),1)&gt;=100000,INDEX($AC$1005:$AS$1005,1,MATCH(COLUMNS($AC$1006:AI1006),$AC$1006:$AS$1006,0))&gt;=100000), " ",IF(INDEX($AC$2:$AS$1001,MATCH(ROWS($V$2:V852),$V$2:$V$1001,0),MATCH(COLUMNS($AC$1006:AI1006),$AC$1006:$AS$1006,0)), HYPERLINK("#",""), HYPERLINK(CONCATENATE("#Metadata!", ADDRESS(INDEX($X$2:$X$1001,MATCH(ROWS($V$2:V852),$V$2:$V$1001,0),0), INDEX($AC$1004:$AS$1004,1,MATCH(COLUMNS($AC$1006:AI1006),$AC$1006:$AS$1006,0)))),"Fix")))</f>
        <v>0</v>
      </c>
      <c r="I852" s="5">
        <f>IF(OR(INDEX($W$2:$W$1001,MATCH(ROWS($V$2:V852),$V$2:$V$1001,0),1)&gt;=100000,INDEX($AC$1005:$AS$1005,1,MATCH(COLUMNS($AC$1006:AJ1006),$AC$1006:$AS$1006,0))&gt;=100000), " ",IF(INDEX($AC$2:$AS$1001,MATCH(ROWS($V$2:V852),$V$2:$V$1001,0),MATCH(COLUMNS($AC$1006:AJ1006),$AC$1006:$AS$1006,0)), HYPERLINK("#",""), HYPERLINK(CONCATENATE("#Metadata!", ADDRESS(INDEX($X$2:$X$1001,MATCH(ROWS($V$2:V852),$V$2:$V$1001,0),0), INDEX($AC$1004:$AS$1004,1,MATCH(COLUMNS($AC$1006:AJ1006),$AC$1006:$AS$1006,0)))),"Fix")))</f>
        <v>0</v>
      </c>
      <c r="J852" s="5">
        <f>IF(OR(INDEX($W$2:$W$1001,MATCH(ROWS($V$2:V852),$V$2:$V$1001,0),1)&gt;=100000,INDEX($AC$1005:$AS$1005,1,MATCH(COLUMNS($AC$1006:AK1006),$AC$1006:$AS$1006,0))&gt;=100000), " ",IF(INDEX($AC$2:$AS$1001,MATCH(ROWS($V$2:V852),$V$2:$V$1001,0),MATCH(COLUMNS($AC$1006:AK1006),$AC$1006:$AS$1006,0)), HYPERLINK("#",""), HYPERLINK(CONCATENATE("#Metadata!", ADDRESS(INDEX($X$2:$X$1001,MATCH(ROWS($V$2:V852),$V$2:$V$1001,0),0), INDEX($AC$1004:$AS$1004,1,MATCH(COLUMNS($AC$1006:AK1006),$AC$1006:$AS$1006,0)))),"Fix")))</f>
        <v>0</v>
      </c>
      <c r="K852" s="5">
        <f>IF(OR(INDEX($W$2:$W$1001,MATCH(ROWS($V$2:V852),$V$2:$V$1001,0),1)&gt;=100000,INDEX($AC$1005:$AS$1005,1,MATCH(COLUMNS($AC$1006:AL1006),$AC$1006:$AS$1006,0))&gt;=100000), " ",IF(INDEX($AC$2:$AS$1001,MATCH(ROWS($V$2:V852),$V$2:$V$1001,0),MATCH(COLUMNS($AC$1006:AL1006),$AC$1006:$AS$1006,0)), HYPERLINK("#",""), HYPERLINK(CONCATENATE("#Metadata!", ADDRESS(INDEX($X$2:$X$1001,MATCH(ROWS($V$2:V852),$V$2:$V$1001,0),0), INDEX($AC$1004:$AS$1004,1,MATCH(COLUMNS($AC$1006:AL1006),$AC$1006:$AS$1006,0)))),"Fix")))</f>
        <v>0</v>
      </c>
      <c r="L852" s="5">
        <f>IF(OR(INDEX($W$2:$W$1001,MATCH(ROWS($V$2:V852),$V$2:$V$1001,0),1)&gt;=100000,INDEX($AC$1005:$AS$1005,1,MATCH(COLUMNS($AC$1006:AM1006),$AC$1006:$AS$1006,0))&gt;=100000), " ",IF(INDEX($AC$2:$AS$1001,MATCH(ROWS($V$2:V852),$V$2:$V$1001,0),MATCH(COLUMNS($AC$1006:AM1006),$AC$1006:$AS$1006,0)), HYPERLINK("#",""), HYPERLINK(CONCATENATE("#Metadata!", ADDRESS(INDEX($X$2:$X$1001,MATCH(ROWS($V$2:V852),$V$2:$V$1001,0),0), INDEX($AC$1004:$AS$1004,1,MATCH(COLUMNS($AC$1006:AM1006),$AC$1006:$AS$1006,0)))),"Fix")))</f>
        <v>0</v>
      </c>
      <c r="M852" s="5">
        <f>IF(OR(INDEX($W$2:$W$1001,MATCH(ROWS($V$2:V852),$V$2:$V$1001,0),1)&gt;=100000,INDEX($AC$1005:$AS$1005,1,MATCH(COLUMNS($AC$1006:AN1006),$AC$1006:$AS$1006,0))&gt;=100000), " ",IF(INDEX($AC$2:$AS$1001,MATCH(ROWS($V$2:V852),$V$2:$V$1001,0),MATCH(COLUMNS($AC$1006:AN1006),$AC$1006:$AS$1006,0)), HYPERLINK("#",""), HYPERLINK(CONCATENATE("#Metadata!", ADDRESS(INDEX($X$2:$X$1001,MATCH(ROWS($V$2:V852),$V$2:$V$1001,0),0), INDEX($AC$1004:$AS$1004,1,MATCH(COLUMNS($AC$1006:AN1006),$AC$1006:$AS$1006,0)))),"Fix")))</f>
        <v>0</v>
      </c>
      <c r="N852" s="5">
        <f>IF(OR(INDEX($W$2:$W$1001,MATCH(ROWS($V$2:V852),$V$2:$V$1001,0),1)&gt;=100000,INDEX($AC$1005:$AS$1005,1,MATCH(COLUMNS($AC$1006:AO1006),$AC$1006:$AS$1006,0))&gt;=100000), " ",IF(INDEX($AC$2:$AS$1001,MATCH(ROWS($V$2:V852),$V$2:$V$1001,0),MATCH(COLUMNS($AC$1006:AO1006),$AC$1006:$AS$1006,0)), HYPERLINK("#",""), HYPERLINK(CONCATENATE("#Metadata!", ADDRESS(INDEX($X$2:$X$1001,MATCH(ROWS($V$2:V852),$V$2:$V$1001,0),0), INDEX($AC$1004:$AS$1004,1,MATCH(COLUMNS($AC$1006:AO1006),$AC$1006:$AS$1006,0)))),"Fix")))</f>
        <v>0</v>
      </c>
      <c r="O852" s="5">
        <f>IF(OR(INDEX($W$2:$W$1001,MATCH(ROWS($V$2:V852),$V$2:$V$1001,0),1)&gt;=100000,INDEX($AC$1005:$AS$1005,1,MATCH(COLUMNS($AC$1006:AP1006),$AC$1006:$AS$1006,0))&gt;=100000), " ",IF(INDEX($AC$2:$AS$1001,MATCH(ROWS($V$2:V852),$V$2:$V$1001,0),MATCH(COLUMNS($AC$1006:AP1006),$AC$1006:$AS$1006,0)), HYPERLINK("#",""), HYPERLINK(CONCATENATE("#Metadata!", ADDRESS(INDEX($X$2:$X$1001,MATCH(ROWS($V$2:V852),$V$2:$V$1001,0),0), INDEX($AC$1004:$AS$1004,1,MATCH(COLUMNS($AC$1006:AP1006),$AC$1006:$AS$1006,0)))),"Fix")))</f>
        <v>0</v>
      </c>
      <c r="P852" s="5">
        <f>IF(OR(INDEX($W$2:$W$1001,MATCH(ROWS($V$2:V852),$V$2:$V$1001,0),1)&gt;=100000,INDEX($AC$1005:$AS$1005,1,MATCH(COLUMNS($AC$1006:AQ1006),$AC$1006:$AS$1006,0))&gt;=100000), " ",IF(INDEX($AC$2:$AS$1001,MATCH(ROWS($V$2:V852),$V$2:$V$1001,0),MATCH(COLUMNS($AC$1006:AQ1006),$AC$1006:$AS$1006,0)), HYPERLINK("#",""), HYPERLINK(CONCATENATE("#Metadata!", ADDRESS(INDEX($X$2:$X$1001,MATCH(ROWS($V$2:V852),$V$2:$V$1001,0),0), INDEX($AC$1004:$AS$1004,1,MATCH(COLUMNS($AC$1006:AQ1006),$AC$1006:$AS$1006,0)))),"Fix")))</f>
        <v>0</v>
      </c>
      <c r="Q852" s="5">
        <f>IF(OR(INDEX($W$2:$W$1001,MATCH(ROWS($V$2:V852),$V$2:$V$1001,0),1)&gt;=100000,INDEX($AC$1005:$AS$1005,1,MATCH(COLUMNS($AC$1006:AR1006),$AC$1006:$AS$1006,0))&gt;=100000), " ",IF(INDEX($AC$2:$AS$1001,MATCH(ROWS($V$2:V852),$V$2:$V$1001,0),MATCH(COLUMNS($AC$1006:AR1006),$AC$1006:$AS$1006,0)), HYPERLINK("#",""), HYPERLINK(CONCATENATE("#Metadata!", ADDRESS(INDEX($X$2:$X$1001,MATCH(ROWS($V$2:V852),$V$2:$V$1001,0),0), INDEX($AC$1004:$AS$1004,1,MATCH(COLUMNS($AC$1006:AR1006),$AC$1006:$AS$1006,0)))),"Fix")))</f>
        <v>0</v>
      </c>
      <c r="R852" s="5">
        <f>IF(OR(INDEX($W$2:$W$1001,MATCH(ROWS($V$2:V852),$V$2:$V$1001,0),1)&gt;=100000,INDEX($AC$1005:$AS$1005,1,MATCH(COLUMNS($AC$1006:AS1006),$AC$1006:$AS$1006,0))&gt;=100000), " ",IF(INDEX($AC$2:$AS$1001,MATCH(ROWS($V$2:V852),$V$2:$V$1001,0),MATCH(COLUMNS($AC$1006:AS1006),$AC$1006:$AS$1006,0)), HYPERLINK("#",""), HYPERLINK(CONCATENATE("#Metadata!", ADDRESS(INDEX($X$2:$X$1001,MATCH(ROWS($V$2:V852),$V$2:$V$1001,0),0), INDEX($AC$1004:$AS$1004,1,MATCH(COLUMNS($AC$1006:AS1006),$AC$1006:$AS$1006,0)))),"Fix")))</f>
        <v>0</v>
      </c>
      <c r="V852">
        <v>0</v>
      </c>
      <c r="W852">
        <v>0</v>
      </c>
      <c r="X852">
        <v>0</v>
      </c>
      <c r="Y852">
        <f>IF(Z852,TRUE,AND(AC852:AS852))</f>
        <v>0</v>
      </c>
      <c r="Z852">
        <f>COUNTBLANK(Metadata!B852:R852)=COLUMNS(Metadata!B852:R852)</f>
        <v>0</v>
      </c>
      <c r="AA852">
        <v>0</v>
      </c>
      <c r="AC852">
        <f>AND(IF(Metadata!B852="",FALSE,TRUE),COUNTIF(Metadata!B:B, Metadata!B852) = 1,NOT(ISERROR(SUMPRODUCT(SEARCH(MID(Metadata!B852,ROW(INDIRECT("1:"&amp;LEN(Metadata!B852))), 1),"0123456789abcdefghijklmnopqrstuvwxyzABCDEFGHIJKLMNOPQRSTUVWXYZ.")))))</f>
        <v>0</v>
      </c>
      <c r="AD852">
        <f>AND(IF(Metadata!C852="",FALSE,TRUE),exact(Metadata!C852,"Host-associated"))</f>
        <v>0</v>
      </c>
      <c r="AE852">
        <f>AND(IF(Metadata!D852="",FALSE,TRUE),OR(exact(Metadata!D852,"Animal"),exact(Metadata!D852,"Fungus"),exact(Metadata!D852,"Plant")))</f>
        <v>0</v>
      </c>
      <c r="AF852">
        <f>AND(IF(Metadata!E852="",FALSE,TRUE),OR(exact(Metadata!E852,"Plant secretion"),exact(Metadata!E852,"Plant rhizosphere"),exact(Metadata!E852,"Plant surface"),exact(Metadata!E852,"Plant corpus"),exact(Metadata!E852,"Fungus surface"),exact(Metadata!E852,"Fungus corpus"),exact(Metadata!E852,"Animal surface"),exact(Metadata!E852,"Animal proximal gut"),exact(Metadata!E852,"Animal corpus"),exact(Metadata!E852,"Animal distal gut"),exact(Metadata!E852,"Animal secretion")))</f>
        <v>0</v>
      </c>
      <c r="AG852">
        <f>OR(AND(IF(Metadata!F852="",FALSE,TRUE),OR(exact(Metadata!F852,"not collected"),exact(Metadata!F852,"not provided"),exact(Metadata!F852,"restricted access"))),AND(IF(Metadata!F852="",FALSE,TRUE),OR(exact(Metadata!F852,"organism-associated habitat"),exact(Metadata!F852,"plant-associated habitat"),exact(Metadata!F852,"animal-associated habitat"),exact(Metadata!F852,"insecta-associated habitat"),exact(Metadata!F852,"mammalia-associated habitat"),exact(Metadata!F852,"human-associated habitat"),exact(Metadata!F852,"livestock-associated habitat"))))</f>
        <v>0</v>
      </c>
      <c r="AH852">
        <f>AND(IF(Metadata!G852="",FALSE,TRUE),exact(Metadata!G852,"host-associated"))</f>
        <v>0</v>
      </c>
      <c r="AI852">
        <f>OR(AND(IF(Metadata!H852="",FALSE,TRUE),OR(exact(Metadata!H852,"not collected"),exact(Metadata!H852,"not provided"))),AND(IF(Metadata!H852="",FALSE,ISNUMBER(VALUE(Metadata!H852))),Metadata!H852&gt;0))</f>
        <v>0</v>
      </c>
      <c r="AJ852">
        <f>AND(IF(Metadata!I852="",FALSE,TRUE),exact(Metadata!I852,"years"))</f>
        <v>0</v>
      </c>
      <c r="AK852">
        <f>IF(Metadata!J852="",FALSE,TRUE)</f>
        <v>0</v>
      </c>
      <c r="AL852">
        <f>OR(AND(IF(Metadata!K852="",FALSE,TRUE),OR(exact(Metadata!K852,"not collected"),exact(Metadata!K852,"not provided"))),AND(IF(Metadata!K852="",FALSE,ISNUMBER(VALUE(Metadata!K852))),Metadata!K852&gt;0))</f>
        <v>0</v>
      </c>
      <c r="AM852">
        <f>AND(IF(Metadata!L852="",FALSE,TRUE),exact(Metadata!L852,"cm"))</f>
        <v>0</v>
      </c>
      <c r="AN852">
        <f>IF(Metadata!M852="",FALSE,TRUE)</f>
        <v>0</v>
      </c>
      <c r="AO852">
        <f>OR(AND(IF(Metadata!N852="",FALSE,TRUE),OR(exact(Metadata!N852,"not applicable"),exact(Metadata!N852,"not collected"),exact(Metadata!N852,"not provided"))),AND(IF(Metadata!N852="",FALSE,IF(ISERROR(INT(Metadata!N852)),FALSE,INT(Metadata!N852)=Metadata!N852)),Metadata!N852&gt;0))</f>
        <v>0</v>
      </c>
      <c r="AP852">
        <f>OR(AND(IF(Metadata!O852="",FALSE,TRUE),OR(exact(Metadata!O852,"not collected"),exact(Metadata!O852,"not provided"))),AND(IF(Metadata!O852="",FALSE,ISNUMBER(VALUE(Metadata!O852))),Metadata!O852&gt;0))</f>
        <v>0</v>
      </c>
      <c r="AQ852">
        <f>AND(IF(Metadata!P852="",FALSE,TRUE),exact(Metadata!P852,"kg"))</f>
        <v>0</v>
      </c>
      <c r="AR852">
        <f>OR(AND(IF(Metadata!Q852="",FALSE,TRUE),OR(exact(Metadata!Q852,"not applicable"),exact(Metadata!Q852,"not collected"),exact(Metadata!Q852,"not provided"),exact(Metadata!Q852,"restricted access"))),IF(Metadata!Q852="",FALSE,IF(ISERROR(INT(Metadata!Q852)),FALSE,INT(Metadata!Q852)=Metadata!Q852)))</f>
        <v>0</v>
      </c>
      <c r="AS852">
        <f>AND(IF(Metadata!R852="",FALSE,TRUE),exact(Metadata!R852,"Not applicable"))</f>
        <v>0</v>
      </c>
    </row>
    <row r="853" spans="1:45">
      <c r="A853" s="4">
        <f>IF(B853=" "," ",HYPERLINK(CONCATENATE("#metadata!",ADDRESS(INDEX($X$2:$X$1001,MATCH(ROWS($V$2:V853),$V$2:$V$1001,0),0),2)),INDEX($AA$2:$AA$1001,MATCH(ROWS($V$2:V853),$V$2:$V$1001,0),0)))</f>
        <v>0</v>
      </c>
      <c r="B853" s="5">
        <f>IF(OR(INDEX($W$2:$W$1001,MATCH(ROWS($V$2:V853),$V$2:$V$1001,0),1)&gt;=100000,INDEX($AC$1005:$AS$1005,1,MATCH(COLUMNS($AC$1006:AC1006),$AC$1006:$AS$1006,0))&gt;=100000), " ",IF(INDEX($AC$2:$AS$1001,MATCH(ROWS($V$2:V853),$V$2:$V$1001,0),MATCH(COLUMNS($AC$1006:AC1006),$AC$1006:$AS$1006,0)), HYPERLINK("#",""), HYPERLINK(CONCATENATE("#Metadata!", ADDRESS(INDEX($X$2:$X$1001,MATCH(ROWS($V$2:V853),$V$2:$V$1001,0),0), INDEX($AC$1004:$AS$1004,1,MATCH(COLUMNS($AC$1006:AC1006),$AC$1006:$AS$1006,0)))),"Fix")))</f>
        <v>0</v>
      </c>
      <c r="C853" s="5">
        <f>IF(OR(INDEX($W$2:$W$1001,MATCH(ROWS($V$2:V853),$V$2:$V$1001,0),1)&gt;=100000,INDEX($AC$1005:$AS$1005,1,MATCH(COLUMNS($AC$1006:AD1006),$AC$1006:$AS$1006,0))&gt;=100000), " ",IF(INDEX($AC$2:$AS$1001,MATCH(ROWS($V$2:V853),$V$2:$V$1001,0),MATCH(COLUMNS($AC$1006:AD1006),$AC$1006:$AS$1006,0)), HYPERLINK("#",""), HYPERLINK(CONCATENATE("#Metadata!", ADDRESS(INDEX($X$2:$X$1001,MATCH(ROWS($V$2:V853),$V$2:$V$1001,0),0), INDEX($AC$1004:$AS$1004,1,MATCH(COLUMNS($AC$1006:AD1006),$AC$1006:$AS$1006,0)))),"Fix")))</f>
        <v>0</v>
      </c>
      <c r="D853" s="5">
        <f>IF(OR(INDEX($W$2:$W$1001,MATCH(ROWS($V$2:V853),$V$2:$V$1001,0),1)&gt;=100000,INDEX($AC$1005:$AS$1005,1,MATCH(COLUMNS($AC$1006:AE1006),$AC$1006:$AS$1006,0))&gt;=100000), " ",IF(INDEX($AC$2:$AS$1001,MATCH(ROWS($V$2:V853),$V$2:$V$1001,0),MATCH(COLUMNS($AC$1006:AE1006),$AC$1006:$AS$1006,0)), HYPERLINK("#",""), HYPERLINK(CONCATENATE("#Metadata!", ADDRESS(INDEX($X$2:$X$1001,MATCH(ROWS($V$2:V853),$V$2:$V$1001,0),0), INDEX($AC$1004:$AS$1004,1,MATCH(COLUMNS($AC$1006:AE1006),$AC$1006:$AS$1006,0)))),"Fix")))</f>
        <v>0</v>
      </c>
      <c r="E853" s="5">
        <f>IF(OR(INDEX($W$2:$W$1001,MATCH(ROWS($V$2:V853),$V$2:$V$1001,0),1)&gt;=100000,INDEX($AC$1005:$AS$1005,1,MATCH(COLUMNS($AC$1006:AF1006),$AC$1006:$AS$1006,0))&gt;=100000), " ",IF(INDEX($AC$2:$AS$1001,MATCH(ROWS($V$2:V853),$V$2:$V$1001,0),MATCH(COLUMNS($AC$1006:AF1006),$AC$1006:$AS$1006,0)), HYPERLINK("#",""), HYPERLINK(CONCATENATE("#Metadata!", ADDRESS(INDEX($X$2:$X$1001,MATCH(ROWS($V$2:V853),$V$2:$V$1001,0),0), INDEX($AC$1004:$AS$1004,1,MATCH(COLUMNS($AC$1006:AF1006),$AC$1006:$AS$1006,0)))),"Fix")))</f>
        <v>0</v>
      </c>
      <c r="F853" s="5">
        <f>IF(OR(INDEX($W$2:$W$1001,MATCH(ROWS($V$2:V853),$V$2:$V$1001,0),1)&gt;=100000,INDEX($AC$1005:$AS$1005,1,MATCH(COLUMNS($AC$1006:AG1006),$AC$1006:$AS$1006,0))&gt;=100000), " ",IF(INDEX($AC$2:$AS$1001,MATCH(ROWS($V$2:V853),$V$2:$V$1001,0),MATCH(COLUMNS($AC$1006:AG1006),$AC$1006:$AS$1006,0)), HYPERLINK("#",""), HYPERLINK(CONCATENATE("#Metadata!", ADDRESS(INDEX($X$2:$X$1001,MATCH(ROWS($V$2:V853),$V$2:$V$1001,0),0), INDEX($AC$1004:$AS$1004,1,MATCH(COLUMNS($AC$1006:AG1006),$AC$1006:$AS$1006,0)))),"Fix")))</f>
        <v>0</v>
      </c>
      <c r="G853" s="5">
        <f>IF(OR(INDEX($W$2:$W$1001,MATCH(ROWS($V$2:V853),$V$2:$V$1001,0),1)&gt;=100000,INDEX($AC$1005:$AS$1005,1,MATCH(COLUMNS($AC$1006:AH1006),$AC$1006:$AS$1006,0))&gt;=100000), " ",IF(INDEX($AC$2:$AS$1001,MATCH(ROWS($V$2:V853),$V$2:$V$1001,0),MATCH(COLUMNS($AC$1006:AH1006),$AC$1006:$AS$1006,0)), HYPERLINK("#",""), HYPERLINK(CONCATENATE("#Metadata!", ADDRESS(INDEX($X$2:$X$1001,MATCH(ROWS($V$2:V853),$V$2:$V$1001,0),0), INDEX($AC$1004:$AS$1004,1,MATCH(COLUMNS($AC$1006:AH1006),$AC$1006:$AS$1006,0)))),"Fix")))</f>
        <v>0</v>
      </c>
      <c r="H853" s="5">
        <f>IF(OR(INDEX($W$2:$W$1001,MATCH(ROWS($V$2:V853),$V$2:$V$1001,0),1)&gt;=100000,INDEX($AC$1005:$AS$1005,1,MATCH(COLUMNS($AC$1006:AI1006),$AC$1006:$AS$1006,0))&gt;=100000), " ",IF(INDEX($AC$2:$AS$1001,MATCH(ROWS($V$2:V853),$V$2:$V$1001,0),MATCH(COLUMNS($AC$1006:AI1006),$AC$1006:$AS$1006,0)), HYPERLINK("#",""), HYPERLINK(CONCATENATE("#Metadata!", ADDRESS(INDEX($X$2:$X$1001,MATCH(ROWS($V$2:V853),$V$2:$V$1001,0),0), INDEX($AC$1004:$AS$1004,1,MATCH(COLUMNS($AC$1006:AI1006),$AC$1006:$AS$1006,0)))),"Fix")))</f>
        <v>0</v>
      </c>
      <c r="I853" s="5">
        <f>IF(OR(INDEX($W$2:$W$1001,MATCH(ROWS($V$2:V853),$V$2:$V$1001,0),1)&gt;=100000,INDEX($AC$1005:$AS$1005,1,MATCH(COLUMNS($AC$1006:AJ1006),$AC$1006:$AS$1006,0))&gt;=100000), " ",IF(INDEX($AC$2:$AS$1001,MATCH(ROWS($V$2:V853),$V$2:$V$1001,0),MATCH(COLUMNS($AC$1006:AJ1006),$AC$1006:$AS$1006,0)), HYPERLINK("#",""), HYPERLINK(CONCATENATE("#Metadata!", ADDRESS(INDEX($X$2:$X$1001,MATCH(ROWS($V$2:V853),$V$2:$V$1001,0),0), INDEX($AC$1004:$AS$1004,1,MATCH(COLUMNS($AC$1006:AJ1006),$AC$1006:$AS$1006,0)))),"Fix")))</f>
        <v>0</v>
      </c>
      <c r="J853" s="5">
        <f>IF(OR(INDEX($W$2:$W$1001,MATCH(ROWS($V$2:V853),$V$2:$V$1001,0),1)&gt;=100000,INDEX($AC$1005:$AS$1005,1,MATCH(COLUMNS($AC$1006:AK1006),$AC$1006:$AS$1006,0))&gt;=100000), " ",IF(INDEX($AC$2:$AS$1001,MATCH(ROWS($V$2:V853),$V$2:$V$1001,0),MATCH(COLUMNS($AC$1006:AK1006),$AC$1006:$AS$1006,0)), HYPERLINK("#",""), HYPERLINK(CONCATENATE("#Metadata!", ADDRESS(INDEX($X$2:$X$1001,MATCH(ROWS($V$2:V853),$V$2:$V$1001,0),0), INDEX($AC$1004:$AS$1004,1,MATCH(COLUMNS($AC$1006:AK1006),$AC$1006:$AS$1006,0)))),"Fix")))</f>
        <v>0</v>
      </c>
      <c r="K853" s="5">
        <f>IF(OR(INDEX($W$2:$W$1001,MATCH(ROWS($V$2:V853),$V$2:$V$1001,0),1)&gt;=100000,INDEX($AC$1005:$AS$1005,1,MATCH(COLUMNS($AC$1006:AL1006),$AC$1006:$AS$1006,0))&gt;=100000), " ",IF(INDEX($AC$2:$AS$1001,MATCH(ROWS($V$2:V853),$V$2:$V$1001,0),MATCH(COLUMNS($AC$1006:AL1006),$AC$1006:$AS$1006,0)), HYPERLINK("#",""), HYPERLINK(CONCATENATE("#Metadata!", ADDRESS(INDEX($X$2:$X$1001,MATCH(ROWS($V$2:V853),$V$2:$V$1001,0),0), INDEX($AC$1004:$AS$1004,1,MATCH(COLUMNS($AC$1006:AL1006),$AC$1006:$AS$1006,0)))),"Fix")))</f>
        <v>0</v>
      </c>
      <c r="L853" s="5">
        <f>IF(OR(INDEX($W$2:$W$1001,MATCH(ROWS($V$2:V853),$V$2:$V$1001,0),1)&gt;=100000,INDEX($AC$1005:$AS$1005,1,MATCH(COLUMNS($AC$1006:AM1006),$AC$1006:$AS$1006,0))&gt;=100000), " ",IF(INDEX($AC$2:$AS$1001,MATCH(ROWS($V$2:V853),$V$2:$V$1001,0),MATCH(COLUMNS($AC$1006:AM1006),$AC$1006:$AS$1006,0)), HYPERLINK("#",""), HYPERLINK(CONCATENATE("#Metadata!", ADDRESS(INDEX($X$2:$X$1001,MATCH(ROWS($V$2:V853),$V$2:$V$1001,0),0), INDEX($AC$1004:$AS$1004,1,MATCH(COLUMNS($AC$1006:AM1006),$AC$1006:$AS$1006,0)))),"Fix")))</f>
        <v>0</v>
      </c>
      <c r="M853" s="5">
        <f>IF(OR(INDEX($W$2:$W$1001,MATCH(ROWS($V$2:V853),$V$2:$V$1001,0),1)&gt;=100000,INDEX($AC$1005:$AS$1005,1,MATCH(COLUMNS($AC$1006:AN1006),$AC$1006:$AS$1006,0))&gt;=100000), " ",IF(INDEX($AC$2:$AS$1001,MATCH(ROWS($V$2:V853),$V$2:$V$1001,0),MATCH(COLUMNS($AC$1006:AN1006),$AC$1006:$AS$1006,0)), HYPERLINK("#",""), HYPERLINK(CONCATENATE("#Metadata!", ADDRESS(INDEX($X$2:$X$1001,MATCH(ROWS($V$2:V853),$V$2:$V$1001,0),0), INDEX($AC$1004:$AS$1004,1,MATCH(COLUMNS($AC$1006:AN1006),$AC$1006:$AS$1006,0)))),"Fix")))</f>
        <v>0</v>
      </c>
      <c r="N853" s="5">
        <f>IF(OR(INDEX($W$2:$W$1001,MATCH(ROWS($V$2:V853),$V$2:$V$1001,0),1)&gt;=100000,INDEX($AC$1005:$AS$1005,1,MATCH(COLUMNS($AC$1006:AO1006),$AC$1006:$AS$1006,0))&gt;=100000), " ",IF(INDEX($AC$2:$AS$1001,MATCH(ROWS($V$2:V853),$V$2:$V$1001,0),MATCH(COLUMNS($AC$1006:AO1006),$AC$1006:$AS$1006,0)), HYPERLINK("#",""), HYPERLINK(CONCATENATE("#Metadata!", ADDRESS(INDEX($X$2:$X$1001,MATCH(ROWS($V$2:V853),$V$2:$V$1001,0),0), INDEX($AC$1004:$AS$1004,1,MATCH(COLUMNS($AC$1006:AO1006),$AC$1006:$AS$1006,0)))),"Fix")))</f>
        <v>0</v>
      </c>
      <c r="O853" s="5">
        <f>IF(OR(INDEX($W$2:$W$1001,MATCH(ROWS($V$2:V853),$V$2:$V$1001,0),1)&gt;=100000,INDEX($AC$1005:$AS$1005,1,MATCH(COLUMNS($AC$1006:AP1006),$AC$1006:$AS$1006,0))&gt;=100000), " ",IF(INDEX($AC$2:$AS$1001,MATCH(ROWS($V$2:V853),$V$2:$V$1001,0),MATCH(COLUMNS($AC$1006:AP1006),$AC$1006:$AS$1006,0)), HYPERLINK("#",""), HYPERLINK(CONCATENATE("#Metadata!", ADDRESS(INDEX($X$2:$X$1001,MATCH(ROWS($V$2:V853),$V$2:$V$1001,0),0), INDEX($AC$1004:$AS$1004,1,MATCH(COLUMNS($AC$1006:AP1006),$AC$1006:$AS$1006,0)))),"Fix")))</f>
        <v>0</v>
      </c>
      <c r="P853" s="5">
        <f>IF(OR(INDEX($W$2:$W$1001,MATCH(ROWS($V$2:V853),$V$2:$V$1001,0),1)&gt;=100000,INDEX($AC$1005:$AS$1005,1,MATCH(COLUMNS($AC$1006:AQ1006),$AC$1006:$AS$1006,0))&gt;=100000), " ",IF(INDEX($AC$2:$AS$1001,MATCH(ROWS($V$2:V853),$V$2:$V$1001,0),MATCH(COLUMNS($AC$1006:AQ1006),$AC$1006:$AS$1006,0)), HYPERLINK("#",""), HYPERLINK(CONCATENATE("#Metadata!", ADDRESS(INDEX($X$2:$X$1001,MATCH(ROWS($V$2:V853),$V$2:$V$1001,0),0), INDEX($AC$1004:$AS$1004,1,MATCH(COLUMNS($AC$1006:AQ1006),$AC$1006:$AS$1006,0)))),"Fix")))</f>
        <v>0</v>
      </c>
      <c r="Q853" s="5">
        <f>IF(OR(INDEX($W$2:$W$1001,MATCH(ROWS($V$2:V853),$V$2:$V$1001,0),1)&gt;=100000,INDEX($AC$1005:$AS$1005,1,MATCH(COLUMNS($AC$1006:AR1006),$AC$1006:$AS$1006,0))&gt;=100000), " ",IF(INDEX($AC$2:$AS$1001,MATCH(ROWS($V$2:V853),$V$2:$V$1001,0),MATCH(COLUMNS($AC$1006:AR1006),$AC$1006:$AS$1006,0)), HYPERLINK("#",""), HYPERLINK(CONCATENATE("#Metadata!", ADDRESS(INDEX($X$2:$X$1001,MATCH(ROWS($V$2:V853),$V$2:$V$1001,0),0), INDEX($AC$1004:$AS$1004,1,MATCH(COLUMNS($AC$1006:AR1006),$AC$1006:$AS$1006,0)))),"Fix")))</f>
        <v>0</v>
      </c>
      <c r="R853" s="5">
        <f>IF(OR(INDEX($W$2:$W$1001,MATCH(ROWS($V$2:V853),$V$2:$V$1001,0),1)&gt;=100000,INDEX($AC$1005:$AS$1005,1,MATCH(COLUMNS($AC$1006:AS1006),$AC$1006:$AS$1006,0))&gt;=100000), " ",IF(INDEX($AC$2:$AS$1001,MATCH(ROWS($V$2:V853),$V$2:$V$1001,0),MATCH(COLUMNS($AC$1006:AS1006),$AC$1006:$AS$1006,0)), HYPERLINK("#",""), HYPERLINK(CONCATENATE("#Metadata!", ADDRESS(INDEX($X$2:$X$1001,MATCH(ROWS($V$2:V853),$V$2:$V$1001,0),0), INDEX($AC$1004:$AS$1004,1,MATCH(COLUMNS($AC$1006:AS1006),$AC$1006:$AS$1006,0)))),"Fix")))</f>
        <v>0</v>
      </c>
      <c r="V853">
        <v>0</v>
      </c>
      <c r="W853">
        <v>0</v>
      </c>
      <c r="X853">
        <v>0</v>
      </c>
      <c r="Y853">
        <f>IF(Z853,TRUE,AND(AC853:AS853))</f>
        <v>0</v>
      </c>
      <c r="Z853">
        <f>COUNTBLANK(Metadata!B853:R853)=COLUMNS(Metadata!B853:R853)</f>
        <v>0</v>
      </c>
      <c r="AA853">
        <v>0</v>
      </c>
      <c r="AC853">
        <f>AND(IF(Metadata!B853="",FALSE,TRUE),COUNTIF(Metadata!B:B, Metadata!B853) = 1,NOT(ISERROR(SUMPRODUCT(SEARCH(MID(Metadata!B853,ROW(INDIRECT("1:"&amp;LEN(Metadata!B853))), 1),"0123456789abcdefghijklmnopqrstuvwxyzABCDEFGHIJKLMNOPQRSTUVWXYZ.")))))</f>
        <v>0</v>
      </c>
      <c r="AD853">
        <f>AND(IF(Metadata!C853="",FALSE,TRUE),exact(Metadata!C853,"Host-associated"))</f>
        <v>0</v>
      </c>
      <c r="AE853">
        <f>AND(IF(Metadata!D853="",FALSE,TRUE),OR(exact(Metadata!D853,"Animal"),exact(Metadata!D853,"Fungus"),exact(Metadata!D853,"Plant")))</f>
        <v>0</v>
      </c>
      <c r="AF853">
        <f>AND(IF(Metadata!E853="",FALSE,TRUE),OR(exact(Metadata!E853,"Plant secretion"),exact(Metadata!E853,"Plant rhizosphere"),exact(Metadata!E853,"Plant surface"),exact(Metadata!E853,"Plant corpus"),exact(Metadata!E853,"Fungus surface"),exact(Metadata!E853,"Fungus corpus"),exact(Metadata!E853,"Animal surface"),exact(Metadata!E853,"Animal proximal gut"),exact(Metadata!E853,"Animal corpus"),exact(Metadata!E853,"Animal distal gut"),exact(Metadata!E853,"Animal secretion")))</f>
        <v>0</v>
      </c>
      <c r="AG853">
        <f>OR(AND(IF(Metadata!F853="",FALSE,TRUE),OR(exact(Metadata!F853,"not collected"),exact(Metadata!F853,"not provided"),exact(Metadata!F853,"restricted access"))),AND(IF(Metadata!F853="",FALSE,TRUE),OR(exact(Metadata!F853,"organism-associated habitat"),exact(Metadata!F853,"plant-associated habitat"),exact(Metadata!F853,"animal-associated habitat"),exact(Metadata!F853,"insecta-associated habitat"),exact(Metadata!F853,"mammalia-associated habitat"),exact(Metadata!F853,"human-associated habitat"),exact(Metadata!F853,"livestock-associated habitat"))))</f>
        <v>0</v>
      </c>
      <c r="AH853">
        <f>AND(IF(Metadata!G853="",FALSE,TRUE),exact(Metadata!G853,"host-associated"))</f>
        <v>0</v>
      </c>
      <c r="AI853">
        <f>OR(AND(IF(Metadata!H853="",FALSE,TRUE),OR(exact(Metadata!H853,"not collected"),exact(Metadata!H853,"not provided"))),AND(IF(Metadata!H853="",FALSE,ISNUMBER(VALUE(Metadata!H853))),Metadata!H853&gt;0))</f>
        <v>0</v>
      </c>
      <c r="AJ853">
        <f>AND(IF(Metadata!I853="",FALSE,TRUE),exact(Metadata!I853,"years"))</f>
        <v>0</v>
      </c>
      <c r="AK853">
        <f>IF(Metadata!J853="",FALSE,TRUE)</f>
        <v>0</v>
      </c>
      <c r="AL853">
        <f>OR(AND(IF(Metadata!K853="",FALSE,TRUE),OR(exact(Metadata!K853,"not collected"),exact(Metadata!K853,"not provided"))),AND(IF(Metadata!K853="",FALSE,ISNUMBER(VALUE(Metadata!K853))),Metadata!K853&gt;0))</f>
        <v>0</v>
      </c>
      <c r="AM853">
        <f>AND(IF(Metadata!L853="",FALSE,TRUE),exact(Metadata!L853,"cm"))</f>
        <v>0</v>
      </c>
      <c r="AN853">
        <f>IF(Metadata!M853="",FALSE,TRUE)</f>
        <v>0</v>
      </c>
      <c r="AO853">
        <f>OR(AND(IF(Metadata!N853="",FALSE,TRUE),OR(exact(Metadata!N853,"not applicable"),exact(Metadata!N853,"not collected"),exact(Metadata!N853,"not provided"))),AND(IF(Metadata!N853="",FALSE,IF(ISERROR(INT(Metadata!N853)),FALSE,INT(Metadata!N853)=Metadata!N853)),Metadata!N853&gt;0))</f>
        <v>0</v>
      </c>
      <c r="AP853">
        <f>OR(AND(IF(Metadata!O853="",FALSE,TRUE),OR(exact(Metadata!O853,"not collected"),exact(Metadata!O853,"not provided"))),AND(IF(Metadata!O853="",FALSE,ISNUMBER(VALUE(Metadata!O853))),Metadata!O853&gt;0))</f>
        <v>0</v>
      </c>
      <c r="AQ853">
        <f>AND(IF(Metadata!P853="",FALSE,TRUE),exact(Metadata!P853,"kg"))</f>
        <v>0</v>
      </c>
      <c r="AR853">
        <f>OR(AND(IF(Metadata!Q853="",FALSE,TRUE),OR(exact(Metadata!Q853,"not applicable"),exact(Metadata!Q853,"not collected"),exact(Metadata!Q853,"not provided"),exact(Metadata!Q853,"restricted access"))),IF(Metadata!Q853="",FALSE,IF(ISERROR(INT(Metadata!Q853)),FALSE,INT(Metadata!Q853)=Metadata!Q853)))</f>
        <v>0</v>
      </c>
      <c r="AS853">
        <f>AND(IF(Metadata!R853="",FALSE,TRUE),exact(Metadata!R853,"Not applicable"))</f>
        <v>0</v>
      </c>
    </row>
    <row r="854" spans="1:45">
      <c r="A854" s="4">
        <f>IF(B854=" "," ",HYPERLINK(CONCATENATE("#metadata!",ADDRESS(INDEX($X$2:$X$1001,MATCH(ROWS($V$2:V854),$V$2:$V$1001,0),0),2)),INDEX($AA$2:$AA$1001,MATCH(ROWS($V$2:V854),$V$2:$V$1001,0),0)))</f>
        <v>0</v>
      </c>
      <c r="B854" s="5">
        <f>IF(OR(INDEX($W$2:$W$1001,MATCH(ROWS($V$2:V854),$V$2:$V$1001,0),1)&gt;=100000,INDEX($AC$1005:$AS$1005,1,MATCH(COLUMNS($AC$1006:AC1006),$AC$1006:$AS$1006,0))&gt;=100000), " ",IF(INDEX($AC$2:$AS$1001,MATCH(ROWS($V$2:V854),$V$2:$V$1001,0),MATCH(COLUMNS($AC$1006:AC1006),$AC$1006:$AS$1006,0)), HYPERLINK("#",""), HYPERLINK(CONCATENATE("#Metadata!", ADDRESS(INDEX($X$2:$X$1001,MATCH(ROWS($V$2:V854),$V$2:$V$1001,0),0), INDEX($AC$1004:$AS$1004,1,MATCH(COLUMNS($AC$1006:AC1006),$AC$1006:$AS$1006,0)))),"Fix")))</f>
        <v>0</v>
      </c>
      <c r="C854" s="5">
        <f>IF(OR(INDEX($W$2:$W$1001,MATCH(ROWS($V$2:V854),$V$2:$V$1001,0),1)&gt;=100000,INDEX($AC$1005:$AS$1005,1,MATCH(COLUMNS($AC$1006:AD1006),$AC$1006:$AS$1006,0))&gt;=100000), " ",IF(INDEX($AC$2:$AS$1001,MATCH(ROWS($V$2:V854),$V$2:$V$1001,0),MATCH(COLUMNS($AC$1006:AD1006),$AC$1006:$AS$1006,0)), HYPERLINK("#",""), HYPERLINK(CONCATENATE("#Metadata!", ADDRESS(INDEX($X$2:$X$1001,MATCH(ROWS($V$2:V854),$V$2:$V$1001,0),0), INDEX($AC$1004:$AS$1004,1,MATCH(COLUMNS($AC$1006:AD1006),$AC$1006:$AS$1006,0)))),"Fix")))</f>
        <v>0</v>
      </c>
      <c r="D854" s="5">
        <f>IF(OR(INDEX($W$2:$W$1001,MATCH(ROWS($V$2:V854),$V$2:$V$1001,0),1)&gt;=100000,INDEX($AC$1005:$AS$1005,1,MATCH(COLUMNS($AC$1006:AE1006),$AC$1006:$AS$1006,0))&gt;=100000), " ",IF(INDEX($AC$2:$AS$1001,MATCH(ROWS($V$2:V854),$V$2:$V$1001,0),MATCH(COLUMNS($AC$1006:AE1006),$AC$1006:$AS$1006,0)), HYPERLINK("#",""), HYPERLINK(CONCATENATE("#Metadata!", ADDRESS(INDEX($X$2:$X$1001,MATCH(ROWS($V$2:V854),$V$2:$V$1001,0),0), INDEX($AC$1004:$AS$1004,1,MATCH(COLUMNS($AC$1006:AE1006),$AC$1006:$AS$1006,0)))),"Fix")))</f>
        <v>0</v>
      </c>
      <c r="E854" s="5">
        <f>IF(OR(INDEX($W$2:$W$1001,MATCH(ROWS($V$2:V854),$V$2:$V$1001,0),1)&gt;=100000,INDEX($AC$1005:$AS$1005,1,MATCH(COLUMNS($AC$1006:AF1006),$AC$1006:$AS$1006,0))&gt;=100000), " ",IF(INDEX($AC$2:$AS$1001,MATCH(ROWS($V$2:V854),$V$2:$V$1001,0),MATCH(COLUMNS($AC$1006:AF1006),$AC$1006:$AS$1006,0)), HYPERLINK("#",""), HYPERLINK(CONCATENATE("#Metadata!", ADDRESS(INDEX($X$2:$X$1001,MATCH(ROWS($V$2:V854),$V$2:$V$1001,0),0), INDEX($AC$1004:$AS$1004,1,MATCH(COLUMNS($AC$1006:AF1006),$AC$1006:$AS$1006,0)))),"Fix")))</f>
        <v>0</v>
      </c>
      <c r="F854" s="5">
        <f>IF(OR(INDEX($W$2:$W$1001,MATCH(ROWS($V$2:V854),$V$2:$V$1001,0),1)&gt;=100000,INDEX($AC$1005:$AS$1005,1,MATCH(COLUMNS($AC$1006:AG1006),$AC$1006:$AS$1006,0))&gt;=100000), " ",IF(INDEX($AC$2:$AS$1001,MATCH(ROWS($V$2:V854),$V$2:$V$1001,0),MATCH(COLUMNS($AC$1006:AG1006),$AC$1006:$AS$1006,0)), HYPERLINK("#",""), HYPERLINK(CONCATENATE("#Metadata!", ADDRESS(INDEX($X$2:$X$1001,MATCH(ROWS($V$2:V854),$V$2:$V$1001,0),0), INDEX($AC$1004:$AS$1004,1,MATCH(COLUMNS($AC$1006:AG1006),$AC$1006:$AS$1006,0)))),"Fix")))</f>
        <v>0</v>
      </c>
      <c r="G854" s="5">
        <f>IF(OR(INDEX($W$2:$W$1001,MATCH(ROWS($V$2:V854),$V$2:$V$1001,0),1)&gt;=100000,INDEX($AC$1005:$AS$1005,1,MATCH(COLUMNS($AC$1006:AH1006),$AC$1006:$AS$1006,0))&gt;=100000), " ",IF(INDEX($AC$2:$AS$1001,MATCH(ROWS($V$2:V854),$V$2:$V$1001,0),MATCH(COLUMNS($AC$1006:AH1006),$AC$1006:$AS$1006,0)), HYPERLINK("#",""), HYPERLINK(CONCATENATE("#Metadata!", ADDRESS(INDEX($X$2:$X$1001,MATCH(ROWS($V$2:V854),$V$2:$V$1001,0),0), INDEX($AC$1004:$AS$1004,1,MATCH(COLUMNS($AC$1006:AH1006),$AC$1006:$AS$1006,0)))),"Fix")))</f>
        <v>0</v>
      </c>
      <c r="H854" s="5">
        <f>IF(OR(INDEX($W$2:$W$1001,MATCH(ROWS($V$2:V854),$V$2:$V$1001,0),1)&gt;=100000,INDEX($AC$1005:$AS$1005,1,MATCH(COLUMNS($AC$1006:AI1006),$AC$1006:$AS$1006,0))&gt;=100000), " ",IF(INDEX($AC$2:$AS$1001,MATCH(ROWS($V$2:V854),$V$2:$V$1001,0),MATCH(COLUMNS($AC$1006:AI1006),$AC$1006:$AS$1006,0)), HYPERLINK("#",""), HYPERLINK(CONCATENATE("#Metadata!", ADDRESS(INDEX($X$2:$X$1001,MATCH(ROWS($V$2:V854),$V$2:$V$1001,0),0), INDEX($AC$1004:$AS$1004,1,MATCH(COLUMNS($AC$1006:AI1006),$AC$1006:$AS$1006,0)))),"Fix")))</f>
        <v>0</v>
      </c>
      <c r="I854" s="5">
        <f>IF(OR(INDEX($W$2:$W$1001,MATCH(ROWS($V$2:V854),$V$2:$V$1001,0),1)&gt;=100000,INDEX($AC$1005:$AS$1005,1,MATCH(COLUMNS($AC$1006:AJ1006),$AC$1006:$AS$1006,0))&gt;=100000), " ",IF(INDEX($AC$2:$AS$1001,MATCH(ROWS($V$2:V854),$V$2:$V$1001,0),MATCH(COLUMNS($AC$1006:AJ1006),$AC$1006:$AS$1006,0)), HYPERLINK("#",""), HYPERLINK(CONCATENATE("#Metadata!", ADDRESS(INDEX($X$2:$X$1001,MATCH(ROWS($V$2:V854),$V$2:$V$1001,0),0), INDEX($AC$1004:$AS$1004,1,MATCH(COLUMNS($AC$1006:AJ1006),$AC$1006:$AS$1006,0)))),"Fix")))</f>
        <v>0</v>
      </c>
      <c r="J854" s="5">
        <f>IF(OR(INDEX($W$2:$W$1001,MATCH(ROWS($V$2:V854),$V$2:$V$1001,0),1)&gt;=100000,INDEX($AC$1005:$AS$1005,1,MATCH(COLUMNS($AC$1006:AK1006),$AC$1006:$AS$1006,0))&gt;=100000), " ",IF(INDEX($AC$2:$AS$1001,MATCH(ROWS($V$2:V854),$V$2:$V$1001,0),MATCH(COLUMNS($AC$1006:AK1006),$AC$1006:$AS$1006,0)), HYPERLINK("#",""), HYPERLINK(CONCATENATE("#Metadata!", ADDRESS(INDEX($X$2:$X$1001,MATCH(ROWS($V$2:V854),$V$2:$V$1001,0),0), INDEX($AC$1004:$AS$1004,1,MATCH(COLUMNS($AC$1006:AK1006),$AC$1006:$AS$1006,0)))),"Fix")))</f>
        <v>0</v>
      </c>
      <c r="K854" s="5">
        <f>IF(OR(INDEX($W$2:$W$1001,MATCH(ROWS($V$2:V854),$V$2:$V$1001,0),1)&gt;=100000,INDEX($AC$1005:$AS$1005,1,MATCH(COLUMNS($AC$1006:AL1006),$AC$1006:$AS$1006,0))&gt;=100000), " ",IF(INDEX($AC$2:$AS$1001,MATCH(ROWS($V$2:V854),$V$2:$V$1001,0),MATCH(COLUMNS($AC$1006:AL1006),$AC$1006:$AS$1006,0)), HYPERLINK("#",""), HYPERLINK(CONCATENATE("#Metadata!", ADDRESS(INDEX($X$2:$X$1001,MATCH(ROWS($V$2:V854),$V$2:$V$1001,0),0), INDEX($AC$1004:$AS$1004,1,MATCH(COLUMNS($AC$1006:AL1006),$AC$1006:$AS$1006,0)))),"Fix")))</f>
        <v>0</v>
      </c>
      <c r="L854" s="5">
        <f>IF(OR(INDEX($W$2:$W$1001,MATCH(ROWS($V$2:V854),$V$2:$V$1001,0),1)&gt;=100000,INDEX($AC$1005:$AS$1005,1,MATCH(COLUMNS($AC$1006:AM1006),$AC$1006:$AS$1006,0))&gt;=100000), " ",IF(INDEX($AC$2:$AS$1001,MATCH(ROWS($V$2:V854),$V$2:$V$1001,0),MATCH(COLUMNS($AC$1006:AM1006),$AC$1006:$AS$1006,0)), HYPERLINK("#",""), HYPERLINK(CONCATENATE("#Metadata!", ADDRESS(INDEX($X$2:$X$1001,MATCH(ROWS($V$2:V854),$V$2:$V$1001,0),0), INDEX($AC$1004:$AS$1004,1,MATCH(COLUMNS($AC$1006:AM1006),$AC$1006:$AS$1006,0)))),"Fix")))</f>
        <v>0</v>
      </c>
      <c r="M854" s="5">
        <f>IF(OR(INDEX($W$2:$W$1001,MATCH(ROWS($V$2:V854),$V$2:$V$1001,0),1)&gt;=100000,INDEX($AC$1005:$AS$1005,1,MATCH(COLUMNS($AC$1006:AN1006),$AC$1006:$AS$1006,0))&gt;=100000), " ",IF(INDEX($AC$2:$AS$1001,MATCH(ROWS($V$2:V854),$V$2:$V$1001,0),MATCH(COLUMNS($AC$1006:AN1006),$AC$1006:$AS$1006,0)), HYPERLINK("#",""), HYPERLINK(CONCATENATE("#Metadata!", ADDRESS(INDEX($X$2:$X$1001,MATCH(ROWS($V$2:V854),$V$2:$V$1001,0),0), INDEX($AC$1004:$AS$1004,1,MATCH(COLUMNS($AC$1006:AN1006),$AC$1006:$AS$1006,0)))),"Fix")))</f>
        <v>0</v>
      </c>
      <c r="N854" s="5">
        <f>IF(OR(INDEX($W$2:$W$1001,MATCH(ROWS($V$2:V854),$V$2:$V$1001,0),1)&gt;=100000,INDEX($AC$1005:$AS$1005,1,MATCH(COLUMNS($AC$1006:AO1006),$AC$1006:$AS$1006,0))&gt;=100000), " ",IF(INDEX($AC$2:$AS$1001,MATCH(ROWS($V$2:V854),$V$2:$V$1001,0),MATCH(COLUMNS($AC$1006:AO1006),$AC$1006:$AS$1006,0)), HYPERLINK("#",""), HYPERLINK(CONCATENATE("#Metadata!", ADDRESS(INDEX($X$2:$X$1001,MATCH(ROWS($V$2:V854),$V$2:$V$1001,0),0), INDEX($AC$1004:$AS$1004,1,MATCH(COLUMNS($AC$1006:AO1006),$AC$1006:$AS$1006,0)))),"Fix")))</f>
        <v>0</v>
      </c>
      <c r="O854" s="5">
        <f>IF(OR(INDEX($W$2:$W$1001,MATCH(ROWS($V$2:V854),$V$2:$V$1001,0),1)&gt;=100000,INDEX($AC$1005:$AS$1005,1,MATCH(COLUMNS($AC$1006:AP1006),$AC$1006:$AS$1006,0))&gt;=100000), " ",IF(INDEX($AC$2:$AS$1001,MATCH(ROWS($V$2:V854),$V$2:$V$1001,0),MATCH(COLUMNS($AC$1006:AP1006),$AC$1006:$AS$1006,0)), HYPERLINK("#",""), HYPERLINK(CONCATENATE("#Metadata!", ADDRESS(INDEX($X$2:$X$1001,MATCH(ROWS($V$2:V854),$V$2:$V$1001,0),0), INDEX($AC$1004:$AS$1004,1,MATCH(COLUMNS($AC$1006:AP1006),$AC$1006:$AS$1006,0)))),"Fix")))</f>
        <v>0</v>
      </c>
      <c r="P854" s="5">
        <f>IF(OR(INDEX($W$2:$W$1001,MATCH(ROWS($V$2:V854),$V$2:$V$1001,0),1)&gt;=100000,INDEX($AC$1005:$AS$1005,1,MATCH(COLUMNS($AC$1006:AQ1006),$AC$1006:$AS$1006,0))&gt;=100000), " ",IF(INDEX($AC$2:$AS$1001,MATCH(ROWS($V$2:V854),$V$2:$V$1001,0),MATCH(COLUMNS($AC$1006:AQ1006),$AC$1006:$AS$1006,0)), HYPERLINK("#",""), HYPERLINK(CONCATENATE("#Metadata!", ADDRESS(INDEX($X$2:$X$1001,MATCH(ROWS($V$2:V854),$V$2:$V$1001,0),0), INDEX($AC$1004:$AS$1004,1,MATCH(COLUMNS($AC$1006:AQ1006),$AC$1006:$AS$1006,0)))),"Fix")))</f>
        <v>0</v>
      </c>
      <c r="Q854" s="5">
        <f>IF(OR(INDEX($W$2:$W$1001,MATCH(ROWS($V$2:V854),$V$2:$V$1001,0),1)&gt;=100000,INDEX($AC$1005:$AS$1005,1,MATCH(COLUMNS($AC$1006:AR1006),$AC$1006:$AS$1006,0))&gt;=100000), " ",IF(INDEX($AC$2:$AS$1001,MATCH(ROWS($V$2:V854),$V$2:$V$1001,0),MATCH(COLUMNS($AC$1006:AR1006),$AC$1006:$AS$1006,0)), HYPERLINK("#",""), HYPERLINK(CONCATENATE("#Metadata!", ADDRESS(INDEX($X$2:$X$1001,MATCH(ROWS($V$2:V854),$V$2:$V$1001,0),0), INDEX($AC$1004:$AS$1004,1,MATCH(COLUMNS($AC$1006:AR1006),$AC$1006:$AS$1006,0)))),"Fix")))</f>
        <v>0</v>
      </c>
      <c r="R854" s="5">
        <f>IF(OR(INDEX($W$2:$W$1001,MATCH(ROWS($V$2:V854),$V$2:$V$1001,0),1)&gt;=100000,INDEX($AC$1005:$AS$1005,1,MATCH(COLUMNS($AC$1006:AS1006),$AC$1006:$AS$1006,0))&gt;=100000), " ",IF(INDEX($AC$2:$AS$1001,MATCH(ROWS($V$2:V854),$V$2:$V$1001,0),MATCH(COLUMNS($AC$1006:AS1006),$AC$1006:$AS$1006,0)), HYPERLINK("#",""), HYPERLINK(CONCATENATE("#Metadata!", ADDRESS(INDEX($X$2:$X$1001,MATCH(ROWS($V$2:V854),$V$2:$V$1001,0),0), INDEX($AC$1004:$AS$1004,1,MATCH(COLUMNS($AC$1006:AS1006),$AC$1006:$AS$1006,0)))),"Fix")))</f>
        <v>0</v>
      </c>
      <c r="V854">
        <v>0</v>
      </c>
      <c r="W854">
        <v>0</v>
      </c>
      <c r="X854">
        <v>0</v>
      </c>
      <c r="Y854">
        <f>IF(Z854,TRUE,AND(AC854:AS854))</f>
        <v>0</v>
      </c>
      <c r="Z854">
        <f>COUNTBLANK(Metadata!B854:R854)=COLUMNS(Metadata!B854:R854)</f>
        <v>0</v>
      </c>
      <c r="AA854">
        <v>0</v>
      </c>
      <c r="AC854">
        <f>AND(IF(Metadata!B854="",FALSE,TRUE),COUNTIF(Metadata!B:B, Metadata!B854) = 1,NOT(ISERROR(SUMPRODUCT(SEARCH(MID(Metadata!B854,ROW(INDIRECT("1:"&amp;LEN(Metadata!B854))), 1),"0123456789abcdefghijklmnopqrstuvwxyzABCDEFGHIJKLMNOPQRSTUVWXYZ.")))))</f>
        <v>0</v>
      </c>
      <c r="AD854">
        <f>AND(IF(Metadata!C854="",FALSE,TRUE),exact(Metadata!C854,"Host-associated"))</f>
        <v>0</v>
      </c>
      <c r="AE854">
        <f>AND(IF(Metadata!D854="",FALSE,TRUE),OR(exact(Metadata!D854,"Animal"),exact(Metadata!D854,"Fungus"),exact(Metadata!D854,"Plant")))</f>
        <v>0</v>
      </c>
      <c r="AF854">
        <f>AND(IF(Metadata!E854="",FALSE,TRUE),OR(exact(Metadata!E854,"Plant secretion"),exact(Metadata!E854,"Plant rhizosphere"),exact(Metadata!E854,"Plant surface"),exact(Metadata!E854,"Plant corpus"),exact(Metadata!E854,"Fungus surface"),exact(Metadata!E854,"Fungus corpus"),exact(Metadata!E854,"Animal surface"),exact(Metadata!E854,"Animal proximal gut"),exact(Metadata!E854,"Animal corpus"),exact(Metadata!E854,"Animal distal gut"),exact(Metadata!E854,"Animal secretion")))</f>
        <v>0</v>
      </c>
      <c r="AG854">
        <f>OR(AND(IF(Metadata!F854="",FALSE,TRUE),OR(exact(Metadata!F854,"not collected"),exact(Metadata!F854,"not provided"),exact(Metadata!F854,"restricted access"))),AND(IF(Metadata!F854="",FALSE,TRUE),OR(exact(Metadata!F854,"organism-associated habitat"),exact(Metadata!F854,"plant-associated habitat"),exact(Metadata!F854,"animal-associated habitat"),exact(Metadata!F854,"insecta-associated habitat"),exact(Metadata!F854,"mammalia-associated habitat"),exact(Metadata!F854,"human-associated habitat"),exact(Metadata!F854,"livestock-associated habitat"))))</f>
        <v>0</v>
      </c>
      <c r="AH854">
        <f>AND(IF(Metadata!G854="",FALSE,TRUE),exact(Metadata!G854,"host-associated"))</f>
        <v>0</v>
      </c>
      <c r="AI854">
        <f>OR(AND(IF(Metadata!H854="",FALSE,TRUE),OR(exact(Metadata!H854,"not collected"),exact(Metadata!H854,"not provided"))),AND(IF(Metadata!H854="",FALSE,ISNUMBER(VALUE(Metadata!H854))),Metadata!H854&gt;0))</f>
        <v>0</v>
      </c>
      <c r="AJ854">
        <f>AND(IF(Metadata!I854="",FALSE,TRUE),exact(Metadata!I854,"years"))</f>
        <v>0</v>
      </c>
      <c r="AK854">
        <f>IF(Metadata!J854="",FALSE,TRUE)</f>
        <v>0</v>
      </c>
      <c r="AL854">
        <f>OR(AND(IF(Metadata!K854="",FALSE,TRUE),OR(exact(Metadata!K854,"not collected"),exact(Metadata!K854,"not provided"))),AND(IF(Metadata!K854="",FALSE,ISNUMBER(VALUE(Metadata!K854))),Metadata!K854&gt;0))</f>
        <v>0</v>
      </c>
      <c r="AM854">
        <f>AND(IF(Metadata!L854="",FALSE,TRUE),exact(Metadata!L854,"cm"))</f>
        <v>0</v>
      </c>
      <c r="AN854">
        <f>IF(Metadata!M854="",FALSE,TRUE)</f>
        <v>0</v>
      </c>
      <c r="AO854">
        <f>OR(AND(IF(Metadata!N854="",FALSE,TRUE),OR(exact(Metadata!N854,"not applicable"),exact(Metadata!N854,"not collected"),exact(Metadata!N854,"not provided"))),AND(IF(Metadata!N854="",FALSE,IF(ISERROR(INT(Metadata!N854)),FALSE,INT(Metadata!N854)=Metadata!N854)),Metadata!N854&gt;0))</f>
        <v>0</v>
      </c>
      <c r="AP854">
        <f>OR(AND(IF(Metadata!O854="",FALSE,TRUE),OR(exact(Metadata!O854,"not collected"),exact(Metadata!O854,"not provided"))),AND(IF(Metadata!O854="",FALSE,ISNUMBER(VALUE(Metadata!O854))),Metadata!O854&gt;0))</f>
        <v>0</v>
      </c>
      <c r="AQ854">
        <f>AND(IF(Metadata!P854="",FALSE,TRUE),exact(Metadata!P854,"kg"))</f>
        <v>0</v>
      </c>
      <c r="AR854">
        <f>OR(AND(IF(Metadata!Q854="",FALSE,TRUE),OR(exact(Metadata!Q854,"not applicable"),exact(Metadata!Q854,"not collected"),exact(Metadata!Q854,"not provided"),exact(Metadata!Q854,"restricted access"))),IF(Metadata!Q854="",FALSE,IF(ISERROR(INT(Metadata!Q854)),FALSE,INT(Metadata!Q854)=Metadata!Q854)))</f>
        <v>0</v>
      </c>
      <c r="AS854">
        <f>AND(IF(Metadata!R854="",FALSE,TRUE),exact(Metadata!R854,"Not applicable"))</f>
        <v>0</v>
      </c>
    </row>
    <row r="855" spans="1:45">
      <c r="A855" s="4">
        <f>IF(B855=" "," ",HYPERLINK(CONCATENATE("#metadata!",ADDRESS(INDEX($X$2:$X$1001,MATCH(ROWS($V$2:V855),$V$2:$V$1001,0),0),2)),INDEX($AA$2:$AA$1001,MATCH(ROWS($V$2:V855),$V$2:$V$1001,0),0)))</f>
        <v>0</v>
      </c>
      <c r="B855" s="5">
        <f>IF(OR(INDEX($W$2:$W$1001,MATCH(ROWS($V$2:V855),$V$2:$V$1001,0),1)&gt;=100000,INDEX($AC$1005:$AS$1005,1,MATCH(COLUMNS($AC$1006:AC1006),$AC$1006:$AS$1006,0))&gt;=100000), " ",IF(INDEX($AC$2:$AS$1001,MATCH(ROWS($V$2:V855),$V$2:$V$1001,0),MATCH(COLUMNS($AC$1006:AC1006),$AC$1006:$AS$1006,0)), HYPERLINK("#",""), HYPERLINK(CONCATENATE("#Metadata!", ADDRESS(INDEX($X$2:$X$1001,MATCH(ROWS($V$2:V855),$V$2:$V$1001,0),0), INDEX($AC$1004:$AS$1004,1,MATCH(COLUMNS($AC$1006:AC1006),$AC$1006:$AS$1006,0)))),"Fix")))</f>
        <v>0</v>
      </c>
      <c r="C855" s="5">
        <f>IF(OR(INDEX($W$2:$W$1001,MATCH(ROWS($V$2:V855),$V$2:$V$1001,0),1)&gt;=100000,INDEX($AC$1005:$AS$1005,1,MATCH(COLUMNS($AC$1006:AD1006),$AC$1006:$AS$1006,0))&gt;=100000), " ",IF(INDEX($AC$2:$AS$1001,MATCH(ROWS($V$2:V855),$V$2:$V$1001,0),MATCH(COLUMNS($AC$1006:AD1006),$AC$1006:$AS$1006,0)), HYPERLINK("#",""), HYPERLINK(CONCATENATE("#Metadata!", ADDRESS(INDEX($X$2:$X$1001,MATCH(ROWS($V$2:V855),$V$2:$V$1001,0),0), INDEX($AC$1004:$AS$1004,1,MATCH(COLUMNS($AC$1006:AD1006),$AC$1006:$AS$1006,0)))),"Fix")))</f>
        <v>0</v>
      </c>
      <c r="D855" s="5">
        <f>IF(OR(INDEX($W$2:$W$1001,MATCH(ROWS($V$2:V855),$V$2:$V$1001,0),1)&gt;=100000,INDEX($AC$1005:$AS$1005,1,MATCH(COLUMNS($AC$1006:AE1006),$AC$1006:$AS$1006,0))&gt;=100000), " ",IF(INDEX($AC$2:$AS$1001,MATCH(ROWS($V$2:V855),$V$2:$V$1001,0),MATCH(COLUMNS($AC$1006:AE1006),$AC$1006:$AS$1006,0)), HYPERLINK("#",""), HYPERLINK(CONCATENATE("#Metadata!", ADDRESS(INDEX($X$2:$X$1001,MATCH(ROWS($V$2:V855),$V$2:$V$1001,0),0), INDEX($AC$1004:$AS$1004,1,MATCH(COLUMNS($AC$1006:AE1006),$AC$1006:$AS$1006,0)))),"Fix")))</f>
        <v>0</v>
      </c>
      <c r="E855" s="5">
        <f>IF(OR(INDEX($W$2:$W$1001,MATCH(ROWS($V$2:V855),$V$2:$V$1001,0),1)&gt;=100000,INDEX($AC$1005:$AS$1005,1,MATCH(COLUMNS($AC$1006:AF1006),$AC$1006:$AS$1006,0))&gt;=100000), " ",IF(INDEX($AC$2:$AS$1001,MATCH(ROWS($V$2:V855),$V$2:$V$1001,0),MATCH(COLUMNS($AC$1006:AF1006),$AC$1006:$AS$1006,0)), HYPERLINK("#",""), HYPERLINK(CONCATENATE("#Metadata!", ADDRESS(INDEX($X$2:$X$1001,MATCH(ROWS($V$2:V855),$V$2:$V$1001,0),0), INDEX($AC$1004:$AS$1004,1,MATCH(COLUMNS($AC$1006:AF1006),$AC$1006:$AS$1006,0)))),"Fix")))</f>
        <v>0</v>
      </c>
      <c r="F855" s="5">
        <f>IF(OR(INDEX($W$2:$W$1001,MATCH(ROWS($V$2:V855),$V$2:$V$1001,0),1)&gt;=100000,INDEX($AC$1005:$AS$1005,1,MATCH(COLUMNS($AC$1006:AG1006),$AC$1006:$AS$1006,0))&gt;=100000), " ",IF(INDEX($AC$2:$AS$1001,MATCH(ROWS($V$2:V855),$V$2:$V$1001,0),MATCH(COLUMNS($AC$1006:AG1006),$AC$1006:$AS$1006,0)), HYPERLINK("#",""), HYPERLINK(CONCATENATE("#Metadata!", ADDRESS(INDEX($X$2:$X$1001,MATCH(ROWS($V$2:V855),$V$2:$V$1001,0),0), INDEX($AC$1004:$AS$1004,1,MATCH(COLUMNS($AC$1006:AG1006),$AC$1006:$AS$1006,0)))),"Fix")))</f>
        <v>0</v>
      </c>
      <c r="G855" s="5">
        <f>IF(OR(INDEX($W$2:$W$1001,MATCH(ROWS($V$2:V855),$V$2:$V$1001,0),1)&gt;=100000,INDEX($AC$1005:$AS$1005,1,MATCH(COLUMNS($AC$1006:AH1006),$AC$1006:$AS$1006,0))&gt;=100000), " ",IF(INDEX($AC$2:$AS$1001,MATCH(ROWS($V$2:V855),$V$2:$V$1001,0),MATCH(COLUMNS($AC$1006:AH1006),$AC$1006:$AS$1006,0)), HYPERLINK("#",""), HYPERLINK(CONCATENATE("#Metadata!", ADDRESS(INDEX($X$2:$X$1001,MATCH(ROWS($V$2:V855),$V$2:$V$1001,0),0), INDEX($AC$1004:$AS$1004,1,MATCH(COLUMNS($AC$1006:AH1006),$AC$1006:$AS$1006,0)))),"Fix")))</f>
        <v>0</v>
      </c>
      <c r="H855" s="5">
        <f>IF(OR(INDEX($W$2:$W$1001,MATCH(ROWS($V$2:V855),$V$2:$V$1001,0),1)&gt;=100000,INDEX($AC$1005:$AS$1005,1,MATCH(COLUMNS($AC$1006:AI1006),$AC$1006:$AS$1006,0))&gt;=100000), " ",IF(INDEX($AC$2:$AS$1001,MATCH(ROWS($V$2:V855),$V$2:$V$1001,0),MATCH(COLUMNS($AC$1006:AI1006),$AC$1006:$AS$1006,0)), HYPERLINK("#",""), HYPERLINK(CONCATENATE("#Metadata!", ADDRESS(INDEX($X$2:$X$1001,MATCH(ROWS($V$2:V855),$V$2:$V$1001,0),0), INDEX($AC$1004:$AS$1004,1,MATCH(COLUMNS($AC$1006:AI1006),$AC$1006:$AS$1006,0)))),"Fix")))</f>
        <v>0</v>
      </c>
      <c r="I855" s="5">
        <f>IF(OR(INDEX($W$2:$W$1001,MATCH(ROWS($V$2:V855),$V$2:$V$1001,0),1)&gt;=100000,INDEX($AC$1005:$AS$1005,1,MATCH(COLUMNS($AC$1006:AJ1006),$AC$1006:$AS$1006,0))&gt;=100000), " ",IF(INDEX($AC$2:$AS$1001,MATCH(ROWS($V$2:V855),$V$2:$V$1001,0),MATCH(COLUMNS($AC$1006:AJ1006),$AC$1006:$AS$1006,0)), HYPERLINK("#",""), HYPERLINK(CONCATENATE("#Metadata!", ADDRESS(INDEX($X$2:$X$1001,MATCH(ROWS($V$2:V855),$V$2:$V$1001,0),0), INDEX($AC$1004:$AS$1004,1,MATCH(COLUMNS($AC$1006:AJ1006),$AC$1006:$AS$1006,0)))),"Fix")))</f>
        <v>0</v>
      </c>
      <c r="J855" s="5">
        <f>IF(OR(INDEX($W$2:$W$1001,MATCH(ROWS($V$2:V855),$V$2:$V$1001,0),1)&gt;=100000,INDEX($AC$1005:$AS$1005,1,MATCH(COLUMNS($AC$1006:AK1006),$AC$1006:$AS$1006,0))&gt;=100000), " ",IF(INDEX($AC$2:$AS$1001,MATCH(ROWS($V$2:V855),$V$2:$V$1001,0),MATCH(COLUMNS($AC$1006:AK1006),$AC$1006:$AS$1006,0)), HYPERLINK("#",""), HYPERLINK(CONCATENATE("#Metadata!", ADDRESS(INDEX($X$2:$X$1001,MATCH(ROWS($V$2:V855),$V$2:$V$1001,0),0), INDEX($AC$1004:$AS$1004,1,MATCH(COLUMNS($AC$1006:AK1006),$AC$1006:$AS$1006,0)))),"Fix")))</f>
        <v>0</v>
      </c>
      <c r="K855" s="5">
        <f>IF(OR(INDEX($W$2:$W$1001,MATCH(ROWS($V$2:V855),$V$2:$V$1001,0),1)&gt;=100000,INDEX($AC$1005:$AS$1005,1,MATCH(COLUMNS($AC$1006:AL1006),$AC$1006:$AS$1006,0))&gt;=100000), " ",IF(INDEX($AC$2:$AS$1001,MATCH(ROWS($V$2:V855),$V$2:$V$1001,0),MATCH(COLUMNS($AC$1006:AL1006),$AC$1006:$AS$1006,0)), HYPERLINK("#",""), HYPERLINK(CONCATENATE("#Metadata!", ADDRESS(INDEX($X$2:$X$1001,MATCH(ROWS($V$2:V855),$V$2:$V$1001,0),0), INDEX($AC$1004:$AS$1004,1,MATCH(COLUMNS($AC$1006:AL1006),$AC$1006:$AS$1006,0)))),"Fix")))</f>
        <v>0</v>
      </c>
      <c r="L855" s="5">
        <f>IF(OR(INDEX($W$2:$W$1001,MATCH(ROWS($V$2:V855),$V$2:$V$1001,0),1)&gt;=100000,INDEX($AC$1005:$AS$1005,1,MATCH(COLUMNS($AC$1006:AM1006),$AC$1006:$AS$1006,0))&gt;=100000), " ",IF(INDEX($AC$2:$AS$1001,MATCH(ROWS($V$2:V855),$V$2:$V$1001,0),MATCH(COLUMNS($AC$1006:AM1006),$AC$1006:$AS$1006,0)), HYPERLINK("#",""), HYPERLINK(CONCATENATE("#Metadata!", ADDRESS(INDEX($X$2:$X$1001,MATCH(ROWS($V$2:V855),$V$2:$V$1001,0),0), INDEX($AC$1004:$AS$1004,1,MATCH(COLUMNS($AC$1006:AM1006),$AC$1006:$AS$1006,0)))),"Fix")))</f>
        <v>0</v>
      </c>
      <c r="M855" s="5">
        <f>IF(OR(INDEX($W$2:$W$1001,MATCH(ROWS($V$2:V855),$V$2:$V$1001,0),1)&gt;=100000,INDEX($AC$1005:$AS$1005,1,MATCH(COLUMNS($AC$1006:AN1006),$AC$1006:$AS$1006,0))&gt;=100000), " ",IF(INDEX($AC$2:$AS$1001,MATCH(ROWS($V$2:V855),$V$2:$V$1001,0),MATCH(COLUMNS($AC$1006:AN1006),$AC$1006:$AS$1006,0)), HYPERLINK("#",""), HYPERLINK(CONCATENATE("#Metadata!", ADDRESS(INDEX($X$2:$X$1001,MATCH(ROWS($V$2:V855),$V$2:$V$1001,0),0), INDEX($AC$1004:$AS$1004,1,MATCH(COLUMNS($AC$1006:AN1006),$AC$1006:$AS$1006,0)))),"Fix")))</f>
        <v>0</v>
      </c>
      <c r="N855" s="5">
        <f>IF(OR(INDEX($W$2:$W$1001,MATCH(ROWS($V$2:V855),$V$2:$V$1001,0),1)&gt;=100000,INDEX($AC$1005:$AS$1005,1,MATCH(COLUMNS($AC$1006:AO1006),$AC$1006:$AS$1006,0))&gt;=100000), " ",IF(INDEX($AC$2:$AS$1001,MATCH(ROWS($V$2:V855),$V$2:$V$1001,0),MATCH(COLUMNS($AC$1006:AO1006),$AC$1006:$AS$1006,0)), HYPERLINK("#",""), HYPERLINK(CONCATENATE("#Metadata!", ADDRESS(INDEX($X$2:$X$1001,MATCH(ROWS($V$2:V855),$V$2:$V$1001,0),0), INDEX($AC$1004:$AS$1004,1,MATCH(COLUMNS($AC$1006:AO1006),$AC$1006:$AS$1006,0)))),"Fix")))</f>
        <v>0</v>
      </c>
      <c r="O855" s="5">
        <f>IF(OR(INDEX($W$2:$W$1001,MATCH(ROWS($V$2:V855),$V$2:$V$1001,0),1)&gt;=100000,INDEX($AC$1005:$AS$1005,1,MATCH(COLUMNS($AC$1006:AP1006),$AC$1006:$AS$1006,0))&gt;=100000), " ",IF(INDEX($AC$2:$AS$1001,MATCH(ROWS($V$2:V855),$V$2:$V$1001,0),MATCH(COLUMNS($AC$1006:AP1006),$AC$1006:$AS$1006,0)), HYPERLINK("#",""), HYPERLINK(CONCATENATE("#Metadata!", ADDRESS(INDEX($X$2:$X$1001,MATCH(ROWS($V$2:V855),$V$2:$V$1001,0),0), INDEX($AC$1004:$AS$1004,1,MATCH(COLUMNS($AC$1006:AP1006),$AC$1006:$AS$1006,0)))),"Fix")))</f>
        <v>0</v>
      </c>
      <c r="P855" s="5">
        <f>IF(OR(INDEX($W$2:$W$1001,MATCH(ROWS($V$2:V855),$V$2:$V$1001,0),1)&gt;=100000,INDEX($AC$1005:$AS$1005,1,MATCH(COLUMNS($AC$1006:AQ1006),$AC$1006:$AS$1006,0))&gt;=100000), " ",IF(INDEX($AC$2:$AS$1001,MATCH(ROWS($V$2:V855),$V$2:$V$1001,0),MATCH(COLUMNS($AC$1006:AQ1006),$AC$1006:$AS$1006,0)), HYPERLINK("#",""), HYPERLINK(CONCATENATE("#Metadata!", ADDRESS(INDEX($X$2:$X$1001,MATCH(ROWS($V$2:V855),$V$2:$V$1001,0),0), INDEX($AC$1004:$AS$1004,1,MATCH(COLUMNS($AC$1006:AQ1006),$AC$1006:$AS$1006,0)))),"Fix")))</f>
        <v>0</v>
      </c>
      <c r="Q855" s="5">
        <f>IF(OR(INDEX($W$2:$W$1001,MATCH(ROWS($V$2:V855),$V$2:$V$1001,0),1)&gt;=100000,INDEX($AC$1005:$AS$1005,1,MATCH(COLUMNS($AC$1006:AR1006),$AC$1006:$AS$1006,0))&gt;=100000), " ",IF(INDEX($AC$2:$AS$1001,MATCH(ROWS($V$2:V855),$V$2:$V$1001,0),MATCH(COLUMNS($AC$1006:AR1006),$AC$1006:$AS$1006,0)), HYPERLINK("#",""), HYPERLINK(CONCATENATE("#Metadata!", ADDRESS(INDEX($X$2:$X$1001,MATCH(ROWS($V$2:V855),$V$2:$V$1001,0),0), INDEX($AC$1004:$AS$1004,1,MATCH(COLUMNS($AC$1006:AR1006),$AC$1006:$AS$1006,0)))),"Fix")))</f>
        <v>0</v>
      </c>
      <c r="R855" s="5">
        <f>IF(OR(INDEX($W$2:$W$1001,MATCH(ROWS($V$2:V855),$V$2:$V$1001,0),1)&gt;=100000,INDEX($AC$1005:$AS$1005,1,MATCH(COLUMNS($AC$1006:AS1006),$AC$1006:$AS$1006,0))&gt;=100000), " ",IF(INDEX($AC$2:$AS$1001,MATCH(ROWS($V$2:V855),$V$2:$V$1001,0),MATCH(COLUMNS($AC$1006:AS1006),$AC$1006:$AS$1006,0)), HYPERLINK("#",""), HYPERLINK(CONCATENATE("#Metadata!", ADDRESS(INDEX($X$2:$X$1001,MATCH(ROWS($V$2:V855),$V$2:$V$1001,0),0), INDEX($AC$1004:$AS$1004,1,MATCH(COLUMNS($AC$1006:AS1006),$AC$1006:$AS$1006,0)))),"Fix")))</f>
        <v>0</v>
      </c>
      <c r="V855">
        <v>0</v>
      </c>
      <c r="W855">
        <v>0</v>
      </c>
      <c r="X855">
        <v>0</v>
      </c>
      <c r="Y855">
        <f>IF(Z855,TRUE,AND(AC855:AS855))</f>
        <v>0</v>
      </c>
      <c r="Z855">
        <f>COUNTBLANK(Metadata!B855:R855)=COLUMNS(Metadata!B855:R855)</f>
        <v>0</v>
      </c>
      <c r="AA855">
        <v>0</v>
      </c>
      <c r="AC855">
        <f>AND(IF(Metadata!B855="",FALSE,TRUE),COUNTIF(Metadata!B:B, Metadata!B855) = 1,NOT(ISERROR(SUMPRODUCT(SEARCH(MID(Metadata!B855,ROW(INDIRECT("1:"&amp;LEN(Metadata!B855))), 1),"0123456789abcdefghijklmnopqrstuvwxyzABCDEFGHIJKLMNOPQRSTUVWXYZ.")))))</f>
        <v>0</v>
      </c>
      <c r="AD855">
        <f>AND(IF(Metadata!C855="",FALSE,TRUE),exact(Metadata!C855,"Host-associated"))</f>
        <v>0</v>
      </c>
      <c r="AE855">
        <f>AND(IF(Metadata!D855="",FALSE,TRUE),OR(exact(Metadata!D855,"Animal"),exact(Metadata!D855,"Fungus"),exact(Metadata!D855,"Plant")))</f>
        <v>0</v>
      </c>
      <c r="AF855">
        <f>AND(IF(Metadata!E855="",FALSE,TRUE),OR(exact(Metadata!E855,"Plant secretion"),exact(Metadata!E855,"Plant rhizosphere"),exact(Metadata!E855,"Plant surface"),exact(Metadata!E855,"Plant corpus"),exact(Metadata!E855,"Fungus surface"),exact(Metadata!E855,"Fungus corpus"),exact(Metadata!E855,"Animal surface"),exact(Metadata!E855,"Animal proximal gut"),exact(Metadata!E855,"Animal corpus"),exact(Metadata!E855,"Animal distal gut"),exact(Metadata!E855,"Animal secretion")))</f>
        <v>0</v>
      </c>
      <c r="AG855">
        <f>OR(AND(IF(Metadata!F855="",FALSE,TRUE),OR(exact(Metadata!F855,"not collected"),exact(Metadata!F855,"not provided"),exact(Metadata!F855,"restricted access"))),AND(IF(Metadata!F855="",FALSE,TRUE),OR(exact(Metadata!F855,"organism-associated habitat"),exact(Metadata!F855,"plant-associated habitat"),exact(Metadata!F855,"animal-associated habitat"),exact(Metadata!F855,"insecta-associated habitat"),exact(Metadata!F855,"mammalia-associated habitat"),exact(Metadata!F855,"human-associated habitat"),exact(Metadata!F855,"livestock-associated habitat"))))</f>
        <v>0</v>
      </c>
      <c r="AH855">
        <f>AND(IF(Metadata!G855="",FALSE,TRUE),exact(Metadata!G855,"host-associated"))</f>
        <v>0</v>
      </c>
      <c r="AI855">
        <f>OR(AND(IF(Metadata!H855="",FALSE,TRUE),OR(exact(Metadata!H855,"not collected"),exact(Metadata!H855,"not provided"))),AND(IF(Metadata!H855="",FALSE,ISNUMBER(VALUE(Metadata!H855))),Metadata!H855&gt;0))</f>
        <v>0</v>
      </c>
      <c r="AJ855">
        <f>AND(IF(Metadata!I855="",FALSE,TRUE),exact(Metadata!I855,"years"))</f>
        <v>0</v>
      </c>
      <c r="AK855">
        <f>IF(Metadata!J855="",FALSE,TRUE)</f>
        <v>0</v>
      </c>
      <c r="AL855">
        <f>OR(AND(IF(Metadata!K855="",FALSE,TRUE),OR(exact(Metadata!K855,"not collected"),exact(Metadata!K855,"not provided"))),AND(IF(Metadata!K855="",FALSE,ISNUMBER(VALUE(Metadata!K855))),Metadata!K855&gt;0))</f>
        <v>0</v>
      </c>
      <c r="AM855">
        <f>AND(IF(Metadata!L855="",FALSE,TRUE),exact(Metadata!L855,"cm"))</f>
        <v>0</v>
      </c>
      <c r="AN855">
        <f>IF(Metadata!M855="",FALSE,TRUE)</f>
        <v>0</v>
      </c>
      <c r="AO855">
        <f>OR(AND(IF(Metadata!N855="",FALSE,TRUE),OR(exact(Metadata!N855,"not applicable"),exact(Metadata!N855,"not collected"),exact(Metadata!N855,"not provided"))),AND(IF(Metadata!N855="",FALSE,IF(ISERROR(INT(Metadata!N855)),FALSE,INT(Metadata!N855)=Metadata!N855)),Metadata!N855&gt;0))</f>
        <v>0</v>
      </c>
      <c r="AP855">
        <f>OR(AND(IF(Metadata!O855="",FALSE,TRUE),OR(exact(Metadata!O855,"not collected"),exact(Metadata!O855,"not provided"))),AND(IF(Metadata!O855="",FALSE,ISNUMBER(VALUE(Metadata!O855))),Metadata!O855&gt;0))</f>
        <v>0</v>
      </c>
      <c r="AQ855">
        <f>AND(IF(Metadata!P855="",FALSE,TRUE),exact(Metadata!P855,"kg"))</f>
        <v>0</v>
      </c>
      <c r="AR855">
        <f>OR(AND(IF(Metadata!Q855="",FALSE,TRUE),OR(exact(Metadata!Q855,"not applicable"),exact(Metadata!Q855,"not collected"),exact(Metadata!Q855,"not provided"),exact(Metadata!Q855,"restricted access"))),IF(Metadata!Q855="",FALSE,IF(ISERROR(INT(Metadata!Q855)),FALSE,INT(Metadata!Q855)=Metadata!Q855)))</f>
        <v>0</v>
      </c>
      <c r="AS855">
        <f>AND(IF(Metadata!R855="",FALSE,TRUE),exact(Metadata!R855,"Not applicable"))</f>
        <v>0</v>
      </c>
    </row>
    <row r="856" spans="1:45">
      <c r="A856" s="4">
        <f>IF(B856=" "," ",HYPERLINK(CONCATENATE("#metadata!",ADDRESS(INDEX($X$2:$X$1001,MATCH(ROWS($V$2:V856),$V$2:$V$1001,0),0),2)),INDEX($AA$2:$AA$1001,MATCH(ROWS($V$2:V856),$V$2:$V$1001,0),0)))</f>
        <v>0</v>
      </c>
      <c r="B856" s="5">
        <f>IF(OR(INDEX($W$2:$W$1001,MATCH(ROWS($V$2:V856),$V$2:$V$1001,0),1)&gt;=100000,INDEX($AC$1005:$AS$1005,1,MATCH(COLUMNS($AC$1006:AC1006),$AC$1006:$AS$1006,0))&gt;=100000), " ",IF(INDEX($AC$2:$AS$1001,MATCH(ROWS($V$2:V856),$V$2:$V$1001,0),MATCH(COLUMNS($AC$1006:AC1006),$AC$1006:$AS$1006,0)), HYPERLINK("#",""), HYPERLINK(CONCATENATE("#Metadata!", ADDRESS(INDEX($X$2:$X$1001,MATCH(ROWS($V$2:V856),$V$2:$V$1001,0),0), INDEX($AC$1004:$AS$1004,1,MATCH(COLUMNS($AC$1006:AC1006),$AC$1006:$AS$1006,0)))),"Fix")))</f>
        <v>0</v>
      </c>
      <c r="C856" s="5">
        <f>IF(OR(INDEX($W$2:$W$1001,MATCH(ROWS($V$2:V856),$V$2:$V$1001,0),1)&gt;=100000,INDEX($AC$1005:$AS$1005,1,MATCH(COLUMNS($AC$1006:AD1006),$AC$1006:$AS$1006,0))&gt;=100000), " ",IF(INDEX($AC$2:$AS$1001,MATCH(ROWS($V$2:V856),$V$2:$V$1001,0),MATCH(COLUMNS($AC$1006:AD1006),$AC$1006:$AS$1006,0)), HYPERLINK("#",""), HYPERLINK(CONCATENATE("#Metadata!", ADDRESS(INDEX($X$2:$X$1001,MATCH(ROWS($V$2:V856),$V$2:$V$1001,0),0), INDEX($AC$1004:$AS$1004,1,MATCH(COLUMNS($AC$1006:AD1006),$AC$1006:$AS$1006,0)))),"Fix")))</f>
        <v>0</v>
      </c>
      <c r="D856" s="5">
        <f>IF(OR(INDEX($W$2:$W$1001,MATCH(ROWS($V$2:V856),$V$2:$V$1001,0),1)&gt;=100000,INDEX($AC$1005:$AS$1005,1,MATCH(COLUMNS($AC$1006:AE1006),$AC$1006:$AS$1006,0))&gt;=100000), " ",IF(INDEX($AC$2:$AS$1001,MATCH(ROWS($V$2:V856),$V$2:$V$1001,0),MATCH(COLUMNS($AC$1006:AE1006),$AC$1006:$AS$1006,0)), HYPERLINK("#",""), HYPERLINK(CONCATENATE("#Metadata!", ADDRESS(INDEX($X$2:$X$1001,MATCH(ROWS($V$2:V856),$V$2:$V$1001,0),0), INDEX($AC$1004:$AS$1004,1,MATCH(COLUMNS($AC$1006:AE1006),$AC$1006:$AS$1006,0)))),"Fix")))</f>
        <v>0</v>
      </c>
      <c r="E856" s="5">
        <f>IF(OR(INDEX($W$2:$W$1001,MATCH(ROWS($V$2:V856),$V$2:$V$1001,0),1)&gt;=100000,INDEX($AC$1005:$AS$1005,1,MATCH(COLUMNS($AC$1006:AF1006),$AC$1006:$AS$1006,0))&gt;=100000), " ",IF(INDEX($AC$2:$AS$1001,MATCH(ROWS($V$2:V856),$V$2:$V$1001,0),MATCH(COLUMNS($AC$1006:AF1006),$AC$1006:$AS$1006,0)), HYPERLINK("#",""), HYPERLINK(CONCATENATE("#Metadata!", ADDRESS(INDEX($X$2:$X$1001,MATCH(ROWS($V$2:V856),$V$2:$V$1001,0),0), INDEX($AC$1004:$AS$1004,1,MATCH(COLUMNS($AC$1006:AF1006),$AC$1006:$AS$1006,0)))),"Fix")))</f>
        <v>0</v>
      </c>
      <c r="F856" s="5">
        <f>IF(OR(INDEX($W$2:$W$1001,MATCH(ROWS($V$2:V856),$V$2:$V$1001,0),1)&gt;=100000,INDEX($AC$1005:$AS$1005,1,MATCH(COLUMNS($AC$1006:AG1006),$AC$1006:$AS$1006,0))&gt;=100000), " ",IF(INDEX($AC$2:$AS$1001,MATCH(ROWS($V$2:V856),$V$2:$V$1001,0),MATCH(COLUMNS($AC$1006:AG1006),$AC$1006:$AS$1006,0)), HYPERLINK("#",""), HYPERLINK(CONCATENATE("#Metadata!", ADDRESS(INDEX($X$2:$X$1001,MATCH(ROWS($V$2:V856),$V$2:$V$1001,0),0), INDEX($AC$1004:$AS$1004,1,MATCH(COLUMNS($AC$1006:AG1006),$AC$1006:$AS$1006,0)))),"Fix")))</f>
        <v>0</v>
      </c>
      <c r="G856" s="5">
        <f>IF(OR(INDEX($W$2:$W$1001,MATCH(ROWS($V$2:V856),$V$2:$V$1001,0),1)&gt;=100000,INDEX($AC$1005:$AS$1005,1,MATCH(COLUMNS($AC$1006:AH1006),$AC$1006:$AS$1006,0))&gt;=100000), " ",IF(INDEX($AC$2:$AS$1001,MATCH(ROWS($V$2:V856),$V$2:$V$1001,0),MATCH(COLUMNS($AC$1006:AH1006),$AC$1006:$AS$1006,0)), HYPERLINK("#",""), HYPERLINK(CONCATENATE("#Metadata!", ADDRESS(INDEX($X$2:$X$1001,MATCH(ROWS($V$2:V856),$V$2:$V$1001,0),0), INDEX($AC$1004:$AS$1004,1,MATCH(COLUMNS($AC$1006:AH1006),$AC$1006:$AS$1006,0)))),"Fix")))</f>
        <v>0</v>
      </c>
      <c r="H856" s="5">
        <f>IF(OR(INDEX($W$2:$W$1001,MATCH(ROWS($V$2:V856),$V$2:$V$1001,0),1)&gt;=100000,INDEX($AC$1005:$AS$1005,1,MATCH(COLUMNS($AC$1006:AI1006),$AC$1006:$AS$1006,0))&gt;=100000), " ",IF(INDEX($AC$2:$AS$1001,MATCH(ROWS($V$2:V856),$V$2:$V$1001,0),MATCH(COLUMNS($AC$1006:AI1006),$AC$1006:$AS$1006,0)), HYPERLINK("#",""), HYPERLINK(CONCATENATE("#Metadata!", ADDRESS(INDEX($X$2:$X$1001,MATCH(ROWS($V$2:V856),$V$2:$V$1001,0),0), INDEX($AC$1004:$AS$1004,1,MATCH(COLUMNS($AC$1006:AI1006),$AC$1006:$AS$1006,0)))),"Fix")))</f>
        <v>0</v>
      </c>
      <c r="I856" s="5">
        <f>IF(OR(INDEX($W$2:$W$1001,MATCH(ROWS($V$2:V856),$V$2:$V$1001,0),1)&gt;=100000,INDEX($AC$1005:$AS$1005,1,MATCH(COLUMNS($AC$1006:AJ1006),$AC$1006:$AS$1006,0))&gt;=100000), " ",IF(INDEX($AC$2:$AS$1001,MATCH(ROWS($V$2:V856),$V$2:$V$1001,0),MATCH(COLUMNS($AC$1006:AJ1006),$AC$1006:$AS$1006,0)), HYPERLINK("#",""), HYPERLINK(CONCATENATE("#Metadata!", ADDRESS(INDEX($X$2:$X$1001,MATCH(ROWS($V$2:V856),$V$2:$V$1001,0),0), INDEX($AC$1004:$AS$1004,1,MATCH(COLUMNS($AC$1006:AJ1006),$AC$1006:$AS$1006,0)))),"Fix")))</f>
        <v>0</v>
      </c>
      <c r="J856" s="5">
        <f>IF(OR(INDEX($W$2:$W$1001,MATCH(ROWS($V$2:V856),$V$2:$V$1001,0),1)&gt;=100000,INDEX($AC$1005:$AS$1005,1,MATCH(COLUMNS($AC$1006:AK1006),$AC$1006:$AS$1006,0))&gt;=100000), " ",IF(INDEX($AC$2:$AS$1001,MATCH(ROWS($V$2:V856),$V$2:$V$1001,0),MATCH(COLUMNS($AC$1006:AK1006),$AC$1006:$AS$1006,0)), HYPERLINK("#",""), HYPERLINK(CONCATENATE("#Metadata!", ADDRESS(INDEX($X$2:$X$1001,MATCH(ROWS($V$2:V856),$V$2:$V$1001,0),0), INDEX($AC$1004:$AS$1004,1,MATCH(COLUMNS($AC$1006:AK1006),$AC$1006:$AS$1006,0)))),"Fix")))</f>
        <v>0</v>
      </c>
      <c r="K856" s="5">
        <f>IF(OR(INDEX($W$2:$W$1001,MATCH(ROWS($V$2:V856),$V$2:$V$1001,0),1)&gt;=100000,INDEX($AC$1005:$AS$1005,1,MATCH(COLUMNS($AC$1006:AL1006),$AC$1006:$AS$1006,0))&gt;=100000), " ",IF(INDEX($AC$2:$AS$1001,MATCH(ROWS($V$2:V856),$V$2:$V$1001,0),MATCH(COLUMNS($AC$1006:AL1006),$AC$1006:$AS$1006,0)), HYPERLINK("#",""), HYPERLINK(CONCATENATE("#Metadata!", ADDRESS(INDEX($X$2:$X$1001,MATCH(ROWS($V$2:V856),$V$2:$V$1001,0),0), INDEX($AC$1004:$AS$1004,1,MATCH(COLUMNS($AC$1006:AL1006),$AC$1006:$AS$1006,0)))),"Fix")))</f>
        <v>0</v>
      </c>
      <c r="L856" s="5">
        <f>IF(OR(INDEX($W$2:$W$1001,MATCH(ROWS($V$2:V856),$V$2:$V$1001,0),1)&gt;=100000,INDEX($AC$1005:$AS$1005,1,MATCH(COLUMNS($AC$1006:AM1006),$AC$1006:$AS$1006,0))&gt;=100000), " ",IF(INDEX($AC$2:$AS$1001,MATCH(ROWS($V$2:V856),$V$2:$V$1001,0),MATCH(COLUMNS($AC$1006:AM1006),$AC$1006:$AS$1006,0)), HYPERLINK("#",""), HYPERLINK(CONCATENATE("#Metadata!", ADDRESS(INDEX($X$2:$X$1001,MATCH(ROWS($V$2:V856),$V$2:$V$1001,0),0), INDEX($AC$1004:$AS$1004,1,MATCH(COLUMNS($AC$1006:AM1006),$AC$1006:$AS$1006,0)))),"Fix")))</f>
        <v>0</v>
      </c>
      <c r="M856" s="5">
        <f>IF(OR(INDEX($W$2:$W$1001,MATCH(ROWS($V$2:V856),$V$2:$V$1001,0),1)&gt;=100000,INDEX($AC$1005:$AS$1005,1,MATCH(COLUMNS($AC$1006:AN1006),$AC$1006:$AS$1006,0))&gt;=100000), " ",IF(INDEX($AC$2:$AS$1001,MATCH(ROWS($V$2:V856),$V$2:$V$1001,0),MATCH(COLUMNS($AC$1006:AN1006),$AC$1006:$AS$1006,0)), HYPERLINK("#",""), HYPERLINK(CONCATENATE("#Metadata!", ADDRESS(INDEX($X$2:$X$1001,MATCH(ROWS($V$2:V856),$V$2:$V$1001,0),0), INDEX($AC$1004:$AS$1004,1,MATCH(COLUMNS($AC$1006:AN1006),$AC$1006:$AS$1006,0)))),"Fix")))</f>
        <v>0</v>
      </c>
      <c r="N856" s="5">
        <f>IF(OR(INDEX($W$2:$W$1001,MATCH(ROWS($V$2:V856),$V$2:$V$1001,0),1)&gt;=100000,INDEX($AC$1005:$AS$1005,1,MATCH(COLUMNS($AC$1006:AO1006),$AC$1006:$AS$1006,0))&gt;=100000), " ",IF(INDEX($AC$2:$AS$1001,MATCH(ROWS($V$2:V856),$V$2:$V$1001,0),MATCH(COLUMNS($AC$1006:AO1006),$AC$1006:$AS$1006,0)), HYPERLINK("#",""), HYPERLINK(CONCATENATE("#Metadata!", ADDRESS(INDEX($X$2:$X$1001,MATCH(ROWS($V$2:V856),$V$2:$V$1001,0),0), INDEX($AC$1004:$AS$1004,1,MATCH(COLUMNS($AC$1006:AO1006),$AC$1006:$AS$1006,0)))),"Fix")))</f>
        <v>0</v>
      </c>
      <c r="O856" s="5">
        <f>IF(OR(INDEX($W$2:$W$1001,MATCH(ROWS($V$2:V856),$V$2:$V$1001,0),1)&gt;=100000,INDEX($AC$1005:$AS$1005,1,MATCH(COLUMNS($AC$1006:AP1006),$AC$1006:$AS$1006,0))&gt;=100000), " ",IF(INDEX($AC$2:$AS$1001,MATCH(ROWS($V$2:V856),$V$2:$V$1001,0),MATCH(COLUMNS($AC$1006:AP1006),$AC$1006:$AS$1006,0)), HYPERLINK("#",""), HYPERLINK(CONCATENATE("#Metadata!", ADDRESS(INDEX($X$2:$X$1001,MATCH(ROWS($V$2:V856),$V$2:$V$1001,0),0), INDEX($AC$1004:$AS$1004,1,MATCH(COLUMNS($AC$1006:AP1006),$AC$1006:$AS$1006,0)))),"Fix")))</f>
        <v>0</v>
      </c>
      <c r="P856" s="5">
        <f>IF(OR(INDEX($W$2:$W$1001,MATCH(ROWS($V$2:V856),$V$2:$V$1001,0),1)&gt;=100000,INDEX($AC$1005:$AS$1005,1,MATCH(COLUMNS($AC$1006:AQ1006),$AC$1006:$AS$1006,0))&gt;=100000), " ",IF(INDEX($AC$2:$AS$1001,MATCH(ROWS($V$2:V856),$V$2:$V$1001,0),MATCH(COLUMNS($AC$1006:AQ1006),$AC$1006:$AS$1006,0)), HYPERLINK("#",""), HYPERLINK(CONCATENATE("#Metadata!", ADDRESS(INDEX($X$2:$X$1001,MATCH(ROWS($V$2:V856),$V$2:$V$1001,0),0), INDEX($AC$1004:$AS$1004,1,MATCH(COLUMNS($AC$1006:AQ1006),$AC$1006:$AS$1006,0)))),"Fix")))</f>
        <v>0</v>
      </c>
      <c r="Q856" s="5">
        <f>IF(OR(INDEX($W$2:$W$1001,MATCH(ROWS($V$2:V856),$V$2:$V$1001,0),1)&gt;=100000,INDEX($AC$1005:$AS$1005,1,MATCH(COLUMNS($AC$1006:AR1006),$AC$1006:$AS$1006,0))&gt;=100000), " ",IF(INDEX($AC$2:$AS$1001,MATCH(ROWS($V$2:V856),$V$2:$V$1001,0),MATCH(COLUMNS($AC$1006:AR1006),$AC$1006:$AS$1006,0)), HYPERLINK("#",""), HYPERLINK(CONCATENATE("#Metadata!", ADDRESS(INDEX($X$2:$X$1001,MATCH(ROWS($V$2:V856),$V$2:$V$1001,0),0), INDEX($AC$1004:$AS$1004,1,MATCH(COLUMNS($AC$1006:AR1006),$AC$1006:$AS$1006,0)))),"Fix")))</f>
        <v>0</v>
      </c>
      <c r="R856" s="5">
        <f>IF(OR(INDEX($W$2:$W$1001,MATCH(ROWS($V$2:V856),$V$2:$V$1001,0),1)&gt;=100000,INDEX($AC$1005:$AS$1005,1,MATCH(COLUMNS($AC$1006:AS1006),$AC$1006:$AS$1006,0))&gt;=100000), " ",IF(INDEX($AC$2:$AS$1001,MATCH(ROWS($V$2:V856),$V$2:$V$1001,0),MATCH(COLUMNS($AC$1006:AS1006),$AC$1006:$AS$1006,0)), HYPERLINK("#",""), HYPERLINK(CONCATENATE("#Metadata!", ADDRESS(INDEX($X$2:$X$1001,MATCH(ROWS($V$2:V856),$V$2:$V$1001,0),0), INDEX($AC$1004:$AS$1004,1,MATCH(COLUMNS($AC$1006:AS1006),$AC$1006:$AS$1006,0)))),"Fix")))</f>
        <v>0</v>
      </c>
      <c r="V856">
        <v>0</v>
      </c>
      <c r="W856">
        <v>0</v>
      </c>
      <c r="X856">
        <v>0</v>
      </c>
      <c r="Y856">
        <f>IF(Z856,TRUE,AND(AC856:AS856))</f>
        <v>0</v>
      </c>
      <c r="Z856">
        <f>COUNTBLANK(Metadata!B856:R856)=COLUMNS(Metadata!B856:R856)</f>
        <v>0</v>
      </c>
      <c r="AA856">
        <v>0</v>
      </c>
      <c r="AC856">
        <f>AND(IF(Metadata!B856="",FALSE,TRUE),COUNTIF(Metadata!B:B, Metadata!B856) = 1,NOT(ISERROR(SUMPRODUCT(SEARCH(MID(Metadata!B856,ROW(INDIRECT("1:"&amp;LEN(Metadata!B856))), 1),"0123456789abcdefghijklmnopqrstuvwxyzABCDEFGHIJKLMNOPQRSTUVWXYZ.")))))</f>
        <v>0</v>
      </c>
      <c r="AD856">
        <f>AND(IF(Metadata!C856="",FALSE,TRUE),exact(Metadata!C856,"Host-associated"))</f>
        <v>0</v>
      </c>
      <c r="AE856">
        <f>AND(IF(Metadata!D856="",FALSE,TRUE),OR(exact(Metadata!D856,"Animal"),exact(Metadata!D856,"Fungus"),exact(Metadata!D856,"Plant")))</f>
        <v>0</v>
      </c>
      <c r="AF856">
        <f>AND(IF(Metadata!E856="",FALSE,TRUE),OR(exact(Metadata!E856,"Plant secretion"),exact(Metadata!E856,"Plant rhizosphere"),exact(Metadata!E856,"Plant surface"),exact(Metadata!E856,"Plant corpus"),exact(Metadata!E856,"Fungus surface"),exact(Metadata!E856,"Fungus corpus"),exact(Metadata!E856,"Animal surface"),exact(Metadata!E856,"Animal proximal gut"),exact(Metadata!E856,"Animal corpus"),exact(Metadata!E856,"Animal distal gut"),exact(Metadata!E856,"Animal secretion")))</f>
        <v>0</v>
      </c>
      <c r="AG856">
        <f>OR(AND(IF(Metadata!F856="",FALSE,TRUE),OR(exact(Metadata!F856,"not collected"),exact(Metadata!F856,"not provided"),exact(Metadata!F856,"restricted access"))),AND(IF(Metadata!F856="",FALSE,TRUE),OR(exact(Metadata!F856,"organism-associated habitat"),exact(Metadata!F856,"plant-associated habitat"),exact(Metadata!F856,"animal-associated habitat"),exact(Metadata!F856,"insecta-associated habitat"),exact(Metadata!F856,"mammalia-associated habitat"),exact(Metadata!F856,"human-associated habitat"),exact(Metadata!F856,"livestock-associated habitat"))))</f>
        <v>0</v>
      </c>
      <c r="AH856">
        <f>AND(IF(Metadata!G856="",FALSE,TRUE),exact(Metadata!G856,"host-associated"))</f>
        <v>0</v>
      </c>
      <c r="AI856">
        <f>OR(AND(IF(Metadata!H856="",FALSE,TRUE),OR(exact(Metadata!H856,"not collected"),exact(Metadata!H856,"not provided"))),AND(IF(Metadata!H856="",FALSE,ISNUMBER(VALUE(Metadata!H856))),Metadata!H856&gt;0))</f>
        <v>0</v>
      </c>
      <c r="AJ856">
        <f>AND(IF(Metadata!I856="",FALSE,TRUE),exact(Metadata!I856,"years"))</f>
        <v>0</v>
      </c>
      <c r="AK856">
        <f>IF(Metadata!J856="",FALSE,TRUE)</f>
        <v>0</v>
      </c>
      <c r="AL856">
        <f>OR(AND(IF(Metadata!K856="",FALSE,TRUE),OR(exact(Metadata!K856,"not collected"),exact(Metadata!K856,"not provided"))),AND(IF(Metadata!K856="",FALSE,ISNUMBER(VALUE(Metadata!K856))),Metadata!K856&gt;0))</f>
        <v>0</v>
      </c>
      <c r="AM856">
        <f>AND(IF(Metadata!L856="",FALSE,TRUE),exact(Metadata!L856,"cm"))</f>
        <v>0</v>
      </c>
      <c r="AN856">
        <f>IF(Metadata!M856="",FALSE,TRUE)</f>
        <v>0</v>
      </c>
      <c r="AO856">
        <f>OR(AND(IF(Metadata!N856="",FALSE,TRUE),OR(exact(Metadata!N856,"not applicable"),exact(Metadata!N856,"not collected"),exact(Metadata!N856,"not provided"))),AND(IF(Metadata!N856="",FALSE,IF(ISERROR(INT(Metadata!N856)),FALSE,INT(Metadata!N856)=Metadata!N856)),Metadata!N856&gt;0))</f>
        <v>0</v>
      </c>
      <c r="AP856">
        <f>OR(AND(IF(Metadata!O856="",FALSE,TRUE),OR(exact(Metadata!O856,"not collected"),exact(Metadata!O856,"not provided"))),AND(IF(Metadata!O856="",FALSE,ISNUMBER(VALUE(Metadata!O856))),Metadata!O856&gt;0))</f>
        <v>0</v>
      </c>
      <c r="AQ856">
        <f>AND(IF(Metadata!P856="",FALSE,TRUE),exact(Metadata!P856,"kg"))</f>
        <v>0</v>
      </c>
      <c r="AR856">
        <f>OR(AND(IF(Metadata!Q856="",FALSE,TRUE),OR(exact(Metadata!Q856,"not applicable"),exact(Metadata!Q856,"not collected"),exact(Metadata!Q856,"not provided"),exact(Metadata!Q856,"restricted access"))),IF(Metadata!Q856="",FALSE,IF(ISERROR(INT(Metadata!Q856)),FALSE,INT(Metadata!Q856)=Metadata!Q856)))</f>
        <v>0</v>
      </c>
      <c r="AS856">
        <f>AND(IF(Metadata!R856="",FALSE,TRUE),exact(Metadata!R856,"Not applicable"))</f>
        <v>0</v>
      </c>
    </row>
    <row r="857" spans="1:45">
      <c r="A857" s="4">
        <f>IF(B857=" "," ",HYPERLINK(CONCATENATE("#metadata!",ADDRESS(INDEX($X$2:$X$1001,MATCH(ROWS($V$2:V857),$V$2:$V$1001,0),0),2)),INDEX($AA$2:$AA$1001,MATCH(ROWS($V$2:V857),$V$2:$V$1001,0),0)))</f>
        <v>0</v>
      </c>
      <c r="B857" s="5">
        <f>IF(OR(INDEX($W$2:$W$1001,MATCH(ROWS($V$2:V857),$V$2:$V$1001,0),1)&gt;=100000,INDEX($AC$1005:$AS$1005,1,MATCH(COLUMNS($AC$1006:AC1006),$AC$1006:$AS$1006,0))&gt;=100000), " ",IF(INDEX($AC$2:$AS$1001,MATCH(ROWS($V$2:V857),$V$2:$V$1001,0),MATCH(COLUMNS($AC$1006:AC1006),$AC$1006:$AS$1006,0)), HYPERLINK("#",""), HYPERLINK(CONCATENATE("#Metadata!", ADDRESS(INDEX($X$2:$X$1001,MATCH(ROWS($V$2:V857),$V$2:$V$1001,0),0), INDEX($AC$1004:$AS$1004,1,MATCH(COLUMNS($AC$1006:AC1006),$AC$1006:$AS$1006,0)))),"Fix")))</f>
        <v>0</v>
      </c>
      <c r="C857" s="5">
        <f>IF(OR(INDEX($W$2:$W$1001,MATCH(ROWS($V$2:V857),$V$2:$V$1001,0),1)&gt;=100000,INDEX($AC$1005:$AS$1005,1,MATCH(COLUMNS($AC$1006:AD1006),$AC$1006:$AS$1006,0))&gt;=100000), " ",IF(INDEX($AC$2:$AS$1001,MATCH(ROWS($V$2:V857),$V$2:$V$1001,0),MATCH(COLUMNS($AC$1006:AD1006),$AC$1006:$AS$1006,0)), HYPERLINK("#",""), HYPERLINK(CONCATENATE("#Metadata!", ADDRESS(INDEX($X$2:$X$1001,MATCH(ROWS($V$2:V857),$V$2:$V$1001,0),0), INDEX($AC$1004:$AS$1004,1,MATCH(COLUMNS($AC$1006:AD1006),$AC$1006:$AS$1006,0)))),"Fix")))</f>
        <v>0</v>
      </c>
      <c r="D857" s="5">
        <f>IF(OR(INDEX($W$2:$W$1001,MATCH(ROWS($V$2:V857),$V$2:$V$1001,0),1)&gt;=100000,INDEX($AC$1005:$AS$1005,1,MATCH(COLUMNS($AC$1006:AE1006),$AC$1006:$AS$1006,0))&gt;=100000), " ",IF(INDEX($AC$2:$AS$1001,MATCH(ROWS($V$2:V857),$V$2:$V$1001,0),MATCH(COLUMNS($AC$1006:AE1006),$AC$1006:$AS$1006,0)), HYPERLINK("#",""), HYPERLINK(CONCATENATE("#Metadata!", ADDRESS(INDEX($X$2:$X$1001,MATCH(ROWS($V$2:V857),$V$2:$V$1001,0),0), INDEX($AC$1004:$AS$1004,1,MATCH(COLUMNS($AC$1006:AE1006),$AC$1006:$AS$1006,0)))),"Fix")))</f>
        <v>0</v>
      </c>
      <c r="E857" s="5">
        <f>IF(OR(INDEX($W$2:$W$1001,MATCH(ROWS($V$2:V857),$V$2:$V$1001,0),1)&gt;=100000,INDEX($AC$1005:$AS$1005,1,MATCH(COLUMNS($AC$1006:AF1006),$AC$1006:$AS$1006,0))&gt;=100000), " ",IF(INDEX($AC$2:$AS$1001,MATCH(ROWS($V$2:V857),$V$2:$V$1001,0),MATCH(COLUMNS($AC$1006:AF1006),$AC$1006:$AS$1006,0)), HYPERLINK("#",""), HYPERLINK(CONCATENATE("#Metadata!", ADDRESS(INDEX($X$2:$X$1001,MATCH(ROWS($V$2:V857),$V$2:$V$1001,0),0), INDEX($AC$1004:$AS$1004,1,MATCH(COLUMNS($AC$1006:AF1006),$AC$1006:$AS$1006,0)))),"Fix")))</f>
        <v>0</v>
      </c>
      <c r="F857" s="5">
        <f>IF(OR(INDEX($W$2:$W$1001,MATCH(ROWS($V$2:V857),$V$2:$V$1001,0),1)&gt;=100000,INDEX($AC$1005:$AS$1005,1,MATCH(COLUMNS($AC$1006:AG1006),$AC$1006:$AS$1006,0))&gt;=100000), " ",IF(INDEX($AC$2:$AS$1001,MATCH(ROWS($V$2:V857),$V$2:$V$1001,0),MATCH(COLUMNS($AC$1006:AG1006),$AC$1006:$AS$1006,0)), HYPERLINK("#",""), HYPERLINK(CONCATENATE("#Metadata!", ADDRESS(INDEX($X$2:$X$1001,MATCH(ROWS($V$2:V857),$V$2:$V$1001,0),0), INDEX($AC$1004:$AS$1004,1,MATCH(COLUMNS($AC$1006:AG1006),$AC$1006:$AS$1006,0)))),"Fix")))</f>
        <v>0</v>
      </c>
      <c r="G857" s="5">
        <f>IF(OR(INDEX($W$2:$W$1001,MATCH(ROWS($V$2:V857),$V$2:$V$1001,0),1)&gt;=100000,INDEX($AC$1005:$AS$1005,1,MATCH(COLUMNS($AC$1006:AH1006),$AC$1006:$AS$1006,0))&gt;=100000), " ",IF(INDEX($AC$2:$AS$1001,MATCH(ROWS($V$2:V857),$V$2:$V$1001,0),MATCH(COLUMNS($AC$1006:AH1006),$AC$1006:$AS$1006,0)), HYPERLINK("#",""), HYPERLINK(CONCATENATE("#Metadata!", ADDRESS(INDEX($X$2:$X$1001,MATCH(ROWS($V$2:V857),$V$2:$V$1001,0),0), INDEX($AC$1004:$AS$1004,1,MATCH(COLUMNS($AC$1006:AH1006),$AC$1006:$AS$1006,0)))),"Fix")))</f>
        <v>0</v>
      </c>
      <c r="H857" s="5">
        <f>IF(OR(INDEX($W$2:$W$1001,MATCH(ROWS($V$2:V857),$V$2:$V$1001,0),1)&gt;=100000,INDEX($AC$1005:$AS$1005,1,MATCH(COLUMNS($AC$1006:AI1006),$AC$1006:$AS$1006,0))&gt;=100000), " ",IF(INDEX($AC$2:$AS$1001,MATCH(ROWS($V$2:V857),$V$2:$V$1001,0),MATCH(COLUMNS($AC$1006:AI1006),$AC$1006:$AS$1006,0)), HYPERLINK("#",""), HYPERLINK(CONCATENATE("#Metadata!", ADDRESS(INDEX($X$2:$X$1001,MATCH(ROWS($V$2:V857),$V$2:$V$1001,0),0), INDEX($AC$1004:$AS$1004,1,MATCH(COLUMNS($AC$1006:AI1006),$AC$1006:$AS$1006,0)))),"Fix")))</f>
        <v>0</v>
      </c>
      <c r="I857" s="5">
        <f>IF(OR(INDEX($W$2:$W$1001,MATCH(ROWS($V$2:V857),$V$2:$V$1001,0),1)&gt;=100000,INDEX($AC$1005:$AS$1005,1,MATCH(COLUMNS($AC$1006:AJ1006),$AC$1006:$AS$1006,0))&gt;=100000), " ",IF(INDEX($AC$2:$AS$1001,MATCH(ROWS($V$2:V857),$V$2:$V$1001,0),MATCH(COLUMNS($AC$1006:AJ1006),$AC$1006:$AS$1006,0)), HYPERLINK("#",""), HYPERLINK(CONCATENATE("#Metadata!", ADDRESS(INDEX($X$2:$X$1001,MATCH(ROWS($V$2:V857),$V$2:$V$1001,0),0), INDEX($AC$1004:$AS$1004,1,MATCH(COLUMNS($AC$1006:AJ1006),$AC$1006:$AS$1006,0)))),"Fix")))</f>
        <v>0</v>
      </c>
      <c r="J857" s="5">
        <f>IF(OR(INDEX($W$2:$W$1001,MATCH(ROWS($V$2:V857),$V$2:$V$1001,0),1)&gt;=100000,INDEX($AC$1005:$AS$1005,1,MATCH(COLUMNS($AC$1006:AK1006),$AC$1006:$AS$1006,0))&gt;=100000), " ",IF(INDEX($AC$2:$AS$1001,MATCH(ROWS($V$2:V857),$V$2:$V$1001,0),MATCH(COLUMNS($AC$1006:AK1006),$AC$1006:$AS$1006,0)), HYPERLINK("#",""), HYPERLINK(CONCATENATE("#Metadata!", ADDRESS(INDEX($X$2:$X$1001,MATCH(ROWS($V$2:V857),$V$2:$V$1001,0),0), INDEX($AC$1004:$AS$1004,1,MATCH(COLUMNS($AC$1006:AK1006),$AC$1006:$AS$1006,0)))),"Fix")))</f>
        <v>0</v>
      </c>
      <c r="K857" s="5">
        <f>IF(OR(INDEX($W$2:$W$1001,MATCH(ROWS($V$2:V857),$V$2:$V$1001,0),1)&gt;=100000,INDEX($AC$1005:$AS$1005,1,MATCH(COLUMNS($AC$1006:AL1006),$AC$1006:$AS$1006,0))&gt;=100000), " ",IF(INDEX($AC$2:$AS$1001,MATCH(ROWS($V$2:V857),$V$2:$V$1001,0),MATCH(COLUMNS($AC$1006:AL1006),$AC$1006:$AS$1006,0)), HYPERLINK("#",""), HYPERLINK(CONCATENATE("#Metadata!", ADDRESS(INDEX($X$2:$X$1001,MATCH(ROWS($V$2:V857),$V$2:$V$1001,0),0), INDEX($AC$1004:$AS$1004,1,MATCH(COLUMNS($AC$1006:AL1006),$AC$1006:$AS$1006,0)))),"Fix")))</f>
        <v>0</v>
      </c>
      <c r="L857" s="5">
        <f>IF(OR(INDEX($W$2:$W$1001,MATCH(ROWS($V$2:V857),$V$2:$V$1001,0),1)&gt;=100000,INDEX($AC$1005:$AS$1005,1,MATCH(COLUMNS($AC$1006:AM1006),$AC$1006:$AS$1006,0))&gt;=100000), " ",IF(INDEX($AC$2:$AS$1001,MATCH(ROWS($V$2:V857),$V$2:$V$1001,0),MATCH(COLUMNS($AC$1006:AM1006),$AC$1006:$AS$1006,0)), HYPERLINK("#",""), HYPERLINK(CONCATENATE("#Metadata!", ADDRESS(INDEX($X$2:$X$1001,MATCH(ROWS($V$2:V857),$V$2:$V$1001,0),0), INDEX($AC$1004:$AS$1004,1,MATCH(COLUMNS($AC$1006:AM1006),$AC$1006:$AS$1006,0)))),"Fix")))</f>
        <v>0</v>
      </c>
      <c r="M857" s="5">
        <f>IF(OR(INDEX($W$2:$W$1001,MATCH(ROWS($V$2:V857),$V$2:$V$1001,0),1)&gt;=100000,INDEX($AC$1005:$AS$1005,1,MATCH(COLUMNS($AC$1006:AN1006),$AC$1006:$AS$1006,0))&gt;=100000), " ",IF(INDEX($AC$2:$AS$1001,MATCH(ROWS($V$2:V857),$V$2:$V$1001,0),MATCH(COLUMNS($AC$1006:AN1006),$AC$1006:$AS$1006,0)), HYPERLINK("#",""), HYPERLINK(CONCATENATE("#Metadata!", ADDRESS(INDEX($X$2:$X$1001,MATCH(ROWS($V$2:V857),$V$2:$V$1001,0),0), INDEX($AC$1004:$AS$1004,1,MATCH(COLUMNS($AC$1006:AN1006),$AC$1006:$AS$1006,0)))),"Fix")))</f>
        <v>0</v>
      </c>
      <c r="N857" s="5">
        <f>IF(OR(INDEX($W$2:$W$1001,MATCH(ROWS($V$2:V857),$V$2:$V$1001,0),1)&gt;=100000,INDEX($AC$1005:$AS$1005,1,MATCH(COLUMNS($AC$1006:AO1006),$AC$1006:$AS$1006,0))&gt;=100000), " ",IF(INDEX($AC$2:$AS$1001,MATCH(ROWS($V$2:V857),$V$2:$V$1001,0),MATCH(COLUMNS($AC$1006:AO1006),$AC$1006:$AS$1006,0)), HYPERLINK("#",""), HYPERLINK(CONCATENATE("#Metadata!", ADDRESS(INDEX($X$2:$X$1001,MATCH(ROWS($V$2:V857),$V$2:$V$1001,0),0), INDEX($AC$1004:$AS$1004,1,MATCH(COLUMNS($AC$1006:AO1006),$AC$1006:$AS$1006,0)))),"Fix")))</f>
        <v>0</v>
      </c>
      <c r="O857" s="5">
        <f>IF(OR(INDEX($W$2:$W$1001,MATCH(ROWS($V$2:V857),$V$2:$V$1001,0),1)&gt;=100000,INDEX($AC$1005:$AS$1005,1,MATCH(COLUMNS($AC$1006:AP1006),$AC$1006:$AS$1006,0))&gt;=100000), " ",IF(INDEX($AC$2:$AS$1001,MATCH(ROWS($V$2:V857),$V$2:$V$1001,0),MATCH(COLUMNS($AC$1006:AP1006),$AC$1006:$AS$1006,0)), HYPERLINK("#",""), HYPERLINK(CONCATENATE("#Metadata!", ADDRESS(INDEX($X$2:$X$1001,MATCH(ROWS($V$2:V857),$V$2:$V$1001,0),0), INDEX($AC$1004:$AS$1004,1,MATCH(COLUMNS($AC$1006:AP1006),$AC$1006:$AS$1006,0)))),"Fix")))</f>
        <v>0</v>
      </c>
      <c r="P857" s="5">
        <f>IF(OR(INDEX($W$2:$W$1001,MATCH(ROWS($V$2:V857),$V$2:$V$1001,0),1)&gt;=100000,INDEX($AC$1005:$AS$1005,1,MATCH(COLUMNS($AC$1006:AQ1006),$AC$1006:$AS$1006,0))&gt;=100000), " ",IF(INDEX($AC$2:$AS$1001,MATCH(ROWS($V$2:V857),$V$2:$V$1001,0),MATCH(COLUMNS($AC$1006:AQ1006),$AC$1006:$AS$1006,0)), HYPERLINK("#",""), HYPERLINK(CONCATENATE("#Metadata!", ADDRESS(INDEX($X$2:$X$1001,MATCH(ROWS($V$2:V857),$V$2:$V$1001,0),0), INDEX($AC$1004:$AS$1004,1,MATCH(COLUMNS($AC$1006:AQ1006),$AC$1006:$AS$1006,0)))),"Fix")))</f>
        <v>0</v>
      </c>
      <c r="Q857" s="5">
        <f>IF(OR(INDEX($W$2:$W$1001,MATCH(ROWS($V$2:V857),$V$2:$V$1001,0),1)&gt;=100000,INDEX($AC$1005:$AS$1005,1,MATCH(COLUMNS($AC$1006:AR1006),$AC$1006:$AS$1006,0))&gt;=100000), " ",IF(INDEX($AC$2:$AS$1001,MATCH(ROWS($V$2:V857),$V$2:$V$1001,0),MATCH(COLUMNS($AC$1006:AR1006),$AC$1006:$AS$1006,0)), HYPERLINK("#",""), HYPERLINK(CONCATENATE("#Metadata!", ADDRESS(INDEX($X$2:$X$1001,MATCH(ROWS($V$2:V857),$V$2:$V$1001,0),0), INDEX($AC$1004:$AS$1004,1,MATCH(COLUMNS($AC$1006:AR1006),$AC$1006:$AS$1006,0)))),"Fix")))</f>
        <v>0</v>
      </c>
      <c r="R857" s="5">
        <f>IF(OR(INDEX($W$2:$W$1001,MATCH(ROWS($V$2:V857),$V$2:$V$1001,0),1)&gt;=100000,INDEX($AC$1005:$AS$1005,1,MATCH(COLUMNS($AC$1006:AS1006),$AC$1006:$AS$1006,0))&gt;=100000), " ",IF(INDEX($AC$2:$AS$1001,MATCH(ROWS($V$2:V857),$V$2:$V$1001,0),MATCH(COLUMNS($AC$1006:AS1006),$AC$1006:$AS$1006,0)), HYPERLINK("#",""), HYPERLINK(CONCATENATE("#Metadata!", ADDRESS(INDEX($X$2:$X$1001,MATCH(ROWS($V$2:V857),$V$2:$V$1001,0),0), INDEX($AC$1004:$AS$1004,1,MATCH(COLUMNS($AC$1006:AS1006),$AC$1006:$AS$1006,0)))),"Fix")))</f>
        <v>0</v>
      </c>
      <c r="V857">
        <v>0</v>
      </c>
      <c r="W857">
        <v>0</v>
      </c>
      <c r="X857">
        <v>0</v>
      </c>
      <c r="Y857">
        <f>IF(Z857,TRUE,AND(AC857:AS857))</f>
        <v>0</v>
      </c>
      <c r="Z857">
        <f>COUNTBLANK(Metadata!B857:R857)=COLUMNS(Metadata!B857:R857)</f>
        <v>0</v>
      </c>
      <c r="AA857">
        <v>0</v>
      </c>
      <c r="AC857">
        <f>AND(IF(Metadata!B857="",FALSE,TRUE),COUNTIF(Metadata!B:B, Metadata!B857) = 1,NOT(ISERROR(SUMPRODUCT(SEARCH(MID(Metadata!B857,ROW(INDIRECT("1:"&amp;LEN(Metadata!B857))), 1),"0123456789abcdefghijklmnopqrstuvwxyzABCDEFGHIJKLMNOPQRSTUVWXYZ.")))))</f>
        <v>0</v>
      </c>
      <c r="AD857">
        <f>AND(IF(Metadata!C857="",FALSE,TRUE),exact(Metadata!C857,"Host-associated"))</f>
        <v>0</v>
      </c>
      <c r="AE857">
        <f>AND(IF(Metadata!D857="",FALSE,TRUE),OR(exact(Metadata!D857,"Animal"),exact(Metadata!D857,"Fungus"),exact(Metadata!D857,"Plant")))</f>
        <v>0</v>
      </c>
      <c r="AF857">
        <f>AND(IF(Metadata!E857="",FALSE,TRUE),OR(exact(Metadata!E857,"Plant secretion"),exact(Metadata!E857,"Plant rhizosphere"),exact(Metadata!E857,"Plant surface"),exact(Metadata!E857,"Plant corpus"),exact(Metadata!E857,"Fungus surface"),exact(Metadata!E857,"Fungus corpus"),exact(Metadata!E857,"Animal surface"),exact(Metadata!E857,"Animal proximal gut"),exact(Metadata!E857,"Animal corpus"),exact(Metadata!E857,"Animal distal gut"),exact(Metadata!E857,"Animal secretion")))</f>
        <v>0</v>
      </c>
      <c r="AG857">
        <f>OR(AND(IF(Metadata!F857="",FALSE,TRUE),OR(exact(Metadata!F857,"not collected"),exact(Metadata!F857,"not provided"),exact(Metadata!F857,"restricted access"))),AND(IF(Metadata!F857="",FALSE,TRUE),OR(exact(Metadata!F857,"organism-associated habitat"),exact(Metadata!F857,"plant-associated habitat"),exact(Metadata!F857,"animal-associated habitat"),exact(Metadata!F857,"insecta-associated habitat"),exact(Metadata!F857,"mammalia-associated habitat"),exact(Metadata!F857,"human-associated habitat"),exact(Metadata!F857,"livestock-associated habitat"))))</f>
        <v>0</v>
      </c>
      <c r="AH857">
        <f>AND(IF(Metadata!G857="",FALSE,TRUE),exact(Metadata!G857,"host-associated"))</f>
        <v>0</v>
      </c>
      <c r="AI857">
        <f>OR(AND(IF(Metadata!H857="",FALSE,TRUE),OR(exact(Metadata!H857,"not collected"),exact(Metadata!H857,"not provided"))),AND(IF(Metadata!H857="",FALSE,ISNUMBER(VALUE(Metadata!H857))),Metadata!H857&gt;0))</f>
        <v>0</v>
      </c>
      <c r="AJ857">
        <f>AND(IF(Metadata!I857="",FALSE,TRUE),exact(Metadata!I857,"years"))</f>
        <v>0</v>
      </c>
      <c r="AK857">
        <f>IF(Metadata!J857="",FALSE,TRUE)</f>
        <v>0</v>
      </c>
      <c r="AL857">
        <f>OR(AND(IF(Metadata!K857="",FALSE,TRUE),OR(exact(Metadata!K857,"not collected"),exact(Metadata!K857,"not provided"))),AND(IF(Metadata!K857="",FALSE,ISNUMBER(VALUE(Metadata!K857))),Metadata!K857&gt;0))</f>
        <v>0</v>
      </c>
      <c r="AM857">
        <f>AND(IF(Metadata!L857="",FALSE,TRUE),exact(Metadata!L857,"cm"))</f>
        <v>0</v>
      </c>
      <c r="AN857">
        <f>IF(Metadata!M857="",FALSE,TRUE)</f>
        <v>0</v>
      </c>
      <c r="AO857">
        <f>OR(AND(IF(Metadata!N857="",FALSE,TRUE),OR(exact(Metadata!N857,"not applicable"),exact(Metadata!N857,"not collected"),exact(Metadata!N857,"not provided"))),AND(IF(Metadata!N857="",FALSE,IF(ISERROR(INT(Metadata!N857)),FALSE,INT(Metadata!N857)=Metadata!N857)),Metadata!N857&gt;0))</f>
        <v>0</v>
      </c>
      <c r="AP857">
        <f>OR(AND(IF(Metadata!O857="",FALSE,TRUE),OR(exact(Metadata!O857,"not collected"),exact(Metadata!O857,"not provided"))),AND(IF(Metadata!O857="",FALSE,ISNUMBER(VALUE(Metadata!O857))),Metadata!O857&gt;0))</f>
        <v>0</v>
      </c>
      <c r="AQ857">
        <f>AND(IF(Metadata!P857="",FALSE,TRUE),exact(Metadata!P857,"kg"))</f>
        <v>0</v>
      </c>
      <c r="AR857">
        <f>OR(AND(IF(Metadata!Q857="",FALSE,TRUE),OR(exact(Metadata!Q857,"not applicable"),exact(Metadata!Q857,"not collected"),exact(Metadata!Q857,"not provided"),exact(Metadata!Q857,"restricted access"))),IF(Metadata!Q857="",FALSE,IF(ISERROR(INT(Metadata!Q857)),FALSE,INT(Metadata!Q857)=Metadata!Q857)))</f>
        <v>0</v>
      </c>
      <c r="AS857">
        <f>AND(IF(Metadata!R857="",FALSE,TRUE),exact(Metadata!R857,"Not applicable"))</f>
        <v>0</v>
      </c>
    </row>
    <row r="858" spans="1:45">
      <c r="A858" s="4">
        <f>IF(B858=" "," ",HYPERLINK(CONCATENATE("#metadata!",ADDRESS(INDEX($X$2:$X$1001,MATCH(ROWS($V$2:V858),$V$2:$V$1001,0),0),2)),INDEX($AA$2:$AA$1001,MATCH(ROWS($V$2:V858),$V$2:$V$1001,0),0)))</f>
        <v>0</v>
      </c>
      <c r="B858" s="5">
        <f>IF(OR(INDEX($W$2:$W$1001,MATCH(ROWS($V$2:V858),$V$2:$V$1001,0),1)&gt;=100000,INDEX($AC$1005:$AS$1005,1,MATCH(COLUMNS($AC$1006:AC1006),$AC$1006:$AS$1006,0))&gt;=100000), " ",IF(INDEX($AC$2:$AS$1001,MATCH(ROWS($V$2:V858),$V$2:$V$1001,0),MATCH(COLUMNS($AC$1006:AC1006),$AC$1006:$AS$1006,0)), HYPERLINK("#",""), HYPERLINK(CONCATENATE("#Metadata!", ADDRESS(INDEX($X$2:$X$1001,MATCH(ROWS($V$2:V858),$V$2:$V$1001,0),0), INDEX($AC$1004:$AS$1004,1,MATCH(COLUMNS($AC$1006:AC1006),$AC$1006:$AS$1006,0)))),"Fix")))</f>
        <v>0</v>
      </c>
      <c r="C858" s="5">
        <f>IF(OR(INDEX($W$2:$W$1001,MATCH(ROWS($V$2:V858),$V$2:$V$1001,0),1)&gt;=100000,INDEX($AC$1005:$AS$1005,1,MATCH(COLUMNS($AC$1006:AD1006),$AC$1006:$AS$1006,0))&gt;=100000), " ",IF(INDEX($AC$2:$AS$1001,MATCH(ROWS($V$2:V858),$V$2:$V$1001,0),MATCH(COLUMNS($AC$1006:AD1006),$AC$1006:$AS$1006,0)), HYPERLINK("#",""), HYPERLINK(CONCATENATE("#Metadata!", ADDRESS(INDEX($X$2:$X$1001,MATCH(ROWS($V$2:V858),$V$2:$V$1001,0),0), INDEX($AC$1004:$AS$1004,1,MATCH(COLUMNS($AC$1006:AD1006),$AC$1006:$AS$1006,0)))),"Fix")))</f>
        <v>0</v>
      </c>
      <c r="D858" s="5">
        <f>IF(OR(INDEX($W$2:$W$1001,MATCH(ROWS($V$2:V858),$V$2:$V$1001,0),1)&gt;=100000,INDEX($AC$1005:$AS$1005,1,MATCH(COLUMNS($AC$1006:AE1006),$AC$1006:$AS$1006,0))&gt;=100000), " ",IF(INDEX($AC$2:$AS$1001,MATCH(ROWS($V$2:V858),$V$2:$V$1001,0),MATCH(COLUMNS($AC$1006:AE1006),$AC$1006:$AS$1006,0)), HYPERLINK("#",""), HYPERLINK(CONCATENATE("#Metadata!", ADDRESS(INDEX($X$2:$X$1001,MATCH(ROWS($V$2:V858),$V$2:$V$1001,0),0), INDEX($AC$1004:$AS$1004,1,MATCH(COLUMNS($AC$1006:AE1006),$AC$1006:$AS$1006,0)))),"Fix")))</f>
        <v>0</v>
      </c>
      <c r="E858" s="5">
        <f>IF(OR(INDEX($W$2:$W$1001,MATCH(ROWS($V$2:V858),$V$2:$V$1001,0),1)&gt;=100000,INDEX($AC$1005:$AS$1005,1,MATCH(COLUMNS($AC$1006:AF1006),$AC$1006:$AS$1006,0))&gt;=100000), " ",IF(INDEX($AC$2:$AS$1001,MATCH(ROWS($V$2:V858),$V$2:$V$1001,0),MATCH(COLUMNS($AC$1006:AF1006),$AC$1006:$AS$1006,0)), HYPERLINK("#",""), HYPERLINK(CONCATENATE("#Metadata!", ADDRESS(INDEX($X$2:$X$1001,MATCH(ROWS($V$2:V858),$V$2:$V$1001,0),0), INDEX($AC$1004:$AS$1004,1,MATCH(COLUMNS($AC$1006:AF1006),$AC$1006:$AS$1006,0)))),"Fix")))</f>
        <v>0</v>
      </c>
      <c r="F858" s="5">
        <f>IF(OR(INDEX($W$2:$W$1001,MATCH(ROWS($V$2:V858),$V$2:$V$1001,0),1)&gt;=100000,INDEX($AC$1005:$AS$1005,1,MATCH(COLUMNS($AC$1006:AG1006),$AC$1006:$AS$1006,0))&gt;=100000), " ",IF(INDEX($AC$2:$AS$1001,MATCH(ROWS($V$2:V858),$V$2:$V$1001,0),MATCH(COLUMNS($AC$1006:AG1006),$AC$1006:$AS$1006,0)), HYPERLINK("#",""), HYPERLINK(CONCATENATE("#Metadata!", ADDRESS(INDEX($X$2:$X$1001,MATCH(ROWS($V$2:V858),$V$2:$V$1001,0),0), INDEX($AC$1004:$AS$1004,1,MATCH(COLUMNS($AC$1006:AG1006),$AC$1006:$AS$1006,0)))),"Fix")))</f>
        <v>0</v>
      </c>
      <c r="G858" s="5">
        <f>IF(OR(INDEX($W$2:$W$1001,MATCH(ROWS($V$2:V858),$V$2:$V$1001,0),1)&gt;=100000,INDEX($AC$1005:$AS$1005,1,MATCH(COLUMNS($AC$1006:AH1006),$AC$1006:$AS$1006,0))&gt;=100000), " ",IF(INDEX($AC$2:$AS$1001,MATCH(ROWS($V$2:V858),$V$2:$V$1001,0),MATCH(COLUMNS($AC$1006:AH1006),$AC$1006:$AS$1006,0)), HYPERLINK("#",""), HYPERLINK(CONCATENATE("#Metadata!", ADDRESS(INDEX($X$2:$X$1001,MATCH(ROWS($V$2:V858),$V$2:$V$1001,0),0), INDEX($AC$1004:$AS$1004,1,MATCH(COLUMNS($AC$1006:AH1006),$AC$1006:$AS$1006,0)))),"Fix")))</f>
        <v>0</v>
      </c>
      <c r="H858" s="5">
        <f>IF(OR(INDEX($W$2:$W$1001,MATCH(ROWS($V$2:V858),$V$2:$V$1001,0),1)&gt;=100000,INDEX($AC$1005:$AS$1005,1,MATCH(COLUMNS($AC$1006:AI1006),$AC$1006:$AS$1006,0))&gt;=100000), " ",IF(INDEX($AC$2:$AS$1001,MATCH(ROWS($V$2:V858),$V$2:$V$1001,0),MATCH(COLUMNS($AC$1006:AI1006),$AC$1006:$AS$1006,0)), HYPERLINK("#",""), HYPERLINK(CONCATENATE("#Metadata!", ADDRESS(INDEX($X$2:$X$1001,MATCH(ROWS($V$2:V858),$V$2:$V$1001,0),0), INDEX($AC$1004:$AS$1004,1,MATCH(COLUMNS($AC$1006:AI1006),$AC$1006:$AS$1006,0)))),"Fix")))</f>
        <v>0</v>
      </c>
      <c r="I858" s="5">
        <f>IF(OR(INDEX($W$2:$W$1001,MATCH(ROWS($V$2:V858),$V$2:$V$1001,0),1)&gt;=100000,INDEX($AC$1005:$AS$1005,1,MATCH(COLUMNS($AC$1006:AJ1006),$AC$1006:$AS$1006,0))&gt;=100000), " ",IF(INDEX($AC$2:$AS$1001,MATCH(ROWS($V$2:V858),$V$2:$V$1001,0),MATCH(COLUMNS($AC$1006:AJ1006),$AC$1006:$AS$1006,0)), HYPERLINK("#",""), HYPERLINK(CONCATENATE("#Metadata!", ADDRESS(INDEX($X$2:$X$1001,MATCH(ROWS($V$2:V858),$V$2:$V$1001,0),0), INDEX($AC$1004:$AS$1004,1,MATCH(COLUMNS($AC$1006:AJ1006),$AC$1006:$AS$1006,0)))),"Fix")))</f>
        <v>0</v>
      </c>
      <c r="J858" s="5">
        <f>IF(OR(INDEX($W$2:$W$1001,MATCH(ROWS($V$2:V858),$V$2:$V$1001,0),1)&gt;=100000,INDEX($AC$1005:$AS$1005,1,MATCH(COLUMNS($AC$1006:AK1006),$AC$1006:$AS$1006,0))&gt;=100000), " ",IF(INDEX($AC$2:$AS$1001,MATCH(ROWS($V$2:V858),$V$2:$V$1001,0),MATCH(COLUMNS($AC$1006:AK1006),$AC$1006:$AS$1006,0)), HYPERLINK("#",""), HYPERLINK(CONCATENATE("#Metadata!", ADDRESS(INDEX($X$2:$X$1001,MATCH(ROWS($V$2:V858),$V$2:$V$1001,0),0), INDEX($AC$1004:$AS$1004,1,MATCH(COLUMNS($AC$1006:AK1006),$AC$1006:$AS$1006,0)))),"Fix")))</f>
        <v>0</v>
      </c>
      <c r="K858" s="5">
        <f>IF(OR(INDEX($W$2:$W$1001,MATCH(ROWS($V$2:V858),$V$2:$V$1001,0),1)&gt;=100000,INDEX($AC$1005:$AS$1005,1,MATCH(COLUMNS($AC$1006:AL1006),$AC$1006:$AS$1006,0))&gt;=100000), " ",IF(INDEX($AC$2:$AS$1001,MATCH(ROWS($V$2:V858),$V$2:$V$1001,0),MATCH(COLUMNS($AC$1006:AL1006),$AC$1006:$AS$1006,0)), HYPERLINK("#",""), HYPERLINK(CONCATENATE("#Metadata!", ADDRESS(INDEX($X$2:$X$1001,MATCH(ROWS($V$2:V858),$V$2:$V$1001,0),0), INDEX($AC$1004:$AS$1004,1,MATCH(COLUMNS($AC$1006:AL1006),$AC$1006:$AS$1006,0)))),"Fix")))</f>
        <v>0</v>
      </c>
      <c r="L858" s="5">
        <f>IF(OR(INDEX($W$2:$W$1001,MATCH(ROWS($V$2:V858),$V$2:$V$1001,0),1)&gt;=100000,INDEX($AC$1005:$AS$1005,1,MATCH(COLUMNS($AC$1006:AM1006),$AC$1006:$AS$1006,0))&gt;=100000), " ",IF(INDEX($AC$2:$AS$1001,MATCH(ROWS($V$2:V858),$V$2:$V$1001,0),MATCH(COLUMNS($AC$1006:AM1006),$AC$1006:$AS$1006,0)), HYPERLINK("#",""), HYPERLINK(CONCATENATE("#Metadata!", ADDRESS(INDEX($X$2:$X$1001,MATCH(ROWS($V$2:V858),$V$2:$V$1001,0),0), INDEX($AC$1004:$AS$1004,1,MATCH(COLUMNS($AC$1006:AM1006),$AC$1006:$AS$1006,0)))),"Fix")))</f>
        <v>0</v>
      </c>
      <c r="M858" s="5">
        <f>IF(OR(INDEX($W$2:$W$1001,MATCH(ROWS($V$2:V858),$V$2:$V$1001,0),1)&gt;=100000,INDEX($AC$1005:$AS$1005,1,MATCH(COLUMNS($AC$1006:AN1006),$AC$1006:$AS$1006,0))&gt;=100000), " ",IF(INDEX($AC$2:$AS$1001,MATCH(ROWS($V$2:V858),$V$2:$V$1001,0),MATCH(COLUMNS($AC$1006:AN1006),$AC$1006:$AS$1006,0)), HYPERLINK("#",""), HYPERLINK(CONCATENATE("#Metadata!", ADDRESS(INDEX($X$2:$X$1001,MATCH(ROWS($V$2:V858),$V$2:$V$1001,0),0), INDEX($AC$1004:$AS$1004,1,MATCH(COLUMNS($AC$1006:AN1006),$AC$1006:$AS$1006,0)))),"Fix")))</f>
        <v>0</v>
      </c>
      <c r="N858" s="5">
        <f>IF(OR(INDEX($W$2:$W$1001,MATCH(ROWS($V$2:V858),$V$2:$V$1001,0),1)&gt;=100000,INDEX($AC$1005:$AS$1005,1,MATCH(COLUMNS($AC$1006:AO1006),$AC$1006:$AS$1006,0))&gt;=100000), " ",IF(INDEX($AC$2:$AS$1001,MATCH(ROWS($V$2:V858),$V$2:$V$1001,0),MATCH(COLUMNS($AC$1006:AO1006),$AC$1006:$AS$1006,0)), HYPERLINK("#",""), HYPERLINK(CONCATENATE("#Metadata!", ADDRESS(INDEX($X$2:$X$1001,MATCH(ROWS($V$2:V858),$V$2:$V$1001,0),0), INDEX($AC$1004:$AS$1004,1,MATCH(COLUMNS($AC$1006:AO1006),$AC$1006:$AS$1006,0)))),"Fix")))</f>
        <v>0</v>
      </c>
      <c r="O858" s="5">
        <f>IF(OR(INDEX($W$2:$W$1001,MATCH(ROWS($V$2:V858),$V$2:$V$1001,0),1)&gt;=100000,INDEX($AC$1005:$AS$1005,1,MATCH(COLUMNS($AC$1006:AP1006),$AC$1006:$AS$1006,0))&gt;=100000), " ",IF(INDEX($AC$2:$AS$1001,MATCH(ROWS($V$2:V858),$V$2:$V$1001,0),MATCH(COLUMNS($AC$1006:AP1006),$AC$1006:$AS$1006,0)), HYPERLINK("#",""), HYPERLINK(CONCATENATE("#Metadata!", ADDRESS(INDEX($X$2:$X$1001,MATCH(ROWS($V$2:V858),$V$2:$V$1001,0),0), INDEX($AC$1004:$AS$1004,1,MATCH(COLUMNS($AC$1006:AP1006),$AC$1006:$AS$1006,0)))),"Fix")))</f>
        <v>0</v>
      </c>
      <c r="P858" s="5">
        <f>IF(OR(INDEX($W$2:$W$1001,MATCH(ROWS($V$2:V858),$V$2:$V$1001,0),1)&gt;=100000,INDEX($AC$1005:$AS$1005,1,MATCH(COLUMNS($AC$1006:AQ1006),$AC$1006:$AS$1006,0))&gt;=100000), " ",IF(INDEX($AC$2:$AS$1001,MATCH(ROWS($V$2:V858),$V$2:$V$1001,0),MATCH(COLUMNS($AC$1006:AQ1006),$AC$1006:$AS$1006,0)), HYPERLINK("#",""), HYPERLINK(CONCATENATE("#Metadata!", ADDRESS(INDEX($X$2:$X$1001,MATCH(ROWS($V$2:V858),$V$2:$V$1001,0),0), INDEX($AC$1004:$AS$1004,1,MATCH(COLUMNS($AC$1006:AQ1006),$AC$1006:$AS$1006,0)))),"Fix")))</f>
        <v>0</v>
      </c>
      <c r="Q858" s="5">
        <f>IF(OR(INDEX($W$2:$W$1001,MATCH(ROWS($V$2:V858),$V$2:$V$1001,0),1)&gt;=100000,INDEX($AC$1005:$AS$1005,1,MATCH(COLUMNS($AC$1006:AR1006),$AC$1006:$AS$1006,0))&gt;=100000), " ",IF(INDEX($AC$2:$AS$1001,MATCH(ROWS($V$2:V858),$V$2:$V$1001,0),MATCH(COLUMNS($AC$1006:AR1006),$AC$1006:$AS$1006,0)), HYPERLINK("#",""), HYPERLINK(CONCATENATE("#Metadata!", ADDRESS(INDEX($X$2:$X$1001,MATCH(ROWS($V$2:V858),$V$2:$V$1001,0),0), INDEX($AC$1004:$AS$1004,1,MATCH(COLUMNS($AC$1006:AR1006),$AC$1006:$AS$1006,0)))),"Fix")))</f>
        <v>0</v>
      </c>
      <c r="R858" s="5">
        <f>IF(OR(INDEX($W$2:$W$1001,MATCH(ROWS($V$2:V858),$V$2:$V$1001,0),1)&gt;=100000,INDEX($AC$1005:$AS$1005,1,MATCH(COLUMNS($AC$1006:AS1006),$AC$1006:$AS$1006,0))&gt;=100000), " ",IF(INDEX($AC$2:$AS$1001,MATCH(ROWS($V$2:V858),$V$2:$V$1001,0),MATCH(COLUMNS($AC$1006:AS1006),$AC$1006:$AS$1006,0)), HYPERLINK("#",""), HYPERLINK(CONCATENATE("#Metadata!", ADDRESS(INDEX($X$2:$X$1001,MATCH(ROWS($V$2:V858),$V$2:$V$1001,0),0), INDEX($AC$1004:$AS$1004,1,MATCH(COLUMNS($AC$1006:AS1006),$AC$1006:$AS$1006,0)))),"Fix")))</f>
        <v>0</v>
      </c>
      <c r="V858">
        <v>0</v>
      </c>
      <c r="W858">
        <v>0</v>
      </c>
      <c r="X858">
        <v>0</v>
      </c>
      <c r="Y858">
        <f>IF(Z858,TRUE,AND(AC858:AS858))</f>
        <v>0</v>
      </c>
      <c r="Z858">
        <f>COUNTBLANK(Metadata!B858:R858)=COLUMNS(Metadata!B858:R858)</f>
        <v>0</v>
      </c>
      <c r="AA858">
        <v>0</v>
      </c>
      <c r="AC858">
        <f>AND(IF(Metadata!B858="",FALSE,TRUE),COUNTIF(Metadata!B:B, Metadata!B858) = 1,NOT(ISERROR(SUMPRODUCT(SEARCH(MID(Metadata!B858,ROW(INDIRECT("1:"&amp;LEN(Metadata!B858))), 1),"0123456789abcdefghijklmnopqrstuvwxyzABCDEFGHIJKLMNOPQRSTUVWXYZ.")))))</f>
        <v>0</v>
      </c>
      <c r="AD858">
        <f>AND(IF(Metadata!C858="",FALSE,TRUE),exact(Metadata!C858,"Host-associated"))</f>
        <v>0</v>
      </c>
      <c r="AE858">
        <f>AND(IF(Metadata!D858="",FALSE,TRUE),OR(exact(Metadata!D858,"Animal"),exact(Metadata!D858,"Fungus"),exact(Metadata!D858,"Plant")))</f>
        <v>0</v>
      </c>
      <c r="AF858">
        <f>AND(IF(Metadata!E858="",FALSE,TRUE),OR(exact(Metadata!E858,"Plant secretion"),exact(Metadata!E858,"Plant rhizosphere"),exact(Metadata!E858,"Plant surface"),exact(Metadata!E858,"Plant corpus"),exact(Metadata!E858,"Fungus surface"),exact(Metadata!E858,"Fungus corpus"),exact(Metadata!E858,"Animal surface"),exact(Metadata!E858,"Animal proximal gut"),exact(Metadata!E858,"Animal corpus"),exact(Metadata!E858,"Animal distal gut"),exact(Metadata!E858,"Animal secretion")))</f>
        <v>0</v>
      </c>
      <c r="AG858">
        <f>OR(AND(IF(Metadata!F858="",FALSE,TRUE),OR(exact(Metadata!F858,"not collected"),exact(Metadata!F858,"not provided"),exact(Metadata!F858,"restricted access"))),AND(IF(Metadata!F858="",FALSE,TRUE),OR(exact(Metadata!F858,"organism-associated habitat"),exact(Metadata!F858,"plant-associated habitat"),exact(Metadata!F858,"animal-associated habitat"),exact(Metadata!F858,"insecta-associated habitat"),exact(Metadata!F858,"mammalia-associated habitat"),exact(Metadata!F858,"human-associated habitat"),exact(Metadata!F858,"livestock-associated habitat"))))</f>
        <v>0</v>
      </c>
      <c r="AH858">
        <f>AND(IF(Metadata!G858="",FALSE,TRUE),exact(Metadata!G858,"host-associated"))</f>
        <v>0</v>
      </c>
      <c r="AI858">
        <f>OR(AND(IF(Metadata!H858="",FALSE,TRUE),OR(exact(Metadata!H858,"not collected"),exact(Metadata!H858,"not provided"))),AND(IF(Metadata!H858="",FALSE,ISNUMBER(VALUE(Metadata!H858))),Metadata!H858&gt;0))</f>
        <v>0</v>
      </c>
      <c r="AJ858">
        <f>AND(IF(Metadata!I858="",FALSE,TRUE),exact(Metadata!I858,"years"))</f>
        <v>0</v>
      </c>
      <c r="AK858">
        <f>IF(Metadata!J858="",FALSE,TRUE)</f>
        <v>0</v>
      </c>
      <c r="AL858">
        <f>OR(AND(IF(Metadata!K858="",FALSE,TRUE),OR(exact(Metadata!K858,"not collected"),exact(Metadata!K858,"not provided"))),AND(IF(Metadata!K858="",FALSE,ISNUMBER(VALUE(Metadata!K858))),Metadata!K858&gt;0))</f>
        <v>0</v>
      </c>
      <c r="AM858">
        <f>AND(IF(Metadata!L858="",FALSE,TRUE),exact(Metadata!L858,"cm"))</f>
        <v>0</v>
      </c>
      <c r="AN858">
        <f>IF(Metadata!M858="",FALSE,TRUE)</f>
        <v>0</v>
      </c>
      <c r="AO858">
        <f>OR(AND(IF(Metadata!N858="",FALSE,TRUE),OR(exact(Metadata!N858,"not applicable"),exact(Metadata!N858,"not collected"),exact(Metadata!N858,"not provided"))),AND(IF(Metadata!N858="",FALSE,IF(ISERROR(INT(Metadata!N858)),FALSE,INT(Metadata!N858)=Metadata!N858)),Metadata!N858&gt;0))</f>
        <v>0</v>
      </c>
      <c r="AP858">
        <f>OR(AND(IF(Metadata!O858="",FALSE,TRUE),OR(exact(Metadata!O858,"not collected"),exact(Metadata!O858,"not provided"))),AND(IF(Metadata!O858="",FALSE,ISNUMBER(VALUE(Metadata!O858))),Metadata!O858&gt;0))</f>
        <v>0</v>
      </c>
      <c r="AQ858">
        <f>AND(IF(Metadata!P858="",FALSE,TRUE),exact(Metadata!P858,"kg"))</f>
        <v>0</v>
      </c>
      <c r="AR858">
        <f>OR(AND(IF(Metadata!Q858="",FALSE,TRUE),OR(exact(Metadata!Q858,"not applicable"),exact(Metadata!Q858,"not collected"),exact(Metadata!Q858,"not provided"),exact(Metadata!Q858,"restricted access"))),IF(Metadata!Q858="",FALSE,IF(ISERROR(INT(Metadata!Q858)),FALSE,INT(Metadata!Q858)=Metadata!Q858)))</f>
        <v>0</v>
      </c>
      <c r="AS858">
        <f>AND(IF(Metadata!R858="",FALSE,TRUE),exact(Metadata!R858,"Not applicable"))</f>
        <v>0</v>
      </c>
    </row>
    <row r="859" spans="1:45">
      <c r="A859" s="4">
        <f>IF(B859=" "," ",HYPERLINK(CONCATENATE("#metadata!",ADDRESS(INDEX($X$2:$X$1001,MATCH(ROWS($V$2:V859),$V$2:$V$1001,0),0),2)),INDEX($AA$2:$AA$1001,MATCH(ROWS($V$2:V859),$V$2:$V$1001,0),0)))</f>
        <v>0</v>
      </c>
      <c r="B859" s="5">
        <f>IF(OR(INDEX($W$2:$W$1001,MATCH(ROWS($V$2:V859),$V$2:$V$1001,0),1)&gt;=100000,INDEX($AC$1005:$AS$1005,1,MATCH(COLUMNS($AC$1006:AC1006),$AC$1006:$AS$1006,0))&gt;=100000), " ",IF(INDEX($AC$2:$AS$1001,MATCH(ROWS($V$2:V859),$V$2:$V$1001,0),MATCH(COLUMNS($AC$1006:AC1006),$AC$1006:$AS$1006,0)), HYPERLINK("#",""), HYPERLINK(CONCATENATE("#Metadata!", ADDRESS(INDEX($X$2:$X$1001,MATCH(ROWS($V$2:V859),$V$2:$V$1001,0),0), INDEX($AC$1004:$AS$1004,1,MATCH(COLUMNS($AC$1006:AC1006),$AC$1006:$AS$1006,0)))),"Fix")))</f>
        <v>0</v>
      </c>
      <c r="C859" s="5">
        <f>IF(OR(INDEX($W$2:$W$1001,MATCH(ROWS($V$2:V859),$V$2:$V$1001,0),1)&gt;=100000,INDEX($AC$1005:$AS$1005,1,MATCH(COLUMNS($AC$1006:AD1006),$AC$1006:$AS$1006,0))&gt;=100000), " ",IF(INDEX($AC$2:$AS$1001,MATCH(ROWS($V$2:V859),$V$2:$V$1001,0),MATCH(COLUMNS($AC$1006:AD1006),$AC$1006:$AS$1006,0)), HYPERLINK("#",""), HYPERLINK(CONCATENATE("#Metadata!", ADDRESS(INDEX($X$2:$X$1001,MATCH(ROWS($V$2:V859),$V$2:$V$1001,0),0), INDEX($AC$1004:$AS$1004,1,MATCH(COLUMNS($AC$1006:AD1006),$AC$1006:$AS$1006,0)))),"Fix")))</f>
        <v>0</v>
      </c>
      <c r="D859" s="5">
        <f>IF(OR(INDEX($W$2:$W$1001,MATCH(ROWS($V$2:V859),$V$2:$V$1001,0),1)&gt;=100000,INDEX($AC$1005:$AS$1005,1,MATCH(COLUMNS($AC$1006:AE1006),$AC$1006:$AS$1006,0))&gt;=100000), " ",IF(INDEX($AC$2:$AS$1001,MATCH(ROWS($V$2:V859),$V$2:$V$1001,0),MATCH(COLUMNS($AC$1006:AE1006),$AC$1006:$AS$1006,0)), HYPERLINK("#",""), HYPERLINK(CONCATENATE("#Metadata!", ADDRESS(INDEX($X$2:$X$1001,MATCH(ROWS($V$2:V859),$V$2:$V$1001,0),0), INDEX($AC$1004:$AS$1004,1,MATCH(COLUMNS($AC$1006:AE1006),$AC$1006:$AS$1006,0)))),"Fix")))</f>
        <v>0</v>
      </c>
      <c r="E859" s="5">
        <f>IF(OR(INDEX($W$2:$W$1001,MATCH(ROWS($V$2:V859),$V$2:$V$1001,0),1)&gt;=100000,INDEX($AC$1005:$AS$1005,1,MATCH(COLUMNS($AC$1006:AF1006),$AC$1006:$AS$1006,0))&gt;=100000), " ",IF(INDEX($AC$2:$AS$1001,MATCH(ROWS($V$2:V859),$V$2:$V$1001,0),MATCH(COLUMNS($AC$1006:AF1006),$AC$1006:$AS$1006,0)), HYPERLINK("#",""), HYPERLINK(CONCATENATE("#Metadata!", ADDRESS(INDEX($X$2:$X$1001,MATCH(ROWS($V$2:V859),$V$2:$V$1001,0),0), INDEX($AC$1004:$AS$1004,1,MATCH(COLUMNS($AC$1006:AF1006),$AC$1006:$AS$1006,0)))),"Fix")))</f>
        <v>0</v>
      </c>
      <c r="F859" s="5">
        <f>IF(OR(INDEX($W$2:$W$1001,MATCH(ROWS($V$2:V859),$V$2:$V$1001,0),1)&gt;=100000,INDEX($AC$1005:$AS$1005,1,MATCH(COLUMNS($AC$1006:AG1006),$AC$1006:$AS$1006,0))&gt;=100000), " ",IF(INDEX($AC$2:$AS$1001,MATCH(ROWS($V$2:V859),$V$2:$V$1001,0),MATCH(COLUMNS($AC$1006:AG1006),$AC$1006:$AS$1006,0)), HYPERLINK("#",""), HYPERLINK(CONCATENATE("#Metadata!", ADDRESS(INDEX($X$2:$X$1001,MATCH(ROWS($V$2:V859),$V$2:$V$1001,0),0), INDEX($AC$1004:$AS$1004,1,MATCH(COLUMNS($AC$1006:AG1006),$AC$1006:$AS$1006,0)))),"Fix")))</f>
        <v>0</v>
      </c>
      <c r="G859" s="5">
        <f>IF(OR(INDEX($W$2:$W$1001,MATCH(ROWS($V$2:V859),$V$2:$V$1001,0),1)&gt;=100000,INDEX($AC$1005:$AS$1005,1,MATCH(COLUMNS($AC$1006:AH1006),$AC$1006:$AS$1006,0))&gt;=100000), " ",IF(INDEX($AC$2:$AS$1001,MATCH(ROWS($V$2:V859),$V$2:$V$1001,0),MATCH(COLUMNS($AC$1006:AH1006),$AC$1006:$AS$1006,0)), HYPERLINK("#",""), HYPERLINK(CONCATENATE("#Metadata!", ADDRESS(INDEX($X$2:$X$1001,MATCH(ROWS($V$2:V859),$V$2:$V$1001,0),0), INDEX($AC$1004:$AS$1004,1,MATCH(COLUMNS($AC$1006:AH1006),$AC$1006:$AS$1006,0)))),"Fix")))</f>
        <v>0</v>
      </c>
      <c r="H859" s="5">
        <f>IF(OR(INDEX($W$2:$W$1001,MATCH(ROWS($V$2:V859),$V$2:$V$1001,0),1)&gt;=100000,INDEX($AC$1005:$AS$1005,1,MATCH(COLUMNS($AC$1006:AI1006),$AC$1006:$AS$1006,0))&gt;=100000), " ",IF(INDEX($AC$2:$AS$1001,MATCH(ROWS($V$2:V859),$V$2:$V$1001,0),MATCH(COLUMNS($AC$1006:AI1006),$AC$1006:$AS$1006,0)), HYPERLINK("#",""), HYPERLINK(CONCATENATE("#Metadata!", ADDRESS(INDEX($X$2:$X$1001,MATCH(ROWS($V$2:V859),$V$2:$V$1001,0),0), INDEX($AC$1004:$AS$1004,1,MATCH(COLUMNS($AC$1006:AI1006),$AC$1006:$AS$1006,0)))),"Fix")))</f>
        <v>0</v>
      </c>
      <c r="I859" s="5">
        <f>IF(OR(INDEX($W$2:$W$1001,MATCH(ROWS($V$2:V859),$V$2:$V$1001,0),1)&gt;=100000,INDEX($AC$1005:$AS$1005,1,MATCH(COLUMNS($AC$1006:AJ1006),$AC$1006:$AS$1006,0))&gt;=100000), " ",IF(INDEX($AC$2:$AS$1001,MATCH(ROWS($V$2:V859),$V$2:$V$1001,0),MATCH(COLUMNS($AC$1006:AJ1006),$AC$1006:$AS$1006,0)), HYPERLINK("#",""), HYPERLINK(CONCATENATE("#Metadata!", ADDRESS(INDEX($X$2:$X$1001,MATCH(ROWS($V$2:V859),$V$2:$V$1001,0),0), INDEX($AC$1004:$AS$1004,1,MATCH(COLUMNS($AC$1006:AJ1006),$AC$1006:$AS$1006,0)))),"Fix")))</f>
        <v>0</v>
      </c>
      <c r="J859" s="5">
        <f>IF(OR(INDEX($W$2:$W$1001,MATCH(ROWS($V$2:V859),$V$2:$V$1001,0),1)&gt;=100000,INDEX($AC$1005:$AS$1005,1,MATCH(COLUMNS($AC$1006:AK1006),$AC$1006:$AS$1006,0))&gt;=100000), " ",IF(INDEX($AC$2:$AS$1001,MATCH(ROWS($V$2:V859),$V$2:$V$1001,0),MATCH(COLUMNS($AC$1006:AK1006),$AC$1006:$AS$1006,0)), HYPERLINK("#",""), HYPERLINK(CONCATENATE("#Metadata!", ADDRESS(INDEX($X$2:$X$1001,MATCH(ROWS($V$2:V859),$V$2:$V$1001,0),0), INDEX($AC$1004:$AS$1004,1,MATCH(COLUMNS($AC$1006:AK1006),$AC$1006:$AS$1006,0)))),"Fix")))</f>
        <v>0</v>
      </c>
      <c r="K859" s="5">
        <f>IF(OR(INDEX($W$2:$W$1001,MATCH(ROWS($V$2:V859),$V$2:$V$1001,0),1)&gt;=100000,INDEX($AC$1005:$AS$1005,1,MATCH(COLUMNS($AC$1006:AL1006),$AC$1006:$AS$1006,0))&gt;=100000), " ",IF(INDEX($AC$2:$AS$1001,MATCH(ROWS($V$2:V859),$V$2:$V$1001,0),MATCH(COLUMNS($AC$1006:AL1006),$AC$1006:$AS$1006,0)), HYPERLINK("#",""), HYPERLINK(CONCATENATE("#Metadata!", ADDRESS(INDEX($X$2:$X$1001,MATCH(ROWS($V$2:V859),$V$2:$V$1001,0),0), INDEX($AC$1004:$AS$1004,1,MATCH(COLUMNS($AC$1006:AL1006),$AC$1006:$AS$1006,0)))),"Fix")))</f>
        <v>0</v>
      </c>
      <c r="L859" s="5">
        <f>IF(OR(INDEX($W$2:$W$1001,MATCH(ROWS($V$2:V859),$V$2:$V$1001,0),1)&gt;=100000,INDEX($AC$1005:$AS$1005,1,MATCH(COLUMNS($AC$1006:AM1006),$AC$1006:$AS$1006,0))&gt;=100000), " ",IF(INDEX($AC$2:$AS$1001,MATCH(ROWS($V$2:V859),$V$2:$V$1001,0),MATCH(COLUMNS($AC$1006:AM1006),$AC$1006:$AS$1006,0)), HYPERLINK("#",""), HYPERLINK(CONCATENATE("#Metadata!", ADDRESS(INDEX($X$2:$X$1001,MATCH(ROWS($V$2:V859),$V$2:$V$1001,0),0), INDEX($AC$1004:$AS$1004,1,MATCH(COLUMNS($AC$1006:AM1006),$AC$1006:$AS$1006,0)))),"Fix")))</f>
        <v>0</v>
      </c>
      <c r="M859" s="5">
        <f>IF(OR(INDEX($W$2:$W$1001,MATCH(ROWS($V$2:V859),$V$2:$V$1001,0),1)&gt;=100000,INDEX($AC$1005:$AS$1005,1,MATCH(COLUMNS($AC$1006:AN1006),$AC$1006:$AS$1006,0))&gt;=100000), " ",IF(INDEX($AC$2:$AS$1001,MATCH(ROWS($V$2:V859),$V$2:$V$1001,0),MATCH(COLUMNS($AC$1006:AN1006),$AC$1006:$AS$1006,0)), HYPERLINK("#",""), HYPERLINK(CONCATENATE("#Metadata!", ADDRESS(INDEX($X$2:$X$1001,MATCH(ROWS($V$2:V859),$V$2:$V$1001,0),0), INDEX($AC$1004:$AS$1004,1,MATCH(COLUMNS($AC$1006:AN1006),$AC$1006:$AS$1006,0)))),"Fix")))</f>
        <v>0</v>
      </c>
      <c r="N859" s="5">
        <f>IF(OR(INDEX($W$2:$W$1001,MATCH(ROWS($V$2:V859),$V$2:$V$1001,0),1)&gt;=100000,INDEX($AC$1005:$AS$1005,1,MATCH(COLUMNS($AC$1006:AO1006),$AC$1006:$AS$1006,0))&gt;=100000), " ",IF(INDEX($AC$2:$AS$1001,MATCH(ROWS($V$2:V859),$V$2:$V$1001,0),MATCH(COLUMNS($AC$1006:AO1006),$AC$1006:$AS$1006,0)), HYPERLINK("#",""), HYPERLINK(CONCATENATE("#Metadata!", ADDRESS(INDEX($X$2:$X$1001,MATCH(ROWS($V$2:V859),$V$2:$V$1001,0),0), INDEX($AC$1004:$AS$1004,1,MATCH(COLUMNS($AC$1006:AO1006),$AC$1006:$AS$1006,0)))),"Fix")))</f>
        <v>0</v>
      </c>
      <c r="O859" s="5">
        <f>IF(OR(INDEX($W$2:$W$1001,MATCH(ROWS($V$2:V859),$V$2:$V$1001,0),1)&gt;=100000,INDEX($AC$1005:$AS$1005,1,MATCH(COLUMNS($AC$1006:AP1006),$AC$1006:$AS$1006,0))&gt;=100000), " ",IF(INDEX($AC$2:$AS$1001,MATCH(ROWS($V$2:V859),$V$2:$V$1001,0),MATCH(COLUMNS($AC$1006:AP1006),$AC$1006:$AS$1006,0)), HYPERLINK("#",""), HYPERLINK(CONCATENATE("#Metadata!", ADDRESS(INDEX($X$2:$X$1001,MATCH(ROWS($V$2:V859),$V$2:$V$1001,0),0), INDEX($AC$1004:$AS$1004,1,MATCH(COLUMNS($AC$1006:AP1006),$AC$1006:$AS$1006,0)))),"Fix")))</f>
        <v>0</v>
      </c>
      <c r="P859" s="5">
        <f>IF(OR(INDEX($W$2:$W$1001,MATCH(ROWS($V$2:V859),$V$2:$V$1001,0),1)&gt;=100000,INDEX($AC$1005:$AS$1005,1,MATCH(COLUMNS($AC$1006:AQ1006),$AC$1006:$AS$1006,0))&gt;=100000), " ",IF(INDEX($AC$2:$AS$1001,MATCH(ROWS($V$2:V859),$V$2:$V$1001,0),MATCH(COLUMNS($AC$1006:AQ1006),$AC$1006:$AS$1006,0)), HYPERLINK("#",""), HYPERLINK(CONCATENATE("#Metadata!", ADDRESS(INDEX($X$2:$X$1001,MATCH(ROWS($V$2:V859),$V$2:$V$1001,0),0), INDEX($AC$1004:$AS$1004,1,MATCH(COLUMNS($AC$1006:AQ1006),$AC$1006:$AS$1006,0)))),"Fix")))</f>
        <v>0</v>
      </c>
      <c r="Q859" s="5">
        <f>IF(OR(INDEX($W$2:$W$1001,MATCH(ROWS($V$2:V859),$V$2:$V$1001,0),1)&gt;=100000,INDEX($AC$1005:$AS$1005,1,MATCH(COLUMNS($AC$1006:AR1006),$AC$1006:$AS$1006,0))&gt;=100000), " ",IF(INDEX($AC$2:$AS$1001,MATCH(ROWS($V$2:V859),$V$2:$V$1001,0),MATCH(COLUMNS($AC$1006:AR1006),$AC$1006:$AS$1006,0)), HYPERLINK("#",""), HYPERLINK(CONCATENATE("#Metadata!", ADDRESS(INDEX($X$2:$X$1001,MATCH(ROWS($V$2:V859),$V$2:$V$1001,0),0), INDEX($AC$1004:$AS$1004,1,MATCH(COLUMNS($AC$1006:AR1006),$AC$1006:$AS$1006,0)))),"Fix")))</f>
        <v>0</v>
      </c>
      <c r="R859" s="5">
        <f>IF(OR(INDEX($W$2:$W$1001,MATCH(ROWS($V$2:V859),$V$2:$V$1001,0),1)&gt;=100000,INDEX($AC$1005:$AS$1005,1,MATCH(COLUMNS($AC$1006:AS1006),$AC$1006:$AS$1006,0))&gt;=100000), " ",IF(INDEX($AC$2:$AS$1001,MATCH(ROWS($V$2:V859),$V$2:$V$1001,0),MATCH(COLUMNS($AC$1006:AS1006),$AC$1006:$AS$1006,0)), HYPERLINK("#",""), HYPERLINK(CONCATENATE("#Metadata!", ADDRESS(INDEX($X$2:$X$1001,MATCH(ROWS($V$2:V859),$V$2:$V$1001,0),0), INDEX($AC$1004:$AS$1004,1,MATCH(COLUMNS($AC$1006:AS1006),$AC$1006:$AS$1006,0)))),"Fix")))</f>
        <v>0</v>
      </c>
      <c r="V859">
        <v>0</v>
      </c>
      <c r="W859">
        <v>0</v>
      </c>
      <c r="X859">
        <v>0</v>
      </c>
      <c r="Y859">
        <f>IF(Z859,TRUE,AND(AC859:AS859))</f>
        <v>0</v>
      </c>
      <c r="Z859">
        <f>COUNTBLANK(Metadata!B859:R859)=COLUMNS(Metadata!B859:R859)</f>
        <v>0</v>
      </c>
      <c r="AA859">
        <v>0</v>
      </c>
      <c r="AC859">
        <f>AND(IF(Metadata!B859="",FALSE,TRUE),COUNTIF(Metadata!B:B, Metadata!B859) = 1,NOT(ISERROR(SUMPRODUCT(SEARCH(MID(Metadata!B859,ROW(INDIRECT("1:"&amp;LEN(Metadata!B859))), 1),"0123456789abcdefghijklmnopqrstuvwxyzABCDEFGHIJKLMNOPQRSTUVWXYZ.")))))</f>
        <v>0</v>
      </c>
      <c r="AD859">
        <f>AND(IF(Metadata!C859="",FALSE,TRUE),exact(Metadata!C859,"Host-associated"))</f>
        <v>0</v>
      </c>
      <c r="AE859">
        <f>AND(IF(Metadata!D859="",FALSE,TRUE),OR(exact(Metadata!D859,"Animal"),exact(Metadata!D859,"Fungus"),exact(Metadata!D859,"Plant")))</f>
        <v>0</v>
      </c>
      <c r="AF859">
        <f>AND(IF(Metadata!E859="",FALSE,TRUE),OR(exact(Metadata!E859,"Plant secretion"),exact(Metadata!E859,"Plant rhizosphere"),exact(Metadata!E859,"Plant surface"),exact(Metadata!E859,"Plant corpus"),exact(Metadata!E859,"Fungus surface"),exact(Metadata!E859,"Fungus corpus"),exact(Metadata!E859,"Animal surface"),exact(Metadata!E859,"Animal proximal gut"),exact(Metadata!E859,"Animal corpus"),exact(Metadata!E859,"Animal distal gut"),exact(Metadata!E859,"Animal secretion")))</f>
        <v>0</v>
      </c>
      <c r="AG859">
        <f>OR(AND(IF(Metadata!F859="",FALSE,TRUE),OR(exact(Metadata!F859,"not collected"),exact(Metadata!F859,"not provided"),exact(Metadata!F859,"restricted access"))),AND(IF(Metadata!F859="",FALSE,TRUE),OR(exact(Metadata!F859,"organism-associated habitat"),exact(Metadata!F859,"plant-associated habitat"),exact(Metadata!F859,"animal-associated habitat"),exact(Metadata!F859,"insecta-associated habitat"),exact(Metadata!F859,"mammalia-associated habitat"),exact(Metadata!F859,"human-associated habitat"),exact(Metadata!F859,"livestock-associated habitat"))))</f>
        <v>0</v>
      </c>
      <c r="AH859">
        <f>AND(IF(Metadata!G859="",FALSE,TRUE),exact(Metadata!G859,"host-associated"))</f>
        <v>0</v>
      </c>
      <c r="AI859">
        <f>OR(AND(IF(Metadata!H859="",FALSE,TRUE),OR(exact(Metadata!H859,"not collected"),exact(Metadata!H859,"not provided"))),AND(IF(Metadata!H859="",FALSE,ISNUMBER(VALUE(Metadata!H859))),Metadata!H859&gt;0))</f>
        <v>0</v>
      </c>
      <c r="AJ859">
        <f>AND(IF(Metadata!I859="",FALSE,TRUE),exact(Metadata!I859,"years"))</f>
        <v>0</v>
      </c>
      <c r="AK859">
        <f>IF(Metadata!J859="",FALSE,TRUE)</f>
        <v>0</v>
      </c>
      <c r="AL859">
        <f>OR(AND(IF(Metadata!K859="",FALSE,TRUE),OR(exact(Metadata!K859,"not collected"),exact(Metadata!K859,"not provided"))),AND(IF(Metadata!K859="",FALSE,ISNUMBER(VALUE(Metadata!K859))),Metadata!K859&gt;0))</f>
        <v>0</v>
      </c>
      <c r="AM859">
        <f>AND(IF(Metadata!L859="",FALSE,TRUE),exact(Metadata!L859,"cm"))</f>
        <v>0</v>
      </c>
      <c r="AN859">
        <f>IF(Metadata!M859="",FALSE,TRUE)</f>
        <v>0</v>
      </c>
      <c r="AO859">
        <f>OR(AND(IF(Metadata!N859="",FALSE,TRUE),OR(exact(Metadata!N859,"not applicable"),exact(Metadata!N859,"not collected"),exact(Metadata!N859,"not provided"))),AND(IF(Metadata!N859="",FALSE,IF(ISERROR(INT(Metadata!N859)),FALSE,INT(Metadata!N859)=Metadata!N859)),Metadata!N859&gt;0))</f>
        <v>0</v>
      </c>
      <c r="AP859">
        <f>OR(AND(IF(Metadata!O859="",FALSE,TRUE),OR(exact(Metadata!O859,"not collected"),exact(Metadata!O859,"not provided"))),AND(IF(Metadata!O859="",FALSE,ISNUMBER(VALUE(Metadata!O859))),Metadata!O859&gt;0))</f>
        <v>0</v>
      </c>
      <c r="AQ859">
        <f>AND(IF(Metadata!P859="",FALSE,TRUE),exact(Metadata!P859,"kg"))</f>
        <v>0</v>
      </c>
      <c r="AR859">
        <f>OR(AND(IF(Metadata!Q859="",FALSE,TRUE),OR(exact(Metadata!Q859,"not applicable"),exact(Metadata!Q859,"not collected"),exact(Metadata!Q859,"not provided"),exact(Metadata!Q859,"restricted access"))),IF(Metadata!Q859="",FALSE,IF(ISERROR(INT(Metadata!Q859)),FALSE,INT(Metadata!Q859)=Metadata!Q859)))</f>
        <v>0</v>
      </c>
      <c r="AS859">
        <f>AND(IF(Metadata!R859="",FALSE,TRUE),exact(Metadata!R859,"Not applicable"))</f>
        <v>0</v>
      </c>
    </row>
    <row r="860" spans="1:45">
      <c r="A860" s="4">
        <f>IF(B860=" "," ",HYPERLINK(CONCATENATE("#metadata!",ADDRESS(INDEX($X$2:$X$1001,MATCH(ROWS($V$2:V860),$V$2:$V$1001,0),0),2)),INDEX($AA$2:$AA$1001,MATCH(ROWS($V$2:V860),$V$2:$V$1001,0),0)))</f>
        <v>0</v>
      </c>
      <c r="B860" s="5">
        <f>IF(OR(INDEX($W$2:$W$1001,MATCH(ROWS($V$2:V860),$V$2:$V$1001,0),1)&gt;=100000,INDEX($AC$1005:$AS$1005,1,MATCH(COLUMNS($AC$1006:AC1006),$AC$1006:$AS$1006,0))&gt;=100000), " ",IF(INDEX($AC$2:$AS$1001,MATCH(ROWS($V$2:V860),$V$2:$V$1001,0),MATCH(COLUMNS($AC$1006:AC1006),$AC$1006:$AS$1006,0)), HYPERLINK("#",""), HYPERLINK(CONCATENATE("#Metadata!", ADDRESS(INDEX($X$2:$X$1001,MATCH(ROWS($V$2:V860),$V$2:$V$1001,0),0), INDEX($AC$1004:$AS$1004,1,MATCH(COLUMNS($AC$1006:AC1006),$AC$1006:$AS$1006,0)))),"Fix")))</f>
        <v>0</v>
      </c>
      <c r="C860" s="5">
        <f>IF(OR(INDEX($W$2:$W$1001,MATCH(ROWS($V$2:V860),$V$2:$V$1001,0),1)&gt;=100000,INDEX($AC$1005:$AS$1005,1,MATCH(COLUMNS($AC$1006:AD1006),$AC$1006:$AS$1006,0))&gt;=100000), " ",IF(INDEX($AC$2:$AS$1001,MATCH(ROWS($V$2:V860),$V$2:$V$1001,0),MATCH(COLUMNS($AC$1006:AD1006),$AC$1006:$AS$1006,0)), HYPERLINK("#",""), HYPERLINK(CONCATENATE("#Metadata!", ADDRESS(INDEX($X$2:$X$1001,MATCH(ROWS($V$2:V860),$V$2:$V$1001,0),0), INDEX($AC$1004:$AS$1004,1,MATCH(COLUMNS($AC$1006:AD1006),$AC$1006:$AS$1006,0)))),"Fix")))</f>
        <v>0</v>
      </c>
      <c r="D860" s="5">
        <f>IF(OR(INDEX($W$2:$W$1001,MATCH(ROWS($V$2:V860),$V$2:$V$1001,0),1)&gt;=100000,INDEX($AC$1005:$AS$1005,1,MATCH(COLUMNS($AC$1006:AE1006),$AC$1006:$AS$1006,0))&gt;=100000), " ",IF(INDEX($AC$2:$AS$1001,MATCH(ROWS($V$2:V860),$V$2:$V$1001,0),MATCH(COLUMNS($AC$1006:AE1006),$AC$1006:$AS$1006,0)), HYPERLINK("#",""), HYPERLINK(CONCATENATE("#Metadata!", ADDRESS(INDEX($X$2:$X$1001,MATCH(ROWS($V$2:V860),$V$2:$V$1001,0),0), INDEX($AC$1004:$AS$1004,1,MATCH(COLUMNS($AC$1006:AE1006),$AC$1006:$AS$1006,0)))),"Fix")))</f>
        <v>0</v>
      </c>
      <c r="E860" s="5">
        <f>IF(OR(INDEX($W$2:$W$1001,MATCH(ROWS($V$2:V860),$V$2:$V$1001,0),1)&gt;=100000,INDEX($AC$1005:$AS$1005,1,MATCH(COLUMNS($AC$1006:AF1006),$AC$1006:$AS$1006,0))&gt;=100000), " ",IF(INDEX($AC$2:$AS$1001,MATCH(ROWS($V$2:V860),$V$2:$V$1001,0),MATCH(COLUMNS($AC$1006:AF1006),$AC$1006:$AS$1006,0)), HYPERLINK("#",""), HYPERLINK(CONCATENATE("#Metadata!", ADDRESS(INDEX($X$2:$X$1001,MATCH(ROWS($V$2:V860),$V$2:$V$1001,0),0), INDEX($AC$1004:$AS$1004,1,MATCH(COLUMNS($AC$1006:AF1006),$AC$1006:$AS$1006,0)))),"Fix")))</f>
        <v>0</v>
      </c>
      <c r="F860" s="5">
        <f>IF(OR(INDEX($W$2:$W$1001,MATCH(ROWS($V$2:V860),$V$2:$V$1001,0),1)&gt;=100000,INDEX($AC$1005:$AS$1005,1,MATCH(COLUMNS($AC$1006:AG1006),$AC$1006:$AS$1006,0))&gt;=100000), " ",IF(INDEX($AC$2:$AS$1001,MATCH(ROWS($V$2:V860),$V$2:$V$1001,0),MATCH(COLUMNS($AC$1006:AG1006),$AC$1006:$AS$1006,0)), HYPERLINK("#",""), HYPERLINK(CONCATENATE("#Metadata!", ADDRESS(INDEX($X$2:$X$1001,MATCH(ROWS($V$2:V860),$V$2:$V$1001,0),0), INDEX($AC$1004:$AS$1004,1,MATCH(COLUMNS($AC$1006:AG1006),$AC$1006:$AS$1006,0)))),"Fix")))</f>
        <v>0</v>
      </c>
      <c r="G860" s="5">
        <f>IF(OR(INDEX($W$2:$W$1001,MATCH(ROWS($V$2:V860),$V$2:$V$1001,0),1)&gt;=100000,INDEX($AC$1005:$AS$1005,1,MATCH(COLUMNS($AC$1006:AH1006),$AC$1006:$AS$1006,0))&gt;=100000), " ",IF(INDEX($AC$2:$AS$1001,MATCH(ROWS($V$2:V860),$V$2:$V$1001,0),MATCH(COLUMNS($AC$1006:AH1006),$AC$1006:$AS$1006,0)), HYPERLINK("#",""), HYPERLINK(CONCATENATE("#Metadata!", ADDRESS(INDEX($X$2:$X$1001,MATCH(ROWS($V$2:V860),$V$2:$V$1001,0),0), INDEX($AC$1004:$AS$1004,1,MATCH(COLUMNS($AC$1006:AH1006),$AC$1006:$AS$1006,0)))),"Fix")))</f>
        <v>0</v>
      </c>
      <c r="H860" s="5">
        <f>IF(OR(INDEX($W$2:$W$1001,MATCH(ROWS($V$2:V860),$V$2:$V$1001,0),1)&gt;=100000,INDEX($AC$1005:$AS$1005,1,MATCH(COLUMNS($AC$1006:AI1006),$AC$1006:$AS$1006,0))&gt;=100000), " ",IF(INDEX($AC$2:$AS$1001,MATCH(ROWS($V$2:V860),$V$2:$V$1001,0),MATCH(COLUMNS($AC$1006:AI1006),$AC$1006:$AS$1006,0)), HYPERLINK("#",""), HYPERLINK(CONCATENATE("#Metadata!", ADDRESS(INDEX($X$2:$X$1001,MATCH(ROWS($V$2:V860),$V$2:$V$1001,0),0), INDEX($AC$1004:$AS$1004,1,MATCH(COLUMNS($AC$1006:AI1006),$AC$1006:$AS$1006,0)))),"Fix")))</f>
        <v>0</v>
      </c>
      <c r="I860" s="5">
        <f>IF(OR(INDEX($W$2:$W$1001,MATCH(ROWS($V$2:V860),$V$2:$V$1001,0),1)&gt;=100000,INDEX($AC$1005:$AS$1005,1,MATCH(COLUMNS($AC$1006:AJ1006),$AC$1006:$AS$1006,0))&gt;=100000), " ",IF(INDEX($AC$2:$AS$1001,MATCH(ROWS($V$2:V860),$V$2:$V$1001,0),MATCH(COLUMNS($AC$1006:AJ1006),$AC$1006:$AS$1006,0)), HYPERLINK("#",""), HYPERLINK(CONCATENATE("#Metadata!", ADDRESS(INDEX($X$2:$X$1001,MATCH(ROWS($V$2:V860),$V$2:$V$1001,0),0), INDEX($AC$1004:$AS$1004,1,MATCH(COLUMNS($AC$1006:AJ1006),$AC$1006:$AS$1006,0)))),"Fix")))</f>
        <v>0</v>
      </c>
      <c r="J860" s="5">
        <f>IF(OR(INDEX($W$2:$W$1001,MATCH(ROWS($V$2:V860),$V$2:$V$1001,0),1)&gt;=100000,INDEX($AC$1005:$AS$1005,1,MATCH(COLUMNS($AC$1006:AK1006),$AC$1006:$AS$1006,0))&gt;=100000), " ",IF(INDEX($AC$2:$AS$1001,MATCH(ROWS($V$2:V860),$V$2:$V$1001,0),MATCH(COLUMNS($AC$1006:AK1006),$AC$1006:$AS$1006,0)), HYPERLINK("#",""), HYPERLINK(CONCATENATE("#Metadata!", ADDRESS(INDEX($X$2:$X$1001,MATCH(ROWS($V$2:V860),$V$2:$V$1001,0),0), INDEX($AC$1004:$AS$1004,1,MATCH(COLUMNS($AC$1006:AK1006),$AC$1006:$AS$1006,0)))),"Fix")))</f>
        <v>0</v>
      </c>
      <c r="K860" s="5">
        <f>IF(OR(INDEX($W$2:$W$1001,MATCH(ROWS($V$2:V860),$V$2:$V$1001,0),1)&gt;=100000,INDEX($AC$1005:$AS$1005,1,MATCH(COLUMNS($AC$1006:AL1006),$AC$1006:$AS$1006,0))&gt;=100000), " ",IF(INDEX($AC$2:$AS$1001,MATCH(ROWS($V$2:V860),$V$2:$V$1001,0),MATCH(COLUMNS($AC$1006:AL1006),$AC$1006:$AS$1006,0)), HYPERLINK("#",""), HYPERLINK(CONCATENATE("#Metadata!", ADDRESS(INDEX($X$2:$X$1001,MATCH(ROWS($V$2:V860),$V$2:$V$1001,0),0), INDEX($AC$1004:$AS$1004,1,MATCH(COLUMNS($AC$1006:AL1006),$AC$1006:$AS$1006,0)))),"Fix")))</f>
        <v>0</v>
      </c>
      <c r="L860" s="5">
        <f>IF(OR(INDEX($W$2:$W$1001,MATCH(ROWS($V$2:V860),$V$2:$V$1001,0),1)&gt;=100000,INDEX($AC$1005:$AS$1005,1,MATCH(COLUMNS($AC$1006:AM1006),$AC$1006:$AS$1006,0))&gt;=100000), " ",IF(INDEX($AC$2:$AS$1001,MATCH(ROWS($V$2:V860),$V$2:$V$1001,0),MATCH(COLUMNS($AC$1006:AM1006),$AC$1006:$AS$1006,0)), HYPERLINK("#",""), HYPERLINK(CONCATENATE("#Metadata!", ADDRESS(INDEX($X$2:$X$1001,MATCH(ROWS($V$2:V860),$V$2:$V$1001,0),0), INDEX($AC$1004:$AS$1004,1,MATCH(COLUMNS($AC$1006:AM1006),$AC$1006:$AS$1006,0)))),"Fix")))</f>
        <v>0</v>
      </c>
      <c r="M860" s="5">
        <f>IF(OR(INDEX($W$2:$W$1001,MATCH(ROWS($V$2:V860),$V$2:$V$1001,0),1)&gt;=100000,INDEX($AC$1005:$AS$1005,1,MATCH(COLUMNS($AC$1006:AN1006),$AC$1006:$AS$1006,0))&gt;=100000), " ",IF(INDEX($AC$2:$AS$1001,MATCH(ROWS($V$2:V860),$V$2:$V$1001,0),MATCH(COLUMNS($AC$1006:AN1006),$AC$1006:$AS$1006,0)), HYPERLINK("#",""), HYPERLINK(CONCATENATE("#Metadata!", ADDRESS(INDEX($X$2:$X$1001,MATCH(ROWS($V$2:V860),$V$2:$V$1001,0),0), INDEX($AC$1004:$AS$1004,1,MATCH(COLUMNS($AC$1006:AN1006),$AC$1006:$AS$1006,0)))),"Fix")))</f>
        <v>0</v>
      </c>
      <c r="N860" s="5">
        <f>IF(OR(INDEX($W$2:$W$1001,MATCH(ROWS($V$2:V860),$V$2:$V$1001,0),1)&gt;=100000,INDEX($AC$1005:$AS$1005,1,MATCH(COLUMNS($AC$1006:AO1006),$AC$1006:$AS$1006,0))&gt;=100000), " ",IF(INDEX($AC$2:$AS$1001,MATCH(ROWS($V$2:V860),$V$2:$V$1001,0),MATCH(COLUMNS($AC$1006:AO1006),$AC$1006:$AS$1006,0)), HYPERLINK("#",""), HYPERLINK(CONCATENATE("#Metadata!", ADDRESS(INDEX($X$2:$X$1001,MATCH(ROWS($V$2:V860),$V$2:$V$1001,0),0), INDEX($AC$1004:$AS$1004,1,MATCH(COLUMNS($AC$1006:AO1006),$AC$1006:$AS$1006,0)))),"Fix")))</f>
        <v>0</v>
      </c>
      <c r="O860" s="5">
        <f>IF(OR(INDEX($W$2:$W$1001,MATCH(ROWS($V$2:V860),$V$2:$V$1001,0),1)&gt;=100000,INDEX($AC$1005:$AS$1005,1,MATCH(COLUMNS($AC$1006:AP1006),$AC$1006:$AS$1006,0))&gt;=100000), " ",IF(INDEX($AC$2:$AS$1001,MATCH(ROWS($V$2:V860),$V$2:$V$1001,0),MATCH(COLUMNS($AC$1006:AP1006),$AC$1006:$AS$1006,0)), HYPERLINK("#",""), HYPERLINK(CONCATENATE("#Metadata!", ADDRESS(INDEX($X$2:$X$1001,MATCH(ROWS($V$2:V860),$V$2:$V$1001,0),0), INDEX($AC$1004:$AS$1004,1,MATCH(COLUMNS($AC$1006:AP1006),$AC$1006:$AS$1006,0)))),"Fix")))</f>
        <v>0</v>
      </c>
      <c r="P860" s="5">
        <f>IF(OR(INDEX($W$2:$W$1001,MATCH(ROWS($V$2:V860),$V$2:$V$1001,0),1)&gt;=100000,INDEX($AC$1005:$AS$1005,1,MATCH(COLUMNS($AC$1006:AQ1006),$AC$1006:$AS$1006,0))&gt;=100000), " ",IF(INDEX($AC$2:$AS$1001,MATCH(ROWS($V$2:V860),$V$2:$V$1001,0),MATCH(COLUMNS($AC$1006:AQ1006),$AC$1006:$AS$1006,0)), HYPERLINK("#",""), HYPERLINK(CONCATENATE("#Metadata!", ADDRESS(INDEX($X$2:$X$1001,MATCH(ROWS($V$2:V860),$V$2:$V$1001,0),0), INDEX($AC$1004:$AS$1004,1,MATCH(COLUMNS($AC$1006:AQ1006),$AC$1006:$AS$1006,0)))),"Fix")))</f>
        <v>0</v>
      </c>
      <c r="Q860" s="5">
        <f>IF(OR(INDEX($W$2:$W$1001,MATCH(ROWS($V$2:V860),$V$2:$V$1001,0),1)&gt;=100000,INDEX($AC$1005:$AS$1005,1,MATCH(COLUMNS($AC$1006:AR1006),$AC$1006:$AS$1006,0))&gt;=100000), " ",IF(INDEX($AC$2:$AS$1001,MATCH(ROWS($V$2:V860),$V$2:$V$1001,0),MATCH(COLUMNS($AC$1006:AR1006),$AC$1006:$AS$1006,0)), HYPERLINK("#",""), HYPERLINK(CONCATENATE("#Metadata!", ADDRESS(INDEX($X$2:$X$1001,MATCH(ROWS($V$2:V860),$V$2:$V$1001,0),0), INDEX($AC$1004:$AS$1004,1,MATCH(COLUMNS($AC$1006:AR1006),$AC$1006:$AS$1006,0)))),"Fix")))</f>
        <v>0</v>
      </c>
      <c r="R860" s="5">
        <f>IF(OR(INDEX($W$2:$W$1001,MATCH(ROWS($V$2:V860),$V$2:$V$1001,0),1)&gt;=100000,INDEX($AC$1005:$AS$1005,1,MATCH(COLUMNS($AC$1006:AS1006),$AC$1006:$AS$1006,0))&gt;=100000), " ",IF(INDEX($AC$2:$AS$1001,MATCH(ROWS($V$2:V860),$V$2:$V$1001,0),MATCH(COLUMNS($AC$1006:AS1006),$AC$1006:$AS$1006,0)), HYPERLINK("#",""), HYPERLINK(CONCATENATE("#Metadata!", ADDRESS(INDEX($X$2:$X$1001,MATCH(ROWS($V$2:V860),$V$2:$V$1001,0),0), INDEX($AC$1004:$AS$1004,1,MATCH(COLUMNS($AC$1006:AS1006),$AC$1006:$AS$1006,0)))),"Fix")))</f>
        <v>0</v>
      </c>
      <c r="V860">
        <v>0</v>
      </c>
      <c r="W860">
        <v>0</v>
      </c>
      <c r="X860">
        <v>0</v>
      </c>
      <c r="Y860">
        <f>IF(Z860,TRUE,AND(AC860:AS860))</f>
        <v>0</v>
      </c>
      <c r="Z860">
        <f>COUNTBLANK(Metadata!B860:R860)=COLUMNS(Metadata!B860:R860)</f>
        <v>0</v>
      </c>
      <c r="AA860">
        <v>0</v>
      </c>
      <c r="AC860">
        <f>AND(IF(Metadata!B860="",FALSE,TRUE),COUNTIF(Metadata!B:B, Metadata!B860) = 1,NOT(ISERROR(SUMPRODUCT(SEARCH(MID(Metadata!B860,ROW(INDIRECT("1:"&amp;LEN(Metadata!B860))), 1),"0123456789abcdefghijklmnopqrstuvwxyzABCDEFGHIJKLMNOPQRSTUVWXYZ.")))))</f>
        <v>0</v>
      </c>
      <c r="AD860">
        <f>AND(IF(Metadata!C860="",FALSE,TRUE),exact(Metadata!C860,"Host-associated"))</f>
        <v>0</v>
      </c>
      <c r="AE860">
        <f>AND(IF(Metadata!D860="",FALSE,TRUE),OR(exact(Metadata!D860,"Animal"),exact(Metadata!D860,"Fungus"),exact(Metadata!D860,"Plant")))</f>
        <v>0</v>
      </c>
      <c r="AF860">
        <f>AND(IF(Metadata!E860="",FALSE,TRUE),OR(exact(Metadata!E860,"Plant secretion"),exact(Metadata!E860,"Plant rhizosphere"),exact(Metadata!E860,"Plant surface"),exact(Metadata!E860,"Plant corpus"),exact(Metadata!E860,"Fungus surface"),exact(Metadata!E860,"Fungus corpus"),exact(Metadata!E860,"Animal surface"),exact(Metadata!E860,"Animal proximal gut"),exact(Metadata!E860,"Animal corpus"),exact(Metadata!E860,"Animal distal gut"),exact(Metadata!E860,"Animal secretion")))</f>
        <v>0</v>
      </c>
      <c r="AG860">
        <f>OR(AND(IF(Metadata!F860="",FALSE,TRUE),OR(exact(Metadata!F860,"not collected"),exact(Metadata!F860,"not provided"),exact(Metadata!F860,"restricted access"))),AND(IF(Metadata!F860="",FALSE,TRUE),OR(exact(Metadata!F860,"organism-associated habitat"),exact(Metadata!F860,"plant-associated habitat"),exact(Metadata!F860,"animal-associated habitat"),exact(Metadata!F860,"insecta-associated habitat"),exact(Metadata!F860,"mammalia-associated habitat"),exact(Metadata!F860,"human-associated habitat"),exact(Metadata!F860,"livestock-associated habitat"))))</f>
        <v>0</v>
      </c>
      <c r="AH860">
        <f>AND(IF(Metadata!G860="",FALSE,TRUE),exact(Metadata!G860,"host-associated"))</f>
        <v>0</v>
      </c>
      <c r="AI860">
        <f>OR(AND(IF(Metadata!H860="",FALSE,TRUE),OR(exact(Metadata!H860,"not collected"),exact(Metadata!H860,"not provided"))),AND(IF(Metadata!H860="",FALSE,ISNUMBER(VALUE(Metadata!H860))),Metadata!H860&gt;0))</f>
        <v>0</v>
      </c>
      <c r="AJ860">
        <f>AND(IF(Metadata!I860="",FALSE,TRUE),exact(Metadata!I860,"years"))</f>
        <v>0</v>
      </c>
      <c r="AK860">
        <f>IF(Metadata!J860="",FALSE,TRUE)</f>
        <v>0</v>
      </c>
      <c r="AL860">
        <f>OR(AND(IF(Metadata!K860="",FALSE,TRUE),OR(exact(Metadata!K860,"not collected"),exact(Metadata!K860,"not provided"))),AND(IF(Metadata!K860="",FALSE,ISNUMBER(VALUE(Metadata!K860))),Metadata!K860&gt;0))</f>
        <v>0</v>
      </c>
      <c r="AM860">
        <f>AND(IF(Metadata!L860="",FALSE,TRUE),exact(Metadata!L860,"cm"))</f>
        <v>0</v>
      </c>
      <c r="AN860">
        <f>IF(Metadata!M860="",FALSE,TRUE)</f>
        <v>0</v>
      </c>
      <c r="AO860">
        <f>OR(AND(IF(Metadata!N860="",FALSE,TRUE),OR(exact(Metadata!N860,"not applicable"),exact(Metadata!N860,"not collected"),exact(Metadata!N860,"not provided"))),AND(IF(Metadata!N860="",FALSE,IF(ISERROR(INT(Metadata!N860)),FALSE,INT(Metadata!N860)=Metadata!N860)),Metadata!N860&gt;0))</f>
        <v>0</v>
      </c>
      <c r="AP860">
        <f>OR(AND(IF(Metadata!O860="",FALSE,TRUE),OR(exact(Metadata!O860,"not collected"),exact(Metadata!O860,"not provided"))),AND(IF(Metadata!O860="",FALSE,ISNUMBER(VALUE(Metadata!O860))),Metadata!O860&gt;0))</f>
        <v>0</v>
      </c>
      <c r="AQ860">
        <f>AND(IF(Metadata!P860="",FALSE,TRUE),exact(Metadata!P860,"kg"))</f>
        <v>0</v>
      </c>
      <c r="AR860">
        <f>OR(AND(IF(Metadata!Q860="",FALSE,TRUE),OR(exact(Metadata!Q860,"not applicable"),exact(Metadata!Q860,"not collected"),exact(Metadata!Q860,"not provided"),exact(Metadata!Q860,"restricted access"))),IF(Metadata!Q860="",FALSE,IF(ISERROR(INT(Metadata!Q860)),FALSE,INT(Metadata!Q860)=Metadata!Q860)))</f>
        <v>0</v>
      </c>
      <c r="AS860">
        <f>AND(IF(Metadata!R860="",FALSE,TRUE),exact(Metadata!R860,"Not applicable"))</f>
        <v>0</v>
      </c>
    </row>
    <row r="861" spans="1:45">
      <c r="A861" s="4">
        <f>IF(B861=" "," ",HYPERLINK(CONCATENATE("#metadata!",ADDRESS(INDEX($X$2:$X$1001,MATCH(ROWS($V$2:V861),$V$2:$V$1001,0),0),2)),INDEX($AA$2:$AA$1001,MATCH(ROWS($V$2:V861),$V$2:$V$1001,0),0)))</f>
        <v>0</v>
      </c>
      <c r="B861" s="5">
        <f>IF(OR(INDEX($W$2:$W$1001,MATCH(ROWS($V$2:V861),$V$2:$V$1001,0),1)&gt;=100000,INDEX($AC$1005:$AS$1005,1,MATCH(COLUMNS($AC$1006:AC1006),$AC$1006:$AS$1006,0))&gt;=100000), " ",IF(INDEX($AC$2:$AS$1001,MATCH(ROWS($V$2:V861),$V$2:$V$1001,0),MATCH(COLUMNS($AC$1006:AC1006),$AC$1006:$AS$1006,0)), HYPERLINK("#",""), HYPERLINK(CONCATENATE("#Metadata!", ADDRESS(INDEX($X$2:$X$1001,MATCH(ROWS($V$2:V861),$V$2:$V$1001,0),0), INDEX($AC$1004:$AS$1004,1,MATCH(COLUMNS($AC$1006:AC1006),$AC$1006:$AS$1006,0)))),"Fix")))</f>
        <v>0</v>
      </c>
      <c r="C861" s="5">
        <f>IF(OR(INDEX($W$2:$W$1001,MATCH(ROWS($V$2:V861),$V$2:$V$1001,0),1)&gt;=100000,INDEX($AC$1005:$AS$1005,1,MATCH(COLUMNS($AC$1006:AD1006),$AC$1006:$AS$1006,0))&gt;=100000), " ",IF(INDEX($AC$2:$AS$1001,MATCH(ROWS($V$2:V861),$V$2:$V$1001,0),MATCH(COLUMNS($AC$1006:AD1006),$AC$1006:$AS$1006,0)), HYPERLINK("#",""), HYPERLINK(CONCATENATE("#Metadata!", ADDRESS(INDEX($X$2:$X$1001,MATCH(ROWS($V$2:V861),$V$2:$V$1001,0),0), INDEX($AC$1004:$AS$1004,1,MATCH(COLUMNS($AC$1006:AD1006),$AC$1006:$AS$1006,0)))),"Fix")))</f>
        <v>0</v>
      </c>
      <c r="D861" s="5">
        <f>IF(OR(INDEX($W$2:$W$1001,MATCH(ROWS($V$2:V861),$V$2:$V$1001,0),1)&gt;=100000,INDEX($AC$1005:$AS$1005,1,MATCH(COLUMNS($AC$1006:AE1006),$AC$1006:$AS$1006,0))&gt;=100000), " ",IF(INDEX($AC$2:$AS$1001,MATCH(ROWS($V$2:V861),$V$2:$V$1001,0),MATCH(COLUMNS($AC$1006:AE1006),$AC$1006:$AS$1006,0)), HYPERLINK("#",""), HYPERLINK(CONCATENATE("#Metadata!", ADDRESS(INDEX($X$2:$X$1001,MATCH(ROWS($V$2:V861),$V$2:$V$1001,0),0), INDEX($AC$1004:$AS$1004,1,MATCH(COLUMNS($AC$1006:AE1006),$AC$1006:$AS$1006,0)))),"Fix")))</f>
        <v>0</v>
      </c>
      <c r="E861" s="5">
        <f>IF(OR(INDEX($W$2:$W$1001,MATCH(ROWS($V$2:V861),$V$2:$V$1001,0),1)&gt;=100000,INDEX($AC$1005:$AS$1005,1,MATCH(COLUMNS($AC$1006:AF1006),$AC$1006:$AS$1006,0))&gt;=100000), " ",IF(INDEX($AC$2:$AS$1001,MATCH(ROWS($V$2:V861),$V$2:$V$1001,0),MATCH(COLUMNS($AC$1006:AF1006),$AC$1006:$AS$1006,0)), HYPERLINK("#",""), HYPERLINK(CONCATENATE("#Metadata!", ADDRESS(INDEX($X$2:$X$1001,MATCH(ROWS($V$2:V861),$V$2:$V$1001,0),0), INDEX($AC$1004:$AS$1004,1,MATCH(COLUMNS($AC$1006:AF1006),$AC$1006:$AS$1006,0)))),"Fix")))</f>
        <v>0</v>
      </c>
      <c r="F861" s="5">
        <f>IF(OR(INDEX($W$2:$W$1001,MATCH(ROWS($V$2:V861),$V$2:$V$1001,0),1)&gt;=100000,INDEX($AC$1005:$AS$1005,1,MATCH(COLUMNS($AC$1006:AG1006),$AC$1006:$AS$1006,0))&gt;=100000), " ",IF(INDEX($AC$2:$AS$1001,MATCH(ROWS($V$2:V861),$V$2:$V$1001,0),MATCH(COLUMNS($AC$1006:AG1006),$AC$1006:$AS$1006,0)), HYPERLINK("#",""), HYPERLINK(CONCATENATE("#Metadata!", ADDRESS(INDEX($X$2:$X$1001,MATCH(ROWS($V$2:V861),$V$2:$V$1001,0),0), INDEX($AC$1004:$AS$1004,1,MATCH(COLUMNS($AC$1006:AG1006),$AC$1006:$AS$1006,0)))),"Fix")))</f>
        <v>0</v>
      </c>
      <c r="G861" s="5">
        <f>IF(OR(INDEX($W$2:$W$1001,MATCH(ROWS($V$2:V861),$V$2:$V$1001,0),1)&gt;=100000,INDEX($AC$1005:$AS$1005,1,MATCH(COLUMNS($AC$1006:AH1006),$AC$1006:$AS$1006,0))&gt;=100000), " ",IF(INDEX($AC$2:$AS$1001,MATCH(ROWS($V$2:V861),$V$2:$V$1001,0),MATCH(COLUMNS($AC$1006:AH1006),$AC$1006:$AS$1006,0)), HYPERLINK("#",""), HYPERLINK(CONCATENATE("#Metadata!", ADDRESS(INDEX($X$2:$X$1001,MATCH(ROWS($V$2:V861),$V$2:$V$1001,0),0), INDEX($AC$1004:$AS$1004,1,MATCH(COLUMNS($AC$1006:AH1006),$AC$1006:$AS$1006,0)))),"Fix")))</f>
        <v>0</v>
      </c>
      <c r="H861" s="5">
        <f>IF(OR(INDEX($W$2:$W$1001,MATCH(ROWS($V$2:V861),$V$2:$V$1001,0),1)&gt;=100000,INDEX($AC$1005:$AS$1005,1,MATCH(COLUMNS($AC$1006:AI1006),$AC$1006:$AS$1006,0))&gt;=100000), " ",IF(INDEX($AC$2:$AS$1001,MATCH(ROWS($V$2:V861),$V$2:$V$1001,0),MATCH(COLUMNS($AC$1006:AI1006),$AC$1006:$AS$1006,0)), HYPERLINK("#",""), HYPERLINK(CONCATENATE("#Metadata!", ADDRESS(INDEX($X$2:$X$1001,MATCH(ROWS($V$2:V861),$V$2:$V$1001,0),0), INDEX($AC$1004:$AS$1004,1,MATCH(COLUMNS($AC$1006:AI1006),$AC$1006:$AS$1006,0)))),"Fix")))</f>
        <v>0</v>
      </c>
      <c r="I861" s="5">
        <f>IF(OR(INDEX($W$2:$W$1001,MATCH(ROWS($V$2:V861),$V$2:$V$1001,0),1)&gt;=100000,INDEX($AC$1005:$AS$1005,1,MATCH(COLUMNS($AC$1006:AJ1006),$AC$1006:$AS$1006,0))&gt;=100000), " ",IF(INDEX($AC$2:$AS$1001,MATCH(ROWS($V$2:V861),$V$2:$V$1001,0),MATCH(COLUMNS($AC$1006:AJ1006),$AC$1006:$AS$1006,0)), HYPERLINK("#",""), HYPERLINK(CONCATENATE("#Metadata!", ADDRESS(INDEX($X$2:$X$1001,MATCH(ROWS($V$2:V861),$V$2:$V$1001,0),0), INDEX($AC$1004:$AS$1004,1,MATCH(COLUMNS($AC$1006:AJ1006),$AC$1006:$AS$1006,0)))),"Fix")))</f>
        <v>0</v>
      </c>
      <c r="J861" s="5">
        <f>IF(OR(INDEX($W$2:$W$1001,MATCH(ROWS($V$2:V861),$V$2:$V$1001,0),1)&gt;=100000,INDEX($AC$1005:$AS$1005,1,MATCH(COLUMNS($AC$1006:AK1006),$AC$1006:$AS$1006,0))&gt;=100000), " ",IF(INDEX($AC$2:$AS$1001,MATCH(ROWS($V$2:V861),$V$2:$V$1001,0),MATCH(COLUMNS($AC$1006:AK1006),$AC$1006:$AS$1006,0)), HYPERLINK("#",""), HYPERLINK(CONCATENATE("#Metadata!", ADDRESS(INDEX($X$2:$X$1001,MATCH(ROWS($V$2:V861),$V$2:$V$1001,0),0), INDEX($AC$1004:$AS$1004,1,MATCH(COLUMNS($AC$1006:AK1006),$AC$1006:$AS$1006,0)))),"Fix")))</f>
        <v>0</v>
      </c>
      <c r="K861" s="5">
        <f>IF(OR(INDEX($W$2:$W$1001,MATCH(ROWS($V$2:V861),$V$2:$V$1001,0),1)&gt;=100000,INDEX($AC$1005:$AS$1005,1,MATCH(COLUMNS($AC$1006:AL1006),$AC$1006:$AS$1006,0))&gt;=100000), " ",IF(INDEX($AC$2:$AS$1001,MATCH(ROWS($V$2:V861),$V$2:$V$1001,0),MATCH(COLUMNS($AC$1006:AL1006),$AC$1006:$AS$1006,0)), HYPERLINK("#",""), HYPERLINK(CONCATENATE("#Metadata!", ADDRESS(INDEX($X$2:$X$1001,MATCH(ROWS($V$2:V861),$V$2:$V$1001,0),0), INDEX($AC$1004:$AS$1004,1,MATCH(COLUMNS($AC$1006:AL1006),$AC$1006:$AS$1006,0)))),"Fix")))</f>
        <v>0</v>
      </c>
      <c r="L861" s="5">
        <f>IF(OR(INDEX($W$2:$W$1001,MATCH(ROWS($V$2:V861),$V$2:$V$1001,0),1)&gt;=100000,INDEX($AC$1005:$AS$1005,1,MATCH(COLUMNS($AC$1006:AM1006),$AC$1006:$AS$1006,0))&gt;=100000), " ",IF(INDEX($AC$2:$AS$1001,MATCH(ROWS($V$2:V861),$V$2:$V$1001,0),MATCH(COLUMNS($AC$1006:AM1006),$AC$1006:$AS$1006,0)), HYPERLINK("#",""), HYPERLINK(CONCATENATE("#Metadata!", ADDRESS(INDEX($X$2:$X$1001,MATCH(ROWS($V$2:V861),$V$2:$V$1001,0),0), INDEX($AC$1004:$AS$1004,1,MATCH(COLUMNS($AC$1006:AM1006),$AC$1006:$AS$1006,0)))),"Fix")))</f>
        <v>0</v>
      </c>
      <c r="M861" s="5">
        <f>IF(OR(INDEX($W$2:$W$1001,MATCH(ROWS($V$2:V861),$V$2:$V$1001,0),1)&gt;=100000,INDEX($AC$1005:$AS$1005,1,MATCH(COLUMNS($AC$1006:AN1006),$AC$1006:$AS$1006,0))&gt;=100000), " ",IF(INDEX($AC$2:$AS$1001,MATCH(ROWS($V$2:V861),$V$2:$V$1001,0),MATCH(COLUMNS($AC$1006:AN1006),$AC$1006:$AS$1006,0)), HYPERLINK("#",""), HYPERLINK(CONCATENATE("#Metadata!", ADDRESS(INDEX($X$2:$X$1001,MATCH(ROWS($V$2:V861),$V$2:$V$1001,0),0), INDEX($AC$1004:$AS$1004,1,MATCH(COLUMNS($AC$1006:AN1006),$AC$1006:$AS$1006,0)))),"Fix")))</f>
        <v>0</v>
      </c>
      <c r="N861" s="5">
        <f>IF(OR(INDEX($W$2:$W$1001,MATCH(ROWS($V$2:V861),$V$2:$V$1001,0),1)&gt;=100000,INDEX($AC$1005:$AS$1005,1,MATCH(COLUMNS($AC$1006:AO1006),$AC$1006:$AS$1006,0))&gt;=100000), " ",IF(INDEX($AC$2:$AS$1001,MATCH(ROWS($V$2:V861),$V$2:$V$1001,0),MATCH(COLUMNS($AC$1006:AO1006),$AC$1006:$AS$1006,0)), HYPERLINK("#",""), HYPERLINK(CONCATENATE("#Metadata!", ADDRESS(INDEX($X$2:$X$1001,MATCH(ROWS($V$2:V861),$V$2:$V$1001,0),0), INDEX($AC$1004:$AS$1004,1,MATCH(COLUMNS($AC$1006:AO1006),$AC$1006:$AS$1006,0)))),"Fix")))</f>
        <v>0</v>
      </c>
      <c r="O861" s="5">
        <f>IF(OR(INDEX($W$2:$W$1001,MATCH(ROWS($V$2:V861),$V$2:$V$1001,0),1)&gt;=100000,INDEX($AC$1005:$AS$1005,1,MATCH(COLUMNS($AC$1006:AP1006),$AC$1006:$AS$1006,0))&gt;=100000), " ",IF(INDEX($AC$2:$AS$1001,MATCH(ROWS($V$2:V861),$V$2:$V$1001,0),MATCH(COLUMNS($AC$1006:AP1006),$AC$1006:$AS$1006,0)), HYPERLINK("#",""), HYPERLINK(CONCATENATE("#Metadata!", ADDRESS(INDEX($X$2:$X$1001,MATCH(ROWS($V$2:V861),$V$2:$V$1001,0),0), INDEX($AC$1004:$AS$1004,1,MATCH(COLUMNS($AC$1006:AP1006),$AC$1006:$AS$1006,0)))),"Fix")))</f>
        <v>0</v>
      </c>
      <c r="P861" s="5">
        <f>IF(OR(INDEX($W$2:$W$1001,MATCH(ROWS($V$2:V861),$V$2:$V$1001,0),1)&gt;=100000,INDEX($AC$1005:$AS$1005,1,MATCH(COLUMNS($AC$1006:AQ1006),$AC$1006:$AS$1006,0))&gt;=100000), " ",IF(INDEX($AC$2:$AS$1001,MATCH(ROWS($V$2:V861),$V$2:$V$1001,0),MATCH(COLUMNS($AC$1006:AQ1006),$AC$1006:$AS$1006,0)), HYPERLINK("#",""), HYPERLINK(CONCATENATE("#Metadata!", ADDRESS(INDEX($X$2:$X$1001,MATCH(ROWS($V$2:V861),$V$2:$V$1001,0),0), INDEX($AC$1004:$AS$1004,1,MATCH(COLUMNS($AC$1006:AQ1006),$AC$1006:$AS$1006,0)))),"Fix")))</f>
        <v>0</v>
      </c>
      <c r="Q861" s="5">
        <f>IF(OR(INDEX($W$2:$W$1001,MATCH(ROWS($V$2:V861),$V$2:$V$1001,0),1)&gt;=100000,INDEX($AC$1005:$AS$1005,1,MATCH(COLUMNS($AC$1006:AR1006),$AC$1006:$AS$1006,0))&gt;=100000), " ",IF(INDEX($AC$2:$AS$1001,MATCH(ROWS($V$2:V861),$V$2:$V$1001,0),MATCH(COLUMNS($AC$1006:AR1006),$AC$1006:$AS$1006,0)), HYPERLINK("#",""), HYPERLINK(CONCATENATE("#Metadata!", ADDRESS(INDEX($X$2:$X$1001,MATCH(ROWS($V$2:V861),$V$2:$V$1001,0),0), INDEX($AC$1004:$AS$1004,1,MATCH(COLUMNS($AC$1006:AR1006),$AC$1006:$AS$1006,0)))),"Fix")))</f>
        <v>0</v>
      </c>
      <c r="R861" s="5">
        <f>IF(OR(INDEX($W$2:$W$1001,MATCH(ROWS($V$2:V861),$V$2:$V$1001,0),1)&gt;=100000,INDEX($AC$1005:$AS$1005,1,MATCH(COLUMNS($AC$1006:AS1006),$AC$1006:$AS$1006,0))&gt;=100000), " ",IF(INDEX($AC$2:$AS$1001,MATCH(ROWS($V$2:V861),$V$2:$V$1001,0),MATCH(COLUMNS($AC$1006:AS1006),$AC$1006:$AS$1006,0)), HYPERLINK("#",""), HYPERLINK(CONCATENATE("#Metadata!", ADDRESS(INDEX($X$2:$X$1001,MATCH(ROWS($V$2:V861),$V$2:$V$1001,0),0), INDEX($AC$1004:$AS$1004,1,MATCH(COLUMNS($AC$1006:AS1006),$AC$1006:$AS$1006,0)))),"Fix")))</f>
        <v>0</v>
      </c>
      <c r="V861">
        <v>0</v>
      </c>
      <c r="W861">
        <v>0</v>
      </c>
      <c r="X861">
        <v>0</v>
      </c>
      <c r="Y861">
        <f>IF(Z861,TRUE,AND(AC861:AS861))</f>
        <v>0</v>
      </c>
      <c r="Z861">
        <f>COUNTBLANK(Metadata!B861:R861)=COLUMNS(Metadata!B861:R861)</f>
        <v>0</v>
      </c>
      <c r="AA861">
        <v>0</v>
      </c>
      <c r="AC861">
        <f>AND(IF(Metadata!B861="",FALSE,TRUE),COUNTIF(Metadata!B:B, Metadata!B861) = 1,NOT(ISERROR(SUMPRODUCT(SEARCH(MID(Metadata!B861,ROW(INDIRECT("1:"&amp;LEN(Metadata!B861))), 1),"0123456789abcdefghijklmnopqrstuvwxyzABCDEFGHIJKLMNOPQRSTUVWXYZ.")))))</f>
        <v>0</v>
      </c>
      <c r="AD861">
        <f>AND(IF(Metadata!C861="",FALSE,TRUE),exact(Metadata!C861,"Host-associated"))</f>
        <v>0</v>
      </c>
      <c r="AE861">
        <f>AND(IF(Metadata!D861="",FALSE,TRUE),OR(exact(Metadata!D861,"Animal"),exact(Metadata!D861,"Fungus"),exact(Metadata!D861,"Plant")))</f>
        <v>0</v>
      </c>
      <c r="AF861">
        <f>AND(IF(Metadata!E861="",FALSE,TRUE),OR(exact(Metadata!E861,"Plant secretion"),exact(Metadata!E861,"Plant rhizosphere"),exact(Metadata!E861,"Plant surface"),exact(Metadata!E861,"Plant corpus"),exact(Metadata!E861,"Fungus surface"),exact(Metadata!E861,"Fungus corpus"),exact(Metadata!E861,"Animal surface"),exact(Metadata!E861,"Animal proximal gut"),exact(Metadata!E861,"Animal corpus"),exact(Metadata!E861,"Animal distal gut"),exact(Metadata!E861,"Animal secretion")))</f>
        <v>0</v>
      </c>
      <c r="AG861">
        <f>OR(AND(IF(Metadata!F861="",FALSE,TRUE),OR(exact(Metadata!F861,"not collected"),exact(Metadata!F861,"not provided"),exact(Metadata!F861,"restricted access"))),AND(IF(Metadata!F861="",FALSE,TRUE),OR(exact(Metadata!F861,"organism-associated habitat"),exact(Metadata!F861,"plant-associated habitat"),exact(Metadata!F861,"animal-associated habitat"),exact(Metadata!F861,"insecta-associated habitat"),exact(Metadata!F861,"mammalia-associated habitat"),exact(Metadata!F861,"human-associated habitat"),exact(Metadata!F861,"livestock-associated habitat"))))</f>
        <v>0</v>
      </c>
      <c r="AH861">
        <f>AND(IF(Metadata!G861="",FALSE,TRUE),exact(Metadata!G861,"host-associated"))</f>
        <v>0</v>
      </c>
      <c r="AI861">
        <f>OR(AND(IF(Metadata!H861="",FALSE,TRUE),OR(exact(Metadata!H861,"not collected"),exact(Metadata!H861,"not provided"))),AND(IF(Metadata!H861="",FALSE,ISNUMBER(VALUE(Metadata!H861))),Metadata!H861&gt;0))</f>
        <v>0</v>
      </c>
      <c r="AJ861">
        <f>AND(IF(Metadata!I861="",FALSE,TRUE),exact(Metadata!I861,"years"))</f>
        <v>0</v>
      </c>
      <c r="AK861">
        <f>IF(Metadata!J861="",FALSE,TRUE)</f>
        <v>0</v>
      </c>
      <c r="AL861">
        <f>OR(AND(IF(Metadata!K861="",FALSE,TRUE),OR(exact(Metadata!K861,"not collected"),exact(Metadata!K861,"not provided"))),AND(IF(Metadata!K861="",FALSE,ISNUMBER(VALUE(Metadata!K861))),Metadata!K861&gt;0))</f>
        <v>0</v>
      </c>
      <c r="AM861">
        <f>AND(IF(Metadata!L861="",FALSE,TRUE),exact(Metadata!L861,"cm"))</f>
        <v>0</v>
      </c>
      <c r="AN861">
        <f>IF(Metadata!M861="",FALSE,TRUE)</f>
        <v>0</v>
      </c>
      <c r="AO861">
        <f>OR(AND(IF(Metadata!N861="",FALSE,TRUE),OR(exact(Metadata!N861,"not applicable"),exact(Metadata!N861,"not collected"),exact(Metadata!N861,"not provided"))),AND(IF(Metadata!N861="",FALSE,IF(ISERROR(INT(Metadata!N861)),FALSE,INT(Metadata!N861)=Metadata!N861)),Metadata!N861&gt;0))</f>
        <v>0</v>
      </c>
      <c r="AP861">
        <f>OR(AND(IF(Metadata!O861="",FALSE,TRUE),OR(exact(Metadata!O861,"not collected"),exact(Metadata!O861,"not provided"))),AND(IF(Metadata!O861="",FALSE,ISNUMBER(VALUE(Metadata!O861))),Metadata!O861&gt;0))</f>
        <v>0</v>
      </c>
      <c r="AQ861">
        <f>AND(IF(Metadata!P861="",FALSE,TRUE),exact(Metadata!P861,"kg"))</f>
        <v>0</v>
      </c>
      <c r="AR861">
        <f>OR(AND(IF(Metadata!Q861="",FALSE,TRUE),OR(exact(Metadata!Q861,"not applicable"),exact(Metadata!Q861,"not collected"),exact(Metadata!Q861,"not provided"),exact(Metadata!Q861,"restricted access"))),IF(Metadata!Q861="",FALSE,IF(ISERROR(INT(Metadata!Q861)),FALSE,INT(Metadata!Q861)=Metadata!Q861)))</f>
        <v>0</v>
      </c>
      <c r="AS861">
        <f>AND(IF(Metadata!R861="",FALSE,TRUE),exact(Metadata!R861,"Not applicable"))</f>
        <v>0</v>
      </c>
    </row>
    <row r="862" spans="1:45">
      <c r="A862" s="4">
        <f>IF(B862=" "," ",HYPERLINK(CONCATENATE("#metadata!",ADDRESS(INDEX($X$2:$X$1001,MATCH(ROWS($V$2:V862),$V$2:$V$1001,0),0),2)),INDEX($AA$2:$AA$1001,MATCH(ROWS($V$2:V862),$V$2:$V$1001,0),0)))</f>
        <v>0</v>
      </c>
      <c r="B862" s="5">
        <f>IF(OR(INDEX($W$2:$W$1001,MATCH(ROWS($V$2:V862),$V$2:$V$1001,0),1)&gt;=100000,INDEX($AC$1005:$AS$1005,1,MATCH(COLUMNS($AC$1006:AC1006),$AC$1006:$AS$1006,0))&gt;=100000), " ",IF(INDEX($AC$2:$AS$1001,MATCH(ROWS($V$2:V862),$V$2:$V$1001,0),MATCH(COLUMNS($AC$1006:AC1006),$AC$1006:$AS$1006,0)), HYPERLINK("#",""), HYPERLINK(CONCATENATE("#Metadata!", ADDRESS(INDEX($X$2:$X$1001,MATCH(ROWS($V$2:V862),$V$2:$V$1001,0),0), INDEX($AC$1004:$AS$1004,1,MATCH(COLUMNS($AC$1006:AC1006),$AC$1006:$AS$1006,0)))),"Fix")))</f>
        <v>0</v>
      </c>
      <c r="C862" s="5">
        <f>IF(OR(INDEX($W$2:$W$1001,MATCH(ROWS($V$2:V862),$V$2:$V$1001,0),1)&gt;=100000,INDEX($AC$1005:$AS$1005,1,MATCH(COLUMNS($AC$1006:AD1006),$AC$1006:$AS$1006,0))&gt;=100000), " ",IF(INDEX($AC$2:$AS$1001,MATCH(ROWS($V$2:V862),$V$2:$V$1001,0),MATCH(COLUMNS($AC$1006:AD1006),$AC$1006:$AS$1006,0)), HYPERLINK("#",""), HYPERLINK(CONCATENATE("#Metadata!", ADDRESS(INDEX($X$2:$X$1001,MATCH(ROWS($V$2:V862),$V$2:$V$1001,0),0), INDEX($AC$1004:$AS$1004,1,MATCH(COLUMNS($AC$1006:AD1006),$AC$1006:$AS$1006,0)))),"Fix")))</f>
        <v>0</v>
      </c>
      <c r="D862" s="5">
        <f>IF(OR(INDEX($W$2:$W$1001,MATCH(ROWS($V$2:V862),$V$2:$V$1001,0),1)&gt;=100000,INDEX($AC$1005:$AS$1005,1,MATCH(COLUMNS($AC$1006:AE1006),$AC$1006:$AS$1006,0))&gt;=100000), " ",IF(INDEX($AC$2:$AS$1001,MATCH(ROWS($V$2:V862),$V$2:$V$1001,0),MATCH(COLUMNS($AC$1006:AE1006),$AC$1006:$AS$1006,0)), HYPERLINK("#",""), HYPERLINK(CONCATENATE("#Metadata!", ADDRESS(INDEX($X$2:$X$1001,MATCH(ROWS($V$2:V862),$V$2:$V$1001,0),0), INDEX($AC$1004:$AS$1004,1,MATCH(COLUMNS($AC$1006:AE1006),$AC$1006:$AS$1006,0)))),"Fix")))</f>
        <v>0</v>
      </c>
      <c r="E862" s="5">
        <f>IF(OR(INDEX($W$2:$W$1001,MATCH(ROWS($V$2:V862),$V$2:$V$1001,0),1)&gt;=100000,INDEX($AC$1005:$AS$1005,1,MATCH(COLUMNS($AC$1006:AF1006),$AC$1006:$AS$1006,0))&gt;=100000), " ",IF(INDEX($AC$2:$AS$1001,MATCH(ROWS($V$2:V862),$V$2:$V$1001,0),MATCH(COLUMNS($AC$1006:AF1006),$AC$1006:$AS$1006,0)), HYPERLINK("#",""), HYPERLINK(CONCATENATE("#Metadata!", ADDRESS(INDEX($X$2:$X$1001,MATCH(ROWS($V$2:V862),$V$2:$V$1001,0),0), INDEX($AC$1004:$AS$1004,1,MATCH(COLUMNS($AC$1006:AF1006),$AC$1006:$AS$1006,0)))),"Fix")))</f>
        <v>0</v>
      </c>
      <c r="F862" s="5">
        <f>IF(OR(INDEX($W$2:$W$1001,MATCH(ROWS($V$2:V862),$V$2:$V$1001,0),1)&gt;=100000,INDEX($AC$1005:$AS$1005,1,MATCH(COLUMNS($AC$1006:AG1006),$AC$1006:$AS$1006,0))&gt;=100000), " ",IF(INDEX($AC$2:$AS$1001,MATCH(ROWS($V$2:V862),$V$2:$V$1001,0),MATCH(COLUMNS($AC$1006:AG1006),$AC$1006:$AS$1006,0)), HYPERLINK("#",""), HYPERLINK(CONCATENATE("#Metadata!", ADDRESS(INDEX($X$2:$X$1001,MATCH(ROWS($V$2:V862),$V$2:$V$1001,0),0), INDEX($AC$1004:$AS$1004,1,MATCH(COLUMNS($AC$1006:AG1006),$AC$1006:$AS$1006,0)))),"Fix")))</f>
        <v>0</v>
      </c>
      <c r="G862" s="5">
        <f>IF(OR(INDEX($W$2:$W$1001,MATCH(ROWS($V$2:V862),$V$2:$V$1001,0),1)&gt;=100000,INDEX($AC$1005:$AS$1005,1,MATCH(COLUMNS($AC$1006:AH1006),$AC$1006:$AS$1006,0))&gt;=100000), " ",IF(INDEX($AC$2:$AS$1001,MATCH(ROWS($V$2:V862),$V$2:$V$1001,0),MATCH(COLUMNS($AC$1006:AH1006),$AC$1006:$AS$1006,0)), HYPERLINK("#",""), HYPERLINK(CONCATENATE("#Metadata!", ADDRESS(INDEX($X$2:$X$1001,MATCH(ROWS($V$2:V862),$V$2:$V$1001,0),0), INDEX($AC$1004:$AS$1004,1,MATCH(COLUMNS($AC$1006:AH1006),$AC$1006:$AS$1006,0)))),"Fix")))</f>
        <v>0</v>
      </c>
      <c r="H862" s="5">
        <f>IF(OR(INDEX($W$2:$W$1001,MATCH(ROWS($V$2:V862),$V$2:$V$1001,0),1)&gt;=100000,INDEX($AC$1005:$AS$1005,1,MATCH(COLUMNS($AC$1006:AI1006),$AC$1006:$AS$1006,0))&gt;=100000), " ",IF(INDEX($AC$2:$AS$1001,MATCH(ROWS($V$2:V862),$V$2:$V$1001,0),MATCH(COLUMNS($AC$1006:AI1006),$AC$1006:$AS$1006,0)), HYPERLINK("#",""), HYPERLINK(CONCATENATE("#Metadata!", ADDRESS(INDEX($X$2:$X$1001,MATCH(ROWS($V$2:V862),$V$2:$V$1001,0),0), INDEX($AC$1004:$AS$1004,1,MATCH(COLUMNS($AC$1006:AI1006),$AC$1006:$AS$1006,0)))),"Fix")))</f>
        <v>0</v>
      </c>
      <c r="I862" s="5">
        <f>IF(OR(INDEX($W$2:$W$1001,MATCH(ROWS($V$2:V862),$V$2:$V$1001,0),1)&gt;=100000,INDEX($AC$1005:$AS$1005,1,MATCH(COLUMNS($AC$1006:AJ1006),$AC$1006:$AS$1006,0))&gt;=100000), " ",IF(INDEX($AC$2:$AS$1001,MATCH(ROWS($V$2:V862),$V$2:$V$1001,0),MATCH(COLUMNS($AC$1006:AJ1006),$AC$1006:$AS$1006,0)), HYPERLINK("#",""), HYPERLINK(CONCATENATE("#Metadata!", ADDRESS(INDEX($X$2:$X$1001,MATCH(ROWS($V$2:V862),$V$2:$V$1001,0),0), INDEX($AC$1004:$AS$1004,1,MATCH(COLUMNS($AC$1006:AJ1006),$AC$1006:$AS$1006,0)))),"Fix")))</f>
        <v>0</v>
      </c>
      <c r="J862" s="5">
        <f>IF(OR(INDEX($W$2:$W$1001,MATCH(ROWS($V$2:V862),$V$2:$V$1001,0),1)&gt;=100000,INDEX($AC$1005:$AS$1005,1,MATCH(COLUMNS($AC$1006:AK1006),$AC$1006:$AS$1006,0))&gt;=100000), " ",IF(INDEX($AC$2:$AS$1001,MATCH(ROWS($V$2:V862),$V$2:$V$1001,0),MATCH(COLUMNS($AC$1006:AK1006),$AC$1006:$AS$1006,0)), HYPERLINK("#",""), HYPERLINK(CONCATENATE("#Metadata!", ADDRESS(INDEX($X$2:$X$1001,MATCH(ROWS($V$2:V862),$V$2:$V$1001,0),0), INDEX($AC$1004:$AS$1004,1,MATCH(COLUMNS($AC$1006:AK1006),$AC$1006:$AS$1006,0)))),"Fix")))</f>
        <v>0</v>
      </c>
      <c r="K862" s="5">
        <f>IF(OR(INDEX($W$2:$W$1001,MATCH(ROWS($V$2:V862),$V$2:$V$1001,0),1)&gt;=100000,INDEX($AC$1005:$AS$1005,1,MATCH(COLUMNS($AC$1006:AL1006),$AC$1006:$AS$1006,0))&gt;=100000), " ",IF(INDEX($AC$2:$AS$1001,MATCH(ROWS($V$2:V862),$V$2:$V$1001,0),MATCH(COLUMNS($AC$1006:AL1006),$AC$1006:$AS$1006,0)), HYPERLINK("#",""), HYPERLINK(CONCATENATE("#Metadata!", ADDRESS(INDEX($X$2:$X$1001,MATCH(ROWS($V$2:V862),$V$2:$V$1001,0),0), INDEX($AC$1004:$AS$1004,1,MATCH(COLUMNS($AC$1006:AL1006),$AC$1006:$AS$1006,0)))),"Fix")))</f>
        <v>0</v>
      </c>
      <c r="L862" s="5">
        <f>IF(OR(INDEX($W$2:$W$1001,MATCH(ROWS($V$2:V862),$V$2:$V$1001,0),1)&gt;=100000,INDEX($AC$1005:$AS$1005,1,MATCH(COLUMNS($AC$1006:AM1006),$AC$1006:$AS$1006,0))&gt;=100000), " ",IF(INDEX($AC$2:$AS$1001,MATCH(ROWS($V$2:V862),$V$2:$V$1001,0),MATCH(COLUMNS($AC$1006:AM1006),$AC$1006:$AS$1006,0)), HYPERLINK("#",""), HYPERLINK(CONCATENATE("#Metadata!", ADDRESS(INDEX($X$2:$X$1001,MATCH(ROWS($V$2:V862),$V$2:$V$1001,0),0), INDEX($AC$1004:$AS$1004,1,MATCH(COLUMNS($AC$1006:AM1006),$AC$1006:$AS$1006,0)))),"Fix")))</f>
        <v>0</v>
      </c>
      <c r="M862" s="5">
        <f>IF(OR(INDEX($W$2:$W$1001,MATCH(ROWS($V$2:V862),$V$2:$V$1001,0),1)&gt;=100000,INDEX($AC$1005:$AS$1005,1,MATCH(COLUMNS($AC$1006:AN1006),$AC$1006:$AS$1006,0))&gt;=100000), " ",IF(INDEX($AC$2:$AS$1001,MATCH(ROWS($V$2:V862),$V$2:$V$1001,0),MATCH(COLUMNS($AC$1006:AN1006),$AC$1006:$AS$1006,0)), HYPERLINK("#",""), HYPERLINK(CONCATENATE("#Metadata!", ADDRESS(INDEX($X$2:$X$1001,MATCH(ROWS($V$2:V862),$V$2:$V$1001,0),0), INDEX($AC$1004:$AS$1004,1,MATCH(COLUMNS($AC$1006:AN1006),$AC$1006:$AS$1006,0)))),"Fix")))</f>
        <v>0</v>
      </c>
      <c r="N862" s="5">
        <f>IF(OR(INDEX($W$2:$W$1001,MATCH(ROWS($V$2:V862),$V$2:$V$1001,0),1)&gt;=100000,INDEX($AC$1005:$AS$1005,1,MATCH(COLUMNS($AC$1006:AO1006),$AC$1006:$AS$1006,0))&gt;=100000), " ",IF(INDEX($AC$2:$AS$1001,MATCH(ROWS($V$2:V862),$V$2:$V$1001,0),MATCH(COLUMNS($AC$1006:AO1006),$AC$1006:$AS$1006,0)), HYPERLINK("#",""), HYPERLINK(CONCATENATE("#Metadata!", ADDRESS(INDEX($X$2:$X$1001,MATCH(ROWS($V$2:V862),$V$2:$V$1001,0),0), INDEX($AC$1004:$AS$1004,1,MATCH(COLUMNS($AC$1006:AO1006),$AC$1006:$AS$1006,0)))),"Fix")))</f>
        <v>0</v>
      </c>
      <c r="O862" s="5">
        <f>IF(OR(INDEX($W$2:$W$1001,MATCH(ROWS($V$2:V862),$V$2:$V$1001,0),1)&gt;=100000,INDEX($AC$1005:$AS$1005,1,MATCH(COLUMNS($AC$1006:AP1006),$AC$1006:$AS$1006,0))&gt;=100000), " ",IF(INDEX($AC$2:$AS$1001,MATCH(ROWS($V$2:V862),$V$2:$V$1001,0),MATCH(COLUMNS($AC$1006:AP1006),$AC$1006:$AS$1006,0)), HYPERLINK("#",""), HYPERLINK(CONCATENATE("#Metadata!", ADDRESS(INDEX($X$2:$X$1001,MATCH(ROWS($V$2:V862),$V$2:$V$1001,0),0), INDEX($AC$1004:$AS$1004,1,MATCH(COLUMNS($AC$1006:AP1006),$AC$1006:$AS$1006,0)))),"Fix")))</f>
        <v>0</v>
      </c>
      <c r="P862" s="5">
        <f>IF(OR(INDEX($W$2:$W$1001,MATCH(ROWS($V$2:V862),$V$2:$V$1001,0),1)&gt;=100000,INDEX($AC$1005:$AS$1005,1,MATCH(COLUMNS($AC$1006:AQ1006),$AC$1006:$AS$1006,0))&gt;=100000), " ",IF(INDEX($AC$2:$AS$1001,MATCH(ROWS($V$2:V862),$V$2:$V$1001,0),MATCH(COLUMNS($AC$1006:AQ1006),$AC$1006:$AS$1006,0)), HYPERLINK("#",""), HYPERLINK(CONCATENATE("#Metadata!", ADDRESS(INDEX($X$2:$X$1001,MATCH(ROWS($V$2:V862),$V$2:$V$1001,0),0), INDEX($AC$1004:$AS$1004,1,MATCH(COLUMNS($AC$1006:AQ1006),$AC$1006:$AS$1006,0)))),"Fix")))</f>
        <v>0</v>
      </c>
      <c r="Q862" s="5">
        <f>IF(OR(INDEX($W$2:$W$1001,MATCH(ROWS($V$2:V862),$V$2:$V$1001,0),1)&gt;=100000,INDEX($AC$1005:$AS$1005,1,MATCH(COLUMNS($AC$1006:AR1006),$AC$1006:$AS$1006,0))&gt;=100000), " ",IF(INDEX($AC$2:$AS$1001,MATCH(ROWS($V$2:V862),$V$2:$V$1001,0),MATCH(COLUMNS($AC$1006:AR1006),$AC$1006:$AS$1006,0)), HYPERLINK("#",""), HYPERLINK(CONCATENATE("#Metadata!", ADDRESS(INDEX($X$2:$X$1001,MATCH(ROWS($V$2:V862),$V$2:$V$1001,0),0), INDEX($AC$1004:$AS$1004,1,MATCH(COLUMNS($AC$1006:AR1006),$AC$1006:$AS$1006,0)))),"Fix")))</f>
        <v>0</v>
      </c>
      <c r="R862" s="5">
        <f>IF(OR(INDEX($W$2:$W$1001,MATCH(ROWS($V$2:V862),$V$2:$V$1001,0),1)&gt;=100000,INDEX($AC$1005:$AS$1005,1,MATCH(COLUMNS($AC$1006:AS1006),$AC$1006:$AS$1006,0))&gt;=100000), " ",IF(INDEX($AC$2:$AS$1001,MATCH(ROWS($V$2:V862),$V$2:$V$1001,0),MATCH(COLUMNS($AC$1006:AS1006),$AC$1006:$AS$1006,0)), HYPERLINK("#",""), HYPERLINK(CONCATENATE("#Metadata!", ADDRESS(INDEX($X$2:$X$1001,MATCH(ROWS($V$2:V862),$V$2:$V$1001,0),0), INDEX($AC$1004:$AS$1004,1,MATCH(COLUMNS($AC$1006:AS1006),$AC$1006:$AS$1006,0)))),"Fix")))</f>
        <v>0</v>
      </c>
      <c r="V862">
        <v>0</v>
      </c>
      <c r="W862">
        <v>0</v>
      </c>
      <c r="X862">
        <v>0</v>
      </c>
      <c r="Y862">
        <f>IF(Z862,TRUE,AND(AC862:AS862))</f>
        <v>0</v>
      </c>
      <c r="Z862">
        <f>COUNTBLANK(Metadata!B862:R862)=COLUMNS(Metadata!B862:R862)</f>
        <v>0</v>
      </c>
      <c r="AA862">
        <v>0</v>
      </c>
      <c r="AC862">
        <f>AND(IF(Metadata!B862="",FALSE,TRUE),COUNTIF(Metadata!B:B, Metadata!B862) = 1,NOT(ISERROR(SUMPRODUCT(SEARCH(MID(Metadata!B862,ROW(INDIRECT("1:"&amp;LEN(Metadata!B862))), 1),"0123456789abcdefghijklmnopqrstuvwxyzABCDEFGHIJKLMNOPQRSTUVWXYZ.")))))</f>
        <v>0</v>
      </c>
      <c r="AD862">
        <f>AND(IF(Metadata!C862="",FALSE,TRUE),exact(Metadata!C862,"Host-associated"))</f>
        <v>0</v>
      </c>
      <c r="AE862">
        <f>AND(IF(Metadata!D862="",FALSE,TRUE),OR(exact(Metadata!D862,"Animal"),exact(Metadata!D862,"Fungus"),exact(Metadata!D862,"Plant")))</f>
        <v>0</v>
      </c>
      <c r="AF862">
        <f>AND(IF(Metadata!E862="",FALSE,TRUE),OR(exact(Metadata!E862,"Plant secretion"),exact(Metadata!E862,"Plant rhizosphere"),exact(Metadata!E862,"Plant surface"),exact(Metadata!E862,"Plant corpus"),exact(Metadata!E862,"Fungus surface"),exact(Metadata!E862,"Fungus corpus"),exact(Metadata!E862,"Animal surface"),exact(Metadata!E862,"Animal proximal gut"),exact(Metadata!E862,"Animal corpus"),exact(Metadata!E862,"Animal distal gut"),exact(Metadata!E862,"Animal secretion")))</f>
        <v>0</v>
      </c>
      <c r="AG862">
        <f>OR(AND(IF(Metadata!F862="",FALSE,TRUE),OR(exact(Metadata!F862,"not collected"),exact(Metadata!F862,"not provided"),exact(Metadata!F862,"restricted access"))),AND(IF(Metadata!F862="",FALSE,TRUE),OR(exact(Metadata!F862,"organism-associated habitat"),exact(Metadata!F862,"plant-associated habitat"),exact(Metadata!F862,"animal-associated habitat"),exact(Metadata!F862,"insecta-associated habitat"),exact(Metadata!F862,"mammalia-associated habitat"),exact(Metadata!F862,"human-associated habitat"),exact(Metadata!F862,"livestock-associated habitat"))))</f>
        <v>0</v>
      </c>
      <c r="AH862">
        <f>AND(IF(Metadata!G862="",FALSE,TRUE),exact(Metadata!G862,"host-associated"))</f>
        <v>0</v>
      </c>
      <c r="AI862">
        <f>OR(AND(IF(Metadata!H862="",FALSE,TRUE),OR(exact(Metadata!H862,"not collected"),exact(Metadata!H862,"not provided"))),AND(IF(Metadata!H862="",FALSE,ISNUMBER(VALUE(Metadata!H862))),Metadata!H862&gt;0))</f>
        <v>0</v>
      </c>
      <c r="AJ862">
        <f>AND(IF(Metadata!I862="",FALSE,TRUE),exact(Metadata!I862,"years"))</f>
        <v>0</v>
      </c>
      <c r="AK862">
        <f>IF(Metadata!J862="",FALSE,TRUE)</f>
        <v>0</v>
      </c>
      <c r="AL862">
        <f>OR(AND(IF(Metadata!K862="",FALSE,TRUE),OR(exact(Metadata!K862,"not collected"),exact(Metadata!K862,"not provided"))),AND(IF(Metadata!K862="",FALSE,ISNUMBER(VALUE(Metadata!K862))),Metadata!K862&gt;0))</f>
        <v>0</v>
      </c>
      <c r="AM862">
        <f>AND(IF(Metadata!L862="",FALSE,TRUE),exact(Metadata!L862,"cm"))</f>
        <v>0</v>
      </c>
      <c r="AN862">
        <f>IF(Metadata!M862="",FALSE,TRUE)</f>
        <v>0</v>
      </c>
      <c r="AO862">
        <f>OR(AND(IF(Metadata!N862="",FALSE,TRUE),OR(exact(Metadata!N862,"not applicable"),exact(Metadata!N862,"not collected"),exact(Metadata!N862,"not provided"))),AND(IF(Metadata!N862="",FALSE,IF(ISERROR(INT(Metadata!N862)),FALSE,INT(Metadata!N862)=Metadata!N862)),Metadata!N862&gt;0))</f>
        <v>0</v>
      </c>
      <c r="AP862">
        <f>OR(AND(IF(Metadata!O862="",FALSE,TRUE),OR(exact(Metadata!O862,"not collected"),exact(Metadata!O862,"not provided"))),AND(IF(Metadata!O862="",FALSE,ISNUMBER(VALUE(Metadata!O862))),Metadata!O862&gt;0))</f>
        <v>0</v>
      </c>
      <c r="AQ862">
        <f>AND(IF(Metadata!P862="",FALSE,TRUE),exact(Metadata!P862,"kg"))</f>
        <v>0</v>
      </c>
      <c r="AR862">
        <f>OR(AND(IF(Metadata!Q862="",FALSE,TRUE),OR(exact(Metadata!Q862,"not applicable"),exact(Metadata!Q862,"not collected"),exact(Metadata!Q862,"not provided"),exact(Metadata!Q862,"restricted access"))),IF(Metadata!Q862="",FALSE,IF(ISERROR(INT(Metadata!Q862)),FALSE,INT(Metadata!Q862)=Metadata!Q862)))</f>
        <v>0</v>
      </c>
      <c r="AS862">
        <f>AND(IF(Metadata!R862="",FALSE,TRUE),exact(Metadata!R862,"Not applicable"))</f>
        <v>0</v>
      </c>
    </row>
    <row r="863" spans="1:45">
      <c r="A863" s="4">
        <f>IF(B863=" "," ",HYPERLINK(CONCATENATE("#metadata!",ADDRESS(INDEX($X$2:$X$1001,MATCH(ROWS($V$2:V863),$V$2:$V$1001,0),0),2)),INDEX($AA$2:$AA$1001,MATCH(ROWS($V$2:V863),$V$2:$V$1001,0),0)))</f>
        <v>0</v>
      </c>
      <c r="B863" s="5">
        <f>IF(OR(INDEX($W$2:$W$1001,MATCH(ROWS($V$2:V863),$V$2:$V$1001,0),1)&gt;=100000,INDEX($AC$1005:$AS$1005,1,MATCH(COLUMNS($AC$1006:AC1006),$AC$1006:$AS$1006,0))&gt;=100000), " ",IF(INDEX($AC$2:$AS$1001,MATCH(ROWS($V$2:V863),$V$2:$V$1001,0),MATCH(COLUMNS($AC$1006:AC1006),$AC$1006:$AS$1006,0)), HYPERLINK("#",""), HYPERLINK(CONCATENATE("#Metadata!", ADDRESS(INDEX($X$2:$X$1001,MATCH(ROWS($V$2:V863),$V$2:$V$1001,0),0), INDEX($AC$1004:$AS$1004,1,MATCH(COLUMNS($AC$1006:AC1006),$AC$1006:$AS$1006,0)))),"Fix")))</f>
        <v>0</v>
      </c>
      <c r="C863" s="5">
        <f>IF(OR(INDEX($W$2:$W$1001,MATCH(ROWS($V$2:V863),$V$2:$V$1001,0),1)&gt;=100000,INDEX($AC$1005:$AS$1005,1,MATCH(COLUMNS($AC$1006:AD1006),$AC$1006:$AS$1006,0))&gt;=100000), " ",IF(INDEX($AC$2:$AS$1001,MATCH(ROWS($V$2:V863),$V$2:$V$1001,0),MATCH(COLUMNS($AC$1006:AD1006),$AC$1006:$AS$1006,0)), HYPERLINK("#",""), HYPERLINK(CONCATENATE("#Metadata!", ADDRESS(INDEX($X$2:$X$1001,MATCH(ROWS($V$2:V863),$V$2:$V$1001,0),0), INDEX($AC$1004:$AS$1004,1,MATCH(COLUMNS($AC$1006:AD1006),$AC$1006:$AS$1006,0)))),"Fix")))</f>
        <v>0</v>
      </c>
      <c r="D863" s="5">
        <f>IF(OR(INDEX($W$2:$W$1001,MATCH(ROWS($V$2:V863),$V$2:$V$1001,0),1)&gt;=100000,INDEX($AC$1005:$AS$1005,1,MATCH(COLUMNS($AC$1006:AE1006),$AC$1006:$AS$1006,0))&gt;=100000), " ",IF(INDEX($AC$2:$AS$1001,MATCH(ROWS($V$2:V863),$V$2:$V$1001,0),MATCH(COLUMNS($AC$1006:AE1006),$AC$1006:$AS$1006,0)), HYPERLINK("#",""), HYPERLINK(CONCATENATE("#Metadata!", ADDRESS(INDEX($X$2:$X$1001,MATCH(ROWS($V$2:V863),$V$2:$V$1001,0),0), INDEX($AC$1004:$AS$1004,1,MATCH(COLUMNS($AC$1006:AE1006),$AC$1006:$AS$1006,0)))),"Fix")))</f>
        <v>0</v>
      </c>
      <c r="E863" s="5">
        <f>IF(OR(INDEX($W$2:$W$1001,MATCH(ROWS($V$2:V863),$V$2:$V$1001,0),1)&gt;=100000,INDEX($AC$1005:$AS$1005,1,MATCH(COLUMNS($AC$1006:AF1006),$AC$1006:$AS$1006,0))&gt;=100000), " ",IF(INDEX($AC$2:$AS$1001,MATCH(ROWS($V$2:V863),$V$2:$V$1001,0),MATCH(COLUMNS($AC$1006:AF1006),$AC$1006:$AS$1006,0)), HYPERLINK("#",""), HYPERLINK(CONCATENATE("#Metadata!", ADDRESS(INDEX($X$2:$X$1001,MATCH(ROWS($V$2:V863),$V$2:$V$1001,0),0), INDEX($AC$1004:$AS$1004,1,MATCH(COLUMNS($AC$1006:AF1006),$AC$1006:$AS$1006,0)))),"Fix")))</f>
        <v>0</v>
      </c>
      <c r="F863" s="5">
        <f>IF(OR(INDEX($W$2:$W$1001,MATCH(ROWS($V$2:V863),$V$2:$V$1001,0),1)&gt;=100000,INDEX($AC$1005:$AS$1005,1,MATCH(COLUMNS($AC$1006:AG1006),$AC$1006:$AS$1006,0))&gt;=100000), " ",IF(INDEX($AC$2:$AS$1001,MATCH(ROWS($V$2:V863),$V$2:$V$1001,0),MATCH(COLUMNS($AC$1006:AG1006),$AC$1006:$AS$1006,0)), HYPERLINK("#",""), HYPERLINK(CONCATENATE("#Metadata!", ADDRESS(INDEX($X$2:$X$1001,MATCH(ROWS($V$2:V863),$V$2:$V$1001,0),0), INDEX($AC$1004:$AS$1004,1,MATCH(COLUMNS($AC$1006:AG1006),$AC$1006:$AS$1006,0)))),"Fix")))</f>
        <v>0</v>
      </c>
      <c r="G863" s="5">
        <f>IF(OR(INDEX($W$2:$W$1001,MATCH(ROWS($V$2:V863),$V$2:$V$1001,0),1)&gt;=100000,INDEX($AC$1005:$AS$1005,1,MATCH(COLUMNS($AC$1006:AH1006),$AC$1006:$AS$1006,0))&gt;=100000), " ",IF(INDEX($AC$2:$AS$1001,MATCH(ROWS($V$2:V863),$V$2:$V$1001,0),MATCH(COLUMNS($AC$1006:AH1006),$AC$1006:$AS$1006,0)), HYPERLINK("#",""), HYPERLINK(CONCATENATE("#Metadata!", ADDRESS(INDEX($X$2:$X$1001,MATCH(ROWS($V$2:V863),$V$2:$V$1001,0),0), INDEX($AC$1004:$AS$1004,1,MATCH(COLUMNS($AC$1006:AH1006),$AC$1006:$AS$1006,0)))),"Fix")))</f>
        <v>0</v>
      </c>
      <c r="H863" s="5">
        <f>IF(OR(INDEX($W$2:$W$1001,MATCH(ROWS($V$2:V863),$V$2:$V$1001,0),1)&gt;=100000,INDEX($AC$1005:$AS$1005,1,MATCH(COLUMNS($AC$1006:AI1006),$AC$1006:$AS$1006,0))&gt;=100000), " ",IF(INDEX($AC$2:$AS$1001,MATCH(ROWS($V$2:V863),$V$2:$V$1001,0),MATCH(COLUMNS($AC$1006:AI1006),$AC$1006:$AS$1006,0)), HYPERLINK("#",""), HYPERLINK(CONCATENATE("#Metadata!", ADDRESS(INDEX($X$2:$X$1001,MATCH(ROWS($V$2:V863),$V$2:$V$1001,0),0), INDEX($AC$1004:$AS$1004,1,MATCH(COLUMNS($AC$1006:AI1006),$AC$1006:$AS$1006,0)))),"Fix")))</f>
        <v>0</v>
      </c>
      <c r="I863" s="5">
        <f>IF(OR(INDEX($W$2:$W$1001,MATCH(ROWS($V$2:V863),$V$2:$V$1001,0),1)&gt;=100000,INDEX($AC$1005:$AS$1005,1,MATCH(COLUMNS($AC$1006:AJ1006),$AC$1006:$AS$1006,0))&gt;=100000), " ",IF(INDEX($AC$2:$AS$1001,MATCH(ROWS($V$2:V863),$V$2:$V$1001,0),MATCH(COLUMNS($AC$1006:AJ1006),$AC$1006:$AS$1006,0)), HYPERLINK("#",""), HYPERLINK(CONCATENATE("#Metadata!", ADDRESS(INDEX($X$2:$X$1001,MATCH(ROWS($V$2:V863),$V$2:$V$1001,0),0), INDEX($AC$1004:$AS$1004,1,MATCH(COLUMNS($AC$1006:AJ1006),$AC$1006:$AS$1006,0)))),"Fix")))</f>
        <v>0</v>
      </c>
      <c r="J863" s="5">
        <f>IF(OR(INDEX($W$2:$W$1001,MATCH(ROWS($V$2:V863),$V$2:$V$1001,0),1)&gt;=100000,INDEX($AC$1005:$AS$1005,1,MATCH(COLUMNS($AC$1006:AK1006),$AC$1006:$AS$1006,0))&gt;=100000), " ",IF(INDEX($AC$2:$AS$1001,MATCH(ROWS($V$2:V863),$V$2:$V$1001,0),MATCH(COLUMNS($AC$1006:AK1006),$AC$1006:$AS$1006,0)), HYPERLINK("#",""), HYPERLINK(CONCATENATE("#Metadata!", ADDRESS(INDEX($X$2:$X$1001,MATCH(ROWS($V$2:V863),$V$2:$V$1001,0),0), INDEX($AC$1004:$AS$1004,1,MATCH(COLUMNS($AC$1006:AK1006),$AC$1006:$AS$1006,0)))),"Fix")))</f>
        <v>0</v>
      </c>
      <c r="K863" s="5">
        <f>IF(OR(INDEX($W$2:$W$1001,MATCH(ROWS($V$2:V863),$V$2:$V$1001,0),1)&gt;=100000,INDEX($AC$1005:$AS$1005,1,MATCH(COLUMNS($AC$1006:AL1006),$AC$1006:$AS$1006,0))&gt;=100000), " ",IF(INDEX($AC$2:$AS$1001,MATCH(ROWS($V$2:V863),$V$2:$V$1001,0),MATCH(COLUMNS($AC$1006:AL1006),$AC$1006:$AS$1006,0)), HYPERLINK("#",""), HYPERLINK(CONCATENATE("#Metadata!", ADDRESS(INDEX($X$2:$X$1001,MATCH(ROWS($V$2:V863),$V$2:$V$1001,0),0), INDEX($AC$1004:$AS$1004,1,MATCH(COLUMNS($AC$1006:AL1006),$AC$1006:$AS$1006,0)))),"Fix")))</f>
        <v>0</v>
      </c>
      <c r="L863" s="5">
        <f>IF(OR(INDEX($W$2:$W$1001,MATCH(ROWS($V$2:V863),$V$2:$V$1001,0),1)&gt;=100000,INDEX($AC$1005:$AS$1005,1,MATCH(COLUMNS($AC$1006:AM1006),$AC$1006:$AS$1006,0))&gt;=100000), " ",IF(INDEX($AC$2:$AS$1001,MATCH(ROWS($V$2:V863),$V$2:$V$1001,0),MATCH(COLUMNS($AC$1006:AM1006),$AC$1006:$AS$1006,0)), HYPERLINK("#",""), HYPERLINK(CONCATENATE("#Metadata!", ADDRESS(INDEX($X$2:$X$1001,MATCH(ROWS($V$2:V863),$V$2:$V$1001,0),0), INDEX($AC$1004:$AS$1004,1,MATCH(COLUMNS($AC$1006:AM1006),$AC$1006:$AS$1006,0)))),"Fix")))</f>
        <v>0</v>
      </c>
      <c r="M863" s="5">
        <f>IF(OR(INDEX($W$2:$W$1001,MATCH(ROWS($V$2:V863),$V$2:$V$1001,0),1)&gt;=100000,INDEX($AC$1005:$AS$1005,1,MATCH(COLUMNS($AC$1006:AN1006),$AC$1006:$AS$1006,0))&gt;=100000), " ",IF(INDEX($AC$2:$AS$1001,MATCH(ROWS($V$2:V863),$V$2:$V$1001,0),MATCH(COLUMNS($AC$1006:AN1006),$AC$1006:$AS$1006,0)), HYPERLINK("#",""), HYPERLINK(CONCATENATE("#Metadata!", ADDRESS(INDEX($X$2:$X$1001,MATCH(ROWS($V$2:V863),$V$2:$V$1001,0),0), INDEX($AC$1004:$AS$1004,1,MATCH(COLUMNS($AC$1006:AN1006),$AC$1006:$AS$1006,0)))),"Fix")))</f>
        <v>0</v>
      </c>
      <c r="N863" s="5">
        <f>IF(OR(INDEX($W$2:$W$1001,MATCH(ROWS($V$2:V863),$V$2:$V$1001,0),1)&gt;=100000,INDEX($AC$1005:$AS$1005,1,MATCH(COLUMNS($AC$1006:AO1006),$AC$1006:$AS$1006,0))&gt;=100000), " ",IF(INDEX($AC$2:$AS$1001,MATCH(ROWS($V$2:V863),$V$2:$V$1001,0),MATCH(COLUMNS($AC$1006:AO1006),$AC$1006:$AS$1006,0)), HYPERLINK("#",""), HYPERLINK(CONCATENATE("#Metadata!", ADDRESS(INDEX($X$2:$X$1001,MATCH(ROWS($V$2:V863),$V$2:$V$1001,0),0), INDEX($AC$1004:$AS$1004,1,MATCH(COLUMNS($AC$1006:AO1006),$AC$1006:$AS$1006,0)))),"Fix")))</f>
        <v>0</v>
      </c>
      <c r="O863" s="5">
        <f>IF(OR(INDEX($W$2:$W$1001,MATCH(ROWS($V$2:V863),$V$2:$V$1001,0),1)&gt;=100000,INDEX($AC$1005:$AS$1005,1,MATCH(COLUMNS($AC$1006:AP1006),$AC$1006:$AS$1006,0))&gt;=100000), " ",IF(INDEX($AC$2:$AS$1001,MATCH(ROWS($V$2:V863),$V$2:$V$1001,0),MATCH(COLUMNS($AC$1006:AP1006),$AC$1006:$AS$1006,0)), HYPERLINK("#",""), HYPERLINK(CONCATENATE("#Metadata!", ADDRESS(INDEX($X$2:$X$1001,MATCH(ROWS($V$2:V863),$V$2:$V$1001,0),0), INDEX($AC$1004:$AS$1004,1,MATCH(COLUMNS($AC$1006:AP1006),$AC$1006:$AS$1006,0)))),"Fix")))</f>
        <v>0</v>
      </c>
      <c r="P863" s="5">
        <f>IF(OR(INDEX($W$2:$W$1001,MATCH(ROWS($V$2:V863),$V$2:$V$1001,0),1)&gt;=100000,INDEX($AC$1005:$AS$1005,1,MATCH(COLUMNS($AC$1006:AQ1006),$AC$1006:$AS$1006,0))&gt;=100000), " ",IF(INDEX($AC$2:$AS$1001,MATCH(ROWS($V$2:V863),$V$2:$V$1001,0),MATCH(COLUMNS($AC$1006:AQ1006),$AC$1006:$AS$1006,0)), HYPERLINK("#",""), HYPERLINK(CONCATENATE("#Metadata!", ADDRESS(INDEX($X$2:$X$1001,MATCH(ROWS($V$2:V863),$V$2:$V$1001,0),0), INDEX($AC$1004:$AS$1004,1,MATCH(COLUMNS($AC$1006:AQ1006),$AC$1006:$AS$1006,0)))),"Fix")))</f>
        <v>0</v>
      </c>
      <c r="Q863" s="5">
        <f>IF(OR(INDEX($W$2:$W$1001,MATCH(ROWS($V$2:V863),$V$2:$V$1001,0),1)&gt;=100000,INDEX($AC$1005:$AS$1005,1,MATCH(COLUMNS($AC$1006:AR1006),$AC$1006:$AS$1006,0))&gt;=100000), " ",IF(INDEX($AC$2:$AS$1001,MATCH(ROWS($V$2:V863),$V$2:$V$1001,0),MATCH(COLUMNS($AC$1006:AR1006),$AC$1006:$AS$1006,0)), HYPERLINK("#",""), HYPERLINK(CONCATENATE("#Metadata!", ADDRESS(INDEX($X$2:$X$1001,MATCH(ROWS($V$2:V863),$V$2:$V$1001,0),0), INDEX($AC$1004:$AS$1004,1,MATCH(COLUMNS($AC$1006:AR1006),$AC$1006:$AS$1006,0)))),"Fix")))</f>
        <v>0</v>
      </c>
      <c r="R863" s="5">
        <f>IF(OR(INDEX($W$2:$W$1001,MATCH(ROWS($V$2:V863),$V$2:$V$1001,0),1)&gt;=100000,INDEX($AC$1005:$AS$1005,1,MATCH(COLUMNS($AC$1006:AS1006),$AC$1006:$AS$1006,0))&gt;=100000), " ",IF(INDEX($AC$2:$AS$1001,MATCH(ROWS($V$2:V863),$V$2:$V$1001,0),MATCH(COLUMNS($AC$1006:AS1006),$AC$1006:$AS$1006,0)), HYPERLINK("#",""), HYPERLINK(CONCATENATE("#Metadata!", ADDRESS(INDEX($X$2:$X$1001,MATCH(ROWS($V$2:V863),$V$2:$V$1001,0),0), INDEX($AC$1004:$AS$1004,1,MATCH(COLUMNS($AC$1006:AS1006),$AC$1006:$AS$1006,0)))),"Fix")))</f>
        <v>0</v>
      </c>
      <c r="V863">
        <v>0</v>
      </c>
      <c r="W863">
        <v>0</v>
      </c>
      <c r="X863">
        <v>0</v>
      </c>
      <c r="Y863">
        <f>IF(Z863,TRUE,AND(AC863:AS863))</f>
        <v>0</v>
      </c>
      <c r="Z863">
        <f>COUNTBLANK(Metadata!B863:R863)=COLUMNS(Metadata!B863:R863)</f>
        <v>0</v>
      </c>
      <c r="AA863">
        <v>0</v>
      </c>
      <c r="AC863">
        <f>AND(IF(Metadata!B863="",FALSE,TRUE),COUNTIF(Metadata!B:B, Metadata!B863) = 1,NOT(ISERROR(SUMPRODUCT(SEARCH(MID(Metadata!B863,ROW(INDIRECT("1:"&amp;LEN(Metadata!B863))), 1),"0123456789abcdefghijklmnopqrstuvwxyzABCDEFGHIJKLMNOPQRSTUVWXYZ.")))))</f>
        <v>0</v>
      </c>
      <c r="AD863">
        <f>AND(IF(Metadata!C863="",FALSE,TRUE),exact(Metadata!C863,"Host-associated"))</f>
        <v>0</v>
      </c>
      <c r="AE863">
        <f>AND(IF(Metadata!D863="",FALSE,TRUE),OR(exact(Metadata!D863,"Animal"),exact(Metadata!D863,"Fungus"),exact(Metadata!D863,"Plant")))</f>
        <v>0</v>
      </c>
      <c r="AF863">
        <f>AND(IF(Metadata!E863="",FALSE,TRUE),OR(exact(Metadata!E863,"Plant secretion"),exact(Metadata!E863,"Plant rhizosphere"),exact(Metadata!E863,"Plant surface"),exact(Metadata!E863,"Plant corpus"),exact(Metadata!E863,"Fungus surface"),exact(Metadata!E863,"Fungus corpus"),exact(Metadata!E863,"Animal surface"),exact(Metadata!E863,"Animal proximal gut"),exact(Metadata!E863,"Animal corpus"),exact(Metadata!E863,"Animal distal gut"),exact(Metadata!E863,"Animal secretion")))</f>
        <v>0</v>
      </c>
      <c r="AG863">
        <f>OR(AND(IF(Metadata!F863="",FALSE,TRUE),OR(exact(Metadata!F863,"not collected"),exact(Metadata!F863,"not provided"),exact(Metadata!F863,"restricted access"))),AND(IF(Metadata!F863="",FALSE,TRUE),OR(exact(Metadata!F863,"organism-associated habitat"),exact(Metadata!F863,"plant-associated habitat"),exact(Metadata!F863,"animal-associated habitat"),exact(Metadata!F863,"insecta-associated habitat"),exact(Metadata!F863,"mammalia-associated habitat"),exact(Metadata!F863,"human-associated habitat"),exact(Metadata!F863,"livestock-associated habitat"))))</f>
        <v>0</v>
      </c>
      <c r="AH863">
        <f>AND(IF(Metadata!G863="",FALSE,TRUE),exact(Metadata!G863,"host-associated"))</f>
        <v>0</v>
      </c>
      <c r="AI863">
        <f>OR(AND(IF(Metadata!H863="",FALSE,TRUE),OR(exact(Metadata!H863,"not collected"),exact(Metadata!H863,"not provided"))),AND(IF(Metadata!H863="",FALSE,ISNUMBER(VALUE(Metadata!H863))),Metadata!H863&gt;0))</f>
        <v>0</v>
      </c>
      <c r="AJ863">
        <f>AND(IF(Metadata!I863="",FALSE,TRUE),exact(Metadata!I863,"years"))</f>
        <v>0</v>
      </c>
      <c r="AK863">
        <f>IF(Metadata!J863="",FALSE,TRUE)</f>
        <v>0</v>
      </c>
      <c r="AL863">
        <f>OR(AND(IF(Metadata!K863="",FALSE,TRUE),OR(exact(Metadata!K863,"not collected"),exact(Metadata!K863,"not provided"))),AND(IF(Metadata!K863="",FALSE,ISNUMBER(VALUE(Metadata!K863))),Metadata!K863&gt;0))</f>
        <v>0</v>
      </c>
      <c r="AM863">
        <f>AND(IF(Metadata!L863="",FALSE,TRUE),exact(Metadata!L863,"cm"))</f>
        <v>0</v>
      </c>
      <c r="AN863">
        <f>IF(Metadata!M863="",FALSE,TRUE)</f>
        <v>0</v>
      </c>
      <c r="AO863">
        <f>OR(AND(IF(Metadata!N863="",FALSE,TRUE),OR(exact(Metadata!N863,"not applicable"),exact(Metadata!N863,"not collected"),exact(Metadata!N863,"not provided"))),AND(IF(Metadata!N863="",FALSE,IF(ISERROR(INT(Metadata!N863)),FALSE,INT(Metadata!N863)=Metadata!N863)),Metadata!N863&gt;0))</f>
        <v>0</v>
      </c>
      <c r="AP863">
        <f>OR(AND(IF(Metadata!O863="",FALSE,TRUE),OR(exact(Metadata!O863,"not collected"),exact(Metadata!O863,"not provided"))),AND(IF(Metadata!O863="",FALSE,ISNUMBER(VALUE(Metadata!O863))),Metadata!O863&gt;0))</f>
        <v>0</v>
      </c>
      <c r="AQ863">
        <f>AND(IF(Metadata!P863="",FALSE,TRUE),exact(Metadata!P863,"kg"))</f>
        <v>0</v>
      </c>
      <c r="AR863">
        <f>OR(AND(IF(Metadata!Q863="",FALSE,TRUE),OR(exact(Metadata!Q863,"not applicable"),exact(Metadata!Q863,"not collected"),exact(Metadata!Q863,"not provided"),exact(Metadata!Q863,"restricted access"))),IF(Metadata!Q863="",FALSE,IF(ISERROR(INT(Metadata!Q863)),FALSE,INT(Metadata!Q863)=Metadata!Q863)))</f>
        <v>0</v>
      </c>
      <c r="AS863">
        <f>AND(IF(Metadata!R863="",FALSE,TRUE),exact(Metadata!R863,"Not applicable"))</f>
        <v>0</v>
      </c>
    </row>
    <row r="864" spans="1:45">
      <c r="A864" s="4">
        <f>IF(B864=" "," ",HYPERLINK(CONCATENATE("#metadata!",ADDRESS(INDEX($X$2:$X$1001,MATCH(ROWS($V$2:V864),$V$2:$V$1001,0),0),2)),INDEX($AA$2:$AA$1001,MATCH(ROWS($V$2:V864),$V$2:$V$1001,0),0)))</f>
        <v>0</v>
      </c>
      <c r="B864" s="5">
        <f>IF(OR(INDEX($W$2:$W$1001,MATCH(ROWS($V$2:V864),$V$2:$V$1001,0),1)&gt;=100000,INDEX($AC$1005:$AS$1005,1,MATCH(COLUMNS($AC$1006:AC1006),$AC$1006:$AS$1006,0))&gt;=100000), " ",IF(INDEX($AC$2:$AS$1001,MATCH(ROWS($V$2:V864),$V$2:$V$1001,0),MATCH(COLUMNS($AC$1006:AC1006),$AC$1006:$AS$1006,0)), HYPERLINK("#",""), HYPERLINK(CONCATENATE("#Metadata!", ADDRESS(INDEX($X$2:$X$1001,MATCH(ROWS($V$2:V864),$V$2:$V$1001,0),0), INDEX($AC$1004:$AS$1004,1,MATCH(COLUMNS($AC$1006:AC1006),$AC$1006:$AS$1006,0)))),"Fix")))</f>
        <v>0</v>
      </c>
      <c r="C864" s="5">
        <f>IF(OR(INDEX($W$2:$W$1001,MATCH(ROWS($V$2:V864),$V$2:$V$1001,0),1)&gt;=100000,INDEX($AC$1005:$AS$1005,1,MATCH(COLUMNS($AC$1006:AD1006),$AC$1006:$AS$1006,0))&gt;=100000), " ",IF(INDEX($AC$2:$AS$1001,MATCH(ROWS($V$2:V864),$V$2:$V$1001,0),MATCH(COLUMNS($AC$1006:AD1006),$AC$1006:$AS$1006,0)), HYPERLINK("#",""), HYPERLINK(CONCATENATE("#Metadata!", ADDRESS(INDEX($X$2:$X$1001,MATCH(ROWS($V$2:V864),$V$2:$V$1001,0),0), INDEX($AC$1004:$AS$1004,1,MATCH(COLUMNS($AC$1006:AD1006),$AC$1006:$AS$1006,0)))),"Fix")))</f>
        <v>0</v>
      </c>
      <c r="D864" s="5">
        <f>IF(OR(INDEX($W$2:$W$1001,MATCH(ROWS($V$2:V864),$V$2:$V$1001,0),1)&gt;=100000,INDEX($AC$1005:$AS$1005,1,MATCH(COLUMNS($AC$1006:AE1006),$AC$1006:$AS$1006,0))&gt;=100000), " ",IF(INDEX($AC$2:$AS$1001,MATCH(ROWS($V$2:V864),$V$2:$V$1001,0),MATCH(COLUMNS($AC$1006:AE1006),$AC$1006:$AS$1006,0)), HYPERLINK("#",""), HYPERLINK(CONCATENATE("#Metadata!", ADDRESS(INDEX($X$2:$X$1001,MATCH(ROWS($V$2:V864),$V$2:$V$1001,0),0), INDEX($AC$1004:$AS$1004,1,MATCH(COLUMNS($AC$1006:AE1006),$AC$1006:$AS$1006,0)))),"Fix")))</f>
        <v>0</v>
      </c>
      <c r="E864" s="5">
        <f>IF(OR(INDEX($W$2:$W$1001,MATCH(ROWS($V$2:V864),$V$2:$V$1001,0),1)&gt;=100000,INDEX($AC$1005:$AS$1005,1,MATCH(COLUMNS($AC$1006:AF1006),$AC$1006:$AS$1006,0))&gt;=100000), " ",IF(INDEX($AC$2:$AS$1001,MATCH(ROWS($V$2:V864),$V$2:$V$1001,0),MATCH(COLUMNS($AC$1006:AF1006),$AC$1006:$AS$1006,0)), HYPERLINK("#",""), HYPERLINK(CONCATENATE("#Metadata!", ADDRESS(INDEX($X$2:$X$1001,MATCH(ROWS($V$2:V864),$V$2:$V$1001,0),0), INDEX($AC$1004:$AS$1004,1,MATCH(COLUMNS($AC$1006:AF1006),$AC$1006:$AS$1006,0)))),"Fix")))</f>
        <v>0</v>
      </c>
      <c r="F864" s="5">
        <f>IF(OR(INDEX($W$2:$W$1001,MATCH(ROWS($V$2:V864),$V$2:$V$1001,0),1)&gt;=100000,INDEX($AC$1005:$AS$1005,1,MATCH(COLUMNS($AC$1006:AG1006),$AC$1006:$AS$1006,0))&gt;=100000), " ",IF(INDEX($AC$2:$AS$1001,MATCH(ROWS($V$2:V864),$V$2:$V$1001,0),MATCH(COLUMNS($AC$1006:AG1006),$AC$1006:$AS$1006,0)), HYPERLINK("#",""), HYPERLINK(CONCATENATE("#Metadata!", ADDRESS(INDEX($X$2:$X$1001,MATCH(ROWS($V$2:V864),$V$2:$V$1001,0),0), INDEX($AC$1004:$AS$1004,1,MATCH(COLUMNS($AC$1006:AG1006),$AC$1006:$AS$1006,0)))),"Fix")))</f>
        <v>0</v>
      </c>
      <c r="G864" s="5">
        <f>IF(OR(INDEX($W$2:$W$1001,MATCH(ROWS($V$2:V864),$V$2:$V$1001,0),1)&gt;=100000,INDEX($AC$1005:$AS$1005,1,MATCH(COLUMNS($AC$1006:AH1006),$AC$1006:$AS$1006,0))&gt;=100000), " ",IF(INDEX($AC$2:$AS$1001,MATCH(ROWS($V$2:V864),$V$2:$V$1001,0),MATCH(COLUMNS($AC$1006:AH1006),$AC$1006:$AS$1006,0)), HYPERLINK("#",""), HYPERLINK(CONCATENATE("#Metadata!", ADDRESS(INDEX($X$2:$X$1001,MATCH(ROWS($V$2:V864),$V$2:$V$1001,0),0), INDEX($AC$1004:$AS$1004,1,MATCH(COLUMNS($AC$1006:AH1006),$AC$1006:$AS$1006,0)))),"Fix")))</f>
        <v>0</v>
      </c>
      <c r="H864" s="5">
        <f>IF(OR(INDEX($W$2:$W$1001,MATCH(ROWS($V$2:V864),$V$2:$V$1001,0),1)&gt;=100000,INDEX($AC$1005:$AS$1005,1,MATCH(COLUMNS($AC$1006:AI1006),$AC$1006:$AS$1006,0))&gt;=100000), " ",IF(INDEX($AC$2:$AS$1001,MATCH(ROWS($V$2:V864),$V$2:$V$1001,0),MATCH(COLUMNS($AC$1006:AI1006),$AC$1006:$AS$1006,0)), HYPERLINK("#",""), HYPERLINK(CONCATENATE("#Metadata!", ADDRESS(INDEX($X$2:$X$1001,MATCH(ROWS($V$2:V864),$V$2:$V$1001,0),0), INDEX($AC$1004:$AS$1004,1,MATCH(COLUMNS($AC$1006:AI1006),$AC$1006:$AS$1006,0)))),"Fix")))</f>
        <v>0</v>
      </c>
      <c r="I864" s="5">
        <f>IF(OR(INDEX($W$2:$W$1001,MATCH(ROWS($V$2:V864),$V$2:$V$1001,0),1)&gt;=100000,INDEX($AC$1005:$AS$1005,1,MATCH(COLUMNS($AC$1006:AJ1006),$AC$1006:$AS$1006,0))&gt;=100000), " ",IF(INDEX($AC$2:$AS$1001,MATCH(ROWS($V$2:V864),$V$2:$V$1001,0),MATCH(COLUMNS($AC$1006:AJ1006),$AC$1006:$AS$1006,0)), HYPERLINK("#",""), HYPERLINK(CONCATENATE("#Metadata!", ADDRESS(INDEX($X$2:$X$1001,MATCH(ROWS($V$2:V864),$V$2:$V$1001,0),0), INDEX($AC$1004:$AS$1004,1,MATCH(COLUMNS($AC$1006:AJ1006),$AC$1006:$AS$1006,0)))),"Fix")))</f>
        <v>0</v>
      </c>
      <c r="J864" s="5">
        <f>IF(OR(INDEX($W$2:$W$1001,MATCH(ROWS($V$2:V864),$V$2:$V$1001,0),1)&gt;=100000,INDEX($AC$1005:$AS$1005,1,MATCH(COLUMNS($AC$1006:AK1006),$AC$1006:$AS$1006,0))&gt;=100000), " ",IF(INDEX($AC$2:$AS$1001,MATCH(ROWS($V$2:V864),$V$2:$V$1001,0),MATCH(COLUMNS($AC$1006:AK1006),$AC$1006:$AS$1006,0)), HYPERLINK("#",""), HYPERLINK(CONCATENATE("#Metadata!", ADDRESS(INDEX($X$2:$X$1001,MATCH(ROWS($V$2:V864),$V$2:$V$1001,0),0), INDEX($AC$1004:$AS$1004,1,MATCH(COLUMNS($AC$1006:AK1006),$AC$1006:$AS$1006,0)))),"Fix")))</f>
        <v>0</v>
      </c>
      <c r="K864" s="5">
        <f>IF(OR(INDEX($W$2:$W$1001,MATCH(ROWS($V$2:V864),$V$2:$V$1001,0),1)&gt;=100000,INDEX($AC$1005:$AS$1005,1,MATCH(COLUMNS($AC$1006:AL1006),$AC$1006:$AS$1006,0))&gt;=100000), " ",IF(INDEX($AC$2:$AS$1001,MATCH(ROWS($V$2:V864),$V$2:$V$1001,0),MATCH(COLUMNS($AC$1006:AL1006),$AC$1006:$AS$1006,0)), HYPERLINK("#",""), HYPERLINK(CONCATENATE("#Metadata!", ADDRESS(INDEX($X$2:$X$1001,MATCH(ROWS($V$2:V864),$V$2:$V$1001,0),0), INDEX($AC$1004:$AS$1004,1,MATCH(COLUMNS($AC$1006:AL1006),$AC$1006:$AS$1006,0)))),"Fix")))</f>
        <v>0</v>
      </c>
      <c r="L864" s="5">
        <f>IF(OR(INDEX($W$2:$W$1001,MATCH(ROWS($V$2:V864),$V$2:$V$1001,0),1)&gt;=100000,INDEX($AC$1005:$AS$1005,1,MATCH(COLUMNS($AC$1006:AM1006),$AC$1006:$AS$1006,0))&gt;=100000), " ",IF(INDEX($AC$2:$AS$1001,MATCH(ROWS($V$2:V864),$V$2:$V$1001,0),MATCH(COLUMNS($AC$1006:AM1006),$AC$1006:$AS$1006,0)), HYPERLINK("#",""), HYPERLINK(CONCATENATE("#Metadata!", ADDRESS(INDEX($X$2:$X$1001,MATCH(ROWS($V$2:V864),$V$2:$V$1001,0),0), INDEX($AC$1004:$AS$1004,1,MATCH(COLUMNS($AC$1006:AM1006),$AC$1006:$AS$1006,0)))),"Fix")))</f>
        <v>0</v>
      </c>
      <c r="M864" s="5">
        <f>IF(OR(INDEX($W$2:$W$1001,MATCH(ROWS($V$2:V864),$V$2:$V$1001,0),1)&gt;=100000,INDEX($AC$1005:$AS$1005,1,MATCH(COLUMNS($AC$1006:AN1006),$AC$1006:$AS$1006,0))&gt;=100000), " ",IF(INDEX($AC$2:$AS$1001,MATCH(ROWS($V$2:V864),$V$2:$V$1001,0),MATCH(COLUMNS($AC$1006:AN1006),$AC$1006:$AS$1006,0)), HYPERLINK("#",""), HYPERLINK(CONCATENATE("#Metadata!", ADDRESS(INDEX($X$2:$X$1001,MATCH(ROWS($V$2:V864),$V$2:$V$1001,0),0), INDEX($AC$1004:$AS$1004,1,MATCH(COLUMNS($AC$1006:AN1006),$AC$1006:$AS$1006,0)))),"Fix")))</f>
        <v>0</v>
      </c>
      <c r="N864" s="5">
        <f>IF(OR(INDEX($W$2:$W$1001,MATCH(ROWS($V$2:V864),$V$2:$V$1001,0),1)&gt;=100000,INDEX($AC$1005:$AS$1005,1,MATCH(COLUMNS($AC$1006:AO1006),$AC$1006:$AS$1006,0))&gt;=100000), " ",IF(INDEX($AC$2:$AS$1001,MATCH(ROWS($V$2:V864),$V$2:$V$1001,0),MATCH(COLUMNS($AC$1006:AO1006),$AC$1006:$AS$1006,0)), HYPERLINK("#",""), HYPERLINK(CONCATENATE("#Metadata!", ADDRESS(INDEX($X$2:$X$1001,MATCH(ROWS($V$2:V864),$V$2:$V$1001,0),0), INDEX($AC$1004:$AS$1004,1,MATCH(COLUMNS($AC$1006:AO1006),$AC$1006:$AS$1006,0)))),"Fix")))</f>
        <v>0</v>
      </c>
      <c r="O864" s="5">
        <f>IF(OR(INDEX($W$2:$W$1001,MATCH(ROWS($V$2:V864),$V$2:$V$1001,0),1)&gt;=100000,INDEX($AC$1005:$AS$1005,1,MATCH(COLUMNS($AC$1006:AP1006),$AC$1006:$AS$1006,0))&gt;=100000), " ",IF(INDEX($AC$2:$AS$1001,MATCH(ROWS($V$2:V864),$V$2:$V$1001,0),MATCH(COLUMNS($AC$1006:AP1006),$AC$1006:$AS$1006,0)), HYPERLINK("#",""), HYPERLINK(CONCATENATE("#Metadata!", ADDRESS(INDEX($X$2:$X$1001,MATCH(ROWS($V$2:V864),$V$2:$V$1001,0),0), INDEX($AC$1004:$AS$1004,1,MATCH(COLUMNS($AC$1006:AP1006),$AC$1006:$AS$1006,0)))),"Fix")))</f>
        <v>0</v>
      </c>
      <c r="P864" s="5">
        <f>IF(OR(INDEX($W$2:$W$1001,MATCH(ROWS($V$2:V864),$V$2:$V$1001,0),1)&gt;=100000,INDEX($AC$1005:$AS$1005,1,MATCH(COLUMNS($AC$1006:AQ1006),$AC$1006:$AS$1006,0))&gt;=100000), " ",IF(INDEX($AC$2:$AS$1001,MATCH(ROWS($V$2:V864),$V$2:$V$1001,0),MATCH(COLUMNS($AC$1006:AQ1006),$AC$1006:$AS$1006,0)), HYPERLINK("#",""), HYPERLINK(CONCATENATE("#Metadata!", ADDRESS(INDEX($X$2:$X$1001,MATCH(ROWS($V$2:V864),$V$2:$V$1001,0),0), INDEX($AC$1004:$AS$1004,1,MATCH(COLUMNS($AC$1006:AQ1006),$AC$1006:$AS$1006,0)))),"Fix")))</f>
        <v>0</v>
      </c>
      <c r="Q864" s="5">
        <f>IF(OR(INDEX($W$2:$W$1001,MATCH(ROWS($V$2:V864),$V$2:$V$1001,0),1)&gt;=100000,INDEX($AC$1005:$AS$1005,1,MATCH(COLUMNS($AC$1006:AR1006),$AC$1006:$AS$1006,0))&gt;=100000), " ",IF(INDEX($AC$2:$AS$1001,MATCH(ROWS($V$2:V864),$V$2:$V$1001,0),MATCH(COLUMNS($AC$1006:AR1006),$AC$1006:$AS$1006,0)), HYPERLINK("#",""), HYPERLINK(CONCATENATE("#Metadata!", ADDRESS(INDEX($X$2:$X$1001,MATCH(ROWS($V$2:V864),$V$2:$V$1001,0),0), INDEX($AC$1004:$AS$1004,1,MATCH(COLUMNS($AC$1006:AR1006),$AC$1006:$AS$1006,0)))),"Fix")))</f>
        <v>0</v>
      </c>
      <c r="R864" s="5">
        <f>IF(OR(INDEX($W$2:$W$1001,MATCH(ROWS($V$2:V864),$V$2:$V$1001,0),1)&gt;=100000,INDEX($AC$1005:$AS$1005,1,MATCH(COLUMNS($AC$1006:AS1006),$AC$1006:$AS$1006,0))&gt;=100000), " ",IF(INDEX($AC$2:$AS$1001,MATCH(ROWS($V$2:V864),$V$2:$V$1001,0),MATCH(COLUMNS($AC$1006:AS1006),$AC$1006:$AS$1006,0)), HYPERLINK("#",""), HYPERLINK(CONCATENATE("#Metadata!", ADDRESS(INDEX($X$2:$X$1001,MATCH(ROWS($V$2:V864),$V$2:$V$1001,0),0), INDEX($AC$1004:$AS$1004,1,MATCH(COLUMNS($AC$1006:AS1006),$AC$1006:$AS$1006,0)))),"Fix")))</f>
        <v>0</v>
      </c>
      <c r="V864">
        <v>0</v>
      </c>
      <c r="W864">
        <v>0</v>
      </c>
      <c r="X864">
        <v>0</v>
      </c>
      <c r="Y864">
        <f>IF(Z864,TRUE,AND(AC864:AS864))</f>
        <v>0</v>
      </c>
      <c r="Z864">
        <f>COUNTBLANK(Metadata!B864:R864)=COLUMNS(Metadata!B864:R864)</f>
        <v>0</v>
      </c>
      <c r="AA864">
        <v>0</v>
      </c>
      <c r="AC864">
        <f>AND(IF(Metadata!B864="",FALSE,TRUE),COUNTIF(Metadata!B:B, Metadata!B864) = 1,NOT(ISERROR(SUMPRODUCT(SEARCH(MID(Metadata!B864,ROW(INDIRECT("1:"&amp;LEN(Metadata!B864))), 1),"0123456789abcdefghijklmnopqrstuvwxyzABCDEFGHIJKLMNOPQRSTUVWXYZ.")))))</f>
        <v>0</v>
      </c>
      <c r="AD864">
        <f>AND(IF(Metadata!C864="",FALSE,TRUE),exact(Metadata!C864,"Host-associated"))</f>
        <v>0</v>
      </c>
      <c r="AE864">
        <f>AND(IF(Metadata!D864="",FALSE,TRUE),OR(exact(Metadata!D864,"Animal"),exact(Metadata!D864,"Fungus"),exact(Metadata!D864,"Plant")))</f>
        <v>0</v>
      </c>
      <c r="AF864">
        <f>AND(IF(Metadata!E864="",FALSE,TRUE),OR(exact(Metadata!E864,"Plant secretion"),exact(Metadata!E864,"Plant rhizosphere"),exact(Metadata!E864,"Plant surface"),exact(Metadata!E864,"Plant corpus"),exact(Metadata!E864,"Fungus surface"),exact(Metadata!E864,"Fungus corpus"),exact(Metadata!E864,"Animal surface"),exact(Metadata!E864,"Animal proximal gut"),exact(Metadata!E864,"Animal corpus"),exact(Metadata!E864,"Animal distal gut"),exact(Metadata!E864,"Animal secretion")))</f>
        <v>0</v>
      </c>
      <c r="AG864">
        <f>OR(AND(IF(Metadata!F864="",FALSE,TRUE),OR(exact(Metadata!F864,"not collected"),exact(Metadata!F864,"not provided"),exact(Metadata!F864,"restricted access"))),AND(IF(Metadata!F864="",FALSE,TRUE),OR(exact(Metadata!F864,"organism-associated habitat"),exact(Metadata!F864,"plant-associated habitat"),exact(Metadata!F864,"animal-associated habitat"),exact(Metadata!F864,"insecta-associated habitat"),exact(Metadata!F864,"mammalia-associated habitat"),exact(Metadata!F864,"human-associated habitat"),exact(Metadata!F864,"livestock-associated habitat"))))</f>
        <v>0</v>
      </c>
      <c r="AH864">
        <f>AND(IF(Metadata!G864="",FALSE,TRUE),exact(Metadata!G864,"host-associated"))</f>
        <v>0</v>
      </c>
      <c r="AI864">
        <f>OR(AND(IF(Metadata!H864="",FALSE,TRUE),OR(exact(Metadata!H864,"not collected"),exact(Metadata!H864,"not provided"))),AND(IF(Metadata!H864="",FALSE,ISNUMBER(VALUE(Metadata!H864))),Metadata!H864&gt;0))</f>
        <v>0</v>
      </c>
      <c r="AJ864">
        <f>AND(IF(Metadata!I864="",FALSE,TRUE),exact(Metadata!I864,"years"))</f>
        <v>0</v>
      </c>
      <c r="AK864">
        <f>IF(Metadata!J864="",FALSE,TRUE)</f>
        <v>0</v>
      </c>
      <c r="AL864">
        <f>OR(AND(IF(Metadata!K864="",FALSE,TRUE),OR(exact(Metadata!K864,"not collected"),exact(Metadata!K864,"not provided"))),AND(IF(Metadata!K864="",FALSE,ISNUMBER(VALUE(Metadata!K864))),Metadata!K864&gt;0))</f>
        <v>0</v>
      </c>
      <c r="AM864">
        <f>AND(IF(Metadata!L864="",FALSE,TRUE),exact(Metadata!L864,"cm"))</f>
        <v>0</v>
      </c>
      <c r="AN864">
        <f>IF(Metadata!M864="",FALSE,TRUE)</f>
        <v>0</v>
      </c>
      <c r="AO864">
        <f>OR(AND(IF(Metadata!N864="",FALSE,TRUE),OR(exact(Metadata!N864,"not applicable"),exact(Metadata!N864,"not collected"),exact(Metadata!N864,"not provided"))),AND(IF(Metadata!N864="",FALSE,IF(ISERROR(INT(Metadata!N864)),FALSE,INT(Metadata!N864)=Metadata!N864)),Metadata!N864&gt;0))</f>
        <v>0</v>
      </c>
      <c r="AP864">
        <f>OR(AND(IF(Metadata!O864="",FALSE,TRUE),OR(exact(Metadata!O864,"not collected"),exact(Metadata!O864,"not provided"))),AND(IF(Metadata!O864="",FALSE,ISNUMBER(VALUE(Metadata!O864))),Metadata!O864&gt;0))</f>
        <v>0</v>
      </c>
      <c r="AQ864">
        <f>AND(IF(Metadata!P864="",FALSE,TRUE),exact(Metadata!P864,"kg"))</f>
        <v>0</v>
      </c>
      <c r="AR864">
        <f>OR(AND(IF(Metadata!Q864="",FALSE,TRUE),OR(exact(Metadata!Q864,"not applicable"),exact(Metadata!Q864,"not collected"),exact(Metadata!Q864,"not provided"),exact(Metadata!Q864,"restricted access"))),IF(Metadata!Q864="",FALSE,IF(ISERROR(INT(Metadata!Q864)),FALSE,INT(Metadata!Q864)=Metadata!Q864)))</f>
        <v>0</v>
      </c>
      <c r="AS864">
        <f>AND(IF(Metadata!R864="",FALSE,TRUE),exact(Metadata!R864,"Not applicable"))</f>
        <v>0</v>
      </c>
    </row>
    <row r="865" spans="1:45">
      <c r="A865" s="4">
        <f>IF(B865=" "," ",HYPERLINK(CONCATENATE("#metadata!",ADDRESS(INDEX($X$2:$X$1001,MATCH(ROWS($V$2:V865),$V$2:$V$1001,0),0),2)),INDEX($AA$2:$AA$1001,MATCH(ROWS($V$2:V865),$V$2:$V$1001,0),0)))</f>
        <v>0</v>
      </c>
      <c r="B865" s="5">
        <f>IF(OR(INDEX($W$2:$W$1001,MATCH(ROWS($V$2:V865),$V$2:$V$1001,0),1)&gt;=100000,INDEX($AC$1005:$AS$1005,1,MATCH(COLUMNS($AC$1006:AC1006),$AC$1006:$AS$1006,0))&gt;=100000), " ",IF(INDEX($AC$2:$AS$1001,MATCH(ROWS($V$2:V865),$V$2:$V$1001,0),MATCH(COLUMNS($AC$1006:AC1006),$AC$1006:$AS$1006,0)), HYPERLINK("#",""), HYPERLINK(CONCATENATE("#Metadata!", ADDRESS(INDEX($X$2:$X$1001,MATCH(ROWS($V$2:V865),$V$2:$V$1001,0),0), INDEX($AC$1004:$AS$1004,1,MATCH(COLUMNS($AC$1006:AC1006),$AC$1006:$AS$1006,0)))),"Fix")))</f>
        <v>0</v>
      </c>
      <c r="C865" s="5">
        <f>IF(OR(INDEX($W$2:$W$1001,MATCH(ROWS($V$2:V865),$V$2:$V$1001,0),1)&gt;=100000,INDEX($AC$1005:$AS$1005,1,MATCH(COLUMNS($AC$1006:AD1006),$AC$1006:$AS$1006,0))&gt;=100000), " ",IF(INDEX($AC$2:$AS$1001,MATCH(ROWS($V$2:V865),$V$2:$V$1001,0),MATCH(COLUMNS($AC$1006:AD1006),$AC$1006:$AS$1006,0)), HYPERLINK("#",""), HYPERLINK(CONCATENATE("#Metadata!", ADDRESS(INDEX($X$2:$X$1001,MATCH(ROWS($V$2:V865),$V$2:$V$1001,0),0), INDEX($AC$1004:$AS$1004,1,MATCH(COLUMNS($AC$1006:AD1006),$AC$1006:$AS$1006,0)))),"Fix")))</f>
        <v>0</v>
      </c>
      <c r="D865" s="5">
        <f>IF(OR(INDEX($W$2:$W$1001,MATCH(ROWS($V$2:V865),$V$2:$V$1001,0),1)&gt;=100000,INDEX($AC$1005:$AS$1005,1,MATCH(COLUMNS($AC$1006:AE1006),$AC$1006:$AS$1006,0))&gt;=100000), " ",IF(INDEX($AC$2:$AS$1001,MATCH(ROWS($V$2:V865),$V$2:$V$1001,0),MATCH(COLUMNS($AC$1006:AE1006),$AC$1006:$AS$1006,0)), HYPERLINK("#",""), HYPERLINK(CONCATENATE("#Metadata!", ADDRESS(INDEX($X$2:$X$1001,MATCH(ROWS($V$2:V865),$V$2:$V$1001,0),0), INDEX($AC$1004:$AS$1004,1,MATCH(COLUMNS($AC$1006:AE1006),$AC$1006:$AS$1006,0)))),"Fix")))</f>
        <v>0</v>
      </c>
      <c r="E865" s="5">
        <f>IF(OR(INDEX($W$2:$W$1001,MATCH(ROWS($V$2:V865),$V$2:$V$1001,0),1)&gt;=100000,INDEX($AC$1005:$AS$1005,1,MATCH(COLUMNS($AC$1006:AF1006),$AC$1006:$AS$1006,0))&gt;=100000), " ",IF(INDEX($AC$2:$AS$1001,MATCH(ROWS($V$2:V865),$V$2:$V$1001,0),MATCH(COLUMNS($AC$1006:AF1006),$AC$1006:$AS$1006,0)), HYPERLINK("#",""), HYPERLINK(CONCATENATE("#Metadata!", ADDRESS(INDEX($X$2:$X$1001,MATCH(ROWS($V$2:V865),$V$2:$V$1001,0),0), INDEX($AC$1004:$AS$1004,1,MATCH(COLUMNS($AC$1006:AF1006),$AC$1006:$AS$1006,0)))),"Fix")))</f>
        <v>0</v>
      </c>
      <c r="F865" s="5">
        <f>IF(OR(INDEX($W$2:$W$1001,MATCH(ROWS($V$2:V865),$V$2:$V$1001,0),1)&gt;=100000,INDEX($AC$1005:$AS$1005,1,MATCH(COLUMNS($AC$1006:AG1006),$AC$1006:$AS$1006,0))&gt;=100000), " ",IF(INDEX($AC$2:$AS$1001,MATCH(ROWS($V$2:V865),$V$2:$V$1001,0),MATCH(COLUMNS($AC$1006:AG1006),$AC$1006:$AS$1006,0)), HYPERLINK("#",""), HYPERLINK(CONCATENATE("#Metadata!", ADDRESS(INDEX($X$2:$X$1001,MATCH(ROWS($V$2:V865),$V$2:$V$1001,0),0), INDEX($AC$1004:$AS$1004,1,MATCH(COLUMNS($AC$1006:AG1006),$AC$1006:$AS$1006,0)))),"Fix")))</f>
        <v>0</v>
      </c>
      <c r="G865" s="5">
        <f>IF(OR(INDEX($W$2:$W$1001,MATCH(ROWS($V$2:V865),$V$2:$V$1001,0),1)&gt;=100000,INDEX($AC$1005:$AS$1005,1,MATCH(COLUMNS($AC$1006:AH1006),$AC$1006:$AS$1006,0))&gt;=100000), " ",IF(INDEX($AC$2:$AS$1001,MATCH(ROWS($V$2:V865),$V$2:$V$1001,0),MATCH(COLUMNS($AC$1006:AH1006),$AC$1006:$AS$1006,0)), HYPERLINK("#",""), HYPERLINK(CONCATENATE("#Metadata!", ADDRESS(INDEX($X$2:$X$1001,MATCH(ROWS($V$2:V865),$V$2:$V$1001,0),0), INDEX($AC$1004:$AS$1004,1,MATCH(COLUMNS($AC$1006:AH1006),$AC$1006:$AS$1006,0)))),"Fix")))</f>
        <v>0</v>
      </c>
      <c r="H865" s="5">
        <f>IF(OR(INDEX($W$2:$W$1001,MATCH(ROWS($V$2:V865),$V$2:$V$1001,0),1)&gt;=100000,INDEX($AC$1005:$AS$1005,1,MATCH(COLUMNS($AC$1006:AI1006),$AC$1006:$AS$1006,0))&gt;=100000), " ",IF(INDEX($AC$2:$AS$1001,MATCH(ROWS($V$2:V865),$V$2:$V$1001,0),MATCH(COLUMNS($AC$1006:AI1006),$AC$1006:$AS$1006,0)), HYPERLINK("#",""), HYPERLINK(CONCATENATE("#Metadata!", ADDRESS(INDEX($X$2:$X$1001,MATCH(ROWS($V$2:V865),$V$2:$V$1001,0),0), INDEX($AC$1004:$AS$1004,1,MATCH(COLUMNS($AC$1006:AI1006),$AC$1006:$AS$1006,0)))),"Fix")))</f>
        <v>0</v>
      </c>
      <c r="I865" s="5">
        <f>IF(OR(INDEX($W$2:$W$1001,MATCH(ROWS($V$2:V865),$V$2:$V$1001,0),1)&gt;=100000,INDEX($AC$1005:$AS$1005,1,MATCH(COLUMNS($AC$1006:AJ1006),$AC$1006:$AS$1006,0))&gt;=100000), " ",IF(INDEX($AC$2:$AS$1001,MATCH(ROWS($V$2:V865),$V$2:$V$1001,0),MATCH(COLUMNS($AC$1006:AJ1006),$AC$1006:$AS$1006,0)), HYPERLINK("#",""), HYPERLINK(CONCATENATE("#Metadata!", ADDRESS(INDEX($X$2:$X$1001,MATCH(ROWS($V$2:V865),$V$2:$V$1001,0),0), INDEX($AC$1004:$AS$1004,1,MATCH(COLUMNS($AC$1006:AJ1006),$AC$1006:$AS$1006,0)))),"Fix")))</f>
        <v>0</v>
      </c>
      <c r="J865" s="5">
        <f>IF(OR(INDEX($W$2:$W$1001,MATCH(ROWS($V$2:V865),$V$2:$V$1001,0),1)&gt;=100000,INDEX($AC$1005:$AS$1005,1,MATCH(COLUMNS($AC$1006:AK1006),$AC$1006:$AS$1006,0))&gt;=100000), " ",IF(INDEX($AC$2:$AS$1001,MATCH(ROWS($V$2:V865),$V$2:$V$1001,0),MATCH(COLUMNS($AC$1006:AK1006),$AC$1006:$AS$1006,0)), HYPERLINK("#",""), HYPERLINK(CONCATENATE("#Metadata!", ADDRESS(INDEX($X$2:$X$1001,MATCH(ROWS($V$2:V865),$V$2:$V$1001,0),0), INDEX($AC$1004:$AS$1004,1,MATCH(COLUMNS($AC$1006:AK1006),$AC$1006:$AS$1006,0)))),"Fix")))</f>
        <v>0</v>
      </c>
      <c r="K865" s="5">
        <f>IF(OR(INDEX($W$2:$W$1001,MATCH(ROWS($V$2:V865),$V$2:$V$1001,0),1)&gt;=100000,INDEX($AC$1005:$AS$1005,1,MATCH(COLUMNS($AC$1006:AL1006),$AC$1006:$AS$1006,0))&gt;=100000), " ",IF(INDEX($AC$2:$AS$1001,MATCH(ROWS($V$2:V865),$V$2:$V$1001,0),MATCH(COLUMNS($AC$1006:AL1006),$AC$1006:$AS$1006,0)), HYPERLINK("#",""), HYPERLINK(CONCATENATE("#Metadata!", ADDRESS(INDEX($X$2:$X$1001,MATCH(ROWS($V$2:V865),$V$2:$V$1001,0),0), INDEX($AC$1004:$AS$1004,1,MATCH(COLUMNS($AC$1006:AL1006),$AC$1006:$AS$1006,0)))),"Fix")))</f>
        <v>0</v>
      </c>
      <c r="L865" s="5">
        <f>IF(OR(INDEX($W$2:$W$1001,MATCH(ROWS($V$2:V865),$V$2:$V$1001,0),1)&gt;=100000,INDEX($AC$1005:$AS$1005,1,MATCH(COLUMNS($AC$1006:AM1006),$AC$1006:$AS$1006,0))&gt;=100000), " ",IF(INDEX($AC$2:$AS$1001,MATCH(ROWS($V$2:V865),$V$2:$V$1001,0),MATCH(COLUMNS($AC$1006:AM1006),$AC$1006:$AS$1006,0)), HYPERLINK("#",""), HYPERLINK(CONCATENATE("#Metadata!", ADDRESS(INDEX($X$2:$X$1001,MATCH(ROWS($V$2:V865),$V$2:$V$1001,0),0), INDEX($AC$1004:$AS$1004,1,MATCH(COLUMNS($AC$1006:AM1006),$AC$1006:$AS$1006,0)))),"Fix")))</f>
        <v>0</v>
      </c>
      <c r="M865" s="5">
        <f>IF(OR(INDEX($W$2:$W$1001,MATCH(ROWS($V$2:V865),$V$2:$V$1001,0),1)&gt;=100000,INDEX($AC$1005:$AS$1005,1,MATCH(COLUMNS($AC$1006:AN1006),$AC$1006:$AS$1006,0))&gt;=100000), " ",IF(INDEX($AC$2:$AS$1001,MATCH(ROWS($V$2:V865),$V$2:$V$1001,0),MATCH(COLUMNS($AC$1006:AN1006),$AC$1006:$AS$1006,0)), HYPERLINK("#",""), HYPERLINK(CONCATENATE("#Metadata!", ADDRESS(INDEX($X$2:$X$1001,MATCH(ROWS($V$2:V865),$V$2:$V$1001,0),0), INDEX($AC$1004:$AS$1004,1,MATCH(COLUMNS($AC$1006:AN1006),$AC$1006:$AS$1006,0)))),"Fix")))</f>
        <v>0</v>
      </c>
      <c r="N865" s="5">
        <f>IF(OR(INDEX($W$2:$W$1001,MATCH(ROWS($V$2:V865),$V$2:$V$1001,0),1)&gt;=100000,INDEX($AC$1005:$AS$1005,1,MATCH(COLUMNS($AC$1006:AO1006),$AC$1006:$AS$1006,0))&gt;=100000), " ",IF(INDEX($AC$2:$AS$1001,MATCH(ROWS($V$2:V865),$V$2:$V$1001,0),MATCH(COLUMNS($AC$1006:AO1006),$AC$1006:$AS$1006,0)), HYPERLINK("#",""), HYPERLINK(CONCATENATE("#Metadata!", ADDRESS(INDEX($X$2:$X$1001,MATCH(ROWS($V$2:V865),$V$2:$V$1001,0),0), INDEX($AC$1004:$AS$1004,1,MATCH(COLUMNS($AC$1006:AO1006),$AC$1006:$AS$1006,0)))),"Fix")))</f>
        <v>0</v>
      </c>
      <c r="O865" s="5">
        <f>IF(OR(INDEX($W$2:$W$1001,MATCH(ROWS($V$2:V865),$V$2:$V$1001,0),1)&gt;=100000,INDEX($AC$1005:$AS$1005,1,MATCH(COLUMNS($AC$1006:AP1006),$AC$1006:$AS$1006,0))&gt;=100000), " ",IF(INDEX($AC$2:$AS$1001,MATCH(ROWS($V$2:V865),$V$2:$V$1001,0),MATCH(COLUMNS($AC$1006:AP1006),$AC$1006:$AS$1006,0)), HYPERLINK("#",""), HYPERLINK(CONCATENATE("#Metadata!", ADDRESS(INDEX($X$2:$X$1001,MATCH(ROWS($V$2:V865),$V$2:$V$1001,0),0), INDEX($AC$1004:$AS$1004,1,MATCH(COLUMNS($AC$1006:AP1006),$AC$1006:$AS$1006,0)))),"Fix")))</f>
        <v>0</v>
      </c>
      <c r="P865" s="5">
        <f>IF(OR(INDEX($W$2:$W$1001,MATCH(ROWS($V$2:V865),$V$2:$V$1001,0),1)&gt;=100000,INDEX($AC$1005:$AS$1005,1,MATCH(COLUMNS($AC$1006:AQ1006),$AC$1006:$AS$1006,0))&gt;=100000), " ",IF(INDEX($AC$2:$AS$1001,MATCH(ROWS($V$2:V865),$V$2:$V$1001,0),MATCH(COLUMNS($AC$1006:AQ1006),$AC$1006:$AS$1006,0)), HYPERLINK("#",""), HYPERLINK(CONCATENATE("#Metadata!", ADDRESS(INDEX($X$2:$X$1001,MATCH(ROWS($V$2:V865),$V$2:$V$1001,0),0), INDEX($AC$1004:$AS$1004,1,MATCH(COLUMNS($AC$1006:AQ1006),$AC$1006:$AS$1006,0)))),"Fix")))</f>
        <v>0</v>
      </c>
      <c r="Q865" s="5">
        <f>IF(OR(INDEX($W$2:$W$1001,MATCH(ROWS($V$2:V865),$V$2:$V$1001,0),1)&gt;=100000,INDEX($AC$1005:$AS$1005,1,MATCH(COLUMNS($AC$1006:AR1006),$AC$1006:$AS$1006,0))&gt;=100000), " ",IF(INDEX($AC$2:$AS$1001,MATCH(ROWS($V$2:V865),$V$2:$V$1001,0),MATCH(COLUMNS($AC$1006:AR1006),$AC$1006:$AS$1006,0)), HYPERLINK("#",""), HYPERLINK(CONCATENATE("#Metadata!", ADDRESS(INDEX($X$2:$X$1001,MATCH(ROWS($V$2:V865),$V$2:$V$1001,0),0), INDEX($AC$1004:$AS$1004,1,MATCH(COLUMNS($AC$1006:AR1006),$AC$1006:$AS$1006,0)))),"Fix")))</f>
        <v>0</v>
      </c>
      <c r="R865" s="5">
        <f>IF(OR(INDEX($W$2:$W$1001,MATCH(ROWS($V$2:V865),$V$2:$V$1001,0),1)&gt;=100000,INDEX($AC$1005:$AS$1005,1,MATCH(COLUMNS($AC$1006:AS1006),$AC$1006:$AS$1006,0))&gt;=100000), " ",IF(INDEX($AC$2:$AS$1001,MATCH(ROWS($V$2:V865),$V$2:$V$1001,0),MATCH(COLUMNS($AC$1006:AS1006),$AC$1006:$AS$1006,0)), HYPERLINK("#",""), HYPERLINK(CONCATENATE("#Metadata!", ADDRESS(INDEX($X$2:$X$1001,MATCH(ROWS($V$2:V865),$V$2:$V$1001,0),0), INDEX($AC$1004:$AS$1004,1,MATCH(COLUMNS($AC$1006:AS1006),$AC$1006:$AS$1006,0)))),"Fix")))</f>
        <v>0</v>
      </c>
      <c r="V865">
        <v>0</v>
      </c>
      <c r="W865">
        <v>0</v>
      </c>
      <c r="X865">
        <v>0</v>
      </c>
      <c r="Y865">
        <f>IF(Z865,TRUE,AND(AC865:AS865))</f>
        <v>0</v>
      </c>
      <c r="Z865">
        <f>COUNTBLANK(Metadata!B865:R865)=COLUMNS(Metadata!B865:R865)</f>
        <v>0</v>
      </c>
      <c r="AA865">
        <v>0</v>
      </c>
      <c r="AC865">
        <f>AND(IF(Metadata!B865="",FALSE,TRUE),COUNTIF(Metadata!B:B, Metadata!B865) = 1,NOT(ISERROR(SUMPRODUCT(SEARCH(MID(Metadata!B865,ROW(INDIRECT("1:"&amp;LEN(Metadata!B865))), 1),"0123456789abcdefghijklmnopqrstuvwxyzABCDEFGHIJKLMNOPQRSTUVWXYZ.")))))</f>
        <v>0</v>
      </c>
      <c r="AD865">
        <f>AND(IF(Metadata!C865="",FALSE,TRUE),exact(Metadata!C865,"Host-associated"))</f>
        <v>0</v>
      </c>
      <c r="AE865">
        <f>AND(IF(Metadata!D865="",FALSE,TRUE),OR(exact(Metadata!D865,"Animal"),exact(Metadata!D865,"Fungus"),exact(Metadata!D865,"Plant")))</f>
        <v>0</v>
      </c>
      <c r="AF865">
        <f>AND(IF(Metadata!E865="",FALSE,TRUE),OR(exact(Metadata!E865,"Plant secretion"),exact(Metadata!E865,"Plant rhizosphere"),exact(Metadata!E865,"Plant surface"),exact(Metadata!E865,"Plant corpus"),exact(Metadata!E865,"Fungus surface"),exact(Metadata!E865,"Fungus corpus"),exact(Metadata!E865,"Animal surface"),exact(Metadata!E865,"Animal proximal gut"),exact(Metadata!E865,"Animal corpus"),exact(Metadata!E865,"Animal distal gut"),exact(Metadata!E865,"Animal secretion")))</f>
        <v>0</v>
      </c>
      <c r="AG865">
        <f>OR(AND(IF(Metadata!F865="",FALSE,TRUE),OR(exact(Metadata!F865,"not collected"),exact(Metadata!F865,"not provided"),exact(Metadata!F865,"restricted access"))),AND(IF(Metadata!F865="",FALSE,TRUE),OR(exact(Metadata!F865,"organism-associated habitat"),exact(Metadata!F865,"plant-associated habitat"),exact(Metadata!F865,"animal-associated habitat"),exact(Metadata!F865,"insecta-associated habitat"),exact(Metadata!F865,"mammalia-associated habitat"),exact(Metadata!F865,"human-associated habitat"),exact(Metadata!F865,"livestock-associated habitat"))))</f>
        <v>0</v>
      </c>
      <c r="AH865">
        <f>AND(IF(Metadata!G865="",FALSE,TRUE),exact(Metadata!G865,"host-associated"))</f>
        <v>0</v>
      </c>
      <c r="AI865">
        <f>OR(AND(IF(Metadata!H865="",FALSE,TRUE),OR(exact(Metadata!H865,"not collected"),exact(Metadata!H865,"not provided"))),AND(IF(Metadata!H865="",FALSE,ISNUMBER(VALUE(Metadata!H865))),Metadata!H865&gt;0))</f>
        <v>0</v>
      </c>
      <c r="AJ865">
        <f>AND(IF(Metadata!I865="",FALSE,TRUE),exact(Metadata!I865,"years"))</f>
        <v>0</v>
      </c>
      <c r="AK865">
        <f>IF(Metadata!J865="",FALSE,TRUE)</f>
        <v>0</v>
      </c>
      <c r="AL865">
        <f>OR(AND(IF(Metadata!K865="",FALSE,TRUE),OR(exact(Metadata!K865,"not collected"),exact(Metadata!K865,"not provided"))),AND(IF(Metadata!K865="",FALSE,ISNUMBER(VALUE(Metadata!K865))),Metadata!K865&gt;0))</f>
        <v>0</v>
      </c>
      <c r="AM865">
        <f>AND(IF(Metadata!L865="",FALSE,TRUE),exact(Metadata!L865,"cm"))</f>
        <v>0</v>
      </c>
      <c r="AN865">
        <f>IF(Metadata!M865="",FALSE,TRUE)</f>
        <v>0</v>
      </c>
      <c r="AO865">
        <f>OR(AND(IF(Metadata!N865="",FALSE,TRUE),OR(exact(Metadata!N865,"not applicable"),exact(Metadata!N865,"not collected"),exact(Metadata!N865,"not provided"))),AND(IF(Metadata!N865="",FALSE,IF(ISERROR(INT(Metadata!N865)),FALSE,INT(Metadata!N865)=Metadata!N865)),Metadata!N865&gt;0))</f>
        <v>0</v>
      </c>
      <c r="AP865">
        <f>OR(AND(IF(Metadata!O865="",FALSE,TRUE),OR(exact(Metadata!O865,"not collected"),exact(Metadata!O865,"not provided"))),AND(IF(Metadata!O865="",FALSE,ISNUMBER(VALUE(Metadata!O865))),Metadata!O865&gt;0))</f>
        <v>0</v>
      </c>
      <c r="AQ865">
        <f>AND(IF(Metadata!P865="",FALSE,TRUE),exact(Metadata!P865,"kg"))</f>
        <v>0</v>
      </c>
      <c r="AR865">
        <f>OR(AND(IF(Metadata!Q865="",FALSE,TRUE),OR(exact(Metadata!Q865,"not applicable"),exact(Metadata!Q865,"not collected"),exact(Metadata!Q865,"not provided"),exact(Metadata!Q865,"restricted access"))),IF(Metadata!Q865="",FALSE,IF(ISERROR(INT(Metadata!Q865)),FALSE,INT(Metadata!Q865)=Metadata!Q865)))</f>
        <v>0</v>
      </c>
      <c r="AS865">
        <f>AND(IF(Metadata!R865="",FALSE,TRUE),exact(Metadata!R865,"Not applicable"))</f>
        <v>0</v>
      </c>
    </row>
    <row r="866" spans="1:45">
      <c r="A866" s="4">
        <f>IF(B866=" "," ",HYPERLINK(CONCATENATE("#metadata!",ADDRESS(INDEX($X$2:$X$1001,MATCH(ROWS($V$2:V866),$V$2:$V$1001,0),0),2)),INDEX($AA$2:$AA$1001,MATCH(ROWS($V$2:V866),$V$2:$V$1001,0),0)))</f>
        <v>0</v>
      </c>
      <c r="B866" s="5">
        <f>IF(OR(INDEX($W$2:$W$1001,MATCH(ROWS($V$2:V866),$V$2:$V$1001,0),1)&gt;=100000,INDEX($AC$1005:$AS$1005,1,MATCH(COLUMNS($AC$1006:AC1006),$AC$1006:$AS$1006,0))&gt;=100000), " ",IF(INDEX($AC$2:$AS$1001,MATCH(ROWS($V$2:V866),$V$2:$V$1001,0),MATCH(COLUMNS($AC$1006:AC1006),$AC$1006:$AS$1006,0)), HYPERLINK("#",""), HYPERLINK(CONCATENATE("#Metadata!", ADDRESS(INDEX($X$2:$X$1001,MATCH(ROWS($V$2:V866),$V$2:$V$1001,0),0), INDEX($AC$1004:$AS$1004,1,MATCH(COLUMNS($AC$1006:AC1006),$AC$1006:$AS$1006,0)))),"Fix")))</f>
        <v>0</v>
      </c>
      <c r="C866" s="5">
        <f>IF(OR(INDEX($W$2:$W$1001,MATCH(ROWS($V$2:V866),$V$2:$V$1001,0),1)&gt;=100000,INDEX($AC$1005:$AS$1005,1,MATCH(COLUMNS($AC$1006:AD1006),$AC$1006:$AS$1006,0))&gt;=100000), " ",IF(INDEX($AC$2:$AS$1001,MATCH(ROWS($V$2:V866),$V$2:$V$1001,0),MATCH(COLUMNS($AC$1006:AD1006),$AC$1006:$AS$1006,0)), HYPERLINK("#",""), HYPERLINK(CONCATENATE("#Metadata!", ADDRESS(INDEX($X$2:$X$1001,MATCH(ROWS($V$2:V866),$V$2:$V$1001,0),0), INDEX($AC$1004:$AS$1004,1,MATCH(COLUMNS($AC$1006:AD1006),$AC$1006:$AS$1006,0)))),"Fix")))</f>
        <v>0</v>
      </c>
      <c r="D866" s="5">
        <f>IF(OR(INDEX($W$2:$W$1001,MATCH(ROWS($V$2:V866),$V$2:$V$1001,0),1)&gt;=100000,INDEX($AC$1005:$AS$1005,1,MATCH(COLUMNS($AC$1006:AE1006),$AC$1006:$AS$1006,0))&gt;=100000), " ",IF(INDEX($AC$2:$AS$1001,MATCH(ROWS($V$2:V866),$V$2:$V$1001,0),MATCH(COLUMNS($AC$1006:AE1006),$AC$1006:$AS$1006,0)), HYPERLINK("#",""), HYPERLINK(CONCATENATE("#Metadata!", ADDRESS(INDEX($X$2:$X$1001,MATCH(ROWS($V$2:V866),$V$2:$V$1001,0),0), INDEX($AC$1004:$AS$1004,1,MATCH(COLUMNS($AC$1006:AE1006),$AC$1006:$AS$1006,0)))),"Fix")))</f>
        <v>0</v>
      </c>
      <c r="E866" s="5">
        <f>IF(OR(INDEX($W$2:$W$1001,MATCH(ROWS($V$2:V866),$V$2:$V$1001,0),1)&gt;=100000,INDEX($AC$1005:$AS$1005,1,MATCH(COLUMNS($AC$1006:AF1006),$AC$1006:$AS$1006,0))&gt;=100000), " ",IF(INDEX($AC$2:$AS$1001,MATCH(ROWS($V$2:V866),$V$2:$V$1001,0),MATCH(COLUMNS($AC$1006:AF1006),$AC$1006:$AS$1006,0)), HYPERLINK("#",""), HYPERLINK(CONCATENATE("#Metadata!", ADDRESS(INDEX($X$2:$X$1001,MATCH(ROWS($V$2:V866),$V$2:$V$1001,0),0), INDEX($AC$1004:$AS$1004,1,MATCH(COLUMNS($AC$1006:AF1006),$AC$1006:$AS$1006,0)))),"Fix")))</f>
        <v>0</v>
      </c>
      <c r="F866" s="5">
        <f>IF(OR(INDEX($W$2:$W$1001,MATCH(ROWS($V$2:V866),$V$2:$V$1001,0),1)&gt;=100000,INDEX($AC$1005:$AS$1005,1,MATCH(COLUMNS($AC$1006:AG1006),$AC$1006:$AS$1006,0))&gt;=100000), " ",IF(INDEX($AC$2:$AS$1001,MATCH(ROWS($V$2:V866),$V$2:$V$1001,0),MATCH(COLUMNS($AC$1006:AG1006),$AC$1006:$AS$1006,0)), HYPERLINK("#",""), HYPERLINK(CONCATENATE("#Metadata!", ADDRESS(INDEX($X$2:$X$1001,MATCH(ROWS($V$2:V866),$V$2:$V$1001,0),0), INDEX($AC$1004:$AS$1004,1,MATCH(COLUMNS($AC$1006:AG1006),$AC$1006:$AS$1006,0)))),"Fix")))</f>
        <v>0</v>
      </c>
      <c r="G866" s="5">
        <f>IF(OR(INDEX($W$2:$W$1001,MATCH(ROWS($V$2:V866),$V$2:$V$1001,0),1)&gt;=100000,INDEX($AC$1005:$AS$1005,1,MATCH(COLUMNS($AC$1006:AH1006),$AC$1006:$AS$1006,0))&gt;=100000), " ",IF(INDEX($AC$2:$AS$1001,MATCH(ROWS($V$2:V866),$V$2:$V$1001,0),MATCH(COLUMNS($AC$1006:AH1006),$AC$1006:$AS$1006,0)), HYPERLINK("#",""), HYPERLINK(CONCATENATE("#Metadata!", ADDRESS(INDEX($X$2:$X$1001,MATCH(ROWS($V$2:V866),$V$2:$V$1001,0),0), INDEX($AC$1004:$AS$1004,1,MATCH(COLUMNS($AC$1006:AH1006),$AC$1006:$AS$1006,0)))),"Fix")))</f>
        <v>0</v>
      </c>
      <c r="H866" s="5">
        <f>IF(OR(INDEX($W$2:$W$1001,MATCH(ROWS($V$2:V866),$V$2:$V$1001,0),1)&gt;=100000,INDEX($AC$1005:$AS$1005,1,MATCH(COLUMNS($AC$1006:AI1006),$AC$1006:$AS$1006,0))&gt;=100000), " ",IF(INDEX($AC$2:$AS$1001,MATCH(ROWS($V$2:V866),$V$2:$V$1001,0),MATCH(COLUMNS($AC$1006:AI1006),$AC$1006:$AS$1006,0)), HYPERLINK("#",""), HYPERLINK(CONCATENATE("#Metadata!", ADDRESS(INDEX($X$2:$X$1001,MATCH(ROWS($V$2:V866),$V$2:$V$1001,0),0), INDEX($AC$1004:$AS$1004,1,MATCH(COLUMNS($AC$1006:AI1006),$AC$1006:$AS$1006,0)))),"Fix")))</f>
        <v>0</v>
      </c>
      <c r="I866" s="5">
        <f>IF(OR(INDEX($W$2:$W$1001,MATCH(ROWS($V$2:V866),$V$2:$V$1001,0),1)&gt;=100000,INDEX($AC$1005:$AS$1005,1,MATCH(COLUMNS($AC$1006:AJ1006),$AC$1006:$AS$1006,0))&gt;=100000), " ",IF(INDEX($AC$2:$AS$1001,MATCH(ROWS($V$2:V866),$V$2:$V$1001,0),MATCH(COLUMNS($AC$1006:AJ1006),$AC$1006:$AS$1006,0)), HYPERLINK("#",""), HYPERLINK(CONCATENATE("#Metadata!", ADDRESS(INDEX($X$2:$X$1001,MATCH(ROWS($V$2:V866),$V$2:$V$1001,0),0), INDEX($AC$1004:$AS$1004,1,MATCH(COLUMNS($AC$1006:AJ1006),$AC$1006:$AS$1006,0)))),"Fix")))</f>
        <v>0</v>
      </c>
      <c r="J866" s="5">
        <f>IF(OR(INDEX($W$2:$W$1001,MATCH(ROWS($V$2:V866),$V$2:$V$1001,0),1)&gt;=100000,INDEX($AC$1005:$AS$1005,1,MATCH(COLUMNS($AC$1006:AK1006),$AC$1006:$AS$1006,0))&gt;=100000), " ",IF(INDEX($AC$2:$AS$1001,MATCH(ROWS($V$2:V866),$V$2:$V$1001,0),MATCH(COLUMNS($AC$1006:AK1006),$AC$1006:$AS$1006,0)), HYPERLINK("#",""), HYPERLINK(CONCATENATE("#Metadata!", ADDRESS(INDEX($X$2:$X$1001,MATCH(ROWS($V$2:V866),$V$2:$V$1001,0),0), INDEX($AC$1004:$AS$1004,1,MATCH(COLUMNS($AC$1006:AK1006),$AC$1006:$AS$1006,0)))),"Fix")))</f>
        <v>0</v>
      </c>
      <c r="K866" s="5">
        <f>IF(OR(INDEX($W$2:$W$1001,MATCH(ROWS($V$2:V866),$V$2:$V$1001,0),1)&gt;=100000,INDEX($AC$1005:$AS$1005,1,MATCH(COLUMNS($AC$1006:AL1006),$AC$1006:$AS$1006,0))&gt;=100000), " ",IF(INDEX($AC$2:$AS$1001,MATCH(ROWS($V$2:V866),$V$2:$V$1001,0),MATCH(COLUMNS($AC$1006:AL1006),$AC$1006:$AS$1006,0)), HYPERLINK("#",""), HYPERLINK(CONCATENATE("#Metadata!", ADDRESS(INDEX($X$2:$X$1001,MATCH(ROWS($V$2:V866),$V$2:$V$1001,0),0), INDEX($AC$1004:$AS$1004,1,MATCH(COLUMNS($AC$1006:AL1006),$AC$1006:$AS$1006,0)))),"Fix")))</f>
        <v>0</v>
      </c>
      <c r="L866" s="5">
        <f>IF(OR(INDEX($W$2:$W$1001,MATCH(ROWS($V$2:V866),$V$2:$V$1001,0),1)&gt;=100000,INDEX($AC$1005:$AS$1005,1,MATCH(COLUMNS($AC$1006:AM1006),$AC$1006:$AS$1006,0))&gt;=100000), " ",IF(INDEX($AC$2:$AS$1001,MATCH(ROWS($V$2:V866),$V$2:$V$1001,0),MATCH(COLUMNS($AC$1006:AM1006),$AC$1006:$AS$1006,0)), HYPERLINK("#",""), HYPERLINK(CONCATENATE("#Metadata!", ADDRESS(INDEX($X$2:$X$1001,MATCH(ROWS($V$2:V866),$V$2:$V$1001,0),0), INDEX($AC$1004:$AS$1004,1,MATCH(COLUMNS($AC$1006:AM1006),$AC$1006:$AS$1006,0)))),"Fix")))</f>
        <v>0</v>
      </c>
      <c r="M866" s="5">
        <f>IF(OR(INDEX($W$2:$W$1001,MATCH(ROWS($V$2:V866),$V$2:$V$1001,0),1)&gt;=100000,INDEX($AC$1005:$AS$1005,1,MATCH(COLUMNS($AC$1006:AN1006),$AC$1006:$AS$1006,0))&gt;=100000), " ",IF(INDEX($AC$2:$AS$1001,MATCH(ROWS($V$2:V866),$V$2:$V$1001,0),MATCH(COLUMNS($AC$1006:AN1006),$AC$1006:$AS$1006,0)), HYPERLINK("#",""), HYPERLINK(CONCATENATE("#Metadata!", ADDRESS(INDEX($X$2:$X$1001,MATCH(ROWS($V$2:V866),$V$2:$V$1001,0),0), INDEX($AC$1004:$AS$1004,1,MATCH(COLUMNS($AC$1006:AN1006),$AC$1006:$AS$1006,0)))),"Fix")))</f>
        <v>0</v>
      </c>
      <c r="N866" s="5">
        <f>IF(OR(INDEX($W$2:$W$1001,MATCH(ROWS($V$2:V866),$V$2:$V$1001,0),1)&gt;=100000,INDEX($AC$1005:$AS$1005,1,MATCH(COLUMNS($AC$1006:AO1006),$AC$1006:$AS$1006,0))&gt;=100000), " ",IF(INDEX($AC$2:$AS$1001,MATCH(ROWS($V$2:V866),$V$2:$V$1001,0),MATCH(COLUMNS($AC$1006:AO1006),$AC$1006:$AS$1006,0)), HYPERLINK("#",""), HYPERLINK(CONCATENATE("#Metadata!", ADDRESS(INDEX($X$2:$X$1001,MATCH(ROWS($V$2:V866),$V$2:$V$1001,0),0), INDEX($AC$1004:$AS$1004,1,MATCH(COLUMNS($AC$1006:AO1006),$AC$1006:$AS$1006,0)))),"Fix")))</f>
        <v>0</v>
      </c>
      <c r="O866" s="5">
        <f>IF(OR(INDEX($W$2:$W$1001,MATCH(ROWS($V$2:V866),$V$2:$V$1001,0),1)&gt;=100000,INDEX($AC$1005:$AS$1005,1,MATCH(COLUMNS($AC$1006:AP1006),$AC$1006:$AS$1006,0))&gt;=100000), " ",IF(INDEX($AC$2:$AS$1001,MATCH(ROWS($V$2:V866),$V$2:$V$1001,0),MATCH(COLUMNS($AC$1006:AP1006),$AC$1006:$AS$1006,0)), HYPERLINK("#",""), HYPERLINK(CONCATENATE("#Metadata!", ADDRESS(INDEX($X$2:$X$1001,MATCH(ROWS($V$2:V866),$V$2:$V$1001,0),0), INDEX($AC$1004:$AS$1004,1,MATCH(COLUMNS($AC$1006:AP1006),$AC$1006:$AS$1006,0)))),"Fix")))</f>
        <v>0</v>
      </c>
      <c r="P866" s="5">
        <f>IF(OR(INDEX($W$2:$W$1001,MATCH(ROWS($V$2:V866),$V$2:$V$1001,0),1)&gt;=100000,INDEX($AC$1005:$AS$1005,1,MATCH(COLUMNS($AC$1006:AQ1006),$AC$1006:$AS$1006,0))&gt;=100000), " ",IF(INDEX($AC$2:$AS$1001,MATCH(ROWS($V$2:V866),$V$2:$V$1001,0),MATCH(COLUMNS($AC$1006:AQ1006),$AC$1006:$AS$1006,0)), HYPERLINK("#",""), HYPERLINK(CONCATENATE("#Metadata!", ADDRESS(INDEX($X$2:$X$1001,MATCH(ROWS($V$2:V866),$V$2:$V$1001,0),0), INDEX($AC$1004:$AS$1004,1,MATCH(COLUMNS($AC$1006:AQ1006),$AC$1006:$AS$1006,0)))),"Fix")))</f>
        <v>0</v>
      </c>
      <c r="Q866" s="5">
        <f>IF(OR(INDEX($W$2:$W$1001,MATCH(ROWS($V$2:V866),$V$2:$V$1001,0),1)&gt;=100000,INDEX($AC$1005:$AS$1005,1,MATCH(COLUMNS($AC$1006:AR1006),$AC$1006:$AS$1006,0))&gt;=100000), " ",IF(INDEX($AC$2:$AS$1001,MATCH(ROWS($V$2:V866),$V$2:$V$1001,0),MATCH(COLUMNS($AC$1006:AR1006),$AC$1006:$AS$1006,0)), HYPERLINK("#",""), HYPERLINK(CONCATENATE("#Metadata!", ADDRESS(INDEX($X$2:$X$1001,MATCH(ROWS($V$2:V866),$V$2:$V$1001,0),0), INDEX($AC$1004:$AS$1004,1,MATCH(COLUMNS($AC$1006:AR1006),$AC$1006:$AS$1006,0)))),"Fix")))</f>
        <v>0</v>
      </c>
      <c r="R866" s="5">
        <f>IF(OR(INDEX($W$2:$W$1001,MATCH(ROWS($V$2:V866),$V$2:$V$1001,0),1)&gt;=100000,INDEX($AC$1005:$AS$1005,1,MATCH(COLUMNS($AC$1006:AS1006),$AC$1006:$AS$1006,0))&gt;=100000), " ",IF(INDEX($AC$2:$AS$1001,MATCH(ROWS($V$2:V866),$V$2:$V$1001,0),MATCH(COLUMNS($AC$1006:AS1006),$AC$1006:$AS$1006,0)), HYPERLINK("#",""), HYPERLINK(CONCATENATE("#Metadata!", ADDRESS(INDEX($X$2:$X$1001,MATCH(ROWS($V$2:V866),$V$2:$V$1001,0),0), INDEX($AC$1004:$AS$1004,1,MATCH(COLUMNS($AC$1006:AS1006),$AC$1006:$AS$1006,0)))),"Fix")))</f>
        <v>0</v>
      </c>
      <c r="V866">
        <v>0</v>
      </c>
      <c r="W866">
        <v>0</v>
      </c>
      <c r="X866">
        <v>0</v>
      </c>
      <c r="Y866">
        <f>IF(Z866,TRUE,AND(AC866:AS866))</f>
        <v>0</v>
      </c>
      <c r="Z866">
        <f>COUNTBLANK(Metadata!B866:R866)=COLUMNS(Metadata!B866:R866)</f>
        <v>0</v>
      </c>
      <c r="AA866">
        <v>0</v>
      </c>
      <c r="AC866">
        <f>AND(IF(Metadata!B866="",FALSE,TRUE),COUNTIF(Metadata!B:B, Metadata!B866) = 1,NOT(ISERROR(SUMPRODUCT(SEARCH(MID(Metadata!B866,ROW(INDIRECT("1:"&amp;LEN(Metadata!B866))), 1),"0123456789abcdefghijklmnopqrstuvwxyzABCDEFGHIJKLMNOPQRSTUVWXYZ.")))))</f>
        <v>0</v>
      </c>
      <c r="AD866">
        <f>AND(IF(Metadata!C866="",FALSE,TRUE),exact(Metadata!C866,"Host-associated"))</f>
        <v>0</v>
      </c>
      <c r="AE866">
        <f>AND(IF(Metadata!D866="",FALSE,TRUE),OR(exact(Metadata!D866,"Animal"),exact(Metadata!D866,"Fungus"),exact(Metadata!D866,"Plant")))</f>
        <v>0</v>
      </c>
      <c r="AF866">
        <f>AND(IF(Metadata!E866="",FALSE,TRUE),OR(exact(Metadata!E866,"Plant secretion"),exact(Metadata!E866,"Plant rhizosphere"),exact(Metadata!E866,"Plant surface"),exact(Metadata!E866,"Plant corpus"),exact(Metadata!E866,"Fungus surface"),exact(Metadata!E866,"Fungus corpus"),exact(Metadata!E866,"Animal surface"),exact(Metadata!E866,"Animal proximal gut"),exact(Metadata!E866,"Animal corpus"),exact(Metadata!E866,"Animal distal gut"),exact(Metadata!E866,"Animal secretion")))</f>
        <v>0</v>
      </c>
      <c r="AG866">
        <f>OR(AND(IF(Metadata!F866="",FALSE,TRUE),OR(exact(Metadata!F866,"not collected"),exact(Metadata!F866,"not provided"),exact(Metadata!F866,"restricted access"))),AND(IF(Metadata!F866="",FALSE,TRUE),OR(exact(Metadata!F866,"organism-associated habitat"),exact(Metadata!F866,"plant-associated habitat"),exact(Metadata!F866,"animal-associated habitat"),exact(Metadata!F866,"insecta-associated habitat"),exact(Metadata!F866,"mammalia-associated habitat"),exact(Metadata!F866,"human-associated habitat"),exact(Metadata!F866,"livestock-associated habitat"))))</f>
        <v>0</v>
      </c>
      <c r="AH866">
        <f>AND(IF(Metadata!G866="",FALSE,TRUE),exact(Metadata!G866,"host-associated"))</f>
        <v>0</v>
      </c>
      <c r="AI866">
        <f>OR(AND(IF(Metadata!H866="",FALSE,TRUE),OR(exact(Metadata!H866,"not collected"),exact(Metadata!H866,"not provided"))),AND(IF(Metadata!H866="",FALSE,ISNUMBER(VALUE(Metadata!H866))),Metadata!H866&gt;0))</f>
        <v>0</v>
      </c>
      <c r="AJ866">
        <f>AND(IF(Metadata!I866="",FALSE,TRUE),exact(Metadata!I866,"years"))</f>
        <v>0</v>
      </c>
      <c r="AK866">
        <f>IF(Metadata!J866="",FALSE,TRUE)</f>
        <v>0</v>
      </c>
      <c r="AL866">
        <f>OR(AND(IF(Metadata!K866="",FALSE,TRUE),OR(exact(Metadata!K866,"not collected"),exact(Metadata!K866,"not provided"))),AND(IF(Metadata!K866="",FALSE,ISNUMBER(VALUE(Metadata!K866))),Metadata!K866&gt;0))</f>
        <v>0</v>
      </c>
      <c r="AM866">
        <f>AND(IF(Metadata!L866="",FALSE,TRUE),exact(Metadata!L866,"cm"))</f>
        <v>0</v>
      </c>
      <c r="AN866">
        <f>IF(Metadata!M866="",FALSE,TRUE)</f>
        <v>0</v>
      </c>
      <c r="AO866">
        <f>OR(AND(IF(Metadata!N866="",FALSE,TRUE),OR(exact(Metadata!N866,"not applicable"),exact(Metadata!N866,"not collected"),exact(Metadata!N866,"not provided"))),AND(IF(Metadata!N866="",FALSE,IF(ISERROR(INT(Metadata!N866)),FALSE,INT(Metadata!N866)=Metadata!N866)),Metadata!N866&gt;0))</f>
        <v>0</v>
      </c>
      <c r="AP866">
        <f>OR(AND(IF(Metadata!O866="",FALSE,TRUE),OR(exact(Metadata!O866,"not collected"),exact(Metadata!O866,"not provided"))),AND(IF(Metadata!O866="",FALSE,ISNUMBER(VALUE(Metadata!O866))),Metadata!O866&gt;0))</f>
        <v>0</v>
      </c>
      <c r="AQ866">
        <f>AND(IF(Metadata!P866="",FALSE,TRUE),exact(Metadata!P866,"kg"))</f>
        <v>0</v>
      </c>
      <c r="AR866">
        <f>OR(AND(IF(Metadata!Q866="",FALSE,TRUE),OR(exact(Metadata!Q866,"not applicable"),exact(Metadata!Q866,"not collected"),exact(Metadata!Q866,"not provided"),exact(Metadata!Q866,"restricted access"))),IF(Metadata!Q866="",FALSE,IF(ISERROR(INT(Metadata!Q866)),FALSE,INT(Metadata!Q866)=Metadata!Q866)))</f>
        <v>0</v>
      </c>
      <c r="AS866">
        <f>AND(IF(Metadata!R866="",FALSE,TRUE),exact(Metadata!R866,"Not applicable"))</f>
        <v>0</v>
      </c>
    </row>
    <row r="867" spans="1:45">
      <c r="A867" s="4">
        <f>IF(B867=" "," ",HYPERLINK(CONCATENATE("#metadata!",ADDRESS(INDEX($X$2:$X$1001,MATCH(ROWS($V$2:V867),$V$2:$V$1001,0),0),2)),INDEX($AA$2:$AA$1001,MATCH(ROWS($V$2:V867),$V$2:$V$1001,0),0)))</f>
        <v>0</v>
      </c>
      <c r="B867" s="5">
        <f>IF(OR(INDEX($W$2:$W$1001,MATCH(ROWS($V$2:V867),$V$2:$V$1001,0),1)&gt;=100000,INDEX($AC$1005:$AS$1005,1,MATCH(COLUMNS($AC$1006:AC1006),$AC$1006:$AS$1006,0))&gt;=100000), " ",IF(INDEX($AC$2:$AS$1001,MATCH(ROWS($V$2:V867),$V$2:$V$1001,0),MATCH(COLUMNS($AC$1006:AC1006),$AC$1006:$AS$1006,0)), HYPERLINK("#",""), HYPERLINK(CONCATENATE("#Metadata!", ADDRESS(INDEX($X$2:$X$1001,MATCH(ROWS($V$2:V867),$V$2:$V$1001,0),0), INDEX($AC$1004:$AS$1004,1,MATCH(COLUMNS($AC$1006:AC1006),$AC$1006:$AS$1006,0)))),"Fix")))</f>
        <v>0</v>
      </c>
      <c r="C867" s="5">
        <f>IF(OR(INDEX($W$2:$W$1001,MATCH(ROWS($V$2:V867),$V$2:$V$1001,0),1)&gt;=100000,INDEX($AC$1005:$AS$1005,1,MATCH(COLUMNS($AC$1006:AD1006),$AC$1006:$AS$1006,0))&gt;=100000), " ",IF(INDEX($AC$2:$AS$1001,MATCH(ROWS($V$2:V867),$V$2:$V$1001,0),MATCH(COLUMNS($AC$1006:AD1006),$AC$1006:$AS$1006,0)), HYPERLINK("#",""), HYPERLINK(CONCATENATE("#Metadata!", ADDRESS(INDEX($X$2:$X$1001,MATCH(ROWS($V$2:V867),$V$2:$V$1001,0),0), INDEX($AC$1004:$AS$1004,1,MATCH(COLUMNS($AC$1006:AD1006),$AC$1006:$AS$1006,0)))),"Fix")))</f>
        <v>0</v>
      </c>
      <c r="D867" s="5">
        <f>IF(OR(INDEX($W$2:$W$1001,MATCH(ROWS($V$2:V867),$V$2:$V$1001,0),1)&gt;=100000,INDEX($AC$1005:$AS$1005,1,MATCH(COLUMNS($AC$1006:AE1006),$AC$1006:$AS$1006,0))&gt;=100000), " ",IF(INDEX($AC$2:$AS$1001,MATCH(ROWS($V$2:V867),$V$2:$V$1001,0),MATCH(COLUMNS($AC$1006:AE1006),$AC$1006:$AS$1006,0)), HYPERLINK("#",""), HYPERLINK(CONCATENATE("#Metadata!", ADDRESS(INDEX($X$2:$X$1001,MATCH(ROWS($V$2:V867),$V$2:$V$1001,0),0), INDEX($AC$1004:$AS$1004,1,MATCH(COLUMNS($AC$1006:AE1006),$AC$1006:$AS$1006,0)))),"Fix")))</f>
        <v>0</v>
      </c>
      <c r="E867" s="5">
        <f>IF(OR(INDEX($W$2:$W$1001,MATCH(ROWS($V$2:V867),$V$2:$V$1001,0),1)&gt;=100000,INDEX($AC$1005:$AS$1005,1,MATCH(COLUMNS($AC$1006:AF1006),$AC$1006:$AS$1006,0))&gt;=100000), " ",IF(INDEX($AC$2:$AS$1001,MATCH(ROWS($V$2:V867),$V$2:$V$1001,0),MATCH(COLUMNS($AC$1006:AF1006),$AC$1006:$AS$1006,0)), HYPERLINK("#",""), HYPERLINK(CONCATENATE("#Metadata!", ADDRESS(INDEX($X$2:$X$1001,MATCH(ROWS($V$2:V867),$V$2:$V$1001,0),0), INDEX($AC$1004:$AS$1004,1,MATCH(COLUMNS($AC$1006:AF1006),$AC$1006:$AS$1006,0)))),"Fix")))</f>
        <v>0</v>
      </c>
      <c r="F867" s="5">
        <f>IF(OR(INDEX($W$2:$W$1001,MATCH(ROWS($V$2:V867),$V$2:$V$1001,0),1)&gt;=100000,INDEX($AC$1005:$AS$1005,1,MATCH(COLUMNS($AC$1006:AG1006),$AC$1006:$AS$1006,0))&gt;=100000), " ",IF(INDEX($AC$2:$AS$1001,MATCH(ROWS($V$2:V867),$V$2:$V$1001,0),MATCH(COLUMNS($AC$1006:AG1006),$AC$1006:$AS$1006,0)), HYPERLINK("#",""), HYPERLINK(CONCATENATE("#Metadata!", ADDRESS(INDEX($X$2:$X$1001,MATCH(ROWS($V$2:V867),$V$2:$V$1001,0),0), INDEX($AC$1004:$AS$1004,1,MATCH(COLUMNS($AC$1006:AG1006),$AC$1006:$AS$1006,0)))),"Fix")))</f>
        <v>0</v>
      </c>
      <c r="G867" s="5">
        <f>IF(OR(INDEX($W$2:$W$1001,MATCH(ROWS($V$2:V867),$V$2:$V$1001,0),1)&gt;=100000,INDEX($AC$1005:$AS$1005,1,MATCH(COLUMNS($AC$1006:AH1006),$AC$1006:$AS$1006,0))&gt;=100000), " ",IF(INDEX($AC$2:$AS$1001,MATCH(ROWS($V$2:V867),$V$2:$V$1001,0),MATCH(COLUMNS($AC$1006:AH1006),$AC$1006:$AS$1006,0)), HYPERLINK("#",""), HYPERLINK(CONCATENATE("#Metadata!", ADDRESS(INDEX($X$2:$X$1001,MATCH(ROWS($V$2:V867),$V$2:$V$1001,0),0), INDEX($AC$1004:$AS$1004,1,MATCH(COLUMNS($AC$1006:AH1006),$AC$1006:$AS$1006,0)))),"Fix")))</f>
        <v>0</v>
      </c>
      <c r="H867" s="5">
        <f>IF(OR(INDEX($W$2:$W$1001,MATCH(ROWS($V$2:V867),$V$2:$V$1001,0),1)&gt;=100000,INDEX($AC$1005:$AS$1005,1,MATCH(COLUMNS($AC$1006:AI1006),$AC$1006:$AS$1006,0))&gt;=100000), " ",IF(INDEX($AC$2:$AS$1001,MATCH(ROWS($V$2:V867),$V$2:$V$1001,0),MATCH(COLUMNS($AC$1006:AI1006),$AC$1006:$AS$1006,0)), HYPERLINK("#",""), HYPERLINK(CONCATENATE("#Metadata!", ADDRESS(INDEX($X$2:$X$1001,MATCH(ROWS($V$2:V867),$V$2:$V$1001,0),0), INDEX($AC$1004:$AS$1004,1,MATCH(COLUMNS($AC$1006:AI1006),$AC$1006:$AS$1006,0)))),"Fix")))</f>
        <v>0</v>
      </c>
      <c r="I867" s="5">
        <f>IF(OR(INDEX($W$2:$W$1001,MATCH(ROWS($V$2:V867),$V$2:$V$1001,0),1)&gt;=100000,INDEX($AC$1005:$AS$1005,1,MATCH(COLUMNS($AC$1006:AJ1006),$AC$1006:$AS$1006,0))&gt;=100000), " ",IF(INDEX($AC$2:$AS$1001,MATCH(ROWS($V$2:V867),$V$2:$V$1001,0),MATCH(COLUMNS($AC$1006:AJ1006),$AC$1006:$AS$1006,0)), HYPERLINK("#",""), HYPERLINK(CONCATENATE("#Metadata!", ADDRESS(INDEX($X$2:$X$1001,MATCH(ROWS($V$2:V867),$V$2:$V$1001,0),0), INDEX($AC$1004:$AS$1004,1,MATCH(COLUMNS($AC$1006:AJ1006),$AC$1006:$AS$1006,0)))),"Fix")))</f>
        <v>0</v>
      </c>
      <c r="J867" s="5">
        <f>IF(OR(INDEX($W$2:$W$1001,MATCH(ROWS($V$2:V867),$V$2:$V$1001,0),1)&gt;=100000,INDEX($AC$1005:$AS$1005,1,MATCH(COLUMNS($AC$1006:AK1006),$AC$1006:$AS$1006,0))&gt;=100000), " ",IF(INDEX($AC$2:$AS$1001,MATCH(ROWS($V$2:V867),$V$2:$V$1001,0),MATCH(COLUMNS($AC$1006:AK1006),$AC$1006:$AS$1006,0)), HYPERLINK("#",""), HYPERLINK(CONCATENATE("#Metadata!", ADDRESS(INDEX($X$2:$X$1001,MATCH(ROWS($V$2:V867),$V$2:$V$1001,0),0), INDEX($AC$1004:$AS$1004,1,MATCH(COLUMNS($AC$1006:AK1006),$AC$1006:$AS$1006,0)))),"Fix")))</f>
        <v>0</v>
      </c>
      <c r="K867" s="5">
        <f>IF(OR(INDEX($W$2:$W$1001,MATCH(ROWS($V$2:V867),$V$2:$V$1001,0),1)&gt;=100000,INDEX($AC$1005:$AS$1005,1,MATCH(COLUMNS($AC$1006:AL1006),$AC$1006:$AS$1006,0))&gt;=100000), " ",IF(INDEX($AC$2:$AS$1001,MATCH(ROWS($V$2:V867),$V$2:$V$1001,0),MATCH(COLUMNS($AC$1006:AL1006),$AC$1006:$AS$1006,0)), HYPERLINK("#",""), HYPERLINK(CONCATENATE("#Metadata!", ADDRESS(INDEX($X$2:$X$1001,MATCH(ROWS($V$2:V867),$V$2:$V$1001,0),0), INDEX($AC$1004:$AS$1004,1,MATCH(COLUMNS($AC$1006:AL1006),$AC$1006:$AS$1006,0)))),"Fix")))</f>
        <v>0</v>
      </c>
      <c r="L867" s="5">
        <f>IF(OR(INDEX($W$2:$W$1001,MATCH(ROWS($V$2:V867),$V$2:$V$1001,0),1)&gt;=100000,INDEX($AC$1005:$AS$1005,1,MATCH(COLUMNS($AC$1006:AM1006),$AC$1006:$AS$1006,0))&gt;=100000), " ",IF(INDEX($AC$2:$AS$1001,MATCH(ROWS($V$2:V867),$V$2:$V$1001,0),MATCH(COLUMNS($AC$1006:AM1006),$AC$1006:$AS$1006,0)), HYPERLINK("#",""), HYPERLINK(CONCATENATE("#Metadata!", ADDRESS(INDEX($X$2:$X$1001,MATCH(ROWS($V$2:V867),$V$2:$V$1001,0),0), INDEX($AC$1004:$AS$1004,1,MATCH(COLUMNS($AC$1006:AM1006),$AC$1006:$AS$1006,0)))),"Fix")))</f>
        <v>0</v>
      </c>
      <c r="M867" s="5">
        <f>IF(OR(INDEX($W$2:$W$1001,MATCH(ROWS($V$2:V867),$V$2:$V$1001,0),1)&gt;=100000,INDEX($AC$1005:$AS$1005,1,MATCH(COLUMNS($AC$1006:AN1006),$AC$1006:$AS$1006,0))&gt;=100000), " ",IF(INDEX($AC$2:$AS$1001,MATCH(ROWS($V$2:V867),$V$2:$V$1001,0),MATCH(COLUMNS($AC$1006:AN1006),$AC$1006:$AS$1006,0)), HYPERLINK("#",""), HYPERLINK(CONCATENATE("#Metadata!", ADDRESS(INDEX($X$2:$X$1001,MATCH(ROWS($V$2:V867),$V$2:$V$1001,0),0), INDEX($AC$1004:$AS$1004,1,MATCH(COLUMNS($AC$1006:AN1006),$AC$1006:$AS$1006,0)))),"Fix")))</f>
        <v>0</v>
      </c>
      <c r="N867" s="5">
        <f>IF(OR(INDEX($W$2:$W$1001,MATCH(ROWS($V$2:V867),$V$2:$V$1001,0),1)&gt;=100000,INDEX($AC$1005:$AS$1005,1,MATCH(COLUMNS($AC$1006:AO1006),$AC$1006:$AS$1006,0))&gt;=100000), " ",IF(INDEX($AC$2:$AS$1001,MATCH(ROWS($V$2:V867),$V$2:$V$1001,0),MATCH(COLUMNS($AC$1006:AO1006),$AC$1006:$AS$1006,0)), HYPERLINK("#",""), HYPERLINK(CONCATENATE("#Metadata!", ADDRESS(INDEX($X$2:$X$1001,MATCH(ROWS($V$2:V867),$V$2:$V$1001,0),0), INDEX($AC$1004:$AS$1004,1,MATCH(COLUMNS($AC$1006:AO1006),$AC$1006:$AS$1006,0)))),"Fix")))</f>
        <v>0</v>
      </c>
      <c r="O867" s="5">
        <f>IF(OR(INDEX($W$2:$W$1001,MATCH(ROWS($V$2:V867),$V$2:$V$1001,0),1)&gt;=100000,INDEX($AC$1005:$AS$1005,1,MATCH(COLUMNS($AC$1006:AP1006),$AC$1006:$AS$1006,0))&gt;=100000), " ",IF(INDEX($AC$2:$AS$1001,MATCH(ROWS($V$2:V867),$V$2:$V$1001,0),MATCH(COLUMNS($AC$1006:AP1006),$AC$1006:$AS$1006,0)), HYPERLINK("#",""), HYPERLINK(CONCATENATE("#Metadata!", ADDRESS(INDEX($X$2:$X$1001,MATCH(ROWS($V$2:V867),$V$2:$V$1001,0),0), INDEX($AC$1004:$AS$1004,1,MATCH(COLUMNS($AC$1006:AP1006),$AC$1006:$AS$1006,0)))),"Fix")))</f>
        <v>0</v>
      </c>
      <c r="P867" s="5">
        <f>IF(OR(INDEX($W$2:$W$1001,MATCH(ROWS($V$2:V867),$V$2:$V$1001,0),1)&gt;=100000,INDEX($AC$1005:$AS$1005,1,MATCH(COLUMNS($AC$1006:AQ1006),$AC$1006:$AS$1006,0))&gt;=100000), " ",IF(INDEX($AC$2:$AS$1001,MATCH(ROWS($V$2:V867),$V$2:$V$1001,0),MATCH(COLUMNS($AC$1006:AQ1006),$AC$1006:$AS$1006,0)), HYPERLINK("#",""), HYPERLINK(CONCATENATE("#Metadata!", ADDRESS(INDEX($X$2:$X$1001,MATCH(ROWS($V$2:V867),$V$2:$V$1001,0),0), INDEX($AC$1004:$AS$1004,1,MATCH(COLUMNS($AC$1006:AQ1006),$AC$1006:$AS$1006,0)))),"Fix")))</f>
        <v>0</v>
      </c>
      <c r="Q867" s="5">
        <f>IF(OR(INDEX($W$2:$W$1001,MATCH(ROWS($V$2:V867),$V$2:$V$1001,0),1)&gt;=100000,INDEX($AC$1005:$AS$1005,1,MATCH(COLUMNS($AC$1006:AR1006),$AC$1006:$AS$1006,0))&gt;=100000), " ",IF(INDEX($AC$2:$AS$1001,MATCH(ROWS($V$2:V867),$V$2:$V$1001,0),MATCH(COLUMNS($AC$1006:AR1006),$AC$1006:$AS$1006,0)), HYPERLINK("#",""), HYPERLINK(CONCATENATE("#Metadata!", ADDRESS(INDEX($X$2:$X$1001,MATCH(ROWS($V$2:V867),$V$2:$V$1001,0),0), INDEX($AC$1004:$AS$1004,1,MATCH(COLUMNS($AC$1006:AR1006),$AC$1006:$AS$1006,0)))),"Fix")))</f>
        <v>0</v>
      </c>
      <c r="R867" s="5">
        <f>IF(OR(INDEX($W$2:$W$1001,MATCH(ROWS($V$2:V867),$V$2:$V$1001,0),1)&gt;=100000,INDEX($AC$1005:$AS$1005,1,MATCH(COLUMNS($AC$1006:AS1006),$AC$1006:$AS$1006,0))&gt;=100000), " ",IF(INDEX($AC$2:$AS$1001,MATCH(ROWS($V$2:V867),$V$2:$V$1001,0),MATCH(COLUMNS($AC$1006:AS1006),$AC$1006:$AS$1006,0)), HYPERLINK("#",""), HYPERLINK(CONCATENATE("#Metadata!", ADDRESS(INDEX($X$2:$X$1001,MATCH(ROWS($V$2:V867),$V$2:$V$1001,0),0), INDEX($AC$1004:$AS$1004,1,MATCH(COLUMNS($AC$1006:AS1006),$AC$1006:$AS$1006,0)))),"Fix")))</f>
        <v>0</v>
      </c>
      <c r="V867">
        <v>0</v>
      </c>
      <c r="W867">
        <v>0</v>
      </c>
      <c r="X867">
        <v>0</v>
      </c>
      <c r="Y867">
        <f>IF(Z867,TRUE,AND(AC867:AS867))</f>
        <v>0</v>
      </c>
      <c r="Z867">
        <f>COUNTBLANK(Metadata!B867:R867)=COLUMNS(Metadata!B867:R867)</f>
        <v>0</v>
      </c>
      <c r="AA867">
        <v>0</v>
      </c>
      <c r="AC867">
        <f>AND(IF(Metadata!B867="",FALSE,TRUE),COUNTIF(Metadata!B:B, Metadata!B867) = 1,NOT(ISERROR(SUMPRODUCT(SEARCH(MID(Metadata!B867,ROW(INDIRECT("1:"&amp;LEN(Metadata!B867))), 1),"0123456789abcdefghijklmnopqrstuvwxyzABCDEFGHIJKLMNOPQRSTUVWXYZ.")))))</f>
        <v>0</v>
      </c>
      <c r="AD867">
        <f>AND(IF(Metadata!C867="",FALSE,TRUE),exact(Metadata!C867,"Host-associated"))</f>
        <v>0</v>
      </c>
      <c r="AE867">
        <f>AND(IF(Metadata!D867="",FALSE,TRUE),OR(exact(Metadata!D867,"Animal"),exact(Metadata!D867,"Fungus"),exact(Metadata!D867,"Plant")))</f>
        <v>0</v>
      </c>
      <c r="AF867">
        <f>AND(IF(Metadata!E867="",FALSE,TRUE),OR(exact(Metadata!E867,"Plant secretion"),exact(Metadata!E867,"Plant rhizosphere"),exact(Metadata!E867,"Plant surface"),exact(Metadata!E867,"Plant corpus"),exact(Metadata!E867,"Fungus surface"),exact(Metadata!E867,"Fungus corpus"),exact(Metadata!E867,"Animal surface"),exact(Metadata!E867,"Animal proximal gut"),exact(Metadata!E867,"Animal corpus"),exact(Metadata!E867,"Animal distal gut"),exact(Metadata!E867,"Animal secretion")))</f>
        <v>0</v>
      </c>
      <c r="AG867">
        <f>OR(AND(IF(Metadata!F867="",FALSE,TRUE),OR(exact(Metadata!F867,"not collected"),exact(Metadata!F867,"not provided"),exact(Metadata!F867,"restricted access"))),AND(IF(Metadata!F867="",FALSE,TRUE),OR(exact(Metadata!F867,"organism-associated habitat"),exact(Metadata!F867,"plant-associated habitat"),exact(Metadata!F867,"animal-associated habitat"),exact(Metadata!F867,"insecta-associated habitat"),exact(Metadata!F867,"mammalia-associated habitat"),exact(Metadata!F867,"human-associated habitat"),exact(Metadata!F867,"livestock-associated habitat"))))</f>
        <v>0</v>
      </c>
      <c r="AH867">
        <f>AND(IF(Metadata!G867="",FALSE,TRUE),exact(Metadata!G867,"host-associated"))</f>
        <v>0</v>
      </c>
      <c r="AI867">
        <f>OR(AND(IF(Metadata!H867="",FALSE,TRUE),OR(exact(Metadata!H867,"not collected"),exact(Metadata!H867,"not provided"))),AND(IF(Metadata!H867="",FALSE,ISNUMBER(VALUE(Metadata!H867))),Metadata!H867&gt;0))</f>
        <v>0</v>
      </c>
      <c r="AJ867">
        <f>AND(IF(Metadata!I867="",FALSE,TRUE),exact(Metadata!I867,"years"))</f>
        <v>0</v>
      </c>
      <c r="AK867">
        <f>IF(Metadata!J867="",FALSE,TRUE)</f>
        <v>0</v>
      </c>
      <c r="AL867">
        <f>OR(AND(IF(Metadata!K867="",FALSE,TRUE),OR(exact(Metadata!K867,"not collected"),exact(Metadata!K867,"not provided"))),AND(IF(Metadata!K867="",FALSE,ISNUMBER(VALUE(Metadata!K867))),Metadata!K867&gt;0))</f>
        <v>0</v>
      </c>
      <c r="AM867">
        <f>AND(IF(Metadata!L867="",FALSE,TRUE),exact(Metadata!L867,"cm"))</f>
        <v>0</v>
      </c>
      <c r="AN867">
        <f>IF(Metadata!M867="",FALSE,TRUE)</f>
        <v>0</v>
      </c>
      <c r="AO867">
        <f>OR(AND(IF(Metadata!N867="",FALSE,TRUE),OR(exact(Metadata!N867,"not applicable"),exact(Metadata!N867,"not collected"),exact(Metadata!N867,"not provided"))),AND(IF(Metadata!N867="",FALSE,IF(ISERROR(INT(Metadata!N867)),FALSE,INT(Metadata!N867)=Metadata!N867)),Metadata!N867&gt;0))</f>
        <v>0</v>
      </c>
      <c r="AP867">
        <f>OR(AND(IF(Metadata!O867="",FALSE,TRUE),OR(exact(Metadata!O867,"not collected"),exact(Metadata!O867,"not provided"))),AND(IF(Metadata!O867="",FALSE,ISNUMBER(VALUE(Metadata!O867))),Metadata!O867&gt;0))</f>
        <v>0</v>
      </c>
      <c r="AQ867">
        <f>AND(IF(Metadata!P867="",FALSE,TRUE),exact(Metadata!P867,"kg"))</f>
        <v>0</v>
      </c>
      <c r="AR867">
        <f>OR(AND(IF(Metadata!Q867="",FALSE,TRUE),OR(exact(Metadata!Q867,"not applicable"),exact(Metadata!Q867,"not collected"),exact(Metadata!Q867,"not provided"),exact(Metadata!Q867,"restricted access"))),IF(Metadata!Q867="",FALSE,IF(ISERROR(INT(Metadata!Q867)),FALSE,INT(Metadata!Q867)=Metadata!Q867)))</f>
        <v>0</v>
      </c>
      <c r="AS867">
        <f>AND(IF(Metadata!R867="",FALSE,TRUE),exact(Metadata!R867,"Not applicable"))</f>
        <v>0</v>
      </c>
    </row>
    <row r="868" spans="1:45">
      <c r="A868" s="4">
        <f>IF(B868=" "," ",HYPERLINK(CONCATENATE("#metadata!",ADDRESS(INDEX($X$2:$X$1001,MATCH(ROWS($V$2:V868),$V$2:$V$1001,0),0),2)),INDEX($AA$2:$AA$1001,MATCH(ROWS($V$2:V868),$V$2:$V$1001,0),0)))</f>
        <v>0</v>
      </c>
      <c r="B868" s="5">
        <f>IF(OR(INDEX($W$2:$W$1001,MATCH(ROWS($V$2:V868),$V$2:$V$1001,0),1)&gt;=100000,INDEX($AC$1005:$AS$1005,1,MATCH(COLUMNS($AC$1006:AC1006),$AC$1006:$AS$1006,0))&gt;=100000), " ",IF(INDEX($AC$2:$AS$1001,MATCH(ROWS($V$2:V868),$V$2:$V$1001,0),MATCH(COLUMNS($AC$1006:AC1006),$AC$1006:$AS$1006,0)), HYPERLINK("#",""), HYPERLINK(CONCATENATE("#Metadata!", ADDRESS(INDEX($X$2:$X$1001,MATCH(ROWS($V$2:V868),$V$2:$V$1001,0),0), INDEX($AC$1004:$AS$1004,1,MATCH(COLUMNS($AC$1006:AC1006),$AC$1006:$AS$1006,0)))),"Fix")))</f>
        <v>0</v>
      </c>
      <c r="C868" s="5">
        <f>IF(OR(INDEX($W$2:$W$1001,MATCH(ROWS($V$2:V868),$V$2:$V$1001,0),1)&gt;=100000,INDEX($AC$1005:$AS$1005,1,MATCH(COLUMNS($AC$1006:AD1006),$AC$1006:$AS$1006,0))&gt;=100000), " ",IF(INDEX($AC$2:$AS$1001,MATCH(ROWS($V$2:V868),$V$2:$V$1001,0),MATCH(COLUMNS($AC$1006:AD1006),$AC$1006:$AS$1006,0)), HYPERLINK("#",""), HYPERLINK(CONCATENATE("#Metadata!", ADDRESS(INDEX($X$2:$X$1001,MATCH(ROWS($V$2:V868),$V$2:$V$1001,0),0), INDEX($AC$1004:$AS$1004,1,MATCH(COLUMNS($AC$1006:AD1006),$AC$1006:$AS$1006,0)))),"Fix")))</f>
        <v>0</v>
      </c>
      <c r="D868" s="5">
        <f>IF(OR(INDEX($W$2:$W$1001,MATCH(ROWS($V$2:V868),$V$2:$V$1001,0),1)&gt;=100000,INDEX($AC$1005:$AS$1005,1,MATCH(COLUMNS($AC$1006:AE1006),$AC$1006:$AS$1006,0))&gt;=100000), " ",IF(INDEX($AC$2:$AS$1001,MATCH(ROWS($V$2:V868),$V$2:$V$1001,0),MATCH(COLUMNS($AC$1006:AE1006),$AC$1006:$AS$1006,0)), HYPERLINK("#",""), HYPERLINK(CONCATENATE("#Metadata!", ADDRESS(INDEX($X$2:$X$1001,MATCH(ROWS($V$2:V868),$V$2:$V$1001,0),0), INDEX($AC$1004:$AS$1004,1,MATCH(COLUMNS($AC$1006:AE1006),$AC$1006:$AS$1006,0)))),"Fix")))</f>
        <v>0</v>
      </c>
      <c r="E868" s="5">
        <f>IF(OR(INDEX($W$2:$W$1001,MATCH(ROWS($V$2:V868),$V$2:$V$1001,0),1)&gt;=100000,INDEX($AC$1005:$AS$1005,1,MATCH(COLUMNS($AC$1006:AF1006),$AC$1006:$AS$1006,0))&gt;=100000), " ",IF(INDEX($AC$2:$AS$1001,MATCH(ROWS($V$2:V868),$V$2:$V$1001,0),MATCH(COLUMNS($AC$1006:AF1006),$AC$1006:$AS$1006,0)), HYPERLINK("#",""), HYPERLINK(CONCATENATE("#Metadata!", ADDRESS(INDEX($X$2:$X$1001,MATCH(ROWS($V$2:V868),$V$2:$V$1001,0),0), INDEX($AC$1004:$AS$1004,1,MATCH(COLUMNS($AC$1006:AF1006),$AC$1006:$AS$1006,0)))),"Fix")))</f>
        <v>0</v>
      </c>
      <c r="F868" s="5">
        <f>IF(OR(INDEX($W$2:$W$1001,MATCH(ROWS($V$2:V868),$V$2:$V$1001,0),1)&gt;=100000,INDEX($AC$1005:$AS$1005,1,MATCH(COLUMNS($AC$1006:AG1006),$AC$1006:$AS$1006,0))&gt;=100000), " ",IF(INDEX($AC$2:$AS$1001,MATCH(ROWS($V$2:V868),$V$2:$V$1001,0),MATCH(COLUMNS($AC$1006:AG1006),$AC$1006:$AS$1006,0)), HYPERLINK("#",""), HYPERLINK(CONCATENATE("#Metadata!", ADDRESS(INDEX($X$2:$X$1001,MATCH(ROWS($V$2:V868),$V$2:$V$1001,0),0), INDEX($AC$1004:$AS$1004,1,MATCH(COLUMNS($AC$1006:AG1006),$AC$1006:$AS$1006,0)))),"Fix")))</f>
        <v>0</v>
      </c>
      <c r="G868" s="5">
        <f>IF(OR(INDEX($W$2:$W$1001,MATCH(ROWS($V$2:V868),$V$2:$V$1001,0),1)&gt;=100000,INDEX($AC$1005:$AS$1005,1,MATCH(COLUMNS($AC$1006:AH1006),$AC$1006:$AS$1006,0))&gt;=100000), " ",IF(INDEX($AC$2:$AS$1001,MATCH(ROWS($V$2:V868),$V$2:$V$1001,0),MATCH(COLUMNS($AC$1006:AH1006),$AC$1006:$AS$1006,0)), HYPERLINK("#",""), HYPERLINK(CONCATENATE("#Metadata!", ADDRESS(INDEX($X$2:$X$1001,MATCH(ROWS($V$2:V868),$V$2:$V$1001,0),0), INDEX($AC$1004:$AS$1004,1,MATCH(COLUMNS($AC$1006:AH1006),$AC$1006:$AS$1006,0)))),"Fix")))</f>
        <v>0</v>
      </c>
      <c r="H868" s="5">
        <f>IF(OR(INDEX($W$2:$W$1001,MATCH(ROWS($V$2:V868),$V$2:$V$1001,0),1)&gt;=100000,INDEX($AC$1005:$AS$1005,1,MATCH(COLUMNS($AC$1006:AI1006),$AC$1006:$AS$1006,0))&gt;=100000), " ",IF(INDEX($AC$2:$AS$1001,MATCH(ROWS($V$2:V868),$V$2:$V$1001,0),MATCH(COLUMNS($AC$1006:AI1006),$AC$1006:$AS$1006,0)), HYPERLINK("#",""), HYPERLINK(CONCATENATE("#Metadata!", ADDRESS(INDEX($X$2:$X$1001,MATCH(ROWS($V$2:V868),$V$2:$V$1001,0),0), INDEX($AC$1004:$AS$1004,1,MATCH(COLUMNS($AC$1006:AI1006),$AC$1006:$AS$1006,0)))),"Fix")))</f>
        <v>0</v>
      </c>
      <c r="I868" s="5">
        <f>IF(OR(INDEX($W$2:$W$1001,MATCH(ROWS($V$2:V868),$V$2:$V$1001,0),1)&gt;=100000,INDEX($AC$1005:$AS$1005,1,MATCH(COLUMNS($AC$1006:AJ1006),$AC$1006:$AS$1006,0))&gt;=100000), " ",IF(INDEX($AC$2:$AS$1001,MATCH(ROWS($V$2:V868),$V$2:$V$1001,0),MATCH(COLUMNS($AC$1006:AJ1006),$AC$1006:$AS$1006,0)), HYPERLINK("#",""), HYPERLINK(CONCATENATE("#Metadata!", ADDRESS(INDEX($X$2:$X$1001,MATCH(ROWS($V$2:V868),$V$2:$V$1001,0),0), INDEX($AC$1004:$AS$1004,1,MATCH(COLUMNS($AC$1006:AJ1006),$AC$1006:$AS$1006,0)))),"Fix")))</f>
        <v>0</v>
      </c>
      <c r="J868" s="5">
        <f>IF(OR(INDEX($W$2:$W$1001,MATCH(ROWS($V$2:V868),$V$2:$V$1001,0),1)&gt;=100000,INDEX($AC$1005:$AS$1005,1,MATCH(COLUMNS($AC$1006:AK1006),$AC$1006:$AS$1006,0))&gt;=100000), " ",IF(INDEX($AC$2:$AS$1001,MATCH(ROWS($V$2:V868),$V$2:$V$1001,0),MATCH(COLUMNS($AC$1006:AK1006),$AC$1006:$AS$1006,0)), HYPERLINK("#",""), HYPERLINK(CONCATENATE("#Metadata!", ADDRESS(INDEX($X$2:$X$1001,MATCH(ROWS($V$2:V868),$V$2:$V$1001,0),0), INDEX($AC$1004:$AS$1004,1,MATCH(COLUMNS($AC$1006:AK1006),$AC$1006:$AS$1006,0)))),"Fix")))</f>
        <v>0</v>
      </c>
      <c r="K868" s="5">
        <f>IF(OR(INDEX($W$2:$W$1001,MATCH(ROWS($V$2:V868),$V$2:$V$1001,0),1)&gt;=100000,INDEX($AC$1005:$AS$1005,1,MATCH(COLUMNS($AC$1006:AL1006),$AC$1006:$AS$1006,0))&gt;=100000), " ",IF(INDEX($AC$2:$AS$1001,MATCH(ROWS($V$2:V868),$V$2:$V$1001,0),MATCH(COLUMNS($AC$1006:AL1006),$AC$1006:$AS$1006,0)), HYPERLINK("#",""), HYPERLINK(CONCATENATE("#Metadata!", ADDRESS(INDEX($X$2:$X$1001,MATCH(ROWS($V$2:V868),$V$2:$V$1001,0),0), INDEX($AC$1004:$AS$1004,1,MATCH(COLUMNS($AC$1006:AL1006),$AC$1006:$AS$1006,0)))),"Fix")))</f>
        <v>0</v>
      </c>
      <c r="L868" s="5">
        <f>IF(OR(INDEX($W$2:$W$1001,MATCH(ROWS($V$2:V868),$V$2:$V$1001,0),1)&gt;=100000,INDEX($AC$1005:$AS$1005,1,MATCH(COLUMNS($AC$1006:AM1006),$AC$1006:$AS$1006,0))&gt;=100000), " ",IF(INDEX($AC$2:$AS$1001,MATCH(ROWS($V$2:V868),$V$2:$V$1001,0),MATCH(COLUMNS($AC$1006:AM1006),$AC$1006:$AS$1006,0)), HYPERLINK("#",""), HYPERLINK(CONCATENATE("#Metadata!", ADDRESS(INDEX($X$2:$X$1001,MATCH(ROWS($V$2:V868),$V$2:$V$1001,0),0), INDEX($AC$1004:$AS$1004,1,MATCH(COLUMNS($AC$1006:AM1006),$AC$1006:$AS$1006,0)))),"Fix")))</f>
        <v>0</v>
      </c>
      <c r="M868" s="5">
        <f>IF(OR(INDEX($W$2:$W$1001,MATCH(ROWS($V$2:V868),$V$2:$V$1001,0),1)&gt;=100000,INDEX($AC$1005:$AS$1005,1,MATCH(COLUMNS($AC$1006:AN1006),$AC$1006:$AS$1006,0))&gt;=100000), " ",IF(INDEX($AC$2:$AS$1001,MATCH(ROWS($V$2:V868),$V$2:$V$1001,0),MATCH(COLUMNS($AC$1006:AN1006),$AC$1006:$AS$1006,0)), HYPERLINK("#",""), HYPERLINK(CONCATENATE("#Metadata!", ADDRESS(INDEX($X$2:$X$1001,MATCH(ROWS($V$2:V868),$V$2:$V$1001,0),0), INDEX($AC$1004:$AS$1004,1,MATCH(COLUMNS($AC$1006:AN1006),$AC$1006:$AS$1006,0)))),"Fix")))</f>
        <v>0</v>
      </c>
      <c r="N868" s="5">
        <f>IF(OR(INDEX($W$2:$W$1001,MATCH(ROWS($V$2:V868),$V$2:$V$1001,0),1)&gt;=100000,INDEX($AC$1005:$AS$1005,1,MATCH(COLUMNS($AC$1006:AO1006),$AC$1006:$AS$1006,0))&gt;=100000), " ",IF(INDEX($AC$2:$AS$1001,MATCH(ROWS($V$2:V868),$V$2:$V$1001,0),MATCH(COLUMNS($AC$1006:AO1006),$AC$1006:$AS$1006,0)), HYPERLINK("#",""), HYPERLINK(CONCATENATE("#Metadata!", ADDRESS(INDEX($X$2:$X$1001,MATCH(ROWS($V$2:V868),$V$2:$V$1001,0),0), INDEX($AC$1004:$AS$1004,1,MATCH(COLUMNS($AC$1006:AO1006),$AC$1006:$AS$1006,0)))),"Fix")))</f>
        <v>0</v>
      </c>
      <c r="O868" s="5">
        <f>IF(OR(INDEX($W$2:$W$1001,MATCH(ROWS($V$2:V868),$V$2:$V$1001,0),1)&gt;=100000,INDEX($AC$1005:$AS$1005,1,MATCH(COLUMNS($AC$1006:AP1006),$AC$1006:$AS$1006,0))&gt;=100000), " ",IF(INDEX($AC$2:$AS$1001,MATCH(ROWS($V$2:V868),$V$2:$V$1001,0),MATCH(COLUMNS($AC$1006:AP1006),$AC$1006:$AS$1006,0)), HYPERLINK("#",""), HYPERLINK(CONCATENATE("#Metadata!", ADDRESS(INDEX($X$2:$X$1001,MATCH(ROWS($V$2:V868),$V$2:$V$1001,0),0), INDEX($AC$1004:$AS$1004,1,MATCH(COLUMNS($AC$1006:AP1006),$AC$1006:$AS$1006,0)))),"Fix")))</f>
        <v>0</v>
      </c>
      <c r="P868" s="5">
        <f>IF(OR(INDEX($W$2:$W$1001,MATCH(ROWS($V$2:V868),$V$2:$V$1001,0),1)&gt;=100000,INDEX($AC$1005:$AS$1005,1,MATCH(COLUMNS($AC$1006:AQ1006),$AC$1006:$AS$1006,0))&gt;=100000), " ",IF(INDEX($AC$2:$AS$1001,MATCH(ROWS($V$2:V868),$V$2:$V$1001,0),MATCH(COLUMNS($AC$1006:AQ1006),$AC$1006:$AS$1006,0)), HYPERLINK("#",""), HYPERLINK(CONCATENATE("#Metadata!", ADDRESS(INDEX($X$2:$X$1001,MATCH(ROWS($V$2:V868),$V$2:$V$1001,0),0), INDEX($AC$1004:$AS$1004,1,MATCH(COLUMNS($AC$1006:AQ1006),$AC$1006:$AS$1006,0)))),"Fix")))</f>
        <v>0</v>
      </c>
      <c r="Q868" s="5">
        <f>IF(OR(INDEX($W$2:$W$1001,MATCH(ROWS($V$2:V868),$V$2:$V$1001,0),1)&gt;=100000,INDEX($AC$1005:$AS$1005,1,MATCH(COLUMNS($AC$1006:AR1006),$AC$1006:$AS$1006,0))&gt;=100000), " ",IF(INDEX($AC$2:$AS$1001,MATCH(ROWS($V$2:V868),$V$2:$V$1001,0),MATCH(COLUMNS($AC$1006:AR1006),$AC$1006:$AS$1006,0)), HYPERLINK("#",""), HYPERLINK(CONCATENATE("#Metadata!", ADDRESS(INDEX($X$2:$X$1001,MATCH(ROWS($V$2:V868),$V$2:$V$1001,0),0), INDEX($AC$1004:$AS$1004,1,MATCH(COLUMNS($AC$1006:AR1006),$AC$1006:$AS$1006,0)))),"Fix")))</f>
        <v>0</v>
      </c>
      <c r="R868" s="5">
        <f>IF(OR(INDEX($W$2:$W$1001,MATCH(ROWS($V$2:V868),$V$2:$V$1001,0),1)&gt;=100000,INDEX($AC$1005:$AS$1005,1,MATCH(COLUMNS($AC$1006:AS1006),$AC$1006:$AS$1006,0))&gt;=100000), " ",IF(INDEX($AC$2:$AS$1001,MATCH(ROWS($V$2:V868),$V$2:$V$1001,0),MATCH(COLUMNS($AC$1006:AS1006),$AC$1006:$AS$1006,0)), HYPERLINK("#",""), HYPERLINK(CONCATENATE("#Metadata!", ADDRESS(INDEX($X$2:$X$1001,MATCH(ROWS($V$2:V868),$V$2:$V$1001,0),0), INDEX($AC$1004:$AS$1004,1,MATCH(COLUMNS($AC$1006:AS1006),$AC$1006:$AS$1006,0)))),"Fix")))</f>
        <v>0</v>
      </c>
      <c r="V868">
        <v>0</v>
      </c>
      <c r="W868">
        <v>0</v>
      </c>
      <c r="X868">
        <v>0</v>
      </c>
      <c r="Y868">
        <f>IF(Z868,TRUE,AND(AC868:AS868))</f>
        <v>0</v>
      </c>
      <c r="Z868">
        <f>COUNTBLANK(Metadata!B868:R868)=COLUMNS(Metadata!B868:R868)</f>
        <v>0</v>
      </c>
      <c r="AA868">
        <v>0</v>
      </c>
      <c r="AC868">
        <f>AND(IF(Metadata!B868="",FALSE,TRUE),COUNTIF(Metadata!B:B, Metadata!B868) = 1,NOT(ISERROR(SUMPRODUCT(SEARCH(MID(Metadata!B868,ROW(INDIRECT("1:"&amp;LEN(Metadata!B868))), 1),"0123456789abcdefghijklmnopqrstuvwxyzABCDEFGHIJKLMNOPQRSTUVWXYZ.")))))</f>
        <v>0</v>
      </c>
      <c r="AD868">
        <f>AND(IF(Metadata!C868="",FALSE,TRUE),exact(Metadata!C868,"Host-associated"))</f>
        <v>0</v>
      </c>
      <c r="AE868">
        <f>AND(IF(Metadata!D868="",FALSE,TRUE),OR(exact(Metadata!D868,"Animal"),exact(Metadata!D868,"Fungus"),exact(Metadata!D868,"Plant")))</f>
        <v>0</v>
      </c>
      <c r="AF868">
        <f>AND(IF(Metadata!E868="",FALSE,TRUE),OR(exact(Metadata!E868,"Plant secretion"),exact(Metadata!E868,"Plant rhizosphere"),exact(Metadata!E868,"Plant surface"),exact(Metadata!E868,"Plant corpus"),exact(Metadata!E868,"Fungus surface"),exact(Metadata!E868,"Fungus corpus"),exact(Metadata!E868,"Animal surface"),exact(Metadata!E868,"Animal proximal gut"),exact(Metadata!E868,"Animal corpus"),exact(Metadata!E868,"Animal distal gut"),exact(Metadata!E868,"Animal secretion")))</f>
        <v>0</v>
      </c>
      <c r="AG868">
        <f>OR(AND(IF(Metadata!F868="",FALSE,TRUE),OR(exact(Metadata!F868,"not collected"),exact(Metadata!F868,"not provided"),exact(Metadata!F868,"restricted access"))),AND(IF(Metadata!F868="",FALSE,TRUE),OR(exact(Metadata!F868,"organism-associated habitat"),exact(Metadata!F868,"plant-associated habitat"),exact(Metadata!F868,"animal-associated habitat"),exact(Metadata!F868,"insecta-associated habitat"),exact(Metadata!F868,"mammalia-associated habitat"),exact(Metadata!F868,"human-associated habitat"),exact(Metadata!F868,"livestock-associated habitat"))))</f>
        <v>0</v>
      </c>
      <c r="AH868">
        <f>AND(IF(Metadata!G868="",FALSE,TRUE),exact(Metadata!G868,"host-associated"))</f>
        <v>0</v>
      </c>
      <c r="AI868">
        <f>OR(AND(IF(Metadata!H868="",FALSE,TRUE),OR(exact(Metadata!H868,"not collected"),exact(Metadata!H868,"not provided"))),AND(IF(Metadata!H868="",FALSE,ISNUMBER(VALUE(Metadata!H868))),Metadata!H868&gt;0))</f>
        <v>0</v>
      </c>
      <c r="AJ868">
        <f>AND(IF(Metadata!I868="",FALSE,TRUE),exact(Metadata!I868,"years"))</f>
        <v>0</v>
      </c>
      <c r="AK868">
        <f>IF(Metadata!J868="",FALSE,TRUE)</f>
        <v>0</v>
      </c>
      <c r="AL868">
        <f>OR(AND(IF(Metadata!K868="",FALSE,TRUE),OR(exact(Metadata!K868,"not collected"),exact(Metadata!K868,"not provided"))),AND(IF(Metadata!K868="",FALSE,ISNUMBER(VALUE(Metadata!K868))),Metadata!K868&gt;0))</f>
        <v>0</v>
      </c>
      <c r="AM868">
        <f>AND(IF(Metadata!L868="",FALSE,TRUE),exact(Metadata!L868,"cm"))</f>
        <v>0</v>
      </c>
      <c r="AN868">
        <f>IF(Metadata!M868="",FALSE,TRUE)</f>
        <v>0</v>
      </c>
      <c r="AO868">
        <f>OR(AND(IF(Metadata!N868="",FALSE,TRUE),OR(exact(Metadata!N868,"not applicable"),exact(Metadata!N868,"not collected"),exact(Metadata!N868,"not provided"))),AND(IF(Metadata!N868="",FALSE,IF(ISERROR(INT(Metadata!N868)),FALSE,INT(Metadata!N868)=Metadata!N868)),Metadata!N868&gt;0))</f>
        <v>0</v>
      </c>
      <c r="AP868">
        <f>OR(AND(IF(Metadata!O868="",FALSE,TRUE),OR(exact(Metadata!O868,"not collected"),exact(Metadata!O868,"not provided"))),AND(IF(Metadata!O868="",FALSE,ISNUMBER(VALUE(Metadata!O868))),Metadata!O868&gt;0))</f>
        <v>0</v>
      </c>
      <c r="AQ868">
        <f>AND(IF(Metadata!P868="",FALSE,TRUE),exact(Metadata!P868,"kg"))</f>
        <v>0</v>
      </c>
      <c r="AR868">
        <f>OR(AND(IF(Metadata!Q868="",FALSE,TRUE),OR(exact(Metadata!Q868,"not applicable"),exact(Metadata!Q868,"not collected"),exact(Metadata!Q868,"not provided"),exact(Metadata!Q868,"restricted access"))),IF(Metadata!Q868="",FALSE,IF(ISERROR(INT(Metadata!Q868)),FALSE,INT(Metadata!Q868)=Metadata!Q868)))</f>
        <v>0</v>
      </c>
      <c r="AS868">
        <f>AND(IF(Metadata!R868="",FALSE,TRUE),exact(Metadata!R868,"Not applicable"))</f>
        <v>0</v>
      </c>
    </row>
    <row r="869" spans="1:45">
      <c r="A869" s="4">
        <f>IF(B869=" "," ",HYPERLINK(CONCATENATE("#metadata!",ADDRESS(INDEX($X$2:$X$1001,MATCH(ROWS($V$2:V869),$V$2:$V$1001,0),0),2)),INDEX($AA$2:$AA$1001,MATCH(ROWS($V$2:V869),$V$2:$V$1001,0),0)))</f>
        <v>0</v>
      </c>
      <c r="B869" s="5">
        <f>IF(OR(INDEX($W$2:$W$1001,MATCH(ROWS($V$2:V869),$V$2:$V$1001,0),1)&gt;=100000,INDEX($AC$1005:$AS$1005,1,MATCH(COLUMNS($AC$1006:AC1006),$AC$1006:$AS$1006,0))&gt;=100000), " ",IF(INDEX($AC$2:$AS$1001,MATCH(ROWS($V$2:V869),$V$2:$V$1001,0),MATCH(COLUMNS($AC$1006:AC1006),$AC$1006:$AS$1006,0)), HYPERLINK("#",""), HYPERLINK(CONCATENATE("#Metadata!", ADDRESS(INDEX($X$2:$X$1001,MATCH(ROWS($V$2:V869),$V$2:$V$1001,0),0), INDEX($AC$1004:$AS$1004,1,MATCH(COLUMNS($AC$1006:AC1006),$AC$1006:$AS$1006,0)))),"Fix")))</f>
        <v>0</v>
      </c>
      <c r="C869" s="5">
        <f>IF(OR(INDEX($W$2:$W$1001,MATCH(ROWS($V$2:V869),$V$2:$V$1001,0),1)&gt;=100000,INDEX($AC$1005:$AS$1005,1,MATCH(COLUMNS($AC$1006:AD1006),$AC$1006:$AS$1006,0))&gt;=100000), " ",IF(INDEX($AC$2:$AS$1001,MATCH(ROWS($V$2:V869),$V$2:$V$1001,0),MATCH(COLUMNS($AC$1006:AD1006),$AC$1006:$AS$1006,0)), HYPERLINK("#",""), HYPERLINK(CONCATENATE("#Metadata!", ADDRESS(INDEX($X$2:$X$1001,MATCH(ROWS($V$2:V869),$V$2:$V$1001,0),0), INDEX($AC$1004:$AS$1004,1,MATCH(COLUMNS($AC$1006:AD1006),$AC$1006:$AS$1006,0)))),"Fix")))</f>
        <v>0</v>
      </c>
      <c r="D869" s="5">
        <f>IF(OR(INDEX($W$2:$W$1001,MATCH(ROWS($V$2:V869),$V$2:$V$1001,0),1)&gt;=100000,INDEX($AC$1005:$AS$1005,1,MATCH(COLUMNS($AC$1006:AE1006),$AC$1006:$AS$1006,0))&gt;=100000), " ",IF(INDEX($AC$2:$AS$1001,MATCH(ROWS($V$2:V869),$V$2:$V$1001,0),MATCH(COLUMNS($AC$1006:AE1006),$AC$1006:$AS$1006,0)), HYPERLINK("#",""), HYPERLINK(CONCATENATE("#Metadata!", ADDRESS(INDEX($X$2:$X$1001,MATCH(ROWS($V$2:V869),$V$2:$V$1001,0),0), INDEX($AC$1004:$AS$1004,1,MATCH(COLUMNS($AC$1006:AE1006),$AC$1006:$AS$1006,0)))),"Fix")))</f>
        <v>0</v>
      </c>
      <c r="E869" s="5">
        <f>IF(OR(INDEX($W$2:$W$1001,MATCH(ROWS($V$2:V869),$V$2:$V$1001,0),1)&gt;=100000,INDEX($AC$1005:$AS$1005,1,MATCH(COLUMNS($AC$1006:AF1006),$AC$1006:$AS$1006,0))&gt;=100000), " ",IF(INDEX($AC$2:$AS$1001,MATCH(ROWS($V$2:V869),$V$2:$V$1001,0),MATCH(COLUMNS($AC$1006:AF1006),$AC$1006:$AS$1006,0)), HYPERLINK("#",""), HYPERLINK(CONCATENATE("#Metadata!", ADDRESS(INDEX($X$2:$X$1001,MATCH(ROWS($V$2:V869),$V$2:$V$1001,0),0), INDEX($AC$1004:$AS$1004,1,MATCH(COLUMNS($AC$1006:AF1006),$AC$1006:$AS$1006,0)))),"Fix")))</f>
        <v>0</v>
      </c>
      <c r="F869" s="5">
        <f>IF(OR(INDEX($W$2:$W$1001,MATCH(ROWS($V$2:V869),$V$2:$V$1001,0),1)&gt;=100000,INDEX($AC$1005:$AS$1005,1,MATCH(COLUMNS($AC$1006:AG1006),$AC$1006:$AS$1006,0))&gt;=100000), " ",IF(INDEX($AC$2:$AS$1001,MATCH(ROWS($V$2:V869),$V$2:$V$1001,0),MATCH(COLUMNS($AC$1006:AG1006),$AC$1006:$AS$1006,0)), HYPERLINK("#",""), HYPERLINK(CONCATENATE("#Metadata!", ADDRESS(INDEX($X$2:$X$1001,MATCH(ROWS($V$2:V869),$V$2:$V$1001,0),0), INDEX($AC$1004:$AS$1004,1,MATCH(COLUMNS($AC$1006:AG1006),$AC$1006:$AS$1006,0)))),"Fix")))</f>
        <v>0</v>
      </c>
      <c r="G869" s="5">
        <f>IF(OR(INDEX($W$2:$W$1001,MATCH(ROWS($V$2:V869),$V$2:$V$1001,0),1)&gt;=100000,INDEX($AC$1005:$AS$1005,1,MATCH(COLUMNS($AC$1006:AH1006),$AC$1006:$AS$1006,0))&gt;=100000), " ",IF(INDEX($AC$2:$AS$1001,MATCH(ROWS($V$2:V869),$V$2:$V$1001,0),MATCH(COLUMNS($AC$1006:AH1006),$AC$1006:$AS$1006,0)), HYPERLINK("#",""), HYPERLINK(CONCATENATE("#Metadata!", ADDRESS(INDEX($X$2:$X$1001,MATCH(ROWS($V$2:V869),$V$2:$V$1001,0),0), INDEX($AC$1004:$AS$1004,1,MATCH(COLUMNS($AC$1006:AH1006),$AC$1006:$AS$1006,0)))),"Fix")))</f>
        <v>0</v>
      </c>
      <c r="H869" s="5">
        <f>IF(OR(INDEX($W$2:$W$1001,MATCH(ROWS($V$2:V869),$V$2:$V$1001,0),1)&gt;=100000,INDEX($AC$1005:$AS$1005,1,MATCH(COLUMNS($AC$1006:AI1006),$AC$1006:$AS$1006,0))&gt;=100000), " ",IF(INDEX($AC$2:$AS$1001,MATCH(ROWS($V$2:V869),$V$2:$V$1001,0),MATCH(COLUMNS($AC$1006:AI1006),$AC$1006:$AS$1006,0)), HYPERLINK("#",""), HYPERLINK(CONCATENATE("#Metadata!", ADDRESS(INDEX($X$2:$X$1001,MATCH(ROWS($V$2:V869),$V$2:$V$1001,0),0), INDEX($AC$1004:$AS$1004,1,MATCH(COLUMNS($AC$1006:AI1006),$AC$1006:$AS$1006,0)))),"Fix")))</f>
        <v>0</v>
      </c>
      <c r="I869" s="5">
        <f>IF(OR(INDEX($W$2:$W$1001,MATCH(ROWS($V$2:V869),$V$2:$V$1001,0),1)&gt;=100000,INDEX($AC$1005:$AS$1005,1,MATCH(COLUMNS($AC$1006:AJ1006),$AC$1006:$AS$1006,0))&gt;=100000), " ",IF(INDEX($AC$2:$AS$1001,MATCH(ROWS($V$2:V869),$V$2:$V$1001,0),MATCH(COLUMNS($AC$1006:AJ1006),$AC$1006:$AS$1006,0)), HYPERLINK("#",""), HYPERLINK(CONCATENATE("#Metadata!", ADDRESS(INDEX($X$2:$X$1001,MATCH(ROWS($V$2:V869),$V$2:$V$1001,0),0), INDEX($AC$1004:$AS$1004,1,MATCH(COLUMNS($AC$1006:AJ1006),$AC$1006:$AS$1006,0)))),"Fix")))</f>
        <v>0</v>
      </c>
      <c r="J869" s="5">
        <f>IF(OR(INDEX($W$2:$W$1001,MATCH(ROWS($V$2:V869),$V$2:$V$1001,0),1)&gt;=100000,INDEX($AC$1005:$AS$1005,1,MATCH(COLUMNS($AC$1006:AK1006),$AC$1006:$AS$1006,0))&gt;=100000), " ",IF(INDEX($AC$2:$AS$1001,MATCH(ROWS($V$2:V869),$V$2:$V$1001,0),MATCH(COLUMNS($AC$1006:AK1006),$AC$1006:$AS$1006,0)), HYPERLINK("#",""), HYPERLINK(CONCATENATE("#Metadata!", ADDRESS(INDEX($X$2:$X$1001,MATCH(ROWS($V$2:V869),$V$2:$V$1001,0),0), INDEX($AC$1004:$AS$1004,1,MATCH(COLUMNS($AC$1006:AK1006),$AC$1006:$AS$1006,0)))),"Fix")))</f>
        <v>0</v>
      </c>
      <c r="K869" s="5">
        <f>IF(OR(INDEX($W$2:$W$1001,MATCH(ROWS($V$2:V869),$V$2:$V$1001,0),1)&gt;=100000,INDEX($AC$1005:$AS$1005,1,MATCH(COLUMNS($AC$1006:AL1006),$AC$1006:$AS$1006,0))&gt;=100000), " ",IF(INDEX($AC$2:$AS$1001,MATCH(ROWS($V$2:V869),$V$2:$V$1001,0),MATCH(COLUMNS($AC$1006:AL1006),$AC$1006:$AS$1006,0)), HYPERLINK("#",""), HYPERLINK(CONCATENATE("#Metadata!", ADDRESS(INDEX($X$2:$X$1001,MATCH(ROWS($V$2:V869),$V$2:$V$1001,0),0), INDEX($AC$1004:$AS$1004,1,MATCH(COLUMNS($AC$1006:AL1006),$AC$1006:$AS$1006,0)))),"Fix")))</f>
        <v>0</v>
      </c>
      <c r="L869" s="5">
        <f>IF(OR(INDEX($W$2:$W$1001,MATCH(ROWS($V$2:V869),$V$2:$V$1001,0),1)&gt;=100000,INDEX($AC$1005:$AS$1005,1,MATCH(COLUMNS($AC$1006:AM1006),$AC$1006:$AS$1006,0))&gt;=100000), " ",IF(INDEX($AC$2:$AS$1001,MATCH(ROWS($V$2:V869),$V$2:$V$1001,0),MATCH(COLUMNS($AC$1006:AM1006),$AC$1006:$AS$1006,0)), HYPERLINK("#",""), HYPERLINK(CONCATENATE("#Metadata!", ADDRESS(INDEX($X$2:$X$1001,MATCH(ROWS($V$2:V869),$V$2:$V$1001,0),0), INDEX($AC$1004:$AS$1004,1,MATCH(COLUMNS($AC$1006:AM1006),$AC$1006:$AS$1006,0)))),"Fix")))</f>
        <v>0</v>
      </c>
      <c r="M869" s="5">
        <f>IF(OR(INDEX($W$2:$W$1001,MATCH(ROWS($V$2:V869),$V$2:$V$1001,0),1)&gt;=100000,INDEX($AC$1005:$AS$1005,1,MATCH(COLUMNS($AC$1006:AN1006),$AC$1006:$AS$1006,0))&gt;=100000), " ",IF(INDEX($AC$2:$AS$1001,MATCH(ROWS($V$2:V869),$V$2:$V$1001,0),MATCH(COLUMNS($AC$1006:AN1006),$AC$1006:$AS$1006,0)), HYPERLINK("#",""), HYPERLINK(CONCATENATE("#Metadata!", ADDRESS(INDEX($X$2:$X$1001,MATCH(ROWS($V$2:V869),$V$2:$V$1001,0),0), INDEX($AC$1004:$AS$1004,1,MATCH(COLUMNS($AC$1006:AN1006),$AC$1006:$AS$1006,0)))),"Fix")))</f>
        <v>0</v>
      </c>
      <c r="N869" s="5">
        <f>IF(OR(INDEX($W$2:$W$1001,MATCH(ROWS($V$2:V869),$V$2:$V$1001,0),1)&gt;=100000,INDEX($AC$1005:$AS$1005,1,MATCH(COLUMNS($AC$1006:AO1006),$AC$1006:$AS$1006,0))&gt;=100000), " ",IF(INDEX($AC$2:$AS$1001,MATCH(ROWS($V$2:V869),$V$2:$V$1001,0),MATCH(COLUMNS($AC$1006:AO1006),$AC$1006:$AS$1006,0)), HYPERLINK("#",""), HYPERLINK(CONCATENATE("#Metadata!", ADDRESS(INDEX($X$2:$X$1001,MATCH(ROWS($V$2:V869),$V$2:$V$1001,0),0), INDEX($AC$1004:$AS$1004,1,MATCH(COLUMNS($AC$1006:AO1006),$AC$1006:$AS$1006,0)))),"Fix")))</f>
        <v>0</v>
      </c>
      <c r="O869" s="5">
        <f>IF(OR(INDEX($W$2:$W$1001,MATCH(ROWS($V$2:V869),$V$2:$V$1001,0),1)&gt;=100000,INDEX($AC$1005:$AS$1005,1,MATCH(COLUMNS($AC$1006:AP1006),$AC$1006:$AS$1006,0))&gt;=100000), " ",IF(INDEX($AC$2:$AS$1001,MATCH(ROWS($V$2:V869),$V$2:$V$1001,0),MATCH(COLUMNS($AC$1006:AP1006),$AC$1006:$AS$1006,0)), HYPERLINK("#",""), HYPERLINK(CONCATENATE("#Metadata!", ADDRESS(INDEX($X$2:$X$1001,MATCH(ROWS($V$2:V869),$V$2:$V$1001,0),0), INDEX($AC$1004:$AS$1004,1,MATCH(COLUMNS($AC$1006:AP1006),$AC$1006:$AS$1006,0)))),"Fix")))</f>
        <v>0</v>
      </c>
      <c r="P869" s="5">
        <f>IF(OR(INDEX($W$2:$W$1001,MATCH(ROWS($V$2:V869),$V$2:$V$1001,0),1)&gt;=100000,INDEX($AC$1005:$AS$1005,1,MATCH(COLUMNS($AC$1006:AQ1006),$AC$1006:$AS$1006,0))&gt;=100000), " ",IF(INDEX($AC$2:$AS$1001,MATCH(ROWS($V$2:V869),$V$2:$V$1001,0),MATCH(COLUMNS($AC$1006:AQ1006),$AC$1006:$AS$1006,0)), HYPERLINK("#",""), HYPERLINK(CONCATENATE("#Metadata!", ADDRESS(INDEX($X$2:$X$1001,MATCH(ROWS($V$2:V869),$V$2:$V$1001,0),0), INDEX($AC$1004:$AS$1004,1,MATCH(COLUMNS($AC$1006:AQ1006),$AC$1006:$AS$1006,0)))),"Fix")))</f>
        <v>0</v>
      </c>
      <c r="Q869" s="5">
        <f>IF(OR(INDEX($W$2:$W$1001,MATCH(ROWS($V$2:V869),$V$2:$V$1001,0),1)&gt;=100000,INDEX($AC$1005:$AS$1005,1,MATCH(COLUMNS($AC$1006:AR1006),$AC$1006:$AS$1006,0))&gt;=100000), " ",IF(INDEX($AC$2:$AS$1001,MATCH(ROWS($V$2:V869),$V$2:$V$1001,0),MATCH(COLUMNS($AC$1006:AR1006),$AC$1006:$AS$1006,0)), HYPERLINK("#",""), HYPERLINK(CONCATENATE("#Metadata!", ADDRESS(INDEX($X$2:$X$1001,MATCH(ROWS($V$2:V869),$V$2:$V$1001,0),0), INDEX($AC$1004:$AS$1004,1,MATCH(COLUMNS($AC$1006:AR1006),$AC$1006:$AS$1006,0)))),"Fix")))</f>
        <v>0</v>
      </c>
      <c r="R869" s="5">
        <f>IF(OR(INDEX($W$2:$W$1001,MATCH(ROWS($V$2:V869),$V$2:$V$1001,0),1)&gt;=100000,INDEX($AC$1005:$AS$1005,1,MATCH(COLUMNS($AC$1006:AS1006),$AC$1006:$AS$1006,0))&gt;=100000), " ",IF(INDEX($AC$2:$AS$1001,MATCH(ROWS($V$2:V869),$V$2:$V$1001,0),MATCH(COLUMNS($AC$1006:AS1006),$AC$1006:$AS$1006,0)), HYPERLINK("#",""), HYPERLINK(CONCATENATE("#Metadata!", ADDRESS(INDEX($X$2:$X$1001,MATCH(ROWS($V$2:V869),$V$2:$V$1001,0),0), INDEX($AC$1004:$AS$1004,1,MATCH(COLUMNS($AC$1006:AS1006),$AC$1006:$AS$1006,0)))),"Fix")))</f>
        <v>0</v>
      </c>
      <c r="V869">
        <v>0</v>
      </c>
      <c r="W869">
        <v>0</v>
      </c>
      <c r="X869">
        <v>0</v>
      </c>
      <c r="Y869">
        <f>IF(Z869,TRUE,AND(AC869:AS869))</f>
        <v>0</v>
      </c>
      <c r="Z869">
        <f>COUNTBLANK(Metadata!B869:R869)=COLUMNS(Metadata!B869:R869)</f>
        <v>0</v>
      </c>
      <c r="AA869">
        <v>0</v>
      </c>
      <c r="AC869">
        <f>AND(IF(Metadata!B869="",FALSE,TRUE),COUNTIF(Metadata!B:B, Metadata!B869) = 1,NOT(ISERROR(SUMPRODUCT(SEARCH(MID(Metadata!B869,ROW(INDIRECT("1:"&amp;LEN(Metadata!B869))), 1),"0123456789abcdefghijklmnopqrstuvwxyzABCDEFGHIJKLMNOPQRSTUVWXYZ.")))))</f>
        <v>0</v>
      </c>
      <c r="AD869">
        <f>AND(IF(Metadata!C869="",FALSE,TRUE),exact(Metadata!C869,"Host-associated"))</f>
        <v>0</v>
      </c>
      <c r="AE869">
        <f>AND(IF(Metadata!D869="",FALSE,TRUE),OR(exact(Metadata!D869,"Animal"),exact(Metadata!D869,"Fungus"),exact(Metadata!D869,"Plant")))</f>
        <v>0</v>
      </c>
      <c r="AF869">
        <f>AND(IF(Metadata!E869="",FALSE,TRUE),OR(exact(Metadata!E869,"Plant secretion"),exact(Metadata!E869,"Plant rhizosphere"),exact(Metadata!E869,"Plant surface"),exact(Metadata!E869,"Plant corpus"),exact(Metadata!E869,"Fungus surface"),exact(Metadata!E869,"Fungus corpus"),exact(Metadata!E869,"Animal surface"),exact(Metadata!E869,"Animal proximal gut"),exact(Metadata!E869,"Animal corpus"),exact(Metadata!E869,"Animal distal gut"),exact(Metadata!E869,"Animal secretion")))</f>
        <v>0</v>
      </c>
      <c r="AG869">
        <f>OR(AND(IF(Metadata!F869="",FALSE,TRUE),OR(exact(Metadata!F869,"not collected"),exact(Metadata!F869,"not provided"),exact(Metadata!F869,"restricted access"))),AND(IF(Metadata!F869="",FALSE,TRUE),OR(exact(Metadata!F869,"organism-associated habitat"),exact(Metadata!F869,"plant-associated habitat"),exact(Metadata!F869,"animal-associated habitat"),exact(Metadata!F869,"insecta-associated habitat"),exact(Metadata!F869,"mammalia-associated habitat"),exact(Metadata!F869,"human-associated habitat"),exact(Metadata!F869,"livestock-associated habitat"))))</f>
        <v>0</v>
      </c>
      <c r="AH869">
        <f>AND(IF(Metadata!G869="",FALSE,TRUE),exact(Metadata!G869,"host-associated"))</f>
        <v>0</v>
      </c>
      <c r="AI869">
        <f>OR(AND(IF(Metadata!H869="",FALSE,TRUE),OR(exact(Metadata!H869,"not collected"),exact(Metadata!H869,"not provided"))),AND(IF(Metadata!H869="",FALSE,ISNUMBER(VALUE(Metadata!H869))),Metadata!H869&gt;0))</f>
        <v>0</v>
      </c>
      <c r="AJ869">
        <f>AND(IF(Metadata!I869="",FALSE,TRUE),exact(Metadata!I869,"years"))</f>
        <v>0</v>
      </c>
      <c r="AK869">
        <f>IF(Metadata!J869="",FALSE,TRUE)</f>
        <v>0</v>
      </c>
      <c r="AL869">
        <f>OR(AND(IF(Metadata!K869="",FALSE,TRUE),OR(exact(Metadata!K869,"not collected"),exact(Metadata!K869,"not provided"))),AND(IF(Metadata!K869="",FALSE,ISNUMBER(VALUE(Metadata!K869))),Metadata!K869&gt;0))</f>
        <v>0</v>
      </c>
      <c r="AM869">
        <f>AND(IF(Metadata!L869="",FALSE,TRUE),exact(Metadata!L869,"cm"))</f>
        <v>0</v>
      </c>
      <c r="AN869">
        <f>IF(Metadata!M869="",FALSE,TRUE)</f>
        <v>0</v>
      </c>
      <c r="AO869">
        <f>OR(AND(IF(Metadata!N869="",FALSE,TRUE),OR(exact(Metadata!N869,"not applicable"),exact(Metadata!N869,"not collected"),exact(Metadata!N869,"not provided"))),AND(IF(Metadata!N869="",FALSE,IF(ISERROR(INT(Metadata!N869)),FALSE,INT(Metadata!N869)=Metadata!N869)),Metadata!N869&gt;0))</f>
        <v>0</v>
      </c>
      <c r="AP869">
        <f>OR(AND(IF(Metadata!O869="",FALSE,TRUE),OR(exact(Metadata!O869,"not collected"),exact(Metadata!O869,"not provided"))),AND(IF(Metadata!O869="",FALSE,ISNUMBER(VALUE(Metadata!O869))),Metadata!O869&gt;0))</f>
        <v>0</v>
      </c>
      <c r="AQ869">
        <f>AND(IF(Metadata!P869="",FALSE,TRUE),exact(Metadata!P869,"kg"))</f>
        <v>0</v>
      </c>
      <c r="AR869">
        <f>OR(AND(IF(Metadata!Q869="",FALSE,TRUE),OR(exact(Metadata!Q869,"not applicable"),exact(Metadata!Q869,"not collected"),exact(Metadata!Q869,"not provided"),exact(Metadata!Q869,"restricted access"))),IF(Metadata!Q869="",FALSE,IF(ISERROR(INT(Metadata!Q869)),FALSE,INT(Metadata!Q869)=Metadata!Q869)))</f>
        <v>0</v>
      </c>
      <c r="AS869">
        <f>AND(IF(Metadata!R869="",FALSE,TRUE),exact(Metadata!R869,"Not applicable"))</f>
        <v>0</v>
      </c>
    </row>
    <row r="870" spans="1:45">
      <c r="A870" s="4">
        <f>IF(B870=" "," ",HYPERLINK(CONCATENATE("#metadata!",ADDRESS(INDEX($X$2:$X$1001,MATCH(ROWS($V$2:V870),$V$2:$V$1001,0),0),2)),INDEX($AA$2:$AA$1001,MATCH(ROWS($V$2:V870),$V$2:$V$1001,0),0)))</f>
        <v>0</v>
      </c>
      <c r="B870" s="5">
        <f>IF(OR(INDEX($W$2:$W$1001,MATCH(ROWS($V$2:V870),$V$2:$V$1001,0),1)&gt;=100000,INDEX($AC$1005:$AS$1005,1,MATCH(COLUMNS($AC$1006:AC1006),$AC$1006:$AS$1006,0))&gt;=100000), " ",IF(INDEX($AC$2:$AS$1001,MATCH(ROWS($V$2:V870),$V$2:$V$1001,0),MATCH(COLUMNS($AC$1006:AC1006),$AC$1006:$AS$1006,0)), HYPERLINK("#",""), HYPERLINK(CONCATENATE("#Metadata!", ADDRESS(INDEX($X$2:$X$1001,MATCH(ROWS($V$2:V870),$V$2:$V$1001,0),0), INDEX($AC$1004:$AS$1004,1,MATCH(COLUMNS($AC$1006:AC1006),$AC$1006:$AS$1006,0)))),"Fix")))</f>
        <v>0</v>
      </c>
      <c r="C870" s="5">
        <f>IF(OR(INDEX($W$2:$W$1001,MATCH(ROWS($V$2:V870),$V$2:$V$1001,0),1)&gt;=100000,INDEX($AC$1005:$AS$1005,1,MATCH(COLUMNS($AC$1006:AD1006),$AC$1006:$AS$1006,0))&gt;=100000), " ",IF(INDEX($AC$2:$AS$1001,MATCH(ROWS($V$2:V870),$V$2:$V$1001,0),MATCH(COLUMNS($AC$1006:AD1006),$AC$1006:$AS$1006,0)), HYPERLINK("#",""), HYPERLINK(CONCATENATE("#Metadata!", ADDRESS(INDEX($X$2:$X$1001,MATCH(ROWS($V$2:V870),$V$2:$V$1001,0),0), INDEX($AC$1004:$AS$1004,1,MATCH(COLUMNS($AC$1006:AD1006),$AC$1006:$AS$1006,0)))),"Fix")))</f>
        <v>0</v>
      </c>
      <c r="D870" s="5">
        <f>IF(OR(INDEX($W$2:$W$1001,MATCH(ROWS($V$2:V870),$V$2:$V$1001,0),1)&gt;=100000,INDEX($AC$1005:$AS$1005,1,MATCH(COLUMNS($AC$1006:AE1006),$AC$1006:$AS$1006,0))&gt;=100000), " ",IF(INDEX($AC$2:$AS$1001,MATCH(ROWS($V$2:V870),$V$2:$V$1001,0),MATCH(COLUMNS($AC$1006:AE1006),$AC$1006:$AS$1006,0)), HYPERLINK("#",""), HYPERLINK(CONCATENATE("#Metadata!", ADDRESS(INDEX($X$2:$X$1001,MATCH(ROWS($V$2:V870),$V$2:$V$1001,0),0), INDEX($AC$1004:$AS$1004,1,MATCH(COLUMNS($AC$1006:AE1006),$AC$1006:$AS$1006,0)))),"Fix")))</f>
        <v>0</v>
      </c>
      <c r="E870" s="5">
        <f>IF(OR(INDEX($W$2:$W$1001,MATCH(ROWS($V$2:V870),$V$2:$V$1001,0),1)&gt;=100000,INDEX($AC$1005:$AS$1005,1,MATCH(COLUMNS($AC$1006:AF1006),$AC$1006:$AS$1006,0))&gt;=100000), " ",IF(INDEX($AC$2:$AS$1001,MATCH(ROWS($V$2:V870),$V$2:$V$1001,0),MATCH(COLUMNS($AC$1006:AF1006),$AC$1006:$AS$1006,0)), HYPERLINK("#",""), HYPERLINK(CONCATENATE("#Metadata!", ADDRESS(INDEX($X$2:$X$1001,MATCH(ROWS($V$2:V870),$V$2:$V$1001,0),0), INDEX($AC$1004:$AS$1004,1,MATCH(COLUMNS($AC$1006:AF1006),$AC$1006:$AS$1006,0)))),"Fix")))</f>
        <v>0</v>
      </c>
      <c r="F870" s="5">
        <f>IF(OR(INDEX($W$2:$W$1001,MATCH(ROWS($V$2:V870),$V$2:$V$1001,0),1)&gt;=100000,INDEX($AC$1005:$AS$1005,1,MATCH(COLUMNS($AC$1006:AG1006),$AC$1006:$AS$1006,0))&gt;=100000), " ",IF(INDEX($AC$2:$AS$1001,MATCH(ROWS($V$2:V870),$V$2:$V$1001,0),MATCH(COLUMNS($AC$1006:AG1006),$AC$1006:$AS$1006,0)), HYPERLINK("#",""), HYPERLINK(CONCATENATE("#Metadata!", ADDRESS(INDEX($X$2:$X$1001,MATCH(ROWS($V$2:V870),$V$2:$V$1001,0),0), INDEX($AC$1004:$AS$1004,1,MATCH(COLUMNS($AC$1006:AG1006),$AC$1006:$AS$1006,0)))),"Fix")))</f>
        <v>0</v>
      </c>
      <c r="G870" s="5">
        <f>IF(OR(INDEX($W$2:$W$1001,MATCH(ROWS($V$2:V870),$V$2:$V$1001,0),1)&gt;=100000,INDEX($AC$1005:$AS$1005,1,MATCH(COLUMNS($AC$1006:AH1006),$AC$1006:$AS$1006,0))&gt;=100000), " ",IF(INDEX($AC$2:$AS$1001,MATCH(ROWS($V$2:V870),$V$2:$V$1001,0),MATCH(COLUMNS($AC$1006:AH1006),$AC$1006:$AS$1006,0)), HYPERLINK("#",""), HYPERLINK(CONCATENATE("#Metadata!", ADDRESS(INDEX($X$2:$X$1001,MATCH(ROWS($V$2:V870),$V$2:$V$1001,0),0), INDEX($AC$1004:$AS$1004,1,MATCH(COLUMNS($AC$1006:AH1006),$AC$1006:$AS$1006,0)))),"Fix")))</f>
        <v>0</v>
      </c>
      <c r="H870" s="5">
        <f>IF(OR(INDEX($W$2:$W$1001,MATCH(ROWS($V$2:V870),$V$2:$V$1001,0),1)&gt;=100000,INDEX($AC$1005:$AS$1005,1,MATCH(COLUMNS($AC$1006:AI1006),$AC$1006:$AS$1006,0))&gt;=100000), " ",IF(INDEX($AC$2:$AS$1001,MATCH(ROWS($V$2:V870),$V$2:$V$1001,0),MATCH(COLUMNS($AC$1006:AI1006),$AC$1006:$AS$1006,0)), HYPERLINK("#",""), HYPERLINK(CONCATENATE("#Metadata!", ADDRESS(INDEX($X$2:$X$1001,MATCH(ROWS($V$2:V870),$V$2:$V$1001,0),0), INDEX($AC$1004:$AS$1004,1,MATCH(COLUMNS($AC$1006:AI1006),$AC$1006:$AS$1006,0)))),"Fix")))</f>
        <v>0</v>
      </c>
      <c r="I870" s="5">
        <f>IF(OR(INDEX($W$2:$W$1001,MATCH(ROWS($V$2:V870),$V$2:$V$1001,0),1)&gt;=100000,INDEX($AC$1005:$AS$1005,1,MATCH(COLUMNS($AC$1006:AJ1006),$AC$1006:$AS$1006,0))&gt;=100000), " ",IF(INDEX($AC$2:$AS$1001,MATCH(ROWS($V$2:V870),$V$2:$V$1001,0),MATCH(COLUMNS($AC$1006:AJ1006),$AC$1006:$AS$1006,0)), HYPERLINK("#",""), HYPERLINK(CONCATENATE("#Metadata!", ADDRESS(INDEX($X$2:$X$1001,MATCH(ROWS($V$2:V870),$V$2:$V$1001,0),0), INDEX($AC$1004:$AS$1004,1,MATCH(COLUMNS($AC$1006:AJ1006),$AC$1006:$AS$1006,0)))),"Fix")))</f>
        <v>0</v>
      </c>
      <c r="J870" s="5">
        <f>IF(OR(INDEX($W$2:$W$1001,MATCH(ROWS($V$2:V870),$V$2:$V$1001,0),1)&gt;=100000,INDEX($AC$1005:$AS$1005,1,MATCH(COLUMNS($AC$1006:AK1006),$AC$1006:$AS$1006,0))&gt;=100000), " ",IF(INDEX($AC$2:$AS$1001,MATCH(ROWS($V$2:V870),$V$2:$V$1001,0),MATCH(COLUMNS($AC$1006:AK1006),$AC$1006:$AS$1006,0)), HYPERLINK("#",""), HYPERLINK(CONCATENATE("#Metadata!", ADDRESS(INDEX($X$2:$X$1001,MATCH(ROWS($V$2:V870),$V$2:$V$1001,0),0), INDEX($AC$1004:$AS$1004,1,MATCH(COLUMNS($AC$1006:AK1006),$AC$1006:$AS$1006,0)))),"Fix")))</f>
        <v>0</v>
      </c>
      <c r="K870" s="5">
        <f>IF(OR(INDEX($W$2:$W$1001,MATCH(ROWS($V$2:V870),$V$2:$V$1001,0),1)&gt;=100000,INDEX($AC$1005:$AS$1005,1,MATCH(COLUMNS($AC$1006:AL1006),$AC$1006:$AS$1006,0))&gt;=100000), " ",IF(INDEX($AC$2:$AS$1001,MATCH(ROWS($V$2:V870),$V$2:$V$1001,0),MATCH(COLUMNS($AC$1006:AL1006),$AC$1006:$AS$1006,0)), HYPERLINK("#",""), HYPERLINK(CONCATENATE("#Metadata!", ADDRESS(INDEX($X$2:$X$1001,MATCH(ROWS($V$2:V870),$V$2:$V$1001,0),0), INDEX($AC$1004:$AS$1004,1,MATCH(COLUMNS($AC$1006:AL1006),$AC$1006:$AS$1006,0)))),"Fix")))</f>
        <v>0</v>
      </c>
      <c r="L870" s="5">
        <f>IF(OR(INDEX($W$2:$W$1001,MATCH(ROWS($V$2:V870),$V$2:$V$1001,0),1)&gt;=100000,INDEX($AC$1005:$AS$1005,1,MATCH(COLUMNS($AC$1006:AM1006),$AC$1006:$AS$1006,0))&gt;=100000), " ",IF(INDEX($AC$2:$AS$1001,MATCH(ROWS($V$2:V870),$V$2:$V$1001,0),MATCH(COLUMNS($AC$1006:AM1006),$AC$1006:$AS$1006,0)), HYPERLINK("#",""), HYPERLINK(CONCATENATE("#Metadata!", ADDRESS(INDEX($X$2:$X$1001,MATCH(ROWS($V$2:V870),$V$2:$V$1001,0),0), INDEX($AC$1004:$AS$1004,1,MATCH(COLUMNS($AC$1006:AM1006),$AC$1006:$AS$1006,0)))),"Fix")))</f>
        <v>0</v>
      </c>
      <c r="M870" s="5">
        <f>IF(OR(INDEX($W$2:$W$1001,MATCH(ROWS($V$2:V870),$V$2:$V$1001,0),1)&gt;=100000,INDEX($AC$1005:$AS$1005,1,MATCH(COLUMNS($AC$1006:AN1006),$AC$1006:$AS$1006,0))&gt;=100000), " ",IF(INDEX($AC$2:$AS$1001,MATCH(ROWS($V$2:V870),$V$2:$V$1001,0),MATCH(COLUMNS($AC$1006:AN1006),$AC$1006:$AS$1006,0)), HYPERLINK("#",""), HYPERLINK(CONCATENATE("#Metadata!", ADDRESS(INDEX($X$2:$X$1001,MATCH(ROWS($V$2:V870),$V$2:$V$1001,0),0), INDEX($AC$1004:$AS$1004,1,MATCH(COLUMNS($AC$1006:AN1006),$AC$1006:$AS$1006,0)))),"Fix")))</f>
        <v>0</v>
      </c>
      <c r="N870" s="5">
        <f>IF(OR(INDEX($W$2:$W$1001,MATCH(ROWS($V$2:V870),$V$2:$V$1001,0),1)&gt;=100000,INDEX($AC$1005:$AS$1005,1,MATCH(COLUMNS($AC$1006:AO1006),$AC$1006:$AS$1006,0))&gt;=100000), " ",IF(INDEX($AC$2:$AS$1001,MATCH(ROWS($V$2:V870),$V$2:$V$1001,0),MATCH(COLUMNS($AC$1006:AO1006),$AC$1006:$AS$1006,0)), HYPERLINK("#",""), HYPERLINK(CONCATENATE("#Metadata!", ADDRESS(INDEX($X$2:$X$1001,MATCH(ROWS($V$2:V870),$V$2:$V$1001,0),0), INDEX($AC$1004:$AS$1004,1,MATCH(COLUMNS($AC$1006:AO1006),$AC$1006:$AS$1006,0)))),"Fix")))</f>
        <v>0</v>
      </c>
      <c r="O870" s="5">
        <f>IF(OR(INDEX($W$2:$W$1001,MATCH(ROWS($V$2:V870),$V$2:$V$1001,0),1)&gt;=100000,INDEX($AC$1005:$AS$1005,1,MATCH(COLUMNS($AC$1006:AP1006),$AC$1006:$AS$1006,0))&gt;=100000), " ",IF(INDEX($AC$2:$AS$1001,MATCH(ROWS($V$2:V870),$V$2:$V$1001,0),MATCH(COLUMNS($AC$1006:AP1006),$AC$1006:$AS$1006,0)), HYPERLINK("#",""), HYPERLINK(CONCATENATE("#Metadata!", ADDRESS(INDEX($X$2:$X$1001,MATCH(ROWS($V$2:V870),$V$2:$V$1001,0),0), INDEX($AC$1004:$AS$1004,1,MATCH(COLUMNS($AC$1006:AP1006),$AC$1006:$AS$1006,0)))),"Fix")))</f>
        <v>0</v>
      </c>
      <c r="P870" s="5">
        <f>IF(OR(INDEX($W$2:$W$1001,MATCH(ROWS($V$2:V870),$V$2:$V$1001,0),1)&gt;=100000,INDEX($AC$1005:$AS$1005,1,MATCH(COLUMNS($AC$1006:AQ1006),$AC$1006:$AS$1006,0))&gt;=100000), " ",IF(INDEX($AC$2:$AS$1001,MATCH(ROWS($V$2:V870),$V$2:$V$1001,0),MATCH(COLUMNS($AC$1006:AQ1006),$AC$1006:$AS$1006,0)), HYPERLINK("#",""), HYPERLINK(CONCATENATE("#Metadata!", ADDRESS(INDEX($X$2:$X$1001,MATCH(ROWS($V$2:V870),$V$2:$V$1001,0),0), INDEX($AC$1004:$AS$1004,1,MATCH(COLUMNS($AC$1006:AQ1006),$AC$1006:$AS$1006,0)))),"Fix")))</f>
        <v>0</v>
      </c>
      <c r="Q870" s="5">
        <f>IF(OR(INDEX($W$2:$W$1001,MATCH(ROWS($V$2:V870),$V$2:$V$1001,0),1)&gt;=100000,INDEX($AC$1005:$AS$1005,1,MATCH(COLUMNS($AC$1006:AR1006),$AC$1006:$AS$1006,0))&gt;=100000), " ",IF(INDEX($AC$2:$AS$1001,MATCH(ROWS($V$2:V870),$V$2:$V$1001,0),MATCH(COLUMNS($AC$1006:AR1006),$AC$1006:$AS$1006,0)), HYPERLINK("#",""), HYPERLINK(CONCATENATE("#Metadata!", ADDRESS(INDEX($X$2:$X$1001,MATCH(ROWS($V$2:V870),$V$2:$V$1001,0),0), INDEX($AC$1004:$AS$1004,1,MATCH(COLUMNS($AC$1006:AR1006),$AC$1006:$AS$1006,0)))),"Fix")))</f>
        <v>0</v>
      </c>
      <c r="R870" s="5">
        <f>IF(OR(INDEX($W$2:$W$1001,MATCH(ROWS($V$2:V870),$V$2:$V$1001,0),1)&gt;=100000,INDEX($AC$1005:$AS$1005,1,MATCH(COLUMNS($AC$1006:AS1006),$AC$1006:$AS$1006,0))&gt;=100000), " ",IF(INDEX($AC$2:$AS$1001,MATCH(ROWS($V$2:V870),$V$2:$V$1001,0),MATCH(COLUMNS($AC$1006:AS1006),$AC$1006:$AS$1006,0)), HYPERLINK("#",""), HYPERLINK(CONCATENATE("#Metadata!", ADDRESS(INDEX($X$2:$X$1001,MATCH(ROWS($V$2:V870),$V$2:$V$1001,0),0), INDEX($AC$1004:$AS$1004,1,MATCH(COLUMNS($AC$1006:AS1006),$AC$1006:$AS$1006,0)))),"Fix")))</f>
        <v>0</v>
      </c>
      <c r="V870">
        <v>0</v>
      </c>
      <c r="W870">
        <v>0</v>
      </c>
      <c r="X870">
        <v>0</v>
      </c>
      <c r="Y870">
        <f>IF(Z870,TRUE,AND(AC870:AS870))</f>
        <v>0</v>
      </c>
      <c r="Z870">
        <f>COUNTBLANK(Metadata!B870:R870)=COLUMNS(Metadata!B870:R870)</f>
        <v>0</v>
      </c>
      <c r="AA870">
        <v>0</v>
      </c>
      <c r="AC870">
        <f>AND(IF(Metadata!B870="",FALSE,TRUE),COUNTIF(Metadata!B:B, Metadata!B870) = 1,NOT(ISERROR(SUMPRODUCT(SEARCH(MID(Metadata!B870,ROW(INDIRECT("1:"&amp;LEN(Metadata!B870))), 1),"0123456789abcdefghijklmnopqrstuvwxyzABCDEFGHIJKLMNOPQRSTUVWXYZ.")))))</f>
        <v>0</v>
      </c>
      <c r="AD870">
        <f>AND(IF(Metadata!C870="",FALSE,TRUE),exact(Metadata!C870,"Host-associated"))</f>
        <v>0</v>
      </c>
      <c r="AE870">
        <f>AND(IF(Metadata!D870="",FALSE,TRUE),OR(exact(Metadata!D870,"Animal"),exact(Metadata!D870,"Fungus"),exact(Metadata!D870,"Plant")))</f>
        <v>0</v>
      </c>
      <c r="AF870">
        <f>AND(IF(Metadata!E870="",FALSE,TRUE),OR(exact(Metadata!E870,"Plant secretion"),exact(Metadata!E870,"Plant rhizosphere"),exact(Metadata!E870,"Plant surface"),exact(Metadata!E870,"Plant corpus"),exact(Metadata!E870,"Fungus surface"),exact(Metadata!E870,"Fungus corpus"),exact(Metadata!E870,"Animal surface"),exact(Metadata!E870,"Animal proximal gut"),exact(Metadata!E870,"Animal corpus"),exact(Metadata!E870,"Animal distal gut"),exact(Metadata!E870,"Animal secretion")))</f>
        <v>0</v>
      </c>
      <c r="AG870">
        <f>OR(AND(IF(Metadata!F870="",FALSE,TRUE),OR(exact(Metadata!F870,"not collected"),exact(Metadata!F870,"not provided"),exact(Metadata!F870,"restricted access"))),AND(IF(Metadata!F870="",FALSE,TRUE),OR(exact(Metadata!F870,"organism-associated habitat"),exact(Metadata!F870,"plant-associated habitat"),exact(Metadata!F870,"animal-associated habitat"),exact(Metadata!F870,"insecta-associated habitat"),exact(Metadata!F870,"mammalia-associated habitat"),exact(Metadata!F870,"human-associated habitat"),exact(Metadata!F870,"livestock-associated habitat"))))</f>
        <v>0</v>
      </c>
      <c r="AH870">
        <f>AND(IF(Metadata!G870="",FALSE,TRUE),exact(Metadata!G870,"host-associated"))</f>
        <v>0</v>
      </c>
      <c r="AI870">
        <f>OR(AND(IF(Metadata!H870="",FALSE,TRUE),OR(exact(Metadata!H870,"not collected"),exact(Metadata!H870,"not provided"))),AND(IF(Metadata!H870="",FALSE,ISNUMBER(VALUE(Metadata!H870))),Metadata!H870&gt;0))</f>
        <v>0</v>
      </c>
      <c r="AJ870">
        <f>AND(IF(Metadata!I870="",FALSE,TRUE),exact(Metadata!I870,"years"))</f>
        <v>0</v>
      </c>
      <c r="AK870">
        <f>IF(Metadata!J870="",FALSE,TRUE)</f>
        <v>0</v>
      </c>
      <c r="AL870">
        <f>OR(AND(IF(Metadata!K870="",FALSE,TRUE),OR(exact(Metadata!K870,"not collected"),exact(Metadata!K870,"not provided"))),AND(IF(Metadata!K870="",FALSE,ISNUMBER(VALUE(Metadata!K870))),Metadata!K870&gt;0))</f>
        <v>0</v>
      </c>
      <c r="AM870">
        <f>AND(IF(Metadata!L870="",FALSE,TRUE),exact(Metadata!L870,"cm"))</f>
        <v>0</v>
      </c>
      <c r="AN870">
        <f>IF(Metadata!M870="",FALSE,TRUE)</f>
        <v>0</v>
      </c>
      <c r="AO870">
        <f>OR(AND(IF(Metadata!N870="",FALSE,TRUE),OR(exact(Metadata!N870,"not applicable"),exact(Metadata!N870,"not collected"),exact(Metadata!N870,"not provided"))),AND(IF(Metadata!N870="",FALSE,IF(ISERROR(INT(Metadata!N870)),FALSE,INT(Metadata!N870)=Metadata!N870)),Metadata!N870&gt;0))</f>
        <v>0</v>
      </c>
      <c r="AP870">
        <f>OR(AND(IF(Metadata!O870="",FALSE,TRUE),OR(exact(Metadata!O870,"not collected"),exact(Metadata!O870,"not provided"))),AND(IF(Metadata!O870="",FALSE,ISNUMBER(VALUE(Metadata!O870))),Metadata!O870&gt;0))</f>
        <v>0</v>
      </c>
      <c r="AQ870">
        <f>AND(IF(Metadata!P870="",FALSE,TRUE),exact(Metadata!P870,"kg"))</f>
        <v>0</v>
      </c>
      <c r="AR870">
        <f>OR(AND(IF(Metadata!Q870="",FALSE,TRUE),OR(exact(Metadata!Q870,"not applicable"),exact(Metadata!Q870,"not collected"),exact(Metadata!Q870,"not provided"),exact(Metadata!Q870,"restricted access"))),IF(Metadata!Q870="",FALSE,IF(ISERROR(INT(Metadata!Q870)),FALSE,INT(Metadata!Q870)=Metadata!Q870)))</f>
        <v>0</v>
      </c>
      <c r="AS870">
        <f>AND(IF(Metadata!R870="",FALSE,TRUE),exact(Metadata!R870,"Not applicable"))</f>
        <v>0</v>
      </c>
    </row>
    <row r="871" spans="1:45">
      <c r="A871" s="4">
        <f>IF(B871=" "," ",HYPERLINK(CONCATENATE("#metadata!",ADDRESS(INDEX($X$2:$X$1001,MATCH(ROWS($V$2:V871),$V$2:$V$1001,0),0),2)),INDEX($AA$2:$AA$1001,MATCH(ROWS($V$2:V871),$V$2:$V$1001,0),0)))</f>
        <v>0</v>
      </c>
      <c r="B871" s="5">
        <f>IF(OR(INDEX($W$2:$W$1001,MATCH(ROWS($V$2:V871),$V$2:$V$1001,0),1)&gt;=100000,INDEX($AC$1005:$AS$1005,1,MATCH(COLUMNS($AC$1006:AC1006),$AC$1006:$AS$1006,0))&gt;=100000), " ",IF(INDEX($AC$2:$AS$1001,MATCH(ROWS($V$2:V871),$V$2:$V$1001,0),MATCH(COLUMNS($AC$1006:AC1006),$AC$1006:$AS$1006,0)), HYPERLINK("#",""), HYPERLINK(CONCATENATE("#Metadata!", ADDRESS(INDEX($X$2:$X$1001,MATCH(ROWS($V$2:V871),$V$2:$V$1001,0),0), INDEX($AC$1004:$AS$1004,1,MATCH(COLUMNS($AC$1006:AC1006),$AC$1006:$AS$1006,0)))),"Fix")))</f>
        <v>0</v>
      </c>
      <c r="C871" s="5">
        <f>IF(OR(INDEX($W$2:$W$1001,MATCH(ROWS($V$2:V871),$V$2:$V$1001,0),1)&gt;=100000,INDEX($AC$1005:$AS$1005,1,MATCH(COLUMNS($AC$1006:AD1006),$AC$1006:$AS$1006,0))&gt;=100000), " ",IF(INDEX($AC$2:$AS$1001,MATCH(ROWS($V$2:V871),$V$2:$V$1001,0),MATCH(COLUMNS($AC$1006:AD1006),$AC$1006:$AS$1006,0)), HYPERLINK("#",""), HYPERLINK(CONCATENATE("#Metadata!", ADDRESS(INDEX($X$2:$X$1001,MATCH(ROWS($V$2:V871),$V$2:$V$1001,0),0), INDEX($AC$1004:$AS$1004,1,MATCH(COLUMNS($AC$1006:AD1006),$AC$1006:$AS$1006,0)))),"Fix")))</f>
        <v>0</v>
      </c>
      <c r="D871" s="5">
        <f>IF(OR(INDEX($W$2:$W$1001,MATCH(ROWS($V$2:V871),$V$2:$V$1001,0),1)&gt;=100000,INDEX($AC$1005:$AS$1005,1,MATCH(COLUMNS($AC$1006:AE1006),$AC$1006:$AS$1006,0))&gt;=100000), " ",IF(INDEX($AC$2:$AS$1001,MATCH(ROWS($V$2:V871),$V$2:$V$1001,0),MATCH(COLUMNS($AC$1006:AE1006),$AC$1006:$AS$1006,0)), HYPERLINK("#",""), HYPERLINK(CONCATENATE("#Metadata!", ADDRESS(INDEX($X$2:$X$1001,MATCH(ROWS($V$2:V871),$V$2:$V$1001,0),0), INDEX($AC$1004:$AS$1004,1,MATCH(COLUMNS($AC$1006:AE1006),$AC$1006:$AS$1006,0)))),"Fix")))</f>
        <v>0</v>
      </c>
      <c r="E871" s="5">
        <f>IF(OR(INDEX($W$2:$W$1001,MATCH(ROWS($V$2:V871),$V$2:$V$1001,0),1)&gt;=100000,INDEX($AC$1005:$AS$1005,1,MATCH(COLUMNS($AC$1006:AF1006),$AC$1006:$AS$1006,0))&gt;=100000), " ",IF(INDEX($AC$2:$AS$1001,MATCH(ROWS($V$2:V871),$V$2:$V$1001,0),MATCH(COLUMNS($AC$1006:AF1006),$AC$1006:$AS$1006,0)), HYPERLINK("#",""), HYPERLINK(CONCATENATE("#Metadata!", ADDRESS(INDEX($X$2:$X$1001,MATCH(ROWS($V$2:V871),$V$2:$V$1001,0),0), INDEX($AC$1004:$AS$1004,1,MATCH(COLUMNS($AC$1006:AF1006),$AC$1006:$AS$1006,0)))),"Fix")))</f>
        <v>0</v>
      </c>
      <c r="F871" s="5">
        <f>IF(OR(INDEX($W$2:$W$1001,MATCH(ROWS($V$2:V871),$V$2:$V$1001,0),1)&gt;=100000,INDEX($AC$1005:$AS$1005,1,MATCH(COLUMNS($AC$1006:AG1006),$AC$1006:$AS$1006,0))&gt;=100000), " ",IF(INDEX($AC$2:$AS$1001,MATCH(ROWS($V$2:V871),$V$2:$V$1001,0),MATCH(COLUMNS($AC$1006:AG1006),$AC$1006:$AS$1006,0)), HYPERLINK("#",""), HYPERLINK(CONCATENATE("#Metadata!", ADDRESS(INDEX($X$2:$X$1001,MATCH(ROWS($V$2:V871),$V$2:$V$1001,0),0), INDEX($AC$1004:$AS$1004,1,MATCH(COLUMNS($AC$1006:AG1006),$AC$1006:$AS$1006,0)))),"Fix")))</f>
        <v>0</v>
      </c>
      <c r="G871" s="5">
        <f>IF(OR(INDEX($W$2:$W$1001,MATCH(ROWS($V$2:V871),$V$2:$V$1001,0),1)&gt;=100000,INDEX($AC$1005:$AS$1005,1,MATCH(COLUMNS($AC$1006:AH1006),$AC$1006:$AS$1006,0))&gt;=100000), " ",IF(INDEX($AC$2:$AS$1001,MATCH(ROWS($V$2:V871),$V$2:$V$1001,0),MATCH(COLUMNS($AC$1006:AH1006),$AC$1006:$AS$1006,0)), HYPERLINK("#",""), HYPERLINK(CONCATENATE("#Metadata!", ADDRESS(INDEX($X$2:$X$1001,MATCH(ROWS($V$2:V871),$V$2:$V$1001,0),0), INDEX($AC$1004:$AS$1004,1,MATCH(COLUMNS($AC$1006:AH1006),$AC$1006:$AS$1006,0)))),"Fix")))</f>
        <v>0</v>
      </c>
      <c r="H871" s="5">
        <f>IF(OR(INDEX($W$2:$W$1001,MATCH(ROWS($V$2:V871),$V$2:$V$1001,0),1)&gt;=100000,INDEX($AC$1005:$AS$1005,1,MATCH(COLUMNS($AC$1006:AI1006),$AC$1006:$AS$1006,0))&gt;=100000), " ",IF(INDEX($AC$2:$AS$1001,MATCH(ROWS($V$2:V871),$V$2:$V$1001,0),MATCH(COLUMNS($AC$1006:AI1006),$AC$1006:$AS$1006,0)), HYPERLINK("#",""), HYPERLINK(CONCATENATE("#Metadata!", ADDRESS(INDEX($X$2:$X$1001,MATCH(ROWS($V$2:V871),$V$2:$V$1001,0),0), INDEX($AC$1004:$AS$1004,1,MATCH(COLUMNS($AC$1006:AI1006),$AC$1006:$AS$1006,0)))),"Fix")))</f>
        <v>0</v>
      </c>
      <c r="I871" s="5">
        <f>IF(OR(INDEX($W$2:$W$1001,MATCH(ROWS($V$2:V871),$V$2:$V$1001,0),1)&gt;=100000,INDEX($AC$1005:$AS$1005,1,MATCH(COLUMNS($AC$1006:AJ1006),$AC$1006:$AS$1006,0))&gt;=100000), " ",IF(INDEX($AC$2:$AS$1001,MATCH(ROWS($V$2:V871),$V$2:$V$1001,0),MATCH(COLUMNS($AC$1006:AJ1006),$AC$1006:$AS$1006,0)), HYPERLINK("#",""), HYPERLINK(CONCATENATE("#Metadata!", ADDRESS(INDEX($X$2:$X$1001,MATCH(ROWS($V$2:V871),$V$2:$V$1001,0),0), INDEX($AC$1004:$AS$1004,1,MATCH(COLUMNS($AC$1006:AJ1006),$AC$1006:$AS$1006,0)))),"Fix")))</f>
        <v>0</v>
      </c>
      <c r="J871" s="5">
        <f>IF(OR(INDEX($W$2:$W$1001,MATCH(ROWS($V$2:V871),$V$2:$V$1001,0),1)&gt;=100000,INDEX($AC$1005:$AS$1005,1,MATCH(COLUMNS($AC$1006:AK1006),$AC$1006:$AS$1006,0))&gt;=100000), " ",IF(INDEX($AC$2:$AS$1001,MATCH(ROWS($V$2:V871),$V$2:$V$1001,0),MATCH(COLUMNS($AC$1006:AK1006),$AC$1006:$AS$1006,0)), HYPERLINK("#",""), HYPERLINK(CONCATENATE("#Metadata!", ADDRESS(INDEX($X$2:$X$1001,MATCH(ROWS($V$2:V871),$V$2:$V$1001,0),0), INDEX($AC$1004:$AS$1004,1,MATCH(COLUMNS($AC$1006:AK1006),$AC$1006:$AS$1006,0)))),"Fix")))</f>
        <v>0</v>
      </c>
      <c r="K871" s="5">
        <f>IF(OR(INDEX($W$2:$W$1001,MATCH(ROWS($V$2:V871),$V$2:$V$1001,0),1)&gt;=100000,INDEX($AC$1005:$AS$1005,1,MATCH(COLUMNS($AC$1006:AL1006),$AC$1006:$AS$1006,0))&gt;=100000), " ",IF(INDEX($AC$2:$AS$1001,MATCH(ROWS($V$2:V871),$V$2:$V$1001,0),MATCH(COLUMNS($AC$1006:AL1006),$AC$1006:$AS$1006,0)), HYPERLINK("#",""), HYPERLINK(CONCATENATE("#Metadata!", ADDRESS(INDEX($X$2:$X$1001,MATCH(ROWS($V$2:V871),$V$2:$V$1001,0),0), INDEX($AC$1004:$AS$1004,1,MATCH(COLUMNS($AC$1006:AL1006),$AC$1006:$AS$1006,0)))),"Fix")))</f>
        <v>0</v>
      </c>
      <c r="L871" s="5">
        <f>IF(OR(INDEX($W$2:$W$1001,MATCH(ROWS($V$2:V871),$V$2:$V$1001,0),1)&gt;=100000,INDEX($AC$1005:$AS$1005,1,MATCH(COLUMNS($AC$1006:AM1006),$AC$1006:$AS$1006,0))&gt;=100000), " ",IF(INDEX($AC$2:$AS$1001,MATCH(ROWS($V$2:V871),$V$2:$V$1001,0),MATCH(COLUMNS($AC$1006:AM1006),$AC$1006:$AS$1006,0)), HYPERLINK("#",""), HYPERLINK(CONCATENATE("#Metadata!", ADDRESS(INDEX($X$2:$X$1001,MATCH(ROWS($V$2:V871),$V$2:$V$1001,0),0), INDEX($AC$1004:$AS$1004,1,MATCH(COLUMNS($AC$1006:AM1006),$AC$1006:$AS$1006,0)))),"Fix")))</f>
        <v>0</v>
      </c>
      <c r="M871" s="5">
        <f>IF(OR(INDEX($W$2:$W$1001,MATCH(ROWS($V$2:V871),$V$2:$V$1001,0),1)&gt;=100000,INDEX($AC$1005:$AS$1005,1,MATCH(COLUMNS($AC$1006:AN1006),$AC$1006:$AS$1006,0))&gt;=100000), " ",IF(INDEX($AC$2:$AS$1001,MATCH(ROWS($V$2:V871),$V$2:$V$1001,0),MATCH(COLUMNS($AC$1006:AN1006),$AC$1006:$AS$1006,0)), HYPERLINK("#",""), HYPERLINK(CONCATENATE("#Metadata!", ADDRESS(INDEX($X$2:$X$1001,MATCH(ROWS($V$2:V871),$V$2:$V$1001,0),0), INDEX($AC$1004:$AS$1004,1,MATCH(COLUMNS($AC$1006:AN1006),$AC$1006:$AS$1006,0)))),"Fix")))</f>
        <v>0</v>
      </c>
      <c r="N871" s="5">
        <f>IF(OR(INDEX($W$2:$W$1001,MATCH(ROWS($V$2:V871),$V$2:$V$1001,0),1)&gt;=100000,INDEX($AC$1005:$AS$1005,1,MATCH(COLUMNS($AC$1006:AO1006),$AC$1006:$AS$1006,0))&gt;=100000), " ",IF(INDEX($AC$2:$AS$1001,MATCH(ROWS($V$2:V871),$V$2:$V$1001,0),MATCH(COLUMNS($AC$1006:AO1006),$AC$1006:$AS$1006,0)), HYPERLINK("#",""), HYPERLINK(CONCATENATE("#Metadata!", ADDRESS(INDEX($X$2:$X$1001,MATCH(ROWS($V$2:V871),$V$2:$V$1001,0),0), INDEX($AC$1004:$AS$1004,1,MATCH(COLUMNS($AC$1006:AO1006),$AC$1006:$AS$1006,0)))),"Fix")))</f>
        <v>0</v>
      </c>
      <c r="O871" s="5">
        <f>IF(OR(INDEX($W$2:$W$1001,MATCH(ROWS($V$2:V871),$V$2:$V$1001,0),1)&gt;=100000,INDEX($AC$1005:$AS$1005,1,MATCH(COLUMNS($AC$1006:AP1006),$AC$1006:$AS$1006,0))&gt;=100000), " ",IF(INDEX($AC$2:$AS$1001,MATCH(ROWS($V$2:V871),$V$2:$V$1001,0),MATCH(COLUMNS($AC$1006:AP1006),$AC$1006:$AS$1006,0)), HYPERLINK("#",""), HYPERLINK(CONCATENATE("#Metadata!", ADDRESS(INDEX($X$2:$X$1001,MATCH(ROWS($V$2:V871),$V$2:$V$1001,0),0), INDEX($AC$1004:$AS$1004,1,MATCH(COLUMNS($AC$1006:AP1006),$AC$1006:$AS$1006,0)))),"Fix")))</f>
        <v>0</v>
      </c>
      <c r="P871" s="5">
        <f>IF(OR(INDEX($W$2:$W$1001,MATCH(ROWS($V$2:V871),$V$2:$V$1001,0),1)&gt;=100000,INDEX($AC$1005:$AS$1005,1,MATCH(COLUMNS($AC$1006:AQ1006),$AC$1006:$AS$1006,0))&gt;=100000), " ",IF(INDEX($AC$2:$AS$1001,MATCH(ROWS($V$2:V871),$V$2:$V$1001,0),MATCH(COLUMNS($AC$1006:AQ1006),$AC$1006:$AS$1006,0)), HYPERLINK("#",""), HYPERLINK(CONCATENATE("#Metadata!", ADDRESS(INDEX($X$2:$X$1001,MATCH(ROWS($V$2:V871),$V$2:$V$1001,0),0), INDEX($AC$1004:$AS$1004,1,MATCH(COLUMNS($AC$1006:AQ1006),$AC$1006:$AS$1006,0)))),"Fix")))</f>
        <v>0</v>
      </c>
      <c r="Q871" s="5">
        <f>IF(OR(INDEX($W$2:$W$1001,MATCH(ROWS($V$2:V871),$V$2:$V$1001,0),1)&gt;=100000,INDEX($AC$1005:$AS$1005,1,MATCH(COLUMNS($AC$1006:AR1006),$AC$1006:$AS$1006,0))&gt;=100000), " ",IF(INDEX($AC$2:$AS$1001,MATCH(ROWS($V$2:V871),$V$2:$V$1001,0),MATCH(COLUMNS($AC$1006:AR1006),$AC$1006:$AS$1006,0)), HYPERLINK("#",""), HYPERLINK(CONCATENATE("#Metadata!", ADDRESS(INDEX($X$2:$X$1001,MATCH(ROWS($V$2:V871),$V$2:$V$1001,0),0), INDEX($AC$1004:$AS$1004,1,MATCH(COLUMNS($AC$1006:AR1006),$AC$1006:$AS$1006,0)))),"Fix")))</f>
        <v>0</v>
      </c>
      <c r="R871" s="5">
        <f>IF(OR(INDEX($W$2:$W$1001,MATCH(ROWS($V$2:V871),$V$2:$V$1001,0),1)&gt;=100000,INDEX($AC$1005:$AS$1005,1,MATCH(COLUMNS($AC$1006:AS1006),$AC$1006:$AS$1006,0))&gt;=100000), " ",IF(INDEX($AC$2:$AS$1001,MATCH(ROWS($V$2:V871),$V$2:$V$1001,0),MATCH(COLUMNS($AC$1006:AS1006),$AC$1006:$AS$1006,0)), HYPERLINK("#",""), HYPERLINK(CONCATENATE("#Metadata!", ADDRESS(INDEX($X$2:$X$1001,MATCH(ROWS($V$2:V871),$V$2:$V$1001,0),0), INDEX($AC$1004:$AS$1004,1,MATCH(COLUMNS($AC$1006:AS1006),$AC$1006:$AS$1006,0)))),"Fix")))</f>
        <v>0</v>
      </c>
      <c r="V871">
        <v>0</v>
      </c>
      <c r="W871">
        <v>0</v>
      </c>
      <c r="X871">
        <v>0</v>
      </c>
      <c r="Y871">
        <f>IF(Z871,TRUE,AND(AC871:AS871))</f>
        <v>0</v>
      </c>
      <c r="Z871">
        <f>COUNTBLANK(Metadata!B871:R871)=COLUMNS(Metadata!B871:R871)</f>
        <v>0</v>
      </c>
      <c r="AA871">
        <v>0</v>
      </c>
      <c r="AC871">
        <f>AND(IF(Metadata!B871="",FALSE,TRUE),COUNTIF(Metadata!B:B, Metadata!B871) = 1,NOT(ISERROR(SUMPRODUCT(SEARCH(MID(Metadata!B871,ROW(INDIRECT("1:"&amp;LEN(Metadata!B871))), 1),"0123456789abcdefghijklmnopqrstuvwxyzABCDEFGHIJKLMNOPQRSTUVWXYZ.")))))</f>
        <v>0</v>
      </c>
      <c r="AD871">
        <f>AND(IF(Metadata!C871="",FALSE,TRUE),exact(Metadata!C871,"Host-associated"))</f>
        <v>0</v>
      </c>
      <c r="AE871">
        <f>AND(IF(Metadata!D871="",FALSE,TRUE),OR(exact(Metadata!D871,"Animal"),exact(Metadata!D871,"Fungus"),exact(Metadata!D871,"Plant")))</f>
        <v>0</v>
      </c>
      <c r="AF871">
        <f>AND(IF(Metadata!E871="",FALSE,TRUE),OR(exact(Metadata!E871,"Plant secretion"),exact(Metadata!E871,"Plant rhizosphere"),exact(Metadata!E871,"Plant surface"),exact(Metadata!E871,"Plant corpus"),exact(Metadata!E871,"Fungus surface"),exact(Metadata!E871,"Fungus corpus"),exact(Metadata!E871,"Animal surface"),exact(Metadata!E871,"Animal proximal gut"),exact(Metadata!E871,"Animal corpus"),exact(Metadata!E871,"Animal distal gut"),exact(Metadata!E871,"Animal secretion")))</f>
        <v>0</v>
      </c>
      <c r="AG871">
        <f>OR(AND(IF(Metadata!F871="",FALSE,TRUE),OR(exact(Metadata!F871,"not collected"),exact(Metadata!F871,"not provided"),exact(Metadata!F871,"restricted access"))),AND(IF(Metadata!F871="",FALSE,TRUE),OR(exact(Metadata!F871,"organism-associated habitat"),exact(Metadata!F871,"plant-associated habitat"),exact(Metadata!F871,"animal-associated habitat"),exact(Metadata!F871,"insecta-associated habitat"),exact(Metadata!F871,"mammalia-associated habitat"),exact(Metadata!F871,"human-associated habitat"),exact(Metadata!F871,"livestock-associated habitat"))))</f>
        <v>0</v>
      </c>
      <c r="AH871">
        <f>AND(IF(Metadata!G871="",FALSE,TRUE),exact(Metadata!G871,"host-associated"))</f>
        <v>0</v>
      </c>
      <c r="AI871">
        <f>OR(AND(IF(Metadata!H871="",FALSE,TRUE),OR(exact(Metadata!H871,"not collected"),exact(Metadata!H871,"not provided"))),AND(IF(Metadata!H871="",FALSE,ISNUMBER(VALUE(Metadata!H871))),Metadata!H871&gt;0))</f>
        <v>0</v>
      </c>
      <c r="AJ871">
        <f>AND(IF(Metadata!I871="",FALSE,TRUE),exact(Metadata!I871,"years"))</f>
        <v>0</v>
      </c>
      <c r="AK871">
        <f>IF(Metadata!J871="",FALSE,TRUE)</f>
        <v>0</v>
      </c>
      <c r="AL871">
        <f>OR(AND(IF(Metadata!K871="",FALSE,TRUE),OR(exact(Metadata!K871,"not collected"),exact(Metadata!K871,"not provided"))),AND(IF(Metadata!K871="",FALSE,ISNUMBER(VALUE(Metadata!K871))),Metadata!K871&gt;0))</f>
        <v>0</v>
      </c>
      <c r="AM871">
        <f>AND(IF(Metadata!L871="",FALSE,TRUE),exact(Metadata!L871,"cm"))</f>
        <v>0</v>
      </c>
      <c r="AN871">
        <f>IF(Metadata!M871="",FALSE,TRUE)</f>
        <v>0</v>
      </c>
      <c r="AO871">
        <f>OR(AND(IF(Metadata!N871="",FALSE,TRUE),OR(exact(Metadata!N871,"not applicable"),exact(Metadata!N871,"not collected"),exact(Metadata!N871,"not provided"))),AND(IF(Metadata!N871="",FALSE,IF(ISERROR(INT(Metadata!N871)),FALSE,INT(Metadata!N871)=Metadata!N871)),Metadata!N871&gt;0))</f>
        <v>0</v>
      </c>
      <c r="AP871">
        <f>OR(AND(IF(Metadata!O871="",FALSE,TRUE),OR(exact(Metadata!O871,"not collected"),exact(Metadata!O871,"not provided"))),AND(IF(Metadata!O871="",FALSE,ISNUMBER(VALUE(Metadata!O871))),Metadata!O871&gt;0))</f>
        <v>0</v>
      </c>
      <c r="AQ871">
        <f>AND(IF(Metadata!P871="",FALSE,TRUE),exact(Metadata!P871,"kg"))</f>
        <v>0</v>
      </c>
      <c r="AR871">
        <f>OR(AND(IF(Metadata!Q871="",FALSE,TRUE),OR(exact(Metadata!Q871,"not applicable"),exact(Metadata!Q871,"not collected"),exact(Metadata!Q871,"not provided"),exact(Metadata!Q871,"restricted access"))),IF(Metadata!Q871="",FALSE,IF(ISERROR(INT(Metadata!Q871)),FALSE,INT(Metadata!Q871)=Metadata!Q871)))</f>
        <v>0</v>
      </c>
      <c r="AS871">
        <f>AND(IF(Metadata!R871="",FALSE,TRUE),exact(Metadata!R871,"Not applicable"))</f>
        <v>0</v>
      </c>
    </row>
    <row r="872" spans="1:45">
      <c r="A872" s="4">
        <f>IF(B872=" "," ",HYPERLINK(CONCATENATE("#metadata!",ADDRESS(INDEX($X$2:$X$1001,MATCH(ROWS($V$2:V872),$V$2:$V$1001,0),0),2)),INDEX($AA$2:$AA$1001,MATCH(ROWS($V$2:V872),$V$2:$V$1001,0),0)))</f>
        <v>0</v>
      </c>
      <c r="B872" s="5">
        <f>IF(OR(INDEX($W$2:$W$1001,MATCH(ROWS($V$2:V872),$V$2:$V$1001,0),1)&gt;=100000,INDEX($AC$1005:$AS$1005,1,MATCH(COLUMNS($AC$1006:AC1006),$AC$1006:$AS$1006,0))&gt;=100000), " ",IF(INDEX($AC$2:$AS$1001,MATCH(ROWS($V$2:V872),$V$2:$V$1001,0),MATCH(COLUMNS($AC$1006:AC1006),$AC$1006:$AS$1006,0)), HYPERLINK("#",""), HYPERLINK(CONCATENATE("#Metadata!", ADDRESS(INDEX($X$2:$X$1001,MATCH(ROWS($V$2:V872),$V$2:$V$1001,0),0), INDEX($AC$1004:$AS$1004,1,MATCH(COLUMNS($AC$1006:AC1006),$AC$1006:$AS$1006,0)))),"Fix")))</f>
        <v>0</v>
      </c>
      <c r="C872" s="5">
        <f>IF(OR(INDEX($W$2:$W$1001,MATCH(ROWS($V$2:V872),$V$2:$V$1001,0),1)&gt;=100000,INDEX($AC$1005:$AS$1005,1,MATCH(COLUMNS($AC$1006:AD1006),$AC$1006:$AS$1006,0))&gt;=100000), " ",IF(INDEX($AC$2:$AS$1001,MATCH(ROWS($V$2:V872),$V$2:$V$1001,0),MATCH(COLUMNS($AC$1006:AD1006),$AC$1006:$AS$1006,0)), HYPERLINK("#",""), HYPERLINK(CONCATENATE("#Metadata!", ADDRESS(INDEX($X$2:$X$1001,MATCH(ROWS($V$2:V872),$V$2:$V$1001,0),0), INDEX($AC$1004:$AS$1004,1,MATCH(COLUMNS($AC$1006:AD1006),$AC$1006:$AS$1006,0)))),"Fix")))</f>
        <v>0</v>
      </c>
      <c r="D872" s="5">
        <f>IF(OR(INDEX($W$2:$W$1001,MATCH(ROWS($V$2:V872),$V$2:$V$1001,0),1)&gt;=100000,INDEX($AC$1005:$AS$1005,1,MATCH(COLUMNS($AC$1006:AE1006),$AC$1006:$AS$1006,0))&gt;=100000), " ",IF(INDEX($AC$2:$AS$1001,MATCH(ROWS($V$2:V872),$V$2:$V$1001,0),MATCH(COLUMNS($AC$1006:AE1006),$AC$1006:$AS$1006,0)), HYPERLINK("#",""), HYPERLINK(CONCATENATE("#Metadata!", ADDRESS(INDEX($X$2:$X$1001,MATCH(ROWS($V$2:V872),$V$2:$V$1001,0),0), INDEX($AC$1004:$AS$1004,1,MATCH(COLUMNS($AC$1006:AE1006),$AC$1006:$AS$1006,0)))),"Fix")))</f>
        <v>0</v>
      </c>
      <c r="E872" s="5">
        <f>IF(OR(INDEX($W$2:$W$1001,MATCH(ROWS($V$2:V872),$V$2:$V$1001,0),1)&gt;=100000,INDEX($AC$1005:$AS$1005,1,MATCH(COLUMNS($AC$1006:AF1006),$AC$1006:$AS$1006,0))&gt;=100000), " ",IF(INDEX($AC$2:$AS$1001,MATCH(ROWS($V$2:V872),$V$2:$V$1001,0),MATCH(COLUMNS($AC$1006:AF1006),$AC$1006:$AS$1006,0)), HYPERLINK("#",""), HYPERLINK(CONCATENATE("#Metadata!", ADDRESS(INDEX($X$2:$X$1001,MATCH(ROWS($V$2:V872),$V$2:$V$1001,0),0), INDEX($AC$1004:$AS$1004,1,MATCH(COLUMNS($AC$1006:AF1006),$AC$1006:$AS$1006,0)))),"Fix")))</f>
        <v>0</v>
      </c>
      <c r="F872" s="5">
        <f>IF(OR(INDEX($W$2:$W$1001,MATCH(ROWS($V$2:V872),$V$2:$V$1001,0),1)&gt;=100000,INDEX($AC$1005:$AS$1005,1,MATCH(COLUMNS($AC$1006:AG1006),$AC$1006:$AS$1006,0))&gt;=100000), " ",IF(INDEX($AC$2:$AS$1001,MATCH(ROWS($V$2:V872),$V$2:$V$1001,0),MATCH(COLUMNS($AC$1006:AG1006),$AC$1006:$AS$1006,0)), HYPERLINK("#",""), HYPERLINK(CONCATENATE("#Metadata!", ADDRESS(INDEX($X$2:$X$1001,MATCH(ROWS($V$2:V872),$V$2:$V$1001,0),0), INDEX($AC$1004:$AS$1004,1,MATCH(COLUMNS($AC$1006:AG1006),$AC$1006:$AS$1006,0)))),"Fix")))</f>
        <v>0</v>
      </c>
      <c r="G872" s="5">
        <f>IF(OR(INDEX($W$2:$W$1001,MATCH(ROWS($V$2:V872),$V$2:$V$1001,0),1)&gt;=100000,INDEX($AC$1005:$AS$1005,1,MATCH(COLUMNS($AC$1006:AH1006),$AC$1006:$AS$1006,0))&gt;=100000), " ",IF(INDEX($AC$2:$AS$1001,MATCH(ROWS($V$2:V872),$V$2:$V$1001,0),MATCH(COLUMNS($AC$1006:AH1006),$AC$1006:$AS$1006,0)), HYPERLINK("#",""), HYPERLINK(CONCATENATE("#Metadata!", ADDRESS(INDEX($X$2:$X$1001,MATCH(ROWS($V$2:V872),$V$2:$V$1001,0),0), INDEX($AC$1004:$AS$1004,1,MATCH(COLUMNS($AC$1006:AH1006),$AC$1006:$AS$1006,0)))),"Fix")))</f>
        <v>0</v>
      </c>
      <c r="H872" s="5">
        <f>IF(OR(INDEX($W$2:$W$1001,MATCH(ROWS($V$2:V872),$V$2:$V$1001,0),1)&gt;=100000,INDEX($AC$1005:$AS$1005,1,MATCH(COLUMNS($AC$1006:AI1006),$AC$1006:$AS$1006,0))&gt;=100000), " ",IF(INDEX($AC$2:$AS$1001,MATCH(ROWS($V$2:V872),$V$2:$V$1001,0),MATCH(COLUMNS($AC$1006:AI1006),$AC$1006:$AS$1006,0)), HYPERLINK("#",""), HYPERLINK(CONCATENATE("#Metadata!", ADDRESS(INDEX($X$2:$X$1001,MATCH(ROWS($V$2:V872),$V$2:$V$1001,0),0), INDEX($AC$1004:$AS$1004,1,MATCH(COLUMNS($AC$1006:AI1006),$AC$1006:$AS$1006,0)))),"Fix")))</f>
        <v>0</v>
      </c>
      <c r="I872" s="5">
        <f>IF(OR(INDEX($W$2:$W$1001,MATCH(ROWS($V$2:V872),$V$2:$V$1001,0),1)&gt;=100000,INDEX($AC$1005:$AS$1005,1,MATCH(COLUMNS($AC$1006:AJ1006),$AC$1006:$AS$1006,0))&gt;=100000), " ",IF(INDEX($AC$2:$AS$1001,MATCH(ROWS($V$2:V872),$V$2:$V$1001,0),MATCH(COLUMNS($AC$1006:AJ1006),$AC$1006:$AS$1006,0)), HYPERLINK("#",""), HYPERLINK(CONCATENATE("#Metadata!", ADDRESS(INDEX($X$2:$X$1001,MATCH(ROWS($V$2:V872),$V$2:$V$1001,0),0), INDEX($AC$1004:$AS$1004,1,MATCH(COLUMNS($AC$1006:AJ1006),$AC$1006:$AS$1006,0)))),"Fix")))</f>
        <v>0</v>
      </c>
      <c r="J872" s="5">
        <f>IF(OR(INDEX($W$2:$W$1001,MATCH(ROWS($V$2:V872),$V$2:$V$1001,0),1)&gt;=100000,INDEX($AC$1005:$AS$1005,1,MATCH(COLUMNS($AC$1006:AK1006),$AC$1006:$AS$1006,0))&gt;=100000), " ",IF(INDEX($AC$2:$AS$1001,MATCH(ROWS($V$2:V872),$V$2:$V$1001,0),MATCH(COLUMNS($AC$1006:AK1006),$AC$1006:$AS$1006,0)), HYPERLINK("#",""), HYPERLINK(CONCATENATE("#Metadata!", ADDRESS(INDEX($X$2:$X$1001,MATCH(ROWS($V$2:V872),$V$2:$V$1001,0),0), INDEX($AC$1004:$AS$1004,1,MATCH(COLUMNS($AC$1006:AK1006),$AC$1006:$AS$1006,0)))),"Fix")))</f>
        <v>0</v>
      </c>
      <c r="K872" s="5">
        <f>IF(OR(INDEX($W$2:$W$1001,MATCH(ROWS($V$2:V872),$V$2:$V$1001,0),1)&gt;=100000,INDEX($AC$1005:$AS$1005,1,MATCH(COLUMNS($AC$1006:AL1006),$AC$1006:$AS$1006,0))&gt;=100000), " ",IF(INDEX($AC$2:$AS$1001,MATCH(ROWS($V$2:V872),$V$2:$V$1001,0),MATCH(COLUMNS($AC$1006:AL1006),$AC$1006:$AS$1006,0)), HYPERLINK("#",""), HYPERLINK(CONCATENATE("#Metadata!", ADDRESS(INDEX($X$2:$X$1001,MATCH(ROWS($V$2:V872),$V$2:$V$1001,0),0), INDEX($AC$1004:$AS$1004,1,MATCH(COLUMNS($AC$1006:AL1006),$AC$1006:$AS$1006,0)))),"Fix")))</f>
        <v>0</v>
      </c>
      <c r="L872" s="5">
        <f>IF(OR(INDEX($W$2:$W$1001,MATCH(ROWS($V$2:V872),$V$2:$V$1001,0),1)&gt;=100000,INDEX($AC$1005:$AS$1005,1,MATCH(COLUMNS($AC$1006:AM1006),$AC$1006:$AS$1006,0))&gt;=100000), " ",IF(INDEX($AC$2:$AS$1001,MATCH(ROWS($V$2:V872),$V$2:$V$1001,0),MATCH(COLUMNS($AC$1006:AM1006),$AC$1006:$AS$1006,0)), HYPERLINK("#",""), HYPERLINK(CONCATENATE("#Metadata!", ADDRESS(INDEX($X$2:$X$1001,MATCH(ROWS($V$2:V872),$V$2:$V$1001,0),0), INDEX($AC$1004:$AS$1004,1,MATCH(COLUMNS($AC$1006:AM1006),$AC$1006:$AS$1006,0)))),"Fix")))</f>
        <v>0</v>
      </c>
      <c r="M872" s="5">
        <f>IF(OR(INDEX($W$2:$W$1001,MATCH(ROWS($V$2:V872),$V$2:$V$1001,0),1)&gt;=100000,INDEX($AC$1005:$AS$1005,1,MATCH(COLUMNS($AC$1006:AN1006),$AC$1006:$AS$1006,0))&gt;=100000), " ",IF(INDEX($AC$2:$AS$1001,MATCH(ROWS($V$2:V872),$V$2:$V$1001,0),MATCH(COLUMNS($AC$1006:AN1006),$AC$1006:$AS$1006,0)), HYPERLINK("#",""), HYPERLINK(CONCATENATE("#Metadata!", ADDRESS(INDEX($X$2:$X$1001,MATCH(ROWS($V$2:V872),$V$2:$V$1001,0),0), INDEX($AC$1004:$AS$1004,1,MATCH(COLUMNS($AC$1006:AN1006),$AC$1006:$AS$1006,0)))),"Fix")))</f>
        <v>0</v>
      </c>
      <c r="N872" s="5">
        <f>IF(OR(INDEX($W$2:$W$1001,MATCH(ROWS($V$2:V872),$V$2:$V$1001,0),1)&gt;=100000,INDEX($AC$1005:$AS$1005,1,MATCH(COLUMNS($AC$1006:AO1006),$AC$1006:$AS$1006,0))&gt;=100000), " ",IF(INDEX($AC$2:$AS$1001,MATCH(ROWS($V$2:V872),$V$2:$V$1001,0),MATCH(COLUMNS($AC$1006:AO1006),$AC$1006:$AS$1006,0)), HYPERLINK("#",""), HYPERLINK(CONCATENATE("#Metadata!", ADDRESS(INDEX($X$2:$X$1001,MATCH(ROWS($V$2:V872),$V$2:$V$1001,0),0), INDEX($AC$1004:$AS$1004,1,MATCH(COLUMNS($AC$1006:AO1006),$AC$1006:$AS$1006,0)))),"Fix")))</f>
        <v>0</v>
      </c>
      <c r="O872" s="5">
        <f>IF(OR(INDEX($W$2:$W$1001,MATCH(ROWS($V$2:V872),$V$2:$V$1001,0),1)&gt;=100000,INDEX($AC$1005:$AS$1005,1,MATCH(COLUMNS($AC$1006:AP1006),$AC$1006:$AS$1006,0))&gt;=100000), " ",IF(INDEX($AC$2:$AS$1001,MATCH(ROWS($V$2:V872),$V$2:$V$1001,0),MATCH(COLUMNS($AC$1006:AP1006),$AC$1006:$AS$1006,0)), HYPERLINK("#",""), HYPERLINK(CONCATENATE("#Metadata!", ADDRESS(INDEX($X$2:$X$1001,MATCH(ROWS($V$2:V872),$V$2:$V$1001,0),0), INDEX($AC$1004:$AS$1004,1,MATCH(COLUMNS($AC$1006:AP1006),$AC$1006:$AS$1006,0)))),"Fix")))</f>
        <v>0</v>
      </c>
      <c r="P872" s="5">
        <f>IF(OR(INDEX($W$2:$W$1001,MATCH(ROWS($V$2:V872),$V$2:$V$1001,0),1)&gt;=100000,INDEX($AC$1005:$AS$1005,1,MATCH(COLUMNS($AC$1006:AQ1006),$AC$1006:$AS$1006,0))&gt;=100000), " ",IF(INDEX($AC$2:$AS$1001,MATCH(ROWS($V$2:V872),$V$2:$V$1001,0),MATCH(COLUMNS($AC$1006:AQ1006),$AC$1006:$AS$1006,0)), HYPERLINK("#",""), HYPERLINK(CONCATENATE("#Metadata!", ADDRESS(INDEX($X$2:$X$1001,MATCH(ROWS($V$2:V872),$V$2:$V$1001,0),0), INDEX($AC$1004:$AS$1004,1,MATCH(COLUMNS($AC$1006:AQ1006),$AC$1006:$AS$1006,0)))),"Fix")))</f>
        <v>0</v>
      </c>
      <c r="Q872" s="5">
        <f>IF(OR(INDEX($W$2:$W$1001,MATCH(ROWS($V$2:V872),$V$2:$V$1001,0),1)&gt;=100000,INDEX($AC$1005:$AS$1005,1,MATCH(COLUMNS($AC$1006:AR1006),$AC$1006:$AS$1006,0))&gt;=100000), " ",IF(INDEX($AC$2:$AS$1001,MATCH(ROWS($V$2:V872),$V$2:$V$1001,0),MATCH(COLUMNS($AC$1006:AR1006),$AC$1006:$AS$1006,0)), HYPERLINK("#",""), HYPERLINK(CONCATENATE("#Metadata!", ADDRESS(INDEX($X$2:$X$1001,MATCH(ROWS($V$2:V872),$V$2:$V$1001,0),0), INDEX($AC$1004:$AS$1004,1,MATCH(COLUMNS($AC$1006:AR1006),$AC$1006:$AS$1006,0)))),"Fix")))</f>
        <v>0</v>
      </c>
      <c r="R872" s="5">
        <f>IF(OR(INDEX($W$2:$W$1001,MATCH(ROWS($V$2:V872),$V$2:$V$1001,0),1)&gt;=100000,INDEX($AC$1005:$AS$1005,1,MATCH(COLUMNS($AC$1006:AS1006),$AC$1006:$AS$1006,0))&gt;=100000), " ",IF(INDEX($AC$2:$AS$1001,MATCH(ROWS($V$2:V872),$V$2:$V$1001,0),MATCH(COLUMNS($AC$1006:AS1006),$AC$1006:$AS$1006,0)), HYPERLINK("#",""), HYPERLINK(CONCATENATE("#Metadata!", ADDRESS(INDEX($X$2:$X$1001,MATCH(ROWS($V$2:V872),$V$2:$V$1001,0),0), INDEX($AC$1004:$AS$1004,1,MATCH(COLUMNS($AC$1006:AS1006),$AC$1006:$AS$1006,0)))),"Fix")))</f>
        <v>0</v>
      </c>
      <c r="V872">
        <v>0</v>
      </c>
      <c r="W872">
        <v>0</v>
      </c>
      <c r="X872">
        <v>0</v>
      </c>
      <c r="Y872">
        <f>IF(Z872,TRUE,AND(AC872:AS872))</f>
        <v>0</v>
      </c>
      <c r="Z872">
        <f>COUNTBLANK(Metadata!B872:R872)=COLUMNS(Metadata!B872:R872)</f>
        <v>0</v>
      </c>
      <c r="AA872">
        <v>0</v>
      </c>
      <c r="AC872">
        <f>AND(IF(Metadata!B872="",FALSE,TRUE),COUNTIF(Metadata!B:B, Metadata!B872) = 1,NOT(ISERROR(SUMPRODUCT(SEARCH(MID(Metadata!B872,ROW(INDIRECT("1:"&amp;LEN(Metadata!B872))), 1),"0123456789abcdefghijklmnopqrstuvwxyzABCDEFGHIJKLMNOPQRSTUVWXYZ.")))))</f>
        <v>0</v>
      </c>
      <c r="AD872">
        <f>AND(IF(Metadata!C872="",FALSE,TRUE),exact(Metadata!C872,"Host-associated"))</f>
        <v>0</v>
      </c>
      <c r="AE872">
        <f>AND(IF(Metadata!D872="",FALSE,TRUE),OR(exact(Metadata!D872,"Animal"),exact(Metadata!D872,"Fungus"),exact(Metadata!D872,"Plant")))</f>
        <v>0</v>
      </c>
      <c r="AF872">
        <f>AND(IF(Metadata!E872="",FALSE,TRUE),OR(exact(Metadata!E872,"Plant secretion"),exact(Metadata!E872,"Plant rhizosphere"),exact(Metadata!E872,"Plant surface"),exact(Metadata!E872,"Plant corpus"),exact(Metadata!E872,"Fungus surface"),exact(Metadata!E872,"Fungus corpus"),exact(Metadata!E872,"Animal surface"),exact(Metadata!E872,"Animal proximal gut"),exact(Metadata!E872,"Animal corpus"),exact(Metadata!E872,"Animal distal gut"),exact(Metadata!E872,"Animal secretion")))</f>
        <v>0</v>
      </c>
      <c r="AG872">
        <f>OR(AND(IF(Metadata!F872="",FALSE,TRUE),OR(exact(Metadata!F872,"not collected"),exact(Metadata!F872,"not provided"),exact(Metadata!F872,"restricted access"))),AND(IF(Metadata!F872="",FALSE,TRUE),OR(exact(Metadata!F872,"organism-associated habitat"),exact(Metadata!F872,"plant-associated habitat"),exact(Metadata!F872,"animal-associated habitat"),exact(Metadata!F872,"insecta-associated habitat"),exact(Metadata!F872,"mammalia-associated habitat"),exact(Metadata!F872,"human-associated habitat"),exact(Metadata!F872,"livestock-associated habitat"))))</f>
        <v>0</v>
      </c>
      <c r="AH872">
        <f>AND(IF(Metadata!G872="",FALSE,TRUE),exact(Metadata!G872,"host-associated"))</f>
        <v>0</v>
      </c>
      <c r="AI872">
        <f>OR(AND(IF(Metadata!H872="",FALSE,TRUE),OR(exact(Metadata!H872,"not collected"),exact(Metadata!H872,"not provided"))),AND(IF(Metadata!H872="",FALSE,ISNUMBER(VALUE(Metadata!H872))),Metadata!H872&gt;0))</f>
        <v>0</v>
      </c>
      <c r="AJ872">
        <f>AND(IF(Metadata!I872="",FALSE,TRUE),exact(Metadata!I872,"years"))</f>
        <v>0</v>
      </c>
      <c r="AK872">
        <f>IF(Metadata!J872="",FALSE,TRUE)</f>
        <v>0</v>
      </c>
      <c r="AL872">
        <f>OR(AND(IF(Metadata!K872="",FALSE,TRUE),OR(exact(Metadata!K872,"not collected"),exact(Metadata!K872,"not provided"))),AND(IF(Metadata!K872="",FALSE,ISNUMBER(VALUE(Metadata!K872))),Metadata!K872&gt;0))</f>
        <v>0</v>
      </c>
      <c r="AM872">
        <f>AND(IF(Metadata!L872="",FALSE,TRUE),exact(Metadata!L872,"cm"))</f>
        <v>0</v>
      </c>
      <c r="AN872">
        <f>IF(Metadata!M872="",FALSE,TRUE)</f>
        <v>0</v>
      </c>
      <c r="AO872">
        <f>OR(AND(IF(Metadata!N872="",FALSE,TRUE),OR(exact(Metadata!N872,"not applicable"),exact(Metadata!N872,"not collected"),exact(Metadata!N872,"not provided"))),AND(IF(Metadata!N872="",FALSE,IF(ISERROR(INT(Metadata!N872)),FALSE,INT(Metadata!N872)=Metadata!N872)),Metadata!N872&gt;0))</f>
        <v>0</v>
      </c>
      <c r="AP872">
        <f>OR(AND(IF(Metadata!O872="",FALSE,TRUE),OR(exact(Metadata!O872,"not collected"),exact(Metadata!O872,"not provided"))),AND(IF(Metadata!O872="",FALSE,ISNUMBER(VALUE(Metadata!O872))),Metadata!O872&gt;0))</f>
        <v>0</v>
      </c>
      <c r="AQ872">
        <f>AND(IF(Metadata!P872="",FALSE,TRUE),exact(Metadata!P872,"kg"))</f>
        <v>0</v>
      </c>
      <c r="AR872">
        <f>OR(AND(IF(Metadata!Q872="",FALSE,TRUE),OR(exact(Metadata!Q872,"not applicable"),exact(Metadata!Q872,"not collected"),exact(Metadata!Q872,"not provided"),exact(Metadata!Q872,"restricted access"))),IF(Metadata!Q872="",FALSE,IF(ISERROR(INT(Metadata!Q872)),FALSE,INT(Metadata!Q872)=Metadata!Q872)))</f>
        <v>0</v>
      </c>
      <c r="AS872">
        <f>AND(IF(Metadata!R872="",FALSE,TRUE),exact(Metadata!R872,"Not applicable"))</f>
        <v>0</v>
      </c>
    </row>
    <row r="873" spans="1:45">
      <c r="A873" s="4">
        <f>IF(B873=" "," ",HYPERLINK(CONCATENATE("#metadata!",ADDRESS(INDEX($X$2:$X$1001,MATCH(ROWS($V$2:V873),$V$2:$V$1001,0),0),2)),INDEX($AA$2:$AA$1001,MATCH(ROWS($V$2:V873),$V$2:$V$1001,0),0)))</f>
        <v>0</v>
      </c>
      <c r="B873" s="5">
        <f>IF(OR(INDEX($W$2:$W$1001,MATCH(ROWS($V$2:V873),$V$2:$V$1001,0),1)&gt;=100000,INDEX($AC$1005:$AS$1005,1,MATCH(COLUMNS($AC$1006:AC1006),$AC$1006:$AS$1006,0))&gt;=100000), " ",IF(INDEX($AC$2:$AS$1001,MATCH(ROWS($V$2:V873),$V$2:$V$1001,0),MATCH(COLUMNS($AC$1006:AC1006),$AC$1006:$AS$1006,0)), HYPERLINK("#",""), HYPERLINK(CONCATENATE("#Metadata!", ADDRESS(INDEX($X$2:$X$1001,MATCH(ROWS($V$2:V873),$V$2:$V$1001,0),0), INDEX($AC$1004:$AS$1004,1,MATCH(COLUMNS($AC$1006:AC1006),$AC$1006:$AS$1006,0)))),"Fix")))</f>
        <v>0</v>
      </c>
      <c r="C873" s="5">
        <f>IF(OR(INDEX($W$2:$W$1001,MATCH(ROWS($V$2:V873),$V$2:$V$1001,0),1)&gt;=100000,INDEX($AC$1005:$AS$1005,1,MATCH(COLUMNS($AC$1006:AD1006),$AC$1006:$AS$1006,0))&gt;=100000), " ",IF(INDEX($AC$2:$AS$1001,MATCH(ROWS($V$2:V873),$V$2:$V$1001,0),MATCH(COLUMNS($AC$1006:AD1006),$AC$1006:$AS$1006,0)), HYPERLINK("#",""), HYPERLINK(CONCATENATE("#Metadata!", ADDRESS(INDEX($X$2:$X$1001,MATCH(ROWS($V$2:V873),$V$2:$V$1001,0),0), INDEX($AC$1004:$AS$1004,1,MATCH(COLUMNS($AC$1006:AD1006),$AC$1006:$AS$1006,0)))),"Fix")))</f>
        <v>0</v>
      </c>
      <c r="D873" s="5">
        <f>IF(OR(INDEX($W$2:$W$1001,MATCH(ROWS($V$2:V873),$V$2:$V$1001,0),1)&gt;=100000,INDEX($AC$1005:$AS$1005,1,MATCH(COLUMNS($AC$1006:AE1006),$AC$1006:$AS$1006,0))&gt;=100000), " ",IF(INDEX($AC$2:$AS$1001,MATCH(ROWS($V$2:V873),$V$2:$V$1001,0),MATCH(COLUMNS($AC$1006:AE1006),$AC$1006:$AS$1006,0)), HYPERLINK("#",""), HYPERLINK(CONCATENATE("#Metadata!", ADDRESS(INDEX($X$2:$X$1001,MATCH(ROWS($V$2:V873),$V$2:$V$1001,0),0), INDEX($AC$1004:$AS$1004,1,MATCH(COLUMNS($AC$1006:AE1006),$AC$1006:$AS$1006,0)))),"Fix")))</f>
        <v>0</v>
      </c>
      <c r="E873" s="5">
        <f>IF(OR(INDEX($W$2:$W$1001,MATCH(ROWS($V$2:V873),$V$2:$V$1001,0),1)&gt;=100000,INDEX($AC$1005:$AS$1005,1,MATCH(COLUMNS($AC$1006:AF1006),$AC$1006:$AS$1006,0))&gt;=100000), " ",IF(INDEX($AC$2:$AS$1001,MATCH(ROWS($V$2:V873),$V$2:$V$1001,0),MATCH(COLUMNS($AC$1006:AF1006),$AC$1006:$AS$1006,0)), HYPERLINK("#",""), HYPERLINK(CONCATENATE("#Metadata!", ADDRESS(INDEX($X$2:$X$1001,MATCH(ROWS($V$2:V873),$V$2:$V$1001,0),0), INDEX($AC$1004:$AS$1004,1,MATCH(COLUMNS($AC$1006:AF1006),$AC$1006:$AS$1006,0)))),"Fix")))</f>
        <v>0</v>
      </c>
      <c r="F873" s="5">
        <f>IF(OR(INDEX($W$2:$W$1001,MATCH(ROWS($V$2:V873),$V$2:$V$1001,0),1)&gt;=100000,INDEX($AC$1005:$AS$1005,1,MATCH(COLUMNS($AC$1006:AG1006),$AC$1006:$AS$1006,0))&gt;=100000), " ",IF(INDEX($AC$2:$AS$1001,MATCH(ROWS($V$2:V873),$V$2:$V$1001,0),MATCH(COLUMNS($AC$1006:AG1006),$AC$1006:$AS$1006,0)), HYPERLINK("#",""), HYPERLINK(CONCATENATE("#Metadata!", ADDRESS(INDEX($X$2:$X$1001,MATCH(ROWS($V$2:V873),$V$2:$V$1001,0),0), INDEX($AC$1004:$AS$1004,1,MATCH(COLUMNS($AC$1006:AG1006),$AC$1006:$AS$1006,0)))),"Fix")))</f>
        <v>0</v>
      </c>
      <c r="G873" s="5">
        <f>IF(OR(INDEX($W$2:$W$1001,MATCH(ROWS($V$2:V873),$V$2:$V$1001,0),1)&gt;=100000,INDEX($AC$1005:$AS$1005,1,MATCH(COLUMNS($AC$1006:AH1006),$AC$1006:$AS$1006,0))&gt;=100000), " ",IF(INDEX($AC$2:$AS$1001,MATCH(ROWS($V$2:V873),$V$2:$V$1001,0),MATCH(COLUMNS($AC$1006:AH1006),$AC$1006:$AS$1006,0)), HYPERLINK("#",""), HYPERLINK(CONCATENATE("#Metadata!", ADDRESS(INDEX($X$2:$X$1001,MATCH(ROWS($V$2:V873),$V$2:$V$1001,0),0), INDEX($AC$1004:$AS$1004,1,MATCH(COLUMNS($AC$1006:AH1006),$AC$1006:$AS$1006,0)))),"Fix")))</f>
        <v>0</v>
      </c>
      <c r="H873" s="5">
        <f>IF(OR(INDEX($W$2:$W$1001,MATCH(ROWS($V$2:V873),$V$2:$V$1001,0),1)&gt;=100000,INDEX($AC$1005:$AS$1005,1,MATCH(COLUMNS($AC$1006:AI1006),$AC$1006:$AS$1006,0))&gt;=100000), " ",IF(INDEX($AC$2:$AS$1001,MATCH(ROWS($V$2:V873),$V$2:$V$1001,0),MATCH(COLUMNS($AC$1006:AI1006),$AC$1006:$AS$1006,0)), HYPERLINK("#",""), HYPERLINK(CONCATENATE("#Metadata!", ADDRESS(INDEX($X$2:$X$1001,MATCH(ROWS($V$2:V873),$V$2:$V$1001,0),0), INDEX($AC$1004:$AS$1004,1,MATCH(COLUMNS($AC$1006:AI1006),$AC$1006:$AS$1006,0)))),"Fix")))</f>
        <v>0</v>
      </c>
      <c r="I873" s="5">
        <f>IF(OR(INDEX($W$2:$W$1001,MATCH(ROWS($V$2:V873),$V$2:$V$1001,0),1)&gt;=100000,INDEX($AC$1005:$AS$1005,1,MATCH(COLUMNS($AC$1006:AJ1006),$AC$1006:$AS$1006,0))&gt;=100000), " ",IF(INDEX($AC$2:$AS$1001,MATCH(ROWS($V$2:V873),$V$2:$V$1001,0),MATCH(COLUMNS($AC$1006:AJ1006),$AC$1006:$AS$1006,0)), HYPERLINK("#",""), HYPERLINK(CONCATENATE("#Metadata!", ADDRESS(INDEX($X$2:$X$1001,MATCH(ROWS($V$2:V873),$V$2:$V$1001,0),0), INDEX($AC$1004:$AS$1004,1,MATCH(COLUMNS($AC$1006:AJ1006),$AC$1006:$AS$1006,0)))),"Fix")))</f>
        <v>0</v>
      </c>
      <c r="J873" s="5">
        <f>IF(OR(INDEX($W$2:$W$1001,MATCH(ROWS($V$2:V873),$V$2:$V$1001,0),1)&gt;=100000,INDEX($AC$1005:$AS$1005,1,MATCH(COLUMNS($AC$1006:AK1006),$AC$1006:$AS$1006,0))&gt;=100000), " ",IF(INDEX($AC$2:$AS$1001,MATCH(ROWS($V$2:V873),$V$2:$V$1001,0),MATCH(COLUMNS($AC$1006:AK1006),$AC$1006:$AS$1006,0)), HYPERLINK("#",""), HYPERLINK(CONCATENATE("#Metadata!", ADDRESS(INDEX($X$2:$X$1001,MATCH(ROWS($V$2:V873),$V$2:$V$1001,0),0), INDEX($AC$1004:$AS$1004,1,MATCH(COLUMNS($AC$1006:AK1006),$AC$1006:$AS$1006,0)))),"Fix")))</f>
        <v>0</v>
      </c>
      <c r="K873" s="5">
        <f>IF(OR(INDEX($W$2:$W$1001,MATCH(ROWS($V$2:V873),$V$2:$V$1001,0),1)&gt;=100000,INDEX($AC$1005:$AS$1005,1,MATCH(COLUMNS($AC$1006:AL1006),$AC$1006:$AS$1006,0))&gt;=100000), " ",IF(INDEX($AC$2:$AS$1001,MATCH(ROWS($V$2:V873),$V$2:$V$1001,0),MATCH(COLUMNS($AC$1006:AL1006),$AC$1006:$AS$1006,0)), HYPERLINK("#",""), HYPERLINK(CONCATENATE("#Metadata!", ADDRESS(INDEX($X$2:$X$1001,MATCH(ROWS($V$2:V873),$V$2:$V$1001,0),0), INDEX($AC$1004:$AS$1004,1,MATCH(COLUMNS($AC$1006:AL1006),$AC$1006:$AS$1006,0)))),"Fix")))</f>
        <v>0</v>
      </c>
      <c r="L873" s="5">
        <f>IF(OR(INDEX($W$2:$W$1001,MATCH(ROWS($V$2:V873),$V$2:$V$1001,0),1)&gt;=100000,INDEX($AC$1005:$AS$1005,1,MATCH(COLUMNS($AC$1006:AM1006),$AC$1006:$AS$1006,0))&gt;=100000), " ",IF(INDEX($AC$2:$AS$1001,MATCH(ROWS($V$2:V873),$V$2:$V$1001,0),MATCH(COLUMNS($AC$1006:AM1006),$AC$1006:$AS$1006,0)), HYPERLINK("#",""), HYPERLINK(CONCATENATE("#Metadata!", ADDRESS(INDEX($X$2:$X$1001,MATCH(ROWS($V$2:V873),$V$2:$V$1001,0),0), INDEX($AC$1004:$AS$1004,1,MATCH(COLUMNS($AC$1006:AM1006),$AC$1006:$AS$1006,0)))),"Fix")))</f>
        <v>0</v>
      </c>
      <c r="M873" s="5">
        <f>IF(OR(INDEX($W$2:$W$1001,MATCH(ROWS($V$2:V873),$V$2:$V$1001,0),1)&gt;=100000,INDEX($AC$1005:$AS$1005,1,MATCH(COLUMNS($AC$1006:AN1006),$AC$1006:$AS$1006,0))&gt;=100000), " ",IF(INDEX($AC$2:$AS$1001,MATCH(ROWS($V$2:V873),$V$2:$V$1001,0),MATCH(COLUMNS($AC$1006:AN1006),$AC$1006:$AS$1006,0)), HYPERLINK("#",""), HYPERLINK(CONCATENATE("#Metadata!", ADDRESS(INDEX($X$2:$X$1001,MATCH(ROWS($V$2:V873),$V$2:$V$1001,0),0), INDEX($AC$1004:$AS$1004,1,MATCH(COLUMNS($AC$1006:AN1006),$AC$1006:$AS$1006,0)))),"Fix")))</f>
        <v>0</v>
      </c>
      <c r="N873" s="5">
        <f>IF(OR(INDEX($W$2:$W$1001,MATCH(ROWS($V$2:V873),$V$2:$V$1001,0),1)&gt;=100000,INDEX($AC$1005:$AS$1005,1,MATCH(COLUMNS($AC$1006:AO1006),$AC$1006:$AS$1006,0))&gt;=100000), " ",IF(INDEX($AC$2:$AS$1001,MATCH(ROWS($V$2:V873),$V$2:$V$1001,0),MATCH(COLUMNS($AC$1006:AO1006),$AC$1006:$AS$1006,0)), HYPERLINK("#",""), HYPERLINK(CONCATENATE("#Metadata!", ADDRESS(INDEX($X$2:$X$1001,MATCH(ROWS($V$2:V873),$V$2:$V$1001,0),0), INDEX($AC$1004:$AS$1004,1,MATCH(COLUMNS($AC$1006:AO1006),$AC$1006:$AS$1006,0)))),"Fix")))</f>
        <v>0</v>
      </c>
      <c r="O873" s="5">
        <f>IF(OR(INDEX($W$2:$W$1001,MATCH(ROWS($V$2:V873),$V$2:$V$1001,0),1)&gt;=100000,INDEX($AC$1005:$AS$1005,1,MATCH(COLUMNS($AC$1006:AP1006),$AC$1006:$AS$1006,0))&gt;=100000), " ",IF(INDEX($AC$2:$AS$1001,MATCH(ROWS($V$2:V873),$V$2:$V$1001,0),MATCH(COLUMNS($AC$1006:AP1006),$AC$1006:$AS$1006,0)), HYPERLINK("#",""), HYPERLINK(CONCATENATE("#Metadata!", ADDRESS(INDEX($X$2:$X$1001,MATCH(ROWS($V$2:V873),$V$2:$V$1001,0),0), INDEX($AC$1004:$AS$1004,1,MATCH(COLUMNS($AC$1006:AP1006),$AC$1006:$AS$1006,0)))),"Fix")))</f>
        <v>0</v>
      </c>
      <c r="P873" s="5">
        <f>IF(OR(INDEX($W$2:$W$1001,MATCH(ROWS($V$2:V873),$V$2:$V$1001,0),1)&gt;=100000,INDEX($AC$1005:$AS$1005,1,MATCH(COLUMNS($AC$1006:AQ1006),$AC$1006:$AS$1006,0))&gt;=100000), " ",IF(INDEX($AC$2:$AS$1001,MATCH(ROWS($V$2:V873),$V$2:$V$1001,0),MATCH(COLUMNS($AC$1006:AQ1006),$AC$1006:$AS$1006,0)), HYPERLINK("#",""), HYPERLINK(CONCATENATE("#Metadata!", ADDRESS(INDEX($X$2:$X$1001,MATCH(ROWS($V$2:V873),$V$2:$V$1001,0),0), INDEX($AC$1004:$AS$1004,1,MATCH(COLUMNS($AC$1006:AQ1006),$AC$1006:$AS$1006,0)))),"Fix")))</f>
        <v>0</v>
      </c>
      <c r="Q873" s="5">
        <f>IF(OR(INDEX($W$2:$W$1001,MATCH(ROWS($V$2:V873),$V$2:$V$1001,0),1)&gt;=100000,INDEX($AC$1005:$AS$1005,1,MATCH(COLUMNS($AC$1006:AR1006),$AC$1006:$AS$1006,0))&gt;=100000), " ",IF(INDEX($AC$2:$AS$1001,MATCH(ROWS($V$2:V873),$V$2:$V$1001,0),MATCH(COLUMNS($AC$1006:AR1006),$AC$1006:$AS$1006,0)), HYPERLINK("#",""), HYPERLINK(CONCATENATE("#Metadata!", ADDRESS(INDEX($X$2:$X$1001,MATCH(ROWS($V$2:V873),$V$2:$V$1001,0),0), INDEX($AC$1004:$AS$1004,1,MATCH(COLUMNS($AC$1006:AR1006),$AC$1006:$AS$1006,0)))),"Fix")))</f>
        <v>0</v>
      </c>
      <c r="R873" s="5">
        <f>IF(OR(INDEX($W$2:$W$1001,MATCH(ROWS($V$2:V873),$V$2:$V$1001,0),1)&gt;=100000,INDEX($AC$1005:$AS$1005,1,MATCH(COLUMNS($AC$1006:AS1006),$AC$1006:$AS$1006,0))&gt;=100000), " ",IF(INDEX($AC$2:$AS$1001,MATCH(ROWS($V$2:V873),$V$2:$V$1001,0),MATCH(COLUMNS($AC$1006:AS1006),$AC$1006:$AS$1006,0)), HYPERLINK("#",""), HYPERLINK(CONCATENATE("#Metadata!", ADDRESS(INDEX($X$2:$X$1001,MATCH(ROWS($V$2:V873),$V$2:$V$1001,0),0), INDEX($AC$1004:$AS$1004,1,MATCH(COLUMNS($AC$1006:AS1006),$AC$1006:$AS$1006,0)))),"Fix")))</f>
        <v>0</v>
      </c>
      <c r="V873">
        <v>0</v>
      </c>
      <c r="W873">
        <v>0</v>
      </c>
      <c r="X873">
        <v>0</v>
      </c>
      <c r="Y873">
        <f>IF(Z873,TRUE,AND(AC873:AS873))</f>
        <v>0</v>
      </c>
      <c r="Z873">
        <f>COUNTBLANK(Metadata!B873:R873)=COLUMNS(Metadata!B873:R873)</f>
        <v>0</v>
      </c>
      <c r="AA873">
        <v>0</v>
      </c>
      <c r="AC873">
        <f>AND(IF(Metadata!B873="",FALSE,TRUE),COUNTIF(Metadata!B:B, Metadata!B873) = 1,NOT(ISERROR(SUMPRODUCT(SEARCH(MID(Metadata!B873,ROW(INDIRECT("1:"&amp;LEN(Metadata!B873))), 1),"0123456789abcdefghijklmnopqrstuvwxyzABCDEFGHIJKLMNOPQRSTUVWXYZ.")))))</f>
        <v>0</v>
      </c>
      <c r="AD873">
        <f>AND(IF(Metadata!C873="",FALSE,TRUE),exact(Metadata!C873,"Host-associated"))</f>
        <v>0</v>
      </c>
      <c r="AE873">
        <f>AND(IF(Metadata!D873="",FALSE,TRUE),OR(exact(Metadata!D873,"Animal"),exact(Metadata!D873,"Fungus"),exact(Metadata!D873,"Plant")))</f>
        <v>0</v>
      </c>
      <c r="AF873">
        <f>AND(IF(Metadata!E873="",FALSE,TRUE),OR(exact(Metadata!E873,"Plant secretion"),exact(Metadata!E873,"Plant rhizosphere"),exact(Metadata!E873,"Plant surface"),exact(Metadata!E873,"Plant corpus"),exact(Metadata!E873,"Fungus surface"),exact(Metadata!E873,"Fungus corpus"),exact(Metadata!E873,"Animal surface"),exact(Metadata!E873,"Animal proximal gut"),exact(Metadata!E873,"Animal corpus"),exact(Metadata!E873,"Animal distal gut"),exact(Metadata!E873,"Animal secretion")))</f>
        <v>0</v>
      </c>
      <c r="AG873">
        <f>OR(AND(IF(Metadata!F873="",FALSE,TRUE),OR(exact(Metadata!F873,"not collected"),exact(Metadata!F873,"not provided"),exact(Metadata!F873,"restricted access"))),AND(IF(Metadata!F873="",FALSE,TRUE),OR(exact(Metadata!F873,"organism-associated habitat"),exact(Metadata!F873,"plant-associated habitat"),exact(Metadata!F873,"animal-associated habitat"),exact(Metadata!F873,"insecta-associated habitat"),exact(Metadata!F873,"mammalia-associated habitat"),exact(Metadata!F873,"human-associated habitat"),exact(Metadata!F873,"livestock-associated habitat"))))</f>
        <v>0</v>
      </c>
      <c r="AH873">
        <f>AND(IF(Metadata!G873="",FALSE,TRUE),exact(Metadata!G873,"host-associated"))</f>
        <v>0</v>
      </c>
      <c r="AI873">
        <f>OR(AND(IF(Metadata!H873="",FALSE,TRUE),OR(exact(Metadata!H873,"not collected"),exact(Metadata!H873,"not provided"))),AND(IF(Metadata!H873="",FALSE,ISNUMBER(VALUE(Metadata!H873))),Metadata!H873&gt;0))</f>
        <v>0</v>
      </c>
      <c r="AJ873">
        <f>AND(IF(Metadata!I873="",FALSE,TRUE),exact(Metadata!I873,"years"))</f>
        <v>0</v>
      </c>
      <c r="AK873">
        <f>IF(Metadata!J873="",FALSE,TRUE)</f>
        <v>0</v>
      </c>
      <c r="AL873">
        <f>OR(AND(IF(Metadata!K873="",FALSE,TRUE),OR(exact(Metadata!K873,"not collected"),exact(Metadata!K873,"not provided"))),AND(IF(Metadata!K873="",FALSE,ISNUMBER(VALUE(Metadata!K873))),Metadata!K873&gt;0))</f>
        <v>0</v>
      </c>
      <c r="AM873">
        <f>AND(IF(Metadata!L873="",FALSE,TRUE),exact(Metadata!L873,"cm"))</f>
        <v>0</v>
      </c>
      <c r="AN873">
        <f>IF(Metadata!M873="",FALSE,TRUE)</f>
        <v>0</v>
      </c>
      <c r="AO873">
        <f>OR(AND(IF(Metadata!N873="",FALSE,TRUE),OR(exact(Metadata!N873,"not applicable"),exact(Metadata!N873,"not collected"),exact(Metadata!N873,"not provided"))),AND(IF(Metadata!N873="",FALSE,IF(ISERROR(INT(Metadata!N873)),FALSE,INT(Metadata!N873)=Metadata!N873)),Metadata!N873&gt;0))</f>
        <v>0</v>
      </c>
      <c r="AP873">
        <f>OR(AND(IF(Metadata!O873="",FALSE,TRUE),OR(exact(Metadata!O873,"not collected"),exact(Metadata!O873,"not provided"))),AND(IF(Metadata!O873="",FALSE,ISNUMBER(VALUE(Metadata!O873))),Metadata!O873&gt;0))</f>
        <v>0</v>
      </c>
      <c r="AQ873">
        <f>AND(IF(Metadata!P873="",FALSE,TRUE),exact(Metadata!P873,"kg"))</f>
        <v>0</v>
      </c>
      <c r="AR873">
        <f>OR(AND(IF(Metadata!Q873="",FALSE,TRUE),OR(exact(Metadata!Q873,"not applicable"),exact(Metadata!Q873,"not collected"),exact(Metadata!Q873,"not provided"),exact(Metadata!Q873,"restricted access"))),IF(Metadata!Q873="",FALSE,IF(ISERROR(INT(Metadata!Q873)),FALSE,INT(Metadata!Q873)=Metadata!Q873)))</f>
        <v>0</v>
      </c>
      <c r="AS873">
        <f>AND(IF(Metadata!R873="",FALSE,TRUE),exact(Metadata!R873,"Not applicable"))</f>
        <v>0</v>
      </c>
    </row>
    <row r="874" spans="1:45">
      <c r="A874" s="4">
        <f>IF(B874=" "," ",HYPERLINK(CONCATENATE("#metadata!",ADDRESS(INDEX($X$2:$X$1001,MATCH(ROWS($V$2:V874),$V$2:$V$1001,0),0),2)),INDEX($AA$2:$AA$1001,MATCH(ROWS($V$2:V874),$V$2:$V$1001,0),0)))</f>
        <v>0</v>
      </c>
      <c r="B874" s="5">
        <f>IF(OR(INDEX($W$2:$W$1001,MATCH(ROWS($V$2:V874),$V$2:$V$1001,0),1)&gt;=100000,INDEX($AC$1005:$AS$1005,1,MATCH(COLUMNS($AC$1006:AC1006),$AC$1006:$AS$1006,0))&gt;=100000), " ",IF(INDEX($AC$2:$AS$1001,MATCH(ROWS($V$2:V874),$V$2:$V$1001,0),MATCH(COLUMNS($AC$1006:AC1006),$AC$1006:$AS$1006,0)), HYPERLINK("#",""), HYPERLINK(CONCATENATE("#Metadata!", ADDRESS(INDEX($X$2:$X$1001,MATCH(ROWS($V$2:V874),$V$2:$V$1001,0),0), INDEX($AC$1004:$AS$1004,1,MATCH(COLUMNS($AC$1006:AC1006),$AC$1006:$AS$1006,0)))),"Fix")))</f>
        <v>0</v>
      </c>
      <c r="C874" s="5">
        <f>IF(OR(INDEX($W$2:$W$1001,MATCH(ROWS($V$2:V874),$V$2:$V$1001,0),1)&gt;=100000,INDEX($AC$1005:$AS$1005,1,MATCH(COLUMNS($AC$1006:AD1006),$AC$1006:$AS$1006,0))&gt;=100000), " ",IF(INDEX($AC$2:$AS$1001,MATCH(ROWS($V$2:V874),$V$2:$V$1001,0),MATCH(COLUMNS($AC$1006:AD1006),$AC$1006:$AS$1006,0)), HYPERLINK("#",""), HYPERLINK(CONCATENATE("#Metadata!", ADDRESS(INDEX($X$2:$X$1001,MATCH(ROWS($V$2:V874),$V$2:$V$1001,0),0), INDEX($AC$1004:$AS$1004,1,MATCH(COLUMNS($AC$1006:AD1006),$AC$1006:$AS$1006,0)))),"Fix")))</f>
        <v>0</v>
      </c>
      <c r="D874" s="5">
        <f>IF(OR(INDEX($W$2:$W$1001,MATCH(ROWS($V$2:V874),$V$2:$V$1001,0),1)&gt;=100000,INDEX($AC$1005:$AS$1005,1,MATCH(COLUMNS($AC$1006:AE1006),$AC$1006:$AS$1006,0))&gt;=100000), " ",IF(INDEX($AC$2:$AS$1001,MATCH(ROWS($V$2:V874),$V$2:$V$1001,0),MATCH(COLUMNS($AC$1006:AE1006),$AC$1006:$AS$1006,0)), HYPERLINK("#",""), HYPERLINK(CONCATENATE("#Metadata!", ADDRESS(INDEX($X$2:$X$1001,MATCH(ROWS($V$2:V874),$V$2:$V$1001,0),0), INDEX($AC$1004:$AS$1004,1,MATCH(COLUMNS($AC$1006:AE1006),$AC$1006:$AS$1006,0)))),"Fix")))</f>
        <v>0</v>
      </c>
      <c r="E874" s="5">
        <f>IF(OR(INDEX($W$2:$W$1001,MATCH(ROWS($V$2:V874),$V$2:$V$1001,0),1)&gt;=100000,INDEX($AC$1005:$AS$1005,1,MATCH(COLUMNS($AC$1006:AF1006),$AC$1006:$AS$1006,0))&gt;=100000), " ",IF(INDEX($AC$2:$AS$1001,MATCH(ROWS($V$2:V874),$V$2:$V$1001,0),MATCH(COLUMNS($AC$1006:AF1006),$AC$1006:$AS$1006,0)), HYPERLINK("#",""), HYPERLINK(CONCATENATE("#Metadata!", ADDRESS(INDEX($X$2:$X$1001,MATCH(ROWS($V$2:V874),$V$2:$V$1001,0),0), INDEX($AC$1004:$AS$1004,1,MATCH(COLUMNS($AC$1006:AF1006),$AC$1006:$AS$1006,0)))),"Fix")))</f>
        <v>0</v>
      </c>
      <c r="F874" s="5">
        <f>IF(OR(INDEX($W$2:$W$1001,MATCH(ROWS($V$2:V874),$V$2:$V$1001,0),1)&gt;=100000,INDEX($AC$1005:$AS$1005,1,MATCH(COLUMNS($AC$1006:AG1006),$AC$1006:$AS$1006,0))&gt;=100000), " ",IF(INDEX($AC$2:$AS$1001,MATCH(ROWS($V$2:V874),$V$2:$V$1001,0),MATCH(COLUMNS($AC$1006:AG1006),$AC$1006:$AS$1006,0)), HYPERLINK("#",""), HYPERLINK(CONCATENATE("#Metadata!", ADDRESS(INDEX($X$2:$X$1001,MATCH(ROWS($V$2:V874),$V$2:$V$1001,0),0), INDEX($AC$1004:$AS$1004,1,MATCH(COLUMNS($AC$1006:AG1006),$AC$1006:$AS$1006,0)))),"Fix")))</f>
        <v>0</v>
      </c>
      <c r="G874" s="5">
        <f>IF(OR(INDEX($W$2:$W$1001,MATCH(ROWS($V$2:V874),$V$2:$V$1001,0),1)&gt;=100000,INDEX($AC$1005:$AS$1005,1,MATCH(COLUMNS($AC$1006:AH1006),$AC$1006:$AS$1006,0))&gt;=100000), " ",IF(INDEX($AC$2:$AS$1001,MATCH(ROWS($V$2:V874),$V$2:$V$1001,0),MATCH(COLUMNS($AC$1006:AH1006),$AC$1006:$AS$1006,0)), HYPERLINK("#",""), HYPERLINK(CONCATENATE("#Metadata!", ADDRESS(INDEX($X$2:$X$1001,MATCH(ROWS($V$2:V874),$V$2:$V$1001,0),0), INDEX($AC$1004:$AS$1004,1,MATCH(COLUMNS($AC$1006:AH1006),$AC$1006:$AS$1006,0)))),"Fix")))</f>
        <v>0</v>
      </c>
      <c r="H874" s="5">
        <f>IF(OR(INDEX($W$2:$W$1001,MATCH(ROWS($V$2:V874),$V$2:$V$1001,0),1)&gt;=100000,INDEX($AC$1005:$AS$1005,1,MATCH(COLUMNS($AC$1006:AI1006),$AC$1006:$AS$1006,0))&gt;=100000), " ",IF(INDEX($AC$2:$AS$1001,MATCH(ROWS($V$2:V874),$V$2:$V$1001,0),MATCH(COLUMNS($AC$1006:AI1006),$AC$1006:$AS$1006,0)), HYPERLINK("#",""), HYPERLINK(CONCATENATE("#Metadata!", ADDRESS(INDEX($X$2:$X$1001,MATCH(ROWS($V$2:V874),$V$2:$V$1001,0),0), INDEX($AC$1004:$AS$1004,1,MATCH(COLUMNS($AC$1006:AI1006),$AC$1006:$AS$1006,0)))),"Fix")))</f>
        <v>0</v>
      </c>
      <c r="I874" s="5">
        <f>IF(OR(INDEX($W$2:$W$1001,MATCH(ROWS($V$2:V874),$V$2:$V$1001,0),1)&gt;=100000,INDEX($AC$1005:$AS$1005,1,MATCH(COLUMNS($AC$1006:AJ1006),$AC$1006:$AS$1006,0))&gt;=100000), " ",IF(INDEX($AC$2:$AS$1001,MATCH(ROWS($V$2:V874),$V$2:$V$1001,0),MATCH(COLUMNS($AC$1006:AJ1006),$AC$1006:$AS$1006,0)), HYPERLINK("#",""), HYPERLINK(CONCATENATE("#Metadata!", ADDRESS(INDEX($X$2:$X$1001,MATCH(ROWS($V$2:V874),$V$2:$V$1001,0),0), INDEX($AC$1004:$AS$1004,1,MATCH(COLUMNS($AC$1006:AJ1006),$AC$1006:$AS$1006,0)))),"Fix")))</f>
        <v>0</v>
      </c>
      <c r="J874" s="5">
        <f>IF(OR(INDEX($W$2:$W$1001,MATCH(ROWS($V$2:V874),$V$2:$V$1001,0),1)&gt;=100000,INDEX($AC$1005:$AS$1005,1,MATCH(COLUMNS($AC$1006:AK1006),$AC$1006:$AS$1006,0))&gt;=100000), " ",IF(INDEX($AC$2:$AS$1001,MATCH(ROWS($V$2:V874),$V$2:$V$1001,0),MATCH(COLUMNS($AC$1006:AK1006),$AC$1006:$AS$1006,0)), HYPERLINK("#",""), HYPERLINK(CONCATENATE("#Metadata!", ADDRESS(INDEX($X$2:$X$1001,MATCH(ROWS($V$2:V874),$V$2:$V$1001,0),0), INDEX($AC$1004:$AS$1004,1,MATCH(COLUMNS($AC$1006:AK1006),$AC$1006:$AS$1006,0)))),"Fix")))</f>
        <v>0</v>
      </c>
      <c r="K874" s="5">
        <f>IF(OR(INDEX($W$2:$W$1001,MATCH(ROWS($V$2:V874),$V$2:$V$1001,0),1)&gt;=100000,INDEX($AC$1005:$AS$1005,1,MATCH(COLUMNS($AC$1006:AL1006),$AC$1006:$AS$1006,0))&gt;=100000), " ",IF(INDEX($AC$2:$AS$1001,MATCH(ROWS($V$2:V874),$V$2:$V$1001,0),MATCH(COLUMNS($AC$1006:AL1006),$AC$1006:$AS$1006,0)), HYPERLINK("#",""), HYPERLINK(CONCATENATE("#Metadata!", ADDRESS(INDEX($X$2:$X$1001,MATCH(ROWS($V$2:V874),$V$2:$V$1001,0),0), INDEX($AC$1004:$AS$1004,1,MATCH(COLUMNS($AC$1006:AL1006),$AC$1006:$AS$1006,0)))),"Fix")))</f>
        <v>0</v>
      </c>
      <c r="L874" s="5">
        <f>IF(OR(INDEX($W$2:$W$1001,MATCH(ROWS($V$2:V874),$V$2:$V$1001,0),1)&gt;=100000,INDEX($AC$1005:$AS$1005,1,MATCH(COLUMNS($AC$1006:AM1006),$AC$1006:$AS$1006,0))&gt;=100000), " ",IF(INDEX($AC$2:$AS$1001,MATCH(ROWS($V$2:V874),$V$2:$V$1001,0),MATCH(COLUMNS($AC$1006:AM1006),$AC$1006:$AS$1006,0)), HYPERLINK("#",""), HYPERLINK(CONCATENATE("#Metadata!", ADDRESS(INDEX($X$2:$X$1001,MATCH(ROWS($V$2:V874),$V$2:$V$1001,0),0), INDEX($AC$1004:$AS$1004,1,MATCH(COLUMNS($AC$1006:AM1006),$AC$1006:$AS$1006,0)))),"Fix")))</f>
        <v>0</v>
      </c>
      <c r="M874" s="5">
        <f>IF(OR(INDEX($W$2:$W$1001,MATCH(ROWS($V$2:V874),$V$2:$V$1001,0),1)&gt;=100000,INDEX($AC$1005:$AS$1005,1,MATCH(COLUMNS($AC$1006:AN1006),$AC$1006:$AS$1006,0))&gt;=100000), " ",IF(INDEX($AC$2:$AS$1001,MATCH(ROWS($V$2:V874),$V$2:$V$1001,0),MATCH(COLUMNS($AC$1006:AN1006),$AC$1006:$AS$1006,0)), HYPERLINK("#",""), HYPERLINK(CONCATENATE("#Metadata!", ADDRESS(INDEX($X$2:$X$1001,MATCH(ROWS($V$2:V874),$V$2:$V$1001,0),0), INDEX($AC$1004:$AS$1004,1,MATCH(COLUMNS($AC$1006:AN1006),$AC$1006:$AS$1006,0)))),"Fix")))</f>
        <v>0</v>
      </c>
      <c r="N874" s="5">
        <f>IF(OR(INDEX($W$2:$W$1001,MATCH(ROWS($V$2:V874),$V$2:$V$1001,0),1)&gt;=100000,INDEX($AC$1005:$AS$1005,1,MATCH(COLUMNS($AC$1006:AO1006),$AC$1006:$AS$1006,0))&gt;=100000), " ",IF(INDEX($AC$2:$AS$1001,MATCH(ROWS($V$2:V874),$V$2:$V$1001,0),MATCH(COLUMNS($AC$1006:AO1006),$AC$1006:$AS$1006,0)), HYPERLINK("#",""), HYPERLINK(CONCATENATE("#Metadata!", ADDRESS(INDEX($X$2:$X$1001,MATCH(ROWS($V$2:V874),$V$2:$V$1001,0),0), INDEX($AC$1004:$AS$1004,1,MATCH(COLUMNS($AC$1006:AO1006),$AC$1006:$AS$1006,0)))),"Fix")))</f>
        <v>0</v>
      </c>
      <c r="O874" s="5">
        <f>IF(OR(INDEX($W$2:$W$1001,MATCH(ROWS($V$2:V874),$V$2:$V$1001,0),1)&gt;=100000,INDEX($AC$1005:$AS$1005,1,MATCH(COLUMNS($AC$1006:AP1006),$AC$1006:$AS$1006,0))&gt;=100000), " ",IF(INDEX($AC$2:$AS$1001,MATCH(ROWS($V$2:V874),$V$2:$V$1001,0),MATCH(COLUMNS($AC$1006:AP1006),$AC$1006:$AS$1006,0)), HYPERLINK("#",""), HYPERLINK(CONCATENATE("#Metadata!", ADDRESS(INDEX($X$2:$X$1001,MATCH(ROWS($V$2:V874),$V$2:$V$1001,0),0), INDEX($AC$1004:$AS$1004,1,MATCH(COLUMNS($AC$1006:AP1006),$AC$1006:$AS$1006,0)))),"Fix")))</f>
        <v>0</v>
      </c>
      <c r="P874" s="5">
        <f>IF(OR(INDEX($W$2:$W$1001,MATCH(ROWS($V$2:V874),$V$2:$V$1001,0),1)&gt;=100000,INDEX($AC$1005:$AS$1005,1,MATCH(COLUMNS($AC$1006:AQ1006),$AC$1006:$AS$1006,0))&gt;=100000), " ",IF(INDEX($AC$2:$AS$1001,MATCH(ROWS($V$2:V874),$V$2:$V$1001,0),MATCH(COLUMNS($AC$1006:AQ1006),$AC$1006:$AS$1006,0)), HYPERLINK("#",""), HYPERLINK(CONCATENATE("#Metadata!", ADDRESS(INDEX($X$2:$X$1001,MATCH(ROWS($V$2:V874),$V$2:$V$1001,0),0), INDEX($AC$1004:$AS$1004,1,MATCH(COLUMNS($AC$1006:AQ1006),$AC$1006:$AS$1006,0)))),"Fix")))</f>
        <v>0</v>
      </c>
      <c r="Q874" s="5">
        <f>IF(OR(INDEX($W$2:$W$1001,MATCH(ROWS($V$2:V874),$V$2:$V$1001,0),1)&gt;=100000,INDEX($AC$1005:$AS$1005,1,MATCH(COLUMNS($AC$1006:AR1006),$AC$1006:$AS$1006,0))&gt;=100000), " ",IF(INDEX($AC$2:$AS$1001,MATCH(ROWS($V$2:V874),$V$2:$V$1001,0),MATCH(COLUMNS($AC$1006:AR1006),$AC$1006:$AS$1006,0)), HYPERLINK("#",""), HYPERLINK(CONCATENATE("#Metadata!", ADDRESS(INDEX($X$2:$X$1001,MATCH(ROWS($V$2:V874),$V$2:$V$1001,0),0), INDEX($AC$1004:$AS$1004,1,MATCH(COLUMNS($AC$1006:AR1006),$AC$1006:$AS$1006,0)))),"Fix")))</f>
        <v>0</v>
      </c>
      <c r="R874" s="5">
        <f>IF(OR(INDEX($W$2:$W$1001,MATCH(ROWS($V$2:V874),$V$2:$V$1001,0),1)&gt;=100000,INDEX($AC$1005:$AS$1005,1,MATCH(COLUMNS($AC$1006:AS1006),$AC$1006:$AS$1006,0))&gt;=100000), " ",IF(INDEX($AC$2:$AS$1001,MATCH(ROWS($V$2:V874),$V$2:$V$1001,0),MATCH(COLUMNS($AC$1006:AS1006),$AC$1006:$AS$1006,0)), HYPERLINK("#",""), HYPERLINK(CONCATENATE("#Metadata!", ADDRESS(INDEX($X$2:$X$1001,MATCH(ROWS($V$2:V874),$V$2:$V$1001,0),0), INDEX($AC$1004:$AS$1004,1,MATCH(COLUMNS($AC$1006:AS1006),$AC$1006:$AS$1006,0)))),"Fix")))</f>
        <v>0</v>
      </c>
      <c r="V874">
        <v>0</v>
      </c>
      <c r="W874">
        <v>0</v>
      </c>
      <c r="X874">
        <v>0</v>
      </c>
      <c r="Y874">
        <f>IF(Z874,TRUE,AND(AC874:AS874))</f>
        <v>0</v>
      </c>
      <c r="Z874">
        <f>COUNTBLANK(Metadata!B874:R874)=COLUMNS(Metadata!B874:R874)</f>
        <v>0</v>
      </c>
      <c r="AA874">
        <v>0</v>
      </c>
      <c r="AC874">
        <f>AND(IF(Metadata!B874="",FALSE,TRUE),COUNTIF(Metadata!B:B, Metadata!B874) = 1,NOT(ISERROR(SUMPRODUCT(SEARCH(MID(Metadata!B874,ROW(INDIRECT("1:"&amp;LEN(Metadata!B874))), 1),"0123456789abcdefghijklmnopqrstuvwxyzABCDEFGHIJKLMNOPQRSTUVWXYZ.")))))</f>
        <v>0</v>
      </c>
      <c r="AD874">
        <f>AND(IF(Metadata!C874="",FALSE,TRUE),exact(Metadata!C874,"Host-associated"))</f>
        <v>0</v>
      </c>
      <c r="AE874">
        <f>AND(IF(Metadata!D874="",FALSE,TRUE),OR(exact(Metadata!D874,"Animal"),exact(Metadata!D874,"Fungus"),exact(Metadata!D874,"Plant")))</f>
        <v>0</v>
      </c>
      <c r="AF874">
        <f>AND(IF(Metadata!E874="",FALSE,TRUE),OR(exact(Metadata!E874,"Plant secretion"),exact(Metadata!E874,"Plant rhizosphere"),exact(Metadata!E874,"Plant surface"),exact(Metadata!E874,"Plant corpus"),exact(Metadata!E874,"Fungus surface"),exact(Metadata!E874,"Fungus corpus"),exact(Metadata!E874,"Animal surface"),exact(Metadata!E874,"Animal proximal gut"),exact(Metadata!E874,"Animal corpus"),exact(Metadata!E874,"Animal distal gut"),exact(Metadata!E874,"Animal secretion")))</f>
        <v>0</v>
      </c>
      <c r="AG874">
        <f>OR(AND(IF(Metadata!F874="",FALSE,TRUE),OR(exact(Metadata!F874,"not collected"),exact(Metadata!F874,"not provided"),exact(Metadata!F874,"restricted access"))),AND(IF(Metadata!F874="",FALSE,TRUE),OR(exact(Metadata!F874,"organism-associated habitat"),exact(Metadata!F874,"plant-associated habitat"),exact(Metadata!F874,"animal-associated habitat"),exact(Metadata!F874,"insecta-associated habitat"),exact(Metadata!F874,"mammalia-associated habitat"),exact(Metadata!F874,"human-associated habitat"),exact(Metadata!F874,"livestock-associated habitat"))))</f>
        <v>0</v>
      </c>
      <c r="AH874">
        <f>AND(IF(Metadata!G874="",FALSE,TRUE),exact(Metadata!G874,"host-associated"))</f>
        <v>0</v>
      </c>
      <c r="AI874">
        <f>OR(AND(IF(Metadata!H874="",FALSE,TRUE),OR(exact(Metadata!H874,"not collected"),exact(Metadata!H874,"not provided"))),AND(IF(Metadata!H874="",FALSE,ISNUMBER(VALUE(Metadata!H874))),Metadata!H874&gt;0))</f>
        <v>0</v>
      </c>
      <c r="AJ874">
        <f>AND(IF(Metadata!I874="",FALSE,TRUE),exact(Metadata!I874,"years"))</f>
        <v>0</v>
      </c>
      <c r="AK874">
        <f>IF(Metadata!J874="",FALSE,TRUE)</f>
        <v>0</v>
      </c>
      <c r="AL874">
        <f>OR(AND(IF(Metadata!K874="",FALSE,TRUE),OR(exact(Metadata!K874,"not collected"),exact(Metadata!K874,"not provided"))),AND(IF(Metadata!K874="",FALSE,ISNUMBER(VALUE(Metadata!K874))),Metadata!K874&gt;0))</f>
        <v>0</v>
      </c>
      <c r="AM874">
        <f>AND(IF(Metadata!L874="",FALSE,TRUE),exact(Metadata!L874,"cm"))</f>
        <v>0</v>
      </c>
      <c r="AN874">
        <f>IF(Metadata!M874="",FALSE,TRUE)</f>
        <v>0</v>
      </c>
      <c r="AO874">
        <f>OR(AND(IF(Metadata!N874="",FALSE,TRUE),OR(exact(Metadata!N874,"not applicable"),exact(Metadata!N874,"not collected"),exact(Metadata!N874,"not provided"))),AND(IF(Metadata!N874="",FALSE,IF(ISERROR(INT(Metadata!N874)),FALSE,INT(Metadata!N874)=Metadata!N874)),Metadata!N874&gt;0))</f>
        <v>0</v>
      </c>
      <c r="AP874">
        <f>OR(AND(IF(Metadata!O874="",FALSE,TRUE),OR(exact(Metadata!O874,"not collected"),exact(Metadata!O874,"not provided"))),AND(IF(Metadata!O874="",FALSE,ISNUMBER(VALUE(Metadata!O874))),Metadata!O874&gt;0))</f>
        <v>0</v>
      </c>
      <c r="AQ874">
        <f>AND(IF(Metadata!P874="",FALSE,TRUE),exact(Metadata!P874,"kg"))</f>
        <v>0</v>
      </c>
      <c r="AR874">
        <f>OR(AND(IF(Metadata!Q874="",FALSE,TRUE),OR(exact(Metadata!Q874,"not applicable"),exact(Metadata!Q874,"not collected"),exact(Metadata!Q874,"not provided"),exact(Metadata!Q874,"restricted access"))),IF(Metadata!Q874="",FALSE,IF(ISERROR(INT(Metadata!Q874)),FALSE,INT(Metadata!Q874)=Metadata!Q874)))</f>
        <v>0</v>
      </c>
      <c r="AS874">
        <f>AND(IF(Metadata!R874="",FALSE,TRUE),exact(Metadata!R874,"Not applicable"))</f>
        <v>0</v>
      </c>
    </row>
    <row r="875" spans="1:45">
      <c r="A875" s="4">
        <f>IF(B875=" "," ",HYPERLINK(CONCATENATE("#metadata!",ADDRESS(INDEX($X$2:$X$1001,MATCH(ROWS($V$2:V875),$V$2:$V$1001,0),0),2)),INDEX($AA$2:$AA$1001,MATCH(ROWS($V$2:V875),$V$2:$V$1001,0),0)))</f>
        <v>0</v>
      </c>
      <c r="B875" s="5">
        <f>IF(OR(INDEX($W$2:$W$1001,MATCH(ROWS($V$2:V875),$V$2:$V$1001,0),1)&gt;=100000,INDEX($AC$1005:$AS$1005,1,MATCH(COLUMNS($AC$1006:AC1006),$AC$1006:$AS$1006,0))&gt;=100000), " ",IF(INDEX($AC$2:$AS$1001,MATCH(ROWS($V$2:V875),$V$2:$V$1001,0),MATCH(COLUMNS($AC$1006:AC1006),$AC$1006:$AS$1006,0)), HYPERLINK("#",""), HYPERLINK(CONCATENATE("#Metadata!", ADDRESS(INDEX($X$2:$X$1001,MATCH(ROWS($V$2:V875),$V$2:$V$1001,0),0), INDEX($AC$1004:$AS$1004,1,MATCH(COLUMNS($AC$1006:AC1006),$AC$1006:$AS$1006,0)))),"Fix")))</f>
        <v>0</v>
      </c>
      <c r="C875" s="5">
        <f>IF(OR(INDEX($W$2:$W$1001,MATCH(ROWS($V$2:V875),$V$2:$V$1001,0),1)&gt;=100000,INDEX($AC$1005:$AS$1005,1,MATCH(COLUMNS($AC$1006:AD1006),$AC$1006:$AS$1006,0))&gt;=100000), " ",IF(INDEX($AC$2:$AS$1001,MATCH(ROWS($V$2:V875),$V$2:$V$1001,0),MATCH(COLUMNS($AC$1006:AD1006),$AC$1006:$AS$1006,0)), HYPERLINK("#",""), HYPERLINK(CONCATENATE("#Metadata!", ADDRESS(INDEX($X$2:$X$1001,MATCH(ROWS($V$2:V875),$V$2:$V$1001,0),0), INDEX($AC$1004:$AS$1004,1,MATCH(COLUMNS($AC$1006:AD1006),$AC$1006:$AS$1006,0)))),"Fix")))</f>
        <v>0</v>
      </c>
      <c r="D875" s="5">
        <f>IF(OR(INDEX($W$2:$W$1001,MATCH(ROWS($V$2:V875),$V$2:$V$1001,0),1)&gt;=100000,INDEX($AC$1005:$AS$1005,1,MATCH(COLUMNS($AC$1006:AE1006),$AC$1006:$AS$1006,0))&gt;=100000), " ",IF(INDEX($AC$2:$AS$1001,MATCH(ROWS($V$2:V875),$V$2:$V$1001,0),MATCH(COLUMNS($AC$1006:AE1006),$AC$1006:$AS$1006,0)), HYPERLINK("#",""), HYPERLINK(CONCATENATE("#Metadata!", ADDRESS(INDEX($X$2:$X$1001,MATCH(ROWS($V$2:V875),$V$2:$V$1001,0),0), INDEX($AC$1004:$AS$1004,1,MATCH(COLUMNS($AC$1006:AE1006),$AC$1006:$AS$1006,0)))),"Fix")))</f>
        <v>0</v>
      </c>
      <c r="E875" s="5">
        <f>IF(OR(INDEX($W$2:$W$1001,MATCH(ROWS($V$2:V875),$V$2:$V$1001,0),1)&gt;=100000,INDEX($AC$1005:$AS$1005,1,MATCH(COLUMNS($AC$1006:AF1006),$AC$1006:$AS$1006,0))&gt;=100000), " ",IF(INDEX($AC$2:$AS$1001,MATCH(ROWS($V$2:V875),$V$2:$V$1001,0),MATCH(COLUMNS($AC$1006:AF1006),$AC$1006:$AS$1006,0)), HYPERLINK("#",""), HYPERLINK(CONCATENATE("#Metadata!", ADDRESS(INDEX($X$2:$X$1001,MATCH(ROWS($V$2:V875),$V$2:$V$1001,0),0), INDEX($AC$1004:$AS$1004,1,MATCH(COLUMNS($AC$1006:AF1006),$AC$1006:$AS$1006,0)))),"Fix")))</f>
        <v>0</v>
      </c>
      <c r="F875" s="5">
        <f>IF(OR(INDEX($W$2:$W$1001,MATCH(ROWS($V$2:V875),$V$2:$V$1001,0),1)&gt;=100000,INDEX($AC$1005:$AS$1005,1,MATCH(COLUMNS($AC$1006:AG1006),$AC$1006:$AS$1006,0))&gt;=100000), " ",IF(INDEX($AC$2:$AS$1001,MATCH(ROWS($V$2:V875),$V$2:$V$1001,0),MATCH(COLUMNS($AC$1006:AG1006),$AC$1006:$AS$1006,0)), HYPERLINK("#",""), HYPERLINK(CONCATENATE("#Metadata!", ADDRESS(INDEX($X$2:$X$1001,MATCH(ROWS($V$2:V875),$V$2:$V$1001,0),0), INDEX($AC$1004:$AS$1004,1,MATCH(COLUMNS($AC$1006:AG1006),$AC$1006:$AS$1006,0)))),"Fix")))</f>
        <v>0</v>
      </c>
      <c r="G875" s="5">
        <f>IF(OR(INDEX($W$2:$W$1001,MATCH(ROWS($V$2:V875),$V$2:$V$1001,0),1)&gt;=100000,INDEX($AC$1005:$AS$1005,1,MATCH(COLUMNS($AC$1006:AH1006),$AC$1006:$AS$1006,0))&gt;=100000), " ",IF(INDEX($AC$2:$AS$1001,MATCH(ROWS($V$2:V875),$V$2:$V$1001,0),MATCH(COLUMNS($AC$1006:AH1006),$AC$1006:$AS$1006,0)), HYPERLINK("#",""), HYPERLINK(CONCATENATE("#Metadata!", ADDRESS(INDEX($X$2:$X$1001,MATCH(ROWS($V$2:V875),$V$2:$V$1001,0),0), INDEX($AC$1004:$AS$1004,1,MATCH(COLUMNS($AC$1006:AH1006),$AC$1006:$AS$1006,0)))),"Fix")))</f>
        <v>0</v>
      </c>
      <c r="H875" s="5">
        <f>IF(OR(INDEX($W$2:$W$1001,MATCH(ROWS($V$2:V875),$V$2:$V$1001,0),1)&gt;=100000,INDEX($AC$1005:$AS$1005,1,MATCH(COLUMNS($AC$1006:AI1006),$AC$1006:$AS$1006,0))&gt;=100000), " ",IF(INDEX($AC$2:$AS$1001,MATCH(ROWS($V$2:V875),$V$2:$V$1001,0),MATCH(COLUMNS($AC$1006:AI1006),$AC$1006:$AS$1006,0)), HYPERLINK("#",""), HYPERLINK(CONCATENATE("#Metadata!", ADDRESS(INDEX($X$2:$X$1001,MATCH(ROWS($V$2:V875),$V$2:$V$1001,0),0), INDEX($AC$1004:$AS$1004,1,MATCH(COLUMNS($AC$1006:AI1006),$AC$1006:$AS$1006,0)))),"Fix")))</f>
        <v>0</v>
      </c>
      <c r="I875" s="5">
        <f>IF(OR(INDEX($W$2:$W$1001,MATCH(ROWS($V$2:V875),$V$2:$V$1001,0),1)&gt;=100000,INDEX($AC$1005:$AS$1005,1,MATCH(COLUMNS($AC$1006:AJ1006),$AC$1006:$AS$1006,0))&gt;=100000), " ",IF(INDEX($AC$2:$AS$1001,MATCH(ROWS($V$2:V875),$V$2:$V$1001,0),MATCH(COLUMNS($AC$1006:AJ1006),$AC$1006:$AS$1006,0)), HYPERLINK("#",""), HYPERLINK(CONCATENATE("#Metadata!", ADDRESS(INDEX($X$2:$X$1001,MATCH(ROWS($V$2:V875),$V$2:$V$1001,0),0), INDEX($AC$1004:$AS$1004,1,MATCH(COLUMNS($AC$1006:AJ1006),$AC$1006:$AS$1006,0)))),"Fix")))</f>
        <v>0</v>
      </c>
      <c r="J875" s="5">
        <f>IF(OR(INDEX($W$2:$W$1001,MATCH(ROWS($V$2:V875),$V$2:$V$1001,0),1)&gt;=100000,INDEX($AC$1005:$AS$1005,1,MATCH(COLUMNS($AC$1006:AK1006),$AC$1006:$AS$1006,0))&gt;=100000), " ",IF(INDEX($AC$2:$AS$1001,MATCH(ROWS($V$2:V875),$V$2:$V$1001,0),MATCH(COLUMNS($AC$1006:AK1006),$AC$1006:$AS$1006,0)), HYPERLINK("#",""), HYPERLINK(CONCATENATE("#Metadata!", ADDRESS(INDEX($X$2:$X$1001,MATCH(ROWS($V$2:V875),$V$2:$V$1001,0),0), INDEX($AC$1004:$AS$1004,1,MATCH(COLUMNS($AC$1006:AK1006),$AC$1006:$AS$1006,0)))),"Fix")))</f>
        <v>0</v>
      </c>
      <c r="K875" s="5">
        <f>IF(OR(INDEX($W$2:$W$1001,MATCH(ROWS($V$2:V875),$V$2:$V$1001,0),1)&gt;=100000,INDEX($AC$1005:$AS$1005,1,MATCH(COLUMNS($AC$1006:AL1006),$AC$1006:$AS$1006,0))&gt;=100000), " ",IF(INDEX($AC$2:$AS$1001,MATCH(ROWS($V$2:V875),$V$2:$V$1001,0),MATCH(COLUMNS($AC$1006:AL1006),$AC$1006:$AS$1006,0)), HYPERLINK("#",""), HYPERLINK(CONCATENATE("#Metadata!", ADDRESS(INDEX($X$2:$X$1001,MATCH(ROWS($V$2:V875),$V$2:$V$1001,0),0), INDEX($AC$1004:$AS$1004,1,MATCH(COLUMNS($AC$1006:AL1006),$AC$1006:$AS$1006,0)))),"Fix")))</f>
        <v>0</v>
      </c>
      <c r="L875" s="5">
        <f>IF(OR(INDEX($W$2:$W$1001,MATCH(ROWS($V$2:V875),$V$2:$V$1001,0),1)&gt;=100000,INDEX($AC$1005:$AS$1005,1,MATCH(COLUMNS($AC$1006:AM1006),$AC$1006:$AS$1006,0))&gt;=100000), " ",IF(INDEX($AC$2:$AS$1001,MATCH(ROWS($V$2:V875),$V$2:$V$1001,0),MATCH(COLUMNS($AC$1006:AM1006),$AC$1006:$AS$1006,0)), HYPERLINK("#",""), HYPERLINK(CONCATENATE("#Metadata!", ADDRESS(INDEX($X$2:$X$1001,MATCH(ROWS($V$2:V875),$V$2:$V$1001,0),0), INDEX($AC$1004:$AS$1004,1,MATCH(COLUMNS($AC$1006:AM1006),$AC$1006:$AS$1006,0)))),"Fix")))</f>
        <v>0</v>
      </c>
      <c r="M875" s="5">
        <f>IF(OR(INDEX($W$2:$W$1001,MATCH(ROWS($V$2:V875),$V$2:$V$1001,0),1)&gt;=100000,INDEX($AC$1005:$AS$1005,1,MATCH(COLUMNS($AC$1006:AN1006),$AC$1006:$AS$1006,0))&gt;=100000), " ",IF(INDEX($AC$2:$AS$1001,MATCH(ROWS($V$2:V875),$V$2:$V$1001,0),MATCH(COLUMNS($AC$1006:AN1006),$AC$1006:$AS$1006,0)), HYPERLINK("#",""), HYPERLINK(CONCATENATE("#Metadata!", ADDRESS(INDEX($X$2:$X$1001,MATCH(ROWS($V$2:V875),$V$2:$V$1001,0),0), INDEX($AC$1004:$AS$1004,1,MATCH(COLUMNS($AC$1006:AN1006),$AC$1006:$AS$1006,0)))),"Fix")))</f>
        <v>0</v>
      </c>
      <c r="N875" s="5">
        <f>IF(OR(INDEX($W$2:$W$1001,MATCH(ROWS($V$2:V875),$V$2:$V$1001,0),1)&gt;=100000,INDEX($AC$1005:$AS$1005,1,MATCH(COLUMNS($AC$1006:AO1006),$AC$1006:$AS$1006,0))&gt;=100000), " ",IF(INDEX($AC$2:$AS$1001,MATCH(ROWS($V$2:V875),$V$2:$V$1001,0),MATCH(COLUMNS($AC$1006:AO1006),$AC$1006:$AS$1006,0)), HYPERLINK("#",""), HYPERLINK(CONCATENATE("#Metadata!", ADDRESS(INDEX($X$2:$X$1001,MATCH(ROWS($V$2:V875),$V$2:$V$1001,0),0), INDEX($AC$1004:$AS$1004,1,MATCH(COLUMNS($AC$1006:AO1006),$AC$1006:$AS$1006,0)))),"Fix")))</f>
        <v>0</v>
      </c>
      <c r="O875" s="5">
        <f>IF(OR(INDEX($W$2:$W$1001,MATCH(ROWS($V$2:V875),$V$2:$V$1001,0),1)&gt;=100000,INDEX($AC$1005:$AS$1005,1,MATCH(COLUMNS($AC$1006:AP1006),$AC$1006:$AS$1006,0))&gt;=100000), " ",IF(INDEX($AC$2:$AS$1001,MATCH(ROWS($V$2:V875),$V$2:$V$1001,0),MATCH(COLUMNS($AC$1006:AP1006),$AC$1006:$AS$1006,0)), HYPERLINK("#",""), HYPERLINK(CONCATENATE("#Metadata!", ADDRESS(INDEX($X$2:$X$1001,MATCH(ROWS($V$2:V875),$V$2:$V$1001,0),0), INDEX($AC$1004:$AS$1004,1,MATCH(COLUMNS($AC$1006:AP1006),$AC$1006:$AS$1006,0)))),"Fix")))</f>
        <v>0</v>
      </c>
      <c r="P875" s="5">
        <f>IF(OR(INDEX($W$2:$W$1001,MATCH(ROWS($V$2:V875),$V$2:$V$1001,0),1)&gt;=100000,INDEX($AC$1005:$AS$1005,1,MATCH(COLUMNS($AC$1006:AQ1006),$AC$1006:$AS$1006,0))&gt;=100000), " ",IF(INDEX($AC$2:$AS$1001,MATCH(ROWS($V$2:V875),$V$2:$V$1001,0),MATCH(COLUMNS($AC$1006:AQ1006),$AC$1006:$AS$1006,0)), HYPERLINK("#",""), HYPERLINK(CONCATENATE("#Metadata!", ADDRESS(INDEX($X$2:$X$1001,MATCH(ROWS($V$2:V875),$V$2:$V$1001,0),0), INDEX($AC$1004:$AS$1004,1,MATCH(COLUMNS($AC$1006:AQ1006),$AC$1006:$AS$1006,0)))),"Fix")))</f>
        <v>0</v>
      </c>
      <c r="Q875" s="5">
        <f>IF(OR(INDEX($W$2:$W$1001,MATCH(ROWS($V$2:V875),$V$2:$V$1001,0),1)&gt;=100000,INDEX($AC$1005:$AS$1005,1,MATCH(COLUMNS($AC$1006:AR1006),$AC$1006:$AS$1006,0))&gt;=100000), " ",IF(INDEX($AC$2:$AS$1001,MATCH(ROWS($V$2:V875),$V$2:$V$1001,0),MATCH(COLUMNS($AC$1006:AR1006),$AC$1006:$AS$1006,0)), HYPERLINK("#",""), HYPERLINK(CONCATENATE("#Metadata!", ADDRESS(INDEX($X$2:$X$1001,MATCH(ROWS($V$2:V875),$V$2:$V$1001,0),0), INDEX($AC$1004:$AS$1004,1,MATCH(COLUMNS($AC$1006:AR1006),$AC$1006:$AS$1006,0)))),"Fix")))</f>
        <v>0</v>
      </c>
      <c r="R875" s="5">
        <f>IF(OR(INDEX($W$2:$W$1001,MATCH(ROWS($V$2:V875),$V$2:$V$1001,0),1)&gt;=100000,INDEX($AC$1005:$AS$1005,1,MATCH(COLUMNS($AC$1006:AS1006),$AC$1006:$AS$1006,0))&gt;=100000), " ",IF(INDEX($AC$2:$AS$1001,MATCH(ROWS($V$2:V875),$V$2:$V$1001,0),MATCH(COLUMNS($AC$1006:AS1006),$AC$1006:$AS$1006,0)), HYPERLINK("#",""), HYPERLINK(CONCATENATE("#Metadata!", ADDRESS(INDEX($X$2:$X$1001,MATCH(ROWS($V$2:V875),$V$2:$V$1001,0),0), INDEX($AC$1004:$AS$1004,1,MATCH(COLUMNS($AC$1006:AS1006),$AC$1006:$AS$1006,0)))),"Fix")))</f>
        <v>0</v>
      </c>
      <c r="V875">
        <v>0</v>
      </c>
      <c r="W875">
        <v>0</v>
      </c>
      <c r="X875">
        <v>0</v>
      </c>
      <c r="Y875">
        <f>IF(Z875,TRUE,AND(AC875:AS875))</f>
        <v>0</v>
      </c>
      <c r="Z875">
        <f>COUNTBLANK(Metadata!B875:R875)=COLUMNS(Metadata!B875:R875)</f>
        <v>0</v>
      </c>
      <c r="AA875">
        <v>0</v>
      </c>
      <c r="AC875">
        <f>AND(IF(Metadata!B875="",FALSE,TRUE),COUNTIF(Metadata!B:B, Metadata!B875) = 1,NOT(ISERROR(SUMPRODUCT(SEARCH(MID(Metadata!B875,ROW(INDIRECT("1:"&amp;LEN(Metadata!B875))), 1),"0123456789abcdefghijklmnopqrstuvwxyzABCDEFGHIJKLMNOPQRSTUVWXYZ.")))))</f>
        <v>0</v>
      </c>
      <c r="AD875">
        <f>AND(IF(Metadata!C875="",FALSE,TRUE),exact(Metadata!C875,"Host-associated"))</f>
        <v>0</v>
      </c>
      <c r="AE875">
        <f>AND(IF(Metadata!D875="",FALSE,TRUE),OR(exact(Metadata!D875,"Animal"),exact(Metadata!D875,"Fungus"),exact(Metadata!D875,"Plant")))</f>
        <v>0</v>
      </c>
      <c r="AF875">
        <f>AND(IF(Metadata!E875="",FALSE,TRUE),OR(exact(Metadata!E875,"Plant secretion"),exact(Metadata!E875,"Plant rhizosphere"),exact(Metadata!E875,"Plant surface"),exact(Metadata!E875,"Plant corpus"),exact(Metadata!E875,"Fungus surface"),exact(Metadata!E875,"Fungus corpus"),exact(Metadata!E875,"Animal surface"),exact(Metadata!E875,"Animal proximal gut"),exact(Metadata!E875,"Animal corpus"),exact(Metadata!E875,"Animal distal gut"),exact(Metadata!E875,"Animal secretion")))</f>
        <v>0</v>
      </c>
      <c r="AG875">
        <f>OR(AND(IF(Metadata!F875="",FALSE,TRUE),OR(exact(Metadata!F875,"not collected"),exact(Metadata!F875,"not provided"),exact(Metadata!F875,"restricted access"))),AND(IF(Metadata!F875="",FALSE,TRUE),OR(exact(Metadata!F875,"organism-associated habitat"),exact(Metadata!F875,"plant-associated habitat"),exact(Metadata!F875,"animal-associated habitat"),exact(Metadata!F875,"insecta-associated habitat"),exact(Metadata!F875,"mammalia-associated habitat"),exact(Metadata!F875,"human-associated habitat"),exact(Metadata!F875,"livestock-associated habitat"))))</f>
        <v>0</v>
      </c>
      <c r="AH875">
        <f>AND(IF(Metadata!G875="",FALSE,TRUE),exact(Metadata!G875,"host-associated"))</f>
        <v>0</v>
      </c>
      <c r="AI875">
        <f>OR(AND(IF(Metadata!H875="",FALSE,TRUE),OR(exact(Metadata!H875,"not collected"),exact(Metadata!H875,"not provided"))),AND(IF(Metadata!H875="",FALSE,ISNUMBER(VALUE(Metadata!H875))),Metadata!H875&gt;0))</f>
        <v>0</v>
      </c>
      <c r="AJ875">
        <f>AND(IF(Metadata!I875="",FALSE,TRUE),exact(Metadata!I875,"years"))</f>
        <v>0</v>
      </c>
      <c r="AK875">
        <f>IF(Metadata!J875="",FALSE,TRUE)</f>
        <v>0</v>
      </c>
      <c r="AL875">
        <f>OR(AND(IF(Metadata!K875="",FALSE,TRUE),OR(exact(Metadata!K875,"not collected"),exact(Metadata!K875,"not provided"))),AND(IF(Metadata!K875="",FALSE,ISNUMBER(VALUE(Metadata!K875))),Metadata!K875&gt;0))</f>
        <v>0</v>
      </c>
      <c r="AM875">
        <f>AND(IF(Metadata!L875="",FALSE,TRUE),exact(Metadata!L875,"cm"))</f>
        <v>0</v>
      </c>
      <c r="AN875">
        <f>IF(Metadata!M875="",FALSE,TRUE)</f>
        <v>0</v>
      </c>
      <c r="AO875">
        <f>OR(AND(IF(Metadata!N875="",FALSE,TRUE),OR(exact(Metadata!N875,"not applicable"),exact(Metadata!N875,"not collected"),exact(Metadata!N875,"not provided"))),AND(IF(Metadata!N875="",FALSE,IF(ISERROR(INT(Metadata!N875)),FALSE,INT(Metadata!N875)=Metadata!N875)),Metadata!N875&gt;0))</f>
        <v>0</v>
      </c>
      <c r="AP875">
        <f>OR(AND(IF(Metadata!O875="",FALSE,TRUE),OR(exact(Metadata!O875,"not collected"),exact(Metadata!O875,"not provided"))),AND(IF(Metadata!O875="",FALSE,ISNUMBER(VALUE(Metadata!O875))),Metadata!O875&gt;0))</f>
        <v>0</v>
      </c>
      <c r="AQ875">
        <f>AND(IF(Metadata!P875="",FALSE,TRUE),exact(Metadata!P875,"kg"))</f>
        <v>0</v>
      </c>
      <c r="AR875">
        <f>OR(AND(IF(Metadata!Q875="",FALSE,TRUE),OR(exact(Metadata!Q875,"not applicable"),exact(Metadata!Q875,"not collected"),exact(Metadata!Q875,"not provided"),exact(Metadata!Q875,"restricted access"))),IF(Metadata!Q875="",FALSE,IF(ISERROR(INT(Metadata!Q875)),FALSE,INT(Metadata!Q875)=Metadata!Q875)))</f>
        <v>0</v>
      </c>
      <c r="AS875">
        <f>AND(IF(Metadata!R875="",FALSE,TRUE),exact(Metadata!R875,"Not applicable"))</f>
        <v>0</v>
      </c>
    </row>
    <row r="876" spans="1:45">
      <c r="A876" s="4">
        <f>IF(B876=" "," ",HYPERLINK(CONCATENATE("#metadata!",ADDRESS(INDEX($X$2:$X$1001,MATCH(ROWS($V$2:V876),$V$2:$V$1001,0),0),2)),INDEX($AA$2:$AA$1001,MATCH(ROWS($V$2:V876),$V$2:$V$1001,0),0)))</f>
        <v>0</v>
      </c>
      <c r="B876" s="5">
        <f>IF(OR(INDEX($W$2:$W$1001,MATCH(ROWS($V$2:V876),$V$2:$V$1001,0),1)&gt;=100000,INDEX($AC$1005:$AS$1005,1,MATCH(COLUMNS($AC$1006:AC1006),$AC$1006:$AS$1006,0))&gt;=100000), " ",IF(INDEX($AC$2:$AS$1001,MATCH(ROWS($V$2:V876),$V$2:$V$1001,0),MATCH(COLUMNS($AC$1006:AC1006),$AC$1006:$AS$1006,0)), HYPERLINK("#",""), HYPERLINK(CONCATENATE("#Metadata!", ADDRESS(INDEX($X$2:$X$1001,MATCH(ROWS($V$2:V876),$V$2:$V$1001,0),0), INDEX($AC$1004:$AS$1004,1,MATCH(COLUMNS($AC$1006:AC1006),$AC$1006:$AS$1006,0)))),"Fix")))</f>
        <v>0</v>
      </c>
      <c r="C876" s="5">
        <f>IF(OR(INDEX($W$2:$W$1001,MATCH(ROWS($V$2:V876),$V$2:$V$1001,0),1)&gt;=100000,INDEX($AC$1005:$AS$1005,1,MATCH(COLUMNS($AC$1006:AD1006),$AC$1006:$AS$1006,0))&gt;=100000), " ",IF(INDEX($AC$2:$AS$1001,MATCH(ROWS($V$2:V876),$V$2:$V$1001,0),MATCH(COLUMNS($AC$1006:AD1006),$AC$1006:$AS$1006,0)), HYPERLINK("#",""), HYPERLINK(CONCATENATE("#Metadata!", ADDRESS(INDEX($X$2:$X$1001,MATCH(ROWS($V$2:V876),$V$2:$V$1001,0),0), INDEX($AC$1004:$AS$1004,1,MATCH(COLUMNS($AC$1006:AD1006),$AC$1006:$AS$1006,0)))),"Fix")))</f>
        <v>0</v>
      </c>
      <c r="D876" s="5">
        <f>IF(OR(INDEX($W$2:$W$1001,MATCH(ROWS($V$2:V876),$V$2:$V$1001,0),1)&gt;=100000,INDEX($AC$1005:$AS$1005,1,MATCH(COLUMNS($AC$1006:AE1006),$AC$1006:$AS$1006,0))&gt;=100000), " ",IF(INDEX($AC$2:$AS$1001,MATCH(ROWS($V$2:V876),$V$2:$V$1001,0),MATCH(COLUMNS($AC$1006:AE1006),$AC$1006:$AS$1006,0)), HYPERLINK("#",""), HYPERLINK(CONCATENATE("#Metadata!", ADDRESS(INDEX($X$2:$X$1001,MATCH(ROWS($V$2:V876),$V$2:$V$1001,0),0), INDEX($AC$1004:$AS$1004,1,MATCH(COLUMNS($AC$1006:AE1006),$AC$1006:$AS$1006,0)))),"Fix")))</f>
        <v>0</v>
      </c>
      <c r="E876" s="5">
        <f>IF(OR(INDEX($W$2:$W$1001,MATCH(ROWS($V$2:V876),$V$2:$V$1001,0),1)&gt;=100000,INDEX($AC$1005:$AS$1005,1,MATCH(COLUMNS($AC$1006:AF1006),$AC$1006:$AS$1006,0))&gt;=100000), " ",IF(INDEX($AC$2:$AS$1001,MATCH(ROWS($V$2:V876),$V$2:$V$1001,0),MATCH(COLUMNS($AC$1006:AF1006),$AC$1006:$AS$1006,0)), HYPERLINK("#",""), HYPERLINK(CONCATENATE("#Metadata!", ADDRESS(INDEX($X$2:$X$1001,MATCH(ROWS($V$2:V876),$V$2:$V$1001,0),0), INDEX($AC$1004:$AS$1004,1,MATCH(COLUMNS($AC$1006:AF1006),$AC$1006:$AS$1006,0)))),"Fix")))</f>
        <v>0</v>
      </c>
      <c r="F876" s="5">
        <f>IF(OR(INDEX($W$2:$W$1001,MATCH(ROWS($V$2:V876),$V$2:$V$1001,0),1)&gt;=100000,INDEX($AC$1005:$AS$1005,1,MATCH(COLUMNS($AC$1006:AG1006),$AC$1006:$AS$1006,0))&gt;=100000), " ",IF(INDEX($AC$2:$AS$1001,MATCH(ROWS($V$2:V876),$V$2:$V$1001,0),MATCH(COLUMNS($AC$1006:AG1006),$AC$1006:$AS$1006,0)), HYPERLINK("#",""), HYPERLINK(CONCATENATE("#Metadata!", ADDRESS(INDEX($X$2:$X$1001,MATCH(ROWS($V$2:V876),$V$2:$V$1001,0),0), INDEX($AC$1004:$AS$1004,1,MATCH(COLUMNS($AC$1006:AG1006),$AC$1006:$AS$1006,0)))),"Fix")))</f>
        <v>0</v>
      </c>
      <c r="G876" s="5">
        <f>IF(OR(INDEX($W$2:$W$1001,MATCH(ROWS($V$2:V876),$V$2:$V$1001,0),1)&gt;=100000,INDEX($AC$1005:$AS$1005,1,MATCH(COLUMNS($AC$1006:AH1006),$AC$1006:$AS$1006,0))&gt;=100000), " ",IF(INDEX($AC$2:$AS$1001,MATCH(ROWS($V$2:V876),$V$2:$V$1001,0),MATCH(COLUMNS($AC$1006:AH1006),$AC$1006:$AS$1006,0)), HYPERLINK("#",""), HYPERLINK(CONCATENATE("#Metadata!", ADDRESS(INDEX($X$2:$X$1001,MATCH(ROWS($V$2:V876),$V$2:$V$1001,0),0), INDEX($AC$1004:$AS$1004,1,MATCH(COLUMNS($AC$1006:AH1006),$AC$1006:$AS$1006,0)))),"Fix")))</f>
        <v>0</v>
      </c>
      <c r="H876" s="5">
        <f>IF(OR(INDEX($W$2:$W$1001,MATCH(ROWS($V$2:V876),$V$2:$V$1001,0),1)&gt;=100000,INDEX($AC$1005:$AS$1005,1,MATCH(COLUMNS($AC$1006:AI1006),$AC$1006:$AS$1006,0))&gt;=100000), " ",IF(INDEX($AC$2:$AS$1001,MATCH(ROWS($V$2:V876),$V$2:$V$1001,0),MATCH(COLUMNS($AC$1006:AI1006),$AC$1006:$AS$1006,0)), HYPERLINK("#",""), HYPERLINK(CONCATENATE("#Metadata!", ADDRESS(INDEX($X$2:$X$1001,MATCH(ROWS($V$2:V876),$V$2:$V$1001,0),0), INDEX($AC$1004:$AS$1004,1,MATCH(COLUMNS($AC$1006:AI1006),$AC$1006:$AS$1006,0)))),"Fix")))</f>
        <v>0</v>
      </c>
      <c r="I876" s="5">
        <f>IF(OR(INDEX($W$2:$W$1001,MATCH(ROWS($V$2:V876),$V$2:$V$1001,0),1)&gt;=100000,INDEX($AC$1005:$AS$1005,1,MATCH(COLUMNS($AC$1006:AJ1006),$AC$1006:$AS$1006,0))&gt;=100000), " ",IF(INDEX($AC$2:$AS$1001,MATCH(ROWS($V$2:V876),$V$2:$V$1001,0),MATCH(COLUMNS($AC$1006:AJ1006),$AC$1006:$AS$1006,0)), HYPERLINK("#",""), HYPERLINK(CONCATENATE("#Metadata!", ADDRESS(INDEX($X$2:$X$1001,MATCH(ROWS($V$2:V876),$V$2:$V$1001,0),0), INDEX($AC$1004:$AS$1004,1,MATCH(COLUMNS($AC$1006:AJ1006),$AC$1006:$AS$1006,0)))),"Fix")))</f>
        <v>0</v>
      </c>
      <c r="J876" s="5">
        <f>IF(OR(INDEX($W$2:$W$1001,MATCH(ROWS($V$2:V876),$V$2:$V$1001,0),1)&gt;=100000,INDEX($AC$1005:$AS$1005,1,MATCH(COLUMNS($AC$1006:AK1006),$AC$1006:$AS$1006,0))&gt;=100000), " ",IF(INDEX($AC$2:$AS$1001,MATCH(ROWS($V$2:V876),$V$2:$V$1001,0),MATCH(COLUMNS($AC$1006:AK1006),$AC$1006:$AS$1006,0)), HYPERLINK("#",""), HYPERLINK(CONCATENATE("#Metadata!", ADDRESS(INDEX($X$2:$X$1001,MATCH(ROWS($V$2:V876),$V$2:$V$1001,0),0), INDEX($AC$1004:$AS$1004,1,MATCH(COLUMNS($AC$1006:AK1006),$AC$1006:$AS$1006,0)))),"Fix")))</f>
        <v>0</v>
      </c>
      <c r="K876" s="5">
        <f>IF(OR(INDEX($W$2:$W$1001,MATCH(ROWS($V$2:V876),$V$2:$V$1001,0),1)&gt;=100000,INDEX($AC$1005:$AS$1005,1,MATCH(COLUMNS($AC$1006:AL1006),$AC$1006:$AS$1006,0))&gt;=100000), " ",IF(INDEX($AC$2:$AS$1001,MATCH(ROWS($V$2:V876),$V$2:$V$1001,0),MATCH(COLUMNS($AC$1006:AL1006),$AC$1006:$AS$1006,0)), HYPERLINK("#",""), HYPERLINK(CONCATENATE("#Metadata!", ADDRESS(INDEX($X$2:$X$1001,MATCH(ROWS($V$2:V876),$V$2:$V$1001,0),0), INDEX($AC$1004:$AS$1004,1,MATCH(COLUMNS($AC$1006:AL1006),$AC$1006:$AS$1006,0)))),"Fix")))</f>
        <v>0</v>
      </c>
      <c r="L876" s="5">
        <f>IF(OR(INDEX($W$2:$W$1001,MATCH(ROWS($V$2:V876),$V$2:$V$1001,0),1)&gt;=100000,INDEX($AC$1005:$AS$1005,1,MATCH(COLUMNS($AC$1006:AM1006),$AC$1006:$AS$1006,0))&gt;=100000), " ",IF(INDEX($AC$2:$AS$1001,MATCH(ROWS($V$2:V876),$V$2:$V$1001,0),MATCH(COLUMNS($AC$1006:AM1006),$AC$1006:$AS$1006,0)), HYPERLINK("#",""), HYPERLINK(CONCATENATE("#Metadata!", ADDRESS(INDEX($X$2:$X$1001,MATCH(ROWS($V$2:V876),$V$2:$V$1001,0),0), INDEX($AC$1004:$AS$1004,1,MATCH(COLUMNS($AC$1006:AM1006),$AC$1006:$AS$1006,0)))),"Fix")))</f>
        <v>0</v>
      </c>
      <c r="M876" s="5">
        <f>IF(OR(INDEX($W$2:$W$1001,MATCH(ROWS($V$2:V876),$V$2:$V$1001,0),1)&gt;=100000,INDEX($AC$1005:$AS$1005,1,MATCH(COLUMNS($AC$1006:AN1006),$AC$1006:$AS$1006,0))&gt;=100000), " ",IF(INDEX($AC$2:$AS$1001,MATCH(ROWS($V$2:V876),$V$2:$V$1001,0),MATCH(COLUMNS($AC$1006:AN1006),$AC$1006:$AS$1006,0)), HYPERLINK("#",""), HYPERLINK(CONCATENATE("#Metadata!", ADDRESS(INDEX($X$2:$X$1001,MATCH(ROWS($V$2:V876),$V$2:$V$1001,0),0), INDEX($AC$1004:$AS$1004,1,MATCH(COLUMNS($AC$1006:AN1006),$AC$1006:$AS$1006,0)))),"Fix")))</f>
        <v>0</v>
      </c>
      <c r="N876" s="5">
        <f>IF(OR(INDEX($W$2:$W$1001,MATCH(ROWS($V$2:V876),$V$2:$V$1001,0),1)&gt;=100000,INDEX($AC$1005:$AS$1005,1,MATCH(COLUMNS($AC$1006:AO1006),$AC$1006:$AS$1006,0))&gt;=100000), " ",IF(INDEX($AC$2:$AS$1001,MATCH(ROWS($V$2:V876),$V$2:$V$1001,0),MATCH(COLUMNS($AC$1006:AO1006),$AC$1006:$AS$1006,0)), HYPERLINK("#",""), HYPERLINK(CONCATENATE("#Metadata!", ADDRESS(INDEX($X$2:$X$1001,MATCH(ROWS($V$2:V876),$V$2:$V$1001,0),0), INDEX($AC$1004:$AS$1004,1,MATCH(COLUMNS($AC$1006:AO1006),$AC$1006:$AS$1006,0)))),"Fix")))</f>
        <v>0</v>
      </c>
      <c r="O876" s="5">
        <f>IF(OR(INDEX($W$2:$W$1001,MATCH(ROWS($V$2:V876),$V$2:$V$1001,0),1)&gt;=100000,INDEX($AC$1005:$AS$1005,1,MATCH(COLUMNS($AC$1006:AP1006),$AC$1006:$AS$1006,0))&gt;=100000), " ",IF(INDEX($AC$2:$AS$1001,MATCH(ROWS($V$2:V876),$V$2:$V$1001,0),MATCH(COLUMNS($AC$1006:AP1006),$AC$1006:$AS$1006,0)), HYPERLINK("#",""), HYPERLINK(CONCATENATE("#Metadata!", ADDRESS(INDEX($X$2:$X$1001,MATCH(ROWS($V$2:V876),$V$2:$V$1001,0),0), INDEX($AC$1004:$AS$1004,1,MATCH(COLUMNS($AC$1006:AP1006),$AC$1006:$AS$1006,0)))),"Fix")))</f>
        <v>0</v>
      </c>
      <c r="P876" s="5">
        <f>IF(OR(INDEX($W$2:$W$1001,MATCH(ROWS($V$2:V876),$V$2:$V$1001,0),1)&gt;=100000,INDEX($AC$1005:$AS$1005,1,MATCH(COLUMNS($AC$1006:AQ1006),$AC$1006:$AS$1006,0))&gt;=100000), " ",IF(INDEX($AC$2:$AS$1001,MATCH(ROWS($V$2:V876),$V$2:$V$1001,0),MATCH(COLUMNS($AC$1006:AQ1006),$AC$1006:$AS$1006,0)), HYPERLINK("#",""), HYPERLINK(CONCATENATE("#Metadata!", ADDRESS(INDEX($X$2:$X$1001,MATCH(ROWS($V$2:V876),$V$2:$V$1001,0),0), INDEX($AC$1004:$AS$1004,1,MATCH(COLUMNS($AC$1006:AQ1006),$AC$1006:$AS$1006,0)))),"Fix")))</f>
        <v>0</v>
      </c>
      <c r="Q876" s="5">
        <f>IF(OR(INDEX($W$2:$W$1001,MATCH(ROWS($V$2:V876),$V$2:$V$1001,0),1)&gt;=100000,INDEX($AC$1005:$AS$1005,1,MATCH(COLUMNS($AC$1006:AR1006),$AC$1006:$AS$1006,0))&gt;=100000), " ",IF(INDEX($AC$2:$AS$1001,MATCH(ROWS($V$2:V876),$V$2:$V$1001,0),MATCH(COLUMNS($AC$1006:AR1006),$AC$1006:$AS$1006,0)), HYPERLINK("#",""), HYPERLINK(CONCATENATE("#Metadata!", ADDRESS(INDEX($X$2:$X$1001,MATCH(ROWS($V$2:V876),$V$2:$V$1001,0),0), INDEX($AC$1004:$AS$1004,1,MATCH(COLUMNS($AC$1006:AR1006),$AC$1006:$AS$1006,0)))),"Fix")))</f>
        <v>0</v>
      </c>
      <c r="R876" s="5">
        <f>IF(OR(INDEX($W$2:$W$1001,MATCH(ROWS($V$2:V876),$V$2:$V$1001,0),1)&gt;=100000,INDEX($AC$1005:$AS$1005,1,MATCH(COLUMNS($AC$1006:AS1006),$AC$1006:$AS$1006,0))&gt;=100000), " ",IF(INDEX($AC$2:$AS$1001,MATCH(ROWS($V$2:V876),$V$2:$V$1001,0),MATCH(COLUMNS($AC$1006:AS1006),$AC$1006:$AS$1006,0)), HYPERLINK("#",""), HYPERLINK(CONCATENATE("#Metadata!", ADDRESS(INDEX($X$2:$X$1001,MATCH(ROWS($V$2:V876),$V$2:$V$1001,0),0), INDEX($AC$1004:$AS$1004,1,MATCH(COLUMNS($AC$1006:AS1006),$AC$1006:$AS$1006,0)))),"Fix")))</f>
        <v>0</v>
      </c>
      <c r="V876">
        <v>0</v>
      </c>
      <c r="W876">
        <v>0</v>
      </c>
      <c r="X876">
        <v>0</v>
      </c>
      <c r="Y876">
        <f>IF(Z876,TRUE,AND(AC876:AS876))</f>
        <v>0</v>
      </c>
      <c r="Z876">
        <f>COUNTBLANK(Metadata!B876:R876)=COLUMNS(Metadata!B876:R876)</f>
        <v>0</v>
      </c>
      <c r="AA876">
        <v>0</v>
      </c>
      <c r="AC876">
        <f>AND(IF(Metadata!B876="",FALSE,TRUE),COUNTIF(Metadata!B:B, Metadata!B876) = 1,NOT(ISERROR(SUMPRODUCT(SEARCH(MID(Metadata!B876,ROW(INDIRECT("1:"&amp;LEN(Metadata!B876))), 1),"0123456789abcdefghijklmnopqrstuvwxyzABCDEFGHIJKLMNOPQRSTUVWXYZ.")))))</f>
        <v>0</v>
      </c>
      <c r="AD876">
        <f>AND(IF(Metadata!C876="",FALSE,TRUE),exact(Metadata!C876,"Host-associated"))</f>
        <v>0</v>
      </c>
      <c r="AE876">
        <f>AND(IF(Metadata!D876="",FALSE,TRUE),OR(exact(Metadata!D876,"Animal"),exact(Metadata!D876,"Fungus"),exact(Metadata!D876,"Plant")))</f>
        <v>0</v>
      </c>
      <c r="AF876">
        <f>AND(IF(Metadata!E876="",FALSE,TRUE),OR(exact(Metadata!E876,"Plant secretion"),exact(Metadata!E876,"Plant rhizosphere"),exact(Metadata!E876,"Plant surface"),exact(Metadata!E876,"Plant corpus"),exact(Metadata!E876,"Fungus surface"),exact(Metadata!E876,"Fungus corpus"),exact(Metadata!E876,"Animal surface"),exact(Metadata!E876,"Animal proximal gut"),exact(Metadata!E876,"Animal corpus"),exact(Metadata!E876,"Animal distal gut"),exact(Metadata!E876,"Animal secretion")))</f>
        <v>0</v>
      </c>
      <c r="AG876">
        <f>OR(AND(IF(Metadata!F876="",FALSE,TRUE),OR(exact(Metadata!F876,"not collected"),exact(Metadata!F876,"not provided"),exact(Metadata!F876,"restricted access"))),AND(IF(Metadata!F876="",FALSE,TRUE),OR(exact(Metadata!F876,"organism-associated habitat"),exact(Metadata!F876,"plant-associated habitat"),exact(Metadata!F876,"animal-associated habitat"),exact(Metadata!F876,"insecta-associated habitat"),exact(Metadata!F876,"mammalia-associated habitat"),exact(Metadata!F876,"human-associated habitat"),exact(Metadata!F876,"livestock-associated habitat"))))</f>
        <v>0</v>
      </c>
      <c r="AH876">
        <f>AND(IF(Metadata!G876="",FALSE,TRUE),exact(Metadata!G876,"host-associated"))</f>
        <v>0</v>
      </c>
      <c r="AI876">
        <f>OR(AND(IF(Metadata!H876="",FALSE,TRUE),OR(exact(Metadata!H876,"not collected"),exact(Metadata!H876,"not provided"))),AND(IF(Metadata!H876="",FALSE,ISNUMBER(VALUE(Metadata!H876))),Metadata!H876&gt;0))</f>
        <v>0</v>
      </c>
      <c r="AJ876">
        <f>AND(IF(Metadata!I876="",FALSE,TRUE),exact(Metadata!I876,"years"))</f>
        <v>0</v>
      </c>
      <c r="AK876">
        <f>IF(Metadata!J876="",FALSE,TRUE)</f>
        <v>0</v>
      </c>
      <c r="AL876">
        <f>OR(AND(IF(Metadata!K876="",FALSE,TRUE),OR(exact(Metadata!K876,"not collected"),exact(Metadata!K876,"not provided"))),AND(IF(Metadata!K876="",FALSE,ISNUMBER(VALUE(Metadata!K876))),Metadata!K876&gt;0))</f>
        <v>0</v>
      </c>
      <c r="AM876">
        <f>AND(IF(Metadata!L876="",FALSE,TRUE),exact(Metadata!L876,"cm"))</f>
        <v>0</v>
      </c>
      <c r="AN876">
        <f>IF(Metadata!M876="",FALSE,TRUE)</f>
        <v>0</v>
      </c>
      <c r="AO876">
        <f>OR(AND(IF(Metadata!N876="",FALSE,TRUE),OR(exact(Metadata!N876,"not applicable"),exact(Metadata!N876,"not collected"),exact(Metadata!N876,"not provided"))),AND(IF(Metadata!N876="",FALSE,IF(ISERROR(INT(Metadata!N876)),FALSE,INT(Metadata!N876)=Metadata!N876)),Metadata!N876&gt;0))</f>
        <v>0</v>
      </c>
      <c r="AP876">
        <f>OR(AND(IF(Metadata!O876="",FALSE,TRUE),OR(exact(Metadata!O876,"not collected"),exact(Metadata!O876,"not provided"))),AND(IF(Metadata!O876="",FALSE,ISNUMBER(VALUE(Metadata!O876))),Metadata!O876&gt;0))</f>
        <v>0</v>
      </c>
      <c r="AQ876">
        <f>AND(IF(Metadata!P876="",FALSE,TRUE),exact(Metadata!P876,"kg"))</f>
        <v>0</v>
      </c>
      <c r="AR876">
        <f>OR(AND(IF(Metadata!Q876="",FALSE,TRUE),OR(exact(Metadata!Q876,"not applicable"),exact(Metadata!Q876,"not collected"),exact(Metadata!Q876,"not provided"),exact(Metadata!Q876,"restricted access"))),IF(Metadata!Q876="",FALSE,IF(ISERROR(INT(Metadata!Q876)),FALSE,INT(Metadata!Q876)=Metadata!Q876)))</f>
        <v>0</v>
      </c>
      <c r="AS876">
        <f>AND(IF(Metadata!R876="",FALSE,TRUE),exact(Metadata!R876,"Not applicable"))</f>
        <v>0</v>
      </c>
    </row>
    <row r="877" spans="1:45">
      <c r="A877" s="4">
        <f>IF(B877=" "," ",HYPERLINK(CONCATENATE("#metadata!",ADDRESS(INDEX($X$2:$X$1001,MATCH(ROWS($V$2:V877),$V$2:$V$1001,0),0),2)),INDEX($AA$2:$AA$1001,MATCH(ROWS($V$2:V877),$V$2:$V$1001,0),0)))</f>
        <v>0</v>
      </c>
      <c r="B877" s="5">
        <f>IF(OR(INDEX($W$2:$W$1001,MATCH(ROWS($V$2:V877),$V$2:$V$1001,0),1)&gt;=100000,INDEX($AC$1005:$AS$1005,1,MATCH(COLUMNS($AC$1006:AC1006),$AC$1006:$AS$1006,0))&gt;=100000), " ",IF(INDEX($AC$2:$AS$1001,MATCH(ROWS($V$2:V877),$V$2:$V$1001,0),MATCH(COLUMNS($AC$1006:AC1006),$AC$1006:$AS$1006,0)), HYPERLINK("#",""), HYPERLINK(CONCATENATE("#Metadata!", ADDRESS(INDEX($X$2:$X$1001,MATCH(ROWS($V$2:V877),$V$2:$V$1001,0),0), INDEX($AC$1004:$AS$1004,1,MATCH(COLUMNS($AC$1006:AC1006),$AC$1006:$AS$1006,0)))),"Fix")))</f>
        <v>0</v>
      </c>
      <c r="C877" s="5">
        <f>IF(OR(INDEX($W$2:$W$1001,MATCH(ROWS($V$2:V877),$V$2:$V$1001,0),1)&gt;=100000,INDEX($AC$1005:$AS$1005,1,MATCH(COLUMNS($AC$1006:AD1006),$AC$1006:$AS$1006,0))&gt;=100000), " ",IF(INDEX($AC$2:$AS$1001,MATCH(ROWS($V$2:V877),$V$2:$V$1001,0),MATCH(COLUMNS($AC$1006:AD1006),$AC$1006:$AS$1006,0)), HYPERLINK("#",""), HYPERLINK(CONCATENATE("#Metadata!", ADDRESS(INDEX($X$2:$X$1001,MATCH(ROWS($V$2:V877),$V$2:$V$1001,0),0), INDEX($AC$1004:$AS$1004,1,MATCH(COLUMNS($AC$1006:AD1006),$AC$1006:$AS$1006,0)))),"Fix")))</f>
        <v>0</v>
      </c>
      <c r="D877" s="5">
        <f>IF(OR(INDEX($W$2:$W$1001,MATCH(ROWS($V$2:V877),$V$2:$V$1001,0),1)&gt;=100000,INDEX($AC$1005:$AS$1005,1,MATCH(COLUMNS($AC$1006:AE1006),$AC$1006:$AS$1006,0))&gt;=100000), " ",IF(INDEX($AC$2:$AS$1001,MATCH(ROWS($V$2:V877),$V$2:$V$1001,0),MATCH(COLUMNS($AC$1006:AE1006),$AC$1006:$AS$1006,0)), HYPERLINK("#",""), HYPERLINK(CONCATENATE("#Metadata!", ADDRESS(INDEX($X$2:$X$1001,MATCH(ROWS($V$2:V877),$V$2:$V$1001,0),0), INDEX($AC$1004:$AS$1004,1,MATCH(COLUMNS($AC$1006:AE1006),$AC$1006:$AS$1006,0)))),"Fix")))</f>
        <v>0</v>
      </c>
      <c r="E877" s="5">
        <f>IF(OR(INDEX($W$2:$W$1001,MATCH(ROWS($V$2:V877),$V$2:$V$1001,0),1)&gt;=100000,INDEX($AC$1005:$AS$1005,1,MATCH(COLUMNS($AC$1006:AF1006),$AC$1006:$AS$1006,0))&gt;=100000), " ",IF(INDEX($AC$2:$AS$1001,MATCH(ROWS($V$2:V877),$V$2:$V$1001,0),MATCH(COLUMNS($AC$1006:AF1006),$AC$1006:$AS$1006,0)), HYPERLINK("#",""), HYPERLINK(CONCATENATE("#Metadata!", ADDRESS(INDEX($X$2:$X$1001,MATCH(ROWS($V$2:V877),$V$2:$V$1001,0),0), INDEX($AC$1004:$AS$1004,1,MATCH(COLUMNS($AC$1006:AF1006),$AC$1006:$AS$1006,0)))),"Fix")))</f>
        <v>0</v>
      </c>
      <c r="F877" s="5">
        <f>IF(OR(INDEX($W$2:$W$1001,MATCH(ROWS($V$2:V877),$V$2:$V$1001,0),1)&gt;=100000,INDEX($AC$1005:$AS$1005,1,MATCH(COLUMNS($AC$1006:AG1006),$AC$1006:$AS$1006,0))&gt;=100000), " ",IF(INDEX($AC$2:$AS$1001,MATCH(ROWS($V$2:V877),$V$2:$V$1001,0),MATCH(COLUMNS($AC$1006:AG1006),$AC$1006:$AS$1006,0)), HYPERLINK("#",""), HYPERLINK(CONCATENATE("#Metadata!", ADDRESS(INDEX($X$2:$X$1001,MATCH(ROWS($V$2:V877),$V$2:$V$1001,0),0), INDEX($AC$1004:$AS$1004,1,MATCH(COLUMNS($AC$1006:AG1006),$AC$1006:$AS$1006,0)))),"Fix")))</f>
        <v>0</v>
      </c>
      <c r="G877" s="5">
        <f>IF(OR(INDEX($W$2:$W$1001,MATCH(ROWS($V$2:V877),$V$2:$V$1001,0),1)&gt;=100000,INDEX($AC$1005:$AS$1005,1,MATCH(COLUMNS($AC$1006:AH1006),$AC$1006:$AS$1006,0))&gt;=100000), " ",IF(INDEX($AC$2:$AS$1001,MATCH(ROWS($V$2:V877),$V$2:$V$1001,0),MATCH(COLUMNS($AC$1006:AH1006),$AC$1006:$AS$1006,0)), HYPERLINK("#",""), HYPERLINK(CONCATENATE("#Metadata!", ADDRESS(INDEX($X$2:$X$1001,MATCH(ROWS($V$2:V877),$V$2:$V$1001,0),0), INDEX($AC$1004:$AS$1004,1,MATCH(COLUMNS($AC$1006:AH1006),$AC$1006:$AS$1006,0)))),"Fix")))</f>
        <v>0</v>
      </c>
      <c r="H877" s="5">
        <f>IF(OR(INDEX($W$2:$W$1001,MATCH(ROWS($V$2:V877),$V$2:$V$1001,0),1)&gt;=100000,INDEX($AC$1005:$AS$1005,1,MATCH(COLUMNS($AC$1006:AI1006),$AC$1006:$AS$1006,0))&gt;=100000), " ",IF(INDEX($AC$2:$AS$1001,MATCH(ROWS($V$2:V877),$V$2:$V$1001,0),MATCH(COLUMNS($AC$1006:AI1006),$AC$1006:$AS$1006,0)), HYPERLINK("#",""), HYPERLINK(CONCATENATE("#Metadata!", ADDRESS(INDEX($X$2:$X$1001,MATCH(ROWS($V$2:V877),$V$2:$V$1001,0),0), INDEX($AC$1004:$AS$1004,1,MATCH(COLUMNS($AC$1006:AI1006),$AC$1006:$AS$1006,0)))),"Fix")))</f>
        <v>0</v>
      </c>
      <c r="I877" s="5">
        <f>IF(OR(INDEX($W$2:$W$1001,MATCH(ROWS($V$2:V877),$V$2:$V$1001,0),1)&gt;=100000,INDEX($AC$1005:$AS$1005,1,MATCH(COLUMNS($AC$1006:AJ1006),$AC$1006:$AS$1006,0))&gt;=100000), " ",IF(INDEX($AC$2:$AS$1001,MATCH(ROWS($V$2:V877),$V$2:$V$1001,0),MATCH(COLUMNS($AC$1006:AJ1006),$AC$1006:$AS$1006,0)), HYPERLINK("#",""), HYPERLINK(CONCATENATE("#Metadata!", ADDRESS(INDEX($X$2:$X$1001,MATCH(ROWS($V$2:V877),$V$2:$V$1001,0),0), INDEX($AC$1004:$AS$1004,1,MATCH(COLUMNS($AC$1006:AJ1006),$AC$1006:$AS$1006,0)))),"Fix")))</f>
        <v>0</v>
      </c>
      <c r="J877" s="5">
        <f>IF(OR(INDEX($W$2:$W$1001,MATCH(ROWS($V$2:V877),$V$2:$V$1001,0),1)&gt;=100000,INDEX($AC$1005:$AS$1005,1,MATCH(COLUMNS($AC$1006:AK1006),$AC$1006:$AS$1006,0))&gt;=100000), " ",IF(INDEX($AC$2:$AS$1001,MATCH(ROWS($V$2:V877),$V$2:$V$1001,0),MATCH(COLUMNS($AC$1006:AK1006),$AC$1006:$AS$1006,0)), HYPERLINK("#",""), HYPERLINK(CONCATENATE("#Metadata!", ADDRESS(INDEX($X$2:$X$1001,MATCH(ROWS($V$2:V877),$V$2:$V$1001,0),0), INDEX($AC$1004:$AS$1004,1,MATCH(COLUMNS($AC$1006:AK1006),$AC$1006:$AS$1006,0)))),"Fix")))</f>
        <v>0</v>
      </c>
      <c r="K877" s="5">
        <f>IF(OR(INDEX($W$2:$W$1001,MATCH(ROWS($V$2:V877),$V$2:$V$1001,0),1)&gt;=100000,INDEX($AC$1005:$AS$1005,1,MATCH(COLUMNS($AC$1006:AL1006),$AC$1006:$AS$1006,0))&gt;=100000), " ",IF(INDEX($AC$2:$AS$1001,MATCH(ROWS($V$2:V877),$V$2:$V$1001,0),MATCH(COLUMNS($AC$1006:AL1006),$AC$1006:$AS$1006,0)), HYPERLINK("#",""), HYPERLINK(CONCATENATE("#Metadata!", ADDRESS(INDEX($X$2:$X$1001,MATCH(ROWS($V$2:V877),$V$2:$V$1001,0),0), INDEX($AC$1004:$AS$1004,1,MATCH(COLUMNS($AC$1006:AL1006),$AC$1006:$AS$1006,0)))),"Fix")))</f>
        <v>0</v>
      </c>
      <c r="L877" s="5">
        <f>IF(OR(INDEX($W$2:$W$1001,MATCH(ROWS($V$2:V877),$V$2:$V$1001,0),1)&gt;=100000,INDEX($AC$1005:$AS$1005,1,MATCH(COLUMNS($AC$1006:AM1006),$AC$1006:$AS$1006,0))&gt;=100000), " ",IF(INDEX($AC$2:$AS$1001,MATCH(ROWS($V$2:V877),$V$2:$V$1001,0),MATCH(COLUMNS($AC$1006:AM1006),$AC$1006:$AS$1006,0)), HYPERLINK("#",""), HYPERLINK(CONCATENATE("#Metadata!", ADDRESS(INDEX($X$2:$X$1001,MATCH(ROWS($V$2:V877),$V$2:$V$1001,0),0), INDEX($AC$1004:$AS$1004,1,MATCH(COLUMNS($AC$1006:AM1006),$AC$1006:$AS$1006,0)))),"Fix")))</f>
        <v>0</v>
      </c>
      <c r="M877" s="5">
        <f>IF(OR(INDEX($W$2:$W$1001,MATCH(ROWS($V$2:V877),$V$2:$V$1001,0),1)&gt;=100000,INDEX($AC$1005:$AS$1005,1,MATCH(COLUMNS($AC$1006:AN1006),$AC$1006:$AS$1006,0))&gt;=100000), " ",IF(INDEX($AC$2:$AS$1001,MATCH(ROWS($V$2:V877),$V$2:$V$1001,0),MATCH(COLUMNS($AC$1006:AN1006),$AC$1006:$AS$1006,0)), HYPERLINK("#",""), HYPERLINK(CONCATENATE("#Metadata!", ADDRESS(INDEX($X$2:$X$1001,MATCH(ROWS($V$2:V877),$V$2:$V$1001,0),0), INDEX($AC$1004:$AS$1004,1,MATCH(COLUMNS($AC$1006:AN1006),$AC$1006:$AS$1006,0)))),"Fix")))</f>
        <v>0</v>
      </c>
      <c r="N877" s="5">
        <f>IF(OR(INDEX($W$2:$W$1001,MATCH(ROWS($V$2:V877),$V$2:$V$1001,0),1)&gt;=100000,INDEX($AC$1005:$AS$1005,1,MATCH(COLUMNS($AC$1006:AO1006),$AC$1006:$AS$1006,0))&gt;=100000), " ",IF(INDEX($AC$2:$AS$1001,MATCH(ROWS($V$2:V877),$V$2:$V$1001,0),MATCH(COLUMNS($AC$1006:AO1006),$AC$1006:$AS$1006,0)), HYPERLINK("#",""), HYPERLINK(CONCATENATE("#Metadata!", ADDRESS(INDEX($X$2:$X$1001,MATCH(ROWS($V$2:V877),$V$2:$V$1001,0),0), INDEX($AC$1004:$AS$1004,1,MATCH(COLUMNS($AC$1006:AO1006),$AC$1006:$AS$1006,0)))),"Fix")))</f>
        <v>0</v>
      </c>
      <c r="O877" s="5">
        <f>IF(OR(INDEX($W$2:$W$1001,MATCH(ROWS($V$2:V877),$V$2:$V$1001,0),1)&gt;=100000,INDEX($AC$1005:$AS$1005,1,MATCH(COLUMNS($AC$1006:AP1006),$AC$1006:$AS$1006,0))&gt;=100000), " ",IF(INDEX($AC$2:$AS$1001,MATCH(ROWS($V$2:V877),$V$2:$V$1001,0),MATCH(COLUMNS($AC$1006:AP1006),$AC$1006:$AS$1006,0)), HYPERLINK("#",""), HYPERLINK(CONCATENATE("#Metadata!", ADDRESS(INDEX($X$2:$X$1001,MATCH(ROWS($V$2:V877),$V$2:$V$1001,0),0), INDEX($AC$1004:$AS$1004,1,MATCH(COLUMNS($AC$1006:AP1006),$AC$1006:$AS$1006,0)))),"Fix")))</f>
        <v>0</v>
      </c>
      <c r="P877" s="5">
        <f>IF(OR(INDEX($W$2:$W$1001,MATCH(ROWS($V$2:V877),$V$2:$V$1001,0),1)&gt;=100000,INDEX($AC$1005:$AS$1005,1,MATCH(COLUMNS($AC$1006:AQ1006),$AC$1006:$AS$1006,0))&gt;=100000), " ",IF(INDEX($AC$2:$AS$1001,MATCH(ROWS($V$2:V877),$V$2:$V$1001,0),MATCH(COLUMNS($AC$1006:AQ1006),$AC$1006:$AS$1006,0)), HYPERLINK("#",""), HYPERLINK(CONCATENATE("#Metadata!", ADDRESS(INDEX($X$2:$X$1001,MATCH(ROWS($V$2:V877),$V$2:$V$1001,0),0), INDEX($AC$1004:$AS$1004,1,MATCH(COLUMNS($AC$1006:AQ1006),$AC$1006:$AS$1006,0)))),"Fix")))</f>
        <v>0</v>
      </c>
      <c r="Q877" s="5">
        <f>IF(OR(INDEX($W$2:$W$1001,MATCH(ROWS($V$2:V877),$V$2:$V$1001,0),1)&gt;=100000,INDEX($AC$1005:$AS$1005,1,MATCH(COLUMNS($AC$1006:AR1006),$AC$1006:$AS$1006,0))&gt;=100000), " ",IF(INDEX($AC$2:$AS$1001,MATCH(ROWS($V$2:V877),$V$2:$V$1001,0),MATCH(COLUMNS($AC$1006:AR1006),$AC$1006:$AS$1006,0)), HYPERLINK("#",""), HYPERLINK(CONCATENATE("#Metadata!", ADDRESS(INDEX($X$2:$X$1001,MATCH(ROWS($V$2:V877),$V$2:$V$1001,0),0), INDEX($AC$1004:$AS$1004,1,MATCH(COLUMNS($AC$1006:AR1006),$AC$1006:$AS$1006,0)))),"Fix")))</f>
        <v>0</v>
      </c>
      <c r="R877" s="5">
        <f>IF(OR(INDEX($W$2:$W$1001,MATCH(ROWS($V$2:V877),$V$2:$V$1001,0),1)&gt;=100000,INDEX($AC$1005:$AS$1005,1,MATCH(COLUMNS($AC$1006:AS1006),$AC$1006:$AS$1006,0))&gt;=100000), " ",IF(INDEX($AC$2:$AS$1001,MATCH(ROWS($V$2:V877),$V$2:$V$1001,0),MATCH(COLUMNS($AC$1006:AS1006),$AC$1006:$AS$1006,0)), HYPERLINK("#",""), HYPERLINK(CONCATENATE("#Metadata!", ADDRESS(INDEX($X$2:$X$1001,MATCH(ROWS($V$2:V877),$V$2:$V$1001,0),0), INDEX($AC$1004:$AS$1004,1,MATCH(COLUMNS($AC$1006:AS1006),$AC$1006:$AS$1006,0)))),"Fix")))</f>
        <v>0</v>
      </c>
      <c r="V877">
        <v>0</v>
      </c>
      <c r="W877">
        <v>0</v>
      </c>
      <c r="X877">
        <v>0</v>
      </c>
      <c r="Y877">
        <f>IF(Z877,TRUE,AND(AC877:AS877))</f>
        <v>0</v>
      </c>
      <c r="Z877">
        <f>COUNTBLANK(Metadata!B877:R877)=COLUMNS(Metadata!B877:R877)</f>
        <v>0</v>
      </c>
      <c r="AA877">
        <v>0</v>
      </c>
      <c r="AC877">
        <f>AND(IF(Metadata!B877="",FALSE,TRUE),COUNTIF(Metadata!B:B, Metadata!B877) = 1,NOT(ISERROR(SUMPRODUCT(SEARCH(MID(Metadata!B877,ROW(INDIRECT("1:"&amp;LEN(Metadata!B877))), 1),"0123456789abcdefghijklmnopqrstuvwxyzABCDEFGHIJKLMNOPQRSTUVWXYZ.")))))</f>
        <v>0</v>
      </c>
      <c r="AD877">
        <f>AND(IF(Metadata!C877="",FALSE,TRUE),exact(Metadata!C877,"Host-associated"))</f>
        <v>0</v>
      </c>
      <c r="AE877">
        <f>AND(IF(Metadata!D877="",FALSE,TRUE),OR(exact(Metadata!D877,"Animal"),exact(Metadata!D877,"Fungus"),exact(Metadata!D877,"Plant")))</f>
        <v>0</v>
      </c>
      <c r="AF877">
        <f>AND(IF(Metadata!E877="",FALSE,TRUE),OR(exact(Metadata!E877,"Plant secretion"),exact(Metadata!E877,"Plant rhizosphere"),exact(Metadata!E877,"Plant surface"),exact(Metadata!E877,"Plant corpus"),exact(Metadata!E877,"Fungus surface"),exact(Metadata!E877,"Fungus corpus"),exact(Metadata!E877,"Animal surface"),exact(Metadata!E877,"Animal proximal gut"),exact(Metadata!E877,"Animal corpus"),exact(Metadata!E877,"Animal distal gut"),exact(Metadata!E877,"Animal secretion")))</f>
        <v>0</v>
      </c>
      <c r="AG877">
        <f>OR(AND(IF(Metadata!F877="",FALSE,TRUE),OR(exact(Metadata!F877,"not collected"),exact(Metadata!F877,"not provided"),exact(Metadata!F877,"restricted access"))),AND(IF(Metadata!F877="",FALSE,TRUE),OR(exact(Metadata!F877,"organism-associated habitat"),exact(Metadata!F877,"plant-associated habitat"),exact(Metadata!F877,"animal-associated habitat"),exact(Metadata!F877,"insecta-associated habitat"),exact(Metadata!F877,"mammalia-associated habitat"),exact(Metadata!F877,"human-associated habitat"),exact(Metadata!F877,"livestock-associated habitat"))))</f>
        <v>0</v>
      </c>
      <c r="AH877">
        <f>AND(IF(Metadata!G877="",FALSE,TRUE),exact(Metadata!G877,"host-associated"))</f>
        <v>0</v>
      </c>
      <c r="AI877">
        <f>OR(AND(IF(Metadata!H877="",FALSE,TRUE),OR(exact(Metadata!H877,"not collected"),exact(Metadata!H877,"not provided"))),AND(IF(Metadata!H877="",FALSE,ISNUMBER(VALUE(Metadata!H877))),Metadata!H877&gt;0))</f>
        <v>0</v>
      </c>
      <c r="AJ877">
        <f>AND(IF(Metadata!I877="",FALSE,TRUE),exact(Metadata!I877,"years"))</f>
        <v>0</v>
      </c>
      <c r="AK877">
        <f>IF(Metadata!J877="",FALSE,TRUE)</f>
        <v>0</v>
      </c>
      <c r="AL877">
        <f>OR(AND(IF(Metadata!K877="",FALSE,TRUE),OR(exact(Metadata!K877,"not collected"),exact(Metadata!K877,"not provided"))),AND(IF(Metadata!K877="",FALSE,ISNUMBER(VALUE(Metadata!K877))),Metadata!K877&gt;0))</f>
        <v>0</v>
      </c>
      <c r="AM877">
        <f>AND(IF(Metadata!L877="",FALSE,TRUE),exact(Metadata!L877,"cm"))</f>
        <v>0</v>
      </c>
      <c r="AN877">
        <f>IF(Metadata!M877="",FALSE,TRUE)</f>
        <v>0</v>
      </c>
      <c r="AO877">
        <f>OR(AND(IF(Metadata!N877="",FALSE,TRUE),OR(exact(Metadata!N877,"not applicable"),exact(Metadata!N877,"not collected"),exact(Metadata!N877,"not provided"))),AND(IF(Metadata!N877="",FALSE,IF(ISERROR(INT(Metadata!N877)),FALSE,INT(Metadata!N877)=Metadata!N877)),Metadata!N877&gt;0))</f>
        <v>0</v>
      </c>
      <c r="AP877">
        <f>OR(AND(IF(Metadata!O877="",FALSE,TRUE),OR(exact(Metadata!O877,"not collected"),exact(Metadata!O877,"not provided"))),AND(IF(Metadata!O877="",FALSE,ISNUMBER(VALUE(Metadata!O877))),Metadata!O877&gt;0))</f>
        <v>0</v>
      </c>
      <c r="AQ877">
        <f>AND(IF(Metadata!P877="",FALSE,TRUE),exact(Metadata!P877,"kg"))</f>
        <v>0</v>
      </c>
      <c r="AR877">
        <f>OR(AND(IF(Metadata!Q877="",FALSE,TRUE),OR(exact(Metadata!Q877,"not applicable"),exact(Metadata!Q877,"not collected"),exact(Metadata!Q877,"not provided"),exact(Metadata!Q877,"restricted access"))),IF(Metadata!Q877="",FALSE,IF(ISERROR(INT(Metadata!Q877)),FALSE,INT(Metadata!Q877)=Metadata!Q877)))</f>
        <v>0</v>
      </c>
      <c r="AS877">
        <f>AND(IF(Metadata!R877="",FALSE,TRUE),exact(Metadata!R877,"Not applicable"))</f>
        <v>0</v>
      </c>
    </row>
    <row r="878" spans="1:45">
      <c r="A878" s="4">
        <f>IF(B878=" "," ",HYPERLINK(CONCATENATE("#metadata!",ADDRESS(INDEX($X$2:$X$1001,MATCH(ROWS($V$2:V878),$V$2:$V$1001,0),0),2)),INDEX($AA$2:$AA$1001,MATCH(ROWS($V$2:V878),$V$2:$V$1001,0),0)))</f>
        <v>0</v>
      </c>
      <c r="B878" s="5">
        <f>IF(OR(INDEX($W$2:$W$1001,MATCH(ROWS($V$2:V878),$V$2:$V$1001,0),1)&gt;=100000,INDEX($AC$1005:$AS$1005,1,MATCH(COLUMNS($AC$1006:AC1006),$AC$1006:$AS$1006,0))&gt;=100000), " ",IF(INDEX($AC$2:$AS$1001,MATCH(ROWS($V$2:V878),$V$2:$V$1001,0),MATCH(COLUMNS($AC$1006:AC1006),$AC$1006:$AS$1006,0)), HYPERLINK("#",""), HYPERLINK(CONCATENATE("#Metadata!", ADDRESS(INDEX($X$2:$X$1001,MATCH(ROWS($V$2:V878),$V$2:$V$1001,0),0), INDEX($AC$1004:$AS$1004,1,MATCH(COLUMNS($AC$1006:AC1006),$AC$1006:$AS$1006,0)))),"Fix")))</f>
        <v>0</v>
      </c>
      <c r="C878" s="5">
        <f>IF(OR(INDEX($W$2:$W$1001,MATCH(ROWS($V$2:V878),$V$2:$V$1001,0),1)&gt;=100000,INDEX($AC$1005:$AS$1005,1,MATCH(COLUMNS($AC$1006:AD1006),$AC$1006:$AS$1006,0))&gt;=100000), " ",IF(INDEX($AC$2:$AS$1001,MATCH(ROWS($V$2:V878),$V$2:$V$1001,0),MATCH(COLUMNS($AC$1006:AD1006),$AC$1006:$AS$1006,0)), HYPERLINK("#",""), HYPERLINK(CONCATENATE("#Metadata!", ADDRESS(INDEX($X$2:$X$1001,MATCH(ROWS($V$2:V878),$V$2:$V$1001,0),0), INDEX($AC$1004:$AS$1004,1,MATCH(COLUMNS($AC$1006:AD1006),$AC$1006:$AS$1006,0)))),"Fix")))</f>
        <v>0</v>
      </c>
      <c r="D878" s="5">
        <f>IF(OR(INDEX($W$2:$W$1001,MATCH(ROWS($V$2:V878),$V$2:$V$1001,0),1)&gt;=100000,INDEX($AC$1005:$AS$1005,1,MATCH(COLUMNS($AC$1006:AE1006),$AC$1006:$AS$1006,0))&gt;=100000), " ",IF(INDEX($AC$2:$AS$1001,MATCH(ROWS($V$2:V878),$V$2:$V$1001,0),MATCH(COLUMNS($AC$1006:AE1006),$AC$1006:$AS$1006,0)), HYPERLINK("#",""), HYPERLINK(CONCATENATE("#Metadata!", ADDRESS(INDEX($X$2:$X$1001,MATCH(ROWS($V$2:V878),$V$2:$V$1001,0),0), INDEX($AC$1004:$AS$1004,1,MATCH(COLUMNS($AC$1006:AE1006),$AC$1006:$AS$1006,0)))),"Fix")))</f>
        <v>0</v>
      </c>
      <c r="E878" s="5">
        <f>IF(OR(INDEX($W$2:$W$1001,MATCH(ROWS($V$2:V878),$V$2:$V$1001,0),1)&gt;=100000,INDEX($AC$1005:$AS$1005,1,MATCH(COLUMNS($AC$1006:AF1006),$AC$1006:$AS$1006,0))&gt;=100000), " ",IF(INDEX($AC$2:$AS$1001,MATCH(ROWS($V$2:V878),$V$2:$V$1001,0),MATCH(COLUMNS($AC$1006:AF1006),$AC$1006:$AS$1006,0)), HYPERLINK("#",""), HYPERLINK(CONCATENATE("#Metadata!", ADDRESS(INDEX($X$2:$X$1001,MATCH(ROWS($V$2:V878),$V$2:$V$1001,0),0), INDEX($AC$1004:$AS$1004,1,MATCH(COLUMNS($AC$1006:AF1006),$AC$1006:$AS$1006,0)))),"Fix")))</f>
        <v>0</v>
      </c>
      <c r="F878" s="5">
        <f>IF(OR(INDEX($W$2:$W$1001,MATCH(ROWS($V$2:V878),$V$2:$V$1001,0),1)&gt;=100000,INDEX($AC$1005:$AS$1005,1,MATCH(COLUMNS($AC$1006:AG1006),$AC$1006:$AS$1006,0))&gt;=100000), " ",IF(INDEX($AC$2:$AS$1001,MATCH(ROWS($V$2:V878),$V$2:$V$1001,0),MATCH(COLUMNS($AC$1006:AG1006),$AC$1006:$AS$1006,0)), HYPERLINK("#",""), HYPERLINK(CONCATENATE("#Metadata!", ADDRESS(INDEX($X$2:$X$1001,MATCH(ROWS($V$2:V878),$V$2:$V$1001,0),0), INDEX($AC$1004:$AS$1004,1,MATCH(COLUMNS($AC$1006:AG1006),$AC$1006:$AS$1006,0)))),"Fix")))</f>
        <v>0</v>
      </c>
      <c r="G878" s="5">
        <f>IF(OR(INDEX($W$2:$W$1001,MATCH(ROWS($V$2:V878),$V$2:$V$1001,0),1)&gt;=100000,INDEX($AC$1005:$AS$1005,1,MATCH(COLUMNS($AC$1006:AH1006),$AC$1006:$AS$1006,0))&gt;=100000), " ",IF(INDEX($AC$2:$AS$1001,MATCH(ROWS($V$2:V878),$V$2:$V$1001,0),MATCH(COLUMNS($AC$1006:AH1006),$AC$1006:$AS$1006,0)), HYPERLINK("#",""), HYPERLINK(CONCATENATE("#Metadata!", ADDRESS(INDEX($X$2:$X$1001,MATCH(ROWS($V$2:V878),$V$2:$V$1001,0),0), INDEX($AC$1004:$AS$1004,1,MATCH(COLUMNS($AC$1006:AH1006),$AC$1006:$AS$1006,0)))),"Fix")))</f>
        <v>0</v>
      </c>
      <c r="H878" s="5">
        <f>IF(OR(INDEX($W$2:$W$1001,MATCH(ROWS($V$2:V878),$V$2:$V$1001,0),1)&gt;=100000,INDEX($AC$1005:$AS$1005,1,MATCH(COLUMNS($AC$1006:AI1006),$AC$1006:$AS$1006,0))&gt;=100000), " ",IF(INDEX($AC$2:$AS$1001,MATCH(ROWS($V$2:V878),$V$2:$V$1001,0),MATCH(COLUMNS($AC$1006:AI1006),$AC$1006:$AS$1006,0)), HYPERLINK("#",""), HYPERLINK(CONCATENATE("#Metadata!", ADDRESS(INDEX($X$2:$X$1001,MATCH(ROWS($V$2:V878),$V$2:$V$1001,0),0), INDEX($AC$1004:$AS$1004,1,MATCH(COLUMNS($AC$1006:AI1006),$AC$1006:$AS$1006,0)))),"Fix")))</f>
        <v>0</v>
      </c>
      <c r="I878" s="5">
        <f>IF(OR(INDEX($W$2:$W$1001,MATCH(ROWS($V$2:V878),$V$2:$V$1001,0),1)&gt;=100000,INDEX($AC$1005:$AS$1005,1,MATCH(COLUMNS($AC$1006:AJ1006),$AC$1006:$AS$1006,0))&gt;=100000), " ",IF(INDEX($AC$2:$AS$1001,MATCH(ROWS($V$2:V878),$V$2:$V$1001,0),MATCH(COLUMNS($AC$1006:AJ1006),$AC$1006:$AS$1006,0)), HYPERLINK("#",""), HYPERLINK(CONCATENATE("#Metadata!", ADDRESS(INDEX($X$2:$X$1001,MATCH(ROWS($V$2:V878),$V$2:$V$1001,0),0), INDEX($AC$1004:$AS$1004,1,MATCH(COLUMNS($AC$1006:AJ1006),$AC$1006:$AS$1006,0)))),"Fix")))</f>
        <v>0</v>
      </c>
      <c r="J878" s="5">
        <f>IF(OR(INDEX($W$2:$W$1001,MATCH(ROWS($V$2:V878),$V$2:$V$1001,0),1)&gt;=100000,INDEX($AC$1005:$AS$1005,1,MATCH(COLUMNS($AC$1006:AK1006),$AC$1006:$AS$1006,0))&gt;=100000), " ",IF(INDEX($AC$2:$AS$1001,MATCH(ROWS($V$2:V878),$V$2:$V$1001,0),MATCH(COLUMNS($AC$1006:AK1006),$AC$1006:$AS$1006,0)), HYPERLINK("#",""), HYPERLINK(CONCATENATE("#Metadata!", ADDRESS(INDEX($X$2:$X$1001,MATCH(ROWS($V$2:V878),$V$2:$V$1001,0),0), INDEX($AC$1004:$AS$1004,1,MATCH(COLUMNS($AC$1006:AK1006),$AC$1006:$AS$1006,0)))),"Fix")))</f>
        <v>0</v>
      </c>
      <c r="K878" s="5">
        <f>IF(OR(INDEX($W$2:$W$1001,MATCH(ROWS($V$2:V878),$V$2:$V$1001,0),1)&gt;=100000,INDEX($AC$1005:$AS$1005,1,MATCH(COLUMNS($AC$1006:AL1006),$AC$1006:$AS$1006,0))&gt;=100000), " ",IF(INDEX($AC$2:$AS$1001,MATCH(ROWS($V$2:V878),$V$2:$V$1001,0),MATCH(COLUMNS($AC$1006:AL1006),$AC$1006:$AS$1006,0)), HYPERLINK("#",""), HYPERLINK(CONCATENATE("#Metadata!", ADDRESS(INDEX($X$2:$X$1001,MATCH(ROWS($V$2:V878),$V$2:$V$1001,0),0), INDEX($AC$1004:$AS$1004,1,MATCH(COLUMNS($AC$1006:AL1006),$AC$1006:$AS$1006,0)))),"Fix")))</f>
        <v>0</v>
      </c>
      <c r="L878" s="5">
        <f>IF(OR(INDEX($W$2:$W$1001,MATCH(ROWS($V$2:V878),$V$2:$V$1001,0),1)&gt;=100000,INDEX($AC$1005:$AS$1005,1,MATCH(COLUMNS($AC$1006:AM1006),$AC$1006:$AS$1006,0))&gt;=100000), " ",IF(INDEX($AC$2:$AS$1001,MATCH(ROWS($V$2:V878),$V$2:$V$1001,0),MATCH(COLUMNS($AC$1006:AM1006),$AC$1006:$AS$1006,0)), HYPERLINK("#",""), HYPERLINK(CONCATENATE("#Metadata!", ADDRESS(INDEX($X$2:$X$1001,MATCH(ROWS($V$2:V878),$V$2:$V$1001,0),0), INDEX($AC$1004:$AS$1004,1,MATCH(COLUMNS($AC$1006:AM1006),$AC$1006:$AS$1006,0)))),"Fix")))</f>
        <v>0</v>
      </c>
      <c r="M878" s="5">
        <f>IF(OR(INDEX($W$2:$W$1001,MATCH(ROWS($V$2:V878),$V$2:$V$1001,0),1)&gt;=100000,INDEX($AC$1005:$AS$1005,1,MATCH(COLUMNS($AC$1006:AN1006),$AC$1006:$AS$1006,0))&gt;=100000), " ",IF(INDEX($AC$2:$AS$1001,MATCH(ROWS($V$2:V878),$V$2:$V$1001,0),MATCH(COLUMNS($AC$1006:AN1006),$AC$1006:$AS$1006,0)), HYPERLINK("#",""), HYPERLINK(CONCATENATE("#Metadata!", ADDRESS(INDEX($X$2:$X$1001,MATCH(ROWS($V$2:V878),$V$2:$V$1001,0),0), INDEX($AC$1004:$AS$1004,1,MATCH(COLUMNS($AC$1006:AN1006),$AC$1006:$AS$1006,0)))),"Fix")))</f>
        <v>0</v>
      </c>
      <c r="N878" s="5">
        <f>IF(OR(INDEX($W$2:$W$1001,MATCH(ROWS($V$2:V878),$V$2:$V$1001,0),1)&gt;=100000,INDEX($AC$1005:$AS$1005,1,MATCH(COLUMNS($AC$1006:AO1006),$AC$1006:$AS$1006,0))&gt;=100000), " ",IF(INDEX($AC$2:$AS$1001,MATCH(ROWS($V$2:V878),$V$2:$V$1001,0),MATCH(COLUMNS($AC$1006:AO1006),$AC$1006:$AS$1006,0)), HYPERLINK("#",""), HYPERLINK(CONCATENATE("#Metadata!", ADDRESS(INDEX($X$2:$X$1001,MATCH(ROWS($V$2:V878),$V$2:$V$1001,0),0), INDEX($AC$1004:$AS$1004,1,MATCH(COLUMNS($AC$1006:AO1006),$AC$1006:$AS$1006,0)))),"Fix")))</f>
        <v>0</v>
      </c>
      <c r="O878" s="5">
        <f>IF(OR(INDEX($W$2:$W$1001,MATCH(ROWS($V$2:V878),$V$2:$V$1001,0),1)&gt;=100000,INDEX($AC$1005:$AS$1005,1,MATCH(COLUMNS($AC$1006:AP1006),$AC$1006:$AS$1006,0))&gt;=100000), " ",IF(INDEX($AC$2:$AS$1001,MATCH(ROWS($V$2:V878),$V$2:$V$1001,0),MATCH(COLUMNS($AC$1006:AP1006),$AC$1006:$AS$1006,0)), HYPERLINK("#",""), HYPERLINK(CONCATENATE("#Metadata!", ADDRESS(INDEX($X$2:$X$1001,MATCH(ROWS($V$2:V878),$V$2:$V$1001,0),0), INDEX($AC$1004:$AS$1004,1,MATCH(COLUMNS($AC$1006:AP1006),$AC$1006:$AS$1006,0)))),"Fix")))</f>
        <v>0</v>
      </c>
      <c r="P878" s="5">
        <f>IF(OR(INDEX($W$2:$W$1001,MATCH(ROWS($V$2:V878),$V$2:$V$1001,0),1)&gt;=100000,INDEX($AC$1005:$AS$1005,1,MATCH(COLUMNS($AC$1006:AQ1006),$AC$1006:$AS$1006,0))&gt;=100000), " ",IF(INDEX($AC$2:$AS$1001,MATCH(ROWS($V$2:V878),$V$2:$V$1001,0),MATCH(COLUMNS($AC$1006:AQ1006),$AC$1006:$AS$1006,0)), HYPERLINK("#",""), HYPERLINK(CONCATENATE("#Metadata!", ADDRESS(INDEX($X$2:$X$1001,MATCH(ROWS($V$2:V878),$V$2:$V$1001,0),0), INDEX($AC$1004:$AS$1004,1,MATCH(COLUMNS($AC$1006:AQ1006),$AC$1006:$AS$1006,0)))),"Fix")))</f>
        <v>0</v>
      </c>
      <c r="Q878" s="5">
        <f>IF(OR(INDEX($W$2:$W$1001,MATCH(ROWS($V$2:V878),$V$2:$V$1001,0),1)&gt;=100000,INDEX($AC$1005:$AS$1005,1,MATCH(COLUMNS($AC$1006:AR1006),$AC$1006:$AS$1006,0))&gt;=100000), " ",IF(INDEX($AC$2:$AS$1001,MATCH(ROWS($V$2:V878),$V$2:$V$1001,0),MATCH(COLUMNS($AC$1006:AR1006),$AC$1006:$AS$1006,0)), HYPERLINK("#",""), HYPERLINK(CONCATENATE("#Metadata!", ADDRESS(INDEX($X$2:$X$1001,MATCH(ROWS($V$2:V878),$V$2:$V$1001,0),0), INDEX($AC$1004:$AS$1004,1,MATCH(COLUMNS($AC$1006:AR1006),$AC$1006:$AS$1006,0)))),"Fix")))</f>
        <v>0</v>
      </c>
      <c r="R878" s="5">
        <f>IF(OR(INDEX($W$2:$W$1001,MATCH(ROWS($V$2:V878),$V$2:$V$1001,0),1)&gt;=100000,INDEX($AC$1005:$AS$1005,1,MATCH(COLUMNS($AC$1006:AS1006),$AC$1006:$AS$1006,0))&gt;=100000), " ",IF(INDEX($AC$2:$AS$1001,MATCH(ROWS($V$2:V878),$V$2:$V$1001,0),MATCH(COLUMNS($AC$1006:AS1006),$AC$1006:$AS$1006,0)), HYPERLINK("#",""), HYPERLINK(CONCATENATE("#Metadata!", ADDRESS(INDEX($X$2:$X$1001,MATCH(ROWS($V$2:V878),$V$2:$V$1001,0),0), INDEX($AC$1004:$AS$1004,1,MATCH(COLUMNS($AC$1006:AS1006),$AC$1006:$AS$1006,0)))),"Fix")))</f>
        <v>0</v>
      </c>
      <c r="V878">
        <v>0</v>
      </c>
      <c r="W878">
        <v>0</v>
      </c>
      <c r="X878">
        <v>0</v>
      </c>
      <c r="Y878">
        <f>IF(Z878,TRUE,AND(AC878:AS878))</f>
        <v>0</v>
      </c>
      <c r="Z878">
        <f>COUNTBLANK(Metadata!B878:R878)=COLUMNS(Metadata!B878:R878)</f>
        <v>0</v>
      </c>
      <c r="AA878">
        <v>0</v>
      </c>
      <c r="AC878">
        <f>AND(IF(Metadata!B878="",FALSE,TRUE),COUNTIF(Metadata!B:B, Metadata!B878) = 1,NOT(ISERROR(SUMPRODUCT(SEARCH(MID(Metadata!B878,ROW(INDIRECT("1:"&amp;LEN(Metadata!B878))), 1),"0123456789abcdefghijklmnopqrstuvwxyzABCDEFGHIJKLMNOPQRSTUVWXYZ.")))))</f>
        <v>0</v>
      </c>
      <c r="AD878">
        <f>AND(IF(Metadata!C878="",FALSE,TRUE),exact(Metadata!C878,"Host-associated"))</f>
        <v>0</v>
      </c>
      <c r="AE878">
        <f>AND(IF(Metadata!D878="",FALSE,TRUE),OR(exact(Metadata!D878,"Animal"),exact(Metadata!D878,"Fungus"),exact(Metadata!D878,"Plant")))</f>
        <v>0</v>
      </c>
      <c r="AF878">
        <f>AND(IF(Metadata!E878="",FALSE,TRUE),OR(exact(Metadata!E878,"Plant secretion"),exact(Metadata!E878,"Plant rhizosphere"),exact(Metadata!E878,"Plant surface"),exact(Metadata!E878,"Plant corpus"),exact(Metadata!E878,"Fungus surface"),exact(Metadata!E878,"Fungus corpus"),exact(Metadata!E878,"Animal surface"),exact(Metadata!E878,"Animal proximal gut"),exact(Metadata!E878,"Animal corpus"),exact(Metadata!E878,"Animal distal gut"),exact(Metadata!E878,"Animal secretion")))</f>
        <v>0</v>
      </c>
      <c r="AG878">
        <f>OR(AND(IF(Metadata!F878="",FALSE,TRUE),OR(exact(Metadata!F878,"not collected"),exact(Metadata!F878,"not provided"),exact(Metadata!F878,"restricted access"))),AND(IF(Metadata!F878="",FALSE,TRUE),OR(exact(Metadata!F878,"organism-associated habitat"),exact(Metadata!F878,"plant-associated habitat"),exact(Metadata!F878,"animal-associated habitat"),exact(Metadata!F878,"insecta-associated habitat"),exact(Metadata!F878,"mammalia-associated habitat"),exact(Metadata!F878,"human-associated habitat"),exact(Metadata!F878,"livestock-associated habitat"))))</f>
        <v>0</v>
      </c>
      <c r="AH878">
        <f>AND(IF(Metadata!G878="",FALSE,TRUE),exact(Metadata!G878,"host-associated"))</f>
        <v>0</v>
      </c>
      <c r="AI878">
        <f>OR(AND(IF(Metadata!H878="",FALSE,TRUE),OR(exact(Metadata!H878,"not collected"),exact(Metadata!H878,"not provided"))),AND(IF(Metadata!H878="",FALSE,ISNUMBER(VALUE(Metadata!H878))),Metadata!H878&gt;0))</f>
        <v>0</v>
      </c>
      <c r="AJ878">
        <f>AND(IF(Metadata!I878="",FALSE,TRUE),exact(Metadata!I878,"years"))</f>
        <v>0</v>
      </c>
      <c r="AK878">
        <f>IF(Metadata!J878="",FALSE,TRUE)</f>
        <v>0</v>
      </c>
      <c r="AL878">
        <f>OR(AND(IF(Metadata!K878="",FALSE,TRUE),OR(exact(Metadata!K878,"not collected"),exact(Metadata!K878,"not provided"))),AND(IF(Metadata!K878="",FALSE,ISNUMBER(VALUE(Metadata!K878))),Metadata!K878&gt;0))</f>
        <v>0</v>
      </c>
      <c r="AM878">
        <f>AND(IF(Metadata!L878="",FALSE,TRUE),exact(Metadata!L878,"cm"))</f>
        <v>0</v>
      </c>
      <c r="AN878">
        <f>IF(Metadata!M878="",FALSE,TRUE)</f>
        <v>0</v>
      </c>
      <c r="AO878">
        <f>OR(AND(IF(Metadata!N878="",FALSE,TRUE),OR(exact(Metadata!N878,"not applicable"),exact(Metadata!N878,"not collected"),exact(Metadata!N878,"not provided"))),AND(IF(Metadata!N878="",FALSE,IF(ISERROR(INT(Metadata!N878)),FALSE,INT(Metadata!N878)=Metadata!N878)),Metadata!N878&gt;0))</f>
        <v>0</v>
      </c>
      <c r="AP878">
        <f>OR(AND(IF(Metadata!O878="",FALSE,TRUE),OR(exact(Metadata!O878,"not collected"),exact(Metadata!O878,"not provided"))),AND(IF(Metadata!O878="",FALSE,ISNUMBER(VALUE(Metadata!O878))),Metadata!O878&gt;0))</f>
        <v>0</v>
      </c>
      <c r="AQ878">
        <f>AND(IF(Metadata!P878="",FALSE,TRUE),exact(Metadata!P878,"kg"))</f>
        <v>0</v>
      </c>
      <c r="AR878">
        <f>OR(AND(IF(Metadata!Q878="",FALSE,TRUE),OR(exact(Metadata!Q878,"not applicable"),exact(Metadata!Q878,"not collected"),exact(Metadata!Q878,"not provided"),exact(Metadata!Q878,"restricted access"))),IF(Metadata!Q878="",FALSE,IF(ISERROR(INT(Metadata!Q878)),FALSE,INT(Metadata!Q878)=Metadata!Q878)))</f>
        <v>0</v>
      </c>
      <c r="AS878">
        <f>AND(IF(Metadata!R878="",FALSE,TRUE),exact(Metadata!R878,"Not applicable"))</f>
        <v>0</v>
      </c>
    </row>
    <row r="879" spans="1:45">
      <c r="A879" s="4">
        <f>IF(B879=" "," ",HYPERLINK(CONCATENATE("#metadata!",ADDRESS(INDEX($X$2:$X$1001,MATCH(ROWS($V$2:V879),$V$2:$V$1001,0),0),2)),INDEX($AA$2:$AA$1001,MATCH(ROWS($V$2:V879),$V$2:$V$1001,0),0)))</f>
        <v>0</v>
      </c>
      <c r="B879" s="5">
        <f>IF(OR(INDEX($W$2:$W$1001,MATCH(ROWS($V$2:V879),$V$2:$V$1001,0),1)&gt;=100000,INDEX($AC$1005:$AS$1005,1,MATCH(COLUMNS($AC$1006:AC1006),$AC$1006:$AS$1006,0))&gt;=100000), " ",IF(INDEX($AC$2:$AS$1001,MATCH(ROWS($V$2:V879),$V$2:$V$1001,0),MATCH(COLUMNS($AC$1006:AC1006),$AC$1006:$AS$1006,0)), HYPERLINK("#",""), HYPERLINK(CONCATENATE("#Metadata!", ADDRESS(INDEX($X$2:$X$1001,MATCH(ROWS($V$2:V879),$V$2:$V$1001,0),0), INDEX($AC$1004:$AS$1004,1,MATCH(COLUMNS($AC$1006:AC1006),$AC$1006:$AS$1006,0)))),"Fix")))</f>
        <v>0</v>
      </c>
      <c r="C879" s="5">
        <f>IF(OR(INDEX($W$2:$W$1001,MATCH(ROWS($V$2:V879),$V$2:$V$1001,0),1)&gt;=100000,INDEX($AC$1005:$AS$1005,1,MATCH(COLUMNS($AC$1006:AD1006),$AC$1006:$AS$1006,0))&gt;=100000), " ",IF(INDEX($AC$2:$AS$1001,MATCH(ROWS($V$2:V879),$V$2:$V$1001,0),MATCH(COLUMNS($AC$1006:AD1006),$AC$1006:$AS$1006,0)), HYPERLINK("#",""), HYPERLINK(CONCATENATE("#Metadata!", ADDRESS(INDEX($X$2:$X$1001,MATCH(ROWS($V$2:V879),$V$2:$V$1001,0),0), INDEX($AC$1004:$AS$1004,1,MATCH(COLUMNS($AC$1006:AD1006),$AC$1006:$AS$1006,0)))),"Fix")))</f>
        <v>0</v>
      </c>
      <c r="D879" s="5">
        <f>IF(OR(INDEX($W$2:$W$1001,MATCH(ROWS($V$2:V879),$V$2:$V$1001,0),1)&gt;=100000,INDEX($AC$1005:$AS$1005,1,MATCH(COLUMNS($AC$1006:AE1006),$AC$1006:$AS$1006,0))&gt;=100000), " ",IF(INDEX($AC$2:$AS$1001,MATCH(ROWS($V$2:V879),$V$2:$V$1001,0),MATCH(COLUMNS($AC$1006:AE1006),$AC$1006:$AS$1006,0)), HYPERLINK("#",""), HYPERLINK(CONCATENATE("#Metadata!", ADDRESS(INDEX($X$2:$X$1001,MATCH(ROWS($V$2:V879),$V$2:$V$1001,0),0), INDEX($AC$1004:$AS$1004,1,MATCH(COLUMNS($AC$1006:AE1006),$AC$1006:$AS$1006,0)))),"Fix")))</f>
        <v>0</v>
      </c>
      <c r="E879" s="5">
        <f>IF(OR(INDEX($W$2:$W$1001,MATCH(ROWS($V$2:V879),$V$2:$V$1001,0),1)&gt;=100000,INDEX($AC$1005:$AS$1005,1,MATCH(COLUMNS($AC$1006:AF1006),$AC$1006:$AS$1006,0))&gt;=100000), " ",IF(INDEX($AC$2:$AS$1001,MATCH(ROWS($V$2:V879),$V$2:$V$1001,0),MATCH(COLUMNS($AC$1006:AF1006),$AC$1006:$AS$1006,0)), HYPERLINK("#",""), HYPERLINK(CONCATENATE("#Metadata!", ADDRESS(INDEX($X$2:$X$1001,MATCH(ROWS($V$2:V879),$V$2:$V$1001,0),0), INDEX($AC$1004:$AS$1004,1,MATCH(COLUMNS($AC$1006:AF1006),$AC$1006:$AS$1006,0)))),"Fix")))</f>
        <v>0</v>
      </c>
      <c r="F879" s="5">
        <f>IF(OR(INDEX($W$2:$W$1001,MATCH(ROWS($V$2:V879),$V$2:$V$1001,0),1)&gt;=100000,INDEX($AC$1005:$AS$1005,1,MATCH(COLUMNS($AC$1006:AG1006),$AC$1006:$AS$1006,0))&gt;=100000), " ",IF(INDEX($AC$2:$AS$1001,MATCH(ROWS($V$2:V879),$V$2:$V$1001,0),MATCH(COLUMNS($AC$1006:AG1006),$AC$1006:$AS$1006,0)), HYPERLINK("#",""), HYPERLINK(CONCATENATE("#Metadata!", ADDRESS(INDEX($X$2:$X$1001,MATCH(ROWS($V$2:V879),$V$2:$V$1001,0),0), INDEX($AC$1004:$AS$1004,1,MATCH(COLUMNS($AC$1006:AG1006),$AC$1006:$AS$1006,0)))),"Fix")))</f>
        <v>0</v>
      </c>
      <c r="G879" s="5">
        <f>IF(OR(INDEX($W$2:$W$1001,MATCH(ROWS($V$2:V879),$V$2:$V$1001,0),1)&gt;=100000,INDEX($AC$1005:$AS$1005,1,MATCH(COLUMNS($AC$1006:AH1006),$AC$1006:$AS$1006,0))&gt;=100000), " ",IF(INDEX($AC$2:$AS$1001,MATCH(ROWS($V$2:V879),$V$2:$V$1001,0),MATCH(COLUMNS($AC$1006:AH1006),$AC$1006:$AS$1006,0)), HYPERLINK("#",""), HYPERLINK(CONCATENATE("#Metadata!", ADDRESS(INDEX($X$2:$X$1001,MATCH(ROWS($V$2:V879),$V$2:$V$1001,0),0), INDEX($AC$1004:$AS$1004,1,MATCH(COLUMNS($AC$1006:AH1006),$AC$1006:$AS$1006,0)))),"Fix")))</f>
        <v>0</v>
      </c>
      <c r="H879" s="5">
        <f>IF(OR(INDEX($W$2:$W$1001,MATCH(ROWS($V$2:V879),$V$2:$V$1001,0),1)&gt;=100000,INDEX($AC$1005:$AS$1005,1,MATCH(COLUMNS($AC$1006:AI1006),$AC$1006:$AS$1006,0))&gt;=100000), " ",IF(INDEX($AC$2:$AS$1001,MATCH(ROWS($V$2:V879),$V$2:$V$1001,0),MATCH(COLUMNS($AC$1006:AI1006),$AC$1006:$AS$1006,0)), HYPERLINK("#",""), HYPERLINK(CONCATENATE("#Metadata!", ADDRESS(INDEX($X$2:$X$1001,MATCH(ROWS($V$2:V879),$V$2:$V$1001,0),0), INDEX($AC$1004:$AS$1004,1,MATCH(COLUMNS($AC$1006:AI1006),$AC$1006:$AS$1006,0)))),"Fix")))</f>
        <v>0</v>
      </c>
      <c r="I879" s="5">
        <f>IF(OR(INDEX($W$2:$W$1001,MATCH(ROWS($V$2:V879),$V$2:$V$1001,0),1)&gt;=100000,INDEX($AC$1005:$AS$1005,1,MATCH(COLUMNS($AC$1006:AJ1006),$AC$1006:$AS$1006,0))&gt;=100000), " ",IF(INDEX($AC$2:$AS$1001,MATCH(ROWS($V$2:V879),$V$2:$V$1001,0),MATCH(COLUMNS($AC$1006:AJ1006),$AC$1006:$AS$1006,0)), HYPERLINK("#",""), HYPERLINK(CONCATENATE("#Metadata!", ADDRESS(INDEX($X$2:$X$1001,MATCH(ROWS($V$2:V879),$V$2:$V$1001,0),0), INDEX($AC$1004:$AS$1004,1,MATCH(COLUMNS($AC$1006:AJ1006),$AC$1006:$AS$1006,0)))),"Fix")))</f>
        <v>0</v>
      </c>
      <c r="J879" s="5">
        <f>IF(OR(INDEX($W$2:$W$1001,MATCH(ROWS($V$2:V879),$V$2:$V$1001,0),1)&gt;=100000,INDEX($AC$1005:$AS$1005,1,MATCH(COLUMNS($AC$1006:AK1006),$AC$1006:$AS$1006,0))&gt;=100000), " ",IF(INDEX($AC$2:$AS$1001,MATCH(ROWS($V$2:V879),$V$2:$V$1001,0),MATCH(COLUMNS($AC$1006:AK1006),$AC$1006:$AS$1006,0)), HYPERLINK("#",""), HYPERLINK(CONCATENATE("#Metadata!", ADDRESS(INDEX($X$2:$X$1001,MATCH(ROWS($V$2:V879),$V$2:$V$1001,0),0), INDEX($AC$1004:$AS$1004,1,MATCH(COLUMNS($AC$1006:AK1006),$AC$1006:$AS$1006,0)))),"Fix")))</f>
        <v>0</v>
      </c>
      <c r="K879" s="5">
        <f>IF(OR(INDEX($W$2:$W$1001,MATCH(ROWS($V$2:V879),$V$2:$V$1001,0),1)&gt;=100000,INDEX($AC$1005:$AS$1005,1,MATCH(COLUMNS($AC$1006:AL1006),$AC$1006:$AS$1006,0))&gt;=100000), " ",IF(INDEX($AC$2:$AS$1001,MATCH(ROWS($V$2:V879),$V$2:$V$1001,0),MATCH(COLUMNS($AC$1006:AL1006),$AC$1006:$AS$1006,0)), HYPERLINK("#",""), HYPERLINK(CONCATENATE("#Metadata!", ADDRESS(INDEX($X$2:$X$1001,MATCH(ROWS($V$2:V879),$V$2:$V$1001,0),0), INDEX($AC$1004:$AS$1004,1,MATCH(COLUMNS($AC$1006:AL1006),$AC$1006:$AS$1006,0)))),"Fix")))</f>
        <v>0</v>
      </c>
      <c r="L879" s="5">
        <f>IF(OR(INDEX($W$2:$W$1001,MATCH(ROWS($V$2:V879),$V$2:$V$1001,0),1)&gt;=100000,INDEX($AC$1005:$AS$1005,1,MATCH(COLUMNS($AC$1006:AM1006),$AC$1006:$AS$1006,0))&gt;=100000), " ",IF(INDEX($AC$2:$AS$1001,MATCH(ROWS($V$2:V879),$V$2:$V$1001,0),MATCH(COLUMNS($AC$1006:AM1006),$AC$1006:$AS$1006,0)), HYPERLINK("#",""), HYPERLINK(CONCATENATE("#Metadata!", ADDRESS(INDEX($X$2:$X$1001,MATCH(ROWS($V$2:V879),$V$2:$V$1001,0),0), INDEX($AC$1004:$AS$1004,1,MATCH(COLUMNS($AC$1006:AM1006),$AC$1006:$AS$1006,0)))),"Fix")))</f>
        <v>0</v>
      </c>
      <c r="M879" s="5">
        <f>IF(OR(INDEX($W$2:$W$1001,MATCH(ROWS($V$2:V879),$V$2:$V$1001,0),1)&gt;=100000,INDEX($AC$1005:$AS$1005,1,MATCH(COLUMNS($AC$1006:AN1006),$AC$1006:$AS$1006,0))&gt;=100000), " ",IF(INDEX($AC$2:$AS$1001,MATCH(ROWS($V$2:V879),$V$2:$V$1001,0),MATCH(COLUMNS($AC$1006:AN1006),$AC$1006:$AS$1006,0)), HYPERLINK("#",""), HYPERLINK(CONCATENATE("#Metadata!", ADDRESS(INDEX($X$2:$X$1001,MATCH(ROWS($V$2:V879),$V$2:$V$1001,0),0), INDEX($AC$1004:$AS$1004,1,MATCH(COLUMNS($AC$1006:AN1006),$AC$1006:$AS$1006,0)))),"Fix")))</f>
        <v>0</v>
      </c>
      <c r="N879" s="5">
        <f>IF(OR(INDEX($W$2:$W$1001,MATCH(ROWS($V$2:V879),$V$2:$V$1001,0),1)&gt;=100000,INDEX($AC$1005:$AS$1005,1,MATCH(COLUMNS($AC$1006:AO1006),$AC$1006:$AS$1006,0))&gt;=100000), " ",IF(INDEX($AC$2:$AS$1001,MATCH(ROWS($V$2:V879),$V$2:$V$1001,0),MATCH(COLUMNS($AC$1006:AO1006),$AC$1006:$AS$1006,0)), HYPERLINK("#",""), HYPERLINK(CONCATENATE("#Metadata!", ADDRESS(INDEX($X$2:$X$1001,MATCH(ROWS($V$2:V879),$V$2:$V$1001,0),0), INDEX($AC$1004:$AS$1004,1,MATCH(COLUMNS($AC$1006:AO1006),$AC$1006:$AS$1006,0)))),"Fix")))</f>
        <v>0</v>
      </c>
      <c r="O879" s="5">
        <f>IF(OR(INDEX($W$2:$W$1001,MATCH(ROWS($V$2:V879),$V$2:$V$1001,0),1)&gt;=100000,INDEX($AC$1005:$AS$1005,1,MATCH(COLUMNS($AC$1006:AP1006),$AC$1006:$AS$1006,0))&gt;=100000), " ",IF(INDEX($AC$2:$AS$1001,MATCH(ROWS($V$2:V879),$V$2:$V$1001,0),MATCH(COLUMNS($AC$1006:AP1006),$AC$1006:$AS$1006,0)), HYPERLINK("#",""), HYPERLINK(CONCATENATE("#Metadata!", ADDRESS(INDEX($X$2:$X$1001,MATCH(ROWS($V$2:V879),$V$2:$V$1001,0),0), INDEX($AC$1004:$AS$1004,1,MATCH(COLUMNS($AC$1006:AP1006),$AC$1006:$AS$1006,0)))),"Fix")))</f>
        <v>0</v>
      </c>
      <c r="P879" s="5">
        <f>IF(OR(INDEX($W$2:$W$1001,MATCH(ROWS($V$2:V879),$V$2:$V$1001,0),1)&gt;=100000,INDEX($AC$1005:$AS$1005,1,MATCH(COLUMNS($AC$1006:AQ1006),$AC$1006:$AS$1006,0))&gt;=100000), " ",IF(INDEX($AC$2:$AS$1001,MATCH(ROWS($V$2:V879),$V$2:$V$1001,0),MATCH(COLUMNS($AC$1006:AQ1006),$AC$1006:$AS$1006,0)), HYPERLINK("#",""), HYPERLINK(CONCATENATE("#Metadata!", ADDRESS(INDEX($X$2:$X$1001,MATCH(ROWS($V$2:V879),$V$2:$V$1001,0),0), INDEX($AC$1004:$AS$1004,1,MATCH(COLUMNS($AC$1006:AQ1006),$AC$1006:$AS$1006,0)))),"Fix")))</f>
        <v>0</v>
      </c>
      <c r="Q879" s="5">
        <f>IF(OR(INDEX($W$2:$W$1001,MATCH(ROWS($V$2:V879),$V$2:$V$1001,0),1)&gt;=100000,INDEX($AC$1005:$AS$1005,1,MATCH(COLUMNS($AC$1006:AR1006),$AC$1006:$AS$1006,0))&gt;=100000), " ",IF(INDEX($AC$2:$AS$1001,MATCH(ROWS($V$2:V879),$V$2:$V$1001,0),MATCH(COLUMNS($AC$1006:AR1006),$AC$1006:$AS$1006,0)), HYPERLINK("#",""), HYPERLINK(CONCATENATE("#Metadata!", ADDRESS(INDEX($X$2:$X$1001,MATCH(ROWS($V$2:V879),$V$2:$V$1001,0),0), INDEX($AC$1004:$AS$1004,1,MATCH(COLUMNS($AC$1006:AR1006),$AC$1006:$AS$1006,0)))),"Fix")))</f>
        <v>0</v>
      </c>
      <c r="R879" s="5">
        <f>IF(OR(INDEX($W$2:$W$1001,MATCH(ROWS($V$2:V879),$V$2:$V$1001,0),1)&gt;=100000,INDEX($AC$1005:$AS$1005,1,MATCH(COLUMNS($AC$1006:AS1006),$AC$1006:$AS$1006,0))&gt;=100000), " ",IF(INDEX($AC$2:$AS$1001,MATCH(ROWS($V$2:V879),$V$2:$V$1001,0),MATCH(COLUMNS($AC$1006:AS1006),$AC$1006:$AS$1006,0)), HYPERLINK("#",""), HYPERLINK(CONCATENATE("#Metadata!", ADDRESS(INDEX($X$2:$X$1001,MATCH(ROWS($V$2:V879),$V$2:$V$1001,0),0), INDEX($AC$1004:$AS$1004,1,MATCH(COLUMNS($AC$1006:AS1006),$AC$1006:$AS$1006,0)))),"Fix")))</f>
        <v>0</v>
      </c>
      <c r="V879">
        <v>0</v>
      </c>
      <c r="W879">
        <v>0</v>
      </c>
      <c r="X879">
        <v>0</v>
      </c>
      <c r="Y879">
        <f>IF(Z879,TRUE,AND(AC879:AS879))</f>
        <v>0</v>
      </c>
      <c r="Z879">
        <f>COUNTBLANK(Metadata!B879:R879)=COLUMNS(Metadata!B879:R879)</f>
        <v>0</v>
      </c>
      <c r="AA879">
        <v>0</v>
      </c>
      <c r="AC879">
        <f>AND(IF(Metadata!B879="",FALSE,TRUE),COUNTIF(Metadata!B:B, Metadata!B879) = 1,NOT(ISERROR(SUMPRODUCT(SEARCH(MID(Metadata!B879,ROW(INDIRECT("1:"&amp;LEN(Metadata!B879))), 1),"0123456789abcdefghijklmnopqrstuvwxyzABCDEFGHIJKLMNOPQRSTUVWXYZ.")))))</f>
        <v>0</v>
      </c>
      <c r="AD879">
        <f>AND(IF(Metadata!C879="",FALSE,TRUE),exact(Metadata!C879,"Host-associated"))</f>
        <v>0</v>
      </c>
      <c r="AE879">
        <f>AND(IF(Metadata!D879="",FALSE,TRUE),OR(exact(Metadata!D879,"Animal"),exact(Metadata!D879,"Fungus"),exact(Metadata!D879,"Plant")))</f>
        <v>0</v>
      </c>
      <c r="AF879">
        <f>AND(IF(Metadata!E879="",FALSE,TRUE),OR(exact(Metadata!E879,"Plant secretion"),exact(Metadata!E879,"Plant rhizosphere"),exact(Metadata!E879,"Plant surface"),exact(Metadata!E879,"Plant corpus"),exact(Metadata!E879,"Fungus surface"),exact(Metadata!E879,"Fungus corpus"),exact(Metadata!E879,"Animal surface"),exact(Metadata!E879,"Animal proximal gut"),exact(Metadata!E879,"Animal corpus"),exact(Metadata!E879,"Animal distal gut"),exact(Metadata!E879,"Animal secretion")))</f>
        <v>0</v>
      </c>
      <c r="AG879">
        <f>OR(AND(IF(Metadata!F879="",FALSE,TRUE),OR(exact(Metadata!F879,"not collected"),exact(Metadata!F879,"not provided"),exact(Metadata!F879,"restricted access"))),AND(IF(Metadata!F879="",FALSE,TRUE),OR(exact(Metadata!F879,"organism-associated habitat"),exact(Metadata!F879,"plant-associated habitat"),exact(Metadata!F879,"animal-associated habitat"),exact(Metadata!F879,"insecta-associated habitat"),exact(Metadata!F879,"mammalia-associated habitat"),exact(Metadata!F879,"human-associated habitat"),exact(Metadata!F879,"livestock-associated habitat"))))</f>
        <v>0</v>
      </c>
      <c r="AH879">
        <f>AND(IF(Metadata!G879="",FALSE,TRUE),exact(Metadata!G879,"host-associated"))</f>
        <v>0</v>
      </c>
      <c r="AI879">
        <f>OR(AND(IF(Metadata!H879="",FALSE,TRUE),OR(exact(Metadata!H879,"not collected"),exact(Metadata!H879,"not provided"))),AND(IF(Metadata!H879="",FALSE,ISNUMBER(VALUE(Metadata!H879))),Metadata!H879&gt;0))</f>
        <v>0</v>
      </c>
      <c r="AJ879">
        <f>AND(IF(Metadata!I879="",FALSE,TRUE),exact(Metadata!I879,"years"))</f>
        <v>0</v>
      </c>
      <c r="AK879">
        <f>IF(Metadata!J879="",FALSE,TRUE)</f>
        <v>0</v>
      </c>
      <c r="AL879">
        <f>OR(AND(IF(Metadata!K879="",FALSE,TRUE),OR(exact(Metadata!K879,"not collected"),exact(Metadata!K879,"not provided"))),AND(IF(Metadata!K879="",FALSE,ISNUMBER(VALUE(Metadata!K879))),Metadata!K879&gt;0))</f>
        <v>0</v>
      </c>
      <c r="AM879">
        <f>AND(IF(Metadata!L879="",FALSE,TRUE),exact(Metadata!L879,"cm"))</f>
        <v>0</v>
      </c>
      <c r="AN879">
        <f>IF(Metadata!M879="",FALSE,TRUE)</f>
        <v>0</v>
      </c>
      <c r="AO879">
        <f>OR(AND(IF(Metadata!N879="",FALSE,TRUE),OR(exact(Metadata!N879,"not applicable"),exact(Metadata!N879,"not collected"),exact(Metadata!N879,"not provided"))),AND(IF(Metadata!N879="",FALSE,IF(ISERROR(INT(Metadata!N879)),FALSE,INT(Metadata!N879)=Metadata!N879)),Metadata!N879&gt;0))</f>
        <v>0</v>
      </c>
      <c r="AP879">
        <f>OR(AND(IF(Metadata!O879="",FALSE,TRUE),OR(exact(Metadata!O879,"not collected"),exact(Metadata!O879,"not provided"))),AND(IF(Metadata!O879="",FALSE,ISNUMBER(VALUE(Metadata!O879))),Metadata!O879&gt;0))</f>
        <v>0</v>
      </c>
      <c r="AQ879">
        <f>AND(IF(Metadata!P879="",FALSE,TRUE),exact(Metadata!P879,"kg"))</f>
        <v>0</v>
      </c>
      <c r="AR879">
        <f>OR(AND(IF(Metadata!Q879="",FALSE,TRUE),OR(exact(Metadata!Q879,"not applicable"),exact(Metadata!Q879,"not collected"),exact(Metadata!Q879,"not provided"),exact(Metadata!Q879,"restricted access"))),IF(Metadata!Q879="",FALSE,IF(ISERROR(INT(Metadata!Q879)),FALSE,INT(Metadata!Q879)=Metadata!Q879)))</f>
        <v>0</v>
      </c>
      <c r="AS879">
        <f>AND(IF(Metadata!R879="",FALSE,TRUE),exact(Metadata!R879,"Not applicable"))</f>
        <v>0</v>
      </c>
    </row>
    <row r="880" spans="1:45">
      <c r="A880" s="4">
        <f>IF(B880=" "," ",HYPERLINK(CONCATENATE("#metadata!",ADDRESS(INDEX($X$2:$X$1001,MATCH(ROWS($V$2:V880),$V$2:$V$1001,0),0),2)),INDEX($AA$2:$AA$1001,MATCH(ROWS($V$2:V880),$V$2:$V$1001,0),0)))</f>
        <v>0</v>
      </c>
      <c r="B880" s="5">
        <f>IF(OR(INDEX($W$2:$W$1001,MATCH(ROWS($V$2:V880),$V$2:$V$1001,0),1)&gt;=100000,INDEX($AC$1005:$AS$1005,1,MATCH(COLUMNS($AC$1006:AC1006),$AC$1006:$AS$1006,0))&gt;=100000), " ",IF(INDEX($AC$2:$AS$1001,MATCH(ROWS($V$2:V880),$V$2:$V$1001,0),MATCH(COLUMNS($AC$1006:AC1006),$AC$1006:$AS$1006,0)), HYPERLINK("#",""), HYPERLINK(CONCATENATE("#Metadata!", ADDRESS(INDEX($X$2:$X$1001,MATCH(ROWS($V$2:V880),$V$2:$V$1001,0),0), INDEX($AC$1004:$AS$1004,1,MATCH(COLUMNS($AC$1006:AC1006),$AC$1006:$AS$1006,0)))),"Fix")))</f>
        <v>0</v>
      </c>
      <c r="C880" s="5">
        <f>IF(OR(INDEX($W$2:$W$1001,MATCH(ROWS($V$2:V880),$V$2:$V$1001,0),1)&gt;=100000,INDEX($AC$1005:$AS$1005,1,MATCH(COLUMNS($AC$1006:AD1006),$AC$1006:$AS$1006,0))&gt;=100000), " ",IF(INDEX($AC$2:$AS$1001,MATCH(ROWS($V$2:V880),$V$2:$V$1001,0),MATCH(COLUMNS($AC$1006:AD1006),$AC$1006:$AS$1006,0)), HYPERLINK("#",""), HYPERLINK(CONCATENATE("#Metadata!", ADDRESS(INDEX($X$2:$X$1001,MATCH(ROWS($V$2:V880),$V$2:$V$1001,0),0), INDEX($AC$1004:$AS$1004,1,MATCH(COLUMNS($AC$1006:AD1006),$AC$1006:$AS$1006,0)))),"Fix")))</f>
        <v>0</v>
      </c>
      <c r="D880" s="5">
        <f>IF(OR(INDEX($W$2:$W$1001,MATCH(ROWS($V$2:V880),$V$2:$V$1001,0),1)&gt;=100000,INDEX($AC$1005:$AS$1005,1,MATCH(COLUMNS($AC$1006:AE1006),$AC$1006:$AS$1006,0))&gt;=100000), " ",IF(INDEX($AC$2:$AS$1001,MATCH(ROWS($V$2:V880),$V$2:$V$1001,0),MATCH(COLUMNS($AC$1006:AE1006),$AC$1006:$AS$1006,0)), HYPERLINK("#",""), HYPERLINK(CONCATENATE("#Metadata!", ADDRESS(INDEX($X$2:$X$1001,MATCH(ROWS($V$2:V880),$V$2:$V$1001,0),0), INDEX($AC$1004:$AS$1004,1,MATCH(COLUMNS($AC$1006:AE1006),$AC$1006:$AS$1006,0)))),"Fix")))</f>
        <v>0</v>
      </c>
      <c r="E880" s="5">
        <f>IF(OR(INDEX($W$2:$W$1001,MATCH(ROWS($V$2:V880),$V$2:$V$1001,0),1)&gt;=100000,INDEX($AC$1005:$AS$1005,1,MATCH(COLUMNS($AC$1006:AF1006),$AC$1006:$AS$1006,0))&gt;=100000), " ",IF(INDEX($AC$2:$AS$1001,MATCH(ROWS($V$2:V880),$V$2:$V$1001,0),MATCH(COLUMNS($AC$1006:AF1006),$AC$1006:$AS$1006,0)), HYPERLINK("#",""), HYPERLINK(CONCATENATE("#Metadata!", ADDRESS(INDEX($X$2:$X$1001,MATCH(ROWS($V$2:V880),$V$2:$V$1001,0),0), INDEX($AC$1004:$AS$1004,1,MATCH(COLUMNS($AC$1006:AF1006),$AC$1006:$AS$1006,0)))),"Fix")))</f>
        <v>0</v>
      </c>
      <c r="F880" s="5">
        <f>IF(OR(INDEX($W$2:$W$1001,MATCH(ROWS($V$2:V880),$V$2:$V$1001,0),1)&gt;=100000,INDEX($AC$1005:$AS$1005,1,MATCH(COLUMNS($AC$1006:AG1006),$AC$1006:$AS$1006,0))&gt;=100000), " ",IF(INDEX($AC$2:$AS$1001,MATCH(ROWS($V$2:V880),$V$2:$V$1001,0),MATCH(COLUMNS($AC$1006:AG1006),$AC$1006:$AS$1006,0)), HYPERLINK("#",""), HYPERLINK(CONCATENATE("#Metadata!", ADDRESS(INDEX($X$2:$X$1001,MATCH(ROWS($V$2:V880),$V$2:$V$1001,0),0), INDEX($AC$1004:$AS$1004,1,MATCH(COLUMNS($AC$1006:AG1006),$AC$1006:$AS$1006,0)))),"Fix")))</f>
        <v>0</v>
      </c>
      <c r="G880" s="5">
        <f>IF(OR(INDEX($W$2:$W$1001,MATCH(ROWS($V$2:V880),$V$2:$V$1001,0),1)&gt;=100000,INDEX($AC$1005:$AS$1005,1,MATCH(COLUMNS($AC$1006:AH1006),$AC$1006:$AS$1006,0))&gt;=100000), " ",IF(INDEX($AC$2:$AS$1001,MATCH(ROWS($V$2:V880),$V$2:$V$1001,0),MATCH(COLUMNS($AC$1006:AH1006),$AC$1006:$AS$1006,0)), HYPERLINK("#",""), HYPERLINK(CONCATENATE("#Metadata!", ADDRESS(INDEX($X$2:$X$1001,MATCH(ROWS($V$2:V880),$V$2:$V$1001,0),0), INDEX($AC$1004:$AS$1004,1,MATCH(COLUMNS($AC$1006:AH1006),$AC$1006:$AS$1006,0)))),"Fix")))</f>
        <v>0</v>
      </c>
      <c r="H880" s="5">
        <f>IF(OR(INDEX($W$2:$W$1001,MATCH(ROWS($V$2:V880),$V$2:$V$1001,0),1)&gt;=100000,INDEX($AC$1005:$AS$1005,1,MATCH(COLUMNS($AC$1006:AI1006),$AC$1006:$AS$1006,0))&gt;=100000), " ",IF(INDEX($AC$2:$AS$1001,MATCH(ROWS($V$2:V880),$V$2:$V$1001,0),MATCH(COLUMNS($AC$1006:AI1006),$AC$1006:$AS$1006,0)), HYPERLINK("#",""), HYPERLINK(CONCATENATE("#Metadata!", ADDRESS(INDEX($X$2:$X$1001,MATCH(ROWS($V$2:V880),$V$2:$V$1001,0),0), INDEX($AC$1004:$AS$1004,1,MATCH(COLUMNS($AC$1006:AI1006),$AC$1006:$AS$1006,0)))),"Fix")))</f>
        <v>0</v>
      </c>
      <c r="I880" s="5">
        <f>IF(OR(INDEX($W$2:$W$1001,MATCH(ROWS($V$2:V880),$V$2:$V$1001,0),1)&gt;=100000,INDEX($AC$1005:$AS$1005,1,MATCH(COLUMNS($AC$1006:AJ1006),$AC$1006:$AS$1006,0))&gt;=100000), " ",IF(INDEX($AC$2:$AS$1001,MATCH(ROWS($V$2:V880),$V$2:$V$1001,0),MATCH(COLUMNS($AC$1006:AJ1006),$AC$1006:$AS$1006,0)), HYPERLINK("#",""), HYPERLINK(CONCATENATE("#Metadata!", ADDRESS(INDEX($X$2:$X$1001,MATCH(ROWS($V$2:V880),$V$2:$V$1001,0),0), INDEX($AC$1004:$AS$1004,1,MATCH(COLUMNS($AC$1006:AJ1006),$AC$1006:$AS$1006,0)))),"Fix")))</f>
        <v>0</v>
      </c>
      <c r="J880" s="5">
        <f>IF(OR(INDEX($W$2:$W$1001,MATCH(ROWS($V$2:V880),$V$2:$V$1001,0),1)&gt;=100000,INDEX($AC$1005:$AS$1005,1,MATCH(COLUMNS($AC$1006:AK1006),$AC$1006:$AS$1006,0))&gt;=100000), " ",IF(INDEX($AC$2:$AS$1001,MATCH(ROWS($V$2:V880),$V$2:$V$1001,0),MATCH(COLUMNS($AC$1006:AK1006),$AC$1006:$AS$1006,0)), HYPERLINK("#",""), HYPERLINK(CONCATENATE("#Metadata!", ADDRESS(INDEX($X$2:$X$1001,MATCH(ROWS($V$2:V880),$V$2:$V$1001,0),0), INDEX($AC$1004:$AS$1004,1,MATCH(COLUMNS($AC$1006:AK1006),$AC$1006:$AS$1006,0)))),"Fix")))</f>
        <v>0</v>
      </c>
      <c r="K880" s="5">
        <f>IF(OR(INDEX($W$2:$W$1001,MATCH(ROWS($V$2:V880),$V$2:$V$1001,0),1)&gt;=100000,INDEX($AC$1005:$AS$1005,1,MATCH(COLUMNS($AC$1006:AL1006),$AC$1006:$AS$1006,0))&gt;=100000), " ",IF(INDEX($AC$2:$AS$1001,MATCH(ROWS($V$2:V880),$V$2:$V$1001,0),MATCH(COLUMNS($AC$1006:AL1006),$AC$1006:$AS$1006,0)), HYPERLINK("#",""), HYPERLINK(CONCATENATE("#Metadata!", ADDRESS(INDEX($X$2:$X$1001,MATCH(ROWS($V$2:V880),$V$2:$V$1001,0),0), INDEX($AC$1004:$AS$1004,1,MATCH(COLUMNS($AC$1006:AL1006),$AC$1006:$AS$1006,0)))),"Fix")))</f>
        <v>0</v>
      </c>
      <c r="L880" s="5">
        <f>IF(OR(INDEX($W$2:$W$1001,MATCH(ROWS($V$2:V880),$V$2:$V$1001,0),1)&gt;=100000,INDEX($AC$1005:$AS$1005,1,MATCH(COLUMNS($AC$1006:AM1006),$AC$1006:$AS$1006,0))&gt;=100000), " ",IF(INDEX($AC$2:$AS$1001,MATCH(ROWS($V$2:V880),$V$2:$V$1001,0),MATCH(COLUMNS($AC$1006:AM1006),$AC$1006:$AS$1006,0)), HYPERLINK("#",""), HYPERLINK(CONCATENATE("#Metadata!", ADDRESS(INDEX($X$2:$X$1001,MATCH(ROWS($V$2:V880),$V$2:$V$1001,0),0), INDEX($AC$1004:$AS$1004,1,MATCH(COLUMNS($AC$1006:AM1006),$AC$1006:$AS$1006,0)))),"Fix")))</f>
        <v>0</v>
      </c>
      <c r="M880" s="5">
        <f>IF(OR(INDEX($W$2:$W$1001,MATCH(ROWS($V$2:V880),$V$2:$V$1001,0),1)&gt;=100000,INDEX($AC$1005:$AS$1005,1,MATCH(COLUMNS($AC$1006:AN1006),$AC$1006:$AS$1006,0))&gt;=100000), " ",IF(INDEX($AC$2:$AS$1001,MATCH(ROWS($V$2:V880),$V$2:$V$1001,0),MATCH(COLUMNS($AC$1006:AN1006),$AC$1006:$AS$1006,0)), HYPERLINK("#",""), HYPERLINK(CONCATENATE("#Metadata!", ADDRESS(INDEX($X$2:$X$1001,MATCH(ROWS($V$2:V880),$V$2:$V$1001,0),0), INDEX($AC$1004:$AS$1004,1,MATCH(COLUMNS($AC$1006:AN1006),$AC$1006:$AS$1006,0)))),"Fix")))</f>
        <v>0</v>
      </c>
      <c r="N880" s="5">
        <f>IF(OR(INDEX($W$2:$W$1001,MATCH(ROWS($V$2:V880),$V$2:$V$1001,0),1)&gt;=100000,INDEX($AC$1005:$AS$1005,1,MATCH(COLUMNS($AC$1006:AO1006),$AC$1006:$AS$1006,0))&gt;=100000), " ",IF(INDEX($AC$2:$AS$1001,MATCH(ROWS($V$2:V880),$V$2:$V$1001,0),MATCH(COLUMNS($AC$1006:AO1006),$AC$1006:$AS$1006,0)), HYPERLINK("#",""), HYPERLINK(CONCATENATE("#Metadata!", ADDRESS(INDEX($X$2:$X$1001,MATCH(ROWS($V$2:V880),$V$2:$V$1001,0),0), INDEX($AC$1004:$AS$1004,1,MATCH(COLUMNS($AC$1006:AO1006),$AC$1006:$AS$1006,0)))),"Fix")))</f>
        <v>0</v>
      </c>
      <c r="O880" s="5">
        <f>IF(OR(INDEX($W$2:$W$1001,MATCH(ROWS($V$2:V880),$V$2:$V$1001,0),1)&gt;=100000,INDEX($AC$1005:$AS$1005,1,MATCH(COLUMNS($AC$1006:AP1006),$AC$1006:$AS$1006,0))&gt;=100000), " ",IF(INDEX($AC$2:$AS$1001,MATCH(ROWS($V$2:V880),$V$2:$V$1001,0),MATCH(COLUMNS($AC$1006:AP1006),$AC$1006:$AS$1006,0)), HYPERLINK("#",""), HYPERLINK(CONCATENATE("#Metadata!", ADDRESS(INDEX($X$2:$X$1001,MATCH(ROWS($V$2:V880),$V$2:$V$1001,0),0), INDEX($AC$1004:$AS$1004,1,MATCH(COLUMNS($AC$1006:AP1006),$AC$1006:$AS$1006,0)))),"Fix")))</f>
        <v>0</v>
      </c>
      <c r="P880" s="5">
        <f>IF(OR(INDEX($W$2:$W$1001,MATCH(ROWS($V$2:V880),$V$2:$V$1001,0),1)&gt;=100000,INDEX($AC$1005:$AS$1005,1,MATCH(COLUMNS($AC$1006:AQ1006),$AC$1006:$AS$1006,0))&gt;=100000), " ",IF(INDEX($AC$2:$AS$1001,MATCH(ROWS($V$2:V880),$V$2:$V$1001,0),MATCH(COLUMNS($AC$1006:AQ1006),$AC$1006:$AS$1006,0)), HYPERLINK("#",""), HYPERLINK(CONCATENATE("#Metadata!", ADDRESS(INDEX($X$2:$X$1001,MATCH(ROWS($V$2:V880),$V$2:$V$1001,0),0), INDEX($AC$1004:$AS$1004,1,MATCH(COLUMNS($AC$1006:AQ1006),$AC$1006:$AS$1006,0)))),"Fix")))</f>
        <v>0</v>
      </c>
      <c r="Q880" s="5">
        <f>IF(OR(INDEX($W$2:$W$1001,MATCH(ROWS($V$2:V880),$V$2:$V$1001,0),1)&gt;=100000,INDEX($AC$1005:$AS$1005,1,MATCH(COLUMNS($AC$1006:AR1006),$AC$1006:$AS$1006,0))&gt;=100000), " ",IF(INDEX($AC$2:$AS$1001,MATCH(ROWS($V$2:V880),$V$2:$V$1001,0),MATCH(COLUMNS($AC$1006:AR1006),$AC$1006:$AS$1006,0)), HYPERLINK("#",""), HYPERLINK(CONCATENATE("#Metadata!", ADDRESS(INDEX($X$2:$X$1001,MATCH(ROWS($V$2:V880),$V$2:$V$1001,0),0), INDEX($AC$1004:$AS$1004,1,MATCH(COLUMNS($AC$1006:AR1006),$AC$1006:$AS$1006,0)))),"Fix")))</f>
        <v>0</v>
      </c>
      <c r="R880" s="5">
        <f>IF(OR(INDEX($W$2:$W$1001,MATCH(ROWS($V$2:V880),$V$2:$V$1001,0),1)&gt;=100000,INDEX($AC$1005:$AS$1005,1,MATCH(COLUMNS($AC$1006:AS1006),$AC$1006:$AS$1006,0))&gt;=100000), " ",IF(INDEX($AC$2:$AS$1001,MATCH(ROWS($V$2:V880),$V$2:$V$1001,0),MATCH(COLUMNS($AC$1006:AS1006),$AC$1006:$AS$1006,0)), HYPERLINK("#",""), HYPERLINK(CONCATENATE("#Metadata!", ADDRESS(INDEX($X$2:$X$1001,MATCH(ROWS($V$2:V880),$V$2:$V$1001,0),0), INDEX($AC$1004:$AS$1004,1,MATCH(COLUMNS($AC$1006:AS1006),$AC$1006:$AS$1006,0)))),"Fix")))</f>
        <v>0</v>
      </c>
      <c r="V880">
        <v>0</v>
      </c>
      <c r="W880">
        <v>0</v>
      </c>
      <c r="X880">
        <v>0</v>
      </c>
      <c r="Y880">
        <f>IF(Z880,TRUE,AND(AC880:AS880))</f>
        <v>0</v>
      </c>
      <c r="Z880">
        <f>COUNTBLANK(Metadata!B880:R880)=COLUMNS(Metadata!B880:R880)</f>
        <v>0</v>
      </c>
      <c r="AA880">
        <v>0</v>
      </c>
      <c r="AC880">
        <f>AND(IF(Metadata!B880="",FALSE,TRUE),COUNTIF(Metadata!B:B, Metadata!B880) = 1,NOT(ISERROR(SUMPRODUCT(SEARCH(MID(Metadata!B880,ROW(INDIRECT("1:"&amp;LEN(Metadata!B880))), 1),"0123456789abcdefghijklmnopqrstuvwxyzABCDEFGHIJKLMNOPQRSTUVWXYZ.")))))</f>
        <v>0</v>
      </c>
      <c r="AD880">
        <f>AND(IF(Metadata!C880="",FALSE,TRUE),exact(Metadata!C880,"Host-associated"))</f>
        <v>0</v>
      </c>
      <c r="AE880">
        <f>AND(IF(Metadata!D880="",FALSE,TRUE),OR(exact(Metadata!D880,"Animal"),exact(Metadata!D880,"Fungus"),exact(Metadata!D880,"Plant")))</f>
        <v>0</v>
      </c>
      <c r="AF880">
        <f>AND(IF(Metadata!E880="",FALSE,TRUE),OR(exact(Metadata!E880,"Plant secretion"),exact(Metadata!E880,"Plant rhizosphere"),exact(Metadata!E880,"Plant surface"),exact(Metadata!E880,"Plant corpus"),exact(Metadata!E880,"Fungus surface"),exact(Metadata!E880,"Fungus corpus"),exact(Metadata!E880,"Animal surface"),exact(Metadata!E880,"Animal proximal gut"),exact(Metadata!E880,"Animal corpus"),exact(Metadata!E880,"Animal distal gut"),exact(Metadata!E880,"Animal secretion")))</f>
        <v>0</v>
      </c>
      <c r="AG880">
        <f>OR(AND(IF(Metadata!F880="",FALSE,TRUE),OR(exact(Metadata!F880,"not collected"),exact(Metadata!F880,"not provided"),exact(Metadata!F880,"restricted access"))),AND(IF(Metadata!F880="",FALSE,TRUE),OR(exact(Metadata!F880,"organism-associated habitat"),exact(Metadata!F880,"plant-associated habitat"),exact(Metadata!F880,"animal-associated habitat"),exact(Metadata!F880,"insecta-associated habitat"),exact(Metadata!F880,"mammalia-associated habitat"),exact(Metadata!F880,"human-associated habitat"),exact(Metadata!F880,"livestock-associated habitat"))))</f>
        <v>0</v>
      </c>
      <c r="AH880">
        <f>AND(IF(Metadata!G880="",FALSE,TRUE),exact(Metadata!G880,"host-associated"))</f>
        <v>0</v>
      </c>
      <c r="AI880">
        <f>OR(AND(IF(Metadata!H880="",FALSE,TRUE),OR(exact(Metadata!H880,"not collected"),exact(Metadata!H880,"not provided"))),AND(IF(Metadata!H880="",FALSE,ISNUMBER(VALUE(Metadata!H880))),Metadata!H880&gt;0))</f>
        <v>0</v>
      </c>
      <c r="AJ880">
        <f>AND(IF(Metadata!I880="",FALSE,TRUE),exact(Metadata!I880,"years"))</f>
        <v>0</v>
      </c>
      <c r="AK880">
        <f>IF(Metadata!J880="",FALSE,TRUE)</f>
        <v>0</v>
      </c>
      <c r="AL880">
        <f>OR(AND(IF(Metadata!K880="",FALSE,TRUE),OR(exact(Metadata!K880,"not collected"),exact(Metadata!K880,"not provided"))),AND(IF(Metadata!K880="",FALSE,ISNUMBER(VALUE(Metadata!K880))),Metadata!K880&gt;0))</f>
        <v>0</v>
      </c>
      <c r="AM880">
        <f>AND(IF(Metadata!L880="",FALSE,TRUE),exact(Metadata!L880,"cm"))</f>
        <v>0</v>
      </c>
      <c r="AN880">
        <f>IF(Metadata!M880="",FALSE,TRUE)</f>
        <v>0</v>
      </c>
      <c r="AO880">
        <f>OR(AND(IF(Metadata!N880="",FALSE,TRUE),OR(exact(Metadata!N880,"not applicable"),exact(Metadata!N880,"not collected"),exact(Metadata!N880,"not provided"))),AND(IF(Metadata!N880="",FALSE,IF(ISERROR(INT(Metadata!N880)),FALSE,INT(Metadata!N880)=Metadata!N880)),Metadata!N880&gt;0))</f>
        <v>0</v>
      </c>
      <c r="AP880">
        <f>OR(AND(IF(Metadata!O880="",FALSE,TRUE),OR(exact(Metadata!O880,"not collected"),exact(Metadata!O880,"not provided"))),AND(IF(Metadata!O880="",FALSE,ISNUMBER(VALUE(Metadata!O880))),Metadata!O880&gt;0))</f>
        <v>0</v>
      </c>
      <c r="AQ880">
        <f>AND(IF(Metadata!P880="",FALSE,TRUE),exact(Metadata!P880,"kg"))</f>
        <v>0</v>
      </c>
      <c r="AR880">
        <f>OR(AND(IF(Metadata!Q880="",FALSE,TRUE),OR(exact(Metadata!Q880,"not applicable"),exact(Metadata!Q880,"not collected"),exact(Metadata!Q880,"not provided"),exact(Metadata!Q880,"restricted access"))),IF(Metadata!Q880="",FALSE,IF(ISERROR(INT(Metadata!Q880)),FALSE,INT(Metadata!Q880)=Metadata!Q880)))</f>
        <v>0</v>
      </c>
      <c r="AS880">
        <f>AND(IF(Metadata!R880="",FALSE,TRUE),exact(Metadata!R880,"Not applicable"))</f>
        <v>0</v>
      </c>
    </row>
    <row r="881" spans="1:45">
      <c r="A881" s="4">
        <f>IF(B881=" "," ",HYPERLINK(CONCATENATE("#metadata!",ADDRESS(INDEX($X$2:$X$1001,MATCH(ROWS($V$2:V881),$V$2:$V$1001,0),0),2)),INDEX($AA$2:$AA$1001,MATCH(ROWS($V$2:V881),$V$2:$V$1001,0),0)))</f>
        <v>0</v>
      </c>
      <c r="B881" s="5">
        <f>IF(OR(INDEX($W$2:$W$1001,MATCH(ROWS($V$2:V881),$V$2:$V$1001,0),1)&gt;=100000,INDEX($AC$1005:$AS$1005,1,MATCH(COLUMNS($AC$1006:AC1006),$AC$1006:$AS$1006,0))&gt;=100000), " ",IF(INDEX($AC$2:$AS$1001,MATCH(ROWS($V$2:V881),$V$2:$V$1001,0),MATCH(COLUMNS($AC$1006:AC1006),$AC$1006:$AS$1006,0)), HYPERLINK("#",""), HYPERLINK(CONCATENATE("#Metadata!", ADDRESS(INDEX($X$2:$X$1001,MATCH(ROWS($V$2:V881),$V$2:$V$1001,0),0), INDEX($AC$1004:$AS$1004,1,MATCH(COLUMNS($AC$1006:AC1006),$AC$1006:$AS$1006,0)))),"Fix")))</f>
        <v>0</v>
      </c>
      <c r="C881" s="5">
        <f>IF(OR(INDEX($W$2:$W$1001,MATCH(ROWS($V$2:V881),$V$2:$V$1001,0),1)&gt;=100000,INDEX($AC$1005:$AS$1005,1,MATCH(COLUMNS($AC$1006:AD1006),$AC$1006:$AS$1006,0))&gt;=100000), " ",IF(INDEX($AC$2:$AS$1001,MATCH(ROWS($V$2:V881),$V$2:$V$1001,0),MATCH(COLUMNS($AC$1006:AD1006),$AC$1006:$AS$1006,0)), HYPERLINK("#",""), HYPERLINK(CONCATENATE("#Metadata!", ADDRESS(INDEX($X$2:$X$1001,MATCH(ROWS($V$2:V881),$V$2:$V$1001,0),0), INDEX($AC$1004:$AS$1004,1,MATCH(COLUMNS($AC$1006:AD1006),$AC$1006:$AS$1006,0)))),"Fix")))</f>
        <v>0</v>
      </c>
      <c r="D881" s="5">
        <f>IF(OR(INDEX($W$2:$W$1001,MATCH(ROWS($V$2:V881),$V$2:$V$1001,0),1)&gt;=100000,INDEX($AC$1005:$AS$1005,1,MATCH(COLUMNS($AC$1006:AE1006),$AC$1006:$AS$1006,0))&gt;=100000), " ",IF(INDEX($AC$2:$AS$1001,MATCH(ROWS($V$2:V881),$V$2:$V$1001,0),MATCH(COLUMNS($AC$1006:AE1006),$AC$1006:$AS$1006,0)), HYPERLINK("#",""), HYPERLINK(CONCATENATE("#Metadata!", ADDRESS(INDEX($X$2:$X$1001,MATCH(ROWS($V$2:V881),$V$2:$V$1001,0),0), INDEX($AC$1004:$AS$1004,1,MATCH(COLUMNS($AC$1006:AE1006),$AC$1006:$AS$1006,0)))),"Fix")))</f>
        <v>0</v>
      </c>
      <c r="E881" s="5">
        <f>IF(OR(INDEX($W$2:$W$1001,MATCH(ROWS($V$2:V881),$V$2:$V$1001,0),1)&gt;=100000,INDEX($AC$1005:$AS$1005,1,MATCH(COLUMNS($AC$1006:AF1006),$AC$1006:$AS$1006,0))&gt;=100000), " ",IF(INDEX($AC$2:$AS$1001,MATCH(ROWS($V$2:V881),$V$2:$V$1001,0),MATCH(COLUMNS($AC$1006:AF1006),$AC$1006:$AS$1006,0)), HYPERLINK("#",""), HYPERLINK(CONCATENATE("#Metadata!", ADDRESS(INDEX($X$2:$X$1001,MATCH(ROWS($V$2:V881),$V$2:$V$1001,0),0), INDEX($AC$1004:$AS$1004,1,MATCH(COLUMNS($AC$1006:AF1006),$AC$1006:$AS$1006,0)))),"Fix")))</f>
        <v>0</v>
      </c>
      <c r="F881" s="5">
        <f>IF(OR(INDEX($W$2:$W$1001,MATCH(ROWS($V$2:V881),$V$2:$V$1001,0),1)&gt;=100000,INDEX($AC$1005:$AS$1005,1,MATCH(COLUMNS($AC$1006:AG1006),$AC$1006:$AS$1006,0))&gt;=100000), " ",IF(INDEX($AC$2:$AS$1001,MATCH(ROWS($V$2:V881),$V$2:$V$1001,0),MATCH(COLUMNS($AC$1006:AG1006),$AC$1006:$AS$1006,0)), HYPERLINK("#",""), HYPERLINK(CONCATENATE("#Metadata!", ADDRESS(INDEX($X$2:$X$1001,MATCH(ROWS($V$2:V881),$V$2:$V$1001,0),0), INDEX($AC$1004:$AS$1004,1,MATCH(COLUMNS($AC$1006:AG1006),$AC$1006:$AS$1006,0)))),"Fix")))</f>
        <v>0</v>
      </c>
      <c r="G881" s="5">
        <f>IF(OR(INDEX($W$2:$W$1001,MATCH(ROWS($V$2:V881),$V$2:$V$1001,0),1)&gt;=100000,INDEX($AC$1005:$AS$1005,1,MATCH(COLUMNS($AC$1006:AH1006),$AC$1006:$AS$1006,0))&gt;=100000), " ",IF(INDEX($AC$2:$AS$1001,MATCH(ROWS($V$2:V881),$V$2:$V$1001,0),MATCH(COLUMNS($AC$1006:AH1006),$AC$1006:$AS$1006,0)), HYPERLINK("#",""), HYPERLINK(CONCATENATE("#Metadata!", ADDRESS(INDEX($X$2:$X$1001,MATCH(ROWS($V$2:V881),$V$2:$V$1001,0),0), INDEX($AC$1004:$AS$1004,1,MATCH(COLUMNS($AC$1006:AH1006),$AC$1006:$AS$1006,0)))),"Fix")))</f>
        <v>0</v>
      </c>
      <c r="H881" s="5">
        <f>IF(OR(INDEX($W$2:$W$1001,MATCH(ROWS($V$2:V881),$V$2:$V$1001,0),1)&gt;=100000,INDEX($AC$1005:$AS$1005,1,MATCH(COLUMNS($AC$1006:AI1006),$AC$1006:$AS$1006,0))&gt;=100000), " ",IF(INDEX($AC$2:$AS$1001,MATCH(ROWS($V$2:V881),$V$2:$V$1001,0),MATCH(COLUMNS($AC$1006:AI1006),$AC$1006:$AS$1006,0)), HYPERLINK("#",""), HYPERLINK(CONCATENATE("#Metadata!", ADDRESS(INDEX($X$2:$X$1001,MATCH(ROWS($V$2:V881),$V$2:$V$1001,0),0), INDEX($AC$1004:$AS$1004,1,MATCH(COLUMNS($AC$1006:AI1006),$AC$1006:$AS$1006,0)))),"Fix")))</f>
        <v>0</v>
      </c>
      <c r="I881" s="5">
        <f>IF(OR(INDEX($W$2:$W$1001,MATCH(ROWS($V$2:V881),$V$2:$V$1001,0),1)&gt;=100000,INDEX($AC$1005:$AS$1005,1,MATCH(COLUMNS($AC$1006:AJ1006),$AC$1006:$AS$1006,0))&gt;=100000), " ",IF(INDEX($AC$2:$AS$1001,MATCH(ROWS($V$2:V881),$V$2:$V$1001,0),MATCH(COLUMNS($AC$1006:AJ1006),$AC$1006:$AS$1006,0)), HYPERLINK("#",""), HYPERLINK(CONCATENATE("#Metadata!", ADDRESS(INDEX($X$2:$X$1001,MATCH(ROWS($V$2:V881),$V$2:$V$1001,0),0), INDEX($AC$1004:$AS$1004,1,MATCH(COLUMNS($AC$1006:AJ1006),$AC$1006:$AS$1006,0)))),"Fix")))</f>
        <v>0</v>
      </c>
      <c r="J881" s="5">
        <f>IF(OR(INDEX($W$2:$W$1001,MATCH(ROWS($V$2:V881),$V$2:$V$1001,0),1)&gt;=100000,INDEX($AC$1005:$AS$1005,1,MATCH(COLUMNS($AC$1006:AK1006),$AC$1006:$AS$1006,0))&gt;=100000), " ",IF(INDEX($AC$2:$AS$1001,MATCH(ROWS($V$2:V881),$V$2:$V$1001,0),MATCH(COLUMNS($AC$1006:AK1006),$AC$1006:$AS$1006,0)), HYPERLINK("#",""), HYPERLINK(CONCATENATE("#Metadata!", ADDRESS(INDEX($X$2:$X$1001,MATCH(ROWS($V$2:V881),$V$2:$V$1001,0),0), INDEX($AC$1004:$AS$1004,1,MATCH(COLUMNS($AC$1006:AK1006),$AC$1006:$AS$1006,0)))),"Fix")))</f>
        <v>0</v>
      </c>
      <c r="K881" s="5">
        <f>IF(OR(INDEX($W$2:$W$1001,MATCH(ROWS($V$2:V881),$V$2:$V$1001,0),1)&gt;=100000,INDEX($AC$1005:$AS$1005,1,MATCH(COLUMNS($AC$1006:AL1006),$AC$1006:$AS$1006,0))&gt;=100000), " ",IF(INDEX($AC$2:$AS$1001,MATCH(ROWS($V$2:V881),$V$2:$V$1001,0),MATCH(COLUMNS($AC$1006:AL1006),$AC$1006:$AS$1006,0)), HYPERLINK("#",""), HYPERLINK(CONCATENATE("#Metadata!", ADDRESS(INDEX($X$2:$X$1001,MATCH(ROWS($V$2:V881),$V$2:$V$1001,0),0), INDEX($AC$1004:$AS$1004,1,MATCH(COLUMNS($AC$1006:AL1006),$AC$1006:$AS$1006,0)))),"Fix")))</f>
        <v>0</v>
      </c>
      <c r="L881" s="5">
        <f>IF(OR(INDEX($W$2:$W$1001,MATCH(ROWS($V$2:V881),$V$2:$V$1001,0),1)&gt;=100000,INDEX($AC$1005:$AS$1005,1,MATCH(COLUMNS($AC$1006:AM1006),$AC$1006:$AS$1006,0))&gt;=100000), " ",IF(INDEX($AC$2:$AS$1001,MATCH(ROWS($V$2:V881),$V$2:$V$1001,0),MATCH(COLUMNS($AC$1006:AM1006),$AC$1006:$AS$1006,0)), HYPERLINK("#",""), HYPERLINK(CONCATENATE("#Metadata!", ADDRESS(INDEX($X$2:$X$1001,MATCH(ROWS($V$2:V881),$V$2:$V$1001,0),0), INDEX($AC$1004:$AS$1004,1,MATCH(COLUMNS($AC$1006:AM1006),$AC$1006:$AS$1006,0)))),"Fix")))</f>
        <v>0</v>
      </c>
      <c r="M881" s="5">
        <f>IF(OR(INDEX($W$2:$W$1001,MATCH(ROWS($V$2:V881),$V$2:$V$1001,0),1)&gt;=100000,INDEX($AC$1005:$AS$1005,1,MATCH(COLUMNS($AC$1006:AN1006),$AC$1006:$AS$1006,0))&gt;=100000), " ",IF(INDEX($AC$2:$AS$1001,MATCH(ROWS($V$2:V881),$V$2:$V$1001,0),MATCH(COLUMNS($AC$1006:AN1006),$AC$1006:$AS$1006,0)), HYPERLINK("#",""), HYPERLINK(CONCATENATE("#Metadata!", ADDRESS(INDEX($X$2:$X$1001,MATCH(ROWS($V$2:V881),$V$2:$V$1001,0),0), INDEX($AC$1004:$AS$1004,1,MATCH(COLUMNS($AC$1006:AN1006),$AC$1006:$AS$1006,0)))),"Fix")))</f>
        <v>0</v>
      </c>
      <c r="N881" s="5">
        <f>IF(OR(INDEX($W$2:$W$1001,MATCH(ROWS($V$2:V881),$V$2:$V$1001,0),1)&gt;=100000,INDEX($AC$1005:$AS$1005,1,MATCH(COLUMNS($AC$1006:AO1006),$AC$1006:$AS$1006,0))&gt;=100000), " ",IF(INDEX($AC$2:$AS$1001,MATCH(ROWS($V$2:V881),$V$2:$V$1001,0),MATCH(COLUMNS($AC$1006:AO1006),$AC$1006:$AS$1006,0)), HYPERLINK("#",""), HYPERLINK(CONCATENATE("#Metadata!", ADDRESS(INDEX($X$2:$X$1001,MATCH(ROWS($V$2:V881),$V$2:$V$1001,0),0), INDEX($AC$1004:$AS$1004,1,MATCH(COLUMNS($AC$1006:AO1006),$AC$1006:$AS$1006,0)))),"Fix")))</f>
        <v>0</v>
      </c>
      <c r="O881" s="5">
        <f>IF(OR(INDEX($W$2:$W$1001,MATCH(ROWS($V$2:V881),$V$2:$V$1001,0),1)&gt;=100000,INDEX($AC$1005:$AS$1005,1,MATCH(COLUMNS($AC$1006:AP1006),$AC$1006:$AS$1006,0))&gt;=100000), " ",IF(INDEX($AC$2:$AS$1001,MATCH(ROWS($V$2:V881),$V$2:$V$1001,0),MATCH(COLUMNS($AC$1006:AP1006),$AC$1006:$AS$1006,0)), HYPERLINK("#",""), HYPERLINK(CONCATENATE("#Metadata!", ADDRESS(INDEX($X$2:$X$1001,MATCH(ROWS($V$2:V881),$V$2:$V$1001,0),0), INDEX($AC$1004:$AS$1004,1,MATCH(COLUMNS($AC$1006:AP1006),$AC$1006:$AS$1006,0)))),"Fix")))</f>
        <v>0</v>
      </c>
      <c r="P881" s="5">
        <f>IF(OR(INDEX($W$2:$W$1001,MATCH(ROWS($V$2:V881),$V$2:$V$1001,0),1)&gt;=100000,INDEX($AC$1005:$AS$1005,1,MATCH(COLUMNS($AC$1006:AQ1006),$AC$1006:$AS$1006,0))&gt;=100000), " ",IF(INDEX($AC$2:$AS$1001,MATCH(ROWS($V$2:V881),$V$2:$V$1001,0),MATCH(COLUMNS($AC$1006:AQ1006),$AC$1006:$AS$1006,0)), HYPERLINK("#",""), HYPERLINK(CONCATENATE("#Metadata!", ADDRESS(INDEX($X$2:$X$1001,MATCH(ROWS($V$2:V881),$V$2:$V$1001,0),0), INDEX($AC$1004:$AS$1004,1,MATCH(COLUMNS($AC$1006:AQ1006),$AC$1006:$AS$1006,0)))),"Fix")))</f>
        <v>0</v>
      </c>
      <c r="Q881" s="5">
        <f>IF(OR(INDEX($W$2:$W$1001,MATCH(ROWS($V$2:V881),$V$2:$V$1001,0),1)&gt;=100000,INDEX($AC$1005:$AS$1005,1,MATCH(COLUMNS($AC$1006:AR1006),$AC$1006:$AS$1006,0))&gt;=100000), " ",IF(INDEX($AC$2:$AS$1001,MATCH(ROWS($V$2:V881),$V$2:$V$1001,0),MATCH(COLUMNS($AC$1006:AR1006),$AC$1006:$AS$1006,0)), HYPERLINK("#",""), HYPERLINK(CONCATENATE("#Metadata!", ADDRESS(INDEX($X$2:$X$1001,MATCH(ROWS($V$2:V881),$V$2:$V$1001,0),0), INDEX($AC$1004:$AS$1004,1,MATCH(COLUMNS($AC$1006:AR1006),$AC$1006:$AS$1006,0)))),"Fix")))</f>
        <v>0</v>
      </c>
      <c r="R881" s="5">
        <f>IF(OR(INDEX($W$2:$W$1001,MATCH(ROWS($V$2:V881),$V$2:$V$1001,0),1)&gt;=100000,INDEX($AC$1005:$AS$1005,1,MATCH(COLUMNS($AC$1006:AS1006),$AC$1006:$AS$1006,0))&gt;=100000), " ",IF(INDEX($AC$2:$AS$1001,MATCH(ROWS($V$2:V881),$V$2:$V$1001,0),MATCH(COLUMNS($AC$1006:AS1006),$AC$1006:$AS$1006,0)), HYPERLINK("#",""), HYPERLINK(CONCATENATE("#Metadata!", ADDRESS(INDEX($X$2:$X$1001,MATCH(ROWS($V$2:V881),$V$2:$V$1001,0),0), INDEX($AC$1004:$AS$1004,1,MATCH(COLUMNS($AC$1006:AS1006),$AC$1006:$AS$1006,0)))),"Fix")))</f>
        <v>0</v>
      </c>
      <c r="V881">
        <v>0</v>
      </c>
      <c r="W881">
        <v>0</v>
      </c>
      <c r="X881">
        <v>0</v>
      </c>
      <c r="Y881">
        <f>IF(Z881,TRUE,AND(AC881:AS881))</f>
        <v>0</v>
      </c>
      <c r="Z881">
        <f>COUNTBLANK(Metadata!B881:R881)=COLUMNS(Metadata!B881:R881)</f>
        <v>0</v>
      </c>
      <c r="AA881">
        <v>0</v>
      </c>
      <c r="AC881">
        <f>AND(IF(Metadata!B881="",FALSE,TRUE),COUNTIF(Metadata!B:B, Metadata!B881) = 1,NOT(ISERROR(SUMPRODUCT(SEARCH(MID(Metadata!B881,ROW(INDIRECT("1:"&amp;LEN(Metadata!B881))), 1),"0123456789abcdefghijklmnopqrstuvwxyzABCDEFGHIJKLMNOPQRSTUVWXYZ.")))))</f>
        <v>0</v>
      </c>
      <c r="AD881">
        <f>AND(IF(Metadata!C881="",FALSE,TRUE),exact(Metadata!C881,"Host-associated"))</f>
        <v>0</v>
      </c>
      <c r="AE881">
        <f>AND(IF(Metadata!D881="",FALSE,TRUE),OR(exact(Metadata!D881,"Animal"),exact(Metadata!D881,"Fungus"),exact(Metadata!D881,"Plant")))</f>
        <v>0</v>
      </c>
      <c r="AF881">
        <f>AND(IF(Metadata!E881="",FALSE,TRUE),OR(exact(Metadata!E881,"Plant secretion"),exact(Metadata!E881,"Plant rhizosphere"),exact(Metadata!E881,"Plant surface"),exact(Metadata!E881,"Plant corpus"),exact(Metadata!E881,"Fungus surface"),exact(Metadata!E881,"Fungus corpus"),exact(Metadata!E881,"Animal surface"),exact(Metadata!E881,"Animal proximal gut"),exact(Metadata!E881,"Animal corpus"),exact(Metadata!E881,"Animal distal gut"),exact(Metadata!E881,"Animal secretion")))</f>
        <v>0</v>
      </c>
      <c r="AG881">
        <f>OR(AND(IF(Metadata!F881="",FALSE,TRUE),OR(exact(Metadata!F881,"not collected"),exact(Metadata!F881,"not provided"),exact(Metadata!F881,"restricted access"))),AND(IF(Metadata!F881="",FALSE,TRUE),OR(exact(Metadata!F881,"organism-associated habitat"),exact(Metadata!F881,"plant-associated habitat"),exact(Metadata!F881,"animal-associated habitat"),exact(Metadata!F881,"insecta-associated habitat"),exact(Metadata!F881,"mammalia-associated habitat"),exact(Metadata!F881,"human-associated habitat"),exact(Metadata!F881,"livestock-associated habitat"))))</f>
        <v>0</v>
      </c>
      <c r="AH881">
        <f>AND(IF(Metadata!G881="",FALSE,TRUE),exact(Metadata!G881,"host-associated"))</f>
        <v>0</v>
      </c>
      <c r="AI881">
        <f>OR(AND(IF(Metadata!H881="",FALSE,TRUE),OR(exact(Metadata!H881,"not collected"),exact(Metadata!H881,"not provided"))),AND(IF(Metadata!H881="",FALSE,ISNUMBER(VALUE(Metadata!H881))),Metadata!H881&gt;0))</f>
        <v>0</v>
      </c>
      <c r="AJ881">
        <f>AND(IF(Metadata!I881="",FALSE,TRUE),exact(Metadata!I881,"years"))</f>
        <v>0</v>
      </c>
      <c r="AK881">
        <f>IF(Metadata!J881="",FALSE,TRUE)</f>
        <v>0</v>
      </c>
      <c r="AL881">
        <f>OR(AND(IF(Metadata!K881="",FALSE,TRUE),OR(exact(Metadata!K881,"not collected"),exact(Metadata!K881,"not provided"))),AND(IF(Metadata!K881="",FALSE,ISNUMBER(VALUE(Metadata!K881))),Metadata!K881&gt;0))</f>
        <v>0</v>
      </c>
      <c r="AM881">
        <f>AND(IF(Metadata!L881="",FALSE,TRUE),exact(Metadata!L881,"cm"))</f>
        <v>0</v>
      </c>
      <c r="AN881">
        <f>IF(Metadata!M881="",FALSE,TRUE)</f>
        <v>0</v>
      </c>
      <c r="AO881">
        <f>OR(AND(IF(Metadata!N881="",FALSE,TRUE),OR(exact(Metadata!N881,"not applicable"),exact(Metadata!N881,"not collected"),exact(Metadata!N881,"not provided"))),AND(IF(Metadata!N881="",FALSE,IF(ISERROR(INT(Metadata!N881)),FALSE,INT(Metadata!N881)=Metadata!N881)),Metadata!N881&gt;0))</f>
        <v>0</v>
      </c>
      <c r="AP881">
        <f>OR(AND(IF(Metadata!O881="",FALSE,TRUE),OR(exact(Metadata!O881,"not collected"),exact(Metadata!O881,"not provided"))),AND(IF(Metadata!O881="",FALSE,ISNUMBER(VALUE(Metadata!O881))),Metadata!O881&gt;0))</f>
        <v>0</v>
      </c>
      <c r="AQ881">
        <f>AND(IF(Metadata!P881="",FALSE,TRUE),exact(Metadata!P881,"kg"))</f>
        <v>0</v>
      </c>
      <c r="AR881">
        <f>OR(AND(IF(Metadata!Q881="",FALSE,TRUE),OR(exact(Metadata!Q881,"not applicable"),exact(Metadata!Q881,"not collected"),exact(Metadata!Q881,"not provided"),exact(Metadata!Q881,"restricted access"))),IF(Metadata!Q881="",FALSE,IF(ISERROR(INT(Metadata!Q881)),FALSE,INT(Metadata!Q881)=Metadata!Q881)))</f>
        <v>0</v>
      </c>
      <c r="AS881">
        <f>AND(IF(Metadata!R881="",FALSE,TRUE),exact(Metadata!R881,"Not applicable"))</f>
        <v>0</v>
      </c>
    </row>
    <row r="882" spans="1:45">
      <c r="A882" s="4">
        <f>IF(B882=" "," ",HYPERLINK(CONCATENATE("#metadata!",ADDRESS(INDEX($X$2:$X$1001,MATCH(ROWS($V$2:V882),$V$2:$V$1001,0),0),2)),INDEX($AA$2:$AA$1001,MATCH(ROWS($V$2:V882),$V$2:$V$1001,0),0)))</f>
        <v>0</v>
      </c>
      <c r="B882" s="5">
        <f>IF(OR(INDEX($W$2:$W$1001,MATCH(ROWS($V$2:V882),$V$2:$V$1001,0),1)&gt;=100000,INDEX($AC$1005:$AS$1005,1,MATCH(COLUMNS($AC$1006:AC1006),$AC$1006:$AS$1006,0))&gt;=100000), " ",IF(INDEX($AC$2:$AS$1001,MATCH(ROWS($V$2:V882),$V$2:$V$1001,0),MATCH(COLUMNS($AC$1006:AC1006),$AC$1006:$AS$1006,0)), HYPERLINK("#",""), HYPERLINK(CONCATENATE("#Metadata!", ADDRESS(INDEX($X$2:$X$1001,MATCH(ROWS($V$2:V882),$V$2:$V$1001,0),0), INDEX($AC$1004:$AS$1004,1,MATCH(COLUMNS($AC$1006:AC1006),$AC$1006:$AS$1006,0)))),"Fix")))</f>
        <v>0</v>
      </c>
      <c r="C882" s="5">
        <f>IF(OR(INDEX($W$2:$W$1001,MATCH(ROWS($V$2:V882),$V$2:$V$1001,0),1)&gt;=100000,INDEX($AC$1005:$AS$1005,1,MATCH(COLUMNS($AC$1006:AD1006),$AC$1006:$AS$1006,0))&gt;=100000), " ",IF(INDEX($AC$2:$AS$1001,MATCH(ROWS($V$2:V882),$V$2:$V$1001,0),MATCH(COLUMNS($AC$1006:AD1006),$AC$1006:$AS$1006,0)), HYPERLINK("#",""), HYPERLINK(CONCATENATE("#Metadata!", ADDRESS(INDEX($X$2:$X$1001,MATCH(ROWS($V$2:V882),$V$2:$V$1001,0),0), INDEX($AC$1004:$AS$1004,1,MATCH(COLUMNS($AC$1006:AD1006),$AC$1006:$AS$1006,0)))),"Fix")))</f>
        <v>0</v>
      </c>
      <c r="D882" s="5">
        <f>IF(OR(INDEX($W$2:$W$1001,MATCH(ROWS($V$2:V882),$V$2:$V$1001,0),1)&gt;=100000,INDEX($AC$1005:$AS$1005,1,MATCH(COLUMNS($AC$1006:AE1006),$AC$1006:$AS$1006,0))&gt;=100000), " ",IF(INDEX($AC$2:$AS$1001,MATCH(ROWS($V$2:V882),$V$2:$V$1001,0),MATCH(COLUMNS($AC$1006:AE1006),$AC$1006:$AS$1006,0)), HYPERLINK("#",""), HYPERLINK(CONCATENATE("#Metadata!", ADDRESS(INDEX($X$2:$X$1001,MATCH(ROWS($V$2:V882),$V$2:$V$1001,0),0), INDEX($AC$1004:$AS$1004,1,MATCH(COLUMNS($AC$1006:AE1006),$AC$1006:$AS$1006,0)))),"Fix")))</f>
        <v>0</v>
      </c>
      <c r="E882" s="5">
        <f>IF(OR(INDEX($W$2:$W$1001,MATCH(ROWS($V$2:V882),$V$2:$V$1001,0),1)&gt;=100000,INDEX($AC$1005:$AS$1005,1,MATCH(COLUMNS($AC$1006:AF1006),$AC$1006:$AS$1006,0))&gt;=100000), " ",IF(INDEX($AC$2:$AS$1001,MATCH(ROWS($V$2:V882),$V$2:$V$1001,0),MATCH(COLUMNS($AC$1006:AF1006),$AC$1006:$AS$1006,0)), HYPERLINK("#",""), HYPERLINK(CONCATENATE("#Metadata!", ADDRESS(INDEX($X$2:$X$1001,MATCH(ROWS($V$2:V882),$V$2:$V$1001,0),0), INDEX($AC$1004:$AS$1004,1,MATCH(COLUMNS($AC$1006:AF1006),$AC$1006:$AS$1006,0)))),"Fix")))</f>
        <v>0</v>
      </c>
      <c r="F882" s="5">
        <f>IF(OR(INDEX($W$2:$W$1001,MATCH(ROWS($V$2:V882),$V$2:$V$1001,0),1)&gt;=100000,INDEX($AC$1005:$AS$1005,1,MATCH(COLUMNS($AC$1006:AG1006),$AC$1006:$AS$1006,0))&gt;=100000), " ",IF(INDEX($AC$2:$AS$1001,MATCH(ROWS($V$2:V882),$V$2:$V$1001,0),MATCH(COLUMNS($AC$1006:AG1006),$AC$1006:$AS$1006,0)), HYPERLINK("#",""), HYPERLINK(CONCATENATE("#Metadata!", ADDRESS(INDEX($X$2:$X$1001,MATCH(ROWS($V$2:V882),$V$2:$V$1001,0),0), INDEX($AC$1004:$AS$1004,1,MATCH(COLUMNS($AC$1006:AG1006),$AC$1006:$AS$1006,0)))),"Fix")))</f>
        <v>0</v>
      </c>
      <c r="G882" s="5">
        <f>IF(OR(INDEX($W$2:$W$1001,MATCH(ROWS($V$2:V882),$V$2:$V$1001,0),1)&gt;=100000,INDEX($AC$1005:$AS$1005,1,MATCH(COLUMNS($AC$1006:AH1006),$AC$1006:$AS$1006,0))&gt;=100000), " ",IF(INDEX($AC$2:$AS$1001,MATCH(ROWS($V$2:V882),$V$2:$V$1001,0),MATCH(COLUMNS($AC$1006:AH1006),$AC$1006:$AS$1006,0)), HYPERLINK("#",""), HYPERLINK(CONCATENATE("#Metadata!", ADDRESS(INDEX($X$2:$X$1001,MATCH(ROWS($V$2:V882),$V$2:$V$1001,0),0), INDEX($AC$1004:$AS$1004,1,MATCH(COLUMNS($AC$1006:AH1006),$AC$1006:$AS$1006,0)))),"Fix")))</f>
        <v>0</v>
      </c>
      <c r="H882" s="5">
        <f>IF(OR(INDEX($W$2:$W$1001,MATCH(ROWS($V$2:V882),$V$2:$V$1001,0),1)&gt;=100000,INDEX($AC$1005:$AS$1005,1,MATCH(COLUMNS($AC$1006:AI1006),$AC$1006:$AS$1006,0))&gt;=100000), " ",IF(INDEX($AC$2:$AS$1001,MATCH(ROWS($V$2:V882),$V$2:$V$1001,0),MATCH(COLUMNS($AC$1006:AI1006),$AC$1006:$AS$1006,0)), HYPERLINK("#",""), HYPERLINK(CONCATENATE("#Metadata!", ADDRESS(INDEX($X$2:$X$1001,MATCH(ROWS($V$2:V882),$V$2:$V$1001,0),0), INDEX($AC$1004:$AS$1004,1,MATCH(COLUMNS($AC$1006:AI1006),$AC$1006:$AS$1006,0)))),"Fix")))</f>
        <v>0</v>
      </c>
      <c r="I882" s="5">
        <f>IF(OR(INDEX($W$2:$W$1001,MATCH(ROWS($V$2:V882),$V$2:$V$1001,0),1)&gt;=100000,INDEX($AC$1005:$AS$1005,1,MATCH(COLUMNS($AC$1006:AJ1006),$AC$1006:$AS$1006,0))&gt;=100000), " ",IF(INDEX($AC$2:$AS$1001,MATCH(ROWS($V$2:V882),$V$2:$V$1001,0),MATCH(COLUMNS($AC$1006:AJ1006),$AC$1006:$AS$1006,0)), HYPERLINK("#",""), HYPERLINK(CONCATENATE("#Metadata!", ADDRESS(INDEX($X$2:$X$1001,MATCH(ROWS($V$2:V882),$V$2:$V$1001,0),0), INDEX($AC$1004:$AS$1004,1,MATCH(COLUMNS($AC$1006:AJ1006),$AC$1006:$AS$1006,0)))),"Fix")))</f>
        <v>0</v>
      </c>
      <c r="J882" s="5">
        <f>IF(OR(INDEX($W$2:$W$1001,MATCH(ROWS($V$2:V882),$V$2:$V$1001,0),1)&gt;=100000,INDEX($AC$1005:$AS$1005,1,MATCH(COLUMNS($AC$1006:AK1006),$AC$1006:$AS$1006,0))&gt;=100000), " ",IF(INDEX($AC$2:$AS$1001,MATCH(ROWS($V$2:V882),$V$2:$V$1001,0),MATCH(COLUMNS($AC$1006:AK1006),$AC$1006:$AS$1006,0)), HYPERLINK("#",""), HYPERLINK(CONCATENATE("#Metadata!", ADDRESS(INDEX($X$2:$X$1001,MATCH(ROWS($V$2:V882),$V$2:$V$1001,0),0), INDEX($AC$1004:$AS$1004,1,MATCH(COLUMNS($AC$1006:AK1006),$AC$1006:$AS$1006,0)))),"Fix")))</f>
        <v>0</v>
      </c>
      <c r="K882" s="5">
        <f>IF(OR(INDEX($W$2:$W$1001,MATCH(ROWS($V$2:V882),$V$2:$V$1001,0),1)&gt;=100000,INDEX($AC$1005:$AS$1005,1,MATCH(COLUMNS($AC$1006:AL1006),$AC$1006:$AS$1006,0))&gt;=100000), " ",IF(INDEX($AC$2:$AS$1001,MATCH(ROWS($V$2:V882),$V$2:$V$1001,0),MATCH(COLUMNS($AC$1006:AL1006),$AC$1006:$AS$1006,0)), HYPERLINK("#",""), HYPERLINK(CONCATENATE("#Metadata!", ADDRESS(INDEX($X$2:$X$1001,MATCH(ROWS($V$2:V882),$V$2:$V$1001,0),0), INDEX($AC$1004:$AS$1004,1,MATCH(COLUMNS($AC$1006:AL1006),$AC$1006:$AS$1006,0)))),"Fix")))</f>
        <v>0</v>
      </c>
      <c r="L882" s="5">
        <f>IF(OR(INDEX($W$2:$W$1001,MATCH(ROWS($V$2:V882),$V$2:$V$1001,0),1)&gt;=100000,INDEX($AC$1005:$AS$1005,1,MATCH(COLUMNS($AC$1006:AM1006),$AC$1006:$AS$1006,0))&gt;=100000), " ",IF(INDEX($AC$2:$AS$1001,MATCH(ROWS($V$2:V882),$V$2:$V$1001,0),MATCH(COLUMNS($AC$1006:AM1006),$AC$1006:$AS$1006,0)), HYPERLINK("#",""), HYPERLINK(CONCATENATE("#Metadata!", ADDRESS(INDEX($X$2:$X$1001,MATCH(ROWS($V$2:V882),$V$2:$V$1001,0),0), INDEX($AC$1004:$AS$1004,1,MATCH(COLUMNS($AC$1006:AM1006),$AC$1006:$AS$1006,0)))),"Fix")))</f>
        <v>0</v>
      </c>
      <c r="M882" s="5">
        <f>IF(OR(INDEX($W$2:$W$1001,MATCH(ROWS($V$2:V882),$V$2:$V$1001,0),1)&gt;=100000,INDEX($AC$1005:$AS$1005,1,MATCH(COLUMNS($AC$1006:AN1006),$AC$1006:$AS$1006,0))&gt;=100000), " ",IF(INDEX($AC$2:$AS$1001,MATCH(ROWS($V$2:V882),$V$2:$V$1001,0),MATCH(COLUMNS($AC$1006:AN1006),$AC$1006:$AS$1006,0)), HYPERLINK("#",""), HYPERLINK(CONCATENATE("#Metadata!", ADDRESS(INDEX($X$2:$X$1001,MATCH(ROWS($V$2:V882),$V$2:$V$1001,0),0), INDEX($AC$1004:$AS$1004,1,MATCH(COLUMNS($AC$1006:AN1006),$AC$1006:$AS$1006,0)))),"Fix")))</f>
        <v>0</v>
      </c>
      <c r="N882" s="5">
        <f>IF(OR(INDEX($W$2:$W$1001,MATCH(ROWS($V$2:V882),$V$2:$V$1001,0),1)&gt;=100000,INDEX($AC$1005:$AS$1005,1,MATCH(COLUMNS($AC$1006:AO1006),$AC$1006:$AS$1006,0))&gt;=100000), " ",IF(INDEX($AC$2:$AS$1001,MATCH(ROWS($V$2:V882),$V$2:$V$1001,0),MATCH(COLUMNS($AC$1006:AO1006),$AC$1006:$AS$1006,0)), HYPERLINK("#",""), HYPERLINK(CONCATENATE("#Metadata!", ADDRESS(INDEX($X$2:$X$1001,MATCH(ROWS($V$2:V882),$V$2:$V$1001,0),0), INDEX($AC$1004:$AS$1004,1,MATCH(COLUMNS($AC$1006:AO1006),$AC$1006:$AS$1006,0)))),"Fix")))</f>
        <v>0</v>
      </c>
      <c r="O882" s="5">
        <f>IF(OR(INDEX($W$2:$W$1001,MATCH(ROWS($V$2:V882),$V$2:$V$1001,0),1)&gt;=100000,INDEX($AC$1005:$AS$1005,1,MATCH(COLUMNS($AC$1006:AP1006),$AC$1006:$AS$1006,0))&gt;=100000), " ",IF(INDEX($AC$2:$AS$1001,MATCH(ROWS($V$2:V882),$V$2:$V$1001,0),MATCH(COLUMNS($AC$1006:AP1006),$AC$1006:$AS$1006,0)), HYPERLINK("#",""), HYPERLINK(CONCATENATE("#Metadata!", ADDRESS(INDEX($X$2:$X$1001,MATCH(ROWS($V$2:V882),$V$2:$V$1001,0),0), INDEX($AC$1004:$AS$1004,1,MATCH(COLUMNS($AC$1006:AP1006),$AC$1006:$AS$1006,0)))),"Fix")))</f>
        <v>0</v>
      </c>
      <c r="P882" s="5">
        <f>IF(OR(INDEX($W$2:$W$1001,MATCH(ROWS($V$2:V882),$V$2:$V$1001,0),1)&gt;=100000,INDEX($AC$1005:$AS$1005,1,MATCH(COLUMNS($AC$1006:AQ1006),$AC$1006:$AS$1006,0))&gt;=100000), " ",IF(INDEX($AC$2:$AS$1001,MATCH(ROWS($V$2:V882),$V$2:$V$1001,0),MATCH(COLUMNS($AC$1006:AQ1006),$AC$1006:$AS$1006,0)), HYPERLINK("#",""), HYPERLINK(CONCATENATE("#Metadata!", ADDRESS(INDEX($X$2:$X$1001,MATCH(ROWS($V$2:V882),$V$2:$V$1001,0),0), INDEX($AC$1004:$AS$1004,1,MATCH(COLUMNS($AC$1006:AQ1006),$AC$1006:$AS$1006,0)))),"Fix")))</f>
        <v>0</v>
      </c>
      <c r="Q882" s="5">
        <f>IF(OR(INDEX($W$2:$W$1001,MATCH(ROWS($V$2:V882),$V$2:$V$1001,0),1)&gt;=100000,INDEX($AC$1005:$AS$1005,1,MATCH(COLUMNS($AC$1006:AR1006),$AC$1006:$AS$1006,0))&gt;=100000), " ",IF(INDEX($AC$2:$AS$1001,MATCH(ROWS($V$2:V882),$V$2:$V$1001,0),MATCH(COLUMNS($AC$1006:AR1006),$AC$1006:$AS$1006,0)), HYPERLINK("#",""), HYPERLINK(CONCATENATE("#Metadata!", ADDRESS(INDEX($X$2:$X$1001,MATCH(ROWS($V$2:V882),$V$2:$V$1001,0),0), INDEX($AC$1004:$AS$1004,1,MATCH(COLUMNS($AC$1006:AR1006),$AC$1006:$AS$1006,0)))),"Fix")))</f>
        <v>0</v>
      </c>
      <c r="R882" s="5">
        <f>IF(OR(INDEX($W$2:$W$1001,MATCH(ROWS($V$2:V882),$V$2:$V$1001,0),1)&gt;=100000,INDEX($AC$1005:$AS$1005,1,MATCH(COLUMNS($AC$1006:AS1006),$AC$1006:$AS$1006,0))&gt;=100000), " ",IF(INDEX($AC$2:$AS$1001,MATCH(ROWS($V$2:V882),$V$2:$V$1001,0),MATCH(COLUMNS($AC$1006:AS1006),$AC$1006:$AS$1006,0)), HYPERLINK("#",""), HYPERLINK(CONCATENATE("#Metadata!", ADDRESS(INDEX($X$2:$X$1001,MATCH(ROWS($V$2:V882),$V$2:$V$1001,0),0), INDEX($AC$1004:$AS$1004,1,MATCH(COLUMNS($AC$1006:AS1006),$AC$1006:$AS$1006,0)))),"Fix")))</f>
        <v>0</v>
      </c>
      <c r="V882">
        <v>0</v>
      </c>
      <c r="W882">
        <v>0</v>
      </c>
      <c r="X882">
        <v>0</v>
      </c>
      <c r="Y882">
        <f>IF(Z882,TRUE,AND(AC882:AS882))</f>
        <v>0</v>
      </c>
      <c r="Z882">
        <f>COUNTBLANK(Metadata!B882:R882)=COLUMNS(Metadata!B882:R882)</f>
        <v>0</v>
      </c>
      <c r="AA882">
        <v>0</v>
      </c>
      <c r="AC882">
        <f>AND(IF(Metadata!B882="",FALSE,TRUE),COUNTIF(Metadata!B:B, Metadata!B882) = 1,NOT(ISERROR(SUMPRODUCT(SEARCH(MID(Metadata!B882,ROW(INDIRECT("1:"&amp;LEN(Metadata!B882))), 1),"0123456789abcdefghijklmnopqrstuvwxyzABCDEFGHIJKLMNOPQRSTUVWXYZ.")))))</f>
        <v>0</v>
      </c>
      <c r="AD882">
        <f>AND(IF(Metadata!C882="",FALSE,TRUE),exact(Metadata!C882,"Host-associated"))</f>
        <v>0</v>
      </c>
      <c r="AE882">
        <f>AND(IF(Metadata!D882="",FALSE,TRUE),OR(exact(Metadata!D882,"Animal"),exact(Metadata!D882,"Fungus"),exact(Metadata!D882,"Plant")))</f>
        <v>0</v>
      </c>
      <c r="AF882">
        <f>AND(IF(Metadata!E882="",FALSE,TRUE),OR(exact(Metadata!E882,"Plant secretion"),exact(Metadata!E882,"Plant rhizosphere"),exact(Metadata!E882,"Plant surface"),exact(Metadata!E882,"Plant corpus"),exact(Metadata!E882,"Fungus surface"),exact(Metadata!E882,"Fungus corpus"),exact(Metadata!E882,"Animal surface"),exact(Metadata!E882,"Animal proximal gut"),exact(Metadata!E882,"Animal corpus"),exact(Metadata!E882,"Animal distal gut"),exact(Metadata!E882,"Animal secretion")))</f>
        <v>0</v>
      </c>
      <c r="AG882">
        <f>OR(AND(IF(Metadata!F882="",FALSE,TRUE),OR(exact(Metadata!F882,"not collected"),exact(Metadata!F882,"not provided"),exact(Metadata!F882,"restricted access"))),AND(IF(Metadata!F882="",FALSE,TRUE),OR(exact(Metadata!F882,"organism-associated habitat"),exact(Metadata!F882,"plant-associated habitat"),exact(Metadata!F882,"animal-associated habitat"),exact(Metadata!F882,"insecta-associated habitat"),exact(Metadata!F882,"mammalia-associated habitat"),exact(Metadata!F882,"human-associated habitat"),exact(Metadata!F882,"livestock-associated habitat"))))</f>
        <v>0</v>
      </c>
      <c r="AH882">
        <f>AND(IF(Metadata!G882="",FALSE,TRUE),exact(Metadata!G882,"host-associated"))</f>
        <v>0</v>
      </c>
      <c r="AI882">
        <f>OR(AND(IF(Metadata!H882="",FALSE,TRUE),OR(exact(Metadata!H882,"not collected"),exact(Metadata!H882,"not provided"))),AND(IF(Metadata!H882="",FALSE,ISNUMBER(VALUE(Metadata!H882))),Metadata!H882&gt;0))</f>
        <v>0</v>
      </c>
      <c r="AJ882">
        <f>AND(IF(Metadata!I882="",FALSE,TRUE),exact(Metadata!I882,"years"))</f>
        <v>0</v>
      </c>
      <c r="AK882">
        <f>IF(Metadata!J882="",FALSE,TRUE)</f>
        <v>0</v>
      </c>
      <c r="AL882">
        <f>OR(AND(IF(Metadata!K882="",FALSE,TRUE),OR(exact(Metadata!K882,"not collected"),exact(Metadata!K882,"not provided"))),AND(IF(Metadata!K882="",FALSE,ISNUMBER(VALUE(Metadata!K882))),Metadata!K882&gt;0))</f>
        <v>0</v>
      </c>
      <c r="AM882">
        <f>AND(IF(Metadata!L882="",FALSE,TRUE),exact(Metadata!L882,"cm"))</f>
        <v>0</v>
      </c>
      <c r="AN882">
        <f>IF(Metadata!M882="",FALSE,TRUE)</f>
        <v>0</v>
      </c>
      <c r="AO882">
        <f>OR(AND(IF(Metadata!N882="",FALSE,TRUE),OR(exact(Metadata!N882,"not applicable"),exact(Metadata!N882,"not collected"),exact(Metadata!N882,"not provided"))),AND(IF(Metadata!N882="",FALSE,IF(ISERROR(INT(Metadata!N882)),FALSE,INT(Metadata!N882)=Metadata!N882)),Metadata!N882&gt;0))</f>
        <v>0</v>
      </c>
      <c r="AP882">
        <f>OR(AND(IF(Metadata!O882="",FALSE,TRUE),OR(exact(Metadata!O882,"not collected"),exact(Metadata!O882,"not provided"))),AND(IF(Metadata!O882="",FALSE,ISNUMBER(VALUE(Metadata!O882))),Metadata!O882&gt;0))</f>
        <v>0</v>
      </c>
      <c r="AQ882">
        <f>AND(IF(Metadata!P882="",FALSE,TRUE),exact(Metadata!P882,"kg"))</f>
        <v>0</v>
      </c>
      <c r="AR882">
        <f>OR(AND(IF(Metadata!Q882="",FALSE,TRUE),OR(exact(Metadata!Q882,"not applicable"),exact(Metadata!Q882,"not collected"),exact(Metadata!Q882,"not provided"),exact(Metadata!Q882,"restricted access"))),IF(Metadata!Q882="",FALSE,IF(ISERROR(INT(Metadata!Q882)),FALSE,INT(Metadata!Q882)=Metadata!Q882)))</f>
        <v>0</v>
      </c>
      <c r="AS882">
        <f>AND(IF(Metadata!R882="",FALSE,TRUE),exact(Metadata!R882,"Not applicable"))</f>
        <v>0</v>
      </c>
    </row>
    <row r="883" spans="1:45">
      <c r="A883" s="4">
        <f>IF(B883=" "," ",HYPERLINK(CONCATENATE("#metadata!",ADDRESS(INDEX($X$2:$X$1001,MATCH(ROWS($V$2:V883),$V$2:$V$1001,0),0),2)),INDEX($AA$2:$AA$1001,MATCH(ROWS($V$2:V883),$V$2:$V$1001,0),0)))</f>
        <v>0</v>
      </c>
      <c r="B883" s="5">
        <f>IF(OR(INDEX($W$2:$W$1001,MATCH(ROWS($V$2:V883),$V$2:$V$1001,0),1)&gt;=100000,INDEX($AC$1005:$AS$1005,1,MATCH(COLUMNS($AC$1006:AC1006),$AC$1006:$AS$1006,0))&gt;=100000), " ",IF(INDEX($AC$2:$AS$1001,MATCH(ROWS($V$2:V883),$V$2:$V$1001,0),MATCH(COLUMNS($AC$1006:AC1006),$AC$1006:$AS$1006,0)), HYPERLINK("#",""), HYPERLINK(CONCATENATE("#Metadata!", ADDRESS(INDEX($X$2:$X$1001,MATCH(ROWS($V$2:V883),$V$2:$V$1001,0),0), INDEX($AC$1004:$AS$1004,1,MATCH(COLUMNS($AC$1006:AC1006),$AC$1006:$AS$1006,0)))),"Fix")))</f>
        <v>0</v>
      </c>
      <c r="C883" s="5">
        <f>IF(OR(INDEX($W$2:$W$1001,MATCH(ROWS($V$2:V883),$V$2:$V$1001,0),1)&gt;=100000,INDEX($AC$1005:$AS$1005,1,MATCH(COLUMNS($AC$1006:AD1006),$AC$1006:$AS$1006,0))&gt;=100000), " ",IF(INDEX($AC$2:$AS$1001,MATCH(ROWS($V$2:V883),$V$2:$V$1001,0),MATCH(COLUMNS($AC$1006:AD1006),$AC$1006:$AS$1006,0)), HYPERLINK("#",""), HYPERLINK(CONCATENATE("#Metadata!", ADDRESS(INDEX($X$2:$X$1001,MATCH(ROWS($V$2:V883),$V$2:$V$1001,0),0), INDEX($AC$1004:$AS$1004,1,MATCH(COLUMNS($AC$1006:AD1006),$AC$1006:$AS$1006,0)))),"Fix")))</f>
        <v>0</v>
      </c>
      <c r="D883" s="5">
        <f>IF(OR(INDEX($W$2:$W$1001,MATCH(ROWS($V$2:V883),$V$2:$V$1001,0),1)&gt;=100000,INDEX($AC$1005:$AS$1005,1,MATCH(COLUMNS($AC$1006:AE1006),$AC$1006:$AS$1006,0))&gt;=100000), " ",IF(INDEX($AC$2:$AS$1001,MATCH(ROWS($V$2:V883),$V$2:$V$1001,0),MATCH(COLUMNS($AC$1006:AE1006),$AC$1006:$AS$1006,0)), HYPERLINK("#",""), HYPERLINK(CONCATENATE("#Metadata!", ADDRESS(INDEX($X$2:$X$1001,MATCH(ROWS($V$2:V883),$V$2:$V$1001,0),0), INDEX($AC$1004:$AS$1004,1,MATCH(COLUMNS($AC$1006:AE1006),$AC$1006:$AS$1006,0)))),"Fix")))</f>
        <v>0</v>
      </c>
      <c r="E883" s="5">
        <f>IF(OR(INDEX($W$2:$W$1001,MATCH(ROWS($V$2:V883),$V$2:$V$1001,0),1)&gt;=100000,INDEX($AC$1005:$AS$1005,1,MATCH(COLUMNS($AC$1006:AF1006),$AC$1006:$AS$1006,0))&gt;=100000), " ",IF(INDEX($AC$2:$AS$1001,MATCH(ROWS($V$2:V883),$V$2:$V$1001,0),MATCH(COLUMNS($AC$1006:AF1006),$AC$1006:$AS$1006,0)), HYPERLINK("#",""), HYPERLINK(CONCATENATE("#Metadata!", ADDRESS(INDEX($X$2:$X$1001,MATCH(ROWS($V$2:V883),$V$2:$V$1001,0),0), INDEX($AC$1004:$AS$1004,1,MATCH(COLUMNS($AC$1006:AF1006),$AC$1006:$AS$1006,0)))),"Fix")))</f>
        <v>0</v>
      </c>
      <c r="F883" s="5">
        <f>IF(OR(INDEX($W$2:$W$1001,MATCH(ROWS($V$2:V883),$V$2:$V$1001,0),1)&gt;=100000,INDEX($AC$1005:$AS$1005,1,MATCH(COLUMNS($AC$1006:AG1006),$AC$1006:$AS$1006,0))&gt;=100000), " ",IF(INDEX($AC$2:$AS$1001,MATCH(ROWS($V$2:V883),$V$2:$V$1001,0),MATCH(COLUMNS($AC$1006:AG1006),$AC$1006:$AS$1006,0)), HYPERLINK("#",""), HYPERLINK(CONCATENATE("#Metadata!", ADDRESS(INDEX($X$2:$X$1001,MATCH(ROWS($V$2:V883),$V$2:$V$1001,0),0), INDEX($AC$1004:$AS$1004,1,MATCH(COLUMNS($AC$1006:AG1006),$AC$1006:$AS$1006,0)))),"Fix")))</f>
        <v>0</v>
      </c>
      <c r="G883" s="5">
        <f>IF(OR(INDEX($W$2:$W$1001,MATCH(ROWS($V$2:V883),$V$2:$V$1001,0),1)&gt;=100000,INDEX($AC$1005:$AS$1005,1,MATCH(COLUMNS($AC$1006:AH1006),$AC$1006:$AS$1006,0))&gt;=100000), " ",IF(INDEX($AC$2:$AS$1001,MATCH(ROWS($V$2:V883),$V$2:$V$1001,0),MATCH(COLUMNS($AC$1006:AH1006),$AC$1006:$AS$1006,0)), HYPERLINK("#",""), HYPERLINK(CONCATENATE("#Metadata!", ADDRESS(INDEX($X$2:$X$1001,MATCH(ROWS($V$2:V883),$V$2:$V$1001,0),0), INDEX($AC$1004:$AS$1004,1,MATCH(COLUMNS($AC$1006:AH1006),$AC$1006:$AS$1006,0)))),"Fix")))</f>
        <v>0</v>
      </c>
      <c r="H883" s="5">
        <f>IF(OR(INDEX($W$2:$W$1001,MATCH(ROWS($V$2:V883),$V$2:$V$1001,0),1)&gt;=100000,INDEX($AC$1005:$AS$1005,1,MATCH(COLUMNS($AC$1006:AI1006),$AC$1006:$AS$1006,0))&gt;=100000), " ",IF(INDEX($AC$2:$AS$1001,MATCH(ROWS($V$2:V883),$V$2:$V$1001,0),MATCH(COLUMNS($AC$1006:AI1006),$AC$1006:$AS$1006,0)), HYPERLINK("#",""), HYPERLINK(CONCATENATE("#Metadata!", ADDRESS(INDEX($X$2:$X$1001,MATCH(ROWS($V$2:V883),$V$2:$V$1001,0),0), INDEX($AC$1004:$AS$1004,1,MATCH(COLUMNS($AC$1006:AI1006),$AC$1006:$AS$1006,0)))),"Fix")))</f>
        <v>0</v>
      </c>
      <c r="I883" s="5">
        <f>IF(OR(INDEX($W$2:$W$1001,MATCH(ROWS($V$2:V883),$V$2:$V$1001,0),1)&gt;=100000,INDEX($AC$1005:$AS$1005,1,MATCH(COLUMNS($AC$1006:AJ1006),$AC$1006:$AS$1006,0))&gt;=100000), " ",IF(INDEX($AC$2:$AS$1001,MATCH(ROWS($V$2:V883),$V$2:$V$1001,0),MATCH(COLUMNS($AC$1006:AJ1006),$AC$1006:$AS$1006,0)), HYPERLINK("#",""), HYPERLINK(CONCATENATE("#Metadata!", ADDRESS(INDEX($X$2:$X$1001,MATCH(ROWS($V$2:V883),$V$2:$V$1001,0),0), INDEX($AC$1004:$AS$1004,1,MATCH(COLUMNS($AC$1006:AJ1006),$AC$1006:$AS$1006,0)))),"Fix")))</f>
        <v>0</v>
      </c>
      <c r="J883" s="5">
        <f>IF(OR(INDEX($W$2:$W$1001,MATCH(ROWS($V$2:V883),$V$2:$V$1001,0),1)&gt;=100000,INDEX($AC$1005:$AS$1005,1,MATCH(COLUMNS($AC$1006:AK1006),$AC$1006:$AS$1006,0))&gt;=100000), " ",IF(INDEX($AC$2:$AS$1001,MATCH(ROWS($V$2:V883),$V$2:$V$1001,0),MATCH(COLUMNS($AC$1006:AK1006),$AC$1006:$AS$1006,0)), HYPERLINK("#",""), HYPERLINK(CONCATENATE("#Metadata!", ADDRESS(INDEX($X$2:$X$1001,MATCH(ROWS($V$2:V883),$V$2:$V$1001,0),0), INDEX($AC$1004:$AS$1004,1,MATCH(COLUMNS($AC$1006:AK1006),$AC$1006:$AS$1006,0)))),"Fix")))</f>
        <v>0</v>
      </c>
      <c r="K883" s="5">
        <f>IF(OR(INDEX($W$2:$W$1001,MATCH(ROWS($V$2:V883),$V$2:$V$1001,0),1)&gt;=100000,INDEX($AC$1005:$AS$1005,1,MATCH(COLUMNS($AC$1006:AL1006),$AC$1006:$AS$1006,0))&gt;=100000), " ",IF(INDEX($AC$2:$AS$1001,MATCH(ROWS($V$2:V883),$V$2:$V$1001,0),MATCH(COLUMNS($AC$1006:AL1006),$AC$1006:$AS$1006,0)), HYPERLINK("#",""), HYPERLINK(CONCATENATE("#Metadata!", ADDRESS(INDEX($X$2:$X$1001,MATCH(ROWS($V$2:V883),$V$2:$V$1001,0),0), INDEX($AC$1004:$AS$1004,1,MATCH(COLUMNS($AC$1006:AL1006),$AC$1006:$AS$1006,0)))),"Fix")))</f>
        <v>0</v>
      </c>
      <c r="L883" s="5">
        <f>IF(OR(INDEX($W$2:$W$1001,MATCH(ROWS($V$2:V883),$V$2:$V$1001,0),1)&gt;=100000,INDEX($AC$1005:$AS$1005,1,MATCH(COLUMNS($AC$1006:AM1006),$AC$1006:$AS$1006,0))&gt;=100000), " ",IF(INDEX($AC$2:$AS$1001,MATCH(ROWS($V$2:V883),$V$2:$V$1001,0),MATCH(COLUMNS($AC$1006:AM1006),$AC$1006:$AS$1006,0)), HYPERLINK("#",""), HYPERLINK(CONCATENATE("#Metadata!", ADDRESS(INDEX($X$2:$X$1001,MATCH(ROWS($V$2:V883),$V$2:$V$1001,0),0), INDEX($AC$1004:$AS$1004,1,MATCH(COLUMNS($AC$1006:AM1006),$AC$1006:$AS$1006,0)))),"Fix")))</f>
        <v>0</v>
      </c>
      <c r="M883" s="5">
        <f>IF(OR(INDEX($W$2:$W$1001,MATCH(ROWS($V$2:V883),$V$2:$V$1001,0),1)&gt;=100000,INDEX($AC$1005:$AS$1005,1,MATCH(COLUMNS($AC$1006:AN1006),$AC$1006:$AS$1006,0))&gt;=100000), " ",IF(INDEX($AC$2:$AS$1001,MATCH(ROWS($V$2:V883),$V$2:$V$1001,0),MATCH(COLUMNS($AC$1006:AN1006),$AC$1006:$AS$1006,0)), HYPERLINK("#",""), HYPERLINK(CONCATENATE("#Metadata!", ADDRESS(INDEX($X$2:$X$1001,MATCH(ROWS($V$2:V883),$V$2:$V$1001,0),0), INDEX($AC$1004:$AS$1004,1,MATCH(COLUMNS($AC$1006:AN1006),$AC$1006:$AS$1006,0)))),"Fix")))</f>
        <v>0</v>
      </c>
      <c r="N883" s="5">
        <f>IF(OR(INDEX($W$2:$W$1001,MATCH(ROWS($V$2:V883),$V$2:$V$1001,0),1)&gt;=100000,INDEX($AC$1005:$AS$1005,1,MATCH(COLUMNS($AC$1006:AO1006),$AC$1006:$AS$1006,0))&gt;=100000), " ",IF(INDEX($AC$2:$AS$1001,MATCH(ROWS($V$2:V883),$V$2:$V$1001,0),MATCH(COLUMNS($AC$1006:AO1006),$AC$1006:$AS$1006,0)), HYPERLINK("#",""), HYPERLINK(CONCATENATE("#Metadata!", ADDRESS(INDEX($X$2:$X$1001,MATCH(ROWS($V$2:V883),$V$2:$V$1001,0),0), INDEX($AC$1004:$AS$1004,1,MATCH(COLUMNS($AC$1006:AO1006),$AC$1006:$AS$1006,0)))),"Fix")))</f>
        <v>0</v>
      </c>
      <c r="O883" s="5">
        <f>IF(OR(INDEX($W$2:$W$1001,MATCH(ROWS($V$2:V883),$V$2:$V$1001,0),1)&gt;=100000,INDEX($AC$1005:$AS$1005,1,MATCH(COLUMNS($AC$1006:AP1006),$AC$1006:$AS$1006,0))&gt;=100000), " ",IF(INDEX($AC$2:$AS$1001,MATCH(ROWS($V$2:V883),$V$2:$V$1001,0),MATCH(COLUMNS($AC$1006:AP1006),$AC$1006:$AS$1006,0)), HYPERLINK("#",""), HYPERLINK(CONCATENATE("#Metadata!", ADDRESS(INDEX($X$2:$X$1001,MATCH(ROWS($V$2:V883),$V$2:$V$1001,0),0), INDEX($AC$1004:$AS$1004,1,MATCH(COLUMNS($AC$1006:AP1006),$AC$1006:$AS$1006,0)))),"Fix")))</f>
        <v>0</v>
      </c>
      <c r="P883" s="5">
        <f>IF(OR(INDEX($W$2:$W$1001,MATCH(ROWS($V$2:V883),$V$2:$V$1001,0),1)&gt;=100000,INDEX($AC$1005:$AS$1005,1,MATCH(COLUMNS($AC$1006:AQ1006),$AC$1006:$AS$1006,0))&gt;=100000), " ",IF(INDEX($AC$2:$AS$1001,MATCH(ROWS($V$2:V883),$V$2:$V$1001,0),MATCH(COLUMNS($AC$1006:AQ1006),$AC$1006:$AS$1006,0)), HYPERLINK("#",""), HYPERLINK(CONCATENATE("#Metadata!", ADDRESS(INDEX($X$2:$X$1001,MATCH(ROWS($V$2:V883),$V$2:$V$1001,0),0), INDEX($AC$1004:$AS$1004,1,MATCH(COLUMNS($AC$1006:AQ1006),$AC$1006:$AS$1006,0)))),"Fix")))</f>
        <v>0</v>
      </c>
      <c r="Q883" s="5">
        <f>IF(OR(INDEX($W$2:$W$1001,MATCH(ROWS($V$2:V883),$V$2:$V$1001,0),1)&gt;=100000,INDEX($AC$1005:$AS$1005,1,MATCH(COLUMNS($AC$1006:AR1006),$AC$1006:$AS$1006,0))&gt;=100000), " ",IF(INDEX($AC$2:$AS$1001,MATCH(ROWS($V$2:V883),$V$2:$V$1001,0),MATCH(COLUMNS($AC$1006:AR1006),$AC$1006:$AS$1006,0)), HYPERLINK("#",""), HYPERLINK(CONCATENATE("#Metadata!", ADDRESS(INDEX($X$2:$X$1001,MATCH(ROWS($V$2:V883),$V$2:$V$1001,0),0), INDEX($AC$1004:$AS$1004,1,MATCH(COLUMNS($AC$1006:AR1006),$AC$1006:$AS$1006,0)))),"Fix")))</f>
        <v>0</v>
      </c>
      <c r="R883" s="5">
        <f>IF(OR(INDEX($W$2:$W$1001,MATCH(ROWS($V$2:V883),$V$2:$V$1001,0),1)&gt;=100000,INDEX($AC$1005:$AS$1005,1,MATCH(COLUMNS($AC$1006:AS1006),$AC$1006:$AS$1006,0))&gt;=100000), " ",IF(INDEX($AC$2:$AS$1001,MATCH(ROWS($V$2:V883),$V$2:$V$1001,0),MATCH(COLUMNS($AC$1006:AS1006),$AC$1006:$AS$1006,0)), HYPERLINK("#",""), HYPERLINK(CONCATENATE("#Metadata!", ADDRESS(INDEX($X$2:$X$1001,MATCH(ROWS($V$2:V883),$V$2:$V$1001,0),0), INDEX($AC$1004:$AS$1004,1,MATCH(COLUMNS($AC$1006:AS1006),$AC$1006:$AS$1006,0)))),"Fix")))</f>
        <v>0</v>
      </c>
      <c r="V883">
        <v>0</v>
      </c>
      <c r="W883">
        <v>0</v>
      </c>
      <c r="X883">
        <v>0</v>
      </c>
      <c r="Y883">
        <f>IF(Z883,TRUE,AND(AC883:AS883))</f>
        <v>0</v>
      </c>
      <c r="Z883">
        <f>COUNTBLANK(Metadata!B883:R883)=COLUMNS(Metadata!B883:R883)</f>
        <v>0</v>
      </c>
      <c r="AA883">
        <v>0</v>
      </c>
      <c r="AC883">
        <f>AND(IF(Metadata!B883="",FALSE,TRUE),COUNTIF(Metadata!B:B, Metadata!B883) = 1,NOT(ISERROR(SUMPRODUCT(SEARCH(MID(Metadata!B883,ROW(INDIRECT("1:"&amp;LEN(Metadata!B883))), 1),"0123456789abcdefghijklmnopqrstuvwxyzABCDEFGHIJKLMNOPQRSTUVWXYZ.")))))</f>
        <v>0</v>
      </c>
      <c r="AD883">
        <f>AND(IF(Metadata!C883="",FALSE,TRUE),exact(Metadata!C883,"Host-associated"))</f>
        <v>0</v>
      </c>
      <c r="AE883">
        <f>AND(IF(Metadata!D883="",FALSE,TRUE),OR(exact(Metadata!D883,"Animal"),exact(Metadata!D883,"Fungus"),exact(Metadata!D883,"Plant")))</f>
        <v>0</v>
      </c>
      <c r="AF883">
        <f>AND(IF(Metadata!E883="",FALSE,TRUE),OR(exact(Metadata!E883,"Plant secretion"),exact(Metadata!E883,"Plant rhizosphere"),exact(Metadata!E883,"Plant surface"),exact(Metadata!E883,"Plant corpus"),exact(Metadata!E883,"Fungus surface"),exact(Metadata!E883,"Fungus corpus"),exact(Metadata!E883,"Animal surface"),exact(Metadata!E883,"Animal proximal gut"),exact(Metadata!E883,"Animal corpus"),exact(Metadata!E883,"Animal distal gut"),exact(Metadata!E883,"Animal secretion")))</f>
        <v>0</v>
      </c>
      <c r="AG883">
        <f>OR(AND(IF(Metadata!F883="",FALSE,TRUE),OR(exact(Metadata!F883,"not collected"),exact(Metadata!F883,"not provided"),exact(Metadata!F883,"restricted access"))),AND(IF(Metadata!F883="",FALSE,TRUE),OR(exact(Metadata!F883,"organism-associated habitat"),exact(Metadata!F883,"plant-associated habitat"),exact(Metadata!F883,"animal-associated habitat"),exact(Metadata!F883,"insecta-associated habitat"),exact(Metadata!F883,"mammalia-associated habitat"),exact(Metadata!F883,"human-associated habitat"),exact(Metadata!F883,"livestock-associated habitat"))))</f>
        <v>0</v>
      </c>
      <c r="AH883">
        <f>AND(IF(Metadata!G883="",FALSE,TRUE),exact(Metadata!G883,"host-associated"))</f>
        <v>0</v>
      </c>
      <c r="AI883">
        <f>OR(AND(IF(Metadata!H883="",FALSE,TRUE),OR(exact(Metadata!H883,"not collected"),exact(Metadata!H883,"not provided"))),AND(IF(Metadata!H883="",FALSE,ISNUMBER(VALUE(Metadata!H883))),Metadata!H883&gt;0))</f>
        <v>0</v>
      </c>
      <c r="AJ883">
        <f>AND(IF(Metadata!I883="",FALSE,TRUE),exact(Metadata!I883,"years"))</f>
        <v>0</v>
      </c>
      <c r="AK883">
        <f>IF(Metadata!J883="",FALSE,TRUE)</f>
        <v>0</v>
      </c>
      <c r="AL883">
        <f>OR(AND(IF(Metadata!K883="",FALSE,TRUE),OR(exact(Metadata!K883,"not collected"),exact(Metadata!K883,"not provided"))),AND(IF(Metadata!K883="",FALSE,ISNUMBER(VALUE(Metadata!K883))),Metadata!K883&gt;0))</f>
        <v>0</v>
      </c>
      <c r="AM883">
        <f>AND(IF(Metadata!L883="",FALSE,TRUE),exact(Metadata!L883,"cm"))</f>
        <v>0</v>
      </c>
      <c r="AN883">
        <f>IF(Metadata!M883="",FALSE,TRUE)</f>
        <v>0</v>
      </c>
      <c r="AO883">
        <f>OR(AND(IF(Metadata!N883="",FALSE,TRUE),OR(exact(Metadata!N883,"not applicable"),exact(Metadata!N883,"not collected"),exact(Metadata!N883,"not provided"))),AND(IF(Metadata!N883="",FALSE,IF(ISERROR(INT(Metadata!N883)),FALSE,INT(Metadata!N883)=Metadata!N883)),Metadata!N883&gt;0))</f>
        <v>0</v>
      </c>
      <c r="AP883">
        <f>OR(AND(IF(Metadata!O883="",FALSE,TRUE),OR(exact(Metadata!O883,"not collected"),exact(Metadata!O883,"not provided"))),AND(IF(Metadata!O883="",FALSE,ISNUMBER(VALUE(Metadata!O883))),Metadata!O883&gt;0))</f>
        <v>0</v>
      </c>
      <c r="AQ883">
        <f>AND(IF(Metadata!P883="",FALSE,TRUE),exact(Metadata!P883,"kg"))</f>
        <v>0</v>
      </c>
      <c r="AR883">
        <f>OR(AND(IF(Metadata!Q883="",FALSE,TRUE),OR(exact(Metadata!Q883,"not applicable"),exact(Metadata!Q883,"not collected"),exact(Metadata!Q883,"not provided"),exact(Metadata!Q883,"restricted access"))),IF(Metadata!Q883="",FALSE,IF(ISERROR(INT(Metadata!Q883)),FALSE,INT(Metadata!Q883)=Metadata!Q883)))</f>
        <v>0</v>
      </c>
      <c r="AS883">
        <f>AND(IF(Metadata!R883="",FALSE,TRUE),exact(Metadata!R883,"Not applicable"))</f>
        <v>0</v>
      </c>
    </row>
    <row r="884" spans="1:45">
      <c r="A884" s="4">
        <f>IF(B884=" "," ",HYPERLINK(CONCATENATE("#metadata!",ADDRESS(INDEX($X$2:$X$1001,MATCH(ROWS($V$2:V884),$V$2:$V$1001,0),0),2)),INDEX($AA$2:$AA$1001,MATCH(ROWS($V$2:V884),$V$2:$V$1001,0),0)))</f>
        <v>0</v>
      </c>
      <c r="B884" s="5">
        <f>IF(OR(INDEX($W$2:$W$1001,MATCH(ROWS($V$2:V884),$V$2:$V$1001,0),1)&gt;=100000,INDEX($AC$1005:$AS$1005,1,MATCH(COLUMNS($AC$1006:AC1006),$AC$1006:$AS$1006,0))&gt;=100000), " ",IF(INDEX($AC$2:$AS$1001,MATCH(ROWS($V$2:V884),$V$2:$V$1001,0),MATCH(COLUMNS($AC$1006:AC1006),$AC$1006:$AS$1006,0)), HYPERLINK("#",""), HYPERLINK(CONCATENATE("#Metadata!", ADDRESS(INDEX($X$2:$X$1001,MATCH(ROWS($V$2:V884),$V$2:$V$1001,0),0), INDEX($AC$1004:$AS$1004,1,MATCH(COLUMNS($AC$1006:AC1006),$AC$1006:$AS$1006,0)))),"Fix")))</f>
        <v>0</v>
      </c>
      <c r="C884" s="5">
        <f>IF(OR(INDEX($W$2:$W$1001,MATCH(ROWS($V$2:V884),$V$2:$V$1001,0),1)&gt;=100000,INDEX($AC$1005:$AS$1005,1,MATCH(COLUMNS($AC$1006:AD1006),$AC$1006:$AS$1006,0))&gt;=100000), " ",IF(INDEX($AC$2:$AS$1001,MATCH(ROWS($V$2:V884),$V$2:$V$1001,0),MATCH(COLUMNS($AC$1006:AD1006),$AC$1006:$AS$1006,0)), HYPERLINK("#",""), HYPERLINK(CONCATENATE("#Metadata!", ADDRESS(INDEX($X$2:$X$1001,MATCH(ROWS($V$2:V884),$V$2:$V$1001,0),0), INDEX($AC$1004:$AS$1004,1,MATCH(COLUMNS($AC$1006:AD1006),$AC$1006:$AS$1006,0)))),"Fix")))</f>
        <v>0</v>
      </c>
      <c r="D884" s="5">
        <f>IF(OR(INDEX($W$2:$W$1001,MATCH(ROWS($V$2:V884),$V$2:$V$1001,0),1)&gt;=100000,INDEX($AC$1005:$AS$1005,1,MATCH(COLUMNS($AC$1006:AE1006),$AC$1006:$AS$1006,0))&gt;=100000), " ",IF(INDEX($AC$2:$AS$1001,MATCH(ROWS($V$2:V884),$V$2:$V$1001,0),MATCH(COLUMNS($AC$1006:AE1006),$AC$1006:$AS$1006,0)), HYPERLINK("#",""), HYPERLINK(CONCATENATE("#Metadata!", ADDRESS(INDEX($X$2:$X$1001,MATCH(ROWS($V$2:V884),$V$2:$V$1001,0),0), INDEX($AC$1004:$AS$1004,1,MATCH(COLUMNS($AC$1006:AE1006),$AC$1006:$AS$1006,0)))),"Fix")))</f>
        <v>0</v>
      </c>
      <c r="E884" s="5">
        <f>IF(OR(INDEX($W$2:$W$1001,MATCH(ROWS($V$2:V884),$V$2:$V$1001,0),1)&gt;=100000,INDEX($AC$1005:$AS$1005,1,MATCH(COLUMNS($AC$1006:AF1006),$AC$1006:$AS$1006,0))&gt;=100000), " ",IF(INDEX($AC$2:$AS$1001,MATCH(ROWS($V$2:V884),$V$2:$V$1001,0),MATCH(COLUMNS($AC$1006:AF1006),$AC$1006:$AS$1006,0)), HYPERLINK("#",""), HYPERLINK(CONCATENATE("#Metadata!", ADDRESS(INDEX($X$2:$X$1001,MATCH(ROWS($V$2:V884),$V$2:$V$1001,0),0), INDEX($AC$1004:$AS$1004,1,MATCH(COLUMNS($AC$1006:AF1006),$AC$1006:$AS$1006,0)))),"Fix")))</f>
        <v>0</v>
      </c>
      <c r="F884" s="5">
        <f>IF(OR(INDEX($W$2:$W$1001,MATCH(ROWS($V$2:V884),$V$2:$V$1001,0),1)&gt;=100000,INDEX($AC$1005:$AS$1005,1,MATCH(COLUMNS($AC$1006:AG1006),$AC$1006:$AS$1006,0))&gt;=100000), " ",IF(INDEX($AC$2:$AS$1001,MATCH(ROWS($V$2:V884),$V$2:$V$1001,0),MATCH(COLUMNS($AC$1006:AG1006),$AC$1006:$AS$1006,0)), HYPERLINK("#",""), HYPERLINK(CONCATENATE("#Metadata!", ADDRESS(INDEX($X$2:$X$1001,MATCH(ROWS($V$2:V884),$V$2:$V$1001,0),0), INDEX($AC$1004:$AS$1004,1,MATCH(COLUMNS($AC$1006:AG1006),$AC$1006:$AS$1006,0)))),"Fix")))</f>
        <v>0</v>
      </c>
      <c r="G884" s="5">
        <f>IF(OR(INDEX($W$2:$W$1001,MATCH(ROWS($V$2:V884),$V$2:$V$1001,0),1)&gt;=100000,INDEX($AC$1005:$AS$1005,1,MATCH(COLUMNS($AC$1006:AH1006),$AC$1006:$AS$1006,0))&gt;=100000), " ",IF(INDEX($AC$2:$AS$1001,MATCH(ROWS($V$2:V884),$V$2:$V$1001,0),MATCH(COLUMNS($AC$1006:AH1006),$AC$1006:$AS$1006,0)), HYPERLINK("#",""), HYPERLINK(CONCATENATE("#Metadata!", ADDRESS(INDEX($X$2:$X$1001,MATCH(ROWS($V$2:V884),$V$2:$V$1001,0),0), INDEX($AC$1004:$AS$1004,1,MATCH(COLUMNS($AC$1006:AH1006),$AC$1006:$AS$1006,0)))),"Fix")))</f>
        <v>0</v>
      </c>
      <c r="H884" s="5">
        <f>IF(OR(INDEX($W$2:$W$1001,MATCH(ROWS($V$2:V884),$V$2:$V$1001,0),1)&gt;=100000,INDEX($AC$1005:$AS$1005,1,MATCH(COLUMNS($AC$1006:AI1006),$AC$1006:$AS$1006,0))&gt;=100000), " ",IF(INDEX($AC$2:$AS$1001,MATCH(ROWS($V$2:V884),$V$2:$V$1001,0),MATCH(COLUMNS($AC$1006:AI1006),$AC$1006:$AS$1006,0)), HYPERLINK("#",""), HYPERLINK(CONCATENATE("#Metadata!", ADDRESS(INDEX($X$2:$X$1001,MATCH(ROWS($V$2:V884),$V$2:$V$1001,0),0), INDEX($AC$1004:$AS$1004,1,MATCH(COLUMNS($AC$1006:AI1006),$AC$1006:$AS$1006,0)))),"Fix")))</f>
        <v>0</v>
      </c>
      <c r="I884" s="5">
        <f>IF(OR(INDEX($W$2:$W$1001,MATCH(ROWS($V$2:V884),$V$2:$V$1001,0),1)&gt;=100000,INDEX($AC$1005:$AS$1005,1,MATCH(COLUMNS($AC$1006:AJ1006),$AC$1006:$AS$1006,0))&gt;=100000), " ",IF(INDEX($AC$2:$AS$1001,MATCH(ROWS($V$2:V884),$V$2:$V$1001,0),MATCH(COLUMNS($AC$1006:AJ1006),$AC$1006:$AS$1006,0)), HYPERLINK("#",""), HYPERLINK(CONCATENATE("#Metadata!", ADDRESS(INDEX($X$2:$X$1001,MATCH(ROWS($V$2:V884),$V$2:$V$1001,0),0), INDEX($AC$1004:$AS$1004,1,MATCH(COLUMNS($AC$1006:AJ1006),$AC$1006:$AS$1006,0)))),"Fix")))</f>
        <v>0</v>
      </c>
      <c r="J884" s="5">
        <f>IF(OR(INDEX($W$2:$W$1001,MATCH(ROWS($V$2:V884),$V$2:$V$1001,0),1)&gt;=100000,INDEX($AC$1005:$AS$1005,1,MATCH(COLUMNS($AC$1006:AK1006),$AC$1006:$AS$1006,0))&gt;=100000), " ",IF(INDEX($AC$2:$AS$1001,MATCH(ROWS($V$2:V884),$V$2:$V$1001,0),MATCH(COLUMNS($AC$1006:AK1006),$AC$1006:$AS$1006,0)), HYPERLINK("#",""), HYPERLINK(CONCATENATE("#Metadata!", ADDRESS(INDEX($X$2:$X$1001,MATCH(ROWS($V$2:V884),$V$2:$V$1001,0),0), INDEX($AC$1004:$AS$1004,1,MATCH(COLUMNS($AC$1006:AK1006),$AC$1006:$AS$1006,0)))),"Fix")))</f>
        <v>0</v>
      </c>
      <c r="K884" s="5">
        <f>IF(OR(INDEX($W$2:$W$1001,MATCH(ROWS($V$2:V884),$V$2:$V$1001,0),1)&gt;=100000,INDEX($AC$1005:$AS$1005,1,MATCH(COLUMNS($AC$1006:AL1006),$AC$1006:$AS$1006,0))&gt;=100000), " ",IF(INDEX($AC$2:$AS$1001,MATCH(ROWS($V$2:V884),$V$2:$V$1001,0),MATCH(COLUMNS($AC$1006:AL1006),$AC$1006:$AS$1006,0)), HYPERLINK("#",""), HYPERLINK(CONCATENATE("#Metadata!", ADDRESS(INDEX($X$2:$X$1001,MATCH(ROWS($V$2:V884),$V$2:$V$1001,0),0), INDEX($AC$1004:$AS$1004,1,MATCH(COLUMNS($AC$1006:AL1006),$AC$1006:$AS$1006,0)))),"Fix")))</f>
        <v>0</v>
      </c>
      <c r="L884" s="5">
        <f>IF(OR(INDEX($W$2:$W$1001,MATCH(ROWS($V$2:V884),$V$2:$V$1001,0),1)&gt;=100000,INDEX($AC$1005:$AS$1005,1,MATCH(COLUMNS($AC$1006:AM1006),$AC$1006:$AS$1006,0))&gt;=100000), " ",IF(INDEX($AC$2:$AS$1001,MATCH(ROWS($V$2:V884),$V$2:$V$1001,0),MATCH(COLUMNS($AC$1006:AM1006),$AC$1006:$AS$1006,0)), HYPERLINK("#",""), HYPERLINK(CONCATENATE("#Metadata!", ADDRESS(INDEX($X$2:$X$1001,MATCH(ROWS($V$2:V884),$V$2:$V$1001,0),0), INDEX($AC$1004:$AS$1004,1,MATCH(COLUMNS($AC$1006:AM1006),$AC$1006:$AS$1006,0)))),"Fix")))</f>
        <v>0</v>
      </c>
      <c r="M884" s="5">
        <f>IF(OR(INDEX($W$2:$W$1001,MATCH(ROWS($V$2:V884),$V$2:$V$1001,0),1)&gt;=100000,INDEX($AC$1005:$AS$1005,1,MATCH(COLUMNS($AC$1006:AN1006),$AC$1006:$AS$1006,0))&gt;=100000), " ",IF(INDEX($AC$2:$AS$1001,MATCH(ROWS($V$2:V884),$V$2:$V$1001,0),MATCH(COLUMNS($AC$1006:AN1006),$AC$1006:$AS$1006,0)), HYPERLINK("#",""), HYPERLINK(CONCATENATE("#Metadata!", ADDRESS(INDEX($X$2:$X$1001,MATCH(ROWS($V$2:V884),$V$2:$V$1001,0),0), INDEX($AC$1004:$AS$1004,1,MATCH(COLUMNS($AC$1006:AN1006),$AC$1006:$AS$1006,0)))),"Fix")))</f>
        <v>0</v>
      </c>
      <c r="N884" s="5">
        <f>IF(OR(INDEX($W$2:$W$1001,MATCH(ROWS($V$2:V884),$V$2:$V$1001,0),1)&gt;=100000,INDEX($AC$1005:$AS$1005,1,MATCH(COLUMNS($AC$1006:AO1006),$AC$1006:$AS$1006,0))&gt;=100000), " ",IF(INDEX($AC$2:$AS$1001,MATCH(ROWS($V$2:V884),$V$2:$V$1001,0),MATCH(COLUMNS($AC$1006:AO1006),$AC$1006:$AS$1006,0)), HYPERLINK("#",""), HYPERLINK(CONCATENATE("#Metadata!", ADDRESS(INDEX($X$2:$X$1001,MATCH(ROWS($V$2:V884),$V$2:$V$1001,0),0), INDEX($AC$1004:$AS$1004,1,MATCH(COLUMNS($AC$1006:AO1006),$AC$1006:$AS$1006,0)))),"Fix")))</f>
        <v>0</v>
      </c>
      <c r="O884" s="5">
        <f>IF(OR(INDEX($W$2:$W$1001,MATCH(ROWS($V$2:V884),$V$2:$V$1001,0),1)&gt;=100000,INDEX($AC$1005:$AS$1005,1,MATCH(COLUMNS($AC$1006:AP1006),$AC$1006:$AS$1006,0))&gt;=100000), " ",IF(INDEX($AC$2:$AS$1001,MATCH(ROWS($V$2:V884),$V$2:$V$1001,0),MATCH(COLUMNS($AC$1006:AP1006),$AC$1006:$AS$1006,0)), HYPERLINK("#",""), HYPERLINK(CONCATENATE("#Metadata!", ADDRESS(INDEX($X$2:$X$1001,MATCH(ROWS($V$2:V884),$V$2:$V$1001,0),0), INDEX($AC$1004:$AS$1004,1,MATCH(COLUMNS($AC$1006:AP1006),$AC$1006:$AS$1006,0)))),"Fix")))</f>
        <v>0</v>
      </c>
      <c r="P884" s="5">
        <f>IF(OR(INDEX($W$2:$W$1001,MATCH(ROWS($V$2:V884),$V$2:$V$1001,0),1)&gt;=100000,INDEX($AC$1005:$AS$1005,1,MATCH(COLUMNS($AC$1006:AQ1006),$AC$1006:$AS$1006,0))&gt;=100000), " ",IF(INDEX($AC$2:$AS$1001,MATCH(ROWS($V$2:V884),$V$2:$V$1001,0),MATCH(COLUMNS($AC$1006:AQ1006),$AC$1006:$AS$1006,0)), HYPERLINK("#",""), HYPERLINK(CONCATENATE("#Metadata!", ADDRESS(INDEX($X$2:$X$1001,MATCH(ROWS($V$2:V884),$V$2:$V$1001,0),0), INDEX($AC$1004:$AS$1004,1,MATCH(COLUMNS($AC$1006:AQ1006),$AC$1006:$AS$1006,0)))),"Fix")))</f>
        <v>0</v>
      </c>
      <c r="Q884" s="5">
        <f>IF(OR(INDEX($W$2:$W$1001,MATCH(ROWS($V$2:V884),$V$2:$V$1001,0),1)&gt;=100000,INDEX($AC$1005:$AS$1005,1,MATCH(COLUMNS($AC$1006:AR1006),$AC$1006:$AS$1006,0))&gt;=100000), " ",IF(INDEX($AC$2:$AS$1001,MATCH(ROWS($V$2:V884),$V$2:$V$1001,0),MATCH(COLUMNS($AC$1006:AR1006),$AC$1006:$AS$1006,0)), HYPERLINK("#",""), HYPERLINK(CONCATENATE("#Metadata!", ADDRESS(INDEX($X$2:$X$1001,MATCH(ROWS($V$2:V884),$V$2:$V$1001,0),0), INDEX($AC$1004:$AS$1004,1,MATCH(COLUMNS($AC$1006:AR1006),$AC$1006:$AS$1006,0)))),"Fix")))</f>
        <v>0</v>
      </c>
      <c r="R884" s="5">
        <f>IF(OR(INDEX($W$2:$W$1001,MATCH(ROWS($V$2:V884),$V$2:$V$1001,0),1)&gt;=100000,INDEX($AC$1005:$AS$1005,1,MATCH(COLUMNS($AC$1006:AS1006),$AC$1006:$AS$1006,0))&gt;=100000), " ",IF(INDEX($AC$2:$AS$1001,MATCH(ROWS($V$2:V884),$V$2:$V$1001,0),MATCH(COLUMNS($AC$1006:AS1006),$AC$1006:$AS$1006,0)), HYPERLINK("#",""), HYPERLINK(CONCATENATE("#Metadata!", ADDRESS(INDEX($X$2:$X$1001,MATCH(ROWS($V$2:V884),$V$2:$V$1001,0),0), INDEX($AC$1004:$AS$1004,1,MATCH(COLUMNS($AC$1006:AS1006),$AC$1006:$AS$1006,0)))),"Fix")))</f>
        <v>0</v>
      </c>
      <c r="V884">
        <v>0</v>
      </c>
      <c r="W884">
        <v>0</v>
      </c>
      <c r="X884">
        <v>0</v>
      </c>
      <c r="Y884">
        <f>IF(Z884,TRUE,AND(AC884:AS884))</f>
        <v>0</v>
      </c>
      <c r="Z884">
        <f>COUNTBLANK(Metadata!B884:R884)=COLUMNS(Metadata!B884:R884)</f>
        <v>0</v>
      </c>
      <c r="AA884">
        <v>0</v>
      </c>
      <c r="AC884">
        <f>AND(IF(Metadata!B884="",FALSE,TRUE),COUNTIF(Metadata!B:B, Metadata!B884) = 1,NOT(ISERROR(SUMPRODUCT(SEARCH(MID(Metadata!B884,ROW(INDIRECT("1:"&amp;LEN(Metadata!B884))), 1),"0123456789abcdefghijklmnopqrstuvwxyzABCDEFGHIJKLMNOPQRSTUVWXYZ.")))))</f>
        <v>0</v>
      </c>
      <c r="AD884">
        <f>AND(IF(Metadata!C884="",FALSE,TRUE),exact(Metadata!C884,"Host-associated"))</f>
        <v>0</v>
      </c>
      <c r="AE884">
        <f>AND(IF(Metadata!D884="",FALSE,TRUE),OR(exact(Metadata!D884,"Animal"),exact(Metadata!D884,"Fungus"),exact(Metadata!D884,"Plant")))</f>
        <v>0</v>
      </c>
      <c r="AF884">
        <f>AND(IF(Metadata!E884="",FALSE,TRUE),OR(exact(Metadata!E884,"Plant secretion"),exact(Metadata!E884,"Plant rhizosphere"),exact(Metadata!E884,"Plant surface"),exact(Metadata!E884,"Plant corpus"),exact(Metadata!E884,"Fungus surface"),exact(Metadata!E884,"Fungus corpus"),exact(Metadata!E884,"Animal surface"),exact(Metadata!E884,"Animal proximal gut"),exact(Metadata!E884,"Animal corpus"),exact(Metadata!E884,"Animal distal gut"),exact(Metadata!E884,"Animal secretion")))</f>
        <v>0</v>
      </c>
      <c r="AG884">
        <f>OR(AND(IF(Metadata!F884="",FALSE,TRUE),OR(exact(Metadata!F884,"not collected"),exact(Metadata!F884,"not provided"),exact(Metadata!F884,"restricted access"))),AND(IF(Metadata!F884="",FALSE,TRUE),OR(exact(Metadata!F884,"organism-associated habitat"),exact(Metadata!F884,"plant-associated habitat"),exact(Metadata!F884,"animal-associated habitat"),exact(Metadata!F884,"insecta-associated habitat"),exact(Metadata!F884,"mammalia-associated habitat"),exact(Metadata!F884,"human-associated habitat"),exact(Metadata!F884,"livestock-associated habitat"))))</f>
        <v>0</v>
      </c>
      <c r="AH884">
        <f>AND(IF(Metadata!G884="",FALSE,TRUE),exact(Metadata!G884,"host-associated"))</f>
        <v>0</v>
      </c>
      <c r="AI884">
        <f>OR(AND(IF(Metadata!H884="",FALSE,TRUE),OR(exact(Metadata!H884,"not collected"),exact(Metadata!H884,"not provided"))),AND(IF(Metadata!H884="",FALSE,ISNUMBER(VALUE(Metadata!H884))),Metadata!H884&gt;0))</f>
        <v>0</v>
      </c>
      <c r="AJ884">
        <f>AND(IF(Metadata!I884="",FALSE,TRUE),exact(Metadata!I884,"years"))</f>
        <v>0</v>
      </c>
      <c r="AK884">
        <f>IF(Metadata!J884="",FALSE,TRUE)</f>
        <v>0</v>
      </c>
      <c r="AL884">
        <f>OR(AND(IF(Metadata!K884="",FALSE,TRUE),OR(exact(Metadata!K884,"not collected"),exact(Metadata!K884,"not provided"))),AND(IF(Metadata!K884="",FALSE,ISNUMBER(VALUE(Metadata!K884))),Metadata!K884&gt;0))</f>
        <v>0</v>
      </c>
      <c r="AM884">
        <f>AND(IF(Metadata!L884="",FALSE,TRUE),exact(Metadata!L884,"cm"))</f>
        <v>0</v>
      </c>
      <c r="AN884">
        <f>IF(Metadata!M884="",FALSE,TRUE)</f>
        <v>0</v>
      </c>
      <c r="AO884">
        <f>OR(AND(IF(Metadata!N884="",FALSE,TRUE),OR(exact(Metadata!N884,"not applicable"),exact(Metadata!N884,"not collected"),exact(Metadata!N884,"not provided"))),AND(IF(Metadata!N884="",FALSE,IF(ISERROR(INT(Metadata!N884)),FALSE,INT(Metadata!N884)=Metadata!N884)),Metadata!N884&gt;0))</f>
        <v>0</v>
      </c>
      <c r="AP884">
        <f>OR(AND(IF(Metadata!O884="",FALSE,TRUE),OR(exact(Metadata!O884,"not collected"),exact(Metadata!O884,"not provided"))),AND(IF(Metadata!O884="",FALSE,ISNUMBER(VALUE(Metadata!O884))),Metadata!O884&gt;0))</f>
        <v>0</v>
      </c>
      <c r="AQ884">
        <f>AND(IF(Metadata!P884="",FALSE,TRUE),exact(Metadata!P884,"kg"))</f>
        <v>0</v>
      </c>
      <c r="AR884">
        <f>OR(AND(IF(Metadata!Q884="",FALSE,TRUE),OR(exact(Metadata!Q884,"not applicable"),exact(Metadata!Q884,"not collected"),exact(Metadata!Q884,"not provided"),exact(Metadata!Q884,"restricted access"))),IF(Metadata!Q884="",FALSE,IF(ISERROR(INT(Metadata!Q884)),FALSE,INT(Metadata!Q884)=Metadata!Q884)))</f>
        <v>0</v>
      </c>
      <c r="AS884">
        <f>AND(IF(Metadata!R884="",FALSE,TRUE),exact(Metadata!R884,"Not applicable"))</f>
        <v>0</v>
      </c>
    </row>
    <row r="885" spans="1:45">
      <c r="A885" s="4">
        <f>IF(B885=" "," ",HYPERLINK(CONCATENATE("#metadata!",ADDRESS(INDEX($X$2:$X$1001,MATCH(ROWS($V$2:V885),$V$2:$V$1001,0),0),2)),INDEX($AA$2:$AA$1001,MATCH(ROWS($V$2:V885),$V$2:$V$1001,0),0)))</f>
        <v>0</v>
      </c>
      <c r="B885" s="5">
        <f>IF(OR(INDEX($W$2:$W$1001,MATCH(ROWS($V$2:V885),$V$2:$V$1001,0),1)&gt;=100000,INDEX($AC$1005:$AS$1005,1,MATCH(COLUMNS($AC$1006:AC1006),$AC$1006:$AS$1006,0))&gt;=100000), " ",IF(INDEX($AC$2:$AS$1001,MATCH(ROWS($V$2:V885),$V$2:$V$1001,0),MATCH(COLUMNS($AC$1006:AC1006),$AC$1006:$AS$1006,0)), HYPERLINK("#",""), HYPERLINK(CONCATENATE("#Metadata!", ADDRESS(INDEX($X$2:$X$1001,MATCH(ROWS($V$2:V885),$V$2:$V$1001,0),0), INDEX($AC$1004:$AS$1004,1,MATCH(COLUMNS($AC$1006:AC1006),$AC$1006:$AS$1006,0)))),"Fix")))</f>
        <v>0</v>
      </c>
      <c r="C885" s="5">
        <f>IF(OR(INDEX($W$2:$W$1001,MATCH(ROWS($V$2:V885),$V$2:$V$1001,0),1)&gt;=100000,INDEX($AC$1005:$AS$1005,1,MATCH(COLUMNS($AC$1006:AD1006),$AC$1006:$AS$1006,0))&gt;=100000), " ",IF(INDEX($AC$2:$AS$1001,MATCH(ROWS($V$2:V885),$V$2:$V$1001,0),MATCH(COLUMNS($AC$1006:AD1006),$AC$1006:$AS$1006,0)), HYPERLINK("#",""), HYPERLINK(CONCATENATE("#Metadata!", ADDRESS(INDEX($X$2:$X$1001,MATCH(ROWS($V$2:V885),$V$2:$V$1001,0),0), INDEX($AC$1004:$AS$1004,1,MATCH(COLUMNS($AC$1006:AD1006),$AC$1006:$AS$1006,0)))),"Fix")))</f>
        <v>0</v>
      </c>
      <c r="D885" s="5">
        <f>IF(OR(INDEX($W$2:$W$1001,MATCH(ROWS($V$2:V885),$V$2:$V$1001,0),1)&gt;=100000,INDEX($AC$1005:$AS$1005,1,MATCH(COLUMNS($AC$1006:AE1006),$AC$1006:$AS$1006,0))&gt;=100000), " ",IF(INDEX($AC$2:$AS$1001,MATCH(ROWS($V$2:V885),$V$2:$V$1001,0),MATCH(COLUMNS($AC$1006:AE1006),$AC$1006:$AS$1006,0)), HYPERLINK("#",""), HYPERLINK(CONCATENATE("#Metadata!", ADDRESS(INDEX($X$2:$X$1001,MATCH(ROWS($V$2:V885),$V$2:$V$1001,0),0), INDEX($AC$1004:$AS$1004,1,MATCH(COLUMNS($AC$1006:AE1006),$AC$1006:$AS$1006,0)))),"Fix")))</f>
        <v>0</v>
      </c>
      <c r="E885" s="5">
        <f>IF(OR(INDEX($W$2:$W$1001,MATCH(ROWS($V$2:V885),$V$2:$V$1001,0),1)&gt;=100000,INDEX($AC$1005:$AS$1005,1,MATCH(COLUMNS($AC$1006:AF1006),$AC$1006:$AS$1006,0))&gt;=100000), " ",IF(INDEX($AC$2:$AS$1001,MATCH(ROWS($V$2:V885),$V$2:$V$1001,0),MATCH(COLUMNS($AC$1006:AF1006),$AC$1006:$AS$1006,0)), HYPERLINK("#",""), HYPERLINK(CONCATENATE("#Metadata!", ADDRESS(INDEX($X$2:$X$1001,MATCH(ROWS($V$2:V885),$V$2:$V$1001,0),0), INDEX($AC$1004:$AS$1004,1,MATCH(COLUMNS($AC$1006:AF1006),$AC$1006:$AS$1006,0)))),"Fix")))</f>
        <v>0</v>
      </c>
      <c r="F885" s="5">
        <f>IF(OR(INDEX($W$2:$W$1001,MATCH(ROWS($V$2:V885),$V$2:$V$1001,0),1)&gt;=100000,INDEX($AC$1005:$AS$1005,1,MATCH(COLUMNS($AC$1006:AG1006),$AC$1006:$AS$1006,0))&gt;=100000), " ",IF(INDEX($AC$2:$AS$1001,MATCH(ROWS($V$2:V885),$V$2:$V$1001,0),MATCH(COLUMNS($AC$1006:AG1006),$AC$1006:$AS$1006,0)), HYPERLINK("#",""), HYPERLINK(CONCATENATE("#Metadata!", ADDRESS(INDEX($X$2:$X$1001,MATCH(ROWS($V$2:V885),$V$2:$V$1001,0),0), INDEX($AC$1004:$AS$1004,1,MATCH(COLUMNS($AC$1006:AG1006),$AC$1006:$AS$1006,0)))),"Fix")))</f>
        <v>0</v>
      </c>
      <c r="G885" s="5">
        <f>IF(OR(INDEX($W$2:$W$1001,MATCH(ROWS($V$2:V885),$V$2:$V$1001,0),1)&gt;=100000,INDEX($AC$1005:$AS$1005,1,MATCH(COLUMNS($AC$1006:AH1006),$AC$1006:$AS$1006,0))&gt;=100000), " ",IF(INDEX($AC$2:$AS$1001,MATCH(ROWS($V$2:V885),$V$2:$V$1001,0),MATCH(COLUMNS($AC$1006:AH1006),$AC$1006:$AS$1006,0)), HYPERLINK("#",""), HYPERLINK(CONCATENATE("#Metadata!", ADDRESS(INDEX($X$2:$X$1001,MATCH(ROWS($V$2:V885),$V$2:$V$1001,0),0), INDEX($AC$1004:$AS$1004,1,MATCH(COLUMNS($AC$1006:AH1006),$AC$1006:$AS$1006,0)))),"Fix")))</f>
        <v>0</v>
      </c>
      <c r="H885" s="5">
        <f>IF(OR(INDEX($W$2:$W$1001,MATCH(ROWS($V$2:V885),$V$2:$V$1001,0),1)&gt;=100000,INDEX($AC$1005:$AS$1005,1,MATCH(COLUMNS($AC$1006:AI1006),$AC$1006:$AS$1006,0))&gt;=100000), " ",IF(INDEX($AC$2:$AS$1001,MATCH(ROWS($V$2:V885),$V$2:$V$1001,0),MATCH(COLUMNS($AC$1006:AI1006),$AC$1006:$AS$1006,0)), HYPERLINK("#",""), HYPERLINK(CONCATENATE("#Metadata!", ADDRESS(INDEX($X$2:$X$1001,MATCH(ROWS($V$2:V885),$V$2:$V$1001,0),0), INDEX($AC$1004:$AS$1004,1,MATCH(COLUMNS($AC$1006:AI1006),$AC$1006:$AS$1006,0)))),"Fix")))</f>
        <v>0</v>
      </c>
      <c r="I885" s="5">
        <f>IF(OR(INDEX($W$2:$W$1001,MATCH(ROWS($V$2:V885),$V$2:$V$1001,0),1)&gt;=100000,INDEX($AC$1005:$AS$1005,1,MATCH(COLUMNS($AC$1006:AJ1006),$AC$1006:$AS$1006,0))&gt;=100000), " ",IF(INDEX($AC$2:$AS$1001,MATCH(ROWS($V$2:V885),$V$2:$V$1001,0),MATCH(COLUMNS($AC$1006:AJ1006),$AC$1006:$AS$1006,0)), HYPERLINK("#",""), HYPERLINK(CONCATENATE("#Metadata!", ADDRESS(INDEX($X$2:$X$1001,MATCH(ROWS($V$2:V885),$V$2:$V$1001,0),0), INDEX($AC$1004:$AS$1004,1,MATCH(COLUMNS($AC$1006:AJ1006),$AC$1006:$AS$1006,0)))),"Fix")))</f>
        <v>0</v>
      </c>
      <c r="J885" s="5">
        <f>IF(OR(INDEX($W$2:$W$1001,MATCH(ROWS($V$2:V885),$V$2:$V$1001,0),1)&gt;=100000,INDEX($AC$1005:$AS$1005,1,MATCH(COLUMNS($AC$1006:AK1006),$AC$1006:$AS$1006,0))&gt;=100000), " ",IF(INDEX($AC$2:$AS$1001,MATCH(ROWS($V$2:V885),$V$2:$V$1001,0),MATCH(COLUMNS($AC$1006:AK1006),$AC$1006:$AS$1006,0)), HYPERLINK("#",""), HYPERLINK(CONCATENATE("#Metadata!", ADDRESS(INDEX($X$2:$X$1001,MATCH(ROWS($V$2:V885),$V$2:$V$1001,0),0), INDEX($AC$1004:$AS$1004,1,MATCH(COLUMNS($AC$1006:AK1006),$AC$1006:$AS$1006,0)))),"Fix")))</f>
        <v>0</v>
      </c>
      <c r="K885" s="5">
        <f>IF(OR(INDEX($W$2:$W$1001,MATCH(ROWS($V$2:V885),$V$2:$V$1001,0),1)&gt;=100000,INDEX($AC$1005:$AS$1005,1,MATCH(COLUMNS($AC$1006:AL1006),$AC$1006:$AS$1006,0))&gt;=100000), " ",IF(INDEX($AC$2:$AS$1001,MATCH(ROWS($V$2:V885),$V$2:$V$1001,0),MATCH(COLUMNS($AC$1006:AL1006),$AC$1006:$AS$1006,0)), HYPERLINK("#",""), HYPERLINK(CONCATENATE("#Metadata!", ADDRESS(INDEX($X$2:$X$1001,MATCH(ROWS($V$2:V885),$V$2:$V$1001,0),0), INDEX($AC$1004:$AS$1004,1,MATCH(COLUMNS($AC$1006:AL1006),$AC$1006:$AS$1006,0)))),"Fix")))</f>
        <v>0</v>
      </c>
      <c r="L885" s="5">
        <f>IF(OR(INDEX($W$2:$W$1001,MATCH(ROWS($V$2:V885),$V$2:$V$1001,0),1)&gt;=100000,INDEX($AC$1005:$AS$1005,1,MATCH(COLUMNS($AC$1006:AM1006),$AC$1006:$AS$1006,0))&gt;=100000), " ",IF(INDEX($AC$2:$AS$1001,MATCH(ROWS($V$2:V885),$V$2:$V$1001,0),MATCH(COLUMNS($AC$1006:AM1006),$AC$1006:$AS$1006,0)), HYPERLINK("#",""), HYPERLINK(CONCATENATE("#Metadata!", ADDRESS(INDEX($X$2:$X$1001,MATCH(ROWS($V$2:V885),$V$2:$V$1001,0),0), INDEX($AC$1004:$AS$1004,1,MATCH(COLUMNS($AC$1006:AM1006),$AC$1006:$AS$1006,0)))),"Fix")))</f>
        <v>0</v>
      </c>
      <c r="M885" s="5">
        <f>IF(OR(INDEX($W$2:$W$1001,MATCH(ROWS($V$2:V885),$V$2:$V$1001,0),1)&gt;=100000,INDEX($AC$1005:$AS$1005,1,MATCH(COLUMNS($AC$1006:AN1006),$AC$1006:$AS$1006,0))&gt;=100000), " ",IF(INDEX($AC$2:$AS$1001,MATCH(ROWS($V$2:V885),$V$2:$V$1001,0),MATCH(COLUMNS($AC$1006:AN1006),$AC$1006:$AS$1006,0)), HYPERLINK("#",""), HYPERLINK(CONCATENATE("#Metadata!", ADDRESS(INDEX($X$2:$X$1001,MATCH(ROWS($V$2:V885),$V$2:$V$1001,0),0), INDEX($AC$1004:$AS$1004,1,MATCH(COLUMNS($AC$1006:AN1006),$AC$1006:$AS$1006,0)))),"Fix")))</f>
        <v>0</v>
      </c>
      <c r="N885" s="5">
        <f>IF(OR(INDEX($W$2:$W$1001,MATCH(ROWS($V$2:V885),$V$2:$V$1001,0),1)&gt;=100000,INDEX($AC$1005:$AS$1005,1,MATCH(COLUMNS($AC$1006:AO1006),$AC$1006:$AS$1006,0))&gt;=100000), " ",IF(INDEX($AC$2:$AS$1001,MATCH(ROWS($V$2:V885),$V$2:$V$1001,0),MATCH(COLUMNS($AC$1006:AO1006),$AC$1006:$AS$1006,0)), HYPERLINK("#",""), HYPERLINK(CONCATENATE("#Metadata!", ADDRESS(INDEX($X$2:$X$1001,MATCH(ROWS($V$2:V885),$V$2:$V$1001,0),0), INDEX($AC$1004:$AS$1004,1,MATCH(COLUMNS($AC$1006:AO1006),$AC$1006:$AS$1006,0)))),"Fix")))</f>
        <v>0</v>
      </c>
      <c r="O885" s="5">
        <f>IF(OR(INDEX($W$2:$W$1001,MATCH(ROWS($V$2:V885),$V$2:$V$1001,0),1)&gt;=100000,INDEX($AC$1005:$AS$1005,1,MATCH(COLUMNS($AC$1006:AP1006),$AC$1006:$AS$1006,0))&gt;=100000), " ",IF(INDEX($AC$2:$AS$1001,MATCH(ROWS($V$2:V885),$V$2:$V$1001,0),MATCH(COLUMNS($AC$1006:AP1006),$AC$1006:$AS$1006,0)), HYPERLINK("#",""), HYPERLINK(CONCATENATE("#Metadata!", ADDRESS(INDEX($X$2:$X$1001,MATCH(ROWS($V$2:V885),$V$2:$V$1001,0),0), INDEX($AC$1004:$AS$1004,1,MATCH(COLUMNS($AC$1006:AP1006),$AC$1006:$AS$1006,0)))),"Fix")))</f>
        <v>0</v>
      </c>
      <c r="P885" s="5">
        <f>IF(OR(INDEX($W$2:$W$1001,MATCH(ROWS($V$2:V885),$V$2:$V$1001,0),1)&gt;=100000,INDEX($AC$1005:$AS$1005,1,MATCH(COLUMNS($AC$1006:AQ1006),$AC$1006:$AS$1006,0))&gt;=100000), " ",IF(INDEX($AC$2:$AS$1001,MATCH(ROWS($V$2:V885),$V$2:$V$1001,0),MATCH(COLUMNS($AC$1006:AQ1006),$AC$1006:$AS$1006,0)), HYPERLINK("#",""), HYPERLINK(CONCATENATE("#Metadata!", ADDRESS(INDEX($X$2:$X$1001,MATCH(ROWS($V$2:V885),$V$2:$V$1001,0),0), INDEX($AC$1004:$AS$1004,1,MATCH(COLUMNS($AC$1006:AQ1006),$AC$1006:$AS$1006,0)))),"Fix")))</f>
        <v>0</v>
      </c>
      <c r="Q885" s="5">
        <f>IF(OR(INDEX($W$2:$W$1001,MATCH(ROWS($V$2:V885),$V$2:$V$1001,0),1)&gt;=100000,INDEX($AC$1005:$AS$1005,1,MATCH(COLUMNS($AC$1006:AR1006),$AC$1006:$AS$1006,0))&gt;=100000), " ",IF(INDEX($AC$2:$AS$1001,MATCH(ROWS($V$2:V885),$V$2:$V$1001,0),MATCH(COLUMNS($AC$1006:AR1006),$AC$1006:$AS$1006,0)), HYPERLINK("#",""), HYPERLINK(CONCATENATE("#Metadata!", ADDRESS(INDEX($X$2:$X$1001,MATCH(ROWS($V$2:V885),$V$2:$V$1001,0),0), INDEX($AC$1004:$AS$1004,1,MATCH(COLUMNS($AC$1006:AR1006),$AC$1006:$AS$1006,0)))),"Fix")))</f>
        <v>0</v>
      </c>
      <c r="R885" s="5">
        <f>IF(OR(INDEX($W$2:$W$1001,MATCH(ROWS($V$2:V885),$V$2:$V$1001,0),1)&gt;=100000,INDEX($AC$1005:$AS$1005,1,MATCH(COLUMNS($AC$1006:AS1006),$AC$1006:$AS$1006,0))&gt;=100000), " ",IF(INDEX($AC$2:$AS$1001,MATCH(ROWS($V$2:V885),$V$2:$V$1001,0),MATCH(COLUMNS($AC$1006:AS1006),$AC$1006:$AS$1006,0)), HYPERLINK("#",""), HYPERLINK(CONCATENATE("#Metadata!", ADDRESS(INDEX($X$2:$X$1001,MATCH(ROWS($V$2:V885),$V$2:$V$1001,0),0), INDEX($AC$1004:$AS$1004,1,MATCH(COLUMNS($AC$1006:AS1006),$AC$1006:$AS$1006,0)))),"Fix")))</f>
        <v>0</v>
      </c>
      <c r="V885">
        <v>0</v>
      </c>
      <c r="W885">
        <v>0</v>
      </c>
      <c r="X885">
        <v>0</v>
      </c>
      <c r="Y885">
        <f>IF(Z885,TRUE,AND(AC885:AS885))</f>
        <v>0</v>
      </c>
      <c r="Z885">
        <f>COUNTBLANK(Metadata!B885:R885)=COLUMNS(Metadata!B885:R885)</f>
        <v>0</v>
      </c>
      <c r="AA885">
        <v>0</v>
      </c>
      <c r="AC885">
        <f>AND(IF(Metadata!B885="",FALSE,TRUE),COUNTIF(Metadata!B:B, Metadata!B885) = 1,NOT(ISERROR(SUMPRODUCT(SEARCH(MID(Metadata!B885,ROW(INDIRECT("1:"&amp;LEN(Metadata!B885))), 1),"0123456789abcdefghijklmnopqrstuvwxyzABCDEFGHIJKLMNOPQRSTUVWXYZ.")))))</f>
        <v>0</v>
      </c>
      <c r="AD885">
        <f>AND(IF(Metadata!C885="",FALSE,TRUE),exact(Metadata!C885,"Host-associated"))</f>
        <v>0</v>
      </c>
      <c r="AE885">
        <f>AND(IF(Metadata!D885="",FALSE,TRUE),OR(exact(Metadata!D885,"Animal"),exact(Metadata!D885,"Fungus"),exact(Metadata!D885,"Plant")))</f>
        <v>0</v>
      </c>
      <c r="AF885">
        <f>AND(IF(Metadata!E885="",FALSE,TRUE),OR(exact(Metadata!E885,"Plant secretion"),exact(Metadata!E885,"Plant rhizosphere"),exact(Metadata!E885,"Plant surface"),exact(Metadata!E885,"Plant corpus"),exact(Metadata!E885,"Fungus surface"),exact(Metadata!E885,"Fungus corpus"),exact(Metadata!E885,"Animal surface"),exact(Metadata!E885,"Animal proximal gut"),exact(Metadata!E885,"Animal corpus"),exact(Metadata!E885,"Animal distal gut"),exact(Metadata!E885,"Animal secretion")))</f>
        <v>0</v>
      </c>
      <c r="AG885">
        <f>OR(AND(IF(Metadata!F885="",FALSE,TRUE),OR(exact(Metadata!F885,"not collected"),exact(Metadata!F885,"not provided"),exact(Metadata!F885,"restricted access"))),AND(IF(Metadata!F885="",FALSE,TRUE),OR(exact(Metadata!F885,"organism-associated habitat"),exact(Metadata!F885,"plant-associated habitat"),exact(Metadata!F885,"animal-associated habitat"),exact(Metadata!F885,"insecta-associated habitat"),exact(Metadata!F885,"mammalia-associated habitat"),exact(Metadata!F885,"human-associated habitat"),exact(Metadata!F885,"livestock-associated habitat"))))</f>
        <v>0</v>
      </c>
      <c r="AH885">
        <f>AND(IF(Metadata!G885="",FALSE,TRUE),exact(Metadata!G885,"host-associated"))</f>
        <v>0</v>
      </c>
      <c r="AI885">
        <f>OR(AND(IF(Metadata!H885="",FALSE,TRUE),OR(exact(Metadata!H885,"not collected"),exact(Metadata!H885,"not provided"))),AND(IF(Metadata!H885="",FALSE,ISNUMBER(VALUE(Metadata!H885))),Metadata!H885&gt;0))</f>
        <v>0</v>
      </c>
      <c r="AJ885">
        <f>AND(IF(Metadata!I885="",FALSE,TRUE),exact(Metadata!I885,"years"))</f>
        <v>0</v>
      </c>
      <c r="AK885">
        <f>IF(Metadata!J885="",FALSE,TRUE)</f>
        <v>0</v>
      </c>
      <c r="AL885">
        <f>OR(AND(IF(Metadata!K885="",FALSE,TRUE),OR(exact(Metadata!K885,"not collected"),exact(Metadata!K885,"not provided"))),AND(IF(Metadata!K885="",FALSE,ISNUMBER(VALUE(Metadata!K885))),Metadata!K885&gt;0))</f>
        <v>0</v>
      </c>
      <c r="AM885">
        <f>AND(IF(Metadata!L885="",FALSE,TRUE),exact(Metadata!L885,"cm"))</f>
        <v>0</v>
      </c>
      <c r="AN885">
        <f>IF(Metadata!M885="",FALSE,TRUE)</f>
        <v>0</v>
      </c>
      <c r="AO885">
        <f>OR(AND(IF(Metadata!N885="",FALSE,TRUE),OR(exact(Metadata!N885,"not applicable"),exact(Metadata!N885,"not collected"),exact(Metadata!N885,"not provided"))),AND(IF(Metadata!N885="",FALSE,IF(ISERROR(INT(Metadata!N885)),FALSE,INT(Metadata!N885)=Metadata!N885)),Metadata!N885&gt;0))</f>
        <v>0</v>
      </c>
      <c r="AP885">
        <f>OR(AND(IF(Metadata!O885="",FALSE,TRUE),OR(exact(Metadata!O885,"not collected"),exact(Metadata!O885,"not provided"))),AND(IF(Metadata!O885="",FALSE,ISNUMBER(VALUE(Metadata!O885))),Metadata!O885&gt;0))</f>
        <v>0</v>
      </c>
      <c r="AQ885">
        <f>AND(IF(Metadata!P885="",FALSE,TRUE),exact(Metadata!P885,"kg"))</f>
        <v>0</v>
      </c>
      <c r="AR885">
        <f>OR(AND(IF(Metadata!Q885="",FALSE,TRUE),OR(exact(Metadata!Q885,"not applicable"),exact(Metadata!Q885,"not collected"),exact(Metadata!Q885,"not provided"),exact(Metadata!Q885,"restricted access"))),IF(Metadata!Q885="",FALSE,IF(ISERROR(INT(Metadata!Q885)),FALSE,INT(Metadata!Q885)=Metadata!Q885)))</f>
        <v>0</v>
      </c>
      <c r="AS885">
        <f>AND(IF(Metadata!R885="",FALSE,TRUE),exact(Metadata!R885,"Not applicable"))</f>
        <v>0</v>
      </c>
    </row>
    <row r="886" spans="1:45">
      <c r="A886" s="4">
        <f>IF(B886=" "," ",HYPERLINK(CONCATENATE("#metadata!",ADDRESS(INDEX($X$2:$X$1001,MATCH(ROWS($V$2:V886),$V$2:$V$1001,0),0),2)),INDEX($AA$2:$AA$1001,MATCH(ROWS($V$2:V886),$V$2:$V$1001,0),0)))</f>
        <v>0</v>
      </c>
      <c r="B886" s="5">
        <f>IF(OR(INDEX($W$2:$W$1001,MATCH(ROWS($V$2:V886),$V$2:$V$1001,0),1)&gt;=100000,INDEX($AC$1005:$AS$1005,1,MATCH(COLUMNS($AC$1006:AC1006),$AC$1006:$AS$1006,0))&gt;=100000), " ",IF(INDEX($AC$2:$AS$1001,MATCH(ROWS($V$2:V886),$V$2:$V$1001,0),MATCH(COLUMNS($AC$1006:AC1006),$AC$1006:$AS$1006,0)), HYPERLINK("#",""), HYPERLINK(CONCATENATE("#Metadata!", ADDRESS(INDEX($X$2:$X$1001,MATCH(ROWS($V$2:V886),$V$2:$V$1001,0),0), INDEX($AC$1004:$AS$1004,1,MATCH(COLUMNS($AC$1006:AC1006),$AC$1006:$AS$1006,0)))),"Fix")))</f>
        <v>0</v>
      </c>
      <c r="C886" s="5">
        <f>IF(OR(INDEX($W$2:$W$1001,MATCH(ROWS($V$2:V886),$V$2:$V$1001,0),1)&gt;=100000,INDEX($AC$1005:$AS$1005,1,MATCH(COLUMNS($AC$1006:AD1006),$AC$1006:$AS$1006,0))&gt;=100000), " ",IF(INDEX($AC$2:$AS$1001,MATCH(ROWS($V$2:V886),$V$2:$V$1001,0),MATCH(COLUMNS($AC$1006:AD1006),$AC$1006:$AS$1006,0)), HYPERLINK("#",""), HYPERLINK(CONCATENATE("#Metadata!", ADDRESS(INDEX($X$2:$X$1001,MATCH(ROWS($V$2:V886),$V$2:$V$1001,0),0), INDEX($AC$1004:$AS$1004,1,MATCH(COLUMNS($AC$1006:AD1006),$AC$1006:$AS$1006,0)))),"Fix")))</f>
        <v>0</v>
      </c>
      <c r="D886" s="5">
        <f>IF(OR(INDEX($W$2:$W$1001,MATCH(ROWS($V$2:V886),$V$2:$V$1001,0),1)&gt;=100000,INDEX($AC$1005:$AS$1005,1,MATCH(COLUMNS($AC$1006:AE1006),$AC$1006:$AS$1006,0))&gt;=100000), " ",IF(INDEX($AC$2:$AS$1001,MATCH(ROWS($V$2:V886),$V$2:$V$1001,0),MATCH(COLUMNS($AC$1006:AE1006),$AC$1006:$AS$1006,0)), HYPERLINK("#",""), HYPERLINK(CONCATENATE("#Metadata!", ADDRESS(INDEX($X$2:$X$1001,MATCH(ROWS($V$2:V886),$V$2:$V$1001,0),0), INDEX($AC$1004:$AS$1004,1,MATCH(COLUMNS($AC$1006:AE1006),$AC$1006:$AS$1006,0)))),"Fix")))</f>
        <v>0</v>
      </c>
      <c r="E886" s="5">
        <f>IF(OR(INDEX($W$2:$W$1001,MATCH(ROWS($V$2:V886),$V$2:$V$1001,0),1)&gt;=100000,INDEX($AC$1005:$AS$1005,1,MATCH(COLUMNS($AC$1006:AF1006),$AC$1006:$AS$1006,0))&gt;=100000), " ",IF(INDEX($AC$2:$AS$1001,MATCH(ROWS($V$2:V886),$V$2:$V$1001,0),MATCH(COLUMNS($AC$1006:AF1006),$AC$1006:$AS$1006,0)), HYPERLINK("#",""), HYPERLINK(CONCATENATE("#Metadata!", ADDRESS(INDEX($X$2:$X$1001,MATCH(ROWS($V$2:V886),$V$2:$V$1001,0),0), INDEX($AC$1004:$AS$1004,1,MATCH(COLUMNS($AC$1006:AF1006),$AC$1006:$AS$1006,0)))),"Fix")))</f>
        <v>0</v>
      </c>
      <c r="F886" s="5">
        <f>IF(OR(INDEX($W$2:$W$1001,MATCH(ROWS($V$2:V886),$V$2:$V$1001,0),1)&gt;=100000,INDEX($AC$1005:$AS$1005,1,MATCH(COLUMNS($AC$1006:AG1006),$AC$1006:$AS$1006,0))&gt;=100000), " ",IF(INDEX($AC$2:$AS$1001,MATCH(ROWS($V$2:V886),$V$2:$V$1001,0),MATCH(COLUMNS($AC$1006:AG1006),$AC$1006:$AS$1006,0)), HYPERLINK("#",""), HYPERLINK(CONCATENATE("#Metadata!", ADDRESS(INDEX($X$2:$X$1001,MATCH(ROWS($V$2:V886),$V$2:$V$1001,0),0), INDEX($AC$1004:$AS$1004,1,MATCH(COLUMNS($AC$1006:AG1006),$AC$1006:$AS$1006,0)))),"Fix")))</f>
        <v>0</v>
      </c>
      <c r="G886" s="5">
        <f>IF(OR(INDEX($W$2:$W$1001,MATCH(ROWS($V$2:V886),$V$2:$V$1001,0),1)&gt;=100000,INDEX($AC$1005:$AS$1005,1,MATCH(COLUMNS($AC$1006:AH1006),$AC$1006:$AS$1006,0))&gt;=100000), " ",IF(INDEX($AC$2:$AS$1001,MATCH(ROWS($V$2:V886),$V$2:$V$1001,0),MATCH(COLUMNS($AC$1006:AH1006),$AC$1006:$AS$1006,0)), HYPERLINK("#",""), HYPERLINK(CONCATENATE("#Metadata!", ADDRESS(INDEX($X$2:$X$1001,MATCH(ROWS($V$2:V886),$V$2:$V$1001,0),0), INDEX($AC$1004:$AS$1004,1,MATCH(COLUMNS($AC$1006:AH1006),$AC$1006:$AS$1006,0)))),"Fix")))</f>
        <v>0</v>
      </c>
      <c r="H886" s="5">
        <f>IF(OR(INDEX($W$2:$W$1001,MATCH(ROWS($V$2:V886),$V$2:$V$1001,0),1)&gt;=100000,INDEX($AC$1005:$AS$1005,1,MATCH(COLUMNS($AC$1006:AI1006),$AC$1006:$AS$1006,0))&gt;=100000), " ",IF(INDEX($AC$2:$AS$1001,MATCH(ROWS($V$2:V886),$V$2:$V$1001,0),MATCH(COLUMNS($AC$1006:AI1006),$AC$1006:$AS$1006,0)), HYPERLINK("#",""), HYPERLINK(CONCATENATE("#Metadata!", ADDRESS(INDEX($X$2:$X$1001,MATCH(ROWS($V$2:V886),$V$2:$V$1001,0),0), INDEX($AC$1004:$AS$1004,1,MATCH(COLUMNS($AC$1006:AI1006),$AC$1006:$AS$1006,0)))),"Fix")))</f>
        <v>0</v>
      </c>
      <c r="I886" s="5">
        <f>IF(OR(INDEX($W$2:$W$1001,MATCH(ROWS($V$2:V886),$V$2:$V$1001,0),1)&gt;=100000,INDEX($AC$1005:$AS$1005,1,MATCH(COLUMNS($AC$1006:AJ1006),$AC$1006:$AS$1006,0))&gt;=100000), " ",IF(INDEX($AC$2:$AS$1001,MATCH(ROWS($V$2:V886),$V$2:$V$1001,0),MATCH(COLUMNS($AC$1006:AJ1006),$AC$1006:$AS$1006,0)), HYPERLINK("#",""), HYPERLINK(CONCATENATE("#Metadata!", ADDRESS(INDEX($X$2:$X$1001,MATCH(ROWS($V$2:V886),$V$2:$V$1001,0),0), INDEX($AC$1004:$AS$1004,1,MATCH(COLUMNS($AC$1006:AJ1006),$AC$1006:$AS$1006,0)))),"Fix")))</f>
        <v>0</v>
      </c>
      <c r="J886" s="5">
        <f>IF(OR(INDEX($W$2:$W$1001,MATCH(ROWS($V$2:V886),$V$2:$V$1001,0),1)&gt;=100000,INDEX($AC$1005:$AS$1005,1,MATCH(COLUMNS($AC$1006:AK1006),$AC$1006:$AS$1006,0))&gt;=100000), " ",IF(INDEX($AC$2:$AS$1001,MATCH(ROWS($V$2:V886),$V$2:$V$1001,0),MATCH(COLUMNS($AC$1006:AK1006),$AC$1006:$AS$1006,0)), HYPERLINK("#",""), HYPERLINK(CONCATENATE("#Metadata!", ADDRESS(INDEX($X$2:$X$1001,MATCH(ROWS($V$2:V886),$V$2:$V$1001,0),0), INDEX($AC$1004:$AS$1004,1,MATCH(COLUMNS($AC$1006:AK1006),$AC$1006:$AS$1006,0)))),"Fix")))</f>
        <v>0</v>
      </c>
      <c r="K886" s="5">
        <f>IF(OR(INDEX($W$2:$W$1001,MATCH(ROWS($V$2:V886),$V$2:$V$1001,0),1)&gt;=100000,INDEX($AC$1005:$AS$1005,1,MATCH(COLUMNS($AC$1006:AL1006),$AC$1006:$AS$1006,0))&gt;=100000), " ",IF(INDEX($AC$2:$AS$1001,MATCH(ROWS($V$2:V886),$V$2:$V$1001,0),MATCH(COLUMNS($AC$1006:AL1006),$AC$1006:$AS$1006,0)), HYPERLINK("#",""), HYPERLINK(CONCATENATE("#Metadata!", ADDRESS(INDEX($X$2:$X$1001,MATCH(ROWS($V$2:V886),$V$2:$V$1001,0),0), INDEX($AC$1004:$AS$1004,1,MATCH(COLUMNS($AC$1006:AL1006),$AC$1006:$AS$1006,0)))),"Fix")))</f>
        <v>0</v>
      </c>
      <c r="L886" s="5">
        <f>IF(OR(INDEX($W$2:$W$1001,MATCH(ROWS($V$2:V886),$V$2:$V$1001,0),1)&gt;=100000,INDEX($AC$1005:$AS$1005,1,MATCH(COLUMNS($AC$1006:AM1006),$AC$1006:$AS$1006,0))&gt;=100000), " ",IF(INDEX($AC$2:$AS$1001,MATCH(ROWS($V$2:V886),$V$2:$V$1001,0),MATCH(COLUMNS($AC$1006:AM1006),$AC$1006:$AS$1006,0)), HYPERLINK("#",""), HYPERLINK(CONCATENATE("#Metadata!", ADDRESS(INDEX($X$2:$X$1001,MATCH(ROWS($V$2:V886),$V$2:$V$1001,0),0), INDEX($AC$1004:$AS$1004,1,MATCH(COLUMNS($AC$1006:AM1006),$AC$1006:$AS$1006,0)))),"Fix")))</f>
        <v>0</v>
      </c>
      <c r="M886" s="5">
        <f>IF(OR(INDEX($W$2:$W$1001,MATCH(ROWS($V$2:V886),$V$2:$V$1001,0),1)&gt;=100000,INDEX($AC$1005:$AS$1005,1,MATCH(COLUMNS($AC$1006:AN1006),$AC$1006:$AS$1006,0))&gt;=100000), " ",IF(INDEX($AC$2:$AS$1001,MATCH(ROWS($V$2:V886),$V$2:$V$1001,0),MATCH(COLUMNS($AC$1006:AN1006),$AC$1006:$AS$1006,0)), HYPERLINK("#",""), HYPERLINK(CONCATENATE("#Metadata!", ADDRESS(INDEX($X$2:$X$1001,MATCH(ROWS($V$2:V886),$V$2:$V$1001,0),0), INDEX($AC$1004:$AS$1004,1,MATCH(COLUMNS($AC$1006:AN1006),$AC$1006:$AS$1006,0)))),"Fix")))</f>
        <v>0</v>
      </c>
      <c r="N886" s="5">
        <f>IF(OR(INDEX($W$2:$W$1001,MATCH(ROWS($V$2:V886),$V$2:$V$1001,0),1)&gt;=100000,INDEX($AC$1005:$AS$1005,1,MATCH(COLUMNS($AC$1006:AO1006),$AC$1006:$AS$1006,0))&gt;=100000), " ",IF(INDEX($AC$2:$AS$1001,MATCH(ROWS($V$2:V886),$V$2:$V$1001,0),MATCH(COLUMNS($AC$1006:AO1006),$AC$1006:$AS$1006,0)), HYPERLINK("#",""), HYPERLINK(CONCATENATE("#Metadata!", ADDRESS(INDEX($X$2:$X$1001,MATCH(ROWS($V$2:V886),$V$2:$V$1001,0),0), INDEX($AC$1004:$AS$1004,1,MATCH(COLUMNS($AC$1006:AO1006),$AC$1006:$AS$1006,0)))),"Fix")))</f>
        <v>0</v>
      </c>
      <c r="O886" s="5">
        <f>IF(OR(INDEX($W$2:$W$1001,MATCH(ROWS($V$2:V886),$V$2:$V$1001,0),1)&gt;=100000,INDEX($AC$1005:$AS$1005,1,MATCH(COLUMNS($AC$1006:AP1006),$AC$1006:$AS$1006,0))&gt;=100000), " ",IF(INDEX($AC$2:$AS$1001,MATCH(ROWS($V$2:V886),$V$2:$V$1001,0),MATCH(COLUMNS($AC$1006:AP1006),$AC$1006:$AS$1006,0)), HYPERLINK("#",""), HYPERLINK(CONCATENATE("#Metadata!", ADDRESS(INDEX($X$2:$X$1001,MATCH(ROWS($V$2:V886),$V$2:$V$1001,0),0), INDEX($AC$1004:$AS$1004,1,MATCH(COLUMNS($AC$1006:AP1006),$AC$1006:$AS$1006,0)))),"Fix")))</f>
        <v>0</v>
      </c>
      <c r="P886" s="5">
        <f>IF(OR(INDEX($W$2:$W$1001,MATCH(ROWS($V$2:V886),$V$2:$V$1001,0),1)&gt;=100000,INDEX($AC$1005:$AS$1005,1,MATCH(COLUMNS($AC$1006:AQ1006),$AC$1006:$AS$1006,0))&gt;=100000), " ",IF(INDEX($AC$2:$AS$1001,MATCH(ROWS($V$2:V886),$V$2:$V$1001,0),MATCH(COLUMNS($AC$1006:AQ1006),$AC$1006:$AS$1006,0)), HYPERLINK("#",""), HYPERLINK(CONCATENATE("#Metadata!", ADDRESS(INDEX($X$2:$X$1001,MATCH(ROWS($V$2:V886),$V$2:$V$1001,0),0), INDEX($AC$1004:$AS$1004,1,MATCH(COLUMNS($AC$1006:AQ1006),$AC$1006:$AS$1006,0)))),"Fix")))</f>
        <v>0</v>
      </c>
      <c r="Q886" s="5">
        <f>IF(OR(INDEX($W$2:$W$1001,MATCH(ROWS($V$2:V886),$V$2:$V$1001,0),1)&gt;=100000,INDEX($AC$1005:$AS$1005,1,MATCH(COLUMNS($AC$1006:AR1006),$AC$1006:$AS$1006,0))&gt;=100000), " ",IF(INDEX($AC$2:$AS$1001,MATCH(ROWS($V$2:V886),$V$2:$V$1001,0),MATCH(COLUMNS($AC$1006:AR1006),$AC$1006:$AS$1006,0)), HYPERLINK("#",""), HYPERLINK(CONCATENATE("#Metadata!", ADDRESS(INDEX($X$2:$X$1001,MATCH(ROWS($V$2:V886),$V$2:$V$1001,0),0), INDEX($AC$1004:$AS$1004,1,MATCH(COLUMNS($AC$1006:AR1006),$AC$1006:$AS$1006,0)))),"Fix")))</f>
        <v>0</v>
      </c>
      <c r="R886" s="5">
        <f>IF(OR(INDEX($W$2:$W$1001,MATCH(ROWS($V$2:V886),$V$2:$V$1001,0),1)&gt;=100000,INDEX($AC$1005:$AS$1005,1,MATCH(COLUMNS($AC$1006:AS1006),$AC$1006:$AS$1006,0))&gt;=100000), " ",IF(INDEX($AC$2:$AS$1001,MATCH(ROWS($V$2:V886),$V$2:$V$1001,0),MATCH(COLUMNS($AC$1006:AS1006),$AC$1006:$AS$1006,0)), HYPERLINK("#",""), HYPERLINK(CONCATENATE("#Metadata!", ADDRESS(INDEX($X$2:$X$1001,MATCH(ROWS($V$2:V886),$V$2:$V$1001,0),0), INDEX($AC$1004:$AS$1004,1,MATCH(COLUMNS($AC$1006:AS1006),$AC$1006:$AS$1006,0)))),"Fix")))</f>
        <v>0</v>
      </c>
      <c r="V886">
        <v>0</v>
      </c>
      <c r="W886">
        <v>0</v>
      </c>
      <c r="X886">
        <v>0</v>
      </c>
      <c r="Y886">
        <f>IF(Z886,TRUE,AND(AC886:AS886))</f>
        <v>0</v>
      </c>
      <c r="Z886">
        <f>COUNTBLANK(Metadata!B886:R886)=COLUMNS(Metadata!B886:R886)</f>
        <v>0</v>
      </c>
      <c r="AA886">
        <v>0</v>
      </c>
      <c r="AC886">
        <f>AND(IF(Metadata!B886="",FALSE,TRUE),COUNTIF(Metadata!B:B, Metadata!B886) = 1,NOT(ISERROR(SUMPRODUCT(SEARCH(MID(Metadata!B886,ROW(INDIRECT("1:"&amp;LEN(Metadata!B886))), 1),"0123456789abcdefghijklmnopqrstuvwxyzABCDEFGHIJKLMNOPQRSTUVWXYZ.")))))</f>
        <v>0</v>
      </c>
      <c r="AD886">
        <f>AND(IF(Metadata!C886="",FALSE,TRUE),exact(Metadata!C886,"Host-associated"))</f>
        <v>0</v>
      </c>
      <c r="AE886">
        <f>AND(IF(Metadata!D886="",FALSE,TRUE),OR(exact(Metadata!D886,"Animal"),exact(Metadata!D886,"Fungus"),exact(Metadata!D886,"Plant")))</f>
        <v>0</v>
      </c>
      <c r="AF886">
        <f>AND(IF(Metadata!E886="",FALSE,TRUE),OR(exact(Metadata!E886,"Plant secretion"),exact(Metadata!E886,"Plant rhizosphere"),exact(Metadata!E886,"Plant surface"),exact(Metadata!E886,"Plant corpus"),exact(Metadata!E886,"Fungus surface"),exact(Metadata!E886,"Fungus corpus"),exact(Metadata!E886,"Animal surface"),exact(Metadata!E886,"Animal proximal gut"),exact(Metadata!E886,"Animal corpus"),exact(Metadata!E886,"Animal distal gut"),exact(Metadata!E886,"Animal secretion")))</f>
        <v>0</v>
      </c>
      <c r="AG886">
        <f>OR(AND(IF(Metadata!F886="",FALSE,TRUE),OR(exact(Metadata!F886,"not collected"),exact(Metadata!F886,"not provided"),exact(Metadata!F886,"restricted access"))),AND(IF(Metadata!F886="",FALSE,TRUE),OR(exact(Metadata!F886,"organism-associated habitat"),exact(Metadata!F886,"plant-associated habitat"),exact(Metadata!F886,"animal-associated habitat"),exact(Metadata!F886,"insecta-associated habitat"),exact(Metadata!F886,"mammalia-associated habitat"),exact(Metadata!F886,"human-associated habitat"),exact(Metadata!F886,"livestock-associated habitat"))))</f>
        <v>0</v>
      </c>
      <c r="AH886">
        <f>AND(IF(Metadata!G886="",FALSE,TRUE),exact(Metadata!G886,"host-associated"))</f>
        <v>0</v>
      </c>
      <c r="AI886">
        <f>OR(AND(IF(Metadata!H886="",FALSE,TRUE),OR(exact(Metadata!H886,"not collected"),exact(Metadata!H886,"not provided"))),AND(IF(Metadata!H886="",FALSE,ISNUMBER(VALUE(Metadata!H886))),Metadata!H886&gt;0))</f>
        <v>0</v>
      </c>
      <c r="AJ886">
        <f>AND(IF(Metadata!I886="",FALSE,TRUE),exact(Metadata!I886,"years"))</f>
        <v>0</v>
      </c>
      <c r="AK886">
        <f>IF(Metadata!J886="",FALSE,TRUE)</f>
        <v>0</v>
      </c>
      <c r="AL886">
        <f>OR(AND(IF(Metadata!K886="",FALSE,TRUE),OR(exact(Metadata!K886,"not collected"),exact(Metadata!K886,"not provided"))),AND(IF(Metadata!K886="",FALSE,ISNUMBER(VALUE(Metadata!K886))),Metadata!K886&gt;0))</f>
        <v>0</v>
      </c>
      <c r="AM886">
        <f>AND(IF(Metadata!L886="",FALSE,TRUE),exact(Metadata!L886,"cm"))</f>
        <v>0</v>
      </c>
      <c r="AN886">
        <f>IF(Metadata!M886="",FALSE,TRUE)</f>
        <v>0</v>
      </c>
      <c r="AO886">
        <f>OR(AND(IF(Metadata!N886="",FALSE,TRUE),OR(exact(Metadata!N886,"not applicable"),exact(Metadata!N886,"not collected"),exact(Metadata!N886,"not provided"))),AND(IF(Metadata!N886="",FALSE,IF(ISERROR(INT(Metadata!N886)),FALSE,INT(Metadata!N886)=Metadata!N886)),Metadata!N886&gt;0))</f>
        <v>0</v>
      </c>
      <c r="AP886">
        <f>OR(AND(IF(Metadata!O886="",FALSE,TRUE),OR(exact(Metadata!O886,"not collected"),exact(Metadata!O886,"not provided"))),AND(IF(Metadata!O886="",FALSE,ISNUMBER(VALUE(Metadata!O886))),Metadata!O886&gt;0))</f>
        <v>0</v>
      </c>
      <c r="AQ886">
        <f>AND(IF(Metadata!P886="",FALSE,TRUE),exact(Metadata!P886,"kg"))</f>
        <v>0</v>
      </c>
      <c r="AR886">
        <f>OR(AND(IF(Metadata!Q886="",FALSE,TRUE),OR(exact(Metadata!Q886,"not applicable"),exact(Metadata!Q886,"not collected"),exact(Metadata!Q886,"not provided"),exact(Metadata!Q886,"restricted access"))),IF(Metadata!Q886="",FALSE,IF(ISERROR(INT(Metadata!Q886)),FALSE,INT(Metadata!Q886)=Metadata!Q886)))</f>
        <v>0</v>
      </c>
      <c r="AS886">
        <f>AND(IF(Metadata!R886="",FALSE,TRUE),exact(Metadata!R886,"Not applicable"))</f>
        <v>0</v>
      </c>
    </row>
    <row r="887" spans="1:45">
      <c r="A887" s="4">
        <f>IF(B887=" "," ",HYPERLINK(CONCATENATE("#metadata!",ADDRESS(INDEX($X$2:$X$1001,MATCH(ROWS($V$2:V887),$V$2:$V$1001,0),0),2)),INDEX($AA$2:$AA$1001,MATCH(ROWS($V$2:V887),$V$2:$V$1001,0),0)))</f>
        <v>0</v>
      </c>
      <c r="B887" s="5">
        <f>IF(OR(INDEX($W$2:$W$1001,MATCH(ROWS($V$2:V887),$V$2:$V$1001,0),1)&gt;=100000,INDEX($AC$1005:$AS$1005,1,MATCH(COLUMNS($AC$1006:AC1006),$AC$1006:$AS$1006,0))&gt;=100000), " ",IF(INDEX($AC$2:$AS$1001,MATCH(ROWS($V$2:V887),$V$2:$V$1001,0),MATCH(COLUMNS($AC$1006:AC1006),$AC$1006:$AS$1006,0)), HYPERLINK("#",""), HYPERLINK(CONCATENATE("#Metadata!", ADDRESS(INDEX($X$2:$X$1001,MATCH(ROWS($V$2:V887),$V$2:$V$1001,0),0), INDEX($AC$1004:$AS$1004,1,MATCH(COLUMNS($AC$1006:AC1006),$AC$1006:$AS$1006,0)))),"Fix")))</f>
        <v>0</v>
      </c>
      <c r="C887" s="5">
        <f>IF(OR(INDEX($W$2:$W$1001,MATCH(ROWS($V$2:V887),$V$2:$V$1001,0),1)&gt;=100000,INDEX($AC$1005:$AS$1005,1,MATCH(COLUMNS($AC$1006:AD1006),$AC$1006:$AS$1006,0))&gt;=100000), " ",IF(INDEX($AC$2:$AS$1001,MATCH(ROWS($V$2:V887),$V$2:$V$1001,0),MATCH(COLUMNS($AC$1006:AD1006),$AC$1006:$AS$1006,0)), HYPERLINK("#",""), HYPERLINK(CONCATENATE("#Metadata!", ADDRESS(INDEX($X$2:$X$1001,MATCH(ROWS($V$2:V887),$V$2:$V$1001,0),0), INDEX($AC$1004:$AS$1004,1,MATCH(COLUMNS($AC$1006:AD1006),$AC$1006:$AS$1006,0)))),"Fix")))</f>
        <v>0</v>
      </c>
      <c r="D887" s="5">
        <f>IF(OR(INDEX($W$2:$W$1001,MATCH(ROWS($V$2:V887),$V$2:$V$1001,0),1)&gt;=100000,INDEX($AC$1005:$AS$1005,1,MATCH(COLUMNS($AC$1006:AE1006),$AC$1006:$AS$1006,0))&gt;=100000), " ",IF(INDEX($AC$2:$AS$1001,MATCH(ROWS($V$2:V887),$V$2:$V$1001,0),MATCH(COLUMNS($AC$1006:AE1006),$AC$1006:$AS$1006,0)), HYPERLINK("#",""), HYPERLINK(CONCATENATE("#Metadata!", ADDRESS(INDEX($X$2:$X$1001,MATCH(ROWS($V$2:V887),$V$2:$V$1001,0),0), INDEX($AC$1004:$AS$1004,1,MATCH(COLUMNS($AC$1006:AE1006),$AC$1006:$AS$1006,0)))),"Fix")))</f>
        <v>0</v>
      </c>
      <c r="E887" s="5">
        <f>IF(OR(INDEX($W$2:$W$1001,MATCH(ROWS($V$2:V887),$V$2:$V$1001,0),1)&gt;=100000,INDEX($AC$1005:$AS$1005,1,MATCH(COLUMNS($AC$1006:AF1006),$AC$1006:$AS$1006,0))&gt;=100000), " ",IF(INDEX($AC$2:$AS$1001,MATCH(ROWS($V$2:V887),$V$2:$V$1001,0),MATCH(COLUMNS($AC$1006:AF1006),$AC$1006:$AS$1006,0)), HYPERLINK("#",""), HYPERLINK(CONCATENATE("#Metadata!", ADDRESS(INDEX($X$2:$X$1001,MATCH(ROWS($V$2:V887),$V$2:$V$1001,0),0), INDEX($AC$1004:$AS$1004,1,MATCH(COLUMNS($AC$1006:AF1006),$AC$1006:$AS$1006,0)))),"Fix")))</f>
        <v>0</v>
      </c>
      <c r="F887" s="5">
        <f>IF(OR(INDEX($W$2:$W$1001,MATCH(ROWS($V$2:V887),$V$2:$V$1001,0),1)&gt;=100000,INDEX($AC$1005:$AS$1005,1,MATCH(COLUMNS($AC$1006:AG1006),$AC$1006:$AS$1006,0))&gt;=100000), " ",IF(INDEX($AC$2:$AS$1001,MATCH(ROWS($V$2:V887),$V$2:$V$1001,0),MATCH(COLUMNS($AC$1006:AG1006),$AC$1006:$AS$1006,0)), HYPERLINK("#",""), HYPERLINK(CONCATENATE("#Metadata!", ADDRESS(INDEX($X$2:$X$1001,MATCH(ROWS($V$2:V887),$V$2:$V$1001,0),0), INDEX($AC$1004:$AS$1004,1,MATCH(COLUMNS($AC$1006:AG1006),$AC$1006:$AS$1006,0)))),"Fix")))</f>
        <v>0</v>
      </c>
      <c r="G887" s="5">
        <f>IF(OR(INDEX($W$2:$W$1001,MATCH(ROWS($V$2:V887),$V$2:$V$1001,0),1)&gt;=100000,INDEX($AC$1005:$AS$1005,1,MATCH(COLUMNS($AC$1006:AH1006),$AC$1006:$AS$1006,0))&gt;=100000), " ",IF(INDEX($AC$2:$AS$1001,MATCH(ROWS($V$2:V887),$V$2:$V$1001,0),MATCH(COLUMNS($AC$1006:AH1006),$AC$1006:$AS$1006,0)), HYPERLINK("#",""), HYPERLINK(CONCATENATE("#Metadata!", ADDRESS(INDEX($X$2:$X$1001,MATCH(ROWS($V$2:V887),$V$2:$V$1001,0),0), INDEX($AC$1004:$AS$1004,1,MATCH(COLUMNS($AC$1006:AH1006),$AC$1006:$AS$1006,0)))),"Fix")))</f>
        <v>0</v>
      </c>
      <c r="H887" s="5">
        <f>IF(OR(INDEX($W$2:$W$1001,MATCH(ROWS($V$2:V887),$V$2:$V$1001,0),1)&gt;=100000,INDEX($AC$1005:$AS$1005,1,MATCH(COLUMNS($AC$1006:AI1006),$AC$1006:$AS$1006,0))&gt;=100000), " ",IF(INDEX($AC$2:$AS$1001,MATCH(ROWS($V$2:V887),$V$2:$V$1001,0),MATCH(COLUMNS($AC$1006:AI1006),$AC$1006:$AS$1006,0)), HYPERLINK("#",""), HYPERLINK(CONCATENATE("#Metadata!", ADDRESS(INDEX($X$2:$X$1001,MATCH(ROWS($V$2:V887),$V$2:$V$1001,0),0), INDEX($AC$1004:$AS$1004,1,MATCH(COLUMNS($AC$1006:AI1006),$AC$1006:$AS$1006,0)))),"Fix")))</f>
        <v>0</v>
      </c>
      <c r="I887" s="5">
        <f>IF(OR(INDEX($W$2:$W$1001,MATCH(ROWS($V$2:V887),$V$2:$V$1001,0),1)&gt;=100000,INDEX($AC$1005:$AS$1005,1,MATCH(COLUMNS($AC$1006:AJ1006),$AC$1006:$AS$1006,0))&gt;=100000), " ",IF(INDEX($AC$2:$AS$1001,MATCH(ROWS($V$2:V887),$V$2:$V$1001,0),MATCH(COLUMNS($AC$1006:AJ1006),$AC$1006:$AS$1006,0)), HYPERLINK("#",""), HYPERLINK(CONCATENATE("#Metadata!", ADDRESS(INDEX($X$2:$X$1001,MATCH(ROWS($V$2:V887),$V$2:$V$1001,0),0), INDEX($AC$1004:$AS$1004,1,MATCH(COLUMNS($AC$1006:AJ1006),$AC$1006:$AS$1006,0)))),"Fix")))</f>
        <v>0</v>
      </c>
      <c r="J887" s="5">
        <f>IF(OR(INDEX($W$2:$W$1001,MATCH(ROWS($V$2:V887),$V$2:$V$1001,0),1)&gt;=100000,INDEX($AC$1005:$AS$1005,1,MATCH(COLUMNS($AC$1006:AK1006),$AC$1006:$AS$1006,0))&gt;=100000), " ",IF(INDEX($AC$2:$AS$1001,MATCH(ROWS($V$2:V887),$V$2:$V$1001,0),MATCH(COLUMNS($AC$1006:AK1006),$AC$1006:$AS$1006,0)), HYPERLINK("#",""), HYPERLINK(CONCATENATE("#Metadata!", ADDRESS(INDEX($X$2:$X$1001,MATCH(ROWS($V$2:V887),$V$2:$V$1001,0),0), INDEX($AC$1004:$AS$1004,1,MATCH(COLUMNS($AC$1006:AK1006),$AC$1006:$AS$1006,0)))),"Fix")))</f>
        <v>0</v>
      </c>
      <c r="K887" s="5">
        <f>IF(OR(INDEX($W$2:$W$1001,MATCH(ROWS($V$2:V887),$V$2:$V$1001,0),1)&gt;=100000,INDEX($AC$1005:$AS$1005,1,MATCH(COLUMNS($AC$1006:AL1006),$AC$1006:$AS$1006,0))&gt;=100000), " ",IF(INDEX($AC$2:$AS$1001,MATCH(ROWS($V$2:V887),$V$2:$V$1001,0),MATCH(COLUMNS($AC$1006:AL1006),$AC$1006:$AS$1006,0)), HYPERLINK("#",""), HYPERLINK(CONCATENATE("#Metadata!", ADDRESS(INDEX($X$2:$X$1001,MATCH(ROWS($V$2:V887),$V$2:$V$1001,0),0), INDEX($AC$1004:$AS$1004,1,MATCH(COLUMNS($AC$1006:AL1006),$AC$1006:$AS$1006,0)))),"Fix")))</f>
        <v>0</v>
      </c>
      <c r="L887" s="5">
        <f>IF(OR(INDEX($W$2:$W$1001,MATCH(ROWS($V$2:V887),$V$2:$V$1001,0),1)&gt;=100000,INDEX($AC$1005:$AS$1005,1,MATCH(COLUMNS($AC$1006:AM1006),$AC$1006:$AS$1006,0))&gt;=100000), " ",IF(INDEX($AC$2:$AS$1001,MATCH(ROWS($V$2:V887),$V$2:$V$1001,0),MATCH(COLUMNS($AC$1006:AM1006),$AC$1006:$AS$1006,0)), HYPERLINK("#",""), HYPERLINK(CONCATENATE("#Metadata!", ADDRESS(INDEX($X$2:$X$1001,MATCH(ROWS($V$2:V887),$V$2:$V$1001,0),0), INDEX($AC$1004:$AS$1004,1,MATCH(COLUMNS($AC$1006:AM1006),$AC$1006:$AS$1006,0)))),"Fix")))</f>
        <v>0</v>
      </c>
      <c r="M887" s="5">
        <f>IF(OR(INDEX($W$2:$W$1001,MATCH(ROWS($V$2:V887),$V$2:$V$1001,0),1)&gt;=100000,INDEX($AC$1005:$AS$1005,1,MATCH(COLUMNS($AC$1006:AN1006),$AC$1006:$AS$1006,0))&gt;=100000), " ",IF(INDEX($AC$2:$AS$1001,MATCH(ROWS($V$2:V887),$V$2:$V$1001,0),MATCH(COLUMNS($AC$1006:AN1006),$AC$1006:$AS$1006,0)), HYPERLINK("#",""), HYPERLINK(CONCATENATE("#Metadata!", ADDRESS(INDEX($X$2:$X$1001,MATCH(ROWS($V$2:V887),$V$2:$V$1001,0),0), INDEX($AC$1004:$AS$1004,1,MATCH(COLUMNS($AC$1006:AN1006),$AC$1006:$AS$1006,0)))),"Fix")))</f>
        <v>0</v>
      </c>
      <c r="N887" s="5">
        <f>IF(OR(INDEX($W$2:$W$1001,MATCH(ROWS($V$2:V887),$V$2:$V$1001,0),1)&gt;=100000,INDEX($AC$1005:$AS$1005,1,MATCH(COLUMNS($AC$1006:AO1006),$AC$1006:$AS$1006,0))&gt;=100000), " ",IF(INDEX($AC$2:$AS$1001,MATCH(ROWS($V$2:V887),$V$2:$V$1001,0),MATCH(COLUMNS($AC$1006:AO1006),$AC$1006:$AS$1006,0)), HYPERLINK("#",""), HYPERLINK(CONCATENATE("#Metadata!", ADDRESS(INDEX($X$2:$X$1001,MATCH(ROWS($V$2:V887),$V$2:$V$1001,0),0), INDEX($AC$1004:$AS$1004,1,MATCH(COLUMNS($AC$1006:AO1006),$AC$1006:$AS$1006,0)))),"Fix")))</f>
        <v>0</v>
      </c>
      <c r="O887" s="5">
        <f>IF(OR(INDEX($W$2:$W$1001,MATCH(ROWS($V$2:V887),$V$2:$V$1001,0),1)&gt;=100000,INDEX($AC$1005:$AS$1005,1,MATCH(COLUMNS($AC$1006:AP1006),$AC$1006:$AS$1006,0))&gt;=100000), " ",IF(INDEX($AC$2:$AS$1001,MATCH(ROWS($V$2:V887),$V$2:$V$1001,0),MATCH(COLUMNS($AC$1006:AP1006),$AC$1006:$AS$1006,0)), HYPERLINK("#",""), HYPERLINK(CONCATENATE("#Metadata!", ADDRESS(INDEX($X$2:$X$1001,MATCH(ROWS($V$2:V887),$V$2:$V$1001,0),0), INDEX($AC$1004:$AS$1004,1,MATCH(COLUMNS($AC$1006:AP1006),$AC$1006:$AS$1006,0)))),"Fix")))</f>
        <v>0</v>
      </c>
      <c r="P887" s="5">
        <f>IF(OR(INDEX($W$2:$W$1001,MATCH(ROWS($V$2:V887),$V$2:$V$1001,0),1)&gt;=100000,INDEX($AC$1005:$AS$1005,1,MATCH(COLUMNS($AC$1006:AQ1006),$AC$1006:$AS$1006,0))&gt;=100000), " ",IF(INDEX($AC$2:$AS$1001,MATCH(ROWS($V$2:V887),$V$2:$V$1001,0),MATCH(COLUMNS($AC$1006:AQ1006),$AC$1006:$AS$1006,0)), HYPERLINK("#",""), HYPERLINK(CONCATENATE("#Metadata!", ADDRESS(INDEX($X$2:$X$1001,MATCH(ROWS($V$2:V887),$V$2:$V$1001,0),0), INDEX($AC$1004:$AS$1004,1,MATCH(COLUMNS($AC$1006:AQ1006),$AC$1006:$AS$1006,0)))),"Fix")))</f>
        <v>0</v>
      </c>
      <c r="Q887" s="5">
        <f>IF(OR(INDEX($W$2:$W$1001,MATCH(ROWS($V$2:V887),$V$2:$V$1001,0),1)&gt;=100000,INDEX($AC$1005:$AS$1005,1,MATCH(COLUMNS($AC$1006:AR1006),$AC$1006:$AS$1006,0))&gt;=100000), " ",IF(INDEX($AC$2:$AS$1001,MATCH(ROWS($V$2:V887),$V$2:$V$1001,0),MATCH(COLUMNS($AC$1006:AR1006),$AC$1006:$AS$1006,0)), HYPERLINK("#",""), HYPERLINK(CONCATENATE("#Metadata!", ADDRESS(INDEX($X$2:$X$1001,MATCH(ROWS($V$2:V887),$V$2:$V$1001,0),0), INDEX($AC$1004:$AS$1004,1,MATCH(COLUMNS($AC$1006:AR1006),$AC$1006:$AS$1006,0)))),"Fix")))</f>
        <v>0</v>
      </c>
      <c r="R887" s="5">
        <f>IF(OR(INDEX($W$2:$W$1001,MATCH(ROWS($V$2:V887),$V$2:$V$1001,0),1)&gt;=100000,INDEX($AC$1005:$AS$1005,1,MATCH(COLUMNS($AC$1006:AS1006),$AC$1006:$AS$1006,0))&gt;=100000), " ",IF(INDEX($AC$2:$AS$1001,MATCH(ROWS($V$2:V887),$V$2:$V$1001,0),MATCH(COLUMNS($AC$1006:AS1006),$AC$1006:$AS$1006,0)), HYPERLINK("#",""), HYPERLINK(CONCATENATE("#Metadata!", ADDRESS(INDEX($X$2:$X$1001,MATCH(ROWS($V$2:V887),$V$2:$V$1001,0),0), INDEX($AC$1004:$AS$1004,1,MATCH(COLUMNS($AC$1006:AS1006),$AC$1006:$AS$1006,0)))),"Fix")))</f>
        <v>0</v>
      </c>
      <c r="V887">
        <v>0</v>
      </c>
      <c r="W887">
        <v>0</v>
      </c>
      <c r="X887">
        <v>0</v>
      </c>
      <c r="Y887">
        <f>IF(Z887,TRUE,AND(AC887:AS887))</f>
        <v>0</v>
      </c>
      <c r="Z887">
        <f>COUNTBLANK(Metadata!B887:R887)=COLUMNS(Metadata!B887:R887)</f>
        <v>0</v>
      </c>
      <c r="AA887">
        <v>0</v>
      </c>
      <c r="AC887">
        <f>AND(IF(Metadata!B887="",FALSE,TRUE),COUNTIF(Metadata!B:B, Metadata!B887) = 1,NOT(ISERROR(SUMPRODUCT(SEARCH(MID(Metadata!B887,ROW(INDIRECT("1:"&amp;LEN(Metadata!B887))), 1),"0123456789abcdefghijklmnopqrstuvwxyzABCDEFGHIJKLMNOPQRSTUVWXYZ.")))))</f>
        <v>0</v>
      </c>
      <c r="AD887">
        <f>AND(IF(Metadata!C887="",FALSE,TRUE),exact(Metadata!C887,"Host-associated"))</f>
        <v>0</v>
      </c>
      <c r="AE887">
        <f>AND(IF(Metadata!D887="",FALSE,TRUE),OR(exact(Metadata!D887,"Animal"),exact(Metadata!D887,"Fungus"),exact(Metadata!D887,"Plant")))</f>
        <v>0</v>
      </c>
      <c r="AF887">
        <f>AND(IF(Metadata!E887="",FALSE,TRUE),OR(exact(Metadata!E887,"Plant secretion"),exact(Metadata!E887,"Plant rhizosphere"),exact(Metadata!E887,"Plant surface"),exact(Metadata!E887,"Plant corpus"),exact(Metadata!E887,"Fungus surface"),exact(Metadata!E887,"Fungus corpus"),exact(Metadata!E887,"Animal surface"),exact(Metadata!E887,"Animal proximal gut"),exact(Metadata!E887,"Animal corpus"),exact(Metadata!E887,"Animal distal gut"),exact(Metadata!E887,"Animal secretion")))</f>
        <v>0</v>
      </c>
      <c r="AG887">
        <f>OR(AND(IF(Metadata!F887="",FALSE,TRUE),OR(exact(Metadata!F887,"not collected"),exact(Metadata!F887,"not provided"),exact(Metadata!F887,"restricted access"))),AND(IF(Metadata!F887="",FALSE,TRUE),OR(exact(Metadata!F887,"organism-associated habitat"),exact(Metadata!F887,"plant-associated habitat"),exact(Metadata!F887,"animal-associated habitat"),exact(Metadata!F887,"insecta-associated habitat"),exact(Metadata!F887,"mammalia-associated habitat"),exact(Metadata!F887,"human-associated habitat"),exact(Metadata!F887,"livestock-associated habitat"))))</f>
        <v>0</v>
      </c>
      <c r="AH887">
        <f>AND(IF(Metadata!G887="",FALSE,TRUE),exact(Metadata!G887,"host-associated"))</f>
        <v>0</v>
      </c>
      <c r="AI887">
        <f>OR(AND(IF(Metadata!H887="",FALSE,TRUE),OR(exact(Metadata!H887,"not collected"),exact(Metadata!H887,"not provided"))),AND(IF(Metadata!H887="",FALSE,ISNUMBER(VALUE(Metadata!H887))),Metadata!H887&gt;0))</f>
        <v>0</v>
      </c>
      <c r="AJ887">
        <f>AND(IF(Metadata!I887="",FALSE,TRUE),exact(Metadata!I887,"years"))</f>
        <v>0</v>
      </c>
      <c r="AK887">
        <f>IF(Metadata!J887="",FALSE,TRUE)</f>
        <v>0</v>
      </c>
      <c r="AL887">
        <f>OR(AND(IF(Metadata!K887="",FALSE,TRUE),OR(exact(Metadata!K887,"not collected"),exact(Metadata!K887,"not provided"))),AND(IF(Metadata!K887="",FALSE,ISNUMBER(VALUE(Metadata!K887))),Metadata!K887&gt;0))</f>
        <v>0</v>
      </c>
      <c r="AM887">
        <f>AND(IF(Metadata!L887="",FALSE,TRUE),exact(Metadata!L887,"cm"))</f>
        <v>0</v>
      </c>
      <c r="AN887">
        <f>IF(Metadata!M887="",FALSE,TRUE)</f>
        <v>0</v>
      </c>
      <c r="AO887">
        <f>OR(AND(IF(Metadata!N887="",FALSE,TRUE),OR(exact(Metadata!N887,"not applicable"),exact(Metadata!N887,"not collected"),exact(Metadata!N887,"not provided"))),AND(IF(Metadata!N887="",FALSE,IF(ISERROR(INT(Metadata!N887)),FALSE,INT(Metadata!N887)=Metadata!N887)),Metadata!N887&gt;0))</f>
        <v>0</v>
      </c>
      <c r="AP887">
        <f>OR(AND(IF(Metadata!O887="",FALSE,TRUE),OR(exact(Metadata!O887,"not collected"),exact(Metadata!O887,"not provided"))),AND(IF(Metadata!O887="",FALSE,ISNUMBER(VALUE(Metadata!O887))),Metadata!O887&gt;0))</f>
        <v>0</v>
      </c>
      <c r="AQ887">
        <f>AND(IF(Metadata!P887="",FALSE,TRUE),exact(Metadata!P887,"kg"))</f>
        <v>0</v>
      </c>
      <c r="AR887">
        <f>OR(AND(IF(Metadata!Q887="",FALSE,TRUE),OR(exact(Metadata!Q887,"not applicable"),exact(Metadata!Q887,"not collected"),exact(Metadata!Q887,"not provided"),exact(Metadata!Q887,"restricted access"))),IF(Metadata!Q887="",FALSE,IF(ISERROR(INT(Metadata!Q887)),FALSE,INT(Metadata!Q887)=Metadata!Q887)))</f>
        <v>0</v>
      </c>
      <c r="AS887">
        <f>AND(IF(Metadata!R887="",FALSE,TRUE),exact(Metadata!R887,"Not applicable"))</f>
        <v>0</v>
      </c>
    </row>
    <row r="888" spans="1:45">
      <c r="A888" s="4">
        <f>IF(B888=" "," ",HYPERLINK(CONCATENATE("#metadata!",ADDRESS(INDEX($X$2:$X$1001,MATCH(ROWS($V$2:V888),$V$2:$V$1001,0),0),2)),INDEX($AA$2:$AA$1001,MATCH(ROWS($V$2:V888),$V$2:$V$1001,0),0)))</f>
        <v>0</v>
      </c>
      <c r="B888" s="5">
        <f>IF(OR(INDEX($W$2:$W$1001,MATCH(ROWS($V$2:V888),$V$2:$V$1001,0),1)&gt;=100000,INDEX($AC$1005:$AS$1005,1,MATCH(COLUMNS($AC$1006:AC1006),$AC$1006:$AS$1006,0))&gt;=100000), " ",IF(INDEX($AC$2:$AS$1001,MATCH(ROWS($V$2:V888),$V$2:$V$1001,0),MATCH(COLUMNS($AC$1006:AC1006),$AC$1006:$AS$1006,0)), HYPERLINK("#",""), HYPERLINK(CONCATENATE("#Metadata!", ADDRESS(INDEX($X$2:$X$1001,MATCH(ROWS($V$2:V888),$V$2:$V$1001,0),0), INDEX($AC$1004:$AS$1004,1,MATCH(COLUMNS($AC$1006:AC1006),$AC$1006:$AS$1006,0)))),"Fix")))</f>
        <v>0</v>
      </c>
      <c r="C888" s="5">
        <f>IF(OR(INDEX($W$2:$W$1001,MATCH(ROWS($V$2:V888),$V$2:$V$1001,0),1)&gt;=100000,INDEX($AC$1005:$AS$1005,1,MATCH(COLUMNS($AC$1006:AD1006),$AC$1006:$AS$1006,0))&gt;=100000), " ",IF(INDEX($AC$2:$AS$1001,MATCH(ROWS($V$2:V888),$V$2:$V$1001,0),MATCH(COLUMNS($AC$1006:AD1006),$AC$1006:$AS$1006,0)), HYPERLINK("#",""), HYPERLINK(CONCATENATE("#Metadata!", ADDRESS(INDEX($X$2:$X$1001,MATCH(ROWS($V$2:V888),$V$2:$V$1001,0),0), INDEX($AC$1004:$AS$1004,1,MATCH(COLUMNS($AC$1006:AD1006),$AC$1006:$AS$1006,0)))),"Fix")))</f>
        <v>0</v>
      </c>
      <c r="D888" s="5">
        <f>IF(OR(INDEX($W$2:$W$1001,MATCH(ROWS($V$2:V888),$V$2:$V$1001,0),1)&gt;=100000,INDEX($AC$1005:$AS$1005,1,MATCH(COLUMNS($AC$1006:AE1006),$AC$1006:$AS$1006,0))&gt;=100000), " ",IF(INDEX($AC$2:$AS$1001,MATCH(ROWS($V$2:V888),$V$2:$V$1001,0),MATCH(COLUMNS($AC$1006:AE1006),$AC$1006:$AS$1006,0)), HYPERLINK("#",""), HYPERLINK(CONCATENATE("#Metadata!", ADDRESS(INDEX($X$2:$X$1001,MATCH(ROWS($V$2:V888),$V$2:$V$1001,0),0), INDEX($AC$1004:$AS$1004,1,MATCH(COLUMNS($AC$1006:AE1006),$AC$1006:$AS$1006,0)))),"Fix")))</f>
        <v>0</v>
      </c>
      <c r="E888" s="5">
        <f>IF(OR(INDEX($W$2:$W$1001,MATCH(ROWS($V$2:V888),$V$2:$V$1001,0),1)&gt;=100000,INDEX($AC$1005:$AS$1005,1,MATCH(COLUMNS($AC$1006:AF1006),$AC$1006:$AS$1006,0))&gt;=100000), " ",IF(INDEX($AC$2:$AS$1001,MATCH(ROWS($V$2:V888),$V$2:$V$1001,0),MATCH(COLUMNS($AC$1006:AF1006),$AC$1006:$AS$1006,0)), HYPERLINK("#",""), HYPERLINK(CONCATENATE("#Metadata!", ADDRESS(INDEX($X$2:$X$1001,MATCH(ROWS($V$2:V888),$V$2:$V$1001,0),0), INDEX($AC$1004:$AS$1004,1,MATCH(COLUMNS($AC$1006:AF1006),$AC$1006:$AS$1006,0)))),"Fix")))</f>
        <v>0</v>
      </c>
      <c r="F888" s="5">
        <f>IF(OR(INDEX($W$2:$W$1001,MATCH(ROWS($V$2:V888),$V$2:$V$1001,0),1)&gt;=100000,INDEX($AC$1005:$AS$1005,1,MATCH(COLUMNS($AC$1006:AG1006),$AC$1006:$AS$1006,0))&gt;=100000), " ",IF(INDEX($AC$2:$AS$1001,MATCH(ROWS($V$2:V888),$V$2:$V$1001,0),MATCH(COLUMNS($AC$1006:AG1006),$AC$1006:$AS$1006,0)), HYPERLINK("#",""), HYPERLINK(CONCATENATE("#Metadata!", ADDRESS(INDEX($X$2:$X$1001,MATCH(ROWS($V$2:V888),$V$2:$V$1001,0),0), INDEX($AC$1004:$AS$1004,1,MATCH(COLUMNS($AC$1006:AG1006),$AC$1006:$AS$1006,0)))),"Fix")))</f>
        <v>0</v>
      </c>
      <c r="G888" s="5">
        <f>IF(OR(INDEX($W$2:$W$1001,MATCH(ROWS($V$2:V888),$V$2:$V$1001,0),1)&gt;=100000,INDEX($AC$1005:$AS$1005,1,MATCH(COLUMNS($AC$1006:AH1006),$AC$1006:$AS$1006,0))&gt;=100000), " ",IF(INDEX($AC$2:$AS$1001,MATCH(ROWS($V$2:V888),$V$2:$V$1001,0),MATCH(COLUMNS($AC$1006:AH1006),$AC$1006:$AS$1006,0)), HYPERLINK("#",""), HYPERLINK(CONCATENATE("#Metadata!", ADDRESS(INDEX($X$2:$X$1001,MATCH(ROWS($V$2:V888),$V$2:$V$1001,0),0), INDEX($AC$1004:$AS$1004,1,MATCH(COLUMNS($AC$1006:AH1006),$AC$1006:$AS$1006,0)))),"Fix")))</f>
        <v>0</v>
      </c>
      <c r="H888" s="5">
        <f>IF(OR(INDEX($W$2:$W$1001,MATCH(ROWS($V$2:V888),$V$2:$V$1001,0),1)&gt;=100000,INDEX($AC$1005:$AS$1005,1,MATCH(COLUMNS($AC$1006:AI1006),$AC$1006:$AS$1006,0))&gt;=100000), " ",IF(INDEX($AC$2:$AS$1001,MATCH(ROWS($V$2:V888),$V$2:$V$1001,0),MATCH(COLUMNS($AC$1006:AI1006),$AC$1006:$AS$1006,0)), HYPERLINK("#",""), HYPERLINK(CONCATENATE("#Metadata!", ADDRESS(INDEX($X$2:$X$1001,MATCH(ROWS($V$2:V888),$V$2:$V$1001,0),0), INDEX($AC$1004:$AS$1004,1,MATCH(COLUMNS($AC$1006:AI1006),$AC$1006:$AS$1006,0)))),"Fix")))</f>
        <v>0</v>
      </c>
      <c r="I888" s="5">
        <f>IF(OR(INDEX($W$2:$W$1001,MATCH(ROWS($V$2:V888),$V$2:$V$1001,0),1)&gt;=100000,INDEX($AC$1005:$AS$1005,1,MATCH(COLUMNS($AC$1006:AJ1006),$AC$1006:$AS$1006,0))&gt;=100000), " ",IF(INDEX($AC$2:$AS$1001,MATCH(ROWS($V$2:V888),$V$2:$V$1001,0),MATCH(COLUMNS($AC$1006:AJ1006),$AC$1006:$AS$1006,0)), HYPERLINK("#",""), HYPERLINK(CONCATENATE("#Metadata!", ADDRESS(INDEX($X$2:$X$1001,MATCH(ROWS($V$2:V888),$V$2:$V$1001,0),0), INDEX($AC$1004:$AS$1004,1,MATCH(COLUMNS($AC$1006:AJ1006),$AC$1006:$AS$1006,0)))),"Fix")))</f>
        <v>0</v>
      </c>
      <c r="J888" s="5">
        <f>IF(OR(INDEX($W$2:$W$1001,MATCH(ROWS($V$2:V888),$V$2:$V$1001,0),1)&gt;=100000,INDEX($AC$1005:$AS$1005,1,MATCH(COLUMNS($AC$1006:AK1006),$AC$1006:$AS$1006,0))&gt;=100000), " ",IF(INDEX($AC$2:$AS$1001,MATCH(ROWS($V$2:V888),$V$2:$V$1001,0),MATCH(COLUMNS($AC$1006:AK1006),$AC$1006:$AS$1006,0)), HYPERLINK("#",""), HYPERLINK(CONCATENATE("#Metadata!", ADDRESS(INDEX($X$2:$X$1001,MATCH(ROWS($V$2:V888),$V$2:$V$1001,0),0), INDEX($AC$1004:$AS$1004,1,MATCH(COLUMNS($AC$1006:AK1006),$AC$1006:$AS$1006,0)))),"Fix")))</f>
        <v>0</v>
      </c>
      <c r="K888" s="5">
        <f>IF(OR(INDEX($W$2:$W$1001,MATCH(ROWS($V$2:V888),$V$2:$V$1001,0),1)&gt;=100000,INDEX($AC$1005:$AS$1005,1,MATCH(COLUMNS($AC$1006:AL1006),$AC$1006:$AS$1006,0))&gt;=100000), " ",IF(INDEX($AC$2:$AS$1001,MATCH(ROWS($V$2:V888),$V$2:$V$1001,0),MATCH(COLUMNS($AC$1006:AL1006),$AC$1006:$AS$1006,0)), HYPERLINK("#",""), HYPERLINK(CONCATENATE("#Metadata!", ADDRESS(INDEX($X$2:$X$1001,MATCH(ROWS($V$2:V888),$V$2:$V$1001,0),0), INDEX($AC$1004:$AS$1004,1,MATCH(COLUMNS($AC$1006:AL1006),$AC$1006:$AS$1006,0)))),"Fix")))</f>
        <v>0</v>
      </c>
      <c r="L888" s="5">
        <f>IF(OR(INDEX($W$2:$W$1001,MATCH(ROWS($V$2:V888),$V$2:$V$1001,0),1)&gt;=100000,INDEX($AC$1005:$AS$1005,1,MATCH(COLUMNS($AC$1006:AM1006),$AC$1006:$AS$1006,0))&gt;=100000), " ",IF(INDEX($AC$2:$AS$1001,MATCH(ROWS($V$2:V888),$V$2:$V$1001,0),MATCH(COLUMNS($AC$1006:AM1006),$AC$1006:$AS$1006,0)), HYPERLINK("#",""), HYPERLINK(CONCATENATE("#Metadata!", ADDRESS(INDEX($X$2:$X$1001,MATCH(ROWS($V$2:V888),$V$2:$V$1001,0),0), INDEX($AC$1004:$AS$1004,1,MATCH(COLUMNS($AC$1006:AM1006),$AC$1006:$AS$1006,0)))),"Fix")))</f>
        <v>0</v>
      </c>
      <c r="M888" s="5">
        <f>IF(OR(INDEX($W$2:$W$1001,MATCH(ROWS($V$2:V888),$V$2:$V$1001,0),1)&gt;=100000,INDEX($AC$1005:$AS$1005,1,MATCH(COLUMNS($AC$1006:AN1006),$AC$1006:$AS$1006,0))&gt;=100000), " ",IF(INDEX($AC$2:$AS$1001,MATCH(ROWS($V$2:V888),$V$2:$V$1001,0),MATCH(COLUMNS($AC$1006:AN1006),$AC$1006:$AS$1006,0)), HYPERLINK("#",""), HYPERLINK(CONCATENATE("#Metadata!", ADDRESS(INDEX($X$2:$X$1001,MATCH(ROWS($V$2:V888),$V$2:$V$1001,0),0), INDEX($AC$1004:$AS$1004,1,MATCH(COLUMNS($AC$1006:AN1006),$AC$1006:$AS$1006,0)))),"Fix")))</f>
        <v>0</v>
      </c>
      <c r="N888" s="5">
        <f>IF(OR(INDEX($W$2:$W$1001,MATCH(ROWS($V$2:V888),$V$2:$V$1001,0),1)&gt;=100000,INDEX($AC$1005:$AS$1005,1,MATCH(COLUMNS($AC$1006:AO1006),$AC$1006:$AS$1006,0))&gt;=100000), " ",IF(INDEX($AC$2:$AS$1001,MATCH(ROWS($V$2:V888),$V$2:$V$1001,0),MATCH(COLUMNS($AC$1006:AO1006),$AC$1006:$AS$1006,0)), HYPERLINK("#",""), HYPERLINK(CONCATENATE("#Metadata!", ADDRESS(INDEX($X$2:$X$1001,MATCH(ROWS($V$2:V888),$V$2:$V$1001,0),0), INDEX($AC$1004:$AS$1004,1,MATCH(COLUMNS($AC$1006:AO1006),$AC$1006:$AS$1006,0)))),"Fix")))</f>
        <v>0</v>
      </c>
      <c r="O888" s="5">
        <f>IF(OR(INDEX($W$2:$W$1001,MATCH(ROWS($V$2:V888),$V$2:$V$1001,0),1)&gt;=100000,INDEX($AC$1005:$AS$1005,1,MATCH(COLUMNS($AC$1006:AP1006),$AC$1006:$AS$1006,0))&gt;=100000), " ",IF(INDEX($AC$2:$AS$1001,MATCH(ROWS($V$2:V888),$V$2:$V$1001,0),MATCH(COLUMNS($AC$1006:AP1006),$AC$1006:$AS$1006,0)), HYPERLINK("#",""), HYPERLINK(CONCATENATE("#Metadata!", ADDRESS(INDEX($X$2:$X$1001,MATCH(ROWS($V$2:V888),$V$2:$V$1001,0),0), INDEX($AC$1004:$AS$1004,1,MATCH(COLUMNS($AC$1006:AP1006),$AC$1006:$AS$1006,0)))),"Fix")))</f>
        <v>0</v>
      </c>
      <c r="P888" s="5">
        <f>IF(OR(INDEX($W$2:$W$1001,MATCH(ROWS($V$2:V888),$V$2:$V$1001,0),1)&gt;=100000,INDEX($AC$1005:$AS$1005,1,MATCH(COLUMNS($AC$1006:AQ1006),$AC$1006:$AS$1006,0))&gt;=100000), " ",IF(INDEX($AC$2:$AS$1001,MATCH(ROWS($V$2:V888),$V$2:$V$1001,0),MATCH(COLUMNS($AC$1006:AQ1006),$AC$1006:$AS$1006,0)), HYPERLINK("#",""), HYPERLINK(CONCATENATE("#Metadata!", ADDRESS(INDEX($X$2:$X$1001,MATCH(ROWS($V$2:V888),$V$2:$V$1001,0),0), INDEX($AC$1004:$AS$1004,1,MATCH(COLUMNS($AC$1006:AQ1006),$AC$1006:$AS$1006,0)))),"Fix")))</f>
        <v>0</v>
      </c>
      <c r="Q888" s="5">
        <f>IF(OR(INDEX($W$2:$W$1001,MATCH(ROWS($V$2:V888),$V$2:$V$1001,0),1)&gt;=100000,INDEX($AC$1005:$AS$1005,1,MATCH(COLUMNS($AC$1006:AR1006),$AC$1006:$AS$1006,0))&gt;=100000), " ",IF(INDEX($AC$2:$AS$1001,MATCH(ROWS($V$2:V888),$V$2:$V$1001,0),MATCH(COLUMNS($AC$1006:AR1006),$AC$1006:$AS$1006,0)), HYPERLINK("#",""), HYPERLINK(CONCATENATE("#Metadata!", ADDRESS(INDEX($X$2:$X$1001,MATCH(ROWS($V$2:V888),$V$2:$V$1001,0),0), INDEX($AC$1004:$AS$1004,1,MATCH(COLUMNS($AC$1006:AR1006),$AC$1006:$AS$1006,0)))),"Fix")))</f>
        <v>0</v>
      </c>
      <c r="R888" s="5">
        <f>IF(OR(INDEX($W$2:$W$1001,MATCH(ROWS($V$2:V888),$V$2:$V$1001,0),1)&gt;=100000,INDEX($AC$1005:$AS$1005,1,MATCH(COLUMNS($AC$1006:AS1006),$AC$1006:$AS$1006,0))&gt;=100000), " ",IF(INDEX($AC$2:$AS$1001,MATCH(ROWS($V$2:V888),$V$2:$V$1001,0),MATCH(COLUMNS($AC$1006:AS1006),$AC$1006:$AS$1006,0)), HYPERLINK("#",""), HYPERLINK(CONCATENATE("#Metadata!", ADDRESS(INDEX($X$2:$X$1001,MATCH(ROWS($V$2:V888),$V$2:$V$1001,0),0), INDEX($AC$1004:$AS$1004,1,MATCH(COLUMNS($AC$1006:AS1006),$AC$1006:$AS$1006,0)))),"Fix")))</f>
        <v>0</v>
      </c>
      <c r="V888">
        <v>0</v>
      </c>
      <c r="W888">
        <v>0</v>
      </c>
      <c r="X888">
        <v>0</v>
      </c>
      <c r="Y888">
        <f>IF(Z888,TRUE,AND(AC888:AS888))</f>
        <v>0</v>
      </c>
      <c r="Z888">
        <f>COUNTBLANK(Metadata!B888:R888)=COLUMNS(Metadata!B888:R888)</f>
        <v>0</v>
      </c>
      <c r="AA888">
        <v>0</v>
      </c>
      <c r="AC888">
        <f>AND(IF(Metadata!B888="",FALSE,TRUE),COUNTIF(Metadata!B:B, Metadata!B888) = 1,NOT(ISERROR(SUMPRODUCT(SEARCH(MID(Metadata!B888,ROW(INDIRECT("1:"&amp;LEN(Metadata!B888))), 1),"0123456789abcdefghijklmnopqrstuvwxyzABCDEFGHIJKLMNOPQRSTUVWXYZ.")))))</f>
        <v>0</v>
      </c>
      <c r="AD888">
        <f>AND(IF(Metadata!C888="",FALSE,TRUE),exact(Metadata!C888,"Host-associated"))</f>
        <v>0</v>
      </c>
      <c r="AE888">
        <f>AND(IF(Metadata!D888="",FALSE,TRUE),OR(exact(Metadata!D888,"Animal"),exact(Metadata!D888,"Fungus"),exact(Metadata!D888,"Plant")))</f>
        <v>0</v>
      </c>
      <c r="AF888">
        <f>AND(IF(Metadata!E888="",FALSE,TRUE),OR(exact(Metadata!E888,"Plant secretion"),exact(Metadata!E888,"Plant rhizosphere"),exact(Metadata!E888,"Plant surface"),exact(Metadata!E888,"Plant corpus"),exact(Metadata!E888,"Fungus surface"),exact(Metadata!E888,"Fungus corpus"),exact(Metadata!E888,"Animal surface"),exact(Metadata!E888,"Animal proximal gut"),exact(Metadata!E888,"Animal corpus"),exact(Metadata!E888,"Animal distal gut"),exact(Metadata!E888,"Animal secretion")))</f>
        <v>0</v>
      </c>
      <c r="AG888">
        <f>OR(AND(IF(Metadata!F888="",FALSE,TRUE),OR(exact(Metadata!F888,"not collected"),exact(Metadata!F888,"not provided"),exact(Metadata!F888,"restricted access"))),AND(IF(Metadata!F888="",FALSE,TRUE),OR(exact(Metadata!F888,"organism-associated habitat"),exact(Metadata!F888,"plant-associated habitat"),exact(Metadata!F888,"animal-associated habitat"),exact(Metadata!F888,"insecta-associated habitat"),exact(Metadata!F888,"mammalia-associated habitat"),exact(Metadata!F888,"human-associated habitat"),exact(Metadata!F888,"livestock-associated habitat"))))</f>
        <v>0</v>
      </c>
      <c r="AH888">
        <f>AND(IF(Metadata!G888="",FALSE,TRUE),exact(Metadata!G888,"host-associated"))</f>
        <v>0</v>
      </c>
      <c r="AI888">
        <f>OR(AND(IF(Metadata!H888="",FALSE,TRUE),OR(exact(Metadata!H888,"not collected"),exact(Metadata!H888,"not provided"))),AND(IF(Metadata!H888="",FALSE,ISNUMBER(VALUE(Metadata!H888))),Metadata!H888&gt;0))</f>
        <v>0</v>
      </c>
      <c r="AJ888">
        <f>AND(IF(Metadata!I888="",FALSE,TRUE),exact(Metadata!I888,"years"))</f>
        <v>0</v>
      </c>
      <c r="AK888">
        <f>IF(Metadata!J888="",FALSE,TRUE)</f>
        <v>0</v>
      </c>
      <c r="AL888">
        <f>OR(AND(IF(Metadata!K888="",FALSE,TRUE),OR(exact(Metadata!K888,"not collected"),exact(Metadata!K888,"not provided"))),AND(IF(Metadata!K888="",FALSE,ISNUMBER(VALUE(Metadata!K888))),Metadata!K888&gt;0))</f>
        <v>0</v>
      </c>
      <c r="AM888">
        <f>AND(IF(Metadata!L888="",FALSE,TRUE),exact(Metadata!L888,"cm"))</f>
        <v>0</v>
      </c>
      <c r="AN888">
        <f>IF(Metadata!M888="",FALSE,TRUE)</f>
        <v>0</v>
      </c>
      <c r="AO888">
        <f>OR(AND(IF(Metadata!N888="",FALSE,TRUE),OR(exact(Metadata!N888,"not applicable"),exact(Metadata!N888,"not collected"),exact(Metadata!N888,"not provided"))),AND(IF(Metadata!N888="",FALSE,IF(ISERROR(INT(Metadata!N888)),FALSE,INT(Metadata!N888)=Metadata!N888)),Metadata!N888&gt;0))</f>
        <v>0</v>
      </c>
      <c r="AP888">
        <f>OR(AND(IF(Metadata!O888="",FALSE,TRUE),OR(exact(Metadata!O888,"not collected"),exact(Metadata!O888,"not provided"))),AND(IF(Metadata!O888="",FALSE,ISNUMBER(VALUE(Metadata!O888))),Metadata!O888&gt;0))</f>
        <v>0</v>
      </c>
      <c r="AQ888">
        <f>AND(IF(Metadata!P888="",FALSE,TRUE),exact(Metadata!P888,"kg"))</f>
        <v>0</v>
      </c>
      <c r="AR888">
        <f>OR(AND(IF(Metadata!Q888="",FALSE,TRUE),OR(exact(Metadata!Q888,"not applicable"),exact(Metadata!Q888,"not collected"),exact(Metadata!Q888,"not provided"),exact(Metadata!Q888,"restricted access"))),IF(Metadata!Q888="",FALSE,IF(ISERROR(INT(Metadata!Q888)),FALSE,INT(Metadata!Q888)=Metadata!Q888)))</f>
        <v>0</v>
      </c>
      <c r="AS888">
        <f>AND(IF(Metadata!R888="",FALSE,TRUE),exact(Metadata!R888,"Not applicable"))</f>
        <v>0</v>
      </c>
    </row>
    <row r="889" spans="1:45">
      <c r="A889" s="4">
        <f>IF(B889=" "," ",HYPERLINK(CONCATENATE("#metadata!",ADDRESS(INDEX($X$2:$X$1001,MATCH(ROWS($V$2:V889),$V$2:$V$1001,0),0),2)),INDEX($AA$2:$AA$1001,MATCH(ROWS($V$2:V889),$V$2:$V$1001,0),0)))</f>
        <v>0</v>
      </c>
      <c r="B889" s="5">
        <f>IF(OR(INDEX($W$2:$W$1001,MATCH(ROWS($V$2:V889),$V$2:$V$1001,0),1)&gt;=100000,INDEX($AC$1005:$AS$1005,1,MATCH(COLUMNS($AC$1006:AC1006),$AC$1006:$AS$1006,0))&gt;=100000), " ",IF(INDEX($AC$2:$AS$1001,MATCH(ROWS($V$2:V889),$V$2:$V$1001,0),MATCH(COLUMNS($AC$1006:AC1006),$AC$1006:$AS$1006,0)), HYPERLINK("#",""), HYPERLINK(CONCATENATE("#Metadata!", ADDRESS(INDEX($X$2:$X$1001,MATCH(ROWS($V$2:V889),$V$2:$V$1001,0),0), INDEX($AC$1004:$AS$1004,1,MATCH(COLUMNS($AC$1006:AC1006),$AC$1006:$AS$1006,0)))),"Fix")))</f>
        <v>0</v>
      </c>
      <c r="C889" s="5">
        <f>IF(OR(INDEX($W$2:$W$1001,MATCH(ROWS($V$2:V889),$V$2:$V$1001,0),1)&gt;=100000,INDEX($AC$1005:$AS$1005,1,MATCH(COLUMNS($AC$1006:AD1006),$AC$1006:$AS$1006,0))&gt;=100000), " ",IF(INDEX($AC$2:$AS$1001,MATCH(ROWS($V$2:V889),$V$2:$V$1001,0),MATCH(COLUMNS($AC$1006:AD1006),$AC$1006:$AS$1006,0)), HYPERLINK("#",""), HYPERLINK(CONCATENATE("#Metadata!", ADDRESS(INDEX($X$2:$X$1001,MATCH(ROWS($V$2:V889),$V$2:$V$1001,0),0), INDEX($AC$1004:$AS$1004,1,MATCH(COLUMNS($AC$1006:AD1006),$AC$1006:$AS$1006,0)))),"Fix")))</f>
        <v>0</v>
      </c>
      <c r="D889" s="5">
        <f>IF(OR(INDEX($W$2:$W$1001,MATCH(ROWS($V$2:V889),$V$2:$V$1001,0),1)&gt;=100000,INDEX($AC$1005:$AS$1005,1,MATCH(COLUMNS($AC$1006:AE1006),$AC$1006:$AS$1006,0))&gt;=100000), " ",IF(INDEX($AC$2:$AS$1001,MATCH(ROWS($V$2:V889),$V$2:$V$1001,0),MATCH(COLUMNS($AC$1006:AE1006),$AC$1006:$AS$1006,0)), HYPERLINK("#",""), HYPERLINK(CONCATENATE("#Metadata!", ADDRESS(INDEX($X$2:$X$1001,MATCH(ROWS($V$2:V889),$V$2:$V$1001,0),0), INDEX($AC$1004:$AS$1004,1,MATCH(COLUMNS($AC$1006:AE1006),$AC$1006:$AS$1006,0)))),"Fix")))</f>
        <v>0</v>
      </c>
      <c r="E889" s="5">
        <f>IF(OR(INDEX($W$2:$W$1001,MATCH(ROWS($V$2:V889),$V$2:$V$1001,0),1)&gt;=100000,INDEX($AC$1005:$AS$1005,1,MATCH(COLUMNS($AC$1006:AF1006),$AC$1006:$AS$1006,0))&gt;=100000), " ",IF(INDEX($AC$2:$AS$1001,MATCH(ROWS($V$2:V889),$V$2:$V$1001,0),MATCH(COLUMNS($AC$1006:AF1006),$AC$1006:$AS$1006,0)), HYPERLINK("#",""), HYPERLINK(CONCATENATE("#Metadata!", ADDRESS(INDEX($X$2:$X$1001,MATCH(ROWS($V$2:V889),$V$2:$V$1001,0),0), INDEX($AC$1004:$AS$1004,1,MATCH(COLUMNS($AC$1006:AF1006),$AC$1006:$AS$1006,0)))),"Fix")))</f>
        <v>0</v>
      </c>
      <c r="F889" s="5">
        <f>IF(OR(INDEX($W$2:$W$1001,MATCH(ROWS($V$2:V889),$V$2:$V$1001,0),1)&gt;=100000,INDEX($AC$1005:$AS$1005,1,MATCH(COLUMNS($AC$1006:AG1006),$AC$1006:$AS$1006,0))&gt;=100000), " ",IF(INDEX($AC$2:$AS$1001,MATCH(ROWS($V$2:V889),$V$2:$V$1001,0),MATCH(COLUMNS($AC$1006:AG1006),$AC$1006:$AS$1006,0)), HYPERLINK("#",""), HYPERLINK(CONCATENATE("#Metadata!", ADDRESS(INDEX($X$2:$X$1001,MATCH(ROWS($V$2:V889),$V$2:$V$1001,0),0), INDEX($AC$1004:$AS$1004,1,MATCH(COLUMNS($AC$1006:AG1006),$AC$1006:$AS$1006,0)))),"Fix")))</f>
        <v>0</v>
      </c>
      <c r="G889" s="5">
        <f>IF(OR(INDEX($W$2:$W$1001,MATCH(ROWS($V$2:V889),$V$2:$V$1001,0),1)&gt;=100000,INDEX($AC$1005:$AS$1005,1,MATCH(COLUMNS($AC$1006:AH1006),$AC$1006:$AS$1006,0))&gt;=100000), " ",IF(INDEX($AC$2:$AS$1001,MATCH(ROWS($V$2:V889),$V$2:$V$1001,0),MATCH(COLUMNS($AC$1006:AH1006),$AC$1006:$AS$1006,0)), HYPERLINK("#",""), HYPERLINK(CONCATENATE("#Metadata!", ADDRESS(INDEX($X$2:$X$1001,MATCH(ROWS($V$2:V889),$V$2:$V$1001,0),0), INDEX($AC$1004:$AS$1004,1,MATCH(COLUMNS($AC$1006:AH1006),$AC$1006:$AS$1006,0)))),"Fix")))</f>
        <v>0</v>
      </c>
      <c r="H889" s="5">
        <f>IF(OR(INDEX($W$2:$W$1001,MATCH(ROWS($V$2:V889),$V$2:$V$1001,0),1)&gt;=100000,INDEX($AC$1005:$AS$1005,1,MATCH(COLUMNS($AC$1006:AI1006),$AC$1006:$AS$1006,0))&gt;=100000), " ",IF(INDEX($AC$2:$AS$1001,MATCH(ROWS($V$2:V889),$V$2:$V$1001,0),MATCH(COLUMNS($AC$1006:AI1006),$AC$1006:$AS$1006,0)), HYPERLINK("#",""), HYPERLINK(CONCATENATE("#Metadata!", ADDRESS(INDEX($X$2:$X$1001,MATCH(ROWS($V$2:V889),$V$2:$V$1001,0),0), INDEX($AC$1004:$AS$1004,1,MATCH(COLUMNS($AC$1006:AI1006),$AC$1006:$AS$1006,0)))),"Fix")))</f>
        <v>0</v>
      </c>
      <c r="I889" s="5">
        <f>IF(OR(INDEX($W$2:$W$1001,MATCH(ROWS($V$2:V889),$V$2:$V$1001,0),1)&gt;=100000,INDEX($AC$1005:$AS$1005,1,MATCH(COLUMNS($AC$1006:AJ1006),$AC$1006:$AS$1006,0))&gt;=100000), " ",IF(INDEX($AC$2:$AS$1001,MATCH(ROWS($V$2:V889),$V$2:$V$1001,0),MATCH(COLUMNS($AC$1006:AJ1006),$AC$1006:$AS$1006,0)), HYPERLINK("#",""), HYPERLINK(CONCATENATE("#Metadata!", ADDRESS(INDEX($X$2:$X$1001,MATCH(ROWS($V$2:V889),$V$2:$V$1001,0),0), INDEX($AC$1004:$AS$1004,1,MATCH(COLUMNS($AC$1006:AJ1006),$AC$1006:$AS$1006,0)))),"Fix")))</f>
        <v>0</v>
      </c>
      <c r="J889" s="5">
        <f>IF(OR(INDEX($W$2:$W$1001,MATCH(ROWS($V$2:V889),$V$2:$V$1001,0),1)&gt;=100000,INDEX($AC$1005:$AS$1005,1,MATCH(COLUMNS($AC$1006:AK1006),$AC$1006:$AS$1006,0))&gt;=100000), " ",IF(INDEX($AC$2:$AS$1001,MATCH(ROWS($V$2:V889),$V$2:$V$1001,0),MATCH(COLUMNS($AC$1006:AK1006),$AC$1006:$AS$1006,0)), HYPERLINK("#",""), HYPERLINK(CONCATENATE("#Metadata!", ADDRESS(INDEX($X$2:$X$1001,MATCH(ROWS($V$2:V889),$V$2:$V$1001,0),0), INDEX($AC$1004:$AS$1004,1,MATCH(COLUMNS($AC$1006:AK1006),$AC$1006:$AS$1006,0)))),"Fix")))</f>
        <v>0</v>
      </c>
      <c r="K889" s="5">
        <f>IF(OR(INDEX($W$2:$W$1001,MATCH(ROWS($V$2:V889),$V$2:$V$1001,0),1)&gt;=100000,INDEX($AC$1005:$AS$1005,1,MATCH(COLUMNS($AC$1006:AL1006),$AC$1006:$AS$1006,0))&gt;=100000), " ",IF(INDEX($AC$2:$AS$1001,MATCH(ROWS($V$2:V889),$V$2:$V$1001,0),MATCH(COLUMNS($AC$1006:AL1006),$AC$1006:$AS$1006,0)), HYPERLINK("#",""), HYPERLINK(CONCATENATE("#Metadata!", ADDRESS(INDEX($X$2:$X$1001,MATCH(ROWS($V$2:V889),$V$2:$V$1001,0),0), INDEX($AC$1004:$AS$1004,1,MATCH(COLUMNS($AC$1006:AL1006),$AC$1006:$AS$1006,0)))),"Fix")))</f>
        <v>0</v>
      </c>
      <c r="L889" s="5">
        <f>IF(OR(INDEX($W$2:$W$1001,MATCH(ROWS($V$2:V889),$V$2:$V$1001,0),1)&gt;=100000,INDEX($AC$1005:$AS$1005,1,MATCH(COLUMNS($AC$1006:AM1006),$AC$1006:$AS$1006,0))&gt;=100000), " ",IF(INDEX($AC$2:$AS$1001,MATCH(ROWS($V$2:V889),$V$2:$V$1001,0),MATCH(COLUMNS($AC$1006:AM1006),$AC$1006:$AS$1006,0)), HYPERLINK("#",""), HYPERLINK(CONCATENATE("#Metadata!", ADDRESS(INDEX($X$2:$X$1001,MATCH(ROWS($V$2:V889),$V$2:$V$1001,0),0), INDEX($AC$1004:$AS$1004,1,MATCH(COLUMNS($AC$1006:AM1006),$AC$1006:$AS$1006,0)))),"Fix")))</f>
        <v>0</v>
      </c>
      <c r="M889" s="5">
        <f>IF(OR(INDEX($W$2:$W$1001,MATCH(ROWS($V$2:V889),$V$2:$V$1001,0),1)&gt;=100000,INDEX($AC$1005:$AS$1005,1,MATCH(COLUMNS($AC$1006:AN1006),$AC$1006:$AS$1006,0))&gt;=100000), " ",IF(INDEX($AC$2:$AS$1001,MATCH(ROWS($V$2:V889),$V$2:$V$1001,0),MATCH(COLUMNS($AC$1006:AN1006),$AC$1006:$AS$1006,0)), HYPERLINK("#",""), HYPERLINK(CONCATENATE("#Metadata!", ADDRESS(INDEX($X$2:$X$1001,MATCH(ROWS($V$2:V889),$V$2:$V$1001,0),0), INDEX($AC$1004:$AS$1004,1,MATCH(COLUMNS($AC$1006:AN1006),$AC$1006:$AS$1006,0)))),"Fix")))</f>
        <v>0</v>
      </c>
      <c r="N889" s="5">
        <f>IF(OR(INDEX($W$2:$W$1001,MATCH(ROWS($V$2:V889),$V$2:$V$1001,0),1)&gt;=100000,INDEX($AC$1005:$AS$1005,1,MATCH(COLUMNS($AC$1006:AO1006),$AC$1006:$AS$1006,0))&gt;=100000), " ",IF(INDEX($AC$2:$AS$1001,MATCH(ROWS($V$2:V889),$V$2:$V$1001,0),MATCH(COLUMNS($AC$1006:AO1006),$AC$1006:$AS$1006,0)), HYPERLINK("#",""), HYPERLINK(CONCATENATE("#Metadata!", ADDRESS(INDEX($X$2:$X$1001,MATCH(ROWS($V$2:V889),$V$2:$V$1001,0),0), INDEX($AC$1004:$AS$1004,1,MATCH(COLUMNS($AC$1006:AO1006),$AC$1006:$AS$1006,0)))),"Fix")))</f>
        <v>0</v>
      </c>
      <c r="O889" s="5">
        <f>IF(OR(INDEX($W$2:$W$1001,MATCH(ROWS($V$2:V889),$V$2:$V$1001,0),1)&gt;=100000,INDEX($AC$1005:$AS$1005,1,MATCH(COLUMNS($AC$1006:AP1006),$AC$1006:$AS$1006,0))&gt;=100000), " ",IF(INDEX($AC$2:$AS$1001,MATCH(ROWS($V$2:V889),$V$2:$V$1001,0),MATCH(COLUMNS($AC$1006:AP1006),$AC$1006:$AS$1006,0)), HYPERLINK("#",""), HYPERLINK(CONCATENATE("#Metadata!", ADDRESS(INDEX($X$2:$X$1001,MATCH(ROWS($V$2:V889),$V$2:$V$1001,0),0), INDEX($AC$1004:$AS$1004,1,MATCH(COLUMNS($AC$1006:AP1006),$AC$1006:$AS$1006,0)))),"Fix")))</f>
        <v>0</v>
      </c>
      <c r="P889" s="5">
        <f>IF(OR(INDEX($W$2:$W$1001,MATCH(ROWS($V$2:V889),$V$2:$V$1001,0),1)&gt;=100000,INDEX($AC$1005:$AS$1005,1,MATCH(COLUMNS($AC$1006:AQ1006),$AC$1006:$AS$1006,0))&gt;=100000), " ",IF(INDEX($AC$2:$AS$1001,MATCH(ROWS($V$2:V889),$V$2:$V$1001,0),MATCH(COLUMNS($AC$1006:AQ1006),$AC$1006:$AS$1006,0)), HYPERLINK("#",""), HYPERLINK(CONCATENATE("#Metadata!", ADDRESS(INDEX($X$2:$X$1001,MATCH(ROWS($V$2:V889),$V$2:$V$1001,0),0), INDEX($AC$1004:$AS$1004,1,MATCH(COLUMNS($AC$1006:AQ1006),$AC$1006:$AS$1006,0)))),"Fix")))</f>
        <v>0</v>
      </c>
      <c r="Q889" s="5">
        <f>IF(OR(INDEX($W$2:$W$1001,MATCH(ROWS($V$2:V889),$V$2:$V$1001,0),1)&gt;=100000,INDEX($AC$1005:$AS$1005,1,MATCH(COLUMNS($AC$1006:AR1006),$AC$1006:$AS$1006,0))&gt;=100000), " ",IF(INDEX($AC$2:$AS$1001,MATCH(ROWS($V$2:V889),$V$2:$V$1001,0),MATCH(COLUMNS($AC$1006:AR1006),$AC$1006:$AS$1006,0)), HYPERLINK("#",""), HYPERLINK(CONCATENATE("#Metadata!", ADDRESS(INDEX($X$2:$X$1001,MATCH(ROWS($V$2:V889),$V$2:$V$1001,0),0), INDEX($AC$1004:$AS$1004,1,MATCH(COLUMNS($AC$1006:AR1006),$AC$1006:$AS$1006,0)))),"Fix")))</f>
        <v>0</v>
      </c>
      <c r="R889" s="5">
        <f>IF(OR(INDEX($W$2:$W$1001,MATCH(ROWS($V$2:V889),$V$2:$V$1001,0),1)&gt;=100000,INDEX($AC$1005:$AS$1005,1,MATCH(COLUMNS($AC$1006:AS1006),$AC$1006:$AS$1006,0))&gt;=100000), " ",IF(INDEX($AC$2:$AS$1001,MATCH(ROWS($V$2:V889),$V$2:$V$1001,0),MATCH(COLUMNS($AC$1006:AS1006),$AC$1006:$AS$1006,0)), HYPERLINK("#",""), HYPERLINK(CONCATENATE("#Metadata!", ADDRESS(INDEX($X$2:$X$1001,MATCH(ROWS($V$2:V889),$V$2:$V$1001,0),0), INDEX($AC$1004:$AS$1004,1,MATCH(COLUMNS($AC$1006:AS1006),$AC$1006:$AS$1006,0)))),"Fix")))</f>
        <v>0</v>
      </c>
      <c r="V889">
        <v>0</v>
      </c>
      <c r="W889">
        <v>0</v>
      </c>
      <c r="X889">
        <v>0</v>
      </c>
      <c r="Y889">
        <f>IF(Z889,TRUE,AND(AC889:AS889))</f>
        <v>0</v>
      </c>
      <c r="Z889">
        <f>COUNTBLANK(Metadata!B889:R889)=COLUMNS(Metadata!B889:R889)</f>
        <v>0</v>
      </c>
      <c r="AA889">
        <v>0</v>
      </c>
      <c r="AC889">
        <f>AND(IF(Metadata!B889="",FALSE,TRUE),COUNTIF(Metadata!B:B, Metadata!B889) = 1,NOT(ISERROR(SUMPRODUCT(SEARCH(MID(Metadata!B889,ROW(INDIRECT("1:"&amp;LEN(Metadata!B889))), 1),"0123456789abcdefghijklmnopqrstuvwxyzABCDEFGHIJKLMNOPQRSTUVWXYZ.")))))</f>
        <v>0</v>
      </c>
      <c r="AD889">
        <f>AND(IF(Metadata!C889="",FALSE,TRUE),exact(Metadata!C889,"Host-associated"))</f>
        <v>0</v>
      </c>
      <c r="AE889">
        <f>AND(IF(Metadata!D889="",FALSE,TRUE),OR(exact(Metadata!D889,"Animal"),exact(Metadata!D889,"Fungus"),exact(Metadata!D889,"Plant")))</f>
        <v>0</v>
      </c>
      <c r="AF889">
        <f>AND(IF(Metadata!E889="",FALSE,TRUE),OR(exact(Metadata!E889,"Plant secretion"),exact(Metadata!E889,"Plant rhizosphere"),exact(Metadata!E889,"Plant surface"),exact(Metadata!E889,"Plant corpus"),exact(Metadata!E889,"Fungus surface"),exact(Metadata!E889,"Fungus corpus"),exact(Metadata!E889,"Animal surface"),exact(Metadata!E889,"Animal proximal gut"),exact(Metadata!E889,"Animal corpus"),exact(Metadata!E889,"Animal distal gut"),exact(Metadata!E889,"Animal secretion")))</f>
        <v>0</v>
      </c>
      <c r="AG889">
        <f>OR(AND(IF(Metadata!F889="",FALSE,TRUE),OR(exact(Metadata!F889,"not collected"),exact(Metadata!F889,"not provided"),exact(Metadata!F889,"restricted access"))),AND(IF(Metadata!F889="",FALSE,TRUE),OR(exact(Metadata!F889,"organism-associated habitat"),exact(Metadata!F889,"plant-associated habitat"),exact(Metadata!F889,"animal-associated habitat"),exact(Metadata!F889,"insecta-associated habitat"),exact(Metadata!F889,"mammalia-associated habitat"),exact(Metadata!F889,"human-associated habitat"),exact(Metadata!F889,"livestock-associated habitat"))))</f>
        <v>0</v>
      </c>
      <c r="AH889">
        <f>AND(IF(Metadata!G889="",FALSE,TRUE),exact(Metadata!G889,"host-associated"))</f>
        <v>0</v>
      </c>
      <c r="AI889">
        <f>OR(AND(IF(Metadata!H889="",FALSE,TRUE),OR(exact(Metadata!H889,"not collected"),exact(Metadata!H889,"not provided"))),AND(IF(Metadata!H889="",FALSE,ISNUMBER(VALUE(Metadata!H889))),Metadata!H889&gt;0))</f>
        <v>0</v>
      </c>
      <c r="AJ889">
        <f>AND(IF(Metadata!I889="",FALSE,TRUE),exact(Metadata!I889,"years"))</f>
        <v>0</v>
      </c>
      <c r="AK889">
        <f>IF(Metadata!J889="",FALSE,TRUE)</f>
        <v>0</v>
      </c>
      <c r="AL889">
        <f>OR(AND(IF(Metadata!K889="",FALSE,TRUE),OR(exact(Metadata!K889,"not collected"),exact(Metadata!K889,"not provided"))),AND(IF(Metadata!K889="",FALSE,ISNUMBER(VALUE(Metadata!K889))),Metadata!K889&gt;0))</f>
        <v>0</v>
      </c>
      <c r="AM889">
        <f>AND(IF(Metadata!L889="",FALSE,TRUE),exact(Metadata!L889,"cm"))</f>
        <v>0</v>
      </c>
      <c r="AN889">
        <f>IF(Metadata!M889="",FALSE,TRUE)</f>
        <v>0</v>
      </c>
      <c r="AO889">
        <f>OR(AND(IF(Metadata!N889="",FALSE,TRUE),OR(exact(Metadata!N889,"not applicable"),exact(Metadata!N889,"not collected"),exact(Metadata!N889,"not provided"))),AND(IF(Metadata!N889="",FALSE,IF(ISERROR(INT(Metadata!N889)),FALSE,INT(Metadata!N889)=Metadata!N889)),Metadata!N889&gt;0))</f>
        <v>0</v>
      </c>
      <c r="AP889">
        <f>OR(AND(IF(Metadata!O889="",FALSE,TRUE),OR(exact(Metadata!O889,"not collected"),exact(Metadata!O889,"not provided"))),AND(IF(Metadata!O889="",FALSE,ISNUMBER(VALUE(Metadata!O889))),Metadata!O889&gt;0))</f>
        <v>0</v>
      </c>
      <c r="AQ889">
        <f>AND(IF(Metadata!P889="",FALSE,TRUE),exact(Metadata!P889,"kg"))</f>
        <v>0</v>
      </c>
      <c r="AR889">
        <f>OR(AND(IF(Metadata!Q889="",FALSE,TRUE),OR(exact(Metadata!Q889,"not applicable"),exact(Metadata!Q889,"not collected"),exact(Metadata!Q889,"not provided"),exact(Metadata!Q889,"restricted access"))),IF(Metadata!Q889="",FALSE,IF(ISERROR(INT(Metadata!Q889)),FALSE,INT(Metadata!Q889)=Metadata!Q889)))</f>
        <v>0</v>
      </c>
      <c r="AS889">
        <f>AND(IF(Metadata!R889="",FALSE,TRUE),exact(Metadata!R889,"Not applicable"))</f>
        <v>0</v>
      </c>
    </row>
    <row r="890" spans="1:45">
      <c r="A890" s="4">
        <f>IF(B890=" "," ",HYPERLINK(CONCATENATE("#metadata!",ADDRESS(INDEX($X$2:$X$1001,MATCH(ROWS($V$2:V890),$V$2:$V$1001,0),0),2)),INDEX($AA$2:$AA$1001,MATCH(ROWS($V$2:V890),$V$2:$V$1001,0),0)))</f>
        <v>0</v>
      </c>
      <c r="B890" s="5">
        <f>IF(OR(INDEX($W$2:$W$1001,MATCH(ROWS($V$2:V890),$V$2:$V$1001,0),1)&gt;=100000,INDEX($AC$1005:$AS$1005,1,MATCH(COLUMNS($AC$1006:AC1006),$AC$1006:$AS$1006,0))&gt;=100000), " ",IF(INDEX($AC$2:$AS$1001,MATCH(ROWS($V$2:V890),$V$2:$V$1001,0),MATCH(COLUMNS($AC$1006:AC1006),$AC$1006:$AS$1006,0)), HYPERLINK("#",""), HYPERLINK(CONCATENATE("#Metadata!", ADDRESS(INDEX($X$2:$X$1001,MATCH(ROWS($V$2:V890),$V$2:$V$1001,0),0), INDEX($AC$1004:$AS$1004,1,MATCH(COLUMNS($AC$1006:AC1006),$AC$1006:$AS$1006,0)))),"Fix")))</f>
        <v>0</v>
      </c>
      <c r="C890" s="5">
        <f>IF(OR(INDEX($W$2:$W$1001,MATCH(ROWS($V$2:V890),$V$2:$V$1001,0),1)&gt;=100000,INDEX($AC$1005:$AS$1005,1,MATCH(COLUMNS($AC$1006:AD1006),$AC$1006:$AS$1006,0))&gt;=100000), " ",IF(INDEX($AC$2:$AS$1001,MATCH(ROWS($V$2:V890),$V$2:$V$1001,0),MATCH(COLUMNS($AC$1006:AD1006),$AC$1006:$AS$1006,0)), HYPERLINK("#",""), HYPERLINK(CONCATENATE("#Metadata!", ADDRESS(INDEX($X$2:$X$1001,MATCH(ROWS($V$2:V890),$V$2:$V$1001,0),0), INDEX($AC$1004:$AS$1004,1,MATCH(COLUMNS($AC$1006:AD1006),$AC$1006:$AS$1006,0)))),"Fix")))</f>
        <v>0</v>
      </c>
      <c r="D890" s="5">
        <f>IF(OR(INDEX($W$2:$W$1001,MATCH(ROWS($V$2:V890),$V$2:$V$1001,0),1)&gt;=100000,INDEX($AC$1005:$AS$1005,1,MATCH(COLUMNS($AC$1006:AE1006),$AC$1006:$AS$1006,0))&gt;=100000), " ",IF(INDEX($AC$2:$AS$1001,MATCH(ROWS($V$2:V890),$V$2:$V$1001,0),MATCH(COLUMNS($AC$1006:AE1006),$AC$1006:$AS$1006,0)), HYPERLINK("#",""), HYPERLINK(CONCATENATE("#Metadata!", ADDRESS(INDEX($X$2:$X$1001,MATCH(ROWS($V$2:V890),$V$2:$V$1001,0),0), INDEX($AC$1004:$AS$1004,1,MATCH(COLUMNS($AC$1006:AE1006),$AC$1006:$AS$1006,0)))),"Fix")))</f>
        <v>0</v>
      </c>
      <c r="E890" s="5">
        <f>IF(OR(INDEX($W$2:$W$1001,MATCH(ROWS($V$2:V890),$V$2:$V$1001,0),1)&gt;=100000,INDEX($AC$1005:$AS$1005,1,MATCH(COLUMNS($AC$1006:AF1006),$AC$1006:$AS$1006,0))&gt;=100000), " ",IF(INDEX($AC$2:$AS$1001,MATCH(ROWS($V$2:V890),$V$2:$V$1001,0),MATCH(COLUMNS($AC$1006:AF1006),$AC$1006:$AS$1006,0)), HYPERLINK("#",""), HYPERLINK(CONCATENATE("#Metadata!", ADDRESS(INDEX($X$2:$X$1001,MATCH(ROWS($V$2:V890),$V$2:$V$1001,0),0), INDEX($AC$1004:$AS$1004,1,MATCH(COLUMNS($AC$1006:AF1006),$AC$1006:$AS$1006,0)))),"Fix")))</f>
        <v>0</v>
      </c>
      <c r="F890" s="5">
        <f>IF(OR(INDEX($W$2:$W$1001,MATCH(ROWS($V$2:V890),$V$2:$V$1001,0),1)&gt;=100000,INDEX($AC$1005:$AS$1005,1,MATCH(COLUMNS($AC$1006:AG1006),$AC$1006:$AS$1006,0))&gt;=100000), " ",IF(INDEX($AC$2:$AS$1001,MATCH(ROWS($V$2:V890),$V$2:$V$1001,0),MATCH(COLUMNS($AC$1006:AG1006),$AC$1006:$AS$1006,0)), HYPERLINK("#",""), HYPERLINK(CONCATENATE("#Metadata!", ADDRESS(INDEX($X$2:$X$1001,MATCH(ROWS($V$2:V890),$V$2:$V$1001,0),0), INDEX($AC$1004:$AS$1004,1,MATCH(COLUMNS($AC$1006:AG1006),$AC$1006:$AS$1006,0)))),"Fix")))</f>
        <v>0</v>
      </c>
      <c r="G890" s="5">
        <f>IF(OR(INDEX($W$2:$W$1001,MATCH(ROWS($V$2:V890),$V$2:$V$1001,0),1)&gt;=100000,INDEX($AC$1005:$AS$1005,1,MATCH(COLUMNS($AC$1006:AH1006),$AC$1006:$AS$1006,0))&gt;=100000), " ",IF(INDEX($AC$2:$AS$1001,MATCH(ROWS($V$2:V890),$V$2:$V$1001,0),MATCH(COLUMNS($AC$1006:AH1006),$AC$1006:$AS$1006,0)), HYPERLINK("#",""), HYPERLINK(CONCATENATE("#Metadata!", ADDRESS(INDEX($X$2:$X$1001,MATCH(ROWS($V$2:V890),$V$2:$V$1001,0),0), INDEX($AC$1004:$AS$1004,1,MATCH(COLUMNS($AC$1006:AH1006),$AC$1006:$AS$1006,0)))),"Fix")))</f>
        <v>0</v>
      </c>
      <c r="H890" s="5">
        <f>IF(OR(INDEX($W$2:$W$1001,MATCH(ROWS($V$2:V890),$V$2:$V$1001,0),1)&gt;=100000,INDEX($AC$1005:$AS$1005,1,MATCH(COLUMNS($AC$1006:AI1006),$AC$1006:$AS$1006,0))&gt;=100000), " ",IF(INDEX($AC$2:$AS$1001,MATCH(ROWS($V$2:V890),$V$2:$V$1001,0),MATCH(COLUMNS($AC$1006:AI1006),$AC$1006:$AS$1006,0)), HYPERLINK("#",""), HYPERLINK(CONCATENATE("#Metadata!", ADDRESS(INDEX($X$2:$X$1001,MATCH(ROWS($V$2:V890),$V$2:$V$1001,0),0), INDEX($AC$1004:$AS$1004,1,MATCH(COLUMNS($AC$1006:AI1006),$AC$1006:$AS$1006,0)))),"Fix")))</f>
        <v>0</v>
      </c>
      <c r="I890" s="5">
        <f>IF(OR(INDEX($W$2:$W$1001,MATCH(ROWS($V$2:V890),$V$2:$V$1001,0),1)&gt;=100000,INDEX($AC$1005:$AS$1005,1,MATCH(COLUMNS($AC$1006:AJ1006),$AC$1006:$AS$1006,0))&gt;=100000), " ",IF(INDEX($AC$2:$AS$1001,MATCH(ROWS($V$2:V890),$V$2:$V$1001,0),MATCH(COLUMNS($AC$1006:AJ1006),$AC$1006:$AS$1006,0)), HYPERLINK("#",""), HYPERLINK(CONCATENATE("#Metadata!", ADDRESS(INDEX($X$2:$X$1001,MATCH(ROWS($V$2:V890),$V$2:$V$1001,0),0), INDEX($AC$1004:$AS$1004,1,MATCH(COLUMNS($AC$1006:AJ1006),$AC$1006:$AS$1006,0)))),"Fix")))</f>
        <v>0</v>
      </c>
      <c r="J890" s="5">
        <f>IF(OR(INDEX($W$2:$W$1001,MATCH(ROWS($V$2:V890),$V$2:$V$1001,0),1)&gt;=100000,INDEX($AC$1005:$AS$1005,1,MATCH(COLUMNS($AC$1006:AK1006),$AC$1006:$AS$1006,0))&gt;=100000), " ",IF(INDEX($AC$2:$AS$1001,MATCH(ROWS($V$2:V890),$V$2:$V$1001,0),MATCH(COLUMNS($AC$1006:AK1006),$AC$1006:$AS$1006,0)), HYPERLINK("#",""), HYPERLINK(CONCATENATE("#Metadata!", ADDRESS(INDEX($X$2:$X$1001,MATCH(ROWS($V$2:V890),$V$2:$V$1001,0),0), INDEX($AC$1004:$AS$1004,1,MATCH(COLUMNS($AC$1006:AK1006),$AC$1006:$AS$1006,0)))),"Fix")))</f>
        <v>0</v>
      </c>
      <c r="K890" s="5">
        <f>IF(OR(INDEX($W$2:$W$1001,MATCH(ROWS($V$2:V890),$V$2:$V$1001,0),1)&gt;=100000,INDEX($AC$1005:$AS$1005,1,MATCH(COLUMNS($AC$1006:AL1006),$AC$1006:$AS$1006,0))&gt;=100000), " ",IF(INDEX($AC$2:$AS$1001,MATCH(ROWS($V$2:V890),$V$2:$V$1001,0),MATCH(COLUMNS($AC$1006:AL1006),$AC$1006:$AS$1006,0)), HYPERLINK("#",""), HYPERLINK(CONCATENATE("#Metadata!", ADDRESS(INDEX($X$2:$X$1001,MATCH(ROWS($V$2:V890),$V$2:$V$1001,0),0), INDEX($AC$1004:$AS$1004,1,MATCH(COLUMNS($AC$1006:AL1006),$AC$1006:$AS$1006,0)))),"Fix")))</f>
        <v>0</v>
      </c>
      <c r="L890" s="5">
        <f>IF(OR(INDEX($W$2:$W$1001,MATCH(ROWS($V$2:V890),$V$2:$V$1001,0),1)&gt;=100000,INDEX($AC$1005:$AS$1005,1,MATCH(COLUMNS($AC$1006:AM1006),$AC$1006:$AS$1006,0))&gt;=100000), " ",IF(INDEX($AC$2:$AS$1001,MATCH(ROWS($V$2:V890),$V$2:$V$1001,0),MATCH(COLUMNS($AC$1006:AM1006),$AC$1006:$AS$1006,0)), HYPERLINK("#",""), HYPERLINK(CONCATENATE("#Metadata!", ADDRESS(INDEX($X$2:$X$1001,MATCH(ROWS($V$2:V890),$V$2:$V$1001,0),0), INDEX($AC$1004:$AS$1004,1,MATCH(COLUMNS($AC$1006:AM1006),$AC$1006:$AS$1006,0)))),"Fix")))</f>
        <v>0</v>
      </c>
      <c r="M890" s="5">
        <f>IF(OR(INDEX($W$2:$W$1001,MATCH(ROWS($V$2:V890),$V$2:$V$1001,0),1)&gt;=100000,INDEX($AC$1005:$AS$1005,1,MATCH(COLUMNS($AC$1006:AN1006),$AC$1006:$AS$1006,0))&gt;=100000), " ",IF(INDEX($AC$2:$AS$1001,MATCH(ROWS($V$2:V890),$V$2:$V$1001,0),MATCH(COLUMNS($AC$1006:AN1006),$AC$1006:$AS$1006,0)), HYPERLINK("#",""), HYPERLINK(CONCATENATE("#Metadata!", ADDRESS(INDEX($X$2:$X$1001,MATCH(ROWS($V$2:V890),$V$2:$V$1001,0),0), INDEX($AC$1004:$AS$1004,1,MATCH(COLUMNS($AC$1006:AN1006),$AC$1006:$AS$1006,0)))),"Fix")))</f>
        <v>0</v>
      </c>
      <c r="N890" s="5">
        <f>IF(OR(INDEX($W$2:$W$1001,MATCH(ROWS($V$2:V890),$V$2:$V$1001,0),1)&gt;=100000,INDEX($AC$1005:$AS$1005,1,MATCH(COLUMNS($AC$1006:AO1006),$AC$1006:$AS$1006,0))&gt;=100000), " ",IF(INDEX($AC$2:$AS$1001,MATCH(ROWS($V$2:V890),$V$2:$V$1001,0),MATCH(COLUMNS($AC$1006:AO1006),$AC$1006:$AS$1006,0)), HYPERLINK("#",""), HYPERLINK(CONCATENATE("#Metadata!", ADDRESS(INDEX($X$2:$X$1001,MATCH(ROWS($V$2:V890),$V$2:$V$1001,0),0), INDEX($AC$1004:$AS$1004,1,MATCH(COLUMNS($AC$1006:AO1006),$AC$1006:$AS$1006,0)))),"Fix")))</f>
        <v>0</v>
      </c>
      <c r="O890" s="5">
        <f>IF(OR(INDEX($W$2:$W$1001,MATCH(ROWS($V$2:V890),$V$2:$V$1001,0),1)&gt;=100000,INDEX($AC$1005:$AS$1005,1,MATCH(COLUMNS($AC$1006:AP1006),$AC$1006:$AS$1006,0))&gt;=100000), " ",IF(INDEX($AC$2:$AS$1001,MATCH(ROWS($V$2:V890),$V$2:$V$1001,0),MATCH(COLUMNS($AC$1006:AP1006),$AC$1006:$AS$1006,0)), HYPERLINK("#",""), HYPERLINK(CONCATENATE("#Metadata!", ADDRESS(INDEX($X$2:$X$1001,MATCH(ROWS($V$2:V890),$V$2:$V$1001,0),0), INDEX($AC$1004:$AS$1004,1,MATCH(COLUMNS($AC$1006:AP1006),$AC$1006:$AS$1006,0)))),"Fix")))</f>
        <v>0</v>
      </c>
      <c r="P890" s="5">
        <f>IF(OR(INDEX($W$2:$W$1001,MATCH(ROWS($V$2:V890),$V$2:$V$1001,0),1)&gt;=100000,INDEX($AC$1005:$AS$1005,1,MATCH(COLUMNS($AC$1006:AQ1006),$AC$1006:$AS$1006,0))&gt;=100000), " ",IF(INDEX($AC$2:$AS$1001,MATCH(ROWS($V$2:V890),$V$2:$V$1001,0),MATCH(COLUMNS($AC$1006:AQ1006),$AC$1006:$AS$1006,0)), HYPERLINK("#",""), HYPERLINK(CONCATENATE("#Metadata!", ADDRESS(INDEX($X$2:$X$1001,MATCH(ROWS($V$2:V890),$V$2:$V$1001,0),0), INDEX($AC$1004:$AS$1004,1,MATCH(COLUMNS($AC$1006:AQ1006),$AC$1006:$AS$1006,0)))),"Fix")))</f>
        <v>0</v>
      </c>
      <c r="Q890" s="5">
        <f>IF(OR(INDEX($W$2:$W$1001,MATCH(ROWS($V$2:V890),$V$2:$V$1001,0),1)&gt;=100000,INDEX($AC$1005:$AS$1005,1,MATCH(COLUMNS($AC$1006:AR1006),$AC$1006:$AS$1006,0))&gt;=100000), " ",IF(INDEX($AC$2:$AS$1001,MATCH(ROWS($V$2:V890),$V$2:$V$1001,0),MATCH(COLUMNS($AC$1006:AR1006),$AC$1006:$AS$1006,0)), HYPERLINK("#",""), HYPERLINK(CONCATENATE("#Metadata!", ADDRESS(INDEX($X$2:$X$1001,MATCH(ROWS($V$2:V890),$V$2:$V$1001,0),0), INDEX($AC$1004:$AS$1004,1,MATCH(COLUMNS($AC$1006:AR1006),$AC$1006:$AS$1006,0)))),"Fix")))</f>
        <v>0</v>
      </c>
      <c r="R890" s="5">
        <f>IF(OR(INDEX($W$2:$W$1001,MATCH(ROWS($V$2:V890),$V$2:$V$1001,0),1)&gt;=100000,INDEX($AC$1005:$AS$1005,1,MATCH(COLUMNS($AC$1006:AS1006),$AC$1006:$AS$1006,0))&gt;=100000), " ",IF(INDEX($AC$2:$AS$1001,MATCH(ROWS($V$2:V890),$V$2:$V$1001,0),MATCH(COLUMNS($AC$1006:AS1006),$AC$1006:$AS$1006,0)), HYPERLINK("#",""), HYPERLINK(CONCATENATE("#Metadata!", ADDRESS(INDEX($X$2:$X$1001,MATCH(ROWS($V$2:V890),$V$2:$V$1001,0),0), INDEX($AC$1004:$AS$1004,1,MATCH(COLUMNS($AC$1006:AS1006),$AC$1006:$AS$1006,0)))),"Fix")))</f>
        <v>0</v>
      </c>
      <c r="V890">
        <v>0</v>
      </c>
      <c r="W890">
        <v>0</v>
      </c>
      <c r="X890">
        <v>0</v>
      </c>
      <c r="Y890">
        <f>IF(Z890,TRUE,AND(AC890:AS890))</f>
        <v>0</v>
      </c>
      <c r="Z890">
        <f>COUNTBLANK(Metadata!B890:R890)=COLUMNS(Metadata!B890:R890)</f>
        <v>0</v>
      </c>
      <c r="AA890">
        <v>0</v>
      </c>
      <c r="AC890">
        <f>AND(IF(Metadata!B890="",FALSE,TRUE),COUNTIF(Metadata!B:B, Metadata!B890) = 1,NOT(ISERROR(SUMPRODUCT(SEARCH(MID(Metadata!B890,ROW(INDIRECT("1:"&amp;LEN(Metadata!B890))), 1),"0123456789abcdefghijklmnopqrstuvwxyzABCDEFGHIJKLMNOPQRSTUVWXYZ.")))))</f>
        <v>0</v>
      </c>
      <c r="AD890">
        <f>AND(IF(Metadata!C890="",FALSE,TRUE),exact(Metadata!C890,"Host-associated"))</f>
        <v>0</v>
      </c>
      <c r="AE890">
        <f>AND(IF(Metadata!D890="",FALSE,TRUE),OR(exact(Metadata!D890,"Animal"),exact(Metadata!D890,"Fungus"),exact(Metadata!D890,"Plant")))</f>
        <v>0</v>
      </c>
      <c r="AF890">
        <f>AND(IF(Metadata!E890="",FALSE,TRUE),OR(exact(Metadata!E890,"Plant secretion"),exact(Metadata!E890,"Plant rhizosphere"),exact(Metadata!E890,"Plant surface"),exact(Metadata!E890,"Plant corpus"),exact(Metadata!E890,"Fungus surface"),exact(Metadata!E890,"Fungus corpus"),exact(Metadata!E890,"Animal surface"),exact(Metadata!E890,"Animal proximal gut"),exact(Metadata!E890,"Animal corpus"),exact(Metadata!E890,"Animal distal gut"),exact(Metadata!E890,"Animal secretion")))</f>
        <v>0</v>
      </c>
      <c r="AG890">
        <f>OR(AND(IF(Metadata!F890="",FALSE,TRUE),OR(exact(Metadata!F890,"not collected"),exact(Metadata!F890,"not provided"),exact(Metadata!F890,"restricted access"))),AND(IF(Metadata!F890="",FALSE,TRUE),OR(exact(Metadata!F890,"organism-associated habitat"),exact(Metadata!F890,"plant-associated habitat"),exact(Metadata!F890,"animal-associated habitat"),exact(Metadata!F890,"insecta-associated habitat"),exact(Metadata!F890,"mammalia-associated habitat"),exact(Metadata!F890,"human-associated habitat"),exact(Metadata!F890,"livestock-associated habitat"))))</f>
        <v>0</v>
      </c>
      <c r="AH890">
        <f>AND(IF(Metadata!G890="",FALSE,TRUE),exact(Metadata!G890,"host-associated"))</f>
        <v>0</v>
      </c>
      <c r="AI890">
        <f>OR(AND(IF(Metadata!H890="",FALSE,TRUE),OR(exact(Metadata!H890,"not collected"),exact(Metadata!H890,"not provided"))),AND(IF(Metadata!H890="",FALSE,ISNUMBER(VALUE(Metadata!H890))),Metadata!H890&gt;0))</f>
        <v>0</v>
      </c>
      <c r="AJ890">
        <f>AND(IF(Metadata!I890="",FALSE,TRUE),exact(Metadata!I890,"years"))</f>
        <v>0</v>
      </c>
      <c r="AK890">
        <f>IF(Metadata!J890="",FALSE,TRUE)</f>
        <v>0</v>
      </c>
      <c r="AL890">
        <f>OR(AND(IF(Metadata!K890="",FALSE,TRUE),OR(exact(Metadata!K890,"not collected"),exact(Metadata!K890,"not provided"))),AND(IF(Metadata!K890="",FALSE,ISNUMBER(VALUE(Metadata!K890))),Metadata!K890&gt;0))</f>
        <v>0</v>
      </c>
      <c r="AM890">
        <f>AND(IF(Metadata!L890="",FALSE,TRUE),exact(Metadata!L890,"cm"))</f>
        <v>0</v>
      </c>
      <c r="AN890">
        <f>IF(Metadata!M890="",FALSE,TRUE)</f>
        <v>0</v>
      </c>
      <c r="AO890">
        <f>OR(AND(IF(Metadata!N890="",FALSE,TRUE),OR(exact(Metadata!N890,"not applicable"),exact(Metadata!N890,"not collected"),exact(Metadata!N890,"not provided"))),AND(IF(Metadata!N890="",FALSE,IF(ISERROR(INT(Metadata!N890)),FALSE,INT(Metadata!N890)=Metadata!N890)),Metadata!N890&gt;0))</f>
        <v>0</v>
      </c>
      <c r="AP890">
        <f>OR(AND(IF(Metadata!O890="",FALSE,TRUE),OR(exact(Metadata!O890,"not collected"),exact(Metadata!O890,"not provided"))),AND(IF(Metadata!O890="",FALSE,ISNUMBER(VALUE(Metadata!O890))),Metadata!O890&gt;0))</f>
        <v>0</v>
      </c>
      <c r="AQ890">
        <f>AND(IF(Metadata!P890="",FALSE,TRUE),exact(Metadata!P890,"kg"))</f>
        <v>0</v>
      </c>
      <c r="AR890">
        <f>OR(AND(IF(Metadata!Q890="",FALSE,TRUE),OR(exact(Metadata!Q890,"not applicable"),exact(Metadata!Q890,"not collected"),exact(Metadata!Q890,"not provided"),exact(Metadata!Q890,"restricted access"))),IF(Metadata!Q890="",FALSE,IF(ISERROR(INT(Metadata!Q890)),FALSE,INT(Metadata!Q890)=Metadata!Q890)))</f>
        <v>0</v>
      </c>
      <c r="AS890">
        <f>AND(IF(Metadata!R890="",FALSE,TRUE),exact(Metadata!R890,"Not applicable"))</f>
        <v>0</v>
      </c>
    </row>
    <row r="891" spans="1:45">
      <c r="A891" s="4">
        <f>IF(B891=" "," ",HYPERLINK(CONCATENATE("#metadata!",ADDRESS(INDEX($X$2:$X$1001,MATCH(ROWS($V$2:V891),$V$2:$V$1001,0),0),2)),INDEX($AA$2:$AA$1001,MATCH(ROWS($V$2:V891),$V$2:$V$1001,0),0)))</f>
        <v>0</v>
      </c>
      <c r="B891" s="5">
        <f>IF(OR(INDEX($W$2:$W$1001,MATCH(ROWS($V$2:V891),$V$2:$V$1001,0),1)&gt;=100000,INDEX($AC$1005:$AS$1005,1,MATCH(COLUMNS($AC$1006:AC1006),$AC$1006:$AS$1006,0))&gt;=100000), " ",IF(INDEX($AC$2:$AS$1001,MATCH(ROWS($V$2:V891),$V$2:$V$1001,0),MATCH(COLUMNS($AC$1006:AC1006),$AC$1006:$AS$1006,0)), HYPERLINK("#",""), HYPERLINK(CONCATENATE("#Metadata!", ADDRESS(INDEX($X$2:$X$1001,MATCH(ROWS($V$2:V891),$V$2:$V$1001,0),0), INDEX($AC$1004:$AS$1004,1,MATCH(COLUMNS($AC$1006:AC1006),$AC$1006:$AS$1006,0)))),"Fix")))</f>
        <v>0</v>
      </c>
      <c r="C891" s="5">
        <f>IF(OR(INDEX($W$2:$W$1001,MATCH(ROWS($V$2:V891),$V$2:$V$1001,0),1)&gt;=100000,INDEX($AC$1005:$AS$1005,1,MATCH(COLUMNS($AC$1006:AD1006),$AC$1006:$AS$1006,0))&gt;=100000), " ",IF(INDEX($AC$2:$AS$1001,MATCH(ROWS($V$2:V891),$V$2:$V$1001,0),MATCH(COLUMNS($AC$1006:AD1006),$AC$1006:$AS$1006,0)), HYPERLINK("#",""), HYPERLINK(CONCATENATE("#Metadata!", ADDRESS(INDEX($X$2:$X$1001,MATCH(ROWS($V$2:V891),$V$2:$V$1001,0),0), INDEX($AC$1004:$AS$1004,1,MATCH(COLUMNS($AC$1006:AD1006),$AC$1006:$AS$1006,0)))),"Fix")))</f>
        <v>0</v>
      </c>
      <c r="D891" s="5">
        <f>IF(OR(INDEX($W$2:$W$1001,MATCH(ROWS($V$2:V891),$V$2:$V$1001,0),1)&gt;=100000,INDEX($AC$1005:$AS$1005,1,MATCH(COLUMNS($AC$1006:AE1006),$AC$1006:$AS$1006,0))&gt;=100000), " ",IF(INDEX($AC$2:$AS$1001,MATCH(ROWS($V$2:V891),$V$2:$V$1001,0),MATCH(COLUMNS($AC$1006:AE1006),$AC$1006:$AS$1006,0)), HYPERLINK("#",""), HYPERLINK(CONCATENATE("#Metadata!", ADDRESS(INDEX($X$2:$X$1001,MATCH(ROWS($V$2:V891),$V$2:$V$1001,0),0), INDEX($AC$1004:$AS$1004,1,MATCH(COLUMNS($AC$1006:AE1006),$AC$1006:$AS$1006,0)))),"Fix")))</f>
        <v>0</v>
      </c>
      <c r="E891" s="5">
        <f>IF(OR(INDEX($W$2:$W$1001,MATCH(ROWS($V$2:V891),$V$2:$V$1001,0),1)&gt;=100000,INDEX($AC$1005:$AS$1005,1,MATCH(COLUMNS($AC$1006:AF1006),$AC$1006:$AS$1006,0))&gt;=100000), " ",IF(INDEX($AC$2:$AS$1001,MATCH(ROWS($V$2:V891),$V$2:$V$1001,0),MATCH(COLUMNS($AC$1006:AF1006),$AC$1006:$AS$1006,0)), HYPERLINK("#",""), HYPERLINK(CONCATENATE("#Metadata!", ADDRESS(INDEX($X$2:$X$1001,MATCH(ROWS($V$2:V891),$V$2:$V$1001,0),0), INDEX($AC$1004:$AS$1004,1,MATCH(COLUMNS($AC$1006:AF1006),$AC$1006:$AS$1006,0)))),"Fix")))</f>
        <v>0</v>
      </c>
      <c r="F891" s="5">
        <f>IF(OR(INDEX($W$2:$W$1001,MATCH(ROWS($V$2:V891),$V$2:$V$1001,0),1)&gt;=100000,INDEX($AC$1005:$AS$1005,1,MATCH(COLUMNS($AC$1006:AG1006),$AC$1006:$AS$1006,0))&gt;=100000), " ",IF(INDEX($AC$2:$AS$1001,MATCH(ROWS($V$2:V891),$V$2:$V$1001,0),MATCH(COLUMNS($AC$1006:AG1006),$AC$1006:$AS$1006,0)), HYPERLINK("#",""), HYPERLINK(CONCATENATE("#Metadata!", ADDRESS(INDEX($X$2:$X$1001,MATCH(ROWS($V$2:V891),$V$2:$V$1001,0),0), INDEX($AC$1004:$AS$1004,1,MATCH(COLUMNS($AC$1006:AG1006),$AC$1006:$AS$1006,0)))),"Fix")))</f>
        <v>0</v>
      </c>
      <c r="G891" s="5">
        <f>IF(OR(INDEX($W$2:$W$1001,MATCH(ROWS($V$2:V891),$V$2:$V$1001,0),1)&gt;=100000,INDEX($AC$1005:$AS$1005,1,MATCH(COLUMNS($AC$1006:AH1006),$AC$1006:$AS$1006,0))&gt;=100000), " ",IF(INDEX($AC$2:$AS$1001,MATCH(ROWS($V$2:V891),$V$2:$V$1001,0),MATCH(COLUMNS($AC$1006:AH1006),$AC$1006:$AS$1006,0)), HYPERLINK("#",""), HYPERLINK(CONCATENATE("#Metadata!", ADDRESS(INDEX($X$2:$X$1001,MATCH(ROWS($V$2:V891),$V$2:$V$1001,0),0), INDEX($AC$1004:$AS$1004,1,MATCH(COLUMNS($AC$1006:AH1006),$AC$1006:$AS$1006,0)))),"Fix")))</f>
        <v>0</v>
      </c>
      <c r="H891" s="5">
        <f>IF(OR(INDEX($W$2:$W$1001,MATCH(ROWS($V$2:V891),$V$2:$V$1001,0),1)&gt;=100000,INDEX($AC$1005:$AS$1005,1,MATCH(COLUMNS($AC$1006:AI1006),$AC$1006:$AS$1006,0))&gt;=100000), " ",IF(INDEX($AC$2:$AS$1001,MATCH(ROWS($V$2:V891),$V$2:$V$1001,0),MATCH(COLUMNS($AC$1006:AI1006),$AC$1006:$AS$1006,0)), HYPERLINK("#",""), HYPERLINK(CONCATENATE("#Metadata!", ADDRESS(INDEX($X$2:$X$1001,MATCH(ROWS($V$2:V891),$V$2:$V$1001,0),0), INDEX($AC$1004:$AS$1004,1,MATCH(COLUMNS($AC$1006:AI1006),$AC$1006:$AS$1006,0)))),"Fix")))</f>
        <v>0</v>
      </c>
      <c r="I891" s="5">
        <f>IF(OR(INDEX($W$2:$W$1001,MATCH(ROWS($V$2:V891),$V$2:$V$1001,0),1)&gt;=100000,INDEX($AC$1005:$AS$1005,1,MATCH(COLUMNS($AC$1006:AJ1006),$AC$1006:$AS$1006,0))&gt;=100000), " ",IF(INDEX($AC$2:$AS$1001,MATCH(ROWS($V$2:V891),$V$2:$V$1001,0),MATCH(COLUMNS($AC$1006:AJ1006),$AC$1006:$AS$1006,0)), HYPERLINK("#",""), HYPERLINK(CONCATENATE("#Metadata!", ADDRESS(INDEX($X$2:$X$1001,MATCH(ROWS($V$2:V891),$V$2:$V$1001,0),0), INDEX($AC$1004:$AS$1004,1,MATCH(COLUMNS($AC$1006:AJ1006),$AC$1006:$AS$1006,0)))),"Fix")))</f>
        <v>0</v>
      </c>
      <c r="J891" s="5">
        <f>IF(OR(INDEX($W$2:$W$1001,MATCH(ROWS($V$2:V891),$V$2:$V$1001,0),1)&gt;=100000,INDEX($AC$1005:$AS$1005,1,MATCH(COLUMNS($AC$1006:AK1006),$AC$1006:$AS$1006,0))&gt;=100000), " ",IF(INDEX($AC$2:$AS$1001,MATCH(ROWS($V$2:V891),$V$2:$V$1001,0),MATCH(COLUMNS($AC$1006:AK1006),$AC$1006:$AS$1006,0)), HYPERLINK("#",""), HYPERLINK(CONCATENATE("#Metadata!", ADDRESS(INDEX($X$2:$X$1001,MATCH(ROWS($V$2:V891),$V$2:$V$1001,0),0), INDEX($AC$1004:$AS$1004,1,MATCH(COLUMNS($AC$1006:AK1006),$AC$1006:$AS$1006,0)))),"Fix")))</f>
        <v>0</v>
      </c>
      <c r="K891" s="5">
        <f>IF(OR(INDEX($W$2:$W$1001,MATCH(ROWS($V$2:V891),$V$2:$V$1001,0),1)&gt;=100000,INDEX($AC$1005:$AS$1005,1,MATCH(COLUMNS($AC$1006:AL1006),$AC$1006:$AS$1006,0))&gt;=100000), " ",IF(INDEX($AC$2:$AS$1001,MATCH(ROWS($V$2:V891),$V$2:$V$1001,0),MATCH(COLUMNS($AC$1006:AL1006),$AC$1006:$AS$1006,0)), HYPERLINK("#",""), HYPERLINK(CONCATENATE("#Metadata!", ADDRESS(INDEX($X$2:$X$1001,MATCH(ROWS($V$2:V891),$V$2:$V$1001,0),0), INDEX($AC$1004:$AS$1004,1,MATCH(COLUMNS($AC$1006:AL1006),$AC$1006:$AS$1006,0)))),"Fix")))</f>
        <v>0</v>
      </c>
      <c r="L891" s="5">
        <f>IF(OR(INDEX($W$2:$W$1001,MATCH(ROWS($V$2:V891),$V$2:$V$1001,0),1)&gt;=100000,INDEX($AC$1005:$AS$1005,1,MATCH(COLUMNS($AC$1006:AM1006),$AC$1006:$AS$1006,0))&gt;=100000), " ",IF(INDEX($AC$2:$AS$1001,MATCH(ROWS($V$2:V891),$V$2:$V$1001,0),MATCH(COLUMNS($AC$1006:AM1006),$AC$1006:$AS$1006,0)), HYPERLINK("#",""), HYPERLINK(CONCATENATE("#Metadata!", ADDRESS(INDEX($X$2:$X$1001,MATCH(ROWS($V$2:V891),$V$2:$V$1001,0),0), INDEX($AC$1004:$AS$1004,1,MATCH(COLUMNS($AC$1006:AM1006),$AC$1006:$AS$1006,0)))),"Fix")))</f>
        <v>0</v>
      </c>
      <c r="M891" s="5">
        <f>IF(OR(INDEX($W$2:$W$1001,MATCH(ROWS($V$2:V891),$V$2:$V$1001,0),1)&gt;=100000,INDEX($AC$1005:$AS$1005,1,MATCH(COLUMNS($AC$1006:AN1006),$AC$1006:$AS$1006,0))&gt;=100000), " ",IF(INDEX($AC$2:$AS$1001,MATCH(ROWS($V$2:V891),$V$2:$V$1001,0),MATCH(COLUMNS($AC$1006:AN1006),$AC$1006:$AS$1006,0)), HYPERLINK("#",""), HYPERLINK(CONCATENATE("#Metadata!", ADDRESS(INDEX($X$2:$X$1001,MATCH(ROWS($V$2:V891),$V$2:$V$1001,0),0), INDEX($AC$1004:$AS$1004,1,MATCH(COLUMNS($AC$1006:AN1006),$AC$1006:$AS$1006,0)))),"Fix")))</f>
        <v>0</v>
      </c>
      <c r="N891" s="5">
        <f>IF(OR(INDEX($W$2:$W$1001,MATCH(ROWS($V$2:V891),$V$2:$V$1001,0),1)&gt;=100000,INDEX($AC$1005:$AS$1005,1,MATCH(COLUMNS($AC$1006:AO1006),$AC$1006:$AS$1006,0))&gt;=100000), " ",IF(INDEX($AC$2:$AS$1001,MATCH(ROWS($V$2:V891),$V$2:$V$1001,0),MATCH(COLUMNS($AC$1006:AO1006),$AC$1006:$AS$1006,0)), HYPERLINK("#",""), HYPERLINK(CONCATENATE("#Metadata!", ADDRESS(INDEX($X$2:$X$1001,MATCH(ROWS($V$2:V891),$V$2:$V$1001,0),0), INDEX($AC$1004:$AS$1004,1,MATCH(COLUMNS($AC$1006:AO1006),$AC$1006:$AS$1006,0)))),"Fix")))</f>
        <v>0</v>
      </c>
      <c r="O891" s="5">
        <f>IF(OR(INDEX($W$2:$W$1001,MATCH(ROWS($V$2:V891),$V$2:$V$1001,0),1)&gt;=100000,INDEX($AC$1005:$AS$1005,1,MATCH(COLUMNS($AC$1006:AP1006),$AC$1006:$AS$1006,0))&gt;=100000), " ",IF(INDEX($AC$2:$AS$1001,MATCH(ROWS($V$2:V891),$V$2:$V$1001,0),MATCH(COLUMNS($AC$1006:AP1006),$AC$1006:$AS$1006,0)), HYPERLINK("#",""), HYPERLINK(CONCATENATE("#Metadata!", ADDRESS(INDEX($X$2:$X$1001,MATCH(ROWS($V$2:V891),$V$2:$V$1001,0),0), INDEX($AC$1004:$AS$1004,1,MATCH(COLUMNS($AC$1006:AP1006),$AC$1006:$AS$1006,0)))),"Fix")))</f>
        <v>0</v>
      </c>
      <c r="P891" s="5">
        <f>IF(OR(INDEX($W$2:$W$1001,MATCH(ROWS($V$2:V891),$V$2:$V$1001,0),1)&gt;=100000,INDEX($AC$1005:$AS$1005,1,MATCH(COLUMNS($AC$1006:AQ1006),$AC$1006:$AS$1006,0))&gt;=100000), " ",IF(INDEX($AC$2:$AS$1001,MATCH(ROWS($V$2:V891),$V$2:$V$1001,0),MATCH(COLUMNS($AC$1006:AQ1006),$AC$1006:$AS$1006,0)), HYPERLINK("#",""), HYPERLINK(CONCATENATE("#Metadata!", ADDRESS(INDEX($X$2:$X$1001,MATCH(ROWS($V$2:V891),$V$2:$V$1001,0),0), INDEX($AC$1004:$AS$1004,1,MATCH(COLUMNS($AC$1006:AQ1006),$AC$1006:$AS$1006,0)))),"Fix")))</f>
        <v>0</v>
      </c>
      <c r="Q891" s="5">
        <f>IF(OR(INDEX($W$2:$W$1001,MATCH(ROWS($V$2:V891),$V$2:$V$1001,0),1)&gt;=100000,INDEX($AC$1005:$AS$1005,1,MATCH(COLUMNS($AC$1006:AR1006),$AC$1006:$AS$1006,0))&gt;=100000), " ",IF(INDEX($AC$2:$AS$1001,MATCH(ROWS($V$2:V891),$V$2:$V$1001,0),MATCH(COLUMNS($AC$1006:AR1006),$AC$1006:$AS$1006,0)), HYPERLINK("#",""), HYPERLINK(CONCATENATE("#Metadata!", ADDRESS(INDEX($X$2:$X$1001,MATCH(ROWS($V$2:V891),$V$2:$V$1001,0),0), INDEX($AC$1004:$AS$1004,1,MATCH(COLUMNS($AC$1006:AR1006),$AC$1006:$AS$1006,0)))),"Fix")))</f>
        <v>0</v>
      </c>
      <c r="R891" s="5">
        <f>IF(OR(INDEX($W$2:$W$1001,MATCH(ROWS($V$2:V891),$V$2:$V$1001,0),1)&gt;=100000,INDEX($AC$1005:$AS$1005,1,MATCH(COLUMNS($AC$1006:AS1006),$AC$1006:$AS$1006,0))&gt;=100000), " ",IF(INDEX($AC$2:$AS$1001,MATCH(ROWS($V$2:V891),$V$2:$V$1001,0),MATCH(COLUMNS($AC$1006:AS1006),$AC$1006:$AS$1006,0)), HYPERLINK("#",""), HYPERLINK(CONCATENATE("#Metadata!", ADDRESS(INDEX($X$2:$X$1001,MATCH(ROWS($V$2:V891),$V$2:$V$1001,0),0), INDEX($AC$1004:$AS$1004,1,MATCH(COLUMNS($AC$1006:AS1006),$AC$1006:$AS$1006,0)))),"Fix")))</f>
        <v>0</v>
      </c>
      <c r="V891">
        <v>0</v>
      </c>
      <c r="W891">
        <v>0</v>
      </c>
      <c r="X891">
        <v>0</v>
      </c>
      <c r="Y891">
        <f>IF(Z891,TRUE,AND(AC891:AS891))</f>
        <v>0</v>
      </c>
      <c r="Z891">
        <f>COUNTBLANK(Metadata!B891:R891)=COLUMNS(Metadata!B891:R891)</f>
        <v>0</v>
      </c>
      <c r="AA891">
        <v>0</v>
      </c>
      <c r="AC891">
        <f>AND(IF(Metadata!B891="",FALSE,TRUE),COUNTIF(Metadata!B:B, Metadata!B891) = 1,NOT(ISERROR(SUMPRODUCT(SEARCH(MID(Metadata!B891,ROW(INDIRECT("1:"&amp;LEN(Metadata!B891))), 1),"0123456789abcdefghijklmnopqrstuvwxyzABCDEFGHIJKLMNOPQRSTUVWXYZ.")))))</f>
        <v>0</v>
      </c>
      <c r="AD891">
        <f>AND(IF(Metadata!C891="",FALSE,TRUE),exact(Metadata!C891,"Host-associated"))</f>
        <v>0</v>
      </c>
      <c r="AE891">
        <f>AND(IF(Metadata!D891="",FALSE,TRUE),OR(exact(Metadata!D891,"Animal"),exact(Metadata!D891,"Fungus"),exact(Metadata!D891,"Plant")))</f>
        <v>0</v>
      </c>
      <c r="AF891">
        <f>AND(IF(Metadata!E891="",FALSE,TRUE),OR(exact(Metadata!E891,"Plant secretion"),exact(Metadata!E891,"Plant rhizosphere"),exact(Metadata!E891,"Plant surface"),exact(Metadata!E891,"Plant corpus"),exact(Metadata!E891,"Fungus surface"),exact(Metadata!E891,"Fungus corpus"),exact(Metadata!E891,"Animal surface"),exact(Metadata!E891,"Animal proximal gut"),exact(Metadata!E891,"Animal corpus"),exact(Metadata!E891,"Animal distal gut"),exact(Metadata!E891,"Animal secretion")))</f>
        <v>0</v>
      </c>
      <c r="AG891">
        <f>OR(AND(IF(Metadata!F891="",FALSE,TRUE),OR(exact(Metadata!F891,"not collected"),exact(Metadata!F891,"not provided"),exact(Metadata!F891,"restricted access"))),AND(IF(Metadata!F891="",FALSE,TRUE),OR(exact(Metadata!F891,"organism-associated habitat"),exact(Metadata!F891,"plant-associated habitat"),exact(Metadata!F891,"animal-associated habitat"),exact(Metadata!F891,"insecta-associated habitat"),exact(Metadata!F891,"mammalia-associated habitat"),exact(Metadata!F891,"human-associated habitat"),exact(Metadata!F891,"livestock-associated habitat"))))</f>
        <v>0</v>
      </c>
      <c r="AH891">
        <f>AND(IF(Metadata!G891="",FALSE,TRUE),exact(Metadata!G891,"host-associated"))</f>
        <v>0</v>
      </c>
      <c r="AI891">
        <f>OR(AND(IF(Metadata!H891="",FALSE,TRUE),OR(exact(Metadata!H891,"not collected"),exact(Metadata!H891,"not provided"))),AND(IF(Metadata!H891="",FALSE,ISNUMBER(VALUE(Metadata!H891))),Metadata!H891&gt;0))</f>
        <v>0</v>
      </c>
      <c r="AJ891">
        <f>AND(IF(Metadata!I891="",FALSE,TRUE),exact(Metadata!I891,"years"))</f>
        <v>0</v>
      </c>
      <c r="AK891">
        <f>IF(Metadata!J891="",FALSE,TRUE)</f>
        <v>0</v>
      </c>
      <c r="AL891">
        <f>OR(AND(IF(Metadata!K891="",FALSE,TRUE),OR(exact(Metadata!K891,"not collected"),exact(Metadata!K891,"not provided"))),AND(IF(Metadata!K891="",FALSE,ISNUMBER(VALUE(Metadata!K891))),Metadata!K891&gt;0))</f>
        <v>0</v>
      </c>
      <c r="AM891">
        <f>AND(IF(Metadata!L891="",FALSE,TRUE),exact(Metadata!L891,"cm"))</f>
        <v>0</v>
      </c>
      <c r="AN891">
        <f>IF(Metadata!M891="",FALSE,TRUE)</f>
        <v>0</v>
      </c>
      <c r="AO891">
        <f>OR(AND(IF(Metadata!N891="",FALSE,TRUE),OR(exact(Metadata!N891,"not applicable"),exact(Metadata!N891,"not collected"),exact(Metadata!N891,"not provided"))),AND(IF(Metadata!N891="",FALSE,IF(ISERROR(INT(Metadata!N891)),FALSE,INT(Metadata!N891)=Metadata!N891)),Metadata!N891&gt;0))</f>
        <v>0</v>
      </c>
      <c r="AP891">
        <f>OR(AND(IF(Metadata!O891="",FALSE,TRUE),OR(exact(Metadata!O891,"not collected"),exact(Metadata!O891,"not provided"))),AND(IF(Metadata!O891="",FALSE,ISNUMBER(VALUE(Metadata!O891))),Metadata!O891&gt;0))</f>
        <v>0</v>
      </c>
      <c r="AQ891">
        <f>AND(IF(Metadata!P891="",FALSE,TRUE),exact(Metadata!P891,"kg"))</f>
        <v>0</v>
      </c>
      <c r="AR891">
        <f>OR(AND(IF(Metadata!Q891="",FALSE,TRUE),OR(exact(Metadata!Q891,"not applicable"),exact(Metadata!Q891,"not collected"),exact(Metadata!Q891,"not provided"),exact(Metadata!Q891,"restricted access"))),IF(Metadata!Q891="",FALSE,IF(ISERROR(INT(Metadata!Q891)),FALSE,INT(Metadata!Q891)=Metadata!Q891)))</f>
        <v>0</v>
      </c>
      <c r="AS891">
        <f>AND(IF(Metadata!R891="",FALSE,TRUE),exact(Metadata!R891,"Not applicable"))</f>
        <v>0</v>
      </c>
    </row>
    <row r="892" spans="1:45">
      <c r="A892" s="4">
        <f>IF(B892=" "," ",HYPERLINK(CONCATENATE("#metadata!",ADDRESS(INDEX($X$2:$X$1001,MATCH(ROWS($V$2:V892),$V$2:$V$1001,0),0),2)),INDEX($AA$2:$AA$1001,MATCH(ROWS($V$2:V892),$V$2:$V$1001,0),0)))</f>
        <v>0</v>
      </c>
      <c r="B892" s="5">
        <f>IF(OR(INDEX($W$2:$W$1001,MATCH(ROWS($V$2:V892),$V$2:$V$1001,0),1)&gt;=100000,INDEX($AC$1005:$AS$1005,1,MATCH(COLUMNS($AC$1006:AC1006),$AC$1006:$AS$1006,0))&gt;=100000), " ",IF(INDEX($AC$2:$AS$1001,MATCH(ROWS($V$2:V892),$V$2:$V$1001,0),MATCH(COLUMNS($AC$1006:AC1006),$AC$1006:$AS$1006,0)), HYPERLINK("#",""), HYPERLINK(CONCATENATE("#Metadata!", ADDRESS(INDEX($X$2:$X$1001,MATCH(ROWS($V$2:V892),$V$2:$V$1001,0),0), INDEX($AC$1004:$AS$1004,1,MATCH(COLUMNS($AC$1006:AC1006),$AC$1006:$AS$1006,0)))),"Fix")))</f>
        <v>0</v>
      </c>
      <c r="C892" s="5">
        <f>IF(OR(INDEX($W$2:$W$1001,MATCH(ROWS($V$2:V892),$V$2:$V$1001,0),1)&gt;=100000,INDEX($AC$1005:$AS$1005,1,MATCH(COLUMNS($AC$1006:AD1006),$AC$1006:$AS$1006,0))&gt;=100000), " ",IF(INDEX($AC$2:$AS$1001,MATCH(ROWS($V$2:V892),$V$2:$V$1001,0),MATCH(COLUMNS($AC$1006:AD1006),$AC$1006:$AS$1006,0)), HYPERLINK("#",""), HYPERLINK(CONCATENATE("#Metadata!", ADDRESS(INDEX($X$2:$X$1001,MATCH(ROWS($V$2:V892),$V$2:$V$1001,0),0), INDEX($AC$1004:$AS$1004,1,MATCH(COLUMNS($AC$1006:AD1006),$AC$1006:$AS$1006,0)))),"Fix")))</f>
        <v>0</v>
      </c>
      <c r="D892" s="5">
        <f>IF(OR(INDEX($W$2:$W$1001,MATCH(ROWS($V$2:V892),$V$2:$V$1001,0),1)&gt;=100000,INDEX($AC$1005:$AS$1005,1,MATCH(COLUMNS($AC$1006:AE1006),$AC$1006:$AS$1006,0))&gt;=100000), " ",IF(INDEX($AC$2:$AS$1001,MATCH(ROWS($V$2:V892),$V$2:$V$1001,0),MATCH(COLUMNS($AC$1006:AE1006),$AC$1006:$AS$1006,0)), HYPERLINK("#",""), HYPERLINK(CONCATENATE("#Metadata!", ADDRESS(INDEX($X$2:$X$1001,MATCH(ROWS($V$2:V892),$V$2:$V$1001,0),0), INDEX($AC$1004:$AS$1004,1,MATCH(COLUMNS($AC$1006:AE1006),$AC$1006:$AS$1006,0)))),"Fix")))</f>
        <v>0</v>
      </c>
      <c r="E892" s="5">
        <f>IF(OR(INDEX($W$2:$W$1001,MATCH(ROWS($V$2:V892),$V$2:$V$1001,0),1)&gt;=100000,INDEX($AC$1005:$AS$1005,1,MATCH(COLUMNS($AC$1006:AF1006),$AC$1006:$AS$1006,0))&gt;=100000), " ",IF(INDEX($AC$2:$AS$1001,MATCH(ROWS($V$2:V892),$V$2:$V$1001,0),MATCH(COLUMNS($AC$1006:AF1006),$AC$1006:$AS$1006,0)), HYPERLINK("#",""), HYPERLINK(CONCATENATE("#Metadata!", ADDRESS(INDEX($X$2:$X$1001,MATCH(ROWS($V$2:V892),$V$2:$V$1001,0),0), INDEX($AC$1004:$AS$1004,1,MATCH(COLUMNS($AC$1006:AF1006),$AC$1006:$AS$1006,0)))),"Fix")))</f>
        <v>0</v>
      </c>
      <c r="F892" s="5">
        <f>IF(OR(INDEX($W$2:$W$1001,MATCH(ROWS($V$2:V892),$V$2:$V$1001,0),1)&gt;=100000,INDEX($AC$1005:$AS$1005,1,MATCH(COLUMNS($AC$1006:AG1006),$AC$1006:$AS$1006,0))&gt;=100000), " ",IF(INDEX($AC$2:$AS$1001,MATCH(ROWS($V$2:V892),$V$2:$V$1001,0),MATCH(COLUMNS($AC$1006:AG1006),$AC$1006:$AS$1006,0)), HYPERLINK("#",""), HYPERLINK(CONCATENATE("#Metadata!", ADDRESS(INDEX($X$2:$X$1001,MATCH(ROWS($V$2:V892),$V$2:$V$1001,0),0), INDEX($AC$1004:$AS$1004,1,MATCH(COLUMNS($AC$1006:AG1006),$AC$1006:$AS$1006,0)))),"Fix")))</f>
        <v>0</v>
      </c>
      <c r="G892" s="5">
        <f>IF(OR(INDEX($W$2:$W$1001,MATCH(ROWS($V$2:V892),$V$2:$V$1001,0),1)&gt;=100000,INDEX($AC$1005:$AS$1005,1,MATCH(COLUMNS($AC$1006:AH1006),$AC$1006:$AS$1006,0))&gt;=100000), " ",IF(INDEX($AC$2:$AS$1001,MATCH(ROWS($V$2:V892),$V$2:$V$1001,0),MATCH(COLUMNS($AC$1006:AH1006),$AC$1006:$AS$1006,0)), HYPERLINK("#",""), HYPERLINK(CONCATENATE("#Metadata!", ADDRESS(INDEX($X$2:$X$1001,MATCH(ROWS($V$2:V892),$V$2:$V$1001,0),0), INDEX($AC$1004:$AS$1004,1,MATCH(COLUMNS($AC$1006:AH1006),$AC$1006:$AS$1006,0)))),"Fix")))</f>
        <v>0</v>
      </c>
      <c r="H892" s="5">
        <f>IF(OR(INDEX($W$2:$W$1001,MATCH(ROWS($V$2:V892),$V$2:$V$1001,0),1)&gt;=100000,INDEX($AC$1005:$AS$1005,1,MATCH(COLUMNS($AC$1006:AI1006),$AC$1006:$AS$1006,0))&gt;=100000), " ",IF(INDEX($AC$2:$AS$1001,MATCH(ROWS($V$2:V892),$V$2:$V$1001,0),MATCH(COLUMNS($AC$1006:AI1006),$AC$1006:$AS$1006,0)), HYPERLINK("#",""), HYPERLINK(CONCATENATE("#Metadata!", ADDRESS(INDEX($X$2:$X$1001,MATCH(ROWS($V$2:V892),$V$2:$V$1001,0),0), INDEX($AC$1004:$AS$1004,1,MATCH(COLUMNS($AC$1006:AI1006),$AC$1006:$AS$1006,0)))),"Fix")))</f>
        <v>0</v>
      </c>
      <c r="I892" s="5">
        <f>IF(OR(INDEX($W$2:$W$1001,MATCH(ROWS($V$2:V892),$V$2:$V$1001,0),1)&gt;=100000,INDEX($AC$1005:$AS$1005,1,MATCH(COLUMNS($AC$1006:AJ1006),$AC$1006:$AS$1006,0))&gt;=100000), " ",IF(INDEX($AC$2:$AS$1001,MATCH(ROWS($V$2:V892),$V$2:$V$1001,0),MATCH(COLUMNS($AC$1006:AJ1006),$AC$1006:$AS$1006,0)), HYPERLINK("#",""), HYPERLINK(CONCATENATE("#Metadata!", ADDRESS(INDEX($X$2:$X$1001,MATCH(ROWS($V$2:V892),$V$2:$V$1001,0),0), INDEX($AC$1004:$AS$1004,1,MATCH(COLUMNS($AC$1006:AJ1006),$AC$1006:$AS$1006,0)))),"Fix")))</f>
        <v>0</v>
      </c>
      <c r="J892" s="5">
        <f>IF(OR(INDEX($W$2:$W$1001,MATCH(ROWS($V$2:V892),$V$2:$V$1001,0),1)&gt;=100000,INDEX($AC$1005:$AS$1005,1,MATCH(COLUMNS($AC$1006:AK1006),$AC$1006:$AS$1006,0))&gt;=100000), " ",IF(INDEX($AC$2:$AS$1001,MATCH(ROWS($V$2:V892),$V$2:$V$1001,0),MATCH(COLUMNS($AC$1006:AK1006),$AC$1006:$AS$1006,0)), HYPERLINK("#",""), HYPERLINK(CONCATENATE("#Metadata!", ADDRESS(INDEX($X$2:$X$1001,MATCH(ROWS($V$2:V892),$V$2:$V$1001,0),0), INDEX($AC$1004:$AS$1004,1,MATCH(COLUMNS($AC$1006:AK1006),$AC$1006:$AS$1006,0)))),"Fix")))</f>
        <v>0</v>
      </c>
      <c r="K892" s="5">
        <f>IF(OR(INDEX($W$2:$W$1001,MATCH(ROWS($V$2:V892),$V$2:$V$1001,0),1)&gt;=100000,INDEX($AC$1005:$AS$1005,1,MATCH(COLUMNS($AC$1006:AL1006),$AC$1006:$AS$1006,0))&gt;=100000), " ",IF(INDEX($AC$2:$AS$1001,MATCH(ROWS($V$2:V892),$V$2:$V$1001,0),MATCH(COLUMNS($AC$1006:AL1006),$AC$1006:$AS$1006,0)), HYPERLINK("#",""), HYPERLINK(CONCATENATE("#Metadata!", ADDRESS(INDEX($X$2:$X$1001,MATCH(ROWS($V$2:V892),$V$2:$V$1001,0),0), INDEX($AC$1004:$AS$1004,1,MATCH(COLUMNS($AC$1006:AL1006),$AC$1006:$AS$1006,0)))),"Fix")))</f>
        <v>0</v>
      </c>
      <c r="L892" s="5">
        <f>IF(OR(INDEX($W$2:$W$1001,MATCH(ROWS($V$2:V892),$V$2:$V$1001,0),1)&gt;=100000,INDEX($AC$1005:$AS$1005,1,MATCH(COLUMNS($AC$1006:AM1006),$AC$1006:$AS$1006,0))&gt;=100000), " ",IF(INDEX($AC$2:$AS$1001,MATCH(ROWS($V$2:V892),$V$2:$V$1001,0),MATCH(COLUMNS($AC$1006:AM1006),$AC$1006:$AS$1006,0)), HYPERLINK("#",""), HYPERLINK(CONCATENATE("#Metadata!", ADDRESS(INDEX($X$2:$X$1001,MATCH(ROWS($V$2:V892),$V$2:$V$1001,0),0), INDEX($AC$1004:$AS$1004,1,MATCH(COLUMNS($AC$1006:AM1006),$AC$1006:$AS$1006,0)))),"Fix")))</f>
        <v>0</v>
      </c>
      <c r="M892" s="5">
        <f>IF(OR(INDEX($W$2:$W$1001,MATCH(ROWS($V$2:V892),$V$2:$V$1001,0),1)&gt;=100000,INDEX($AC$1005:$AS$1005,1,MATCH(COLUMNS($AC$1006:AN1006),$AC$1006:$AS$1006,0))&gt;=100000), " ",IF(INDEX($AC$2:$AS$1001,MATCH(ROWS($V$2:V892),$V$2:$V$1001,0),MATCH(COLUMNS($AC$1006:AN1006),$AC$1006:$AS$1006,0)), HYPERLINK("#",""), HYPERLINK(CONCATENATE("#Metadata!", ADDRESS(INDEX($X$2:$X$1001,MATCH(ROWS($V$2:V892),$V$2:$V$1001,0),0), INDEX($AC$1004:$AS$1004,1,MATCH(COLUMNS($AC$1006:AN1006),$AC$1006:$AS$1006,0)))),"Fix")))</f>
        <v>0</v>
      </c>
      <c r="N892" s="5">
        <f>IF(OR(INDEX($W$2:$W$1001,MATCH(ROWS($V$2:V892),$V$2:$V$1001,0),1)&gt;=100000,INDEX($AC$1005:$AS$1005,1,MATCH(COLUMNS($AC$1006:AO1006),$AC$1006:$AS$1006,0))&gt;=100000), " ",IF(INDEX($AC$2:$AS$1001,MATCH(ROWS($V$2:V892),$V$2:$V$1001,0),MATCH(COLUMNS($AC$1006:AO1006),$AC$1006:$AS$1006,0)), HYPERLINK("#",""), HYPERLINK(CONCATENATE("#Metadata!", ADDRESS(INDEX($X$2:$X$1001,MATCH(ROWS($V$2:V892),$V$2:$V$1001,0),0), INDEX($AC$1004:$AS$1004,1,MATCH(COLUMNS($AC$1006:AO1006),$AC$1006:$AS$1006,0)))),"Fix")))</f>
        <v>0</v>
      </c>
      <c r="O892" s="5">
        <f>IF(OR(INDEX($W$2:$W$1001,MATCH(ROWS($V$2:V892),$V$2:$V$1001,0),1)&gt;=100000,INDEX($AC$1005:$AS$1005,1,MATCH(COLUMNS($AC$1006:AP1006),$AC$1006:$AS$1006,0))&gt;=100000), " ",IF(INDEX($AC$2:$AS$1001,MATCH(ROWS($V$2:V892),$V$2:$V$1001,0),MATCH(COLUMNS($AC$1006:AP1006),$AC$1006:$AS$1006,0)), HYPERLINK("#",""), HYPERLINK(CONCATENATE("#Metadata!", ADDRESS(INDEX($X$2:$X$1001,MATCH(ROWS($V$2:V892),$V$2:$V$1001,0),0), INDEX($AC$1004:$AS$1004,1,MATCH(COLUMNS($AC$1006:AP1006),$AC$1006:$AS$1006,0)))),"Fix")))</f>
        <v>0</v>
      </c>
      <c r="P892" s="5">
        <f>IF(OR(INDEX($W$2:$W$1001,MATCH(ROWS($V$2:V892),$V$2:$V$1001,0),1)&gt;=100000,INDEX($AC$1005:$AS$1005,1,MATCH(COLUMNS($AC$1006:AQ1006),$AC$1006:$AS$1006,0))&gt;=100000), " ",IF(INDEX($AC$2:$AS$1001,MATCH(ROWS($V$2:V892),$V$2:$V$1001,0),MATCH(COLUMNS($AC$1006:AQ1006),$AC$1006:$AS$1006,0)), HYPERLINK("#",""), HYPERLINK(CONCATENATE("#Metadata!", ADDRESS(INDEX($X$2:$X$1001,MATCH(ROWS($V$2:V892),$V$2:$V$1001,0),0), INDEX($AC$1004:$AS$1004,1,MATCH(COLUMNS($AC$1006:AQ1006),$AC$1006:$AS$1006,0)))),"Fix")))</f>
        <v>0</v>
      </c>
      <c r="Q892" s="5">
        <f>IF(OR(INDEX($W$2:$W$1001,MATCH(ROWS($V$2:V892),$V$2:$V$1001,0),1)&gt;=100000,INDEX($AC$1005:$AS$1005,1,MATCH(COLUMNS($AC$1006:AR1006),$AC$1006:$AS$1006,0))&gt;=100000), " ",IF(INDEX($AC$2:$AS$1001,MATCH(ROWS($V$2:V892),$V$2:$V$1001,0),MATCH(COLUMNS($AC$1006:AR1006),$AC$1006:$AS$1006,0)), HYPERLINK("#",""), HYPERLINK(CONCATENATE("#Metadata!", ADDRESS(INDEX($X$2:$X$1001,MATCH(ROWS($V$2:V892),$V$2:$V$1001,0),0), INDEX($AC$1004:$AS$1004,1,MATCH(COLUMNS($AC$1006:AR1006),$AC$1006:$AS$1006,0)))),"Fix")))</f>
        <v>0</v>
      </c>
      <c r="R892" s="5">
        <f>IF(OR(INDEX($W$2:$W$1001,MATCH(ROWS($V$2:V892),$V$2:$V$1001,0),1)&gt;=100000,INDEX($AC$1005:$AS$1005,1,MATCH(COLUMNS($AC$1006:AS1006),$AC$1006:$AS$1006,0))&gt;=100000), " ",IF(INDEX($AC$2:$AS$1001,MATCH(ROWS($V$2:V892),$V$2:$V$1001,0),MATCH(COLUMNS($AC$1006:AS1006),$AC$1006:$AS$1006,0)), HYPERLINK("#",""), HYPERLINK(CONCATENATE("#Metadata!", ADDRESS(INDEX($X$2:$X$1001,MATCH(ROWS($V$2:V892),$V$2:$V$1001,0),0), INDEX($AC$1004:$AS$1004,1,MATCH(COLUMNS($AC$1006:AS1006),$AC$1006:$AS$1006,0)))),"Fix")))</f>
        <v>0</v>
      </c>
      <c r="V892">
        <v>0</v>
      </c>
      <c r="W892">
        <v>0</v>
      </c>
      <c r="X892">
        <v>0</v>
      </c>
      <c r="Y892">
        <f>IF(Z892,TRUE,AND(AC892:AS892))</f>
        <v>0</v>
      </c>
      <c r="Z892">
        <f>COUNTBLANK(Metadata!B892:R892)=COLUMNS(Metadata!B892:R892)</f>
        <v>0</v>
      </c>
      <c r="AA892">
        <v>0</v>
      </c>
      <c r="AC892">
        <f>AND(IF(Metadata!B892="",FALSE,TRUE),COUNTIF(Metadata!B:B, Metadata!B892) = 1,NOT(ISERROR(SUMPRODUCT(SEARCH(MID(Metadata!B892,ROW(INDIRECT("1:"&amp;LEN(Metadata!B892))), 1),"0123456789abcdefghijklmnopqrstuvwxyzABCDEFGHIJKLMNOPQRSTUVWXYZ.")))))</f>
        <v>0</v>
      </c>
      <c r="AD892">
        <f>AND(IF(Metadata!C892="",FALSE,TRUE),exact(Metadata!C892,"Host-associated"))</f>
        <v>0</v>
      </c>
      <c r="AE892">
        <f>AND(IF(Metadata!D892="",FALSE,TRUE),OR(exact(Metadata!D892,"Animal"),exact(Metadata!D892,"Fungus"),exact(Metadata!D892,"Plant")))</f>
        <v>0</v>
      </c>
      <c r="AF892">
        <f>AND(IF(Metadata!E892="",FALSE,TRUE),OR(exact(Metadata!E892,"Plant secretion"),exact(Metadata!E892,"Plant rhizosphere"),exact(Metadata!E892,"Plant surface"),exact(Metadata!E892,"Plant corpus"),exact(Metadata!E892,"Fungus surface"),exact(Metadata!E892,"Fungus corpus"),exact(Metadata!E892,"Animal surface"),exact(Metadata!E892,"Animal proximal gut"),exact(Metadata!E892,"Animal corpus"),exact(Metadata!E892,"Animal distal gut"),exact(Metadata!E892,"Animal secretion")))</f>
        <v>0</v>
      </c>
      <c r="AG892">
        <f>OR(AND(IF(Metadata!F892="",FALSE,TRUE),OR(exact(Metadata!F892,"not collected"),exact(Metadata!F892,"not provided"),exact(Metadata!F892,"restricted access"))),AND(IF(Metadata!F892="",FALSE,TRUE),OR(exact(Metadata!F892,"organism-associated habitat"),exact(Metadata!F892,"plant-associated habitat"),exact(Metadata!F892,"animal-associated habitat"),exact(Metadata!F892,"insecta-associated habitat"),exact(Metadata!F892,"mammalia-associated habitat"),exact(Metadata!F892,"human-associated habitat"),exact(Metadata!F892,"livestock-associated habitat"))))</f>
        <v>0</v>
      </c>
      <c r="AH892">
        <f>AND(IF(Metadata!G892="",FALSE,TRUE),exact(Metadata!G892,"host-associated"))</f>
        <v>0</v>
      </c>
      <c r="AI892">
        <f>OR(AND(IF(Metadata!H892="",FALSE,TRUE),OR(exact(Metadata!H892,"not collected"),exact(Metadata!H892,"not provided"))),AND(IF(Metadata!H892="",FALSE,ISNUMBER(VALUE(Metadata!H892))),Metadata!H892&gt;0))</f>
        <v>0</v>
      </c>
      <c r="AJ892">
        <f>AND(IF(Metadata!I892="",FALSE,TRUE),exact(Metadata!I892,"years"))</f>
        <v>0</v>
      </c>
      <c r="AK892">
        <f>IF(Metadata!J892="",FALSE,TRUE)</f>
        <v>0</v>
      </c>
      <c r="AL892">
        <f>OR(AND(IF(Metadata!K892="",FALSE,TRUE),OR(exact(Metadata!K892,"not collected"),exact(Metadata!K892,"not provided"))),AND(IF(Metadata!K892="",FALSE,ISNUMBER(VALUE(Metadata!K892))),Metadata!K892&gt;0))</f>
        <v>0</v>
      </c>
      <c r="AM892">
        <f>AND(IF(Metadata!L892="",FALSE,TRUE),exact(Metadata!L892,"cm"))</f>
        <v>0</v>
      </c>
      <c r="AN892">
        <f>IF(Metadata!M892="",FALSE,TRUE)</f>
        <v>0</v>
      </c>
      <c r="AO892">
        <f>OR(AND(IF(Metadata!N892="",FALSE,TRUE),OR(exact(Metadata!N892,"not applicable"),exact(Metadata!N892,"not collected"),exact(Metadata!N892,"not provided"))),AND(IF(Metadata!N892="",FALSE,IF(ISERROR(INT(Metadata!N892)),FALSE,INT(Metadata!N892)=Metadata!N892)),Metadata!N892&gt;0))</f>
        <v>0</v>
      </c>
      <c r="AP892">
        <f>OR(AND(IF(Metadata!O892="",FALSE,TRUE),OR(exact(Metadata!O892,"not collected"),exact(Metadata!O892,"not provided"))),AND(IF(Metadata!O892="",FALSE,ISNUMBER(VALUE(Metadata!O892))),Metadata!O892&gt;0))</f>
        <v>0</v>
      </c>
      <c r="AQ892">
        <f>AND(IF(Metadata!P892="",FALSE,TRUE),exact(Metadata!P892,"kg"))</f>
        <v>0</v>
      </c>
      <c r="AR892">
        <f>OR(AND(IF(Metadata!Q892="",FALSE,TRUE),OR(exact(Metadata!Q892,"not applicable"),exact(Metadata!Q892,"not collected"),exact(Metadata!Q892,"not provided"),exact(Metadata!Q892,"restricted access"))),IF(Metadata!Q892="",FALSE,IF(ISERROR(INT(Metadata!Q892)),FALSE,INT(Metadata!Q892)=Metadata!Q892)))</f>
        <v>0</v>
      </c>
      <c r="AS892">
        <f>AND(IF(Metadata!R892="",FALSE,TRUE),exact(Metadata!R892,"Not applicable"))</f>
        <v>0</v>
      </c>
    </row>
    <row r="893" spans="1:45">
      <c r="A893" s="4">
        <f>IF(B893=" "," ",HYPERLINK(CONCATENATE("#metadata!",ADDRESS(INDEX($X$2:$X$1001,MATCH(ROWS($V$2:V893),$V$2:$V$1001,0),0),2)),INDEX($AA$2:$AA$1001,MATCH(ROWS($V$2:V893),$V$2:$V$1001,0),0)))</f>
        <v>0</v>
      </c>
      <c r="B893" s="5">
        <f>IF(OR(INDEX($W$2:$W$1001,MATCH(ROWS($V$2:V893),$V$2:$V$1001,0),1)&gt;=100000,INDEX($AC$1005:$AS$1005,1,MATCH(COLUMNS($AC$1006:AC1006),$AC$1006:$AS$1006,0))&gt;=100000), " ",IF(INDEX($AC$2:$AS$1001,MATCH(ROWS($V$2:V893),$V$2:$V$1001,0),MATCH(COLUMNS($AC$1006:AC1006),$AC$1006:$AS$1006,0)), HYPERLINK("#",""), HYPERLINK(CONCATENATE("#Metadata!", ADDRESS(INDEX($X$2:$X$1001,MATCH(ROWS($V$2:V893),$V$2:$V$1001,0),0), INDEX($AC$1004:$AS$1004,1,MATCH(COLUMNS($AC$1006:AC1006),$AC$1006:$AS$1006,0)))),"Fix")))</f>
        <v>0</v>
      </c>
      <c r="C893" s="5">
        <f>IF(OR(INDEX($W$2:$W$1001,MATCH(ROWS($V$2:V893),$V$2:$V$1001,0),1)&gt;=100000,INDEX($AC$1005:$AS$1005,1,MATCH(COLUMNS($AC$1006:AD1006),$AC$1006:$AS$1006,0))&gt;=100000), " ",IF(INDEX($AC$2:$AS$1001,MATCH(ROWS($V$2:V893),$V$2:$V$1001,0),MATCH(COLUMNS($AC$1006:AD1006),$AC$1006:$AS$1006,0)), HYPERLINK("#",""), HYPERLINK(CONCATENATE("#Metadata!", ADDRESS(INDEX($X$2:$X$1001,MATCH(ROWS($V$2:V893),$V$2:$V$1001,0),0), INDEX($AC$1004:$AS$1004,1,MATCH(COLUMNS($AC$1006:AD1006),$AC$1006:$AS$1006,0)))),"Fix")))</f>
        <v>0</v>
      </c>
      <c r="D893" s="5">
        <f>IF(OR(INDEX($W$2:$W$1001,MATCH(ROWS($V$2:V893),$V$2:$V$1001,0),1)&gt;=100000,INDEX($AC$1005:$AS$1005,1,MATCH(COLUMNS($AC$1006:AE1006),$AC$1006:$AS$1006,0))&gt;=100000), " ",IF(INDEX($AC$2:$AS$1001,MATCH(ROWS($V$2:V893),$V$2:$V$1001,0),MATCH(COLUMNS($AC$1006:AE1006),$AC$1006:$AS$1006,0)), HYPERLINK("#",""), HYPERLINK(CONCATENATE("#Metadata!", ADDRESS(INDEX($X$2:$X$1001,MATCH(ROWS($V$2:V893),$V$2:$V$1001,0),0), INDEX($AC$1004:$AS$1004,1,MATCH(COLUMNS($AC$1006:AE1006),$AC$1006:$AS$1006,0)))),"Fix")))</f>
        <v>0</v>
      </c>
      <c r="E893" s="5">
        <f>IF(OR(INDEX($W$2:$W$1001,MATCH(ROWS($V$2:V893),$V$2:$V$1001,0),1)&gt;=100000,INDEX($AC$1005:$AS$1005,1,MATCH(COLUMNS($AC$1006:AF1006),$AC$1006:$AS$1006,0))&gt;=100000), " ",IF(INDEX($AC$2:$AS$1001,MATCH(ROWS($V$2:V893),$V$2:$V$1001,0),MATCH(COLUMNS($AC$1006:AF1006),$AC$1006:$AS$1006,0)), HYPERLINK("#",""), HYPERLINK(CONCATENATE("#Metadata!", ADDRESS(INDEX($X$2:$X$1001,MATCH(ROWS($V$2:V893),$V$2:$V$1001,0),0), INDEX($AC$1004:$AS$1004,1,MATCH(COLUMNS($AC$1006:AF1006),$AC$1006:$AS$1006,0)))),"Fix")))</f>
        <v>0</v>
      </c>
      <c r="F893" s="5">
        <f>IF(OR(INDEX($W$2:$W$1001,MATCH(ROWS($V$2:V893),$V$2:$V$1001,0),1)&gt;=100000,INDEX($AC$1005:$AS$1005,1,MATCH(COLUMNS($AC$1006:AG1006),$AC$1006:$AS$1006,0))&gt;=100000), " ",IF(INDEX($AC$2:$AS$1001,MATCH(ROWS($V$2:V893),$V$2:$V$1001,0),MATCH(COLUMNS($AC$1006:AG1006),$AC$1006:$AS$1006,0)), HYPERLINK("#",""), HYPERLINK(CONCATENATE("#Metadata!", ADDRESS(INDEX($X$2:$X$1001,MATCH(ROWS($V$2:V893),$V$2:$V$1001,0),0), INDEX($AC$1004:$AS$1004,1,MATCH(COLUMNS($AC$1006:AG1006),$AC$1006:$AS$1006,0)))),"Fix")))</f>
        <v>0</v>
      </c>
      <c r="G893" s="5">
        <f>IF(OR(INDEX($W$2:$W$1001,MATCH(ROWS($V$2:V893),$V$2:$V$1001,0),1)&gt;=100000,INDEX($AC$1005:$AS$1005,1,MATCH(COLUMNS($AC$1006:AH1006),$AC$1006:$AS$1006,0))&gt;=100000), " ",IF(INDEX($AC$2:$AS$1001,MATCH(ROWS($V$2:V893),$V$2:$V$1001,0),MATCH(COLUMNS($AC$1006:AH1006),$AC$1006:$AS$1006,0)), HYPERLINK("#",""), HYPERLINK(CONCATENATE("#Metadata!", ADDRESS(INDEX($X$2:$X$1001,MATCH(ROWS($V$2:V893),$V$2:$V$1001,0),0), INDEX($AC$1004:$AS$1004,1,MATCH(COLUMNS($AC$1006:AH1006),$AC$1006:$AS$1006,0)))),"Fix")))</f>
        <v>0</v>
      </c>
      <c r="H893" s="5">
        <f>IF(OR(INDEX($W$2:$W$1001,MATCH(ROWS($V$2:V893),$V$2:$V$1001,0),1)&gt;=100000,INDEX($AC$1005:$AS$1005,1,MATCH(COLUMNS($AC$1006:AI1006),$AC$1006:$AS$1006,0))&gt;=100000), " ",IF(INDEX($AC$2:$AS$1001,MATCH(ROWS($V$2:V893),$V$2:$V$1001,0),MATCH(COLUMNS($AC$1006:AI1006),$AC$1006:$AS$1006,0)), HYPERLINK("#",""), HYPERLINK(CONCATENATE("#Metadata!", ADDRESS(INDEX($X$2:$X$1001,MATCH(ROWS($V$2:V893),$V$2:$V$1001,0),0), INDEX($AC$1004:$AS$1004,1,MATCH(COLUMNS($AC$1006:AI1006),$AC$1006:$AS$1006,0)))),"Fix")))</f>
        <v>0</v>
      </c>
      <c r="I893" s="5">
        <f>IF(OR(INDEX($W$2:$W$1001,MATCH(ROWS($V$2:V893),$V$2:$V$1001,0),1)&gt;=100000,INDEX($AC$1005:$AS$1005,1,MATCH(COLUMNS($AC$1006:AJ1006),$AC$1006:$AS$1006,0))&gt;=100000), " ",IF(INDEX($AC$2:$AS$1001,MATCH(ROWS($V$2:V893),$V$2:$V$1001,0),MATCH(COLUMNS($AC$1006:AJ1006),$AC$1006:$AS$1006,0)), HYPERLINK("#",""), HYPERLINK(CONCATENATE("#Metadata!", ADDRESS(INDEX($X$2:$X$1001,MATCH(ROWS($V$2:V893),$V$2:$V$1001,0),0), INDEX($AC$1004:$AS$1004,1,MATCH(COLUMNS($AC$1006:AJ1006),$AC$1006:$AS$1006,0)))),"Fix")))</f>
        <v>0</v>
      </c>
      <c r="J893" s="5">
        <f>IF(OR(INDEX($W$2:$W$1001,MATCH(ROWS($V$2:V893),$V$2:$V$1001,0),1)&gt;=100000,INDEX($AC$1005:$AS$1005,1,MATCH(COLUMNS($AC$1006:AK1006),$AC$1006:$AS$1006,0))&gt;=100000), " ",IF(INDEX($AC$2:$AS$1001,MATCH(ROWS($V$2:V893),$V$2:$V$1001,0),MATCH(COLUMNS($AC$1006:AK1006),$AC$1006:$AS$1006,0)), HYPERLINK("#",""), HYPERLINK(CONCATENATE("#Metadata!", ADDRESS(INDEX($X$2:$X$1001,MATCH(ROWS($V$2:V893),$V$2:$V$1001,0),0), INDEX($AC$1004:$AS$1004,1,MATCH(COLUMNS($AC$1006:AK1006),$AC$1006:$AS$1006,0)))),"Fix")))</f>
        <v>0</v>
      </c>
      <c r="K893" s="5">
        <f>IF(OR(INDEX($W$2:$W$1001,MATCH(ROWS($V$2:V893),$V$2:$V$1001,0),1)&gt;=100000,INDEX($AC$1005:$AS$1005,1,MATCH(COLUMNS($AC$1006:AL1006),$AC$1006:$AS$1006,0))&gt;=100000), " ",IF(INDEX($AC$2:$AS$1001,MATCH(ROWS($V$2:V893),$V$2:$V$1001,0),MATCH(COLUMNS($AC$1006:AL1006),$AC$1006:$AS$1006,0)), HYPERLINK("#",""), HYPERLINK(CONCATENATE("#Metadata!", ADDRESS(INDEX($X$2:$X$1001,MATCH(ROWS($V$2:V893),$V$2:$V$1001,0),0), INDEX($AC$1004:$AS$1004,1,MATCH(COLUMNS($AC$1006:AL1006),$AC$1006:$AS$1006,0)))),"Fix")))</f>
        <v>0</v>
      </c>
      <c r="L893" s="5">
        <f>IF(OR(INDEX($W$2:$W$1001,MATCH(ROWS($V$2:V893),$V$2:$V$1001,0),1)&gt;=100000,INDEX($AC$1005:$AS$1005,1,MATCH(COLUMNS($AC$1006:AM1006),$AC$1006:$AS$1006,0))&gt;=100000), " ",IF(INDEX($AC$2:$AS$1001,MATCH(ROWS($V$2:V893),$V$2:$V$1001,0),MATCH(COLUMNS($AC$1006:AM1006),$AC$1006:$AS$1006,0)), HYPERLINK("#",""), HYPERLINK(CONCATENATE("#Metadata!", ADDRESS(INDEX($X$2:$X$1001,MATCH(ROWS($V$2:V893),$V$2:$V$1001,0),0), INDEX($AC$1004:$AS$1004,1,MATCH(COLUMNS($AC$1006:AM1006),$AC$1006:$AS$1006,0)))),"Fix")))</f>
        <v>0</v>
      </c>
      <c r="M893" s="5">
        <f>IF(OR(INDEX($W$2:$W$1001,MATCH(ROWS($V$2:V893),$V$2:$V$1001,0),1)&gt;=100000,INDEX($AC$1005:$AS$1005,1,MATCH(COLUMNS($AC$1006:AN1006),$AC$1006:$AS$1006,0))&gt;=100000), " ",IF(INDEX($AC$2:$AS$1001,MATCH(ROWS($V$2:V893),$V$2:$V$1001,0),MATCH(COLUMNS($AC$1006:AN1006),$AC$1006:$AS$1006,0)), HYPERLINK("#",""), HYPERLINK(CONCATENATE("#Metadata!", ADDRESS(INDEX($X$2:$X$1001,MATCH(ROWS($V$2:V893),$V$2:$V$1001,0),0), INDEX($AC$1004:$AS$1004,1,MATCH(COLUMNS($AC$1006:AN1006),$AC$1006:$AS$1006,0)))),"Fix")))</f>
        <v>0</v>
      </c>
      <c r="N893" s="5">
        <f>IF(OR(INDEX($W$2:$W$1001,MATCH(ROWS($V$2:V893),$V$2:$V$1001,0),1)&gt;=100000,INDEX($AC$1005:$AS$1005,1,MATCH(COLUMNS($AC$1006:AO1006),$AC$1006:$AS$1006,0))&gt;=100000), " ",IF(INDEX($AC$2:$AS$1001,MATCH(ROWS($V$2:V893),$V$2:$V$1001,0),MATCH(COLUMNS($AC$1006:AO1006),$AC$1006:$AS$1006,0)), HYPERLINK("#",""), HYPERLINK(CONCATENATE("#Metadata!", ADDRESS(INDEX($X$2:$X$1001,MATCH(ROWS($V$2:V893),$V$2:$V$1001,0),0), INDEX($AC$1004:$AS$1004,1,MATCH(COLUMNS($AC$1006:AO1006),$AC$1006:$AS$1006,0)))),"Fix")))</f>
        <v>0</v>
      </c>
      <c r="O893" s="5">
        <f>IF(OR(INDEX($W$2:$W$1001,MATCH(ROWS($V$2:V893),$V$2:$V$1001,0),1)&gt;=100000,INDEX($AC$1005:$AS$1005,1,MATCH(COLUMNS($AC$1006:AP1006),$AC$1006:$AS$1006,0))&gt;=100000), " ",IF(INDEX($AC$2:$AS$1001,MATCH(ROWS($V$2:V893),$V$2:$V$1001,0),MATCH(COLUMNS($AC$1006:AP1006),$AC$1006:$AS$1006,0)), HYPERLINK("#",""), HYPERLINK(CONCATENATE("#Metadata!", ADDRESS(INDEX($X$2:$X$1001,MATCH(ROWS($V$2:V893),$V$2:$V$1001,0),0), INDEX($AC$1004:$AS$1004,1,MATCH(COLUMNS($AC$1006:AP1006),$AC$1006:$AS$1006,0)))),"Fix")))</f>
        <v>0</v>
      </c>
      <c r="P893" s="5">
        <f>IF(OR(INDEX($W$2:$W$1001,MATCH(ROWS($V$2:V893),$V$2:$V$1001,0),1)&gt;=100000,INDEX($AC$1005:$AS$1005,1,MATCH(COLUMNS($AC$1006:AQ1006),$AC$1006:$AS$1006,0))&gt;=100000), " ",IF(INDEX($AC$2:$AS$1001,MATCH(ROWS($V$2:V893),$V$2:$V$1001,0),MATCH(COLUMNS($AC$1006:AQ1006),$AC$1006:$AS$1006,0)), HYPERLINK("#",""), HYPERLINK(CONCATENATE("#Metadata!", ADDRESS(INDEX($X$2:$X$1001,MATCH(ROWS($V$2:V893),$V$2:$V$1001,0),0), INDEX($AC$1004:$AS$1004,1,MATCH(COLUMNS($AC$1006:AQ1006),$AC$1006:$AS$1006,0)))),"Fix")))</f>
        <v>0</v>
      </c>
      <c r="Q893" s="5">
        <f>IF(OR(INDEX($W$2:$W$1001,MATCH(ROWS($V$2:V893),$V$2:$V$1001,0),1)&gt;=100000,INDEX($AC$1005:$AS$1005,1,MATCH(COLUMNS($AC$1006:AR1006),$AC$1006:$AS$1006,0))&gt;=100000), " ",IF(INDEX($AC$2:$AS$1001,MATCH(ROWS($V$2:V893),$V$2:$V$1001,0),MATCH(COLUMNS($AC$1006:AR1006),$AC$1006:$AS$1006,0)), HYPERLINK("#",""), HYPERLINK(CONCATENATE("#Metadata!", ADDRESS(INDEX($X$2:$X$1001,MATCH(ROWS($V$2:V893),$V$2:$V$1001,0),0), INDEX($AC$1004:$AS$1004,1,MATCH(COLUMNS($AC$1006:AR1006),$AC$1006:$AS$1006,0)))),"Fix")))</f>
        <v>0</v>
      </c>
      <c r="R893" s="5">
        <f>IF(OR(INDEX($W$2:$W$1001,MATCH(ROWS($V$2:V893),$V$2:$V$1001,0),1)&gt;=100000,INDEX($AC$1005:$AS$1005,1,MATCH(COLUMNS($AC$1006:AS1006),$AC$1006:$AS$1006,0))&gt;=100000), " ",IF(INDEX($AC$2:$AS$1001,MATCH(ROWS($V$2:V893),$V$2:$V$1001,0),MATCH(COLUMNS($AC$1006:AS1006),$AC$1006:$AS$1006,0)), HYPERLINK("#",""), HYPERLINK(CONCATENATE("#Metadata!", ADDRESS(INDEX($X$2:$X$1001,MATCH(ROWS($V$2:V893),$V$2:$V$1001,0),0), INDEX($AC$1004:$AS$1004,1,MATCH(COLUMNS($AC$1006:AS1006),$AC$1006:$AS$1006,0)))),"Fix")))</f>
        <v>0</v>
      </c>
      <c r="V893">
        <v>0</v>
      </c>
      <c r="W893">
        <v>0</v>
      </c>
      <c r="X893">
        <v>0</v>
      </c>
      <c r="Y893">
        <f>IF(Z893,TRUE,AND(AC893:AS893))</f>
        <v>0</v>
      </c>
      <c r="Z893">
        <f>COUNTBLANK(Metadata!B893:R893)=COLUMNS(Metadata!B893:R893)</f>
        <v>0</v>
      </c>
      <c r="AA893">
        <v>0</v>
      </c>
      <c r="AC893">
        <f>AND(IF(Metadata!B893="",FALSE,TRUE),COUNTIF(Metadata!B:B, Metadata!B893) = 1,NOT(ISERROR(SUMPRODUCT(SEARCH(MID(Metadata!B893,ROW(INDIRECT("1:"&amp;LEN(Metadata!B893))), 1),"0123456789abcdefghijklmnopqrstuvwxyzABCDEFGHIJKLMNOPQRSTUVWXYZ.")))))</f>
        <v>0</v>
      </c>
      <c r="AD893">
        <f>AND(IF(Metadata!C893="",FALSE,TRUE),exact(Metadata!C893,"Host-associated"))</f>
        <v>0</v>
      </c>
      <c r="AE893">
        <f>AND(IF(Metadata!D893="",FALSE,TRUE),OR(exact(Metadata!D893,"Animal"),exact(Metadata!D893,"Fungus"),exact(Metadata!D893,"Plant")))</f>
        <v>0</v>
      </c>
      <c r="AF893">
        <f>AND(IF(Metadata!E893="",FALSE,TRUE),OR(exact(Metadata!E893,"Plant secretion"),exact(Metadata!E893,"Plant rhizosphere"),exact(Metadata!E893,"Plant surface"),exact(Metadata!E893,"Plant corpus"),exact(Metadata!E893,"Fungus surface"),exact(Metadata!E893,"Fungus corpus"),exact(Metadata!E893,"Animal surface"),exact(Metadata!E893,"Animal proximal gut"),exact(Metadata!E893,"Animal corpus"),exact(Metadata!E893,"Animal distal gut"),exact(Metadata!E893,"Animal secretion")))</f>
        <v>0</v>
      </c>
      <c r="AG893">
        <f>OR(AND(IF(Metadata!F893="",FALSE,TRUE),OR(exact(Metadata!F893,"not collected"),exact(Metadata!F893,"not provided"),exact(Metadata!F893,"restricted access"))),AND(IF(Metadata!F893="",FALSE,TRUE),OR(exact(Metadata!F893,"organism-associated habitat"),exact(Metadata!F893,"plant-associated habitat"),exact(Metadata!F893,"animal-associated habitat"),exact(Metadata!F893,"insecta-associated habitat"),exact(Metadata!F893,"mammalia-associated habitat"),exact(Metadata!F893,"human-associated habitat"),exact(Metadata!F893,"livestock-associated habitat"))))</f>
        <v>0</v>
      </c>
      <c r="AH893">
        <f>AND(IF(Metadata!G893="",FALSE,TRUE),exact(Metadata!G893,"host-associated"))</f>
        <v>0</v>
      </c>
      <c r="AI893">
        <f>OR(AND(IF(Metadata!H893="",FALSE,TRUE),OR(exact(Metadata!H893,"not collected"),exact(Metadata!H893,"not provided"))),AND(IF(Metadata!H893="",FALSE,ISNUMBER(VALUE(Metadata!H893))),Metadata!H893&gt;0))</f>
        <v>0</v>
      </c>
      <c r="AJ893">
        <f>AND(IF(Metadata!I893="",FALSE,TRUE),exact(Metadata!I893,"years"))</f>
        <v>0</v>
      </c>
      <c r="AK893">
        <f>IF(Metadata!J893="",FALSE,TRUE)</f>
        <v>0</v>
      </c>
      <c r="AL893">
        <f>OR(AND(IF(Metadata!K893="",FALSE,TRUE),OR(exact(Metadata!K893,"not collected"),exact(Metadata!K893,"not provided"))),AND(IF(Metadata!K893="",FALSE,ISNUMBER(VALUE(Metadata!K893))),Metadata!K893&gt;0))</f>
        <v>0</v>
      </c>
      <c r="AM893">
        <f>AND(IF(Metadata!L893="",FALSE,TRUE),exact(Metadata!L893,"cm"))</f>
        <v>0</v>
      </c>
      <c r="AN893">
        <f>IF(Metadata!M893="",FALSE,TRUE)</f>
        <v>0</v>
      </c>
      <c r="AO893">
        <f>OR(AND(IF(Metadata!N893="",FALSE,TRUE),OR(exact(Metadata!N893,"not applicable"),exact(Metadata!N893,"not collected"),exact(Metadata!N893,"not provided"))),AND(IF(Metadata!N893="",FALSE,IF(ISERROR(INT(Metadata!N893)),FALSE,INT(Metadata!N893)=Metadata!N893)),Metadata!N893&gt;0))</f>
        <v>0</v>
      </c>
      <c r="AP893">
        <f>OR(AND(IF(Metadata!O893="",FALSE,TRUE),OR(exact(Metadata!O893,"not collected"),exact(Metadata!O893,"not provided"))),AND(IF(Metadata!O893="",FALSE,ISNUMBER(VALUE(Metadata!O893))),Metadata!O893&gt;0))</f>
        <v>0</v>
      </c>
      <c r="AQ893">
        <f>AND(IF(Metadata!P893="",FALSE,TRUE),exact(Metadata!P893,"kg"))</f>
        <v>0</v>
      </c>
      <c r="AR893">
        <f>OR(AND(IF(Metadata!Q893="",FALSE,TRUE),OR(exact(Metadata!Q893,"not applicable"),exact(Metadata!Q893,"not collected"),exact(Metadata!Q893,"not provided"),exact(Metadata!Q893,"restricted access"))),IF(Metadata!Q893="",FALSE,IF(ISERROR(INT(Metadata!Q893)),FALSE,INT(Metadata!Q893)=Metadata!Q893)))</f>
        <v>0</v>
      </c>
      <c r="AS893">
        <f>AND(IF(Metadata!R893="",FALSE,TRUE),exact(Metadata!R893,"Not applicable"))</f>
        <v>0</v>
      </c>
    </row>
    <row r="894" spans="1:45">
      <c r="A894" s="4">
        <f>IF(B894=" "," ",HYPERLINK(CONCATENATE("#metadata!",ADDRESS(INDEX($X$2:$X$1001,MATCH(ROWS($V$2:V894),$V$2:$V$1001,0),0),2)),INDEX($AA$2:$AA$1001,MATCH(ROWS($V$2:V894),$V$2:$V$1001,0),0)))</f>
        <v>0</v>
      </c>
      <c r="B894" s="5">
        <f>IF(OR(INDEX($W$2:$W$1001,MATCH(ROWS($V$2:V894),$V$2:$V$1001,0),1)&gt;=100000,INDEX($AC$1005:$AS$1005,1,MATCH(COLUMNS($AC$1006:AC1006),$AC$1006:$AS$1006,0))&gt;=100000), " ",IF(INDEX($AC$2:$AS$1001,MATCH(ROWS($V$2:V894),$V$2:$V$1001,0),MATCH(COLUMNS($AC$1006:AC1006),$AC$1006:$AS$1006,0)), HYPERLINK("#",""), HYPERLINK(CONCATENATE("#Metadata!", ADDRESS(INDEX($X$2:$X$1001,MATCH(ROWS($V$2:V894),$V$2:$V$1001,0),0), INDEX($AC$1004:$AS$1004,1,MATCH(COLUMNS($AC$1006:AC1006),$AC$1006:$AS$1006,0)))),"Fix")))</f>
        <v>0</v>
      </c>
      <c r="C894" s="5">
        <f>IF(OR(INDEX($W$2:$W$1001,MATCH(ROWS($V$2:V894),$V$2:$V$1001,0),1)&gt;=100000,INDEX($AC$1005:$AS$1005,1,MATCH(COLUMNS($AC$1006:AD1006),$AC$1006:$AS$1006,0))&gt;=100000), " ",IF(INDEX($AC$2:$AS$1001,MATCH(ROWS($V$2:V894),$V$2:$V$1001,0),MATCH(COLUMNS($AC$1006:AD1006),$AC$1006:$AS$1006,0)), HYPERLINK("#",""), HYPERLINK(CONCATENATE("#Metadata!", ADDRESS(INDEX($X$2:$X$1001,MATCH(ROWS($V$2:V894),$V$2:$V$1001,0),0), INDEX($AC$1004:$AS$1004,1,MATCH(COLUMNS($AC$1006:AD1006),$AC$1006:$AS$1006,0)))),"Fix")))</f>
        <v>0</v>
      </c>
      <c r="D894" s="5">
        <f>IF(OR(INDEX($W$2:$W$1001,MATCH(ROWS($V$2:V894),$V$2:$V$1001,0),1)&gt;=100000,INDEX($AC$1005:$AS$1005,1,MATCH(COLUMNS($AC$1006:AE1006),$AC$1006:$AS$1006,0))&gt;=100000), " ",IF(INDEX($AC$2:$AS$1001,MATCH(ROWS($V$2:V894),$V$2:$V$1001,0),MATCH(COLUMNS($AC$1006:AE1006),$AC$1006:$AS$1006,0)), HYPERLINK("#",""), HYPERLINK(CONCATENATE("#Metadata!", ADDRESS(INDEX($X$2:$X$1001,MATCH(ROWS($V$2:V894),$V$2:$V$1001,0),0), INDEX($AC$1004:$AS$1004,1,MATCH(COLUMNS($AC$1006:AE1006),$AC$1006:$AS$1006,0)))),"Fix")))</f>
        <v>0</v>
      </c>
      <c r="E894" s="5">
        <f>IF(OR(INDEX($W$2:$W$1001,MATCH(ROWS($V$2:V894),$V$2:$V$1001,0),1)&gt;=100000,INDEX($AC$1005:$AS$1005,1,MATCH(COLUMNS($AC$1006:AF1006),$AC$1006:$AS$1006,0))&gt;=100000), " ",IF(INDEX($AC$2:$AS$1001,MATCH(ROWS($V$2:V894),$V$2:$V$1001,0),MATCH(COLUMNS($AC$1006:AF1006),$AC$1006:$AS$1006,0)), HYPERLINK("#",""), HYPERLINK(CONCATENATE("#Metadata!", ADDRESS(INDEX($X$2:$X$1001,MATCH(ROWS($V$2:V894),$V$2:$V$1001,0),0), INDEX($AC$1004:$AS$1004,1,MATCH(COLUMNS($AC$1006:AF1006),$AC$1006:$AS$1006,0)))),"Fix")))</f>
        <v>0</v>
      </c>
      <c r="F894" s="5">
        <f>IF(OR(INDEX($W$2:$W$1001,MATCH(ROWS($V$2:V894),$V$2:$V$1001,0),1)&gt;=100000,INDEX($AC$1005:$AS$1005,1,MATCH(COLUMNS($AC$1006:AG1006),$AC$1006:$AS$1006,0))&gt;=100000), " ",IF(INDEX($AC$2:$AS$1001,MATCH(ROWS($V$2:V894),$V$2:$V$1001,0),MATCH(COLUMNS($AC$1006:AG1006),$AC$1006:$AS$1006,0)), HYPERLINK("#",""), HYPERLINK(CONCATENATE("#Metadata!", ADDRESS(INDEX($X$2:$X$1001,MATCH(ROWS($V$2:V894),$V$2:$V$1001,0),0), INDEX($AC$1004:$AS$1004,1,MATCH(COLUMNS($AC$1006:AG1006),$AC$1006:$AS$1006,0)))),"Fix")))</f>
        <v>0</v>
      </c>
      <c r="G894" s="5">
        <f>IF(OR(INDEX($W$2:$W$1001,MATCH(ROWS($V$2:V894),$V$2:$V$1001,0),1)&gt;=100000,INDEX($AC$1005:$AS$1005,1,MATCH(COLUMNS($AC$1006:AH1006),$AC$1006:$AS$1006,0))&gt;=100000), " ",IF(INDEX($AC$2:$AS$1001,MATCH(ROWS($V$2:V894),$V$2:$V$1001,0),MATCH(COLUMNS($AC$1006:AH1006),$AC$1006:$AS$1006,0)), HYPERLINK("#",""), HYPERLINK(CONCATENATE("#Metadata!", ADDRESS(INDEX($X$2:$X$1001,MATCH(ROWS($V$2:V894),$V$2:$V$1001,0),0), INDEX($AC$1004:$AS$1004,1,MATCH(COLUMNS($AC$1006:AH1006),$AC$1006:$AS$1006,0)))),"Fix")))</f>
        <v>0</v>
      </c>
      <c r="H894" s="5">
        <f>IF(OR(INDEX($W$2:$W$1001,MATCH(ROWS($V$2:V894),$V$2:$V$1001,0),1)&gt;=100000,INDEX($AC$1005:$AS$1005,1,MATCH(COLUMNS($AC$1006:AI1006),$AC$1006:$AS$1006,0))&gt;=100000), " ",IF(INDEX($AC$2:$AS$1001,MATCH(ROWS($V$2:V894),$V$2:$V$1001,0),MATCH(COLUMNS($AC$1006:AI1006),$AC$1006:$AS$1006,0)), HYPERLINK("#",""), HYPERLINK(CONCATENATE("#Metadata!", ADDRESS(INDEX($X$2:$X$1001,MATCH(ROWS($V$2:V894),$V$2:$V$1001,0),0), INDEX($AC$1004:$AS$1004,1,MATCH(COLUMNS($AC$1006:AI1006),$AC$1006:$AS$1006,0)))),"Fix")))</f>
        <v>0</v>
      </c>
      <c r="I894" s="5">
        <f>IF(OR(INDEX($W$2:$W$1001,MATCH(ROWS($V$2:V894),$V$2:$V$1001,0),1)&gt;=100000,INDEX($AC$1005:$AS$1005,1,MATCH(COLUMNS($AC$1006:AJ1006),$AC$1006:$AS$1006,0))&gt;=100000), " ",IF(INDEX($AC$2:$AS$1001,MATCH(ROWS($V$2:V894),$V$2:$V$1001,0),MATCH(COLUMNS($AC$1006:AJ1006),$AC$1006:$AS$1006,0)), HYPERLINK("#",""), HYPERLINK(CONCATENATE("#Metadata!", ADDRESS(INDEX($X$2:$X$1001,MATCH(ROWS($V$2:V894),$V$2:$V$1001,0),0), INDEX($AC$1004:$AS$1004,1,MATCH(COLUMNS($AC$1006:AJ1006),$AC$1006:$AS$1006,0)))),"Fix")))</f>
        <v>0</v>
      </c>
      <c r="J894" s="5">
        <f>IF(OR(INDEX($W$2:$W$1001,MATCH(ROWS($V$2:V894),$V$2:$V$1001,0),1)&gt;=100000,INDEX($AC$1005:$AS$1005,1,MATCH(COLUMNS($AC$1006:AK1006),$AC$1006:$AS$1006,0))&gt;=100000), " ",IF(INDEX($AC$2:$AS$1001,MATCH(ROWS($V$2:V894),$V$2:$V$1001,0),MATCH(COLUMNS($AC$1006:AK1006),$AC$1006:$AS$1006,0)), HYPERLINK("#",""), HYPERLINK(CONCATENATE("#Metadata!", ADDRESS(INDEX($X$2:$X$1001,MATCH(ROWS($V$2:V894),$V$2:$V$1001,0),0), INDEX($AC$1004:$AS$1004,1,MATCH(COLUMNS($AC$1006:AK1006),$AC$1006:$AS$1006,0)))),"Fix")))</f>
        <v>0</v>
      </c>
      <c r="K894" s="5">
        <f>IF(OR(INDEX($W$2:$W$1001,MATCH(ROWS($V$2:V894),$V$2:$V$1001,0),1)&gt;=100000,INDEX($AC$1005:$AS$1005,1,MATCH(COLUMNS($AC$1006:AL1006),$AC$1006:$AS$1006,0))&gt;=100000), " ",IF(INDEX($AC$2:$AS$1001,MATCH(ROWS($V$2:V894),$V$2:$V$1001,0),MATCH(COLUMNS($AC$1006:AL1006),$AC$1006:$AS$1006,0)), HYPERLINK("#",""), HYPERLINK(CONCATENATE("#Metadata!", ADDRESS(INDEX($X$2:$X$1001,MATCH(ROWS($V$2:V894),$V$2:$V$1001,0),0), INDEX($AC$1004:$AS$1004,1,MATCH(COLUMNS($AC$1006:AL1006),$AC$1006:$AS$1006,0)))),"Fix")))</f>
        <v>0</v>
      </c>
      <c r="L894" s="5">
        <f>IF(OR(INDEX($W$2:$W$1001,MATCH(ROWS($V$2:V894),$V$2:$V$1001,0),1)&gt;=100000,INDEX($AC$1005:$AS$1005,1,MATCH(COLUMNS($AC$1006:AM1006),$AC$1006:$AS$1006,0))&gt;=100000), " ",IF(INDEX($AC$2:$AS$1001,MATCH(ROWS($V$2:V894),$V$2:$V$1001,0),MATCH(COLUMNS($AC$1006:AM1006),$AC$1006:$AS$1006,0)), HYPERLINK("#",""), HYPERLINK(CONCATENATE("#Metadata!", ADDRESS(INDEX($X$2:$X$1001,MATCH(ROWS($V$2:V894),$V$2:$V$1001,0),0), INDEX($AC$1004:$AS$1004,1,MATCH(COLUMNS($AC$1006:AM1006),$AC$1006:$AS$1006,0)))),"Fix")))</f>
        <v>0</v>
      </c>
      <c r="M894" s="5">
        <f>IF(OR(INDEX($W$2:$W$1001,MATCH(ROWS($V$2:V894),$V$2:$V$1001,0),1)&gt;=100000,INDEX($AC$1005:$AS$1005,1,MATCH(COLUMNS($AC$1006:AN1006),$AC$1006:$AS$1006,0))&gt;=100000), " ",IF(INDEX($AC$2:$AS$1001,MATCH(ROWS($V$2:V894),$V$2:$V$1001,0),MATCH(COLUMNS($AC$1006:AN1006),$AC$1006:$AS$1006,0)), HYPERLINK("#",""), HYPERLINK(CONCATENATE("#Metadata!", ADDRESS(INDEX($X$2:$X$1001,MATCH(ROWS($V$2:V894),$V$2:$V$1001,0),0), INDEX($AC$1004:$AS$1004,1,MATCH(COLUMNS($AC$1006:AN1006),$AC$1006:$AS$1006,0)))),"Fix")))</f>
        <v>0</v>
      </c>
      <c r="N894" s="5">
        <f>IF(OR(INDEX($W$2:$W$1001,MATCH(ROWS($V$2:V894),$V$2:$V$1001,0),1)&gt;=100000,INDEX($AC$1005:$AS$1005,1,MATCH(COLUMNS($AC$1006:AO1006),$AC$1006:$AS$1006,0))&gt;=100000), " ",IF(INDEX($AC$2:$AS$1001,MATCH(ROWS($V$2:V894),$V$2:$V$1001,0),MATCH(COLUMNS($AC$1006:AO1006),$AC$1006:$AS$1006,0)), HYPERLINK("#",""), HYPERLINK(CONCATENATE("#Metadata!", ADDRESS(INDEX($X$2:$X$1001,MATCH(ROWS($V$2:V894),$V$2:$V$1001,0),0), INDEX($AC$1004:$AS$1004,1,MATCH(COLUMNS($AC$1006:AO1006),$AC$1006:$AS$1006,0)))),"Fix")))</f>
        <v>0</v>
      </c>
      <c r="O894" s="5">
        <f>IF(OR(INDEX($W$2:$W$1001,MATCH(ROWS($V$2:V894),$V$2:$V$1001,0),1)&gt;=100000,INDEX($AC$1005:$AS$1005,1,MATCH(COLUMNS($AC$1006:AP1006),$AC$1006:$AS$1006,0))&gt;=100000), " ",IF(INDEX($AC$2:$AS$1001,MATCH(ROWS($V$2:V894),$V$2:$V$1001,0),MATCH(COLUMNS($AC$1006:AP1006),$AC$1006:$AS$1006,0)), HYPERLINK("#",""), HYPERLINK(CONCATENATE("#Metadata!", ADDRESS(INDEX($X$2:$X$1001,MATCH(ROWS($V$2:V894),$V$2:$V$1001,0),0), INDEX($AC$1004:$AS$1004,1,MATCH(COLUMNS($AC$1006:AP1006),$AC$1006:$AS$1006,0)))),"Fix")))</f>
        <v>0</v>
      </c>
      <c r="P894" s="5">
        <f>IF(OR(INDEX($W$2:$W$1001,MATCH(ROWS($V$2:V894),$V$2:$V$1001,0),1)&gt;=100000,INDEX($AC$1005:$AS$1005,1,MATCH(COLUMNS($AC$1006:AQ1006),$AC$1006:$AS$1006,0))&gt;=100000), " ",IF(INDEX($AC$2:$AS$1001,MATCH(ROWS($V$2:V894),$V$2:$V$1001,0),MATCH(COLUMNS($AC$1006:AQ1006),$AC$1006:$AS$1006,0)), HYPERLINK("#",""), HYPERLINK(CONCATENATE("#Metadata!", ADDRESS(INDEX($X$2:$X$1001,MATCH(ROWS($V$2:V894),$V$2:$V$1001,0),0), INDEX($AC$1004:$AS$1004,1,MATCH(COLUMNS($AC$1006:AQ1006),$AC$1006:$AS$1006,0)))),"Fix")))</f>
        <v>0</v>
      </c>
      <c r="Q894" s="5">
        <f>IF(OR(INDEX($W$2:$W$1001,MATCH(ROWS($V$2:V894),$V$2:$V$1001,0),1)&gt;=100000,INDEX($AC$1005:$AS$1005,1,MATCH(COLUMNS($AC$1006:AR1006),$AC$1006:$AS$1006,0))&gt;=100000), " ",IF(INDEX($AC$2:$AS$1001,MATCH(ROWS($V$2:V894),$V$2:$V$1001,0),MATCH(COLUMNS($AC$1006:AR1006),$AC$1006:$AS$1006,0)), HYPERLINK("#",""), HYPERLINK(CONCATENATE("#Metadata!", ADDRESS(INDEX($X$2:$X$1001,MATCH(ROWS($V$2:V894),$V$2:$V$1001,0),0), INDEX($AC$1004:$AS$1004,1,MATCH(COLUMNS($AC$1006:AR1006),$AC$1006:$AS$1006,0)))),"Fix")))</f>
        <v>0</v>
      </c>
      <c r="R894" s="5">
        <f>IF(OR(INDEX($W$2:$W$1001,MATCH(ROWS($V$2:V894),$V$2:$V$1001,0),1)&gt;=100000,INDEX($AC$1005:$AS$1005,1,MATCH(COLUMNS($AC$1006:AS1006),$AC$1006:$AS$1006,0))&gt;=100000), " ",IF(INDEX($AC$2:$AS$1001,MATCH(ROWS($V$2:V894),$V$2:$V$1001,0),MATCH(COLUMNS($AC$1006:AS1006),$AC$1006:$AS$1006,0)), HYPERLINK("#",""), HYPERLINK(CONCATENATE("#Metadata!", ADDRESS(INDEX($X$2:$X$1001,MATCH(ROWS($V$2:V894),$V$2:$V$1001,0),0), INDEX($AC$1004:$AS$1004,1,MATCH(COLUMNS($AC$1006:AS1006),$AC$1006:$AS$1006,0)))),"Fix")))</f>
        <v>0</v>
      </c>
      <c r="V894">
        <v>0</v>
      </c>
      <c r="W894">
        <v>0</v>
      </c>
      <c r="X894">
        <v>0</v>
      </c>
      <c r="Y894">
        <f>IF(Z894,TRUE,AND(AC894:AS894))</f>
        <v>0</v>
      </c>
      <c r="Z894">
        <f>COUNTBLANK(Metadata!B894:R894)=COLUMNS(Metadata!B894:R894)</f>
        <v>0</v>
      </c>
      <c r="AA894">
        <v>0</v>
      </c>
      <c r="AC894">
        <f>AND(IF(Metadata!B894="",FALSE,TRUE),COUNTIF(Metadata!B:B, Metadata!B894) = 1,NOT(ISERROR(SUMPRODUCT(SEARCH(MID(Metadata!B894,ROW(INDIRECT("1:"&amp;LEN(Metadata!B894))), 1),"0123456789abcdefghijklmnopqrstuvwxyzABCDEFGHIJKLMNOPQRSTUVWXYZ.")))))</f>
        <v>0</v>
      </c>
      <c r="AD894">
        <f>AND(IF(Metadata!C894="",FALSE,TRUE),exact(Metadata!C894,"Host-associated"))</f>
        <v>0</v>
      </c>
      <c r="AE894">
        <f>AND(IF(Metadata!D894="",FALSE,TRUE),OR(exact(Metadata!D894,"Animal"),exact(Metadata!D894,"Fungus"),exact(Metadata!D894,"Plant")))</f>
        <v>0</v>
      </c>
      <c r="AF894">
        <f>AND(IF(Metadata!E894="",FALSE,TRUE),OR(exact(Metadata!E894,"Plant secretion"),exact(Metadata!E894,"Plant rhizosphere"),exact(Metadata!E894,"Plant surface"),exact(Metadata!E894,"Plant corpus"),exact(Metadata!E894,"Fungus surface"),exact(Metadata!E894,"Fungus corpus"),exact(Metadata!E894,"Animal surface"),exact(Metadata!E894,"Animal proximal gut"),exact(Metadata!E894,"Animal corpus"),exact(Metadata!E894,"Animal distal gut"),exact(Metadata!E894,"Animal secretion")))</f>
        <v>0</v>
      </c>
      <c r="AG894">
        <f>OR(AND(IF(Metadata!F894="",FALSE,TRUE),OR(exact(Metadata!F894,"not collected"),exact(Metadata!F894,"not provided"),exact(Metadata!F894,"restricted access"))),AND(IF(Metadata!F894="",FALSE,TRUE),OR(exact(Metadata!F894,"organism-associated habitat"),exact(Metadata!F894,"plant-associated habitat"),exact(Metadata!F894,"animal-associated habitat"),exact(Metadata!F894,"insecta-associated habitat"),exact(Metadata!F894,"mammalia-associated habitat"),exact(Metadata!F894,"human-associated habitat"),exact(Metadata!F894,"livestock-associated habitat"))))</f>
        <v>0</v>
      </c>
      <c r="AH894">
        <f>AND(IF(Metadata!G894="",FALSE,TRUE),exact(Metadata!G894,"host-associated"))</f>
        <v>0</v>
      </c>
      <c r="AI894">
        <f>OR(AND(IF(Metadata!H894="",FALSE,TRUE),OR(exact(Metadata!H894,"not collected"),exact(Metadata!H894,"not provided"))),AND(IF(Metadata!H894="",FALSE,ISNUMBER(VALUE(Metadata!H894))),Metadata!H894&gt;0))</f>
        <v>0</v>
      </c>
      <c r="AJ894">
        <f>AND(IF(Metadata!I894="",FALSE,TRUE),exact(Metadata!I894,"years"))</f>
        <v>0</v>
      </c>
      <c r="AK894">
        <f>IF(Metadata!J894="",FALSE,TRUE)</f>
        <v>0</v>
      </c>
      <c r="AL894">
        <f>OR(AND(IF(Metadata!K894="",FALSE,TRUE),OR(exact(Metadata!K894,"not collected"),exact(Metadata!K894,"not provided"))),AND(IF(Metadata!K894="",FALSE,ISNUMBER(VALUE(Metadata!K894))),Metadata!K894&gt;0))</f>
        <v>0</v>
      </c>
      <c r="AM894">
        <f>AND(IF(Metadata!L894="",FALSE,TRUE),exact(Metadata!L894,"cm"))</f>
        <v>0</v>
      </c>
      <c r="AN894">
        <f>IF(Metadata!M894="",FALSE,TRUE)</f>
        <v>0</v>
      </c>
      <c r="AO894">
        <f>OR(AND(IF(Metadata!N894="",FALSE,TRUE),OR(exact(Metadata!N894,"not applicable"),exact(Metadata!N894,"not collected"),exact(Metadata!N894,"not provided"))),AND(IF(Metadata!N894="",FALSE,IF(ISERROR(INT(Metadata!N894)),FALSE,INT(Metadata!N894)=Metadata!N894)),Metadata!N894&gt;0))</f>
        <v>0</v>
      </c>
      <c r="AP894">
        <f>OR(AND(IF(Metadata!O894="",FALSE,TRUE),OR(exact(Metadata!O894,"not collected"),exact(Metadata!O894,"not provided"))),AND(IF(Metadata!O894="",FALSE,ISNUMBER(VALUE(Metadata!O894))),Metadata!O894&gt;0))</f>
        <v>0</v>
      </c>
      <c r="AQ894">
        <f>AND(IF(Metadata!P894="",FALSE,TRUE),exact(Metadata!P894,"kg"))</f>
        <v>0</v>
      </c>
      <c r="AR894">
        <f>OR(AND(IF(Metadata!Q894="",FALSE,TRUE),OR(exact(Metadata!Q894,"not applicable"),exact(Metadata!Q894,"not collected"),exact(Metadata!Q894,"not provided"),exact(Metadata!Q894,"restricted access"))),IF(Metadata!Q894="",FALSE,IF(ISERROR(INT(Metadata!Q894)),FALSE,INT(Metadata!Q894)=Metadata!Q894)))</f>
        <v>0</v>
      </c>
      <c r="AS894">
        <f>AND(IF(Metadata!R894="",FALSE,TRUE),exact(Metadata!R894,"Not applicable"))</f>
        <v>0</v>
      </c>
    </row>
    <row r="895" spans="1:45">
      <c r="A895" s="4">
        <f>IF(B895=" "," ",HYPERLINK(CONCATENATE("#metadata!",ADDRESS(INDEX($X$2:$X$1001,MATCH(ROWS($V$2:V895),$V$2:$V$1001,0),0),2)),INDEX($AA$2:$AA$1001,MATCH(ROWS($V$2:V895),$V$2:$V$1001,0),0)))</f>
        <v>0</v>
      </c>
      <c r="B895" s="5">
        <f>IF(OR(INDEX($W$2:$W$1001,MATCH(ROWS($V$2:V895),$V$2:$V$1001,0),1)&gt;=100000,INDEX($AC$1005:$AS$1005,1,MATCH(COLUMNS($AC$1006:AC1006),$AC$1006:$AS$1006,0))&gt;=100000), " ",IF(INDEX($AC$2:$AS$1001,MATCH(ROWS($V$2:V895),$V$2:$V$1001,0),MATCH(COLUMNS($AC$1006:AC1006),$AC$1006:$AS$1006,0)), HYPERLINK("#",""), HYPERLINK(CONCATENATE("#Metadata!", ADDRESS(INDEX($X$2:$X$1001,MATCH(ROWS($V$2:V895),$V$2:$V$1001,0),0), INDEX($AC$1004:$AS$1004,1,MATCH(COLUMNS($AC$1006:AC1006),$AC$1006:$AS$1006,0)))),"Fix")))</f>
        <v>0</v>
      </c>
      <c r="C895" s="5">
        <f>IF(OR(INDEX($W$2:$W$1001,MATCH(ROWS($V$2:V895),$V$2:$V$1001,0),1)&gt;=100000,INDEX($AC$1005:$AS$1005,1,MATCH(COLUMNS($AC$1006:AD1006),$AC$1006:$AS$1006,0))&gt;=100000), " ",IF(INDEX($AC$2:$AS$1001,MATCH(ROWS($V$2:V895),$V$2:$V$1001,0),MATCH(COLUMNS($AC$1006:AD1006),$AC$1006:$AS$1006,0)), HYPERLINK("#",""), HYPERLINK(CONCATENATE("#Metadata!", ADDRESS(INDEX($X$2:$X$1001,MATCH(ROWS($V$2:V895),$V$2:$V$1001,0),0), INDEX($AC$1004:$AS$1004,1,MATCH(COLUMNS($AC$1006:AD1006),$AC$1006:$AS$1006,0)))),"Fix")))</f>
        <v>0</v>
      </c>
      <c r="D895" s="5">
        <f>IF(OR(INDEX($W$2:$W$1001,MATCH(ROWS($V$2:V895),$V$2:$V$1001,0),1)&gt;=100000,INDEX($AC$1005:$AS$1005,1,MATCH(COLUMNS($AC$1006:AE1006),$AC$1006:$AS$1006,0))&gt;=100000), " ",IF(INDEX($AC$2:$AS$1001,MATCH(ROWS($V$2:V895),$V$2:$V$1001,0),MATCH(COLUMNS($AC$1006:AE1006),$AC$1006:$AS$1006,0)), HYPERLINK("#",""), HYPERLINK(CONCATENATE("#Metadata!", ADDRESS(INDEX($X$2:$X$1001,MATCH(ROWS($V$2:V895),$V$2:$V$1001,0),0), INDEX($AC$1004:$AS$1004,1,MATCH(COLUMNS($AC$1006:AE1006),$AC$1006:$AS$1006,0)))),"Fix")))</f>
        <v>0</v>
      </c>
      <c r="E895" s="5">
        <f>IF(OR(INDEX($W$2:$W$1001,MATCH(ROWS($V$2:V895),$V$2:$V$1001,0),1)&gt;=100000,INDEX($AC$1005:$AS$1005,1,MATCH(COLUMNS($AC$1006:AF1006),$AC$1006:$AS$1006,0))&gt;=100000), " ",IF(INDEX($AC$2:$AS$1001,MATCH(ROWS($V$2:V895),$V$2:$V$1001,0),MATCH(COLUMNS($AC$1006:AF1006),$AC$1006:$AS$1006,0)), HYPERLINK("#",""), HYPERLINK(CONCATENATE("#Metadata!", ADDRESS(INDEX($X$2:$X$1001,MATCH(ROWS($V$2:V895),$V$2:$V$1001,0),0), INDEX($AC$1004:$AS$1004,1,MATCH(COLUMNS($AC$1006:AF1006),$AC$1006:$AS$1006,0)))),"Fix")))</f>
        <v>0</v>
      </c>
      <c r="F895" s="5">
        <f>IF(OR(INDEX($W$2:$W$1001,MATCH(ROWS($V$2:V895),$V$2:$V$1001,0),1)&gt;=100000,INDEX($AC$1005:$AS$1005,1,MATCH(COLUMNS($AC$1006:AG1006),$AC$1006:$AS$1006,0))&gt;=100000), " ",IF(INDEX($AC$2:$AS$1001,MATCH(ROWS($V$2:V895),$V$2:$V$1001,0),MATCH(COLUMNS($AC$1006:AG1006),$AC$1006:$AS$1006,0)), HYPERLINK("#",""), HYPERLINK(CONCATENATE("#Metadata!", ADDRESS(INDEX($X$2:$X$1001,MATCH(ROWS($V$2:V895),$V$2:$V$1001,0),0), INDEX($AC$1004:$AS$1004,1,MATCH(COLUMNS($AC$1006:AG1006),$AC$1006:$AS$1006,0)))),"Fix")))</f>
        <v>0</v>
      </c>
      <c r="G895" s="5">
        <f>IF(OR(INDEX($W$2:$W$1001,MATCH(ROWS($V$2:V895),$V$2:$V$1001,0),1)&gt;=100000,INDEX($AC$1005:$AS$1005,1,MATCH(COLUMNS($AC$1006:AH1006),$AC$1006:$AS$1006,0))&gt;=100000), " ",IF(INDEX($AC$2:$AS$1001,MATCH(ROWS($V$2:V895),$V$2:$V$1001,0),MATCH(COLUMNS($AC$1006:AH1006),$AC$1006:$AS$1006,0)), HYPERLINK("#",""), HYPERLINK(CONCATENATE("#Metadata!", ADDRESS(INDEX($X$2:$X$1001,MATCH(ROWS($V$2:V895),$V$2:$V$1001,0),0), INDEX($AC$1004:$AS$1004,1,MATCH(COLUMNS($AC$1006:AH1006),$AC$1006:$AS$1006,0)))),"Fix")))</f>
        <v>0</v>
      </c>
      <c r="H895" s="5">
        <f>IF(OR(INDEX($W$2:$W$1001,MATCH(ROWS($V$2:V895),$V$2:$V$1001,0),1)&gt;=100000,INDEX($AC$1005:$AS$1005,1,MATCH(COLUMNS($AC$1006:AI1006),$AC$1006:$AS$1006,0))&gt;=100000), " ",IF(INDEX($AC$2:$AS$1001,MATCH(ROWS($V$2:V895),$V$2:$V$1001,0),MATCH(COLUMNS($AC$1006:AI1006),$AC$1006:$AS$1006,0)), HYPERLINK("#",""), HYPERLINK(CONCATENATE("#Metadata!", ADDRESS(INDEX($X$2:$X$1001,MATCH(ROWS($V$2:V895),$V$2:$V$1001,0),0), INDEX($AC$1004:$AS$1004,1,MATCH(COLUMNS($AC$1006:AI1006),$AC$1006:$AS$1006,0)))),"Fix")))</f>
        <v>0</v>
      </c>
      <c r="I895" s="5">
        <f>IF(OR(INDEX($W$2:$W$1001,MATCH(ROWS($V$2:V895),$V$2:$V$1001,0),1)&gt;=100000,INDEX($AC$1005:$AS$1005,1,MATCH(COLUMNS($AC$1006:AJ1006),$AC$1006:$AS$1006,0))&gt;=100000), " ",IF(INDEX($AC$2:$AS$1001,MATCH(ROWS($V$2:V895),$V$2:$V$1001,0),MATCH(COLUMNS($AC$1006:AJ1006),$AC$1006:$AS$1006,0)), HYPERLINK("#",""), HYPERLINK(CONCATENATE("#Metadata!", ADDRESS(INDEX($X$2:$X$1001,MATCH(ROWS($V$2:V895),$V$2:$V$1001,0),0), INDEX($AC$1004:$AS$1004,1,MATCH(COLUMNS($AC$1006:AJ1006),$AC$1006:$AS$1006,0)))),"Fix")))</f>
        <v>0</v>
      </c>
      <c r="J895" s="5">
        <f>IF(OR(INDEX($W$2:$W$1001,MATCH(ROWS($V$2:V895),$V$2:$V$1001,0),1)&gt;=100000,INDEX($AC$1005:$AS$1005,1,MATCH(COLUMNS($AC$1006:AK1006),$AC$1006:$AS$1006,0))&gt;=100000), " ",IF(INDEX($AC$2:$AS$1001,MATCH(ROWS($V$2:V895),$V$2:$V$1001,0),MATCH(COLUMNS($AC$1006:AK1006),$AC$1006:$AS$1006,0)), HYPERLINK("#",""), HYPERLINK(CONCATENATE("#Metadata!", ADDRESS(INDEX($X$2:$X$1001,MATCH(ROWS($V$2:V895),$V$2:$V$1001,0),0), INDEX($AC$1004:$AS$1004,1,MATCH(COLUMNS($AC$1006:AK1006),$AC$1006:$AS$1006,0)))),"Fix")))</f>
        <v>0</v>
      </c>
      <c r="K895" s="5">
        <f>IF(OR(INDEX($W$2:$W$1001,MATCH(ROWS($V$2:V895),$V$2:$V$1001,0),1)&gt;=100000,INDEX($AC$1005:$AS$1005,1,MATCH(COLUMNS($AC$1006:AL1006),$AC$1006:$AS$1006,0))&gt;=100000), " ",IF(INDEX($AC$2:$AS$1001,MATCH(ROWS($V$2:V895),$V$2:$V$1001,0),MATCH(COLUMNS($AC$1006:AL1006),$AC$1006:$AS$1006,0)), HYPERLINK("#",""), HYPERLINK(CONCATENATE("#Metadata!", ADDRESS(INDEX($X$2:$X$1001,MATCH(ROWS($V$2:V895),$V$2:$V$1001,0),0), INDEX($AC$1004:$AS$1004,1,MATCH(COLUMNS($AC$1006:AL1006),$AC$1006:$AS$1006,0)))),"Fix")))</f>
        <v>0</v>
      </c>
      <c r="L895" s="5">
        <f>IF(OR(INDEX($W$2:$W$1001,MATCH(ROWS($V$2:V895),$V$2:$V$1001,0),1)&gt;=100000,INDEX($AC$1005:$AS$1005,1,MATCH(COLUMNS($AC$1006:AM1006),$AC$1006:$AS$1006,0))&gt;=100000), " ",IF(INDEX($AC$2:$AS$1001,MATCH(ROWS($V$2:V895),$V$2:$V$1001,0),MATCH(COLUMNS($AC$1006:AM1006),$AC$1006:$AS$1006,0)), HYPERLINK("#",""), HYPERLINK(CONCATENATE("#Metadata!", ADDRESS(INDEX($X$2:$X$1001,MATCH(ROWS($V$2:V895),$V$2:$V$1001,0),0), INDEX($AC$1004:$AS$1004,1,MATCH(COLUMNS($AC$1006:AM1006),$AC$1006:$AS$1006,0)))),"Fix")))</f>
        <v>0</v>
      </c>
      <c r="M895" s="5">
        <f>IF(OR(INDEX($W$2:$W$1001,MATCH(ROWS($V$2:V895),$V$2:$V$1001,0),1)&gt;=100000,INDEX($AC$1005:$AS$1005,1,MATCH(COLUMNS($AC$1006:AN1006),$AC$1006:$AS$1006,0))&gt;=100000), " ",IF(INDEX($AC$2:$AS$1001,MATCH(ROWS($V$2:V895),$V$2:$V$1001,0),MATCH(COLUMNS($AC$1006:AN1006),$AC$1006:$AS$1006,0)), HYPERLINK("#",""), HYPERLINK(CONCATENATE("#Metadata!", ADDRESS(INDEX($X$2:$X$1001,MATCH(ROWS($V$2:V895),$V$2:$V$1001,0),0), INDEX($AC$1004:$AS$1004,1,MATCH(COLUMNS($AC$1006:AN1006),$AC$1006:$AS$1006,0)))),"Fix")))</f>
        <v>0</v>
      </c>
      <c r="N895" s="5">
        <f>IF(OR(INDEX($W$2:$W$1001,MATCH(ROWS($V$2:V895),$V$2:$V$1001,0),1)&gt;=100000,INDEX($AC$1005:$AS$1005,1,MATCH(COLUMNS($AC$1006:AO1006),$AC$1006:$AS$1006,0))&gt;=100000), " ",IF(INDEX($AC$2:$AS$1001,MATCH(ROWS($V$2:V895),$V$2:$V$1001,0),MATCH(COLUMNS($AC$1006:AO1006),$AC$1006:$AS$1006,0)), HYPERLINK("#",""), HYPERLINK(CONCATENATE("#Metadata!", ADDRESS(INDEX($X$2:$X$1001,MATCH(ROWS($V$2:V895),$V$2:$V$1001,0),0), INDEX($AC$1004:$AS$1004,1,MATCH(COLUMNS($AC$1006:AO1006),$AC$1006:$AS$1006,0)))),"Fix")))</f>
        <v>0</v>
      </c>
      <c r="O895" s="5">
        <f>IF(OR(INDEX($W$2:$W$1001,MATCH(ROWS($V$2:V895),$V$2:$V$1001,0),1)&gt;=100000,INDEX($AC$1005:$AS$1005,1,MATCH(COLUMNS($AC$1006:AP1006),$AC$1006:$AS$1006,0))&gt;=100000), " ",IF(INDEX($AC$2:$AS$1001,MATCH(ROWS($V$2:V895),$V$2:$V$1001,0),MATCH(COLUMNS($AC$1006:AP1006),$AC$1006:$AS$1006,0)), HYPERLINK("#",""), HYPERLINK(CONCATENATE("#Metadata!", ADDRESS(INDEX($X$2:$X$1001,MATCH(ROWS($V$2:V895),$V$2:$V$1001,0),0), INDEX($AC$1004:$AS$1004,1,MATCH(COLUMNS($AC$1006:AP1006),$AC$1006:$AS$1006,0)))),"Fix")))</f>
        <v>0</v>
      </c>
      <c r="P895" s="5">
        <f>IF(OR(INDEX($W$2:$W$1001,MATCH(ROWS($V$2:V895),$V$2:$V$1001,0),1)&gt;=100000,INDEX($AC$1005:$AS$1005,1,MATCH(COLUMNS($AC$1006:AQ1006),$AC$1006:$AS$1006,0))&gt;=100000), " ",IF(INDEX($AC$2:$AS$1001,MATCH(ROWS($V$2:V895),$V$2:$V$1001,0),MATCH(COLUMNS($AC$1006:AQ1006),$AC$1006:$AS$1006,0)), HYPERLINK("#",""), HYPERLINK(CONCATENATE("#Metadata!", ADDRESS(INDEX($X$2:$X$1001,MATCH(ROWS($V$2:V895),$V$2:$V$1001,0),0), INDEX($AC$1004:$AS$1004,1,MATCH(COLUMNS($AC$1006:AQ1006),$AC$1006:$AS$1006,0)))),"Fix")))</f>
        <v>0</v>
      </c>
      <c r="Q895" s="5">
        <f>IF(OR(INDEX($W$2:$W$1001,MATCH(ROWS($V$2:V895),$V$2:$V$1001,0),1)&gt;=100000,INDEX($AC$1005:$AS$1005,1,MATCH(COLUMNS($AC$1006:AR1006),$AC$1006:$AS$1006,0))&gt;=100000), " ",IF(INDEX($AC$2:$AS$1001,MATCH(ROWS($V$2:V895),$V$2:$V$1001,0),MATCH(COLUMNS($AC$1006:AR1006),$AC$1006:$AS$1006,0)), HYPERLINK("#",""), HYPERLINK(CONCATENATE("#Metadata!", ADDRESS(INDEX($X$2:$X$1001,MATCH(ROWS($V$2:V895),$V$2:$V$1001,0),0), INDEX($AC$1004:$AS$1004,1,MATCH(COLUMNS($AC$1006:AR1006),$AC$1006:$AS$1006,0)))),"Fix")))</f>
        <v>0</v>
      </c>
      <c r="R895" s="5">
        <f>IF(OR(INDEX($W$2:$W$1001,MATCH(ROWS($V$2:V895),$V$2:$V$1001,0),1)&gt;=100000,INDEX($AC$1005:$AS$1005,1,MATCH(COLUMNS($AC$1006:AS1006),$AC$1006:$AS$1006,0))&gt;=100000), " ",IF(INDEX($AC$2:$AS$1001,MATCH(ROWS($V$2:V895),$V$2:$V$1001,0),MATCH(COLUMNS($AC$1006:AS1006),$AC$1006:$AS$1006,0)), HYPERLINK("#",""), HYPERLINK(CONCATENATE("#Metadata!", ADDRESS(INDEX($X$2:$X$1001,MATCH(ROWS($V$2:V895),$V$2:$V$1001,0),0), INDEX($AC$1004:$AS$1004,1,MATCH(COLUMNS($AC$1006:AS1006),$AC$1006:$AS$1006,0)))),"Fix")))</f>
        <v>0</v>
      </c>
      <c r="V895">
        <v>0</v>
      </c>
      <c r="W895">
        <v>0</v>
      </c>
      <c r="X895">
        <v>0</v>
      </c>
      <c r="Y895">
        <f>IF(Z895,TRUE,AND(AC895:AS895))</f>
        <v>0</v>
      </c>
      <c r="Z895">
        <f>COUNTBLANK(Metadata!B895:R895)=COLUMNS(Metadata!B895:R895)</f>
        <v>0</v>
      </c>
      <c r="AA895">
        <v>0</v>
      </c>
      <c r="AC895">
        <f>AND(IF(Metadata!B895="",FALSE,TRUE),COUNTIF(Metadata!B:B, Metadata!B895) = 1,NOT(ISERROR(SUMPRODUCT(SEARCH(MID(Metadata!B895,ROW(INDIRECT("1:"&amp;LEN(Metadata!B895))), 1),"0123456789abcdefghijklmnopqrstuvwxyzABCDEFGHIJKLMNOPQRSTUVWXYZ.")))))</f>
        <v>0</v>
      </c>
      <c r="AD895">
        <f>AND(IF(Metadata!C895="",FALSE,TRUE),exact(Metadata!C895,"Host-associated"))</f>
        <v>0</v>
      </c>
      <c r="AE895">
        <f>AND(IF(Metadata!D895="",FALSE,TRUE),OR(exact(Metadata!D895,"Animal"),exact(Metadata!D895,"Fungus"),exact(Metadata!D895,"Plant")))</f>
        <v>0</v>
      </c>
      <c r="AF895">
        <f>AND(IF(Metadata!E895="",FALSE,TRUE),OR(exact(Metadata!E895,"Plant secretion"),exact(Metadata!E895,"Plant rhizosphere"),exact(Metadata!E895,"Plant surface"),exact(Metadata!E895,"Plant corpus"),exact(Metadata!E895,"Fungus surface"),exact(Metadata!E895,"Fungus corpus"),exact(Metadata!E895,"Animal surface"),exact(Metadata!E895,"Animal proximal gut"),exact(Metadata!E895,"Animal corpus"),exact(Metadata!E895,"Animal distal gut"),exact(Metadata!E895,"Animal secretion")))</f>
        <v>0</v>
      </c>
      <c r="AG895">
        <f>OR(AND(IF(Metadata!F895="",FALSE,TRUE),OR(exact(Metadata!F895,"not collected"),exact(Metadata!F895,"not provided"),exact(Metadata!F895,"restricted access"))),AND(IF(Metadata!F895="",FALSE,TRUE),OR(exact(Metadata!F895,"organism-associated habitat"),exact(Metadata!F895,"plant-associated habitat"),exact(Metadata!F895,"animal-associated habitat"),exact(Metadata!F895,"insecta-associated habitat"),exact(Metadata!F895,"mammalia-associated habitat"),exact(Metadata!F895,"human-associated habitat"),exact(Metadata!F895,"livestock-associated habitat"))))</f>
        <v>0</v>
      </c>
      <c r="AH895">
        <f>AND(IF(Metadata!G895="",FALSE,TRUE),exact(Metadata!G895,"host-associated"))</f>
        <v>0</v>
      </c>
      <c r="AI895">
        <f>OR(AND(IF(Metadata!H895="",FALSE,TRUE),OR(exact(Metadata!H895,"not collected"),exact(Metadata!H895,"not provided"))),AND(IF(Metadata!H895="",FALSE,ISNUMBER(VALUE(Metadata!H895))),Metadata!H895&gt;0))</f>
        <v>0</v>
      </c>
      <c r="AJ895">
        <f>AND(IF(Metadata!I895="",FALSE,TRUE),exact(Metadata!I895,"years"))</f>
        <v>0</v>
      </c>
      <c r="AK895">
        <f>IF(Metadata!J895="",FALSE,TRUE)</f>
        <v>0</v>
      </c>
      <c r="AL895">
        <f>OR(AND(IF(Metadata!K895="",FALSE,TRUE),OR(exact(Metadata!K895,"not collected"),exact(Metadata!K895,"not provided"))),AND(IF(Metadata!K895="",FALSE,ISNUMBER(VALUE(Metadata!K895))),Metadata!K895&gt;0))</f>
        <v>0</v>
      </c>
      <c r="AM895">
        <f>AND(IF(Metadata!L895="",FALSE,TRUE),exact(Metadata!L895,"cm"))</f>
        <v>0</v>
      </c>
      <c r="AN895">
        <f>IF(Metadata!M895="",FALSE,TRUE)</f>
        <v>0</v>
      </c>
      <c r="AO895">
        <f>OR(AND(IF(Metadata!N895="",FALSE,TRUE),OR(exact(Metadata!N895,"not applicable"),exact(Metadata!N895,"not collected"),exact(Metadata!N895,"not provided"))),AND(IF(Metadata!N895="",FALSE,IF(ISERROR(INT(Metadata!N895)),FALSE,INT(Metadata!N895)=Metadata!N895)),Metadata!N895&gt;0))</f>
        <v>0</v>
      </c>
      <c r="AP895">
        <f>OR(AND(IF(Metadata!O895="",FALSE,TRUE),OR(exact(Metadata!O895,"not collected"),exact(Metadata!O895,"not provided"))),AND(IF(Metadata!O895="",FALSE,ISNUMBER(VALUE(Metadata!O895))),Metadata!O895&gt;0))</f>
        <v>0</v>
      </c>
      <c r="AQ895">
        <f>AND(IF(Metadata!P895="",FALSE,TRUE),exact(Metadata!P895,"kg"))</f>
        <v>0</v>
      </c>
      <c r="AR895">
        <f>OR(AND(IF(Metadata!Q895="",FALSE,TRUE),OR(exact(Metadata!Q895,"not applicable"),exact(Metadata!Q895,"not collected"),exact(Metadata!Q895,"not provided"),exact(Metadata!Q895,"restricted access"))),IF(Metadata!Q895="",FALSE,IF(ISERROR(INT(Metadata!Q895)),FALSE,INT(Metadata!Q895)=Metadata!Q895)))</f>
        <v>0</v>
      </c>
      <c r="AS895">
        <f>AND(IF(Metadata!R895="",FALSE,TRUE),exact(Metadata!R895,"Not applicable"))</f>
        <v>0</v>
      </c>
    </row>
    <row r="896" spans="1:45">
      <c r="A896" s="4">
        <f>IF(B896=" "," ",HYPERLINK(CONCATENATE("#metadata!",ADDRESS(INDEX($X$2:$X$1001,MATCH(ROWS($V$2:V896),$V$2:$V$1001,0),0),2)),INDEX($AA$2:$AA$1001,MATCH(ROWS($V$2:V896),$V$2:$V$1001,0),0)))</f>
        <v>0</v>
      </c>
      <c r="B896" s="5">
        <f>IF(OR(INDEX($W$2:$W$1001,MATCH(ROWS($V$2:V896),$V$2:$V$1001,0),1)&gt;=100000,INDEX($AC$1005:$AS$1005,1,MATCH(COLUMNS($AC$1006:AC1006),$AC$1006:$AS$1006,0))&gt;=100000), " ",IF(INDEX($AC$2:$AS$1001,MATCH(ROWS($V$2:V896),$V$2:$V$1001,0),MATCH(COLUMNS($AC$1006:AC1006),$AC$1006:$AS$1006,0)), HYPERLINK("#",""), HYPERLINK(CONCATENATE("#Metadata!", ADDRESS(INDEX($X$2:$X$1001,MATCH(ROWS($V$2:V896),$V$2:$V$1001,0),0), INDEX($AC$1004:$AS$1004,1,MATCH(COLUMNS($AC$1006:AC1006),$AC$1006:$AS$1006,0)))),"Fix")))</f>
        <v>0</v>
      </c>
      <c r="C896" s="5">
        <f>IF(OR(INDEX($W$2:$W$1001,MATCH(ROWS($V$2:V896),$V$2:$V$1001,0),1)&gt;=100000,INDEX($AC$1005:$AS$1005,1,MATCH(COLUMNS($AC$1006:AD1006),$AC$1006:$AS$1006,0))&gt;=100000), " ",IF(INDEX($AC$2:$AS$1001,MATCH(ROWS($V$2:V896),$V$2:$V$1001,0),MATCH(COLUMNS($AC$1006:AD1006),$AC$1006:$AS$1006,0)), HYPERLINK("#",""), HYPERLINK(CONCATENATE("#Metadata!", ADDRESS(INDEX($X$2:$X$1001,MATCH(ROWS($V$2:V896),$V$2:$V$1001,0),0), INDEX($AC$1004:$AS$1004,1,MATCH(COLUMNS($AC$1006:AD1006),$AC$1006:$AS$1006,0)))),"Fix")))</f>
        <v>0</v>
      </c>
      <c r="D896" s="5">
        <f>IF(OR(INDEX($W$2:$W$1001,MATCH(ROWS($V$2:V896),$V$2:$V$1001,0),1)&gt;=100000,INDEX($AC$1005:$AS$1005,1,MATCH(COLUMNS($AC$1006:AE1006),$AC$1006:$AS$1006,0))&gt;=100000), " ",IF(INDEX($AC$2:$AS$1001,MATCH(ROWS($V$2:V896),$V$2:$V$1001,0),MATCH(COLUMNS($AC$1006:AE1006),$AC$1006:$AS$1006,0)), HYPERLINK("#",""), HYPERLINK(CONCATENATE("#Metadata!", ADDRESS(INDEX($X$2:$X$1001,MATCH(ROWS($V$2:V896),$V$2:$V$1001,0),0), INDEX($AC$1004:$AS$1004,1,MATCH(COLUMNS($AC$1006:AE1006),$AC$1006:$AS$1006,0)))),"Fix")))</f>
        <v>0</v>
      </c>
      <c r="E896" s="5">
        <f>IF(OR(INDEX($W$2:$W$1001,MATCH(ROWS($V$2:V896),$V$2:$V$1001,0),1)&gt;=100000,INDEX($AC$1005:$AS$1005,1,MATCH(COLUMNS($AC$1006:AF1006),$AC$1006:$AS$1006,0))&gt;=100000), " ",IF(INDEX($AC$2:$AS$1001,MATCH(ROWS($V$2:V896),$V$2:$V$1001,0),MATCH(COLUMNS($AC$1006:AF1006),$AC$1006:$AS$1006,0)), HYPERLINK("#",""), HYPERLINK(CONCATENATE("#Metadata!", ADDRESS(INDEX($X$2:$X$1001,MATCH(ROWS($V$2:V896),$V$2:$V$1001,0),0), INDEX($AC$1004:$AS$1004,1,MATCH(COLUMNS($AC$1006:AF1006),$AC$1006:$AS$1006,0)))),"Fix")))</f>
        <v>0</v>
      </c>
      <c r="F896" s="5">
        <f>IF(OR(INDEX($W$2:$W$1001,MATCH(ROWS($V$2:V896),$V$2:$V$1001,0),1)&gt;=100000,INDEX($AC$1005:$AS$1005,1,MATCH(COLUMNS($AC$1006:AG1006),$AC$1006:$AS$1006,0))&gt;=100000), " ",IF(INDEX($AC$2:$AS$1001,MATCH(ROWS($V$2:V896),$V$2:$V$1001,0),MATCH(COLUMNS($AC$1006:AG1006),$AC$1006:$AS$1006,0)), HYPERLINK("#",""), HYPERLINK(CONCATENATE("#Metadata!", ADDRESS(INDEX($X$2:$X$1001,MATCH(ROWS($V$2:V896),$V$2:$V$1001,0),0), INDEX($AC$1004:$AS$1004,1,MATCH(COLUMNS($AC$1006:AG1006),$AC$1006:$AS$1006,0)))),"Fix")))</f>
        <v>0</v>
      </c>
      <c r="G896" s="5">
        <f>IF(OR(INDEX($W$2:$W$1001,MATCH(ROWS($V$2:V896),$V$2:$V$1001,0),1)&gt;=100000,INDEX($AC$1005:$AS$1005,1,MATCH(COLUMNS($AC$1006:AH1006),$AC$1006:$AS$1006,0))&gt;=100000), " ",IF(INDEX($AC$2:$AS$1001,MATCH(ROWS($V$2:V896),$V$2:$V$1001,0),MATCH(COLUMNS($AC$1006:AH1006),$AC$1006:$AS$1006,0)), HYPERLINK("#",""), HYPERLINK(CONCATENATE("#Metadata!", ADDRESS(INDEX($X$2:$X$1001,MATCH(ROWS($V$2:V896),$V$2:$V$1001,0),0), INDEX($AC$1004:$AS$1004,1,MATCH(COLUMNS($AC$1006:AH1006),$AC$1006:$AS$1006,0)))),"Fix")))</f>
        <v>0</v>
      </c>
      <c r="H896" s="5">
        <f>IF(OR(INDEX($W$2:$W$1001,MATCH(ROWS($V$2:V896),$V$2:$V$1001,0),1)&gt;=100000,INDEX($AC$1005:$AS$1005,1,MATCH(COLUMNS($AC$1006:AI1006),$AC$1006:$AS$1006,0))&gt;=100000), " ",IF(INDEX($AC$2:$AS$1001,MATCH(ROWS($V$2:V896),$V$2:$V$1001,0),MATCH(COLUMNS($AC$1006:AI1006),$AC$1006:$AS$1006,0)), HYPERLINK("#",""), HYPERLINK(CONCATENATE("#Metadata!", ADDRESS(INDEX($X$2:$X$1001,MATCH(ROWS($V$2:V896),$V$2:$V$1001,0),0), INDEX($AC$1004:$AS$1004,1,MATCH(COLUMNS($AC$1006:AI1006),$AC$1006:$AS$1006,0)))),"Fix")))</f>
        <v>0</v>
      </c>
      <c r="I896" s="5">
        <f>IF(OR(INDEX($W$2:$W$1001,MATCH(ROWS($V$2:V896),$V$2:$V$1001,0),1)&gt;=100000,INDEX($AC$1005:$AS$1005,1,MATCH(COLUMNS($AC$1006:AJ1006),$AC$1006:$AS$1006,0))&gt;=100000), " ",IF(INDEX($AC$2:$AS$1001,MATCH(ROWS($V$2:V896),$V$2:$V$1001,0),MATCH(COLUMNS($AC$1006:AJ1006),$AC$1006:$AS$1006,0)), HYPERLINK("#",""), HYPERLINK(CONCATENATE("#Metadata!", ADDRESS(INDEX($X$2:$X$1001,MATCH(ROWS($V$2:V896),$V$2:$V$1001,0),0), INDEX($AC$1004:$AS$1004,1,MATCH(COLUMNS($AC$1006:AJ1006),$AC$1006:$AS$1006,0)))),"Fix")))</f>
        <v>0</v>
      </c>
      <c r="J896" s="5">
        <f>IF(OR(INDEX($W$2:$W$1001,MATCH(ROWS($V$2:V896),$V$2:$V$1001,0),1)&gt;=100000,INDEX($AC$1005:$AS$1005,1,MATCH(COLUMNS($AC$1006:AK1006),$AC$1006:$AS$1006,0))&gt;=100000), " ",IF(INDEX($AC$2:$AS$1001,MATCH(ROWS($V$2:V896),$V$2:$V$1001,0),MATCH(COLUMNS($AC$1006:AK1006),$AC$1006:$AS$1006,0)), HYPERLINK("#",""), HYPERLINK(CONCATENATE("#Metadata!", ADDRESS(INDEX($X$2:$X$1001,MATCH(ROWS($V$2:V896),$V$2:$V$1001,0),0), INDEX($AC$1004:$AS$1004,1,MATCH(COLUMNS($AC$1006:AK1006),$AC$1006:$AS$1006,0)))),"Fix")))</f>
        <v>0</v>
      </c>
      <c r="K896" s="5">
        <f>IF(OR(INDEX($W$2:$W$1001,MATCH(ROWS($V$2:V896),$V$2:$V$1001,0),1)&gt;=100000,INDEX($AC$1005:$AS$1005,1,MATCH(COLUMNS($AC$1006:AL1006),$AC$1006:$AS$1006,0))&gt;=100000), " ",IF(INDEX($AC$2:$AS$1001,MATCH(ROWS($V$2:V896),$V$2:$V$1001,0),MATCH(COLUMNS($AC$1006:AL1006),$AC$1006:$AS$1006,0)), HYPERLINK("#",""), HYPERLINK(CONCATENATE("#Metadata!", ADDRESS(INDEX($X$2:$X$1001,MATCH(ROWS($V$2:V896),$V$2:$V$1001,0),0), INDEX($AC$1004:$AS$1004,1,MATCH(COLUMNS($AC$1006:AL1006),$AC$1006:$AS$1006,0)))),"Fix")))</f>
        <v>0</v>
      </c>
      <c r="L896" s="5">
        <f>IF(OR(INDEX($W$2:$W$1001,MATCH(ROWS($V$2:V896),$V$2:$V$1001,0),1)&gt;=100000,INDEX($AC$1005:$AS$1005,1,MATCH(COLUMNS($AC$1006:AM1006),$AC$1006:$AS$1006,0))&gt;=100000), " ",IF(INDEX($AC$2:$AS$1001,MATCH(ROWS($V$2:V896),$V$2:$V$1001,0),MATCH(COLUMNS($AC$1006:AM1006),$AC$1006:$AS$1006,0)), HYPERLINK("#",""), HYPERLINK(CONCATENATE("#Metadata!", ADDRESS(INDEX($X$2:$X$1001,MATCH(ROWS($V$2:V896),$V$2:$V$1001,0),0), INDEX($AC$1004:$AS$1004,1,MATCH(COLUMNS($AC$1006:AM1006),$AC$1006:$AS$1006,0)))),"Fix")))</f>
        <v>0</v>
      </c>
      <c r="M896" s="5">
        <f>IF(OR(INDEX($W$2:$W$1001,MATCH(ROWS($V$2:V896),$V$2:$V$1001,0),1)&gt;=100000,INDEX($AC$1005:$AS$1005,1,MATCH(COLUMNS($AC$1006:AN1006),$AC$1006:$AS$1006,0))&gt;=100000), " ",IF(INDEX($AC$2:$AS$1001,MATCH(ROWS($V$2:V896),$V$2:$V$1001,0),MATCH(COLUMNS($AC$1006:AN1006),$AC$1006:$AS$1006,0)), HYPERLINK("#",""), HYPERLINK(CONCATENATE("#Metadata!", ADDRESS(INDEX($X$2:$X$1001,MATCH(ROWS($V$2:V896),$V$2:$V$1001,0),0), INDEX($AC$1004:$AS$1004,1,MATCH(COLUMNS($AC$1006:AN1006),$AC$1006:$AS$1006,0)))),"Fix")))</f>
        <v>0</v>
      </c>
      <c r="N896" s="5">
        <f>IF(OR(INDEX($W$2:$W$1001,MATCH(ROWS($V$2:V896),$V$2:$V$1001,0),1)&gt;=100000,INDEX($AC$1005:$AS$1005,1,MATCH(COLUMNS($AC$1006:AO1006),$AC$1006:$AS$1006,0))&gt;=100000), " ",IF(INDEX($AC$2:$AS$1001,MATCH(ROWS($V$2:V896),$V$2:$V$1001,0),MATCH(COLUMNS($AC$1006:AO1006),$AC$1006:$AS$1006,0)), HYPERLINK("#",""), HYPERLINK(CONCATENATE("#Metadata!", ADDRESS(INDEX($X$2:$X$1001,MATCH(ROWS($V$2:V896),$V$2:$V$1001,0),0), INDEX($AC$1004:$AS$1004,1,MATCH(COLUMNS($AC$1006:AO1006),$AC$1006:$AS$1006,0)))),"Fix")))</f>
        <v>0</v>
      </c>
      <c r="O896" s="5">
        <f>IF(OR(INDEX($W$2:$W$1001,MATCH(ROWS($V$2:V896),$V$2:$V$1001,0),1)&gt;=100000,INDEX($AC$1005:$AS$1005,1,MATCH(COLUMNS($AC$1006:AP1006),$AC$1006:$AS$1006,0))&gt;=100000), " ",IF(INDEX($AC$2:$AS$1001,MATCH(ROWS($V$2:V896),$V$2:$V$1001,0),MATCH(COLUMNS($AC$1006:AP1006),$AC$1006:$AS$1006,0)), HYPERLINK("#",""), HYPERLINK(CONCATENATE("#Metadata!", ADDRESS(INDEX($X$2:$X$1001,MATCH(ROWS($V$2:V896),$V$2:$V$1001,0),0), INDEX($AC$1004:$AS$1004,1,MATCH(COLUMNS($AC$1006:AP1006),$AC$1006:$AS$1006,0)))),"Fix")))</f>
        <v>0</v>
      </c>
      <c r="P896" s="5">
        <f>IF(OR(INDEX($W$2:$W$1001,MATCH(ROWS($V$2:V896),$V$2:$V$1001,0),1)&gt;=100000,INDEX($AC$1005:$AS$1005,1,MATCH(COLUMNS($AC$1006:AQ1006),$AC$1006:$AS$1006,0))&gt;=100000), " ",IF(INDEX($AC$2:$AS$1001,MATCH(ROWS($V$2:V896),$V$2:$V$1001,0),MATCH(COLUMNS($AC$1006:AQ1006),$AC$1006:$AS$1006,0)), HYPERLINK("#",""), HYPERLINK(CONCATENATE("#Metadata!", ADDRESS(INDEX($X$2:$X$1001,MATCH(ROWS($V$2:V896),$V$2:$V$1001,0),0), INDEX($AC$1004:$AS$1004,1,MATCH(COLUMNS($AC$1006:AQ1006),$AC$1006:$AS$1006,0)))),"Fix")))</f>
        <v>0</v>
      </c>
      <c r="Q896" s="5">
        <f>IF(OR(INDEX($W$2:$W$1001,MATCH(ROWS($V$2:V896),$V$2:$V$1001,0),1)&gt;=100000,INDEX($AC$1005:$AS$1005,1,MATCH(COLUMNS($AC$1006:AR1006),$AC$1006:$AS$1006,0))&gt;=100000), " ",IF(INDEX($AC$2:$AS$1001,MATCH(ROWS($V$2:V896),$V$2:$V$1001,0),MATCH(COLUMNS($AC$1006:AR1006),$AC$1006:$AS$1006,0)), HYPERLINK("#",""), HYPERLINK(CONCATENATE("#Metadata!", ADDRESS(INDEX($X$2:$X$1001,MATCH(ROWS($V$2:V896),$V$2:$V$1001,0),0), INDEX($AC$1004:$AS$1004,1,MATCH(COLUMNS($AC$1006:AR1006),$AC$1006:$AS$1006,0)))),"Fix")))</f>
        <v>0</v>
      </c>
      <c r="R896" s="5">
        <f>IF(OR(INDEX($W$2:$W$1001,MATCH(ROWS($V$2:V896),$V$2:$V$1001,0),1)&gt;=100000,INDEX($AC$1005:$AS$1005,1,MATCH(COLUMNS($AC$1006:AS1006),$AC$1006:$AS$1006,0))&gt;=100000), " ",IF(INDEX($AC$2:$AS$1001,MATCH(ROWS($V$2:V896),$V$2:$V$1001,0),MATCH(COLUMNS($AC$1006:AS1006),$AC$1006:$AS$1006,0)), HYPERLINK("#",""), HYPERLINK(CONCATENATE("#Metadata!", ADDRESS(INDEX($X$2:$X$1001,MATCH(ROWS($V$2:V896),$V$2:$V$1001,0),0), INDEX($AC$1004:$AS$1004,1,MATCH(COLUMNS($AC$1006:AS1006),$AC$1006:$AS$1006,0)))),"Fix")))</f>
        <v>0</v>
      </c>
      <c r="V896">
        <v>0</v>
      </c>
      <c r="W896">
        <v>0</v>
      </c>
      <c r="X896">
        <v>0</v>
      </c>
      <c r="Y896">
        <f>IF(Z896,TRUE,AND(AC896:AS896))</f>
        <v>0</v>
      </c>
      <c r="Z896">
        <f>COUNTBLANK(Metadata!B896:R896)=COLUMNS(Metadata!B896:R896)</f>
        <v>0</v>
      </c>
      <c r="AA896">
        <v>0</v>
      </c>
      <c r="AC896">
        <f>AND(IF(Metadata!B896="",FALSE,TRUE),COUNTIF(Metadata!B:B, Metadata!B896) = 1,NOT(ISERROR(SUMPRODUCT(SEARCH(MID(Metadata!B896,ROW(INDIRECT("1:"&amp;LEN(Metadata!B896))), 1),"0123456789abcdefghijklmnopqrstuvwxyzABCDEFGHIJKLMNOPQRSTUVWXYZ.")))))</f>
        <v>0</v>
      </c>
      <c r="AD896">
        <f>AND(IF(Metadata!C896="",FALSE,TRUE),exact(Metadata!C896,"Host-associated"))</f>
        <v>0</v>
      </c>
      <c r="AE896">
        <f>AND(IF(Metadata!D896="",FALSE,TRUE),OR(exact(Metadata!D896,"Animal"),exact(Metadata!D896,"Fungus"),exact(Metadata!D896,"Plant")))</f>
        <v>0</v>
      </c>
      <c r="AF896">
        <f>AND(IF(Metadata!E896="",FALSE,TRUE),OR(exact(Metadata!E896,"Plant secretion"),exact(Metadata!E896,"Plant rhizosphere"),exact(Metadata!E896,"Plant surface"),exact(Metadata!E896,"Plant corpus"),exact(Metadata!E896,"Fungus surface"),exact(Metadata!E896,"Fungus corpus"),exact(Metadata!E896,"Animal surface"),exact(Metadata!E896,"Animal proximal gut"),exact(Metadata!E896,"Animal corpus"),exact(Metadata!E896,"Animal distal gut"),exact(Metadata!E896,"Animal secretion")))</f>
        <v>0</v>
      </c>
      <c r="AG896">
        <f>OR(AND(IF(Metadata!F896="",FALSE,TRUE),OR(exact(Metadata!F896,"not collected"),exact(Metadata!F896,"not provided"),exact(Metadata!F896,"restricted access"))),AND(IF(Metadata!F896="",FALSE,TRUE),OR(exact(Metadata!F896,"organism-associated habitat"),exact(Metadata!F896,"plant-associated habitat"),exact(Metadata!F896,"animal-associated habitat"),exact(Metadata!F896,"insecta-associated habitat"),exact(Metadata!F896,"mammalia-associated habitat"),exact(Metadata!F896,"human-associated habitat"),exact(Metadata!F896,"livestock-associated habitat"))))</f>
        <v>0</v>
      </c>
      <c r="AH896">
        <f>AND(IF(Metadata!G896="",FALSE,TRUE),exact(Metadata!G896,"host-associated"))</f>
        <v>0</v>
      </c>
      <c r="AI896">
        <f>OR(AND(IF(Metadata!H896="",FALSE,TRUE),OR(exact(Metadata!H896,"not collected"),exact(Metadata!H896,"not provided"))),AND(IF(Metadata!H896="",FALSE,ISNUMBER(VALUE(Metadata!H896))),Metadata!H896&gt;0))</f>
        <v>0</v>
      </c>
      <c r="AJ896">
        <f>AND(IF(Metadata!I896="",FALSE,TRUE),exact(Metadata!I896,"years"))</f>
        <v>0</v>
      </c>
      <c r="AK896">
        <f>IF(Metadata!J896="",FALSE,TRUE)</f>
        <v>0</v>
      </c>
      <c r="AL896">
        <f>OR(AND(IF(Metadata!K896="",FALSE,TRUE),OR(exact(Metadata!K896,"not collected"),exact(Metadata!K896,"not provided"))),AND(IF(Metadata!K896="",FALSE,ISNUMBER(VALUE(Metadata!K896))),Metadata!K896&gt;0))</f>
        <v>0</v>
      </c>
      <c r="AM896">
        <f>AND(IF(Metadata!L896="",FALSE,TRUE),exact(Metadata!L896,"cm"))</f>
        <v>0</v>
      </c>
      <c r="AN896">
        <f>IF(Metadata!M896="",FALSE,TRUE)</f>
        <v>0</v>
      </c>
      <c r="AO896">
        <f>OR(AND(IF(Metadata!N896="",FALSE,TRUE),OR(exact(Metadata!N896,"not applicable"),exact(Metadata!N896,"not collected"),exact(Metadata!N896,"not provided"))),AND(IF(Metadata!N896="",FALSE,IF(ISERROR(INT(Metadata!N896)),FALSE,INT(Metadata!N896)=Metadata!N896)),Metadata!N896&gt;0))</f>
        <v>0</v>
      </c>
      <c r="AP896">
        <f>OR(AND(IF(Metadata!O896="",FALSE,TRUE),OR(exact(Metadata!O896,"not collected"),exact(Metadata!O896,"not provided"))),AND(IF(Metadata!O896="",FALSE,ISNUMBER(VALUE(Metadata!O896))),Metadata!O896&gt;0))</f>
        <v>0</v>
      </c>
      <c r="AQ896">
        <f>AND(IF(Metadata!P896="",FALSE,TRUE),exact(Metadata!P896,"kg"))</f>
        <v>0</v>
      </c>
      <c r="AR896">
        <f>OR(AND(IF(Metadata!Q896="",FALSE,TRUE),OR(exact(Metadata!Q896,"not applicable"),exact(Metadata!Q896,"not collected"),exact(Metadata!Q896,"not provided"),exact(Metadata!Q896,"restricted access"))),IF(Metadata!Q896="",FALSE,IF(ISERROR(INT(Metadata!Q896)),FALSE,INT(Metadata!Q896)=Metadata!Q896)))</f>
        <v>0</v>
      </c>
      <c r="AS896">
        <f>AND(IF(Metadata!R896="",FALSE,TRUE),exact(Metadata!R896,"Not applicable"))</f>
        <v>0</v>
      </c>
    </row>
    <row r="897" spans="1:45">
      <c r="A897" s="4">
        <f>IF(B897=" "," ",HYPERLINK(CONCATENATE("#metadata!",ADDRESS(INDEX($X$2:$X$1001,MATCH(ROWS($V$2:V897),$V$2:$V$1001,0),0),2)),INDEX($AA$2:$AA$1001,MATCH(ROWS($V$2:V897),$V$2:$V$1001,0),0)))</f>
        <v>0</v>
      </c>
      <c r="B897" s="5">
        <f>IF(OR(INDEX($W$2:$W$1001,MATCH(ROWS($V$2:V897),$V$2:$V$1001,0),1)&gt;=100000,INDEX($AC$1005:$AS$1005,1,MATCH(COLUMNS($AC$1006:AC1006),$AC$1006:$AS$1006,0))&gt;=100000), " ",IF(INDEX($AC$2:$AS$1001,MATCH(ROWS($V$2:V897),$V$2:$V$1001,0),MATCH(COLUMNS($AC$1006:AC1006),$AC$1006:$AS$1006,0)), HYPERLINK("#",""), HYPERLINK(CONCATENATE("#Metadata!", ADDRESS(INDEX($X$2:$X$1001,MATCH(ROWS($V$2:V897),$V$2:$V$1001,0),0), INDEX($AC$1004:$AS$1004,1,MATCH(COLUMNS($AC$1006:AC1006),$AC$1006:$AS$1006,0)))),"Fix")))</f>
        <v>0</v>
      </c>
      <c r="C897" s="5">
        <f>IF(OR(INDEX($W$2:$W$1001,MATCH(ROWS($V$2:V897),$V$2:$V$1001,0),1)&gt;=100000,INDEX($AC$1005:$AS$1005,1,MATCH(COLUMNS($AC$1006:AD1006),$AC$1006:$AS$1006,0))&gt;=100000), " ",IF(INDEX($AC$2:$AS$1001,MATCH(ROWS($V$2:V897),$V$2:$V$1001,0),MATCH(COLUMNS($AC$1006:AD1006),$AC$1006:$AS$1006,0)), HYPERLINK("#",""), HYPERLINK(CONCATENATE("#Metadata!", ADDRESS(INDEX($X$2:$X$1001,MATCH(ROWS($V$2:V897),$V$2:$V$1001,0),0), INDEX($AC$1004:$AS$1004,1,MATCH(COLUMNS($AC$1006:AD1006),$AC$1006:$AS$1006,0)))),"Fix")))</f>
        <v>0</v>
      </c>
      <c r="D897" s="5">
        <f>IF(OR(INDEX($W$2:$W$1001,MATCH(ROWS($V$2:V897),$V$2:$V$1001,0),1)&gt;=100000,INDEX($AC$1005:$AS$1005,1,MATCH(COLUMNS($AC$1006:AE1006),$AC$1006:$AS$1006,0))&gt;=100000), " ",IF(INDEX($AC$2:$AS$1001,MATCH(ROWS($V$2:V897),$V$2:$V$1001,0),MATCH(COLUMNS($AC$1006:AE1006),$AC$1006:$AS$1006,0)), HYPERLINK("#",""), HYPERLINK(CONCATENATE("#Metadata!", ADDRESS(INDEX($X$2:$X$1001,MATCH(ROWS($V$2:V897),$V$2:$V$1001,0),0), INDEX($AC$1004:$AS$1004,1,MATCH(COLUMNS($AC$1006:AE1006),$AC$1006:$AS$1006,0)))),"Fix")))</f>
        <v>0</v>
      </c>
      <c r="E897" s="5">
        <f>IF(OR(INDEX($W$2:$W$1001,MATCH(ROWS($V$2:V897),$V$2:$V$1001,0),1)&gt;=100000,INDEX($AC$1005:$AS$1005,1,MATCH(COLUMNS($AC$1006:AF1006),$AC$1006:$AS$1006,0))&gt;=100000), " ",IF(INDEX($AC$2:$AS$1001,MATCH(ROWS($V$2:V897),$V$2:$V$1001,0),MATCH(COLUMNS($AC$1006:AF1006),$AC$1006:$AS$1006,0)), HYPERLINK("#",""), HYPERLINK(CONCATENATE("#Metadata!", ADDRESS(INDEX($X$2:$X$1001,MATCH(ROWS($V$2:V897),$V$2:$V$1001,0),0), INDEX($AC$1004:$AS$1004,1,MATCH(COLUMNS($AC$1006:AF1006),$AC$1006:$AS$1006,0)))),"Fix")))</f>
        <v>0</v>
      </c>
      <c r="F897" s="5">
        <f>IF(OR(INDEX($W$2:$W$1001,MATCH(ROWS($V$2:V897),$V$2:$V$1001,0),1)&gt;=100000,INDEX($AC$1005:$AS$1005,1,MATCH(COLUMNS($AC$1006:AG1006),$AC$1006:$AS$1006,0))&gt;=100000), " ",IF(INDEX($AC$2:$AS$1001,MATCH(ROWS($V$2:V897),$V$2:$V$1001,0),MATCH(COLUMNS($AC$1006:AG1006),$AC$1006:$AS$1006,0)), HYPERLINK("#",""), HYPERLINK(CONCATENATE("#Metadata!", ADDRESS(INDEX($X$2:$X$1001,MATCH(ROWS($V$2:V897),$V$2:$V$1001,0),0), INDEX($AC$1004:$AS$1004,1,MATCH(COLUMNS($AC$1006:AG1006),$AC$1006:$AS$1006,0)))),"Fix")))</f>
        <v>0</v>
      </c>
      <c r="G897" s="5">
        <f>IF(OR(INDEX($W$2:$W$1001,MATCH(ROWS($V$2:V897),$V$2:$V$1001,0),1)&gt;=100000,INDEX($AC$1005:$AS$1005,1,MATCH(COLUMNS($AC$1006:AH1006),$AC$1006:$AS$1006,0))&gt;=100000), " ",IF(INDEX($AC$2:$AS$1001,MATCH(ROWS($V$2:V897),$V$2:$V$1001,0),MATCH(COLUMNS($AC$1006:AH1006),$AC$1006:$AS$1006,0)), HYPERLINK("#",""), HYPERLINK(CONCATENATE("#Metadata!", ADDRESS(INDEX($X$2:$X$1001,MATCH(ROWS($V$2:V897),$V$2:$V$1001,0),0), INDEX($AC$1004:$AS$1004,1,MATCH(COLUMNS($AC$1006:AH1006),$AC$1006:$AS$1006,0)))),"Fix")))</f>
        <v>0</v>
      </c>
      <c r="H897" s="5">
        <f>IF(OR(INDEX($W$2:$W$1001,MATCH(ROWS($V$2:V897),$V$2:$V$1001,0),1)&gt;=100000,INDEX($AC$1005:$AS$1005,1,MATCH(COLUMNS($AC$1006:AI1006),$AC$1006:$AS$1006,0))&gt;=100000), " ",IF(INDEX($AC$2:$AS$1001,MATCH(ROWS($V$2:V897),$V$2:$V$1001,0),MATCH(COLUMNS($AC$1006:AI1006),$AC$1006:$AS$1006,0)), HYPERLINK("#",""), HYPERLINK(CONCATENATE("#Metadata!", ADDRESS(INDEX($X$2:$X$1001,MATCH(ROWS($V$2:V897),$V$2:$V$1001,0),0), INDEX($AC$1004:$AS$1004,1,MATCH(COLUMNS($AC$1006:AI1006),$AC$1006:$AS$1006,0)))),"Fix")))</f>
        <v>0</v>
      </c>
      <c r="I897" s="5">
        <f>IF(OR(INDEX($W$2:$W$1001,MATCH(ROWS($V$2:V897),$V$2:$V$1001,0),1)&gt;=100000,INDEX($AC$1005:$AS$1005,1,MATCH(COLUMNS($AC$1006:AJ1006),$AC$1006:$AS$1006,0))&gt;=100000), " ",IF(INDEX($AC$2:$AS$1001,MATCH(ROWS($V$2:V897),$V$2:$V$1001,0),MATCH(COLUMNS($AC$1006:AJ1006),$AC$1006:$AS$1006,0)), HYPERLINK("#",""), HYPERLINK(CONCATENATE("#Metadata!", ADDRESS(INDEX($X$2:$X$1001,MATCH(ROWS($V$2:V897),$V$2:$V$1001,0),0), INDEX($AC$1004:$AS$1004,1,MATCH(COLUMNS($AC$1006:AJ1006),$AC$1006:$AS$1006,0)))),"Fix")))</f>
        <v>0</v>
      </c>
      <c r="J897" s="5">
        <f>IF(OR(INDEX($W$2:$W$1001,MATCH(ROWS($V$2:V897),$V$2:$V$1001,0),1)&gt;=100000,INDEX($AC$1005:$AS$1005,1,MATCH(COLUMNS($AC$1006:AK1006),$AC$1006:$AS$1006,0))&gt;=100000), " ",IF(INDEX($AC$2:$AS$1001,MATCH(ROWS($V$2:V897),$V$2:$V$1001,0),MATCH(COLUMNS($AC$1006:AK1006),$AC$1006:$AS$1006,0)), HYPERLINK("#",""), HYPERLINK(CONCATENATE("#Metadata!", ADDRESS(INDEX($X$2:$X$1001,MATCH(ROWS($V$2:V897),$V$2:$V$1001,0),0), INDEX($AC$1004:$AS$1004,1,MATCH(COLUMNS($AC$1006:AK1006),$AC$1006:$AS$1006,0)))),"Fix")))</f>
        <v>0</v>
      </c>
      <c r="K897" s="5">
        <f>IF(OR(INDEX($W$2:$W$1001,MATCH(ROWS($V$2:V897),$V$2:$V$1001,0),1)&gt;=100000,INDEX($AC$1005:$AS$1005,1,MATCH(COLUMNS($AC$1006:AL1006),$AC$1006:$AS$1006,0))&gt;=100000), " ",IF(INDEX($AC$2:$AS$1001,MATCH(ROWS($V$2:V897),$V$2:$V$1001,0),MATCH(COLUMNS($AC$1006:AL1006),$AC$1006:$AS$1006,0)), HYPERLINK("#",""), HYPERLINK(CONCATENATE("#Metadata!", ADDRESS(INDEX($X$2:$X$1001,MATCH(ROWS($V$2:V897),$V$2:$V$1001,0),0), INDEX($AC$1004:$AS$1004,1,MATCH(COLUMNS($AC$1006:AL1006),$AC$1006:$AS$1006,0)))),"Fix")))</f>
        <v>0</v>
      </c>
      <c r="L897" s="5">
        <f>IF(OR(INDEX($W$2:$W$1001,MATCH(ROWS($V$2:V897),$V$2:$V$1001,0),1)&gt;=100000,INDEX($AC$1005:$AS$1005,1,MATCH(COLUMNS($AC$1006:AM1006),$AC$1006:$AS$1006,0))&gt;=100000), " ",IF(INDEX($AC$2:$AS$1001,MATCH(ROWS($V$2:V897),$V$2:$V$1001,0),MATCH(COLUMNS($AC$1006:AM1006),$AC$1006:$AS$1006,0)), HYPERLINK("#",""), HYPERLINK(CONCATENATE("#Metadata!", ADDRESS(INDEX($X$2:$X$1001,MATCH(ROWS($V$2:V897),$V$2:$V$1001,0),0), INDEX($AC$1004:$AS$1004,1,MATCH(COLUMNS($AC$1006:AM1006),$AC$1006:$AS$1006,0)))),"Fix")))</f>
        <v>0</v>
      </c>
      <c r="M897" s="5">
        <f>IF(OR(INDEX($W$2:$W$1001,MATCH(ROWS($V$2:V897),$V$2:$V$1001,0),1)&gt;=100000,INDEX($AC$1005:$AS$1005,1,MATCH(COLUMNS($AC$1006:AN1006),$AC$1006:$AS$1006,0))&gt;=100000), " ",IF(INDEX($AC$2:$AS$1001,MATCH(ROWS($V$2:V897),$V$2:$V$1001,0),MATCH(COLUMNS($AC$1006:AN1006),$AC$1006:$AS$1006,0)), HYPERLINK("#",""), HYPERLINK(CONCATENATE("#Metadata!", ADDRESS(INDEX($X$2:$X$1001,MATCH(ROWS($V$2:V897),$V$2:$V$1001,0),0), INDEX($AC$1004:$AS$1004,1,MATCH(COLUMNS($AC$1006:AN1006),$AC$1006:$AS$1006,0)))),"Fix")))</f>
        <v>0</v>
      </c>
      <c r="N897" s="5">
        <f>IF(OR(INDEX($W$2:$W$1001,MATCH(ROWS($V$2:V897),$V$2:$V$1001,0),1)&gt;=100000,INDEX($AC$1005:$AS$1005,1,MATCH(COLUMNS($AC$1006:AO1006),$AC$1006:$AS$1006,0))&gt;=100000), " ",IF(INDEX($AC$2:$AS$1001,MATCH(ROWS($V$2:V897),$V$2:$V$1001,0),MATCH(COLUMNS($AC$1006:AO1006),$AC$1006:$AS$1006,0)), HYPERLINK("#",""), HYPERLINK(CONCATENATE("#Metadata!", ADDRESS(INDEX($X$2:$X$1001,MATCH(ROWS($V$2:V897),$V$2:$V$1001,0),0), INDEX($AC$1004:$AS$1004,1,MATCH(COLUMNS($AC$1006:AO1006),$AC$1006:$AS$1006,0)))),"Fix")))</f>
        <v>0</v>
      </c>
      <c r="O897" s="5">
        <f>IF(OR(INDEX($W$2:$W$1001,MATCH(ROWS($V$2:V897),$V$2:$V$1001,0),1)&gt;=100000,INDEX($AC$1005:$AS$1005,1,MATCH(COLUMNS($AC$1006:AP1006),$AC$1006:$AS$1006,0))&gt;=100000), " ",IF(INDEX($AC$2:$AS$1001,MATCH(ROWS($V$2:V897),$V$2:$V$1001,0),MATCH(COLUMNS($AC$1006:AP1006),$AC$1006:$AS$1006,0)), HYPERLINK("#",""), HYPERLINK(CONCATENATE("#Metadata!", ADDRESS(INDEX($X$2:$X$1001,MATCH(ROWS($V$2:V897),$V$2:$V$1001,0),0), INDEX($AC$1004:$AS$1004,1,MATCH(COLUMNS($AC$1006:AP1006),$AC$1006:$AS$1006,0)))),"Fix")))</f>
        <v>0</v>
      </c>
      <c r="P897" s="5">
        <f>IF(OR(INDEX($W$2:$W$1001,MATCH(ROWS($V$2:V897),$V$2:$V$1001,0),1)&gt;=100000,INDEX($AC$1005:$AS$1005,1,MATCH(COLUMNS($AC$1006:AQ1006),$AC$1006:$AS$1006,0))&gt;=100000), " ",IF(INDEX($AC$2:$AS$1001,MATCH(ROWS($V$2:V897),$V$2:$V$1001,0),MATCH(COLUMNS($AC$1006:AQ1006),$AC$1006:$AS$1006,0)), HYPERLINK("#",""), HYPERLINK(CONCATENATE("#Metadata!", ADDRESS(INDEX($X$2:$X$1001,MATCH(ROWS($V$2:V897),$V$2:$V$1001,0),0), INDEX($AC$1004:$AS$1004,1,MATCH(COLUMNS($AC$1006:AQ1006),$AC$1006:$AS$1006,0)))),"Fix")))</f>
        <v>0</v>
      </c>
      <c r="Q897" s="5">
        <f>IF(OR(INDEX($W$2:$W$1001,MATCH(ROWS($V$2:V897),$V$2:$V$1001,0),1)&gt;=100000,INDEX($AC$1005:$AS$1005,1,MATCH(COLUMNS($AC$1006:AR1006),$AC$1006:$AS$1006,0))&gt;=100000), " ",IF(INDEX($AC$2:$AS$1001,MATCH(ROWS($V$2:V897),$V$2:$V$1001,0),MATCH(COLUMNS($AC$1006:AR1006),$AC$1006:$AS$1006,0)), HYPERLINK("#",""), HYPERLINK(CONCATENATE("#Metadata!", ADDRESS(INDEX($X$2:$X$1001,MATCH(ROWS($V$2:V897),$V$2:$V$1001,0),0), INDEX($AC$1004:$AS$1004,1,MATCH(COLUMNS($AC$1006:AR1006),$AC$1006:$AS$1006,0)))),"Fix")))</f>
        <v>0</v>
      </c>
      <c r="R897" s="5">
        <f>IF(OR(INDEX($W$2:$W$1001,MATCH(ROWS($V$2:V897),$V$2:$V$1001,0),1)&gt;=100000,INDEX($AC$1005:$AS$1005,1,MATCH(COLUMNS($AC$1006:AS1006),$AC$1006:$AS$1006,0))&gt;=100000), " ",IF(INDEX($AC$2:$AS$1001,MATCH(ROWS($V$2:V897),$V$2:$V$1001,0),MATCH(COLUMNS($AC$1006:AS1006),$AC$1006:$AS$1006,0)), HYPERLINK("#",""), HYPERLINK(CONCATENATE("#Metadata!", ADDRESS(INDEX($X$2:$X$1001,MATCH(ROWS($V$2:V897),$V$2:$V$1001,0),0), INDEX($AC$1004:$AS$1004,1,MATCH(COLUMNS($AC$1006:AS1006),$AC$1006:$AS$1006,0)))),"Fix")))</f>
        <v>0</v>
      </c>
      <c r="V897">
        <v>0</v>
      </c>
      <c r="W897">
        <v>0</v>
      </c>
      <c r="X897">
        <v>0</v>
      </c>
      <c r="Y897">
        <f>IF(Z897,TRUE,AND(AC897:AS897))</f>
        <v>0</v>
      </c>
      <c r="Z897">
        <f>COUNTBLANK(Metadata!B897:R897)=COLUMNS(Metadata!B897:R897)</f>
        <v>0</v>
      </c>
      <c r="AA897">
        <v>0</v>
      </c>
      <c r="AC897">
        <f>AND(IF(Metadata!B897="",FALSE,TRUE),COUNTIF(Metadata!B:B, Metadata!B897) = 1,NOT(ISERROR(SUMPRODUCT(SEARCH(MID(Metadata!B897,ROW(INDIRECT("1:"&amp;LEN(Metadata!B897))), 1),"0123456789abcdefghijklmnopqrstuvwxyzABCDEFGHIJKLMNOPQRSTUVWXYZ.")))))</f>
        <v>0</v>
      </c>
      <c r="AD897">
        <f>AND(IF(Metadata!C897="",FALSE,TRUE),exact(Metadata!C897,"Host-associated"))</f>
        <v>0</v>
      </c>
      <c r="AE897">
        <f>AND(IF(Metadata!D897="",FALSE,TRUE),OR(exact(Metadata!D897,"Animal"),exact(Metadata!D897,"Fungus"),exact(Metadata!D897,"Plant")))</f>
        <v>0</v>
      </c>
      <c r="AF897">
        <f>AND(IF(Metadata!E897="",FALSE,TRUE),OR(exact(Metadata!E897,"Plant secretion"),exact(Metadata!E897,"Plant rhizosphere"),exact(Metadata!E897,"Plant surface"),exact(Metadata!E897,"Plant corpus"),exact(Metadata!E897,"Fungus surface"),exact(Metadata!E897,"Fungus corpus"),exact(Metadata!E897,"Animal surface"),exact(Metadata!E897,"Animal proximal gut"),exact(Metadata!E897,"Animal corpus"),exact(Metadata!E897,"Animal distal gut"),exact(Metadata!E897,"Animal secretion")))</f>
        <v>0</v>
      </c>
      <c r="AG897">
        <f>OR(AND(IF(Metadata!F897="",FALSE,TRUE),OR(exact(Metadata!F897,"not collected"),exact(Metadata!F897,"not provided"),exact(Metadata!F897,"restricted access"))),AND(IF(Metadata!F897="",FALSE,TRUE),OR(exact(Metadata!F897,"organism-associated habitat"),exact(Metadata!F897,"plant-associated habitat"),exact(Metadata!F897,"animal-associated habitat"),exact(Metadata!F897,"insecta-associated habitat"),exact(Metadata!F897,"mammalia-associated habitat"),exact(Metadata!F897,"human-associated habitat"),exact(Metadata!F897,"livestock-associated habitat"))))</f>
        <v>0</v>
      </c>
      <c r="AH897">
        <f>AND(IF(Metadata!G897="",FALSE,TRUE),exact(Metadata!G897,"host-associated"))</f>
        <v>0</v>
      </c>
      <c r="AI897">
        <f>OR(AND(IF(Metadata!H897="",FALSE,TRUE),OR(exact(Metadata!H897,"not collected"),exact(Metadata!H897,"not provided"))),AND(IF(Metadata!H897="",FALSE,ISNUMBER(VALUE(Metadata!H897))),Metadata!H897&gt;0))</f>
        <v>0</v>
      </c>
      <c r="AJ897">
        <f>AND(IF(Metadata!I897="",FALSE,TRUE),exact(Metadata!I897,"years"))</f>
        <v>0</v>
      </c>
      <c r="AK897">
        <f>IF(Metadata!J897="",FALSE,TRUE)</f>
        <v>0</v>
      </c>
      <c r="AL897">
        <f>OR(AND(IF(Metadata!K897="",FALSE,TRUE),OR(exact(Metadata!K897,"not collected"),exact(Metadata!K897,"not provided"))),AND(IF(Metadata!K897="",FALSE,ISNUMBER(VALUE(Metadata!K897))),Metadata!K897&gt;0))</f>
        <v>0</v>
      </c>
      <c r="AM897">
        <f>AND(IF(Metadata!L897="",FALSE,TRUE),exact(Metadata!L897,"cm"))</f>
        <v>0</v>
      </c>
      <c r="AN897">
        <f>IF(Metadata!M897="",FALSE,TRUE)</f>
        <v>0</v>
      </c>
      <c r="AO897">
        <f>OR(AND(IF(Metadata!N897="",FALSE,TRUE),OR(exact(Metadata!N897,"not applicable"),exact(Metadata!N897,"not collected"),exact(Metadata!N897,"not provided"))),AND(IF(Metadata!N897="",FALSE,IF(ISERROR(INT(Metadata!N897)),FALSE,INT(Metadata!N897)=Metadata!N897)),Metadata!N897&gt;0))</f>
        <v>0</v>
      </c>
      <c r="AP897">
        <f>OR(AND(IF(Metadata!O897="",FALSE,TRUE),OR(exact(Metadata!O897,"not collected"),exact(Metadata!O897,"not provided"))),AND(IF(Metadata!O897="",FALSE,ISNUMBER(VALUE(Metadata!O897))),Metadata!O897&gt;0))</f>
        <v>0</v>
      </c>
      <c r="AQ897">
        <f>AND(IF(Metadata!P897="",FALSE,TRUE),exact(Metadata!P897,"kg"))</f>
        <v>0</v>
      </c>
      <c r="AR897">
        <f>OR(AND(IF(Metadata!Q897="",FALSE,TRUE),OR(exact(Metadata!Q897,"not applicable"),exact(Metadata!Q897,"not collected"),exact(Metadata!Q897,"not provided"),exact(Metadata!Q897,"restricted access"))),IF(Metadata!Q897="",FALSE,IF(ISERROR(INT(Metadata!Q897)),FALSE,INT(Metadata!Q897)=Metadata!Q897)))</f>
        <v>0</v>
      </c>
      <c r="AS897">
        <f>AND(IF(Metadata!R897="",FALSE,TRUE),exact(Metadata!R897,"Not applicable"))</f>
        <v>0</v>
      </c>
    </row>
    <row r="898" spans="1:45">
      <c r="A898" s="4">
        <f>IF(B898=" "," ",HYPERLINK(CONCATENATE("#metadata!",ADDRESS(INDEX($X$2:$X$1001,MATCH(ROWS($V$2:V898),$V$2:$V$1001,0),0),2)),INDEX($AA$2:$AA$1001,MATCH(ROWS($V$2:V898),$V$2:$V$1001,0),0)))</f>
        <v>0</v>
      </c>
      <c r="B898" s="5">
        <f>IF(OR(INDEX($W$2:$W$1001,MATCH(ROWS($V$2:V898),$V$2:$V$1001,0),1)&gt;=100000,INDEX($AC$1005:$AS$1005,1,MATCH(COLUMNS($AC$1006:AC1006),$AC$1006:$AS$1006,0))&gt;=100000), " ",IF(INDEX($AC$2:$AS$1001,MATCH(ROWS($V$2:V898),$V$2:$V$1001,0),MATCH(COLUMNS($AC$1006:AC1006),$AC$1006:$AS$1006,0)), HYPERLINK("#",""), HYPERLINK(CONCATENATE("#Metadata!", ADDRESS(INDEX($X$2:$X$1001,MATCH(ROWS($V$2:V898),$V$2:$V$1001,0),0), INDEX($AC$1004:$AS$1004,1,MATCH(COLUMNS($AC$1006:AC1006),$AC$1006:$AS$1006,0)))),"Fix")))</f>
        <v>0</v>
      </c>
      <c r="C898" s="5">
        <f>IF(OR(INDEX($W$2:$W$1001,MATCH(ROWS($V$2:V898),$V$2:$V$1001,0),1)&gt;=100000,INDEX($AC$1005:$AS$1005,1,MATCH(COLUMNS($AC$1006:AD1006),$AC$1006:$AS$1006,0))&gt;=100000), " ",IF(INDEX($AC$2:$AS$1001,MATCH(ROWS($V$2:V898),$V$2:$V$1001,0),MATCH(COLUMNS($AC$1006:AD1006),$AC$1006:$AS$1006,0)), HYPERLINK("#",""), HYPERLINK(CONCATENATE("#Metadata!", ADDRESS(INDEX($X$2:$X$1001,MATCH(ROWS($V$2:V898),$V$2:$V$1001,0),0), INDEX($AC$1004:$AS$1004,1,MATCH(COLUMNS($AC$1006:AD1006),$AC$1006:$AS$1006,0)))),"Fix")))</f>
        <v>0</v>
      </c>
      <c r="D898" s="5">
        <f>IF(OR(INDEX($W$2:$W$1001,MATCH(ROWS($V$2:V898),$V$2:$V$1001,0),1)&gt;=100000,INDEX($AC$1005:$AS$1005,1,MATCH(COLUMNS($AC$1006:AE1006),$AC$1006:$AS$1006,0))&gt;=100000), " ",IF(INDEX($AC$2:$AS$1001,MATCH(ROWS($V$2:V898),$V$2:$V$1001,0),MATCH(COLUMNS($AC$1006:AE1006),$AC$1006:$AS$1006,0)), HYPERLINK("#",""), HYPERLINK(CONCATENATE("#Metadata!", ADDRESS(INDEX($X$2:$X$1001,MATCH(ROWS($V$2:V898),$V$2:$V$1001,0),0), INDEX($AC$1004:$AS$1004,1,MATCH(COLUMNS($AC$1006:AE1006),$AC$1006:$AS$1006,0)))),"Fix")))</f>
        <v>0</v>
      </c>
      <c r="E898" s="5">
        <f>IF(OR(INDEX($W$2:$W$1001,MATCH(ROWS($V$2:V898),$V$2:$V$1001,0),1)&gt;=100000,INDEX($AC$1005:$AS$1005,1,MATCH(COLUMNS($AC$1006:AF1006),$AC$1006:$AS$1006,0))&gt;=100000), " ",IF(INDEX($AC$2:$AS$1001,MATCH(ROWS($V$2:V898),$V$2:$V$1001,0),MATCH(COLUMNS($AC$1006:AF1006),$AC$1006:$AS$1006,0)), HYPERLINK("#",""), HYPERLINK(CONCATENATE("#Metadata!", ADDRESS(INDEX($X$2:$X$1001,MATCH(ROWS($V$2:V898),$V$2:$V$1001,0),0), INDEX($AC$1004:$AS$1004,1,MATCH(COLUMNS($AC$1006:AF1006),$AC$1006:$AS$1006,0)))),"Fix")))</f>
        <v>0</v>
      </c>
      <c r="F898" s="5">
        <f>IF(OR(INDEX($W$2:$W$1001,MATCH(ROWS($V$2:V898),$V$2:$V$1001,0),1)&gt;=100000,INDEX($AC$1005:$AS$1005,1,MATCH(COLUMNS($AC$1006:AG1006),$AC$1006:$AS$1006,0))&gt;=100000), " ",IF(INDEX($AC$2:$AS$1001,MATCH(ROWS($V$2:V898),$V$2:$V$1001,0),MATCH(COLUMNS($AC$1006:AG1006),$AC$1006:$AS$1006,0)), HYPERLINK("#",""), HYPERLINK(CONCATENATE("#Metadata!", ADDRESS(INDEX($X$2:$X$1001,MATCH(ROWS($V$2:V898),$V$2:$V$1001,0),0), INDEX($AC$1004:$AS$1004,1,MATCH(COLUMNS($AC$1006:AG1006),$AC$1006:$AS$1006,0)))),"Fix")))</f>
        <v>0</v>
      </c>
      <c r="G898" s="5">
        <f>IF(OR(INDEX($W$2:$W$1001,MATCH(ROWS($V$2:V898),$V$2:$V$1001,0),1)&gt;=100000,INDEX($AC$1005:$AS$1005,1,MATCH(COLUMNS($AC$1006:AH1006),$AC$1006:$AS$1006,0))&gt;=100000), " ",IF(INDEX($AC$2:$AS$1001,MATCH(ROWS($V$2:V898),$V$2:$V$1001,0),MATCH(COLUMNS($AC$1006:AH1006),$AC$1006:$AS$1006,0)), HYPERLINK("#",""), HYPERLINK(CONCATENATE("#Metadata!", ADDRESS(INDEX($X$2:$X$1001,MATCH(ROWS($V$2:V898),$V$2:$V$1001,0),0), INDEX($AC$1004:$AS$1004,1,MATCH(COLUMNS($AC$1006:AH1006),$AC$1006:$AS$1006,0)))),"Fix")))</f>
        <v>0</v>
      </c>
      <c r="H898" s="5">
        <f>IF(OR(INDEX($W$2:$W$1001,MATCH(ROWS($V$2:V898),$V$2:$V$1001,0),1)&gt;=100000,INDEX($AC$1005:$AS$1005,1,MATCH(COLUMNS($AC$1006:AI1006),$AC$1006:$AS$1006,0))&gt;=100000), " ",IF(INDEX($AC$2:$AS$1001,MATCH(ROWS($V$2:V898),$V$2:$V$1001,0),MATCH(COLUMNS($AC$1006:AI1006),$AC$1006:$AS$1006,0)), HYPERLINK("#",""), HYPERLINK(CONCATENATE("#Metadata!", ADDRESS(INDEX($X$2:$X$1001,MATCH(ROWS($V$2:V898),$V$2:$V$1001,0),0), INDEX($AC$1004:$AS$1004,1,MATCH(COLUMNS($AC$1006:AI1006),$AC$1006:$AS$1006,0)))),"Fix")))</f>
        <v>0</v>
      </c>
      <c r="I898" s="5">
        <f>IF(OR(INDEX($W$2:$W$1001,MATCH(ROWS($V$2:V898),$V$2:$V$1001,0),1)&gt;=100000,INDEX($AC$1005:$AS$1005,1,MATCH(COLUMNS($AC$1006:AJ1006),$AC$1006:$AS$1006,0))&gt;=100000), " ",IF(INDEX($AC$2:$AS$1001,MATCH(ROWS($V$2:V898),$V$2:$V$1001,0),MATCH(COLUMNS($AC$1006:AJ1006),$AC$1006:$AS$1006,0)), HYPERLINK("#",""), HYPERLINK(CONCATENATE("#Metadata!", ADDRESS(INDEX($X$2:$X$1001,MATCH(ROWS($V$2:V898),$V$2:$V$1001,0),0), INDEX($AC$1004:$AS$1004,1,MATCH(COLUMNS($AC$1006:AJ1006),$AC$1006:$AS$1006,0)))),"Fix")))</f>
        <v>0</v>
      </c>
      <c r="J898" s="5">
        <f>IF(OR(INDEX($W$2:$W$1001,MATCH(ROWS($V$2:V898),$V$2:$V$1001,0),1)&gt;=100000,INDEX($AC$1005:$AS$1005,1,MATCH(COLUMNS($AC$1006:AK1006),$AC$1006:$AS$1006,0))&gt;=100000), " ",IF(INDEX($AC$2:$AS$1001,MATCH(ROWS($V$2:V898),$V$2:$V$1001,0),MATCH(COLUMNS($AC$1006:AK1006),$AC$1006:$AS$1006,0)), HYPERLINK("#",""), HYPERLINK(CONCATENATE("#Metadata!", ADDRESS(INDEX($X$2:$X$1001,MATCH(ROWS($V$2:V898),$V$2:$V$1001,0),0), INDEX($AC$1004:$AS$1004,1,MATCH(COLUMNS($AC$1006:AK1006),$AC$1006:$AS$1006,0)))),"Fix")))</f>
        <v>0</v>
      </c>
      <c r="K898" s="5">
        <f>IF(OR(INDEX($W$2:$W$1001,MATCH(ROWS($V$2:V898),$V$2:$V$1001,0),1)&gt;=100000,INDEX($AC$1005:$AS$1005,1,MATCH(COLUMNS($AC$1006:AL1006),$AC$1006:$AS$1006,0))&gt;=100000), " ",IF(INDEX($AC$2:$AS$1001,MATCH(ROWS($V$2:V898),$V$2:$V$1001,0),MATCH(COLUMNS($AC$1006:AL1006),$AC$1006:$AS$1006,0)), HYPERLINK("#",""), HYPERLINK(CONCATENATE("#Metadata!", ADDRESS(INDEX($X$2:$X$1001,MATCH(ROWS($V$2:V898),$V$2:$V$1001,0),0), INDEX($AC$1004:$AS$1004,1,MATCH(COLUMNS($AC$1006:AL1006),$AC$1006:$AS$1006,0)))),"Fix")))</f>
        <v>0</v>
      </c>
      <c r="L898" s="5">
        <f>IF(OR(INDEX($W$2:$W$1001,MATCH(ROWS($V$2:V898),$V$2:$V$1001,0),1)&gt;=100000,INDEX($AC$1005:$AS$1005,1,MATCH(COLUMNS($AC$1006:AM1006),$AC$1006:$AS$1006,0))&gt;=100000), " ",IF(INDEX($AC$2:$AS$1001,MATCH(ROWS($V$2:V898),$V$2:$V$1001,0),MATCH(COLUMNS($AC$1006:AM1006),$AC$1006:$AS$1006,0)), HYPERLINK("#",""), HYPERLINK(CONCATENATE("#Metadata!", ADDRESS(INDEX($X$2:$X$1001,MATCH(ROWS($V$2:V898),$V$2:$V$1001,0),0), INDEX($AC$1004:$AS$1004,1,MATCH(COLUMNS($AC$1006:AM1006),$AC$1006:$AS$1006,0)))),"Fix")))</f>
        <v>0</v>
      </c>
      <c r="M898" s="5">
        <f>IF(OR(INDEX($W$2:$W$1001,MATCH(ROWS($V$2:V898),$V$2:$V$1001,0),1)&gt;=100000,INDEX($AC$1005:$AS$1005,1,MATCH(COLUMNS($AC$1006:AN1006),$AC$1006:$AS$1006,0))&gt;=100000), " ",IF(INDEX($AC$2:$AS$1001,MATCH(ROWS($V$2:V898),$V$2:$V$1001,0),MATCH(COLUMNS($AC$1006:AN1006),$AC$1006:$AS$1006,0)), HYPERLINK("#",""), HYPERLINK(CONCATENATE("#Metadata!", ADDRESS(INDEX($X$2:$X$1001,MATCH(ROWS($V$2:V898),$V$2:$V$1001,0),0), INDEX($AC$1004:$AS$1004,1,MATCH(COLUMNS($AC$1006:AN1006),$AC$1006:$AS$1006,0)))),"Fix")))</f>
        <v>0</v>
      </c>
      <c r="N898" s="5">
        <f>IF(OR(INDEX($W$2:$W$1001,MATCH(ROWS($V$2:V898),$V$2:$V$1001,0),1)&gt;=100000,INDEX($AC$1005:$AS$1005,1,MATCH(COLUMNS($AC$1006:AO1006),$AC$1006:$AS$1006,0))&gt;=100000), " ",IF(INDEX($AC$2:$AS$1001,MATCH(ROWS($V$2:V898),$V$2:$V$1001,0),MATCH(COLUMNS($AC$1006:AO1006),$AC$1006:$AS$1006,0)), HYPERLINK("#",""), HYPERLINK(CONCATENATE("#Metadata!", ADDRESS(INDEX($X$2:$X$1001,MATCH(ROWS($V$2:V898),$V$2:$V$1001,0),0), INDEX($AC$1004:$AS$1004,1,MATCH(COLUMNS($AC$1006:AO1006),$AC$1006:$AS$1006,0)))),"Fix")))</f>
        <v>0</v>
      </c>
      <c r="O898" s="5">
        <f>IF(OR(INDEX($W$2:$W$1001,MATCH(ROWS($V$2:V898),$V$2:$V$1001,0),1)&gt;=100000,INDEX($AC$1005:$AS$1005,1,MATCH(COLUMNS($AC$1006:AP1006),$AC$1006:$AS$1006,0))&gt;=100000), " ",IF(INDEX($AC$2:$AS$1001,MATCH(ROWS($V$2:V898),$V$2:$V$1001,0),MATCH(COLUMNS($AC$1006:AP1006),$AC$1006:$AS$1006,0)), HYPERLINK("#",""), HYPERLINK(CONCATENATE("#Metadata!", ADDRESS(INDEX($X$2:$X$1001,MATCH(ROWS($V$2:V898),$V$2:$V$1001,0),0), INDEX($AC$1004:$AS$1004,1,MATCH(COLUMNS($AC$1006:AP1006),$AC$1006:$AS$1006,0)))),"Fix")))</f>
        <v>0</v>
      </c>
      <c r="P898" s="5">
        <f>IF(OR(INDEX($W$2:$W$1001,MATCH(ROWS($V$2:V898),$V$2:$V$1001,0),1)&gt;=100000,INDEX($AC$1005:$AS$1005,1,MATCH(COLUMNS($AC$1006:AQ1006),$AC$1006:$AS$1006,0))&gt;=100000), " ",IF(INDEX($AC$2:$AS$1001,MATCH(ROWS($V$2:V898),$V$2:$V$1001,0),MATCH(COLUMNS($AC$1006:AQ1006),$AC$1006:$AS$1006,0)), HYPERLINK("#",""), HYPERLINK(CONCATENATE("#Metadata!", ADDRESS(INDEX($X$2:$X$1001,MATCH(ROWS($V$2:V898),$V$2:$V$1001,0),0), INDEX($AC$1004:$AS$1004,1,MATCH(COLUMNS($AC$1006:AQ1006),$AC$1006:$AS$1006,0)))),"Fix")))</f>
        <v>0</v>
      </c>
      <c r="Q898" s="5">
        <f>IF(OR(INDEX($W$2:$W$1001,MATCH(ROWS($V$2:V898),$V$2:$V$1001,0),1)&gt;=100000,INDEX($AC$1005:$AS$1005,1,MATCH(COLUMNS($AC$1006:AR1006),$AC$1006:$AS$1006,0))&gt;=100000), " ",IF(INDEX($AC$2:$AS$1001,MATCH(ROWS($V$2:V898),$V$2:$V$1001,0),MATCH(COLUMNS($AC$1006:AR1006),$AC$1006:$AS$1006,0)), HYPERLINK("#",""), HYPERLINK(CONCATENATE("#Metadata!", ADDRESS(INDEX($X$2:$X$1001,MATCH(ROWS($V$2:V898),$V$2:$V$1001,0),0), INDEX($AC$1004:$AS$1004,1,MATCH(COLUMNS($AC$1006:AR1006),$AC$1006:$AS$1006,0)))),"Fix")))</f>
        <v>0</v>
      </c>
      <c r="R898" s="5">
        <f>IF(OR(INDEX($W$2:$W$1001,MATCH(ROWS($V$2:V898),$V$2:$V$1001,0),1)&gt;=100000,INDEX($AC$1005:$AS$1005,1,MATCH(COLUMNS($AC$1006:AS1006),$AC$1006:$AS$1006,0))&gt;=100000), " ",IF(INDEX($AC$2:$AS$1001,MATCH(ROWS($V$2:V898),$V$2:$V$1001,0),MATCH(COLUMNS($AC$1006:AS1006),$AC$1006:$AS$1006,0)), HYPERLINK("#",""), HYPERLINK(CONCATENATE("#Metadata!", ADDRESS(INDEX($X$2:$X$1001,MATCH(ROWS($V$2:V898),$V$2:$V$1001,0),0), INDEX($AC$1004:$AS$1004,1,MATCH(COLUMNS($AC$1006:AS1006),$AC$1006:$AS$1006,0)))),"Fix")))</f>
        <v>0</v>
      </c>
      <c r="V898">
        <v>0</v>
      </c>
      <c r="W898">
        <v>0</v>
      </c>
      <c r="X898">
        <v>0</v>
      </c>
      <c r="Y898">
        <f>IF(Z898,TRUE,AND(AC898:AS898))</f>
        <v>0</v>
      </c>
      <c r="Z898">
        <f>COUNTBLANK(Metadata!B898:R898)=COLUMNS(Metadata!B898:R898)</f>
        <v>0</v>
      </c>
      <c r="AA898">
        <v>0</v>
      </c>
      <c r="AC898">
        <f>AND(IF(Metadata!B898="",FALSE,TRUE),COUNTIF(Metadata!B:B, Metadata!B898) = 1,NOT(ISERROR(SUMPRODUCT(SEARCH(MID(Metadata!B898,ROW(INDIRECT("1:"&amp;LEN(Metadata!B898))), 1),"0123456789abcdefghijklmnopqrstuvwxyzABCDEFGHIJKLMNOPQRSTUVWXYZ.")))))</f>
        <v>0</v>
      </c>
      <c r="AD898">
        <f>AND(IF(Metadata!C898="",FALSE,TRUE),exact(Metadata!C898,"Host-associated"))</f>
        <v>0</v>
      </c>
      <c r="AE898">
        <f>AND(IF(Metadata!D898="",FALSE,TRUE),OR(exact(Metadata!D898,"Animal"),exact(Metadata!D898,"Fungus"),exact(Metadata!D898,"Plant")))</f>
        <v>0</v>
      </c>
      <c r="AF898">
        <f>AND(IF(Metadata!E898="",FALSE,TRUE),OR(exact(Metadata!E898,"Plant secretion"),exact(Metadata!E898,"Plant rhizosphere"),exact(Metadata!E898,"Plant surface"),exact(Metadata!E898,"Plant corpus"),exact(Metadata!E898,"Fungus surface"),exact(Metadata!E898,"Fungus corpus"),exact(Metadata!E898,"Animal surface"),exact(Metadata!E898,"Animal proximal gut"),exact(Metadata!E898,"Animal corpus"),exact(Metadata!E898,"Animal distal gut"),exact(Metadata!E898,"Animal secretion")))</f>
        <v>0</v>
      </c>
      <c r="AG898">
        <f>OR(AND(IF(Metadata!F898="",FALSE,TRUE),OR(exact(Metadata!F898,"not collected"),exact(Metadata!F898,"not provided"),exact(Metadata!F898,"restricted access"))),AND(IF(Metadata!F898="",FALSE,TRUE),OR(exact(Metadata!F898,"organism-associated habitat"),exact(Metadata!F898,"plant-associated habitat"),exact(Metadata!F898,"animal-associated habitat"),exact(Metadata!F898,"insecta-associated habitat"),exact(Metadata!F898,"mammalia-associated habitat"),exact(Metadata!F898,"human-associated habitat"),exact(Metadata!F898,"livestock-associated habitat"))))</f>
        <v>0</v>
      </c>
      <c r="AH898">
        <f>AND(IF(Metadata!G898="",FALSE,TRUE),exact(Metadata!G898,"host-associated"))</f>
        <v>0</v>
      </c>
      <c r="AI898">
        <f>OR(AND(IF(Metadata!H898="",FALSE,TRUE),OR(exact(Metadata!H898,"not collected"),exact(Metadata!H898,"not provided"))),AND(IF(Metadata!H898="",FALSE,ISNUMBER(VALUE(Metadata!H898))),Metadata!H898&gt;0))</f>
        <v>0</v>
      </c>
      <c r="AJ898">
        <f>AND(IF(Metadata!I898="",FALSE,TRUE),exact(Metadata!I898,"years"))</f>
        <v>0</v>
      </c>
      <c r="AK898">
        <f>IF(Metadata!J898="",FALSE,TRUE)</f>
        <v>0</v>
      </c>
      <c r="AL898">
        <f>OR(AND(IF(Metadata!K898="",FALSE,TRUE),OR(exact(Metadata!K898,"not collected"),exact(Metadata!K898,"not provided"))),AND(IF(Metadata!K898="",FALSE,ISNUMBER(VALUE(Metadata!K898))),Metadata!K898&gt;0))</f>
        <v>0</v>
      </c>
      <c r="AM898">
        <f>AND(IF(Metadata!L898="",FALSE,TRUE),exact(Metadata!L898,"cm"))</f>
        <v>0</v>
      </c>
      <c r="AN898">
        <f>IF(Metadata!M898="",FALSE,TRUE)</f>
        <v>0</v>
      </c>
      <c r="AO898">
        <f>OR(AND(IF(Metadata!N898="",FALSE,TRUE),OR(exact(Metadata!N898,"not applicable"),exact(Metadata!N898,"not collected"),exact(Metadata!N898,"not provided"))),AND(IF(Metadata!N898="",FALSE,IF(ISERROR(INT(Metadata!N898)),FALSE,INT(Metadata!N898)=Metadata!N898)),Metadata!N898&gt;0))</f>
        <v>0</v>
      </c>
      <c r="AP898">
        <f>OR(AND(IF(Metadata!O898="",FALSE,TRUE),OR(exact(Metadata!O898,"not collected"),exact(Metadata!O898,"not provided"))),AND(IF(Metadata!O898="",FALSE,ISNUMBER(VALUE(Metadata!O898))),Metadata!O898&gt;0))</f>
        <v>0</v>
      </c>
      <c r="AQ898">
        <f>AND(IF(Metadata!P898="",FALSE,TRUE),exact(Metadata!P898,"kg"))</f>
        <v>0</v>
      </c>
      <c r="AR898">
        <f>OR(AND(IF(Metadata!Q898="",FALSE,TRUE),OR(exact(Metadata!Q898,"not applicable"),exact(Metadata!Q898,"not collected"),exact(Metadata!Q898,"not provided"),exact(Metadata!Q898,"restricted access"))),IF(Metadata!Q898="",FALSE,IF(ISERROR(INT(Metadata!Q898)),FALSE,INT(Metadata!Q898)=Metadata!Q898)))</f>
        <v>0</v>
      </c>
      <c r="AS898">
        <f>AND(IF(Metadata!R898="",FALSE,TRUE),exact(Metadata!R898,"Not applicable"))</f>
        <v>0</v>
      </c>
    </row>
    <row r="899" spans="1:45">
      <c r="A899" s="4">
        <f>IF(B899=" "," ",HYPERLINK(CONCATENATE("#metadata!",ADDRESS(INDEX($X$2:$X$1001,MATCH(ROWS($V$2:V899),$V$2:$V$1001,0),0),2)),INDEX($AA$2:$AA$1001,MATCH(ROWS($V$2:V899),$V$2:$V$1001,0),0)))</f>
        <v>0</v>
      </c>
      <c r="B899" s="5">
        <f>IF(OR(INDEX($W$2:$W$1001,MATCH(ROWS($V$2:V899),$V$2:$V$1001,0),1)&gt;=100000,INDEX($AC$1005:$AS$1005,1,MATCH(COLUMNS($AC$1006:AC1006),$AC$1006:$AS$1006,0))&gt;=100000), " ",IF(INDEX($AC$2:$AS$1001,MATCH(ROWS($V$2:V899),$V$2:$V$1001,0),MATCH(COLUMNS($AC$1006:AC1006),$AC$1006:$AS$1006,0)), HYPERLINK("#",""), HYPERLINK(CONCATENATE("#Metadata!", ADDRESS(INDEX($X$2:$X$1001,MATCH(ROWS($V$2:V899),$V$2:$V$1001,0),0), INDEX($AC$1004:$AS$1004,1,MATCH(COLUMNS($AC$1006:AC1006),$AC$1006:$AS$1006,0)))),"Fix")))</f>
        <v>0</v>
      </c>
      <c r="C899" s="5">
        <f>IF(OR(INDEX($W$2:$W$1001,MATCH(ROWS($V$2:V899),$V$2:$V$1001,0),1)&gt;=100000,INDEX($AC$1005:$AS$1005,1,MATCH(COLUMNS($AC$1006:AD1006),$AC$1006:$AS$1006,0))&gt;=100000), " ",IF(INDEX($AC$2:$AS$1001,MATCH(ROWS($V$2:V899),$V$2:$V$1001,0),MATCH(COLUMNS($AC$1006:AD1006),$AC$1006:$AS$1006,0)), HYPERLINK("#",""), HYPERLINK(CONCATENATE("#Metadata!", ADDRESS(INDEX($X$2:$X$1001,MATCH(ROWS($V$2:V899),$V$2:$V$1001,0),0), INDEX($AC$1004:$AS$1004,1,MATCH(COLUMNS($AC$1006:AD1006),$AC$1006:$AS$1006,0)))),"Fix")))</f>
        <v>0</v>
      </c>
      <c r="D899" s="5">
        <f>IF(OR(INDEX($W$2:$W$1001,MATCH(ROWS($V$2:V899),$V$2:$V$1001,0),1)&gt;=100000,INDEX($AC$1005:$AS$1005,1,MATCH(COLUMNS($AC$1006:AE1006),$AC$1006:$AS$1006,0))&gt;=100000), " ",IF(INDEX($AC$2:$AS$1001,MATCH(ROWS($V$2:V899),$V$2:$V$1001,0),MATCH(COLUMNS($AC$1006:AE1006),$AC$1006:$AS$1006,0)), HYPERLINK("#",""), HYPERLINK(CONCATENATE("#Metadata!", ADDRESS(INDEX($X$2:$X$1001,MATCH(ROWS($V$2:V899),$V$2:$V$1001,0),0), INDEX($AC$1004:$AS$1004,1,MATCH(COLUMNS($AC$1006:AE1006),$AC$1006:$AS$1006,0)))),"Fix")))</f>
        <v>0</v>
      </c>
      <c r="E899" s="5">
        <f>IF(OR(INDEX($W$2:$W$1001,MATCH(ROWS($V$2:V899),$V$2:$V$1001,0),1)&gt;=100000,INDEX($AC$1005:$AS$1005,1,MATCH(COLUMNS($AC$1006:AF1006),$AC$1006:$AS$1006,0))&gt;=100000), " ",IF(INDEX($AC$2:$AS$1001,MATCH(ROWS($V$2:V899),$V$2:$V$1001,0),MATCH(COLUMNS($AC$1006:AF1006),$AC$1006:$AS$1006,0)), HYPERLINK("#",""), HYPERLINK(CONCATENATE("#Metadata!", ADDRESS(INDEX($X$2:$X$1001,MATCH(ROWS($V$2:V899),$V$2:$V$1001,0),0), INDEX($AC$1004:$AS$1004,1,MATCH(COLUMNS($AC$1006:AF1006),$AC$1006:$AS$1006,0)))),"Fix")))</f>
        <v>0</v>
      </c>
      <c r="F899" s="5">
        <f>IF(OR(INDEX($W$2:$W$1001,MATCH(ROWS($V$2:V899),$V$2:$V$1001,0),1)&gt;=100000,INDEX($AC$1005:$AS$1005,1,MATCH(COLUMNS($AC$1006:AG1006),$AC$1006:$AS$1006,0))&gt;=100000), " ",IF(INDEX($AC$2:$AS$1001,MATCH(ROWS($V$2:V899),$V$2:$V$1001,0),MATCH(COLUMNS($AC$1006:AG1006),$AC$1006:$AS$1006,0)), HYPERLINK("#",""), HYPERLINK(CONCATENATE("#Metadata!", ADDRESS(INDEX($X$2:$X$1001,MATCH(ROWS($V$2:V899),$V$2:$V$1001,0),0), INDEX($AC$1004:$AS$1004,1,MATCH(COLUMNS($AC$1006:AG1006),$AC$1006:$AS$1006,0)))),"Fix")))</f>
        <v>0</v>
      </c>
      <c r="G899" s="5">
        <f>IF(OR(INDEX($W$2:$W$1001,MATCH(ROWS($V$2:V899),$V$2:$V$1001,0),1)&gt;=100000,INDEX($AC$1005:$AS$1005,1,MATCH(COLUMNS($AC$1006:AH1006),$AC$1006:$AS$1006,0))&gt;=100000), " ",IF(INDEX($AC$2:$AS$1001,MATCH(ROWS($V$2:V899),$V$2:$V$1001,0),MATCH(COLUMNS($AC$1006:AH1006),$AC$1006:$AS$1006,0)), HYPERLINK("#",""), HYPERLINK(CONCATENATE("#Metadata!", ADDRESS(INDEX($X$2:$X$1001,MATCH(ROWS($V$2:V899),$V$2:$V$1001,0),0), INDEX($AC$1004:$AS$1004,1,MATCH(COLUMNS($AC$1006:AH1006),$AC$1006:$AS$1006,0)))),"Fix")))</f>
        <v>0</v>
      </c>
      <c r="H899" s="5">
        <f>IF(OR(INDEX($W$2:$W$1001,MATCH(ROWS($V$2:V899),$V$2:$V$1001,0),1)&gt;=100000,INDEX($AC$1005:$AS$1005,1,MATCH(COLUMNS($AC$1006:AI1006),$AC$1006:$AS$1006,0))&gt;=100000), " ",IF(INDEX($AC$2:$AS$1001,MATCH(ROWS($V$2:V899),$V$2:$V$1001,0),MATCH(COLUMNS($AC$1006:AI1006),$AC$1006:$AS$1006,0)), HYPERLINK("#",""), HYPERLINK(CONCATENATE("#Metadata!", ADDRESS(INDEX($X$2:$X$1001,MATCH(ROWS($V$2:V899),$V$2:$V$1001,0),0), INDEX($AC$1004:$AS$1004,1,MATCH(COLUMNS($AC$1006:AI1006),$AC$1006:$AS$1006,0)))),"Fix")))</f>
        <v>0</v>
      </c>
      <c r="I899" s="5">
        <f>IF(OR(INDEX($W$2:$W$1001,MATCH(ROWS($V$2:V899),$V$2:$V$1001,0),1)&gt;=100000,INDEX($AC$1005:$AS$1005,1,MATCH(COLUMNS($AC$1006:AJ1006),$AC$1006:$AS$1006,0))&gt;=100000), " ",IF(INDEX($AC$2:$AS$1001,MATCH(ROWS($V$2:V899),$V$2:$V$1001,0),MATCH(COLUMNS($AC$1006:AJ1006),$AC$1006:$AS$1006,0)), HYPERLINK("#",""), HYPERLINK(CONCATENATE("#Metadata!", ADDRESS(INDEX($X$2:$X$1001,MATCH(ROWS($V$2:V899),$V$2:$V$1001,0),0), INDEX($AC$1004:$AS$1004,1,MATCH(COLUMNS($AC$1006:AJ1006),$AC$1006:$AS$1006,0)))),"Fix")))</f>
        <v>0</v>
      </c>
      <c r="J899" s="5">
        <f>IF(OR(INDEX($W$2:$W$1001,MATCH(ROWS($V$2:V899),$V$2:$V$1001,0),1)&gt;=100000,INDEX($AC$1005:$AS$1005,1,MATCH(COLUMNS($AC$1006:AK1006),$AC$1006:$AS$1006,0))&gt;=100000), " ",IF(INDEX($AC$2:$AS$1001,MATCH(ROWS($V$2:V899),$V$2:$V$1001,0),MATCH(COLUMNS($AC$1006:AK1006),$AC$1006:$AS$1006,0)), HYPERLINK("#",""), HYPERLINK(CONCATENATE("#Metadata!", ADDRESS(INDEX($X$2:$X$1001,MATCH(ROWS($V$2:V899),$V$2:$V$1001,0),0), INDEX($AC$1004:$AS$1004,1,MATCH(COLUMNS($AC$1006:AK1006),$AC$1006:$AS$1006,0)))),"Fix")))</f>
        <v>0</v>
      </c>
      <c r="K899" s="5">
        <f>IF(OR(INDEX($W$2:$W$1001,MATCH(ROWS($V$2:V899),$V$2:$V$1001,0),1)&gt;=100000,INDEX($AC$1005:$AS$1005,1,MATCH(COLUMNS($AC$1006:AL1006),$AC$1006:$AS$1006,0))&gt;=100000), " ",IF(INDEX($AC$2:$AS$1001,MATCH(ROWS($V$2:V899),$V$2:$V$1001,0),MATCH(COLUMNS($AC$1006:AL1006),$AC$1006:$AS$1006,0)), HYPERLINK("#",""), HYPERLINK(CONCATENATE("#Metadata!", ADDRESS(INDEX($X$2:$X$1001,MATCH(ROWS($V$2:V899),$V$2:$V$1001,0),0), INDEX($AC$1004:$AS$1004,1,MATCH(COLUMNS($AC$1006:AL1006),$AC$1006:$AS$1006,0)))),"Fix")))</f>
        <v>0</v>
      </c>
      <c r="L899" s="5">
        <f>IF(OR(INDEX($W$2:$W$1001,MATCH(ROWS($V$2:V899),$V$2:$V$1001,0),1)&gt;=100000,INDEX($AC$1005:$AS$1005,1,MATCH(COLUMNS($AC$1006:AM1006),$AC$1006:$AS$1006,0))&gt;=100000), " ",IF(INDEX($AC$2:$AS$1001,MATCH(ROWS($V$2:V899),$V$2:$V$1001,0),MATCH(COLUMNS($AC$1006:AM1006),$AC$1006:$AS$1006,0)), HYPERLINK("#",""), HYPERLINK(CONCATENATE("#Metadata!", ADDRESS(INDEX($X$2:$X$1001,MATCH(ROWS($V$2:V899),$V$2:$V$1001,0),0), INDEX($AC$1004:$AS$1004,1,MATCH(COLUMNS($AC$1006:AM1006),$AC$1006:$AS$1006,0)))),"Fix")))</f>
        <v>0</v>
      </c>
      <c r="M899" s="5">
        <f>IF(OR(INDEX($W$2:$W$1001,MATCH(ROWS($V$2:V899),$V$2:$V$1001,0),1)&gt;=100000,INDEX($AC$1005:$AS$1005,1,MATCH(COLUMNS($AC$1006:AN1006),$AC$1006:$AS$1006,0))&gt;=100000), " ",IF(INDEX($AC$2:$AS$1001,MATCH(ROWS($V$2:V899),$V$2:$V$1001,0),MATCH(COLUMNS($AC$1006:AN1006),$AC$1006:$AS$1006,0)), HYPERLINK("#",""), HYPERLINK(CONCATENATE("#Metadata!", ADDRESS(INDEX($X$2:$X$1001,MATCH(ROWS($V$2:V899),$V$2:$V$1001,0),0), INDEX($AC$1004:$AS$1004,1,MATCH(COLUMNS($AC$1006:AN1006),$AC$1006:$AS$1006,0)))),"Fix")))</f>
        <v>0</v>
      </c>
      <c r="N899" s="5">
        <f>IF(OR(INDEX($W$2:$W$1001,MATCH(ROWS($V$2:V899),$V$2:$V$1001,0),1)&gt;=100000,INDEX($AC$1005:$AS$1005,1,MATCH(COLUMNS($AC$1006:AO1006),$AC$1006:$AS$1006,0))&gt;=100000), " ",IF(INDEX($AC$2:$AS$1001,MATCH(ROWS($V$2:V899),$V$2:$V$1001,0),MATCH(COLUMNS($AC$1006:AO1006),$AC$1006:$AS$1006,0)), HYPERLINK("#",""), HYPERLINK(CONCATENATE("#Metadata!", ADDRESS(INDEX($X$2:$X$1001,MATCH(ROWS($V$2:V899),$V$2:$V$1001,0),0), INDEX($AC$1004:$AS$1004,1,MATCH(COLUMNS($AC$1006:AO1006),$AC$1006:$AS$1006,0)))),"Fix")))</f>
        <v>0</v>
      </c>
      <c r="O899" s="5">
        <f>IF(OR(INDEX($W$2:$W$1001,MATCH(ROWS($V$2:V899),$V$2:$V$1001,0),1)&gt;=100000,INDEX($AC$1005:$AS$1005,1,MATCH(COLUMNS($AC$1006:AP1006),$AC$1006:$AS$1006,0))&gt;=100000), " ",IF(INDEX($AC$2:$AS$1001,MATCH(ROWS($V$2:V899),$V$2:$V$1001,0),MATCH(COLUMNS($AC$1006:AP1006),$AC$1006:$AS$1006,0)), HYPERLINK("#",""), HYPERLINK(CONCATENATE("#Metadata!", ADDRESS(INDEX($X$2:$X$1001,MATCH(ROWS($V$2:V899),$V$2:$V$1001,0),0), INDEX($AC$1004:$AS$1004,1,MATCH(COLUMNS($AC$1006:AP1006),$AC$1006:$AS$1006,0)))),"Fix")))</f>
        <v>0</v>
      </c>
      <c r="P899" s="5">
        <f>IF(OR(INDEX($W$2:$W$1001,MATCH(ROWS($V$2:V899),$V$2:$V$1001,0),1)&gt;=100000,INDEX($AC$1005:$AS$1005,1,MATCH(COLUMNS($AC$1006:AQ1006),$AC$1006:$AS$1006,0))&gt;=100000), " ",IF(INDEX($AC$2:$AS$1001,MATCH(ROWS($V$2:V899),$V$2:$V$1001,0),MATCH(COLUMNS($AC$1006:AQ1006),$AC$1006:$AS$1006,0)), HYPERLINK("#",""), HYPERLINK(CONCATENATE("#Metadata!", ADDRESS(INDEX($X$2:$X$1001,MATCH(ROWS($V$2:V899),$V$2:$V$1001,0),0), INDEX($AC$1004:$AS$1004,1,MATCH(COLUMNS($AC$1006:AQ1006),$AC$1006:$AS$1006,0)))),"Fix")))</f>
        <v>0</v>
      </c>
      <c r="Q899" s="5">
        <f>IF(OR(INDEX($W$2:$W$1001,MATCH(ROWS($V$2:V899),$V$2:$V$1001,0),1)&gt;=100000,INDEX($AC$1005:$AS$1005,1,MATCH(COLUMNS($AC$1006:AR1006),$AC$1006:$AS$1006,0))&gt;=100000), " ",IF(INDEX($AC$2:$AS$1001,MATCH(ROWS($V$2:V899),$V$2:$V$1001,0),MATCH(COLUMNS($AC$1006:AR1006),$AC$1006:$AS$1006,0)), HYPERLINK("#",""), HYPERLINK(CONCATENATE("#Metadata!", ADDRESS(INDEX($X$2:$X$1001,MATCH(ROWS($V$2:V899),$V$2:$V$1001,0),0), INDEX($AC$1004:$AS$1004,1,MATCH(COLUMNS($AC$1006:AR1006),$AC$1006:$AS$1006,0)))),"Fix")))</f>
        <v>0</v>
      </c>
      <c r="R899" s="5">
        <f>IF(OR(INDEX($W$2:$W$1001,MATCH(ROWS($V$2:V899),$V$2:$V$1001,0),1)&gt;=100000,INDEX($AC$1005:$AS$1005,1,MATCH(COLUMNS($AC$1006:AS1006),$AC$1006:$AS$1006,0))&gt;=100000), " ",IF(INDEX($AC$2:$AS$1001,MATCH(ROWS($V$2:V899),$V$2:$V$1001,0),MATCH(COLUMNS($AC$1006:AS1006),$AC$1006:$AS$1006,0)), HYPERLINK("#",""), HYPERLINK(CONCATENATE("#Metadata!", ADDRESS(INDEX($X$2:$X$1001,MATCH(ROWS($V$2:V899),$V$2:$V$1001,0),0), INDEX($AC$1004:$AS$1004,1,MATCH(COLUMNS($AC$1006:AS1006),$AC$1006:$AS$1006,0)))),"Fix")))</f>
        <v>0</v>
      </c>
      <c r="V899">
        <v>0</v>
      </c>
      <c r="W899">
        <v>0</v>
      </c>
      <c r="X899">
        <v>0</v>
      </c>
      <c r="Y899">
        <f>IF(Z899,TRUE,AND(AC899:AS899))</f>
        <v>0</v>
      </c>
      <c r="Z899">
        <f>COUNTBLANK(Metadata!B899:R899)=COLUMNS(Metadata!B899:R899)</f>
        <v>0</v>
      </c>
      <c r="AA899">
        <v>0</v>
      </c>
      <c r="AC899">
        <f>AND(IF(Metadata!B899="",FALSE,TRUE),COUNTIF(Metadata!B:B, Metadata!B899) = 1,NOT(ISERROR(SUMPRODUCT(SEARCH(MID(Metadata!B899,ROW(INDIRECT("1:"&amp;LEN(Metadata!B899))), 1),"0123456789abcdefghijklmnopqrstuvwxyzABCDEFGHIJKLMNOPQRSTUVWXYZ.")))))</f>
        <v>0</v>
      </c>
      <c r="AD899">
        <f>AND(IF(Metadata!C899="",FALSE,TRUE),exact(Metadata!C899,"Host-associated"))</f>
        <v>0</v>
      </c>
      <c r="AE899">
        <f>AND(IF(Metadata!D899="",FALSE,TRUE),OR(exact(Metadata!D899,"Animal"),exact(Metadata!D899,"Fungus"),exact(Metadata!D899,"Plant")))</f>
        <v>0</v>
      </c>
      <c r="AF899">
        <f>AND(IF(Metadata!E899="",FALSE,TRUE),OR(exact(Metadata!E899,"Plant secretion"),exact(Metadata!E899,"Plant rhizosphere"),exact(Metadata!E899,"Plant surface"),exact(Metadata!E899,"Plant corpus"),exact(Metadata!E899,"Fungus surface"),exact(Metadata!E899,"Fungus corpus"),exact(Metadata!E899,"Animal surface"),exact(Metadata!E899,"Animal proximal gut"),exact(Metadata!E899,"Animal corpus"),exact(Metadata!E899,"Animal distal gut"),exact(Metadata!E899,"Animal secretion")))</f>
        <v>0</v>
      </c>
      <c r="AG899">
        <f>OR(AND(IF(Metadata!F899="",FALSE,TRUE),OR(exact(Metadata!F899,"not collected"),exact(Metadata!F899,"not provided"),exact(Metadata!F899,"restricted access"))),AND(IF(Metadata!F899="",FALSE,TRUE),OR(exact(Metadata!F899,"organism-associated habitat"),exact(Metadata!F899,"plant-associated habitat"),exact(Metadata!F899,"animal-associated habitat"),exact(Metadata!F899,"insecta-associated habitat"),exact(Metadata!F899,"mammalia-associated habitat"),exact(Metadata!F899,"human-associated habitat"),exact(Metadata!F899,"livestock-associated habitat"))))</f>
        <v>0</v>
      </c>
      <c r="AH899">
        <f>AND(IF(Metadata!G899="",FALSE,TRUE),exact(Metadata!G899,"host-associated"))</f>
        <v>0</v>
      </c>
      <c r="AI899">
        <f>OR(AND(IF(Metadata!H899="",FALSE,TRUE),OR(exact(Metadata!H899,"not collected"),exact(Metadata!H899,"not provided"))),AND(IF(Metadata!H899="",FALSE,ISNUMBER(VALUE(Metadata!H899))),Metadata!H899&gt;0))</f>
        <v>0</v>
      </c>
      <c r="AJ899">
        <f>AND(IF(Metadata!I899="",FALSE,TRUE),exact(Metadata!I899,"years"))</f>
        <v>0</v>
      </c>
      <c r="AK899">
        <f>IF(Metadata!J899="",FALSE,TRUE)</f>
        <v>0</v>
      </c>
      <c r="AL899">
        <f>OR(AND(IF(Metadata!K899="",FALSE,TRUE),OR(exact(Metadata!K899,"not collected"),exact(Metadata!K899,"not provided"))),AND(IF(Metadata!K899="",FALSE,ISNUMBER(VALUE(Metadata!K899))),Metadata!K899&gt;0))</f>
        <v>0</v>
      </c>
      <c r="AM899">
        <f>AND(IF(Metadata!L899="",FALSE,TRUE),exact(Metadata!L899,"cm"))</f>
        <v>0</v>
      </c>
      <c r="AN899">
        <f>IF(Metadata!M899="",FALSE,TRUE)</f>
        <v>0</v>
      </c>
      <c r="AO899">
        <f>OR(AND(IF(Metadata!N899="",FALSE,TRUE),OR(exact(Metadata!N899,"not applicable"),exact(Metadata!N899,"not collected"),exact(Metadata!N899,"not provided"))),AND(IF(Metadata!N899="",FALSE,IF(ISERROR(INT(Metadata!N899)),FALSE,INT(Metadata!N899)=Metadata!N899)),Metadata!N899&gt;0))</f>
        <v>0</v>
      </c>
      <c r="AP899">
        <f>OR(AND(IF(Metadata!O899="",FALSE,TRUE),OR(exact(Metadata!O899,"not collected"),exact(Metadata!O899,"not provided"))),AND(IF(Metadata!O899="",FALSE,ISNUMBER(VALUE(Metadata!O899))),Metadata!O899&gt;0))</f>
        <v>0</v>
      </c>
      <c r="AQ899">
        <f>AND(IF(Metadata!P899="",FALSE,TRUE),exact(Metadata!P899,"kg"))</f>
        <v>0</v>
      </c>
      <c r="AR899">
        <f>OR(AND(IF(Metadata!Q899="",FALSE,TRUE),OR(exact(Metadata!Q899,"not applicable"),exact(Metadata!Q899,"not collected"),exact(Metadata!Q899,"not provided"),exact(Metadata!Q899,"restricted access"))),IF(Metadata!Q899="",FALSE,IF(ISERROR(INT(Metadata!Q899)),FALSE,INT(Metadata!Q899)=Metadata!Q899)))</f>
        <v>0</v>
      </c>
      <c r="AS899">
        <f>AND(IF(Metadata!R899="",FALSE,TRUE),exact(Metadata!R899,"Not applicable"))</f>
        <v>0</v>
      </c>
    </row>
    <row r="900" spans="1:45">
      <c r="A900" s="4">
        <f>IF(B900=" "," ",HYPERLINK(CONCATENATE("#metadata!",ADDRESS(INDEX($X$2:$X$1001,MATCH(ROWS($V$2:V900),$V$2:$V$1001,0),0),2)),INDEX($AA$2:$AA$1001,MATCH(ROWS($V$2:V900),$V$2:$V$1001,0),0)))</f>
        <v>0</v>
      </c>
      <c r="B900" s="5">
        <f>IF(OR(INDEX($W$2:$W$1001,MATCH(ROWS($V$2:V900),$V$2:$V$1001,0),1)&gt;=100000,INDEX($AC$1005:$AS$1005,1,MATCH(COLUMNS($AC$1006:AC1006),$AC$1006:$AS$1006,0))&gt;=100000), " ",IF(INDEX($AC$2:$AS$1001,MATCH(ROWS($V$2:V900),$V$2:$V$1001,0),MATCH(COLUMNS($AC$1006:AC1006),$AC$1006:$AS$1006,0)), HYPERLINK("#",""), HYPERLINK(CONCATENATE("#Metadata!", ADDRESS(INDEX($X$2:$X$1001,MATCH(ROWS($V$2:V900),$V$2:$V$1001,0),0), INDEX($AC$1004:$AS$1004,1,MATCH(COLUMNS($AC$1006:AC1006),$AC$1006:$AS$1006,0)))),"Fix")))</f>
        <v>0</v>
      </c>
      <c r="C900" s="5">
        <f>IF(OR(INDEX($W$2:$W$1001,MATCH(ROWS($V$2:V900),$V$2:$V$1001,0),1)&gt;=100000,INDEX($AC$1005:$AS$1005,1,MATCH(COLUMNS($AC$1006:AD1006),$AC$1006:$AS$1006,0))&gt;=100000), " ",IF(INDEX($AC$2:$AS$1001,MATCH(ROWS($V$2:V900),$V$2:$V$1001,0),MATCH(COLUMNS($AC$1006:AD1006),$AC$1006:$AS$1006,0)), HYPERLINK("#",""), HYPERLINK(CONCATENATE("#Metadata!", ADDRESS(INDEX($X$2:$X$1001,MATCH(ROWS($V$2:V900),$V$2:$V$1001,0),0), INDEX($AC$1004:$AS$1004,1,MATCH(COLUMNS($AC$1006:AD1006),$AC$1006:$AS$1006,0)))),"Fix")))</f>
        <v>0</v>
      </c>
      <c r="D900" s="5">
        <f>IF(OR(INDEX($W$2:$W$1001,MATCH(ROWS($V$2:V900),$V$2:$V$1001,0),1)&gt;=100000,INDEX($AC$1005:$AS$1005,1,MATCH(COLUMNS($AC$1006:AE1006),$AC$1006:$AS$1006,0))&gt;=100000), " ",IF(INDEX($AC$2:$AS$1001,MATCH(ROWS($V$2:V900),$V$2:$V$1001,0),MATCH(COLUMNS($AC$1006:AE1006),$AC$1006:$AS$1006,0)), HYPERLINK("#",""), HYPERLINK(CONCATENATE("#Metadata!", ADDRESS(INDEX($X$2:$X$1001,MATCH(ROWS($V$2:V900),$V$2:$V$1001,0),0), INDEX($AC$1004:$AS$1004,1,MATCH(COLUMNS($AC$1006:AE1006),$AC$1006:$AS$1006,0)))),"Fix")))</f>
        <v>0</v>
      </c>
      <c r="E900" s="5">
        <f>IF(OR(INDEX($W$2:$W$1001,MATCH(ROWS($V$2:V900),$V$2:$V$1001,0),1)&gt;=100000,INDEX($AC$1005:$AS$1005,1,MATCH(COLUMNS($AC$1006:AF1006),$AC$1006:$AS$1006,0))&gt;=100000), " ",IF(INDEX($AC$2:$AS$1001,MATCH(ROWS($V$2:V900),$V$2:$V$1001,0),MATCH(COLUMNS($AC$1006:AF1006),$AC$1006:$AS$1006,0)), HYPERLINK("#",""), HYPERLINK(CONCATENATE("#Metadata!", ADDRESS(INDEX($X$2:$X$1001,MATCH(ROWS($V$2:V900),$V$2:$V$1001,0),0), INDEX($AC$1004:$AS$1004,1,MATCH(COLUMNS($AC$1006:AF1006),$AC$1006:$AS$1006,0)))),"Fix")))</f>
        <v>0</v>
      </c>
      <c r="F900" s="5">
        <f>IF(OR(INDEX($W$2:$W$1001,MATCH(ROWS($V$2:V900),$V$2:$V$1001,0),1)&gt;=100000,INDEX($AC$1005:$AS$1005,1,MATCH(COLUMNS($AC$1006:AG1006),$AC$1006:$AS$1006,0))&gt;=100000), " ",IF(INDEX($AC$2:$AS$1001,MATCH(ROWS($V$2:V900),$V$2:$V$1001,0),MATCH(COLUMNS($AC$1006:AG1006),$AC$1006:$AS$1006,0)), HYPERLINK("#",""), HYPERLINK(CONCATENATE("#Metadata!", ADDRESS(INDEX($X$2:$X$1001,MATCH(ROWS($V$2:V900),$V$2:$V$1001,0),0), INDEX($AC$1004:$AS$1004,1,MATCH(COLUMNS($AC$1006:AG1006),$AC$1006:$AS$1006,0)))),"Fix")))</f>
        <v>0</v>
      </c>
      <c r="G900" s="5">
        <f>IF(OR(INDEX($W$2:$W$1001,MATCH(ROWS($V$2:V900),$V$2:$V$1001,0),1)&gt;=100000,INDEX($AC$1005:$AS$1005,1,MATCH(COLUMNS($AC$1006:AH1006),$AC$1006:$AS$1006,0))&gt;=100000), " ",IF(INDEX($AC$2:$AS$1001,MATCH(ROWS($V$2:V900),$V$2:$V$1001,0),MATCH(COLUMNS($AC$1006:AH1006),$AC$1006:$AS$1006,0)), HYPERLINK("#",""), HYPERLINK(CONCATENATE("#Metadata!", ADDRESS(INDEX($X$2:$X$1001,MATCH(ROWS($V$2:V900),$V$2:$V$1001,0),0), INDEX($AC$1004:$AS$1004,1,MATCH(COLUMNS($AC$1006:AH1006),$AC$1006:$AS$1006,0)))),"Fix")))</f>
        <v>0</v>
      </c>
      <c r="H900" s="5">
        <f>IF(OR(INDEX($W$2:$W$1001,MATCH(ROWS($V$2:V900),$V$2:$V$1001,0),1)&gt;=100000,INDEX($AC$1005:$AS$1005,1,MATCH(COLUMNS($AC$1006:AI1006),$AC$1006:$AS$1006,0))&gt;=100000), " ",IF(INDEX($AC$2:$AS$1001,MATCH(ROWS($V$2:V900),$V$2:$V$1001,0),MATCH(COLUMNS($AC$1006:AI1006),$AC$1006:$AS$1006,0)), HYPERLINK("#",""), HYPERLINK(CONCATENATE("#Metadata!", ADDRESS(INDEX($X$2:$X$1001,MATCH(ROWS($V$2:V900),$V$2:$V$1001,0),0), INDEX($AC$1004:$AS$1004,1,MATCH(COLUMNS($AC$1006:AI1006),$AC$1006:$AS$1006,0)))),"Fix")))</f>
        <v>0</v>
      </c>
      <c r="I900" s="5">
        <f>IF(OR(INDEX($W$2:$W$1001,MATCH(ROWS($V$2:V900),$V$2:$V$1001,0),1)&gt;=100000,INDEX($AC$1005:$AS$1005,1,MATCH(COLUMNS($AC$1006:AJ1006),$AC$1006:$AS$1006,0))&gt;=100000), " ",IF(INDEX($AC$2:$AS$1001,MATCH(ROWS($V$2:V900),$V$2:$V$1001,0),MATCH(COLUMNS($AC$1006:AJ1006),$AC$1006:$AS$1006,0)), HYPERLINK("#",""), HYPERLINK(CONCATENATE("#Metadata!", ADDRESS(INDEX($X$2:$X$1001,MATCH(ROWS($V$2:V900),$V$2:$V$1001,0),0), INDEX($AC$1004:$AS$1004,1,MATCH(COLUMNS($AC$1006:AJ1006),$AC$1006:$AS$1006,0)))),"Fix")))</f>
        <v>0</v>
      </c>
      <c r="J900" s="5">
        <f>IF(OR(INDEX($W$2:$W$1001,MATCH(ROWS($V$2:V900),$V$2:$V$1001,0),1)&gt;=100000,INDEX($AC$1005:$AS$1005,1,MATCH(COLUMNS($AC$1006:AK1006),$AC$1006:$AS$1006,0))&gt;=100000), " ",IF(INDEX($AC$2:$AS$1001,MATCH(ROWS($V$2:V900),$V$2:$V$1001,0),MATCH(COLUMNS($AC$1006:AK1006),$AC$1006:$AS$1006,0)), HYPERLINK("#",""), HYPERLINK(CONCATENATE("#Metadata!", ADDRESS(INDEX($X$2:$X$1001,MATCH(ROWS($V$2:V900),$V$2:$V$1001,0),0), INDEX($AC$1004:$AS$1004,1,MATCH(COLUMNS($AC$1006:AK1006),$AC$1006:$AS$1006,0)))),"Fix")))</f>
        <v>0</v>
      </c>
      <c r="K900" s="5">
        <f>IF(OR(INDEX($W$2:$W$1001,MATCH(ROWS($V$2:V900),$V$2:$V$1001,0),1)&gt;=100000,INDEX($AC$1005:$AS$1005,1,MATCH(COLUMNS($AC$1006:AL1006),$AC$1006:$AS$1006,0))&gt;=100000), " ",IF(INDEX($AC$2:$AS$1001,MATCH(ROWS($V$2:V900),$V$2:$V$1001,0),MATCH(COLUMNS($AC$1006:AL1006),$AC$1006:$AS$1006,0)), HYPERLINK("#",""), HYPERLINK(CONCATENATE("#Metadata!", ADDRESS(INDEX($X$2:$X$1001,MATCH(ROWS($V$2:V900),$V$2:$V$1001,0),0), INDEX($AC$1004:$AS$1004,1,MATCH(COLUMNS($AC$1006:AL1006),$AC$1006:$AS$1006,0)))),"Fix")))</f>
        <v>0</v>
      </c>
      <c r="L900" s="5">
        <f>IF(OR(INDEX($W$2:$W$1001,MATCH(ROWS($V$2:V900),$V$2:$V$1001,0),1)&gt;=100000,INDEX($AC$1005:$AS$1005,1,MATCH(COLUMNS($AC$1006:AM1006),$AC$1006:$AS$1006,0))&gt;=100000), " ",IF(INDEX($AC$2:$AS$1001,MATCH(ROWS($V$2:V900),$V$2:$V$1001,0),MATCH(COLUMNS($AC$1006:AM1006),$AC$1006:$AS$1006,0)), HYPERLINK("#",""), HYPERLINK(CONCATENATE("#Metadata!", ADDRESS(INDEX($X$2:$X$1001,MATCH(ROWS($V$2:V900),$V$2:$V$1001,0),0), INDEX($AC$1004:$AS$1004,1,MATCH(COLUMNS($AC$1006:AM1006),$AC$1006:$AS$1006,0)))),"Fix")))</f>
        <v>0</v>
      </c>
      <c r="M900" s="5">
        <f>IF(OR(INDEX($W$2:$W$1001,MATCH(ROWS($V$2:V900),$V$2:$V$1001,0),1)&gt;=100000,INDEX($AC$1005:$AS$1005,1,MATCH(COLUMNS($AC$1006:AN1006),$AC$1006:$AS$1006,0))&gt;=100000), " ",IF(INDEX($AC$2:$AS$1001,MATCH(ROWS($V$2:V900),$V$2:$V$1001,0),MATCH(COLUMNS($AC$1006:AN1006),$AC$1006:$AS$1006,0)), HYPERLINK("#",""), HYPERLINK(CONCATENATE("#Metadata!", ADDRESS(INDEX($X$2:$X$1001,MATCH(ROWS($V$2:V900),$V$2:$V$1001,0),0), INDEX($AC$1004:$AS$1004,1,MATCH(COLUMNS($AC$1006:AN1006),$AC$1006:$AS$1006,0)))),"Fix")))</f>
        <v>0</v>
      </c>
      <c r="N900" s="5">
        <f>IF(OR(INDEX($W$2:$W$1001,MATCH(ROWS($V$2:V900),$V$2:$V$1001,0),1)&gt;=100000,INDEX($AC$1005:$AS$1005,1,MATCH(COLUMNS($AC$1006:AO1006),$AC$1006:$AS$1006,0))&gt;=100000), " ",IF(INDEX($AC$2:$AS$1001,MATCH(ROWS($V$2:V900),$V$2:$V$1001,0),MATCH(COLUMNS($AC$1006:AO1006),$AC$1006:$AS$1006,0)), HYPERLINK("#",""), HYPERLINK(CONCATENATE("#Metadata!", ADDRESS(INDEX($X$2:$X$1001,MATCH(ROWS($V$2:V900),$V$2:$V$1001,0),0), INDEX($AC$1004:$AS$1004,1,MATCH(COLUMNS($AC$1006:AO1006),$AC$1006:$AS$1006,0)))),"Fix")))</f>
        <v>0</v>
      </c>
      <c r="O900" s="5">
        <f>IF(OR(INDEX($W$2:$W$1001,MATCH(ROWS($V$2:V900),$V$2:$V$1001,0),1)&gt;=100000,INDEX($AC$1005:$AS$1005,1,MATCH(COLUMNS($AC$1006:AP1006),$AC$1006:$AS$1006,0))&gt;=100000), " ",IF(INDEX($AC$2:$AS$1001,MATCH(ROWS($V$2:V900),$V$2:$V$1001,0),MATCH(COLUMNS($AC$1006:AP1006),$AC$1006:$AS$1006,0)), HYPERLINK("#",""), HYPERLINK(CONCATENATE("#Metadata!", ADDRESS(INDEX($X$2:$X$1001,MATCH(ROWS($V$2:V900),$V$2:$V$1001,0),0), INDEX($AC$1004:$AS$1004,1,MATCH(COLUMNS($AC$1006:AP1006),$AC$1006:$AS$1006,0)))),"Fix")))</f>
        <v>0</v>
      </c>
      <c r="P900" s="5">
        <f>IF(OR(INDEX($W$2:$W$1001,MATCH(ROWS($V$2:V900),$V$2:$V$1001,0),1)&gt;=100000,INDEX($AC$1005:$AS$1005,1,MATCH(COLUMNS($AC$1006:AQ1006),$AC$1006:$AS$1006,0))&gt;=100000), " ",IF(INDEX($AC$2:$AS$1001,MATCH(ROWS($V$2:V900),$V$2:$V$1001,0),MATCH(COLUMNS($AC$1006:AQ1006),$AC$1006:$AS$1006,0)), HYPERLINK("#",""), HYPERLINK(CONCATENATE("#Metadata!", ADDRESS(INDEX($X$2:$X$1001,MATCH(ROWS($V$2:V900),$V$2:$V$1001,0),0), INDEX($AC$1004:$AS$1004,1,MATCH(COLUMNS($AC$1006:AQ1006),$AC$1006:$AS$1006,0)))),"Fix")))</f>
        <v>0</v>
      </c>
      <c r="Q900" s="5">
        <f>IF(OR(INDEX($W$2:$W$1001,MATCH(ROWS($V$2:V900),$V$2:$V$1001,0),1)&gt;=100000,INDEX($AC$1005:$AS$1005,1,MATCH(COLUMNS($AC$1006:AR1006),$AC$1006:$AS$1006,0))&gt;=100000), " ",IF(INDEX($AC$2:$AS$1001,MATCH(ROWS($V$2:V900),$V$2:$V$1001,0),MATCH(COLUMNS($AC$1006:AR1006),$AC$1006:$AS$1006,0)), HYPERLINK("#",""), HYPERLINK(CONCATENATE("#Metadata!", ADDRESS(INDEX($X$2:$X$1001,MATCH(ROWS($V$2:V900),$V$2:$V$1001,0),0), INDEX($AC$1004:$AS$1004,1,MATCH(COLUMNS($AC$1006:AR1006),$AC$1006:$AS$1006,0)))),"Fix")))</f>
        <v>0</v>
      </c>
      <c r="R900" s="5">
        <f>IF(OR(INDEX($W$2:$W$1001,MATCH(ROWS($V$2:V900),$V$2:$V$1001,0),1)&gt;=100000,INDEX($AC$1005:$AS$1005,1,MATCH(COLUMNS($AC$1006:AS1006),$AC$1006:$AS$1006,0))&gt;=100000), " ",IF(INDEX($AC$2:$AS$1001,MATCH(ROWS($V$2:V900),$V$2:$V$1001,0),MATCH(COLUMNS($AC$1006:AS1006),$AC$1006:$AS$1006,0)), HYPERLINK("#",""), HYPERLINK(CONCATENATE("#Metadata!", ADDRESS(INDEX($X$2:$X$1001,MATCH(ROWS($V$2:V900),$V$2:$V$1001,0),0), INDEX($AC$1004:$AS$1004,1,MATCH(COLUMNS($AC$1006:AS1006),$AC$1006:$AS$1006,0)))),"Fix")))</f>
        <v>0</v>
      </c>
      <c r="V900">
        <v>0</v>
      </c>
      <c r="W900">
        <v>0</v>
      </c>
      <c r="X900">
        <v>0</v>
      </c>
      <c r="Y900">
        <f>IF(Z900,TRUE,AND(AC900:AS900))</f>
        <v>0</v>
      </c>
      <c r="Z900">
        <f>COUNTBLANK(Metadata!B900:R900)=COLUMNS(Metadata!B900:R900)</f>
        <v>0</v>
      </c>
      <c r="AA900">
        <v>0</v>
      </c>
      <c r="AC900">
        <f>AND(IF(Metadata!B900="",FALSE,TRUE),COUNTIF(Metadata!B:B, Metadata!B900) = 1,NOT(ISERROR(SUMPRODUCT(SEARCH(MID(Metadata!B900,ROW(INDIRECT("1:"&amp;LEN(Metadata!B900))), 1),"0123456789abcdefghijklmnopqrstuvwxyzABCDEFGHIJKLMNOPQRSTUVWXYZ.")))))</f>
        <v>0</v>
      </c>
      <c r="AD900">
        <f>AND(IF(Metadata!C900="",FALSE,TRUE),exact(Metadata!C900,"Host-associated"))</f>
        <v>0</v>
      </c>
      <c r="AE900">
        <f>AND(IF(Metadata!D900="",FALSE,TRUE),OR(exact(Metadata!D900,"Animal"),exact(Metadata!D900,"Fungus"),exact(Metadata!D900,"Plant")))</f>
        <v>0</v>
      </c>
      <c r="AF900">
        <f>AND(IF(Metadata!E900="",FALSE,TRUE),OR(exact(Metadata!E900,"Plant secretion"),exact(Metadata!E900,"Plant rhizosphere"),exact(Metadata!E900,"Plant surface"),exact(Metadata!E900,"Plant corpus"),exact(Metadata!E900,"Fungus surface"),exact(Metadata!E900,"Fungus corpus"),exact(Metadata!E900,"Animal surface"),exact(Metadata!E900,"Animal proximal gut"),exact(Metadata!E900,"Animal corpus"),exact(Metadata!E900,"Animal distal gut"),exact(Metadata!E900,"Animal secretion")))</f>
        <v>0</v>
      </c>
      <c r="AG900">
        <f>OR(AND(IF(Metadata!F900="",FALSE,TRUE),OR(exact(Metadata!F900,"not collected"),exact(Metadata!F900,"not provided"),exact(Metadata!F900,"restricted access"))),AND(IF(Metadata!F900="",FALSE,TRUE),OR(exact(Metadata!F900,"organism-associated habitat"),exact(Metadata!F900,"plant-associated habitat"),exact(Metadata!F900,"animal-associated habitat"),exact(Metadata!F900,"insecta-associated habitat"),exact(Metadata!F900,"mammalia-associated habitat"),exact(Metadata!F900,"human-associated habitat"),exact(Metadata!F900,"livestock-associated habitat"))))</f>
        <v>0</v>
      </c>
      <c r="AH900">
        <f>AND(IF(Metadata!G900="",FALSE,TRUE),exact(Metadata!G900,"host-associated"))</f>
        <v>0</v>
      </c>
      <c r="AI900">
        <f>OR(AND(IF(Metadata!H900="",FALSE,TRUE),OR(exact(Metadata!H900,"not collected"),exact(Metadata!H900,"not provided"))),AND(IF(Metadata!H900="",FALSE,ISNUMBER(VALUE(Metadata!H900))),Metadata!H900&gt;0))</f>
        <v>0</v>
      </c>
      <c r="AJ900">
        <f>AND(IF(Metadata!I900="",FALSE,TRUE),exact(Metadata!I900,"years"))</f>
        <v>0</v>
      </c>
      <c r="AK900">
        <f>IF(Metadata!J900="",FALSE,TRUE)</f>
        <v>0</v>
      </c>
      <c r="AL900">
        <f>OR(AND(IF(Metadata!K900="",FALSE,TRUE),OR(exact(Metadata!K900,"not collected"),exact(Metadata!K900,"not provided"))),AND(IF(Metadata!K900="",FALSE,ISNUMBER(VALUE(Metadata!K900))),Metadata!K900&gt;0))</f>
        <v>0</v>
      </c>
      <c r="AM900">
        <f>AND(IF(Metadata!L900="",FALSE,TRUE),exact(Metadata!L900,"cm"))</f>
        <v>0</v>
      </c>
      <c r="AN900">
        <f>IF(Metadata!M900="",FALSE,TRUE)</f>
        <v>0</v>
      </c>
      <c r="AO900">
        <f>OR(AND(IF(Metadata!N900="",FALSE,TRUE),OR(exact(Metadata!N900,"not applicable"),exact(Metadata!N900,"not collected"),exact(Metadata!N900,"not provided"))),AND(IF(Metadata!N900="",FALSE,IF(ISERROR(INT(Metadata!N900)),FALSE,INT(Metadata!N900)=Metadata!N900)),Metadata!N900&gt;0))</f>
        <v>0</v>
      </c>
      <c r="AP900">
        <f>OR(AND(IF(Metadata!O900="",FALSE,TRUE),OR(exact(Metadata!O900,"not collected"),exact(Metadata!O900,"not provided"))),AND(IF(Metadata!O900="",FALSE,ISNUMBER(VALUE(Metadata!O900))),Metadata!O900&gt;0))</f>
        <v>0</v>
      </c>
      <c r="AQ900">
        <f>AND(IF(Metadata!P900="",FALSE,TRUE),exact(Metadata!P900,"kg"))</f>
        <v>0</v>
      </c>
      <c r="AR900">
        <f>OR(AND(IF(Metadata!Q900="",FALSE,TRUE),OR(exact(Metadata!Q900,"not applicable"),exact(Metadata!Q900,"not collected"),exact(Metadata!Q900,"not provided"),exact(Metadata!Q900,"restricted access"))),IF(Metadata!Q900="",FALSE,IF(ISERROR(INT(Metadata!Q900)),FALSE,INT(Metadata!Q900)=Metadata!Q900)))</f>
        <v>0</v>
      </c>
      <c r="AS900">
        <f>AND(IF(Metadata!R900="",FALSE,TRUE),exact(Metadata!R900,"Not applicable"))</f>
        <v>0</v>
      </c>
    </row>
    <row r="901" spans="1:45">
      <c r="A901" s="4">
        <f>IF(B901=" "," ",HYPERLINK(CONCATENATE("#metadata!",ADDRESS(INDEX($X$2:$X$1001,MATCH(ROWS($V$2:V901),$V$2:$V$1001,0),0),2)),INDEX($AA$2:$AA$1001,MATCH(ROWS($V$2:V901),$V$2:$V$1001,0),0)))</f>
        <v>0</v>
      </c>
      <c r="B901" s="5">
        <f>IF(OR(INDEX($W$2:$W$1001,MATCH(ROWS($V$2:V901),$V$2:$V$1001,0),1)&gt;=100000,INDEX($AC$1005:$AS$1005,1,MATCH(COLUMNS($AC$1006:AC1006),$AC$1006:$AS$1006,0))&gt;=100000), " ",IF(INDEX($AC$2:$AS$1001,MATCH(ROWS($V$2:V901),$V$2:$V$1001,0),MATCH(COLUMNS($AC$1006:AC1006),$AC$1006:$AS$1006,0)), HYPERLINK("#",""), HYPERLINK(CONCATENATE("#Metadata!", ADDRESS(INDEX($X$2:$X$1001,MATCH(ROWS($V$2:V901),$V$2:$V$1001,0),0), INDEX($AC$1004:$AS$1004,1,MATCH(COLUMNS($AC$1006:AC1006),$AC$1006:$AS$1006,0)))),"Fix")))</f>
        <v>0</v>
      </c>
      <c r="C901" s="5">
        <f>IF(OR(INDEX($W$2:$W$1001,MATCH(ROWS($V$2:V901),$V$2:$V$1001,0),1)&gt;=100000,INDEX($AC$1005:$AS$1005,1,MATCH(COLUMNS($AC$1006:AD1006),$AC$1006:$AS$1006,0))&gt;=100000), " ",IF(INDEX($AC$2:$AS$1001,MATCH(ROWS($V$2:V901),$V$2:$V$1001,0),MATCH(COLUMNS($AC$1006:AD1006),$AC$1006:$AS$1006,0)), HYPERLINK("#",""), HYPERLINK(CONCATENATE("#Metadata!", ADDRESS(INDEX($X$2:$X$1001,MATCH(ROWS($V$2:V901),$V$2:$V$1001,0),0), INDEX($AC$1004:$AS$1004,1,MATCH(COLUMNS($AC$1006:AD1006),$AC$1006:$AS$1006,0)))),"Fix")))</f>
        <v>0</v>
      </c>
      <c r="D901" s="5">
        <f>IF(OR(INDEX($W$2:$W$1001,MATCH(ROWS($V$2:V901),$V$2:$V$1001,0),1)&gt;=100000,INDEX($AC$1005:$AS$1005,1,MATCH(COLUMNS($AC$1006:AE1006),$AC$1006:$AS$1006,0))&gt;=100000), " ",IF(INDEX($AC$2:$AS$1001,MATCH(ROWS($V$2:V901),$V$2:$V$1001,0),MATCH(COLUMNS($AC$1006:AE1006),$AC$1006:$AS$1006,0)), HYPERLINK("#",""), HYPERLINK(CONCATENATE("#Metadata!", ADDRESS(INDEX($X$2:$X$1001,MATCH(ROWS($V$2:V901),$V$2:$V$1001,0),0), INDEX($AC$1004:$AS$1004,1,MATCH(COLUMNS($AC$1006:AE1006),$AC$1006:$AS$1006,0)))),"Fix")))</f>
        <v>0</v>
      </c>
      <c r="E901" s="5">
        <f>IF(OR(INDEX($W$2:$W$1001,MATCH(ROWS($V$2:V901),$V$2:$V$1001,0),1)&gt;=100000,INDEX($AC$1005:$AS$1005,1,MATCH(COLUMNS($AC$1006:AF1006),$AC$1006:$AS$1006,0))&gt;=100000), " ",IF(INDEX($AC$2:$AS$1001,MATCH(ROWS($V$2:V901),$V$2:$V$1001,0),MATCH(COLUMNS($AC$1006:AF1006),$AC$1006:$AS$1006,0)), HYPERLINK("#",""), HYPERLINK(CONCATENATE("#Metadata!", ADDRESS(INDEX($X$2:$X$1001,MATCH(ROWS($V$2:V901),$V$2:$V$1001,0),0), INDEX($AC$1004:$AS$1004,1,MATCH(COLUMNS($AC$1006:AF1006),$AC$1006:$AS$1006,0)))),"Fix")))</f>
        <v>0</v>
      </c>
      <c r="F901" s="5">
        <f>IF(OR(INDEX($W$2:$W$1001,MATCH(ROWS($V$2:V901),$V$2:$V$1001,0),1)&gt;=100000,INDEX($AC$1005:$AS$1005,1,MATCH(COLUMNS($AC$1006:AG1006),$AC$1006:$AS$1006,0))&gt;=100000), " ",IF(INDEX($AC$2:$AS$1001,MATCH(ROWS($V$2:V901),$V$2:$V$1001,0),MATCH(COLUMNS($AC$1006:AG1006),$AC$1006:$AS$1006,0)), HYPERLINK("#",""), HYPERLINK(CONCATENATE("#Metadata!", ADDRESS(INDEX($X$2:$X$1001,MATCH(ROWS($V$2:V901),$V$2:$V$1001,0),0), INDEX($AC$1004:$AS$1004,1,MATCH(COLUMNS($AC$1006:AG1006),$AC$1006:$AS$1006,0)))),"Fix")))</f>
        <v>0</v>
      </c>
      <c r="G901" s="5">
        <f>IF(OR(INDEX($W$2:$W$1001,MATCH(ROWS($V$2:V901),$V$2:$V$1001,0),1)&gt;=100000,INDEX($AC$1005:$AS$1005,1,MATCH(COLUMNS($AC$1006:AH1006),$AC$1006:$AS$1006,0))&gt;=100000), " ",IF(INDEX($AC$2:$AS$1001,MATCH(ROWS($V$2:V901),$V$2:$V$1001,0),MATCH(COLUMNS($AC$1006:AH1006),$AC$1006:$AS$1006,0)), HYPERLINK("#",""), HYPERLINK(CONCATENATE("#Metadata!", ADDRESS(INDEX($X$2:$X$1001,MATCH(ROWS($V$2:V901),$V$2:$V$1001,0),0), INDEX($AC$1004:$AS$1004,1,MATCH(COLUMNS($AC$1006:AH1006),$AC$1006:$AS$1006,0)))),"Fix")))</f>
        <v>0</v>
      </c>
      <c r="H901" s="5">
        <f>IF(OR(INDEX($W$2:$W$1001,MATCH(ROWS($V$2:V901),$V$2:$V$1001,0),1)&gt;=100000,INDEX($AC$1005:$AS$1005,1,MATCH(COLUMNS($AC$1006:AI1006),$AC$1006:$AS$1006,0))&gt;=100000), " ",IF(INDEX($AC$2:$AS$1001,MATCH(ROWS($V$2:V901),$V$2:$V$1001,0),MATCH(COLUMNS($AC$1006:AI1006),$AC$1006:$AS$1006,0)), HYPERLINK("#",""), HYPERLINK(CONCATENATE("#Metadata!", ADDRESS(INDEX($X$2:$X$1001,MATCH(ROWS($V$2:V901),$V$2:$V$1001,0),0), INDEX($AC$1004:$AS$1004,1,MATCH(COLUMNS($AC$1006:AI1006),$AC$1006:$AS$1006,0)))),"Fix")))</f>
        <v>0</v>
      </c>
      <c r="I901" s="5">
        <f>IF(OR(INDEX($W$2:$W$1001,MATCH(ROWS($V$2:V901),$V$2:$V$1001,0),1)&gt;=100000,INDEX($AC$1005:$AS$1005,1,MATCH(COLUMNS($AC$1006:AJ1006),$AC$1006:$AS$1006,0))&gt;=100000), " ",IF(INDEX($AC$2:$AS$1001,MATCH(ROWS($V$2:V901),$V$2:$V$1001,0),MATCH(COLUMNS($AC$1006:AJ1006),$AC$1006:$AS$1006,0)), HYPERLINK("#",""), HYPERLINK(CONCATENATE("#Metadata!", ADDRESS(INDEX($X$2:$X$1001,MATCH(ROWS($V$2:V901),$V$2:$V$1001,0),0), INDEX($AC$1004:$AS$1004,1,MATCH(COLUMNS($AC$1006:AJ1006),$AC$1006:$AS$1006,0)))),"Fix")))</f>
        <v>0</v>
      </c>
      <c r="J901" s="5">
        <f>IF(OR(INDEX($W$2:$W$1001,MATCH(ROWS($V$2:V901),$V$2:$V$1001,0),1)&gt;=100000,INDEX($AC$1005:$AS$1005,1,MATCH(COLUMNS($AC$1006:AK1006),$AC$1006:$AS$1006,0))&gt;=100000), " ",IF(INDEX($AC$2:$AS$1001,MATCH(ROWS($V$2:V901),$V$2:$V$1001,0),MATCH(COLUMNS($AC$1006:AK1006),$AC$1006:$AS$1006,0)), HYPERLINK("#",""), HYPERLINK(CONCATENATE("#Metadata!", ADDRESS(INDEX($X$2:$X$1001,MATCH(ROWS($V$2:V901),$V$2:$V$1001,0),0), INDEX($AC$1004:$AS$1004,1,MATCH(COLUMNS($AC$1006:AK1006),$AC$1006:$AS$1006,0)))),"Fix")))</f>
        <v>0</v>
      </c>
      <c r="K901" s="5">
        <f>IF(OR(INDEX($W$2:$W$1001,MATCH(ROWS($V$2:V901),$V$2:$V$1001,0),1)&gt;=100000,INDEX($AC$1005:$AS$1005,1,MATCH(COLUMNS($AC$1006:AL1006),$AC$1006:$AS$1006,0))&gt;=100000), " ",IF(INDEX($AC$2:$AS$1001,MATCH(ROWS($V$2:V901),$V$2:$V$1001,0),MATCH(COLUMNS($AC$1006:AL1006),$AC$1006:$AS$1006,0)), HYPERLINK("#",""), HYPERLINK(CONCATENATE("#Metadata!", ADDRESS(INDEX($X$2:$X$1001,MATCH(ROWS($V$2:V901),$V$2:$V$1001,0),0), INDEX($AC$1004:$AS$1004,1,MATCH(COLUMNS($AC$1006:AL1006),$AC$1006:$AS$1006,0)))),"Fix")))</f>
        <v>0</v>
      </c>
      <c r="L901" s="5">
        <f>IF(OR(INDEX($W$2:$W$1001,MATCH(ROWS($V$2:V901),$V$2:$V$1001,0),1)&gt;=100000,INDEX($AC$1005:$AS$1005,1,MATCH(COLUMNS($AC$1006:AM1006),$AC$1006:$AS$1006,0))&gt;=100000), " ",IF(INDEX($AC$2:$AS$1001,MATCH(ROWS($V$2:V901),$V$2:$V$1001,0),MATCH(COLUMNS($AC$1006:AM1006),$AC$1006:$AS$1006,0)), HYPERLINK("#",""), HYPERLINK(CONCATENATE("#Metadata!", ADDRESS(INDEX($X$2:$X$1001,MATCH(ROWS($V$2:V901),$V$2:$V$1001,0),0), INDEX($AC$1004:$AS$1004,1,MATCH(COLUMNS($AC$1006:AM1006),$AC$1006:$AS$1006,0)))),"Fix")))</f>
        <v>0</v>
      </c>
      <c r="M901" s="5">
        <f>IF(OR(INDEX($W$2:$W$1001,MATCH(ROWS($V$2:V901),$V$2:$V$1001,0),1)&gt;=100000,INDEX($AC$1005:$AS$1005,1,MATCH(COLUMNS($AC$1006:AN1006),$AC$1006:$AS$1006,0))&gt;=100000), " ",IF(INDEX($AC$2:$AS$1001,MATCH(ROWS($V$2:V901),$V$2:$V$1001,0),MATCH(COLUMNS($AC$1006:AN1006),$AC$1006:$AS$1006,0)), HYPERLINK("#",""), HYPERLINK(CONCATENATE("#Metadata!", ADDRESS(INDEX($X$2:$X$1001,MATCH(ROWS($V$2:V901),$V$2:$V$1001,0),0), INDEX($AC$1004:$AS$1004,1,MATCH(COLUMNS($AC$1006:AN1006),$AC$1006:$AS$1006,0)))),"Fix")))</f>
        <v>0</v>
      </c>
      <c r="N901" s="5">
        <f>IF(OR(INDEX($W$2:$W$1001,MATCH(ROWS($V$2:V901),$V$2:$V$1001,0),1)&gt;=100000,INDEX($AC$1005:$AS$1005,1,MATCH(COLUMNS($AC$1006:AO1006),$AC$1006:$AS$1006,0))&gt;=100000), " ",IF(INDEX($AC$2:$AS$1001,MATCH(ROWS($V$2:V901),$V$2:$V$1001,0),MATCH(COLUMNS($AC$1006:AO1006),$AC$1006:$AS$1006,0)), HYPERLINK("#",""), HYPERLINK(CONCATENATE("#Metadata!", ADDRESS(INDEX($X$2:$X$1001,MATCH(ROWS($V$2:V901),$V$2:$V$1001,0),0), INDEX($AC$1004:$AS$1004,1,MATCH(COLUMNS($AC$1006:AO1006),$AC$1006:$AS$1006,0)))),"Fix")))</f>
        <v>0</v>
      </c>
      <c r="O901" s="5">
        <f>IF(OR(INDEX($W$2:$W$1001,MATCH(ROWS($V$2:V901),$V$2:$V$1001,0),1)&gt;=100000,INDEX($AC$1005:$AS$1005,1,MATCH(COLUMNS($AC$1006:AP1006),$AC$1006:$AS$1006,0))&gt;=100000), " ",IF(INDEX($AC$2:$AS$1001,MATCH(ROWS($V$2:V901),$V$2:$V$1001,0),MATCH(COLUMNS($AC$1006:AP1006),$AC$1006:$AS$1006,0)), HYPERLINK("#",""), HYPERLINK(CONCATENATE("#Metadata!", ADDRESS(INDEX($X$2:$X$1001,MATCH(ROWS($V$2:V901),$V$2:$V$1001,0),0), INDEX($AC$1004:$AS$1004,1,MATCH(COLUMNS($AC$1006:AP1006),$AC$1006:$AS$1006,0)))),"Fix")))</f>
        <v>0</v>
      </c>
      <c r="P901" s="5">
        <f>IF(OR(INDEX($W$2:$W$1001,MATCH(ROWS($V$2:V901),$V$2:$V$1001,0),1)&gt;=100000,INDEX($AC$1005:$AS$1005,1,MATCH(COLUMNS($AC$1006:AQ1006),$AC$1006:$AS$1006,0))&gt;=100000), " ",IF(INDEX($AC$2:$AS$1001,MATCH(ROWS($V$2:V901),$V$2:$V$1001,0),MATCH(COLUMNS($AC$1006:AQ1006),$AC$1006:$AS$1006,0)), HYPERLINK("#",""), HYPERLINK(CONCATENATE("#Metadata!", ADDRESS(INDEX($X$2:$X$1001,MATCH(ROWS($V$2:V901),$V$2:$V$1001,0),0), INDEX($AC$1004:$AS$1004,1,MATCH(COLUMNS($AC$1006:AQ1006),$AC$1006:$AS$1006,0)))),"Fix")))</f>
        <v>0</v>
      </c>
      <c r="Q901" s="5">
        <f>IF(OR(INDEX($W$2:$W$1001,MATCH(ROWS($V$2:V901),$V$2:$V$1001,0),1)&gt;=100000,INDEX($AC$1005:$AS$1005,1,MATCH(COLUMNS($AC$1006:AR1006),$AC$1006:$AS$1006,0))&gt;=100000), " ",IF(INDEX($AC$2:$AS$1001,MATCH(ROWS($V$2:V901),$V$2:$V$1001,0),MATCH(COLUMNS($AC$1006:AR1006),$AC$1006:$AS$1006,0)), HYPERLINK("#",""), HYPERLINK(CONCATENATE("#Metadata!", ADDRESS(INDEX($X$2:$X$1001,MATCH(ROWS($V$2:V901),$V$2:$V$1001,0),0), INDEX($AC$1004:$AS$1004,1,MATCH(COLUMNS($AC$1006:AR1006),$AC$1006:$AS$1006,0)))),"Fix")))</f>
        <v>0</v>
      </c>
      <c r="R901" s="5">
        <f>IF(OR(INDEX($W$2:$W$1001,MATCH(ROWS($V$2:V901),$V$2:$V$1001,0),1)&gt;=100000,INDEX($AC$1005:$AS$1005,1,MATCH(COLUMNS($AC$1006:AS1006),$AC$1006:$AS$1006,0))&gt;=100000), " ",IF(INDEX($AC$2:$AS$1001,MATCH(ROWS($V$2:V901),$V$2:$V$1001,0),MATCH(COLUMNS($AC$1006:AS1006),$AC$1006:$AS$1006,0)), HYPERLINK("#",""), HYPERLINK(CONCATENATE("#Metadata!", ADDRESS(INDEX($X$2:$X$1001,MATCH(ROWS($V$2:V901),$V$2:$V$1001,0),0), INDEX($AC$1004:$AS$1004,1,MATCH(COLUMNS($AC$1006:AS1006),$AC$1006:$AS$1006,0)))),"Fix")))</f>
        <v>0</v>
      </c>
      <c r="V901">
        <v>0</v>
      </c>
      <c r="W901">
        <v>0</v>
      </c>
      <c r="X901">
        <v>0</v>
      </c>
      <c r="Y901">
        <f>IF(Z901,TRUE,AND(AC901:AS901))</f>
        <v>0</v>
      </c>
      <c r="Z901">
        <f>COUNTBLANK(Metadata!B901:R901)=COLUMNS(Metadata!B901:R901)</f>
        <v>0</v>
      </c>
      <c r="AA901">
        <v>0</v>
      </c>
      <c r="AC901">
        <f>AND(IF(Metadata!B901="",FALSE,TRUE),COUNTIF(Metadata!B:B, Metadata!B901) = 1,NOT(ISERROR(SUMPRODUCT(SEARCH(MID(Metadata!B901,ROW(INDIRECT("1:"&amp;LEN(Metadata!B901))), 1),"0123456789abcdefghijklmnopqrstuvwxyzABCDEFGHIJKLMNOPQRSTUVWXYZ.")))))</f>
        <v>0</v>
      </c>
      <c r="AD901">
        <f>AND(IF(Metadata!C901="",FALSE,TRUE),exact(Metadata!C901,"Host-associated"))</f>
        <v>0</v>
      </c>
      <c r="AE901">
        <f>AND(IF(Metadata!D901="",FALSE,TRUE),OR(exact(Metadata!D901,"Animal"),exact(Metadata!D901,"Fungus"),exact(Metadata!D901,"Plant")))</f>
        <v>0</v>
      </c>
      <c r="AF901">
        <f>AND(IF(Metadata!E901="",FALSE,TRUE),OR(exact(Metadata!E901,"Plant secretion"),exact(Metadata!E901,"Plant rhizosphere"),exact(Metadata!E901,"Plant surface"),exact(Metadata!E901,"Plant corpus"),exact(Metadata!E901,"Fungus surface"),exact(Metadata!E901,"Fungus corpus"),exact(Metadata!E901,"Animal surface"),exact(Metadata!E901,"Animal proximal gut"),exact(Metadata!E901,"Animal corpus"),exact(Metadata!E901,"Animal distal gut"),exact(Metadata!E901,"Animal secretion")))</f>
        <v>0</v>
      </c>
      <c r="AG901">
        <f>OR(AND(IF(Metadata!F901="",FALSE,TRUE),OR(exact(Metadata!F901,"not collected"),exact(Metadata!F901,"not provided"),exact(Metadata!F901,"restricted access"))),AND(IF(Metadata!F901="",FALSE,TRUE),OR(exact(Metadata!F901,"organism-associated habitat"),exact(Metadata!F901,"plant-associated habitat"),exact(Metadata!F901,"animal-associated habitat"),exact(Metadata!F901,"insecta-associated habitat"),exact(Metadata!F901,"mammalia-associated habitat"),exact(Metadata!F901,"human-associated habitat"),exact(Metadata!F901,"livestock-associated habitat"))))</f>
        <v>0</v>
      </c>
      <c r="AH901">
        <f>AND(IF(Metadata!G901="",FALSE,TRUE),exact(Metadata!G901,"host-associated"))</f>
        <v>0</v>
      </c>
      <c r="AI901">
        <f>OR(AND(IF(Metadata!H901="",FALSE,TRUE),OR(exact(Metadata!H901,"not collected"),exact(Metadata!H901,"not provided"))),AND(IF(Metadata!H901="",FALSE,ISNUMBER(VALUE(Metadata!H901))),Metadata!H901&gt;0))</f>
        <v>0</v>
      </c>
      <c r="AJ901">
        <f>AND(IF(Metadata!I901="",FALSE,TRUE),exact(Metadata!I901,"years"))</f>
        <v>0</v>
      </c>
      <c r="AK901">
        <f>IF(Metadata!J901="",FALSE,TRUE)</f>
        <v>0</v>
      </c>
      <c r="AL901">
        <f>OR(AND(IF(Metadata!K901="",FALSE,TRUE),OR(exact(Metadata!K901,"not collected"),exact(Metadata!K901,"not provided"))),AND(IF(Metadata!K901="",FALSE,ISNUMBER(VALUE(Metadata!K901))),Metadata!K901&gt;0))</f>
        <v>0</v>
      </c>
      <c r="AM901">
        <f>AND(IF(Metadata!L901="",FALSE,TRUE),exact(Metadata!L901,"cm"))</f>
        <v>0</v>
      </c>
      <c r="AN901">
        <f>IF(Metadata!M901="",FALSE,TRUE)</f>
        <v>0</v>
      </c>
      <c r="AO901">
        <f>OR(AND(IF(Metadata!N901="",FALSE,TRUE),OR(exact(Metadata!N901,"not applicable"),exact(Metadata!N901,"not collected"),exact(Metadata!N901,"not provided"))),AND(IF(Metadata!N901="",FALSE,IF(ISERROR(INT(Metadata!N901)),FALSE,INT(Metadata!N901)=Metadata!N901)),Metadata!N901&gt;0))</f>
        <v>0</v>
      </c>
      <c r="AP901">
        <f>OR(AND(IF(Metadata!O901="",FALSE,TRUE),OR(exact(Metadata!O901,"not collected"),exact(Metadata!O901,"not provided"))),AND(IF(Metadata!O901="",FALSE,ISNUMBER(VALUE(Metadata!O901))),Metadata!O901&gt;0))</f>
        <v>0</v>
      </c>
      <c r="AQ901">
        <f>AND(IF(Metadata!P901="",FALSE,TRUE),exact(Metadata!P901,"kg"))</f>
        <v>0</v>
      </c>
      <c r="AR901">
        <f>OR(AND(IF(Metadata!Q901="",FALSE,TRUE),OR(exact(Metadata!Q901,"not applicable"),exact(Metadata!Q901,"not collected"),exact(Metadata!Q901,"not provided"),exact(Metadata!Q901,"restricted access"))),IF(Metadata!Q901="",FALSE,IF(ISERROR(INT(Metadata!Q901)),FALSE,INT(Metadata!Q901)=Metadata!Q901)))</f>
        <v>0</v>
      </c>
      <c r="AS901">
        <f>AND(IF(Metadata!R901="",FALSE,TRUE),exact(Metadata!R901,"Not applicable"))</f>
        <v>0</v>
      </c>
    </row>
    <row r="902" spans="1:45">
      <c r="A902" s="4">
        <f>IF(B902=" "," ",HYPERLINK(CONCATENATE("#metadata!",ADDRESS(INDEX($X$2:$X$1001,MATCH(ROWS($V$2:V902),$V$2:$V$1001,0),0),2)),INDEX($AA$2:$AA$1001,MATCH(ROWS($V$2:V902),$V$2:$V$1001,0),0)))</f>
        <v>0</v>
      </c>
      <c r="B902" s="5">
        <f>IF(OR(INDEX($W$2:$W$1001,MATCH(ROWS($V$2:V902),$V$2:$V$1001,0),1)&gt;=100000,INDEX($AC$1005:$AS$1005,1,MATCH(COLUMNS($AC$1006:AC1006),$AC$1006:$AS$1006,0))&gt;=100000), " ",IF(INDEX($AC$2:$AS$1001,MATCH(ROWS($V$2:V902),$V$2:$V$1001,0),MATCH(COLUMNS($AC$1006:AC1006),$AC$1006:$AS$1006,0)), HYPERLINK("#",""), HYPERLINK(CONCATENATE("#Metadata!", ADDRESS(INDEX($X$2:$X$1001,MATCH(ROWS($V$2:V902),$V$2:$V$1001,0),0), INDEX($AC$1004:$AS$1004,1,MATCH(COLUMNS($AC$1006:AC1006),$AC$1006:$AS$1006,0)))),"Fix")))</f>
        <v>0</v>
      </c>
      <c r="C902" s="5">
        <f>IF(OR(INDEX($W$2:$W$1001,MATCH(ROWS($V$2:V902),$V$2:$V$1001,0),1)&gt;=100000,INDEX($AC$1005:$AS$1005,1,MATCH(COLUMNS($AC$1006:AD1006),$AC$1006:$AS$1006,0))&gt;=100000), " ",IF(INDEX($AC$2:$AS$1001,MATCH(ROWS($V$2:V902),$V$2:$V$1001,0),MATCH(COLUMNS($AC$1006:AD1006),$AC$1006:$AS$1006,0)), HYPERLINK("#",""), HYPERLINK(CONCATENATE("#Metadata!", ADDRESS(INDEX($X$2:$X$1001,MATCH(ROWS($V$2:V902),$V$2:$V$1001,0),0), INDEX($AC$1004:$AS$1004,1,MATCH(COLUMNS($AC$1006:AD1006),$AC$1006:$AS$1006,0)))),"Fix")))</f>
        <v>0</v>
      </c>
      <c r="D902" s="5">
        <f>IF(OR(INDEX($W$2:$W$1001,MATCH(ROWS($V$2:V902),$V$2:$V$1001,0),1)&gt;=100000,INDEX($AC$1005:$AS$1005,1,MATCH(COLUMNS($AC$1006:AE1006),$AC$1006:$AS$1006,0))&gt;=100000), " ",IF(INDEX($AC$2:$AS$1001,MATCH(ROWS($V$2:V902),$V$2:$V$1001,0),MATCH(COLUMNS($AC$1006:AE1006),$AC$1006:$AS$1006,0)), HYPERLINK("#",""), HYPERLINK(CONCATENATE("#Metadata!", ADDRESS(INDEX($X$2:$X$1001,MATCH(ROWS($V$2:V902),$V$2:$V$1001,0),0), INDEX($AC$1004:$AS$1004,1,MATCH(COLUMNS($AC$1006:AE1006),$AC$1006:$AS$1006,0)))),"Fix")))</f>
        <v>0</v>
      </c>
      <c r="E902" s="5">
        <f>IF(OR(INDEX($W$2:$W$1001,MATCH(ROWS($V$2:V902),$V$2:$V$1001,0),1)&gt;=100000,INDEX($AC$1005:$AS$1005,1,MATCH(COLUMNS($AC$1006:AF1006),$AC$1006:$AS$1006,0))&gt;=100000), " ",IF(INDEX($AC$2:$AS$1001,MATCH(ROWS($V$2:V902),$V$2:$V$1001,0),MATCH(COLUMNS($AC$1006:AF1006),$AC$1006:$AS$1006,0)), HYPERLINK("#",""), HYPERLINK(CONCATENATE("#Metadata!", ADDRESS(INDEX($X$2:$X$1001,MATCH(ROWS($V$2:V902),$V$2:$V$1001,0),0), INDEX($AC$1004:$AS$1004,1,MATCH(COLUMNS($AC$1006:AF1006),$AC$1006:$AS$1006,0)))),"Fix")))</f>
        <v>0</v>
      </c>
      <c r="F902" s="5">
        <f>IF(OR(INDEX($W$2:$W$1001,MATCH(ROWS($V$2:V902),$V$2:$V$1001,0),1)&gt;=100000,INDEX($AC$1005:$AS$1005,1,MATCH(COLUMNS($AC$1006:AG1006),$AC$1006:$AS$1006,0))&gt;=100000), " ",IF(INDEX($AC$2:$AS$1001,MATCH(ROWS($V$2:V902),$V$2:$V$1001,0),MATCH(COLUMNS($AC$1006:AG1006),$AC$1006:$AS$1006,0)), HYPERLINK("#",""), HYPERLINK(CONCATENATE("#Metadata!", ADDRESS(INDEX($X$2:$X$1001,MATCH(ROWS($V$2:V902),$V$2:$V$1001,0),0), INDEX($AC$1004:$AS$1004,1,MATCH(COLUMNS($AC$1006:AG1006),$AC$1006:$AS$1006,0)))),"Fix")))</f>
        <v>0</v>
      </c>
      <c r="G902" s="5">
        <f>IF(OR(INDEX($W$2:$W$1001,MATCH(ROWS($V$2:V902),$V$2:$V$1001,0),1)&gt;=100000,INDEX($AC$1005:$AS$1005,1,MATCH(COLUMNS($AC$1006:AH1006),$AC$1006:$AS$1006,0))&gt;=100000), " ",IF(INDEX($AC$2:$AS$1001,MATCH(ROWS($V$2:V902),$V$2:$V$1001,0),MATCH(COLUMNS($AC$1006:AH1006),$AC$1006:$AS$1006,0)), HYPERLINK("#",""), HYPERLINK(CONCATENATE("#Metadata!", ADDRESS(INDEX($X$2:$X$1001,MATCH(ROWS($V$2:V902),$V$2:$V$1001,0),0), INDEX($AC$1004:$AS$1004,1,MATCH(COLUMNS($AC$1006:AH1006),$AC$1006:$AS$1006,0)))),"Fix")))</f>
        <v>0</v>
      </c>
      <c r="H902" s="5">
        <f>IF(OR(INDEX($W$2:$W$1001,MATCH(ROWS($V$2:V902),$V$2:$V$1001,0),1)&gt;=100000,INDEX($AC$1005:$AS$1005,1,MATCH(COLUMNS($AC$1006:AI1006),$AC$1006:$AS$1006,0))&gt;=100000), " ",IF(INDEX($AC$2:$AS$1001,MATCH(ROWS($V$2:V902),$V$2:$V$1001,0),MATCH(COLUMNS($AC$1006:AI1006),$AC$1006:$AS$1006,0)), HYPERLINK("#",""), HYPERLINK(CONCATENATE("#Metadata!", ADDRESS(INDEX($X$2:$X$1001,MATCH(ROWS($V$2:V902),$V$2:$V$1001,0),0), INDEX($AC$1004:$AS$1004,1,MATCH(COLUMNS($AC$1006:AI1006),$AC$1006:$AS$1006,0)))),"Fix")))</f>
        <v>0</v>
      </c>
      <c r="I902" s="5">
        <f>IF(OR(INDEX($W$2:$W$1001,MATCH(ROWS($V$2:V902),$V$2:$V$1001,0),1)&gt;=100000,INDEX($AC$1005:$AS$1005,1,MATCH(COLUMNS($AC$1006:AJ1006),$AC$1006:$AS$1006,0))&gt;=100000), " ",IF(INDEX($AC$2:$AS$1001,MATCH(ROWS($V$2:V902),$V$2:$V$1001,0),MATCH(COLUMNS($AC$1006:AJ1006),$AC$1006:$AS$1006,0)), HYPERLINK("#",""), HYPERLINK(CONCATENATE("#Metadata!", ADDRESS(INDEX($X$2:$X$1001,MATCH(ROWS($V$2:V902),$V$2:$V$1001,0),0), INDEX($AC$1004:$AS$1004,1,MATCH(COLUMNS($AC$1006:AJ1006),$AC$1006:$AS$1006,0)))),"Fix")))</f>
        <v>0</v>
      </c>
      <c r="J902" s="5">
        <f>IF(OR(INDEX($W$2:$W$1001,MATCH(ROWS($V$2:V902),$V$2:$V$1001,0),1)&gt;=100000,INDEX($AC$1005:$AS$1005,1,MATCH(COLUMNS($AC$1006:AK1006),$AC$1006:$AS$1006,0))&gt;=100000), " ",IF(INDEX($AC$2:$AS$1001,MATCH(ROWS($V$2:V902),$V$2:$V$1001,0),MATCH(COLUMNS($AC$1006:AK1006),$AC$1006:$AS$1006,0)), HYPERLINK("#",""), HYPERLINK(CONCATENATE("#Metadata!", ADDRESS(INDEX($X$2:$X$1001,MATCH(ROWS($V$2:V902),$V$2:$V$1001,0),0), INDEX($AC$1004:$AS$1004,1,MATCH(COLUMNS($AC$1006:AK1006),$AC$1006:$AS$1006,0)))),"Fix")))</f>
        <v>0</v>
      </c>
      <c r="K902" s="5">
        <f>IF(OR(INDEX($W$2:$W$1001,MATCH(ROWS($V$2:V902),$V$2:$V$1001,0),1)&gt;=100000,INDEX($AC$1005:$AS$1005,1,MATCH(COLUMNS($AC$1006:AL1006),$AC$1006:$AS$1006,0))&gt;=100000), " ",IF(INDEX($AC$2:$AS$1001,MATCH(ROWS($V$2:V902),$V$2:$V$1001,0),MATCH(COLUMNS($AC$1006:AL1006),$AC$1006:$AS$1006,0)), HYPERLINK("#",""), HYPERLINK(CONCATENATE("#Metadata!", ADDRESS(INDEX($X$2:$X$1001,MATCH(ROWS($V$2:V902),$V$2:$V$1001,0),0), INDEX($AC$1004:$AS$1004,1,MATCH(COLUMNS($AC$1006:AL1006),$AC$1006:$AS$1006,0)))),"Fix")))</f>
        <v>0</v>
      </c>
      <c r="L902" s="5">
        <f>IF(OR(INDEX($W$2:$W$1001,MATCH(ROWS($V$2:V902),$V$2:$V$1001,0),1)&gt;=100000,INDEX($AC$1005:$AS$1005,1,MATCH(COLUMNS($AC$1006:AM1006),$AC$1006:$AS$1006,0))&gt;=100000), " ",IF(INDEX($AC$2:$AS$1001,MATCH(ROWS($V$2:V902),$V$2:$V$1001,0),MATCH(COLUMNS($AC$1006:AM1006),$AC$1006:$AS$1006,0)), HYPERLINK("#",""), HYPERLINK(CONCATENATE("#Metadata!", ADDRESS(INDEX($X$2:$X$1001,MATCH(ROWS($V$2:V902),$V$2:$V$1001,0),0), INDEX($AC$1004:$AS$1004,1,MATCH(COLUMNS($AC$1006:AM1006),$AC$1006:$AS$1006,0)))),"Fix")))</f>
        <v>0</v>
      </c>
      <c r="M902" s="5">
        <f>IF(OR(INDEX($W$2:$W$1001,MATCH(ROWS($V$2:V902),$V$2:$V$1001,0),1)&gt;=100000,INDEX($AC$1005:$AS$1005,1,MATCH(COLUMNS($AC$1006:AN1006),$AC$1006:$AS$1006,0))&gt;=100000), " ",IF(INDEX($AC$2:$AS$1001,MATCH(ROWS($V$2:V902),$V$2:$V$1001,0),MATCH(COLUMNS($AC$1006:AN1006),$AC$1006:$AS$1006,0)), HYPERLINK("#",""), HYPERLINK(CONCATENATE("#Metadata!", ADDRESS(INDEX($X$2:$X$1001,MATCH(ROWS($V$2:V902),$V$2:$V$1001,0),0), INDEX($AC$1004:$AS$1004,1,MATCH(COLUMNS($AC$1006:AN1006),$AC$1006:$AS$1006,0)))),"Fix")))</f>
        <v>0</v>
      </c>
      <c r="N902" s="5">
        <f>IF(OR(INDEX($W$2:$W$1001,MATCH(ROWS($V$2:V902),$V$2:$V$1001,0),1)&gt;=100000,INDEX($AC$1005:$AS$1005,1,MATCH(COLUMNS($AC$1006:AO1006),$AC$1006:$AS$1006,0))&gt;=100000), " ",IF(INDEX($AC$2:$AS$1001,MATCH(ROWS($V$2:V902),$V$2:$V$1001,0),MATCH(COLUMNS($AC$1006:AO1006),$AC$1006:$AS$1006,0)), HYPERLINK("#",""), HYPERLINK(CONCATENATE("#Metadata!", ADDRESS(INDEX($X$2:$X$1001,MATCH(ROWS($V$2:V902),$V$2:$V$1001,0),0), INDEX($AC$1004:$AS$1004,1,MATCH(COLUMNS($AC$1006:AO1006),$AC$1006:$AS$1006,0)))),"Fix")))</f>
        <v>0</v>
      </c>
      <c r="O902" s="5">
        <f>IF(OR(INDEX($W$2:$W$1001,MATCH(ROWS($V$2:V902),$V$2:$V$1001,0),1)&gt;=100000,INDEX($AC$1005:$AS$1005,1,MATCH(COLUMNS($AC$1006:AP1006),$AC$1006:$AS$1006,0))&gt;=100000), " ",IF(INDEX($AC$2:$AS$1001,MATCH(ROWS($V$2:V902),$V$2:$V$1001,0),MATCH(COLUMNS($AC$1006:AP1006),$AC$1006:$AS$1006,0)), HYPERLINK("#",""), HYPERLINK(CONCATENATE("#Metadata!", ADDRESS(INDEX($X$2:$X$1001,MATCH(ROWS($V$2:V902),$V$2:$V$1001,0),0), INDEX($AC$1004:$AS$1004,1,MATCH(COLUMNS($AC$1006:AP1006),$AC$1006:$AS$1006,0)))),"Fix")))</f>
        <v>0</v>
      </c>
      <c r="P902" s="5">
        <f>IF(OR(INDEX($W$2:$W$1001,MATCH(ROWS($V$2:V902),$V$2:$V$1001,0),1)&gt;=100000,INDEX($AC$1005:$AS$1005,1,MATCH(COLUMNS($AC$1006:AQ1006),$AC$1006:$AS$1006,0))&gt;=100000), " ",IF(INDEX($AC$2:$AS$1001,MATCH(ROWS($V$2:V902),$V$2:$V$1001,0),MATCH(COLUMNS($AC$1006:AQ1006),$AC$1006:$AS$1006,0)), HYPERLINK("#",""), HYPERLINK(CONCATENATE("#Metadata!", ADDRESS(INDEX($X$2:$X$1001,MATCH(ROWS($V$2:V902),$V$2:$V$1001,0),0), INDEX($AC$1004:$AS$1004,1,MATCH(COLUMNS($AC$1006:AQ1006),$AC$1006:$AS$1006,0)))),"Fix")))</f>
        <v>0</v>
      </c>
      <c r="Q902" s="5">
        <f>IF(OR(INDEX($W$2:$W$1001,MATCH(ROWS($V$2:V902),$V$2:$V$1001,0),1)&gt;=100000,INDEX($AC$1005:$AS$1005,1,MATCH(COLUMNS($AC$1006:AR1006),$AC$1006:$AS$1006,0))&gt;=100000), " ",IF(INDEX($AC$2:$AS$1001,MATCH(ROWS($V$2:V902),$V$2:$V$1001,0),MATCH(COLUMNS($AC$1006:AR1006),$AC$1006:$AS$1006,0)), HYPERLINK("#",""), HYPERLINK(CONCATENATE("#Metadata!", ADDRESS(INDEX($X$2:$X$1001,MATCH(ROWS($V$2:V902),$V$2:$V$1001,0),0), INDEX($AC$1004:$AS$1004,1,MATCH(COLUMNS($AC$1006:AR1006),$AC$1006:$AS$1006,0)))),"Fix")))</f>
        <v>0</v>
      </c>
      <c r="R902" s="5">
        <f>IF(OR(INDEX($W$2:$W$1001,MATCH(ROWS($V$2:V902),$V$2:$V$1001,0),1)&gt;=100000,INDEX($AC$1005:$AS$1005,1,MATCH(COLUMNS($AC$1006:AS1006),$AC$1006:$AS$1006,0))&gt;=100000), " ",IF(INDEX($AC$2:$AS$1001,MATCH(ROWS($V$2:V902),$V$2:$V$1001,0),MATCH(COLUMNS($AC$1006:AS1006),$AC$1006:$AS$1006,0)), HYPERLINK("#",""), HYPERLINK(CONCATENATE("#Metadata!", ADDRESS(INDEX($X$2:$X$1001,MATCH(ROWS($V$2:V902),$V$2:$V$1001,0),0), INDEX($AC$1004:$AS$1004,1,MATCH(COLUMNS($AC$1006:AS1006),$AC$1006:$AS$1006,0)))),"Fix")))</f>
        <v>0</v>
      </c>
      <c r="V902">
        <v>0</v>
      </c>
      <c r="W902">
        <v>0</v>
      </c>
      <c r="X902">
        <v>0</v>
      </c>
      <c r="Y902">
        <f>IF(Z902,TRUE,AND(AC902:AS902))</f>
        <v>0</v>
      </c>
      <c r="Z902">
        <f>COUNTBLANK(Metadata!B902:R902)=COLUMNS(Metadata!B902:R902)</f>
        <v>0</v>
      </c>
      <c r="AA902">
        <v>0</v>
      </c>
      <c r="AC902">
        <f>AND(IF(Metadata!B902="",FALSE,TRUE),COUNTIF(Metadata!B:B, Metadata!B902) = 1,NOT(ISERROR(SUMPRODUCT(SEARCH(MID(Metadata!B902,ROW(INDIRECT("1:"&amp;LEN(Metadata!B902))), 1),"0123456789abcdefghijklmnopqrstuvwxyzABCDEFGHIJKLMNOPQRSTUVWXYZ.")))))</f>
        <v>0</v>
      </c>
      <c r="AD902">
        <f>AND(IF(Metadata!C902="",FALSE,TRUE),exact(Metadata!C902,"Host-associated"))</f>
        <v>0</v>
      </c>
      <c r="AE902">
        <f>AND(IF(Metadata!D902="",FALSE,TRUE),OR(exact(Metadata!D902,"Animal"),exact(Metadata!D902,"Fungus"),exact(Metadata!D902,"Plant")))</f>
        <v>0</v>
      </c>
      <c r="AF902">
        <f>AND(IF(Metadata!E902="",FALSE,TRUE),OR(exact(Metadata!E902,"Plant secretion"),exact(Metadata!E902,"Plant rhizosphere"),exact(Metadata!E902,"Plant surface"),exact(Metadata!E902,"Plant corpus"),exact(Metadata!E902,"Fungus surface"),exact(Metadata!E902,"Fungus corpus"),exact(Metadata!E902,"Animal surface"),exact(Metadata!E902,"Animal proximal gut"),exact(Metadata!E902,"Animal corpus"),exact(Metadata!E902,"Animal distal gut"),exact(Metadata!E902,"Animal secretion")))</f>
        <v>0</v>
      </c>
      <c r="AG902">
        <f>OR(AND(IF(Metadata!F902="",FALSE,TRUE),OR(exact(Metadata!F902,"not collected"),exact(Metadata!F902,"not provided"),exact(Metadata!F902,"restricted access"))),AND(IF(Metadata!F902="",FALSE,TRUE),OR(exact(Metadata!F902,"organism-associated habitat"),exact(Metadata!F902,"plant-associated habitat"),exact(Metadata!F902,"animal-associated habitat"),exact(Metadata!F902,"insecta-associated habitat"),exact(Metadata!F902,"mammalia-associated habitat"),exact(Metadata!F902,"human-associated habitat"),exact(Metadata!F902,"livestock-associated habitat"))))</f>
        <v>0</v>
      </c>
      <c r="AH902">
        <f>AND(IF(Metadata!G902="",FALSE,TRUE),exact(Metadata!G902,"host-associated"))</f>
        <v>0</v>
      </c>
      <c r="AI902">
        <f>OR(AND(IF(Metadata!H902="",FALSE,TRUE),OR(exact(Metadata!H902,"not collected"),exact(Metadata!H902,"not provided"))),AND(IF(Metadata!H902="",FALSE,ISNUMBER(VALUE(Metadata!H902))),Metadata!H902&gt;0))</f>
        <v>0</v>
      </c>
      <c r="AJ902">
        <f>AND(IF(Metadata!I902="",FALSE,TRUE),exact(Metadata!I902,"years"))</f>
        <v>0</v>
      </c>
      <c r="AK902">
        <f>IF(Metadata!J902="",FALSE,TRUE)</f>
        <v>0</v>
      </c>
      <c r="AL902">
        <f>OR(AND(IF(Metadata!K902="",FALSE,TRUE),OR(exact(Metadata!K902,"not collected"),exact(Metadata!K902,"not provided"))),AND(IF(Metadata!K902="",FALSE,ISNUMBER(VALUE(Metadata!K902))),Metadata!K902&gt;0))</f>
        <v>0</v>
      </c>
      <c r="AM902">
        <f>AND(IF(Metadata!L902="",FALSE,TRUE),exact(Metadata!L902,"cm"))</f>
        <v>0</v>
      </c>
      <c r="AN902">
        <f>IF(Metadata!M902="",FALSE,TRUE)</f>
        <v>0</v>
      </c>
      <c r="AO902">
        <f>OR(AND(IF(Metadata!N902="",FALSE,TRUE),OR(exact(Metadata!N902,"not applicable"),exact(Metadata!N902,"not collected"),exact(Metadata!N902,"not provided"))),AND(IF(Metadata!N902="",FALSE,IF(ISERROR(INT(Metadata!N902)),FALSE,INT(Metadata!N902)=Metadata!N902)),Metadata!N902&gt;0))</f>
        <v>0</v>
      </c>
      <c r="AP902">
        <f>OR(AND(IF(Metadata!O902="",FALSE,TRUE),OR(exact(Metadata!O902,"not collected"),exact(Metadata!O902,"not provided"))),AND(IF(Metadata!O902="",FALSE,ISNUMBER(VALUE(Metadata!O902))),Metadata!O902&gt;0))</f>
        <v>0</v>
      </c>
      <c r="AQ902">
        <f>AND(IF(Metadata!P902="",FALSE,TRUE),exact(Metadata!P902,"kg"))</f>
        <v>0</v>
      </c>
      <c r="AR902">
        <f>OR(AND(IF(Metadata!Q902="",FALSE,TRUE),OR(exact(Metadata!Q902,"not applicable"),exact(Metadata!Q902,"not collected"),exact(Metadata!Q902,"not provided"),exact(Metadata!Q902,"restricted access"))),IF(Metadata!Q902="",FALSE,IF(ISERROR(INT(Metadata!Q902)),FALSE,INT(Metadata!Q902)=Metadata!Q902)))</f>
        <v>0</v>
      </c>
      <c r="AS902">
        <f>AND(IF(Metadata!R902="",FALSE,TRUE),exact(Metadata!R902,"Not applicable"))</f>
        <v>0</v>
      </c>
    </row>
    <row r="903" spans="1:45">
      <c r="A903" s="4">
        <f>IF(B903=" "," ",HYPERLINK(CONCATENATE("#metadata!",ADDRESS(INDEX($X$2:$X$1001,MATCH(ROWS($V$2:V903),$V$2:$V$1001,0),0),2)),INDEX($AA$2:$AA$1001,MATCH(ROWS($V$2:V903),$V$2:$V$1001,0),0)))</f>
        <v>0</v>
      </c>
      <c r="B903" s="5">
        <f>IF(OR(INDEX($W$2:$W$1001,MATCH(ROWS($V$2:V903),$V$2:$V$1001,0),1)&gt;=100000,INDEX($AC$1005:$AS$1005,1,MATCH(COLUMNS($AC$1006:AC1006),$AC$1006:$AS$1006,0))&gt;=100000), " ",IF(INDEX($AC$2:$AS$1001,MATCH(ROWS($V$2:V903),$V$2:$V$1001,0),MATCH(COLUMNS($AC$1006:AC1006),$AC$1006:$AS$1006,0)), HYPERLINK("#",""), HYPERLINK(CONCATENATE("#Metadata!", ADDRESS(INDEX($X$2:$X$1001,MATCH(ROWS($V$2:V903),$V$2:$V$1001,0),0), INDEX($AC$1004:$AS$1004,1,MATCH(COLUMNS($AC$1006:AC1006),$AC$1006:$AS$1006,0)))),"Fix")))</f>
        <v>0</v>
      </c>
      <c r="C903" s="5">
        <f>IF(OR(INDEX($W$2:$W$1001,MATCH(ROWS($V$2:V903),$V$2:$V$1001,0),1)&gt;=100000,INDEX($AC$1005:$AS$1005,1,MATCH(COLUMNS($AC$1006:AD1006),$AC$1006:$AS$1006,0))&gt;=100000), " ",IF(INDEX($AC$2:$AS$1001,MATCH(ROWS($V$2:V903),$V$2:$V$1001,0),MATCH(COLUMNS($AC$1006:AD1006),$AC$1006:$AS$1006,0)), HYPERLINK("#",""), HYPERLINK(CONCATENATE("#Metadata!", ADDRESS(INDEX($X$2:$X$1001,MATCH(ROWS($V$2:V903),$V$2:$V$1001,0),0), INDEX($AC$1004:$AS$1004,1,MATCH(COLUMNS($AC$1006:AD1006),$AC$1006:$AS$1006,0)))),"Fix")))</f>
        <v>0</v>
      </c>
      <c r="D903" s="5">
        <f>IF(OR(INDEX($W$2:$W$1001,MATCH(ROWS($V$2:V903),$V$2:$V$1001,0),1)&gt;=100000,INDEX($AC$1005:$AS$1005,1,MATCH(COLUMNS($AC$1006:AE1006),$AC$1006:$AS$1006,0))&gt;=100000), " ",IF(INDEX($AC$2:$AS$1001,MATCH(ROWS($V$2:V903),$V$2:$V$1001,0),MATCH(COLUMNS($AC$1006:AE1006),$AC$1006:$AS$1006,0)), HYPERLINK("#",""), HYPERLINK(CONCATENATE("#Metadata!", ADDRESS(INDEX($X$2:$X$1001,MATCH(ROWS($V$2:V903),$V$2:$V$1001,0),0), INDEX($AC$1004:$AS$1004,1,MATCH(COLUMNS($AC$1006:AE1006),$AC$1006:$AS$1006,0)))),"Fix")))</f>
        <v>0</v>
      </c>
      <c r="E903" s="5">
        <f>IF(OR(INDEX($W$2:$W$1001,MATCH(ROWS($V$2:V903),$V$2:$V$1001,0),1)&gt;=100000,INDEX($AC$1005:$AS$1005,1,MATCH(COLUMNS($AC$1006:AF1006),$AC$1006:$AS$1006,0))&gt;=100000), " ",IF(INDEX($AC$2:$AS$1001,MATCH(ROWS($V$2:V903),$V$2:$V$1001,0),MATCH(COLUMNS($AC$1006:AF1006),$AC$1006:$AS$1006,0)), HYPERLINK("#",""), HYPERLINK(CONCATENATE("#Metadata!", ADDRESS(INDEX($X$2:$X$1001,MATCH(ROWS($V$2:V903),$V$2:$V$1001,0),0), INDEX($AC$1004:$AS$1004,1,MATCH(COLUMNS($AC$1006:AF1006),$AC$1006:$AS$1006,0)))),"Fix")))</f>
        <v>0</v>
      </c>
      <c r="F903" s="5">
        <f>IF(OR(INDEX($W$2:$W$1001,MATCH(ROWS($V$2:V903),$V$2:$V$1001,0),1)&gt;=100000,INDEX($AC$1005:$AS$1005,1,MATCH(COLUMNS($AC$1006:AG1006),$AC$1006:$AS$1006,0))&gt;=100000), " ",IF(INDEX($AC$2:$AS$1001,MATCH(ROWS($V$2:V903),$V$2:$V$1001,0),MATCH(COLUMNS($AC$1006:AG1006),$AC$1006:$AS$1006,0)), HYPERLINK("#",""), HYPERLINK(CONCATENATE("#Metadata!", ADDRESS(INDEX($X$2:$X$1001,MATCH(ROWS($V$2:V903),$V$2:$V$1001,0),0), INDEX($AC$1004:$AS$1004,1,MATCH(COLUMNS($AC$1006:AG1006),$AC$1006:$AS$1006,0)))),"Fix")))</f>
        <v>0</v>
      </c>
      <c r="G903" s="5">
        <f>IF(OR(INDEX($W$2:$W$1001,MATCH(ROWS($V$2:V903),$V$2:$V$1001,0),1)&gt;=100000,INDEX($AC$1005:$AS$1005,1,MATCH(COLUMNS($AC$1006:AH1006),$AC$1006:$AS$1006,0))&gt;=100000), " ",IF(INDEX($AC$2:$AS$1001,MATCH(ROWS($V$2:V903),$V$2:$V$1001,0),MATCH(COLUMNS($AC$1006:AH1006),$AC$1006:$AS$1006,0)), HYPERLINK("#",""), HYPERLINK(CONCATENATE("#Metadata!", ADDRESS(INDEX($X$2:$X$1001,MATCH(ROWS($V$2:V903),$V$2:$V$1001,0),0), INDEX($AC$1004:$AS$1004,1,MATCH(COLUMNS($AC$1006:AH1006),$AC$1006:$AS$1006,0)))),"Fix")))</f>
        <v>0</v>
      </c>
      <c r="H903" s="5">
        <f>IF(OR(INDEX($W$2:$W$1001,MATCH(ROWS($V$2:V903),$V$2:$V$1001,0),1)&gt;=100000,INDEX($AC$1005:$AS$1005,1,MATCH(COLUMNS($AC$1006:AI1006),$AC$1006:$AS$1006,0))&gt;=100000), " ",IF(INDEX($AC$2:$AS$1001,MATCH(ROWS($V$2:V903),$V$2:$V$1001,0),MATCH(COLUMNS($AC$1006:AI1006),$AC$1006:$AS$1006,0)), HYPERLINK("#",""), HYPERLINK(CONCATENATE("#Metadata!", ADDRESS(INDEX($X$2:$X$1001,MATCH(ROWS($V$2:V903),$V$2:$V$1001,0),0), INDEX($AC$1004:$AS$1004,1,MATCH(COLUMNS($AC$1006:AI1006),$AC$1006:$AS$1006,0)))),"Fix")))</f>
        <v>0</v>
      </c>
      <c r="I903" s="5">
        <f>IF(OR(INDEX($W$2:$W$1001,MATCH(ROWS($V$2:V903),$V$2:$V$1001,0),1)&gt;=100000,INDEX($AC$1005:$AS$1005,1,MATCH(COLUMNS($AC$1006:AJ1006),$AC$1006:$AS$1006,0))&gt;=100000), " ",IF(INDEX($AC$2:$AS$1001,MATCH(ROWS($V$2:V903),$V$2:$V$1001,0),MATCH(COLUMNS($AC$1006:AJ1006),$AC$1006:$AS$1006,0)), HYPERLINK("#",""), HYPERLINK(CONCATENATE("#Metadata!", ADDRESS(INDEX($X$2:$X$1001,MATCH(ROWS($V$2:V903),$V$2:$V$1001,0),0), INDEX($AC$1004:$AS$1004,1,MATCH(COLUMNS($AC$1006:AJ1006),$AC$1006:$AS$1006,0)))),"Fix")))</f>
        <v>0</v>
      </c>
      <c r="J903" s="5">
        <f>IF(OR(INDEX($W$2:$W$1001,MATCH(ROWS($V$2:V903),$V$2:$V$1001,0),1)&gt;=100000,INDEX($AC$1005:$AS$1005,1,MATCH(COLUMNS($AC$1006:AK1006),$AC$1006:$AS$1006,0))&gt;=100000), " ",IF(INDEX($AC$2:$AS$1001,MATCH(ROWS($V$2:V903),$V$2:$V$1001,0),MATCH(COLUMNS($AC$1006:AK1006),$AC$1006:$AS$1006,0)), HYPERLINK("#",""), HYPERLINK(CONCATENATE("#Metadata!", ADDRESS(INDEX($X$2:$X$1001,MATCH(ROWS($V$2:V903),$V$2:$V$1001,0),0), INDEX($AC$1004:$AS$1004,1,MATCH(COLUMNS($AC$1006:AK1006),$AC$1006:$AS$1006,0)))),"Fix")))</f>
        <v>0</v>
      </c>
      <c r="K903" s="5">
        <f>IF(OR(INDEX($W$2:$W$1001,MATCH(ROWS($V$2:V903),$V$2:$V$1001,0),1)&gt;=100000,INDEX($AC$1005:$AS$1005,1,MATCH(COLUMNS($AC$1006:AL1006),$AC$1006:$AS$1006,0))&gt;=100000), " ",IF(INDEX($AC$2:$AS$1001,MATCH(ROWS($V$2:V903),$V$2:$V$1001,0),MATCH(COLUMNS($AC$1006:AL1006),$AC$1006:$AS$1006,0)), HYPERLINK("#",""), HYPERLINK(CONCATENATE("#Metadata!", ADDRESS(INDEX($X$2:$X$1001,MATCH(ROWS($V$2:V903),$V$2:$V$1001,0),0), INDEX($AC$1004:$AS$1004,1,MATCH(COLUMNS($AC$1006:AL1006),$AC$1006:$AS$1006,0)))),"Fix")))</f>
        <v>0</v>
      </c>
      <c r="L903" s="5">
        <f>IF(OR(INDEX($W$2:$W$1001,MATCH(ROWS($V$2:V903),$V$2:$V$1001,0),1)&gt;=100000,INDEX($AC$1005:$AS$1005,1,MATCH(COLUMNS($AC$1006:AM1006),$AC$1006:$AS$1006,0))&gt;=100000), " ",IF(INDEX($AC$2:$AS$1001,MATCH(ROWS($V$2:V903),$V$2:$V$1001,0),MATCH(COLUMNS($AC$1006:AM1006),$AC$1006:$AS$1006,0)), HYPERLINK("#",""), HYPERLINK(CONCATENATE("#Metadata!", ADDRESS(INDEX($X$2:$X$1001,MATCH(ROWS($V$2:V903),$V$2:$V$1001,0),0), INDEX($AC$1004:$AS$1004,1,MATCH(COLUMNS($AC$1006:AM1006),$AC$1006:$AS$1006,0)))),"Fix")))</f>
        <v>0</v>
      </c>
      <c r="M903" s="5">
        <f>IF(OR(INDEX($W$2:$W$1001,MATCH(ROWS($V$2:V903),$V$2:$V$1001,0),1)&gt;=100000,INDEX($AC$1005:$AS$1005,1,MATCH(COLUMNS($AC$1006:AN1006),$AC$1006:$AS$1006,0))&gt;=100000), " ",IF(INDEX($AC$2:$AS$1001,MATCH(ROWS($V$2:V903),$V$2:$V$1001,0),MATCH(COLUMNS($AC$1006:AN1006),$AC$1006:$AS$1006,0)), HYPERLINK("#",""), HYPERLINK(CONCATENATE("#Metadata!", ADDRESS(INDEX($X$2:$X$1001,MATCH(ROWS($V$2:V903),$V$2:$V$1001,0),0), INDEX($AC$1004:$AS$1004,1,MATCH(COLUMNS($AC$1006:AN1006),$AC$1006:$AS$1006,0)))),"Fix")))</f>
        <v>0</v>
      </c>
      <c r="N903" s="5">
        <f>IF(OR(INDEX($W$2:$W$1001,MATCH(ROWS($V$2:V903),$V$2:$V$1001,0),1)&gt;=100000,INDEX($AC$1005:$AS$1005,1,MATCH(COLUMNS($AC$1006:AO1006),$AC$1006:$AS$1006,0))&gt;=100000), " ",IF(INDEX($AC$2:$AS$1001,MATCH(ROWS($V$2:V903),$V$2:$V$1001,0),MATCH(COLUMNS($AC$1006:AO1006),$AC$1006:$AS$1006,0)), HYPERLINK("#",""), HYPERLINK(CONCATENATE("#Metadata!", ADDRESS(INDEX($X$2:$X$1001,MATCH(ROWS($V$2:V903),$V$2:$V$1001,0),0), INDEX($AC$1004:$AS$1004,1,MATCH(COLUMNS($AC$1006:AO1006),$AC$1006:$AS$1006,0)))),"Fix")))</f>
        <v>0</v>
      </c>
      <c r="O903" s="5">
        <f>IF(OR(INDEX($W$2:$W$1001,MATCH(ROWS($V$2:V903),$V$2:$V$1001,0),1)&gt;=100000,INDEX($AC$1005:$AS$1005,1,MATCH(COLUMNS($AC$1006:AP1006),$AC$1006:$AS$1006,0))&gt;=100000), " ",IF(INDEX($AC$2:$AS$1001,MATCH(ROWS($V$2:V903),$V$2:$V$1001,0),MATCH(COLUMNS($AC$1006:AP1006),$AC$1006:$AS$1006,0)), HYPERLINK("#",""), HYPERLINK(CONCATENATE("#Metadata!", ADDRESS(INDEX($X$2:$X$1001,MATCH(ROWS($V$2:V903),$V$2:$V$1001,0),0), INDEX($AC$1004:$AS$1004,1,MATCH(COLUMNS($AC$1006:AP1006),$AC$1006:$AS$1006,0)))),"Fix")))</f>
        <v>0</v>
      </c>
      <c r="P903" s="5">
        <f>IF(OR(INDEX($W$2:$W$1001,MATCH(ROWS($V$2:V903),$V$2:$V$1001,0),1)&gt;=100000,INDEX($AC$1005:$AS$1005,1,MATCH(COLUMNS($AC$1006:AQ1006),$AC$1006:$AS$1006,0))&gt;=100000), " ",IF(INDEX($AC$2:$AS$1001,MATCH(ROWS($V$2:V903),$V$2:$V$1001,0),MATCH(COLUMNS($AC$1006:AQ1006),$AC$1006:$AS$1006,0)), HYPERLINK("#",""), HYPERLINK(CONCATENATE("#Metadata!", ADDRESS(INDEX($X$2:$X$1001,MATCH(ROWS($V$2:V903),$V$2:$V$1001,0),0), INDEX($AC$1004:$AS$1004,1,MATCH(COLUMNS($AC$1006:AQ1006),$AC$1006:$AS$1006,0)))),"Fix")))</f>
        <v>0</v>
      </c>
      <c r="Q903" s="5">
        <f>IF(OR(INDEX($W$2:$W$1001,MATCH(ROWS($V$2:V903),$V$2:$V$1001,0),1)&gt;=100000,INDEX($AC$1005:$AS$1005,1,MATCH(COLUMNS($AC$1006:AR1006),$AC$1006:$AS$1006,0))&gt;=100000), " ",IF(INDEX($AC$2:$AS$1001,MATCH(ROWS($V$2:V903),$V$2:$V$1001,0),MATCH(COLUMNS($AC$1006:AR1006),$AC$1006:$AS$1006,0)), HYPERLINK("#",""), HYPERLINK(CONCATENATE("#Metadata!", ADDRESS(INDEX($X$2:$X$1001,MATCH(ROWS($V$2:V903),$V$2:$V$1001,0),0), INDEX($AC$1004:$AS$1004,1,MATCH(COLUMNS($AC$1006:AR1006),$AC$1006:$AS$1006,0)))),"Fix")))</f>
        <v>0</v>
      </c>
      <c r="R903" s="5">
        <f>IF(OR(INDEX($W$2:$W$1001,MATCH(ROWS($V$2:V903),$V$2:$V$1001,0),1)&gt;=100000,INDEX($AC$1005:$AS$1005,1,MATCH(COLUMNS($AC$1006:AS1006),$AC$1006:$AS$1006,0))&gt;=100000), " ",IF(INDEX($AC$2:$AS$1001,MATCH(ROWS($V$2:V903),$V$2:$V$1001,0),MATCH(COLUMNS($AC$1006:AS1006),$AC$1006:$AS$1006,0)), HYPERLINK("#",""), HYPERLINK(CONCATENATE("#Metadata!", ADDRESS(INDEX($X$2:$X$1001,MATCH(ROWS($V$2:V903),$V$2:$V$1001,0),0), INDEX($AC$1004:$AS$1004,1,MATCH(COLUMNS($AC$1006:AS1006),$AC$1006:$AS$1006,0)))),"Fix")))</f>
        <v>0</v>
      </c>
      <c r="V903">
        <v>0</v>
      </c>
      <c r="W903">
        <v>0</v>
      </c>
      <c r="X903">
        <v>0</v>
      </c>
      <c r="Y903">
        <f>IF(Z903,TRUE,AND(AC903:AS903))</f>
        <v>0</v>
      </c>
      <c r="Z903">
        <f>COUNTBLANK(Metadata!B903:R903)=COLUMNS(Metadata!B903:R903)</f>
        <v>0</v>
      </c>
      <c r="AA903">
        <v>0</v>
      </c>
      <c r="AC903">
        <f>AND(IF(Metadata!B903="",FALSE,TRUE),COUNTIF(Metadata!B:B, Metadata!B903) = 1,NOT(ISERROR(SUMPRODUCT(SEARCH(MID(Metadata!B903,ROW(INDIRECT("1:"&amp;LEN(Metadata!B903))), 1),"0123456789abcdefghijklmnopqrstuvwxyzABCDEFGHIJKLMNOPQRSTUVWXYZ.")))))</f>
        <v>0</v>
      </c>
      <c r="AD903">
        <f>AND(IF(Metadata!C903="",FALSE,TRUE),exact(Metadata!C903,"Host-associated"))</f>
        <v>0</v>
      </c>
      <c r="AE903">
        <f>AND(IF(Metadata!D903="",FALSE,TRUE),OR(exact(Metadata!D903,"Animal"),exact(Metadata!D903,"Fungus"),exact(Metadata!D903,"Plant")))</f>
        <v>0</v>
      </c>
      <c r="AF903">
        <f>AND(IF(Metadata!E903="",FALSE,TRUE),OR(exact(Metadata!E903,"Plant secretion"),exact(Metadata!E903,"Plant rhizosphere"),exact(Metadata!E903,"Plant surface"),exact(Metadata!E903,"Plant corpus"),exact(Metadata!E903,"Fungus surface"),exact(Metadata!E903,"Fungus corpus"),exact(Metadata!E903,"Animal surface"),exact(Metadata!E903,"Animal proximal gut"),exact(Metadata!E903,"Animal corpus"),exact(Metadata!E903,"Animal distal gut"),exact(Metadata!E903,"Animal secretion")))</f>
        <v>0</v>
      </c>
      <c r="AG903">
        <f>OR(AND(IF(Metadata!F903="",FALSE,TRUE),OR(exact(Metadata!F903,"not collected"),exact(Metadata!F903,"not provided"),exact(Metadata!F903,"restricted access"))),AND(IF(Metadata!F903="",FALSE,TRUE),OR(exact(Metadata!F903,"organism-associated habitat"),exact(Metadata!F903,"plant-associated habitat"),exact(Metadata!F903,"animal-associated habitat"),exact(Metadata!F903,"insecta-associated habitat"),exact(Metadata!F903,"mammalia-associated habitat"),exact(Metadata!F903,"human-associated habitat"),exact(Metadata!F903,"livestock-associated habitat"))))</f>
        <v>0</v>
      </c>
      <c r="AH903">
        <f>AND(IF(Metadata!G903="",FALSE,TRUE),exact(Metadata!G903,"host-associated"))</f>
        <v>0</v>
      </c>
      <c r="AI903">
        <f>OR(AND(IF(Metadata!H903="",FALSE,TRUE),OR(exact(Metadata!H903,"not collected"),exact(Metadata!H903,"not provided"))),AND(IF(Metadata!H903="",FALSE,ISNUMBER(VALUE(Metadata!H903))),Metadata!H903&gt;0))</f>
        <v>0</v>
      </c>
      <c r="AJ903">
        <f>AND(IF(Metadata!I903="",FALSE,TRUE),exact(Metadata!I903,"years"))</f>
        <v>0</v>
      </c>
      <c r="AK903">
        <f>IF(Metadata!J903="",FALSE,TRUE)</f>
        <v>0</v>
      </c>
      <c r="AL903">
        <f>OR(AND(IF(Metadata!K903="",FALSE,TRUE),OR(exact(Metadata!K903,"not collected"),exact(Metadata!K903,"not provided"))),AND(IF(Metadata!K903="",FALSE,ISNUMBER(VALUE(Metadata!K903))),Metadata!K903&gt;0))</f>
        <v>0</v>
      </c>
      <c r="AM903">
        <f>AND(IF(Metadata!L903="",FALSE,TRUE),exact(Metadata!L903,"cm"))</f>
        <v>0</v>
      </c>
      <c r="AN903">
        <f>IF(Metadata!M903="",FALSE,TRUE)</f>
        <v>0</v>
      </c>
      <c r="AO903">
        <f>OR(AND(IF(Metadata!N903="",FALSE,TRUE),OR(exact(Metadata!N903,"not applicable"),exact(Metadata!N903,"not collected"),exact(Metadata!N903,"not provided"))),AND(IF(Metadata!N903="",FALSE,IF(ISERROR(INT(Metadata!N903)),FALSE,INT(Metadata!N903)=Metadata!N903)),Metadata!N903&gt;0))</f>
        <v>0</v>
      </c>
      <c r="AP903">
        <f>OR(AND(IF(Metadata!O903="",FALSE,TRUE),OR(exact(Metadata!O903,"not collected"),exact(Metadata!O903,"not provided"))),AND(IF(Metadata!O903="",FALSE,ISNUMBER(VALUE(Metadata!O903))),Metadata!O903&gt;0))</f>
        <v>0</v>
      </c>
      <c r="AQ903">
        <f>AND(IF(Metadata!P903="",FALSE,TRUE),exact(Metadata!P903,"kg"))</f>
        <v>0</v>
      </c>
      <c r="AR903">
        <f>OR(AND(IF(Metadata!Q903="",FALSE,TRUE),OR(exact(Metadata!Q903,"not applicable"),exact(Metadata!Q903,"not collected"),exact(Metadata!Q903,"not provided"),exact(Metadata!Q903,"restricted access"))),IF(Metadata!Q903="",FALSE,IF(ISERROR(INT(Metadata!Q903)),FALSE,INT(Metadata!Q903)=Metadata!Q903)))</f>
        <v>0</v>
      </c>
      <c r="AS903">
        <f>AND(IF(Metadata!R903="",FALSE,TRUE),exact(Metadata!R903,"Not applicable"))</f>
        <v>0</v>
      </c>
    </row>
    <row r="904" spans="1:45">
      <c r="A904" s="4">
        <f>IF(B904=" "," ",HYPERLINK(CONCATENATE("#metadata!",ADDRESS(INDEX($X$2:$X$1001,MATCH(ROWS($V$2:V904),$V$2:$V$1001,0),0),2)),INDEX($AA$2:$AA$1001,MATCH(ROWS($V$2:V904),$V$2:$V$1001,0),0)))</f>
        <v>0</v>
      </c>
      <c r="B904" s="5">
        <f>IF(OR(INDEX($W$2:$W$1001,MATCH(ROWS($V$2:V904),$V$2:$V$1001,0),1)&gt;=100000,INDEX($AC$1005:$AS$1005,1,MATCH(COLUMNS($AC$1006:AC1006),$AC$1006:$AS$1006,0))&gt;=100000), " ",IF(INDEX($AC$2:$AS$1001,MATCH(ROWS($V$2:V904),$V$2:$V$1001,0),MATCH(COLUMNS($AC$1006:AC1006),$AC$1006:$AS$1006,0)), HYPERLINK("#",""), HYPERLINK(CONCATENATE("#Metadata!", ADDRESS(INDEX($X$2:$X$1001,MATCH(ROWS($V$2:V904),$V$2:$V$1001,0),0), INDEX($AC$1004:$AS$1004,1,MATCH(COLUMNS($AC$1006:AC1006),$AC$1006:$AS$1006,0)))),"Fix")))</f>
        <v>0</v>
      </c>
      <c r="C904" s="5">
        <f>IF(OR(INDEX($W$2:$W$1001,MATCH(ROWS($V$2:V904),$V$2:$V$1001,0),1)&gt;=100000,INDEX($AC$1005:$AS$1005,1,MATCH(COLUMNS($AC$1006:AD1006),$AC$1006:$AS$1006,0))&gt;=100000), " ",IF(INDEX($AC$2:$AS$1001,MATCH(ROWS($V$2:V904),$V$2:$V$1001,0),MATCH(COLUMNS($AC$1006:AD1006),$AC$1006:$AS$1006,0)), HYPERLINK("#",""), HYPERLINK(CONCATENATE("#Metadata!", ADDRESS(INDEX($X$2:$X$1001,MATCH(ROWS($V$2:V904),$V$2:$V$1001,0),0), INDEX($AC$1004:$AS$1004,1,MATCH(COLUMNS($AC$1006:AD1006),$AC$1006:$AS$1006,0)))),"Fix")))</f>
        <v>0</v>
      </c>
      <c r="D904" s="5">
        <f>IF(OR(INDEX($W$2:$W$1001,MATCH(ROWS($V$2:V904),$V$2:$V$1001,0),1)&gt;=100000,INDEX($AC$1005:$AS$1005,1,MATCH(COLUMNS($AC$1006:AE1006),$AC$1006:$AS$1006,0))&gt;=100000), " ",IF(INDEX($AC$2:$AS$1001,MATCH(ROWS($V$2:V904),$V$2:$V$1001,0),MATCH(COLUMNS($AC$1006:AE1006),$AC$1006:$AS$1006,0)), HYPERLINK("#",""), HYPERLINK(CONCATENATE("#Metadata!", ADDRESS(INDEX($X$2:$X$1001,MATCH(ROWS($V$2:V904),$V$2:$V$1001,0),0), INDEX($AC$1004:$AS$1004,1,MATCH(COLUMNS($AC$1006:AE1006),$AC$1006:$AS$1006,0)))),"Fix")))</f>
        <v>0</v>
      </c>
      <c r="E904" s="5">
        <f>IF(OR(INDEX($W$2:$W$1001,MATCH(ROWS($V$2:V904),$V$2:$V$1001,0),1)&gt;=100000,INDEX($AC$1005:$AS$1005,1,MATCH(COLUMNS($AC$1006:AF1006),$AC$1006:$AS$1006,0))&gt;=100000), " ",IF(INDEX($AC$2:$AS$1001,MATCH(ROWS($V$2:V904),$V$2:$V$1001,0),MATCH(COLUMNS($AC$1006:AF1006),$AC$1006:$AS$1006,0)), HYPERLINK("#",""), HYPERLINK(CONCATENATE("#Metadata!", ADDRESS(INDEX($X$2:$X$1001,MATCH(ROWS($V$2:V904),$V$2:$V$1001,0),0), INDEX($AC$1004:$AS$1004,1,MATCH(COLUMNS($AC$1006:AF1006),$AC$1006:$AS$1006,0)))),"Fix")))</f>
        <v>0</v>
      </c>
      <c r="F904" s="5">
        <f>IF(OR(INDEX($W$2:$W$1001,MATCH(ROWS($V$2:V904),$V$2:$V$1001,0),1)&gt;=100000,INDEX($AC$1005:$AS$1005,1,MATCH(COLUMNS($AC$1006:AG1006),$AC$1006:$AS$1006,0))&gt;=100000), " ",IF(INDEX($AC$2:$AS$1001,MATCH(ROWS($V$2:V904),$V$2:$V$1001,0),MATCH(COLUMNS($AC$1006:AG1006),$AC$1006:$AS$1006,0)), HYPERLINK("#",""), HYPERLINK(CONCATENATE("#Metadata!", ADDRESS(INDEX($X$2:$X$1001,MATCH(ROWS($V$2:V904),$V$2:$V$1001,0),0), INDEX($AC$1004:$AS$1004,1,MATCH(COLUMNS($AC$1006:AG1006),$AC$1006:$AS$1006,0)))),"Fix")))</f>
        <v>0</v>
      </c>
      <c r="G904" s="5">
        <f>IF(OR(INDEX($W$2:$W$1001,MATCH(ROWS($V$2:V904),$V$2:$V$1001,0),1)&gt;=100000,INDEX($AC$1005:$AS$1005,1,MATCH(COLUMNS($AC$1006:AH1006),$AC$1006:$AS$1006,0))&gt;=100000), " ",IF(INDEX($AC$2:$AS$1001,MATCH(ROWS($V$2:V904),$V$2:$V$1001,0),MATCH(COLUMNS($AC$1006:AH1006),$AC$1006:$AS$1006,0)), HYPERLINK("#",""), HYPERLINK(CONCATENATE("#Metadata!", ADDRESS(INDEX($X$2:$X$1001,MATCH(ROWS($V$2:V904),$V$2:$V$1001,0),0), INDEX($AC$1004:$AS$1004,1,MATCH(COLUMNS($AC$1006:AH1006),$AC$1006:$AS$1006,0)))),"Fix")))</f>
        <v>0</v>
      </c>
      <c r="H904" s="5">
        <f>IF(OR(INDEX($W$2:$W$1001,MATCH(ROWS($V$2:V904),$V$2:$V$1001,0),1)&gt;=100000,INDEX($AC$1005:$AS$1005,1,MATCH(COLUMNS($AC$1006:AI1006),$AC$1006:$AS$1006,0))&gt;=100000), " ",IF(INDEX($AC$2:$AS$1001,MATCH(ROWS($V$2:V904),$V$2:$V$1001,0),MATCH(COLUMNS($AC$1006:AI1006),$AC$1006:$AS$1006,0)), HYPERLINK("#",""), HYPERLINK(CONCATENATE("#Metadata!", ADDRESS(INDEX($X$2:$X$1001,MATCH(ROWS($V$2:V904),$V$2:$V$1001,0),0), INDEX($AC$1004:$AS$1004,1,MATCH(COLUMNS($AC$1006:AI1006),$AC$1006:$AS$1006,0)))),"Fix")))</f>
        <v>0</v>
      </c>
      <c r="I904" s="5">
        <f>IF(OR(INDEX($W$2:$W$1001,MATCH(ROWS($V$2:V904),$V$2:$V$1001,0),1)&gt;=100000,INDEX($AC$1005:$AS$1005,1,MATCH(COLUMNS($AC$1006:AJ1006),$AC$1006:$AS$1006,0))&gt;=100000), " ",IF(INDEX($AC$2:$AS$1001,MATCH(ROWS($V$2:V904),$V$2:$V$1001,0),MATCH(COLUMNS($AC$1006:AJ1006),$AC$1006:$AS$1006,0)), HYPERLINK("#",""), HYPERLINK(CONCATENATE("#Metadata!", ADDRESS(INDEX($X$2:$X$1001,MATCH(ROWS($V$2:V904),$V$2:$V$1001,0),0), INDEX($AC$1004:$AS$1004,1,MATCH(COLUMNS($AC$1006:AJ1006),$AC$1006:$AS$1006,0)))),"Fix")))</f>
        <v>0</v>
      </c>
      <c r="J904" s="5">
        <f>IF(OR(INDEX($W$2:$W$1001,MATCH(ROWS($V$2:V904),$V$2:$V$1001,0),1)&gt;=100000,INDEX($AC$1005:$AS$1005,1,MATCH(COLUMNS($AC$1006:AK1006),$AC$1006:$AS$1006,0))&gt;=100000), " ",IF(INDEX($AC$2:$AS$1001,MATCH(ROWS($V$2:V904),$V$2:$V$1001,0),MATCH(COLUMNS($AC$1006:AK1006),$AC$1006:$AS$1006,0)), HYPERLINK("#",""), HYPERLINK(CONCATENATE("#Metadata!", ADDRESS(INDEX($X$2:$X$1001,MATCH(ROWS($V$2:V904),$V$2:$V$1001,0),0), INDEX($AC$1004:$AS$1004,1,MATCH(COLUMNS($AC$1006:AK1006),$AC$1006:$AS$1006,0)))),"Fix")))</f>
        <v>0</v>
      </c>
      <c r="K904" s="5">
        <f>IF(OR(INDEX($W$2:$W$1001,MATCH(ROWS($V$2:V904),$V$2:$V$1001,0),1)&gt;=100000,INDEX($AC$1005:$AS$1005,1,MATCH(COLUMNS($AC$1006:AL1006),$AC$1006:$AS$1006,0))&gt;=100000), " ",IF(INDEX($AC$2:$AS$1001,MATCH(ROWS($V$2:V904),$V$2:$V$1001,0),MATCH(COLUMNS($AC$1006:AL1006),$AC$1006:$AS$1006,0)), HYPERLINK("#",""), HYPERLINK(CONCATENATE("#Metadata!", ADDRESS(INDEX($X$2:$X$1001,MATCH(ROWS($V$2:V904),$V$2:$V$1001,0),0), INDEX($AC$1004:$AS$1004,1,MATCH(COLUMNS($AC$1006:AL1006),$AC$1006:$AS$1006,0)))),"Fix")))</f>
        <v>0</v>
      </c>
      <c r="L904" s="5">
        <f>IF(OR(INDEX($W$2:$W$1001,MATCH(ROWS($V$2:V904),$V$2:$V$1001,0),1)&gt;=100000,INDEX($AC$1005:$AS$1005,1,MATCH(COLUMNS($AC$1006:AM1006),$AC$1006:$AS$1006,0))&gt;=100000), " ",IF(INDEX($AC$2:$AS$1001,MATCH(ROWS($V$2:V904),$V$2:$V$1001,0),MATCH(COLUMNS($AC$1006:AM1006),$AC$1006:$AS$1006,0)), HYPERLINK("#",""), HYPERLINK(CONCATENATE("#Metadata!", ADDRESS(INDEX($X$2:$X$1001,MATCH(ROWS($V$2:V904),$V$2:$V$1001,0),0), INDEX($AC$1004:$AS$1004,1,MATCH(COLUMNS($AC$1006:AM1006),$AC$1006:$AS$1006,0)))),"Fix")))</f>
        <v>0</v>
      </c>
      <c r="M904" s="5">
        <f>IF(OR(INDEX($W$2:$W$1001,MATCH(ROWS($V$2:V904),$V$2:$V$1001,0),1)&gt;=100000,INDEX($AC$1005:$AS$1005,1,MATCH(COLUMNS($AC$1006:AN1006),$AC$1006:$AS$1006,0))&gt;=100000), " ",IF(INDEX($AC$2:$AS$1001,MATCH(ROWS($V$2:V904),$V$2:$V$1001,0),MATCH(COLUMNS($AC$1006:AN1006),$AC$1006:$AS$1006,0)), HYPERLINK("#",""), HYPERLINK(CONCATENATE("#Metadata!", ADDRESS(INDEX($X$2:$X$1001,MATCH(ROWS($V$2:V904),$V$2:$V$1001,0),0), INDEX($AC$1004:$AS$1004,1,MATCH(COLUMNS($AC$1006:AN1006),$AC$1006:$AS$1006,0)))),"Fix")))</f>
        <v>0</v>
      </c>
      <c r="N904" s="5">
        <f>IF(OR(INDEX($W$2:$W$1001,MATCH(ROWS($V$2:V904),$V$2:$V$1001,0),1)&gt;=100000,INDEX($AC$1005:$AS$1005,1,MATCH(COLUMNS($AC$1006:AO1006),$AC$1006:$AS$1006,0))&gt;=100000), " ",IF(INDEX($AC$2:$AS$1001,MATCH(ROWS($V$2:V904),$V$2:$V$1001,0),MATCH(COLUMNS($AC$1006:AO1006),$AC$1006:$AS$1006,0)), HYPERLINK("#",""), HYPERLINK(CONCATENATE("#Metadata!", ADDRESS(INDEX($X$2:$X$1001,MATCH(ROWS($V$2:V904),$V$2:$V$1001,0),0), INDEX($AC$1004:$AS$1004,1,MATCH(COLUMNS($AC$1006:AO1006),$AC$1006:$AS$1006,0)))),"Fix")))</f>
        <v>0</v>
      </c>
      <c r="O904" s="5">
        <f>IF(OR(INDEX($W$2:$W$1001,MATCH(ROWS($V$2:V904),$V$2:$V$1001,0),1)&gt;=100000,INDEX($AC$1005:$AS$1005,1,MATCH(COLUMNS($AC$1006:AP1006),$AC$1006:$AS$1006,0))&gt;=100000), " ",IF(INDEX($AC$2:$AS$1001,MATCH(ROWS($V$2:V904),$V$2:$V$1001,0),MATCH(COLUMNS($AC$1006:AP1006),$AC$1006:$AS$1006,0)), HYPERLINK("#",""), HYPERLINK(CONCATENATE("#Metadata!", ADDRESS(INDEX($X$2:$X$1001,MATCH(ROWS($V$2:V904),$V$2:$V$1001,0),0), INDEX($AC$1004:$AS$1004,1,MATCH(COLUMNS($AC$1006:AP1006),$AC$1006:$AS$1006,0)))),"Fix")))</f>
        <v>0</v>
      </c>
      <c r="P904" s="5">
        <f>IF(OR(INDEX($W$2:$W$1001,MATCH(ROWS($V$2:V904),$V$2:$V$1001,0),1)&gt;=100000,INDEX($AC$1005:$AS$1005,1,MATCH(COLUMNS($AC$1006:AQ1006),$AC$1006:$AS$1006,0))&gt;=100000), " ",IF(INDEX($AC$2:$AS$1001,MATCH(ROWS($V$2:V904),$V$2:$V$1001,0),MATCH(COLUMNS($AC$1006:AQ1006),$AC$1006:$AS$1006,0)), HYPERLINK("#",""), HYPERLINK(CONCATENATE("#Metadata!", ADDRESS(INDEX($X$2:$X$1001,MATCH(ROWS($V$2:V904),$V$2:$V$1001,0),0), INDEX($AC$1004:$AS$1004,1,MATCH(COLUMNS($AC$1006:AQ1006),$AC$1006:$AS$1006,0)))),"Fix")))</f>
        <v>0</v>
      </c>
      <c r="Q904" s="5">
        <f>IF(OR(INDEX($W$2:$W$1001,MATCH(ROWS($V$2:V904),$V$2:$V$1001,0),1)&gt;=100000,INDEX($AC$1005:$AS$1005,1,MATCH(COLUMNS($AC$1006:AR1006),$AC$1006:$AS$1006,0))&gt;=100000), " ",IF(INDEX($AC$2:$AS$1001,MATCH(ROWS($V$2:V904),$V$2:$V$1001,0),MATCH(COLUMNS($AC$1006:AR1006),$AC$1006:$AS$1006,0)), HYPERLINK("#",""), HYPERLINK(CONCATENATE("#Metadata!", ADDRESS(INDEX($X$2:$X$1001,MATCH(ROWS($V$2:V904),$V$2:$V$1001,0),0), INDEX($AC$1004:$AS$1004,1,MATCH(COLUMNS($AC$1006:AR1006),$AC$1006:$AS$1006,0)))),"Fix")))</f>
        <v>0</v>
      </c>
      <c r="R904" s="5">
        <f>IF(OR(INDEX($W$2:$W$1001,MATCH(ROWS($V$2:V904),$V$2:$V$1001,0),1)&gt;=100000,INDEX($AC$1005:$AS$1005,1,MATCH(COLUMNS($AC$1006:AS1006),$AC$1006:$AS$1006,0))&gt;=100000), " ",IF(INDEX($AC$2:$AS$1001,MATCH(ROWS($V$2:V904),$V$2:$V$1001,0),MATCH(COLUMNS($AC$1006:AS1006),$AC$1006:$AS$1006,0)), HYPERLINK("#",""), HYPERLINK(CONCATENATE("#Metadata!", ADDRESS(INDEX($X$2:$X$1001,MATCH(ROWS($V$2:V904),$V$2:$V$1001,0),0), INDEX($AC$1004:$AS$1004,1,MATCH(COLUMNS($AC$1006:AS1006),$AC$1006:$AS$1006,0)))),"Fix")))</f>
        <v>0</v>
      </c>
      <c r="V904">
        <v>0</v>
      </c>
      <c r="W904">
        <v>0</v>
      </c>
      <c r="X904">
        <v>0</v>
      </c>
      <c r="Y904">
        <f>IF(Z904,TRUE,AND(AC904:AS904))</f>
        <v>0</v>
      </c>
      <c r="Z904">
        <f>COUNTBLANK(Metadata!B904:R904)=COLUMNS(Metadata!B904:R904)</f>
        <v>0</v>
      </c>
      <c r="AA904">
        <v>0</v>
      </c>
      <c r="AC904">
        <f>AND(IF(Metadata!B904="",FALSE,TRUE),COUNTIF(Metadata!B:B, Metadata!B904) = 1,NOT(ISERROR(SUMPRODUCT(SEARCH(MID(Metadata!B904,ROW(INDIRECT("1:"&amp;LEN(Metadata!B904))), 1),"0123456789abcdefghijklmnopqrstuvwxyzABCDEFGHIJKLMNOPQRSTUVWXYZ.")))))</f>
        <v>0</v>
      </c>
      <c r="AD904">
        <f>AND(IF(Metadata!C904="",FALSE,TRUE),exact(Metadata!C904,"Host-associated"))</f>
        <v>0</v>
      </c>
      <c r="AE904">
        <f>AND(IF(Metadata!D904="",FALSE,TRUE),OR(exact(Metadata!D904,"Animal"),exact(Metadata!D904,"Fungus"),exact(Metadata!D904,"Plant")))</f>
        <v>0</v>
      </c>
      <c r="AF904">
        <f>AND(IF(Metadata!E904="",FALSE,TRUE),OR(exact(Metadata!E904,"Plant secretion"),exact(Metadata!E904,"Plant rhizosphere"),exact(Metadata!E904,"Plant surface"),exact(Metadata!E904,"Plant corpus"),exact(Metadata!E904,"Fungus surface"),exact(Metadata!E904,"Fungus corpus"),exact(Metadata!E904,"Animal surface"),exact(Metadata!E904,"Animal proximal gut"),exact(Metadata!E904,"Animal corpus"),exact(Metadata!E904,"Animal distal gut"),exact(Metadata!E904,"Animal secretion")))</f>
        <v>0</v>
      </c>
      <c r="AG904">
        <f>OR(AND(IF(Metadata!F904="",FALSE,TRUE),OR(exact(Metadata!F904,"not collected"),exact(Metadata!F904,"not provided"),exact(Metadata!F904,"restricted access"))),AND(IF(Metadata!F904="",FALSE,TRUE),OR(exact(Metadata!F904,"organism-associated habitat"),exact(Metadata!F904,"plant-associated habitat"),exact(Metadata!F904,"animal-associated habitat"),exact(Metadata!F904,"insecta-associated habitat"),exact(Metadata!F904,"mammalia-associated habitat"),exact(Metadata!F904,"human-associated habitat"),exact(Metadata!F904,"livestock-associated habitat"))))</f>
        <v>0</v>
      </c>
      <c r="AH904">
        <f>AND(IF(Metadata!G904="",FALSE,TRUE),exact(Metadata!G904,"host-associated"))</f>
        <v>0</v>
      </c>
      <c r="AI904">
        <f>OR(AND(IF(Metadata!H904="",FALSE,TRUE),OR(exact(Metadata!H904,"not collected"),exact(Metadata!H904,"not provided"))),AND(IF(Metadata!H904="",FALSE,ISNUMBER(VALUE(Metadata!H904))),Metadata!H904&gt;0))</f>
        <v>0</v>
      </c>
      <c r="AJ904">
        <f>AND(IF(Metadata!I904="",FALSE,TRUE),exact(Metadata!I904,"years"))</f>
        <v>0</v>
      </c>
      <c r="AK904">
        <f>IF(Metadata!J904="",FALSE,TRUE)</f>
        <v>0</v>
      </c>
      <c r="AL904">
        <f>OR(AND(IF(Metadata!K904="",FALSE,TRUE),OR(exact(Metadata!K904,"not collected"),exact(Metadata!K904,"not provided"))),AND(IF(Metadata!K904="",FALSE,ISNUMBER(VALUE(Metadata!K904))),Metadata!K904&gt;0))</f>
        <v>0</v>
      </c>
      <c r="AM904">
        <f>AND(IF(Metadata!L904="",FALSE,TRUE),exact(Metadata!L904,"cm"))</f>
        <v>0</v>
      </c>
      <c r="AN904">
        <f>IF(Metadata!M904="",FALSE,TRUE)</f>
        <v>0</v>
      </c>
      <c r="AO904">
        <f>OR(AND(IF(Metadata!N904="",FALSE,TRUE),OR(exact(Metadata!N904,"not applicable"),exact(Metadata!N904,"not collected"),exact(Metadata!N904,"not provided"))),AND(IF(Metadata!N904="",FALSE,IF(ISERROR(INT(Metadata!N904)),FALSE,INT(Metadata!N904)=Metadata!N904)),Metadata!N904&gt;0))</f>
        <v>0</v>
      </c>
      <c r="AP904">
        <f>OR(AND(IF(Metadata!O904="",FALSE,TRUE),OR(exact(Metadata!O904,"not collected"),exact(Metadata!O904,"not provided"))),AND(IF(Metadata!O904="",FALSE,ISNUMBER(VALUE(Metadata!O904))),Metadata!O904&gt;0))</f>
        <v>0</v>
      </c>
      <c r="AQ904">
        <f>AND(IF(Metadata!P904="",FALSE,TRUE),exact(Metadata!P904,"kg"))</f>
        <v>0</v>
      </c>
      <c r="AR904">
        <f>OR(AND(IF(Metadata!Q904="",FALSE,TRUE),OR(exact(Metadata!Q904,"not applicable"),exact(Metadata!Q904,"not collected"),exact(Metadata!Q904,"not provided"),exact(Metadata!Q904,"restricted access"))),IF(Metadata!Q904="",FALSE,IF(ISERROR(INT(Metadata!Q904)),FALSE,INT(Metadata!Q904)=Metadata!Q904)))</f>
        <v>0</v>
      </c>
      <c r="AS904">
        <f>AND(IF(Metadata!R904="",FALSE,TRUE),exact(Metadata!R904,"Not applicable"))</f>
        <v>0</v>
      </c>
    </row>
    <row r="905" spans="1:45">
      <c r="A905" s="4">
        <f>IF(B905=" "," ",HYPERLINK(CONCATENATE("#metadata!",ADDRESS(INDEX($X$2:$X$1001,MATCH(ROWS($V$2:V905),$V$2:$V$1001,0),0),2)),INDEX($AA$2:$AA$1001,MATCH(ROWS($V$2:V905),$V$2:$V$1001,0),0)))</f>
        <v>0</v>
      </c>
      <c r="B905" s="5">
        <f>IF(OR(INDEX($W$2:$W$1001,MATCH(ROWS($V$2:V905),$V$2:$V$1001,0),1)&gt;=100000,INDEX($AC$1005:$AS$1005,1,MATCH(COLUMNS($AC$1006:AC1006),$AC$1006:$AS$1006,0))&gt;=100000), " ",IF(INDEX($AC$2:$AS$1001,MATCH(ROWS($V$2:V905),$V$2:$V$1001,0),MATCH(COLUMNS($AC$1006:AC1006),$AC$1006:$AS$1006,0)), HYPERLINK("#",""), HYPERLINK(CONCATENATE("#Metadata!", ADDRESS(INDEX($X$2:$X$1001,MATCH(ROWS($V$2:V905),$V$2:$V$1001,0),0), INDEX($AC$1004:$AS$1004,1,MATCH(COLUMNS($AC$1006:AC1006),$AC$1006:$AS$1006,0)))),"Fix")))</f>
        <v>0</v>
      </c>
      <c r="C905" s="5">
        <f>IF(OR(INDEX($W$2:$W$1001,MATCH(ROWS($V$2:V905),$V$2:$V$1001,0),1)&gt;=100000,INDEX($AC$1005:$AS$1005,1,MATCH(COLUMNS($AC$1006:AD1006),$AC$1006:$AS$1006,0))&gt;=100000), " ",IF(INDEX($AC$2:$AS$1001,MATCH(ROWS($V$2:V905),$V$2:$V$1001,0),MATCH(COLUMNS($AC$1006:AD1006),$AC$1006:$AS$1006,0)), HYPERLINK("#",""), HYPERLINK(CONCATENATE("#Metadata!", ADDRESS(INDEX($X$2:$X$1001,MATCH(ROWS($V$2:V905),$V$2:$V$1001,0),0), INDEX($AC$1004:$AS$1004,1,MATCH(COLUMNS($AC$1006:AD1006),$AC$1006:$AS$1006,0)))),"Fix")))</f>
        <v>0</v>
      </c>
      <c r="D905" s="5">
        <f>IF(OR(INDEX($W$2:$W$1001,MATCH(ROWS($V$2:V905),$V$2:$V$1001,0),1)&gt;=100000,INDEX($AC$1005:$AS$1005,1,MATCH(COLUMNS($AC$1006:AE1006),$AC$1006:$AS$1006,0))&gt;=100000), " ",IF(INDEX($AC$2:$AS$1001,MATCH(ROWS($V$2:V905),$V$2:$V$1001,0),MATCH(COLUMNS($AC$1006:AE1006),$AC$1006:$AS$1006,0)), HYPERLINK("#",""), HYPERLINK(CONCATENATE("#Metadata!", ADDRESS(INDEX($X$2:$X$1001,MATCH(ROWS($V$2:V905),$V$2:$V$1001,0),0), INDEX($AC$1004:$AS$1004,1,MATCH(COLUMNS($AC$1006:AE1006),$AC$1006:$AS$1006,0)))),"Fix")))</f>
        <v>0</v>
      </c>
      <c r="E905" s="5">
        <f>IF(OR(INDEX($W$2:$W$1001,MATCH(ROWS($V$2:V905),$V$2:$V$1001,0),1)&gt;=100000,INDEX($AC$1005:$AS$1005,1,MATCH(COLUMNS($AC$1006:AF1006),$AC$1006:$AS$1006,0))&gt;=100000), " ",IF(INDEX($AC$2:$AS$1001,MATCH(ROWS($V$2:V905),$V$2:$V$1001,0),MATCH(COLUMNS($AC$1006:AF1006),$AC$1006:$AS$1006,0)), HYPERLINK("#",""), HYPERLINK(CONCATENATE("#Metadata!", ADDRESS(INDEX($X$2:$X$1001,MATCH(ROWS($V$2:V905),$V$2:$V$1001,0),0), INDEX($AC$1004:$AS$1004,1,MATCH(COLUMNS($AC$1006:AF1006),$AC$1006:$AS$1006,0)))),"Fix")))</f>
        <v>0</v>
      </c>
      <c r="F905" s="5">
        <f>IF(OR(INDEX($W$2:$W$1001,MATCH(ROWS($V$2:V905),$V$2:$V$1001,0),1)&gt;=100000,INDEX($AC$1005:$AS$1005,1,MATCH(COLUMNS($AC$1006:AG1006),$AC$1006:$AS$1006,0))&gt;=100000), " ",IF(INDEX($AC$2:$AS$1001,MATCH(ROWS($V$2:V905),$V$2:$V$1001,0),MATCH(COLUMNS($AC$1006:AG1006),$AC$1006:$AS$1006,0)), HYPERLINK("#",""), HYPERLINK(CONCATENATE("#Metadata!", ADDRESS(INDEX($X$2:$X$1001,MATCH(ROWS($V$2:V905),$V$2:$V$1001,0),0), INDEX($AC$1004:$AS$1004,1,MATCH(COLUMNS($AC$1006:AG1006),$AC$1006:$AS$1006,0)))),"Fix")))</f>
        <v>0</v>
      </c>
      <c r="G905" s="5">
        <f>IF(OR(INDEX($W$2:$W$1001,MATCH(ROWS($V$2:V905),$V$2:$V$1001,0),1)&gt;=100000,INDEX($AC$1005:$AS$1005,1,MATCH(COLUMNS($AC$1006:AH1006),$AC$1006:$AS$1006,0))&gt;=100000), " ",IF(INDEX($AC$2:$AS$1001,MATCH(ROWS($V$2:V905),$V$2:$V$1001,0),MATCH(COLUMNS($AC$1006:AH1006),$AC$1006:$AS$1006,0)), HYPERLINK("#",""), HYPERLINK(CONCATENATE("#Metadata!", ADDRESS(INDEX($X$2:$X$1001,MATCH(ROWS($V$2:V905),$V$2:$V$1001,0),0), INDEX($AC$1004:$AS$1004,1,MATCH(COLUMNS($AC$1006:AH1006),$AC$1006:$AS$1006,0)))),"Fix")))</f>
        <v>0</v>
      </c>
      <c r="H905" s="5">
        <f>IF(OR(INDEX($W$2:$W$1001,MATCH(ROWS($V$2:V905),$V$2:$V$1001,0),1)&gt;=100000,INDEX($AC$1005:$AS$1005,1,MATCH(COLUMNS($AC$1006:AI1006),$AC$1006:$AS$1006,0))&gt;=100000), " ",IF(INDEX($AC$2:$AS$1001,MATCH(ROWS($V$2:V905),$V$2:$V$1001,0),MATCH(COLUMNS($AC$1006:AI1006),$AC$1006:$AS$1006,0)), HYPERLINK("#",""), HYPERLINK(CONCATENATE("#Metadata!", ADDRESS(INDEX($X$2:$X$1001,MATCH(ROWS($V$2:V905),$V$2:$V$1001,0),0), INDEX($AC$1004:$AS$1004,1,MATCH(COLUMNS($AC$1006:AI1006),$AC$1006:$AS$1006,0)))),"Fix")))</f>
        <v>0</v>
      </c>
      <c r="I905" s="5">
        <f>IF(OR(INDEX($W$2:$W$1001,MATCH(ROWS($V$2:V905),$V$2:$V$1001,0),1)&gt;=100000,INDEX($AC$1005:$AS$1005,1,MATCH(COLUMNS($AC$1006:AJ1006),$AC$1006:$AS$1006,0))&gt;=100000), " ",IF(INDEX($AC$2:$AS$1001,MATCH(ROWS($V$2:V905),$V$2:$V$1001,0),MATCH(COLUMNS($AC$1006:AJ1006),$AC$1006:$AS$1006,0)), HYPERLINK("#",""), HYPERLINK(CONCATENATE("#Metadata!", ADDRESS(INDEX($X$2:$X$1001,MATCH(ROWS($V$2:V905),$V$2:$V$1001,0),0), INDEX($AC$1004:$AS$1004,1,MATCH(COLUMNS($AC$1006:AJ1006),$AC$1006:$AS$1006,0)))),"Fix")))</f>
        <v>0</v>
      </c>
      <c r="J905" s="5">
        <f>IF(OR(INDEX($W$2:$W$1001,MATCH(ROWS($V$2:V905),$V$2:$V$1001,0),1)&gt;=100000,INDEX($AC$1005:$AS$1005,1,MATCH(COLUMNS($AC$1006:AK1006),$AC$1006:$AS$1006,0))&gt;=100000), " ",IF(INDEX($AC$2:$AS$1001,MATCH(ROWS($V$2:V905),$V$2:$V$1001,0),MATCH(COLUMNS($AC$1006:AK1006),$AC$1006:$AS$1006,0)), HYPERLINK("#",""), HYPERLINK(CONCATENATE("#Metadata!", ADDRESS(INDEX($X$2:$X$1001,MATCH(ROWS($V$2:V905),$V$2:$V$1001,0),0), INDEX($AC$1004:$AS$1004,1,MATCH(COLUMNS($AC$1006:AK1006),$AC$1006:$AS$1006,0)))),"Fix")))</f>
        <v>0</v>
      </c>
      <c r="K905" s="5">
        <f>IF(OR(INDEX($W$2:$W$1001,MATCH(ROWS($V$2:V905),$V$2:$V$1001,0),1)&gt;=100000,INDEX($AC$1005:$AS$1005,1,MATCH(COLUMNS($AC$1006:AL1006),$AC$1006:$AS$1006,0))&gt;=100000), " ",IF(INDEX($AC$2:$AS$1001,MATCH(ROWS($V$2:V905),$V$2:$V$1001,0),MATCH(COLUMNS($AC$1006:AL1006),$AC$1006:$AS$1006,0)), HYPERLINK("#",""), HYPERLINK(CONCATENATE("#Metadata!", ADDRESS(INDEX($X$2:$X$1001,MATCH(ROWS($V$2:V905),$V$2:$V$1001,0),0), INDEX($AC$1004:$AS$1004,1,MATCH(COLUMNS($AC$1006:AL1006),$AC$1006:$AS$1006,0)))),"Fix")))</f>
        <v>0</v>
      </c>
      <c r="L905" s="5">
        <f>IF(OR(INDEX($W$2:$W$1001,MATCH(ROWS($V$2:V905),$V$2:$V$1001,0),1)&gt;=100000,INDEX($AC$1005:$AS$1005,1,MATCH(COLUMNS($AC$1006:AM1006),$AC$1006:$AS$1006,0))&gt;=100000), " ",IF(INDEX($AC$2:$AS$1001,MATCH(ROWS($V$2:V905),$V$2:$V$1001,0),MATCH(COLUMNS($AC$1006:AM1006),$AC$1006:$AS$1006,0)), HYPERLINK("#",""), HYPERLINK(CONCATENATE("#Metadata!", ADDRESS(INDEX($X$2:$X$1001,MATCH(ROWS($V$2:V905),$V$2:$V$1001,0),0), INDEX($AC$1004:$AS$1004,1,MATCH(COLUMNS($AC$1006:AM1006),$AC$1006:$AS$1006,0)))),"Fix")))</f>
        <v>0</v>
      </c>
      <c r="M905" s="5">
        <f>IF(OR(INDEX($W$2:$W$1001,MATCH(ROWS($V$2:V905),$V$2:$V$1001,0),1)&gt;=100000,INDEX($AC$1005:$AS$1005,1,MATCH(COLUMNS($AC$1006:AN1006),$AC$1006:$AS$1006,0))&gt;=100000), " ",IF(INDEX($AC$2:$AS$1001,MATCH(ROWS($V$2:V905),$V$2:$V$1001,0),MATCH(COLUMNS($AC$1006:AN1006),$AC$1006:$AS$1006,0)), HYPERLINK("#",""), HYPERLINK(CONCATENATE("#Metadata!", ADDRESS(INDEX($X$2:$X$1001,MATCH(ROWS($V$2:V905),$V$2:$V$1001,0),0), INDEX($AC$1004:$AS$1004,1,MATCH(COLUMNS($AC$1006:AN1006),$AC$1006:$AS$1006,0)))),"Fix")))</f>
        <v>0</v>
      </c>
      <c r="N905" s="5">
        <f>IF(OR(INDEX($W$2:$W$1001,MATCH(ROWS($V$2:V905),$V$2:$V$1001,0),1)&gt;=100000,INDEX($AC$1005:$AS$1005,1,MATCH(COLUMNS($AC$1006:AO1006),$AC$1006:$AS$1006,0))&gt;=100000), " ",IF(INDEX($AC$2:$AS$1001,MATCH(ROWS($V$2:V905),$V$2:$V$1001,0),MATCH(COLUMNS($AC$1006:AO1006),$AC$1006:$AS$1006,0)), HYPERLINK("#",""), HYPERLINK(CONCATENATE("#Metadata!", ADDRESS(INDEX($X$2:$X$1001,MATCH(ROWS($V$2:V905),$V$2:$V$1001,0),0), INDEX($AC$1004:$AS$1004,1,MATCH(COLUMNS($AC$1006:AO1006),$AC$1006:$AS$1006,0)))),"Fix")))</f>
        <v>0</v>
      </c>
      <c r="O905" s="5">
        <f>IF(OR(INDEX($W$2:$W$1001,MATCH(ROWS($V$2:V905),$V$2:$V$1001,0),1)&gt;=100000,INDEX($AC$1005:$AS$1005,1,MATCH(COLUMNS($AC$1006:AP1006),$AC$1006:$AS$1006,0))&gt;=100000), " ",IF(INDEX($AC$2:$AS$1001,MATCH(ROWS($V$2:V905),$V$2:$V$1001,0),MATCH(COLUMNS($AC$1006:AP1006),$AC$1006:$AS$1006,0)), HYPERLINK("#",""), HYPERLINK(CONCATENATE("#Metadata!", ADDRESS(INDEX($X$2:$X$1001,MATCH(ROWS($V$2:V905),$V$2:$V$1001,0),0), INDEX($AC$1004:$AS$1004,1,MATCH(COLUMNS($AC$1006:AP1006),$AC$1006:$AS$1006,0)))),"Fix")))</f>
        <v>0</v>
      </c>
      <c r="P905" s="5">
        <f>IF(OR(INDEX($W$2:$W$1001,MATCH(ROWS($V$2:V905),$V$2:$V$1001,0),1)&gt;=100000,INDEX($AC$1005:$AS$1005,1,MATCH(COLUMNS($AC$1006:AQ1006),$AC$1006:$AS$1006,0))&gt;=100000), " ",IF(INDEX($AC$2:$AS$1001,MATCH(ROWS($V$2:V905),$V$2:$V$1001,0),MATCH(COLUMNS($AC$1006:AQ1006),$AC$1006:$AS$1006,0)), HYPERLINK("#",""), HYPERLINK(CONCATENATE("#Metadata!", ADDRESS(INDEX($X$2:$X$1001,MATCH(ROWS($V$2:V905),$V$2:$V$1001,0),0), INDEX($AC$1004:$AS$1004,1,MATCH(COLUMNS($AC$1006:AQ1006),$AC$1006:$AS$1006,0)))),"Fix")))</f>
        <v>0</v>
      </c>
      <c r="Q905" s="5">
        <f>IF(OR(INDEX($W$2:$W$1001,MATCH(ROWS($V$2:V905),$V$2:$V$1001,0),1)&gt;=100000,INDEX($AC$1005:$AS$1005,1,MATCH(COLUMNS($AC$1006:AR1006),$AC$1006:$AS$1006,0))&gt;=100000), " ",IF(INDEX($AC$2:$AS$1001,MATCH(ROWS($V$2:V905),$V$2:$V$1001,0),MATCH(COLUMNS($AC$1006:AR1006),$AC$1006:$AS$1006,0)), HYPERLINK("#",""), HYPERLINK(CONCATENATE("#Metadata!", ADDRESS(INDEX($X$2:$X$1001,MATCH(ROWS($V$2:V905),$V$2:$V$1001,0),0), INDEX($AC$1004:$AS$1004,1,MATCH(COLUMNS($AC$1006:AR1006),$AC$1006:$AS$1006,0)))),"Fix")))</f>
        <v>0</v>
      </c>
      <c r="R905" s="5">
        <f>IF(OR(INDEX($W$2:$W$1001,MATCH(ROWS($V$2:V905),$V$2:$V$1001,0),1)&gt;=100000,INDEX($AC$1005:$AS$1005,1,MATCH(COLUMNS($AC$1006:AS1006),$AC$1006:$AS$1006,0))&gt;=100000), " ",IF(INDEX($AC$2:$AS$1001,MATCH(ROWS($V$2:V905),$V$2:$V$1001,0),MATCH(COLUMNS($AC$1006:AS1006),$AC$1006:$AS$1006,0)), HYPERLINK("#",""), HYPERLINK(CONCATENATE("#Metadata!", ADDRESS(INDEX($X$2:$X$1001,MATCH(ROWS($V$2:V905),$V$2:$V$1001,0),0), INDEX($AC$1004:$AS$1004,1,MATCH(COLUMNS($AC$1006:AS1006),$AC$1006:$AS$1006,0)))),"Fix")))</f>
        <v>0</v>
      </c>
      <c r="V905">
        <v>0</v>
      </c>
      <c r="W905">
        <v>0</v>
      </c>
      <c r="X905">
        <v>0</v>
      </c>
      <c r="Y905">
        <f>IF(Z905,TRUE,AND(AC905:AS905))</f>
        <v>0</v>
      </c>
      <c r="Z905">
        <f>COUNTBLANK(Metadata!B905:R905)=COLUMNS(Metadata!B905:R905)</f>
        <v>0</v>
      </c>
      <c r="AA905">
        <v>0</v>
      </c>
      <c r="AC905">
        <f>AND(IF(Metadata!B905="",FALSE,TRUE),COUNTIF(Metadata!B:B, Metadata!B905) = 1,NOT(ISERROR(SUMPRODUCT(SEARCH(MID(Metadata!B905,ROW(INDIRECT("1:"&amp;LEN(Metadata!B905))), 1),"0123456789abcdefghijklmnopqrstuvwxyzABCDEFGHIJKLMNOPQRSTUVWXYZ.")))))</f>
        <v>0</v>
      </c>
      <c r="AD905">
        <f>AND(IF(Metadata!C905="",FALSE,TRUE),exact(Metadata!C905,"Host-associated"))</f>
        <v>0</v>
      </c>
      <c r="AE905">
        <f>AND(IF(Metadata!D905="",FALSE,TRUE),OR(exact(Metadata!D905,"Animal"),exact(Metadata!D905,"Fungus"),exact(Metadata!D905,"Plant")))</f>
        <v>0</v>
      </c>
      <c r="AF905">
        <f>AND(IF(Metadata!E905="",FALSE,TRUE),OR(exact(Metadata!E905,"Plant secretion"),exact(Metadata!E905,"Plant rhizosphere"),exact(Metadata!E905,"Plant surface"),exact(Metadata!E905,"Plant corpus"),exact(Metadata!E905,"Fungus surface"),exact(Metadata!E905,"Fungus corpus"),exact(Metadata!E905,"Animal surface"),exact(Metadata!E905,"Animal proximal gut"),exact(Metadata!E905,"Animal corpus"),exact(Metadata!E905,"Animal distal gut"),exact(Metadata!E905,"Animal secretion")))</f>
        <v>0</v>
      </c>
      <c r="AG905">
        <f>OR(AND(IF(Metadata!F905="",FALSE,TRUE),OR(exact(Metadata!F905,"not collected"),exact(Metadata!F905,"not provided"),exact(Metadata!F905,"restricted access"))),AND(IF(Metadata!F905="",FALSE,TRUE),OR(exact(Metadata!F905,"organism-associated habitat"),exact(Metadata!F905,"plant-associated habitat"),exact(Metadata!F905,"animal-associated habitat"),exact(Metadata!F905,"insecta-associated habitat"),exact(Metadata!F905,"mammalia-associated habitat"),exact(Metadata!F905,"human-associated habitat"),exact(Metadata!F905,"livestock-associated habitat"))))</f>
        <v>0</v>
      </c>
      <c r="AH905">
        <f>AND(IF(Metadata!G905="",FALSE,TRUE),exact(Metadata!G905,"host-associated"))</f>
        <v>0</v>
      </c>
      <c r="AI905">
        <f>OR(AND(IF(Metadata!H905="",FALSE,TRUE),OR(exact(Metadata!H905,"not collected"),exact(Metadata!H905,"not provided"))),AND(IF(Metadata!H905="",FALSE,ISNUMBER(VALUE(Metadata!H905))),Metadata!H905&gt;0))</f>
        <v>0</v>
      </c>
      <c r="AJ905">
        <f>AND(IF(Metadata!I905="",FALSE,TRUE),exact(Metadata!I905,"years"))</f>
        <v>0</v>
      </c>
      <c r="AK905">
        <f>IF(Metadata!J905="",FALSE,TRUE)</f>
        <v>0</v>
      </c>
      <c r="AL905">
        <f>OR(AND(IF(Metadata!K905="",FALSE,TRUE),OR(exact(Metadata!K905,"not collected"),exact(Metadata!K905,"not provided"))),AND(IF(Metadata!K905="",FALSE,ISNUMBER(VALUE(Metadata!K905))),Metadata!K905&gt;0))</f>
        <v>0</v>
      </c>
      <c r="AM905">
        <f>AND(IF(Metadata!L905="",FALSE,TRUE),exact(Metadata!L905,"cm"))</f>
        <v>0</v>
      </c>
      <c r="AN905">
        <f>IF(Metadata!M905="",FALSE,TRUE)</f>
        <v>0</v>
      </c>
      <c r="AO905">
        <f>OR(AND(IF(Metadata!N905="",FALSE,TRUE),OR(exact(Metadata!N905,"not applicable"),exact(Metadata!N905,"not collected"),exact(Metadata!N905,"not provided"))),AND(IF(Metadata!N905="",FALSE,IF(ISERROR(INT(Metadata!N905)),FALSE,INT(Metadata!N905)=Metadata!N905)),Metadata!N905&gt;0))</f>
        <v>0</v>
      </c>
      <c r="AP905">
        <f>OR(AND(IF(Metadata!O905="",FALSE,TRUE),OR(exact(Metadata!O905,"not collected"),exact(Metadata!O905,"not provided"))),AND(IF(Metadata!O905="",FALSE,ISNUMBER(VALUE(Metadata!O905))),Metadata!O905&gt;0))</f>
        <v>0</v>
      </c>
      <c r="AQ905">
        <f>AND(IF(Metadata!P905="",FALSE,TRUE),exact(Metadata!P905,"kg"))</f>
        <v>0</v>
      </c>
      <c r="AR905">
        <f>OR(AND(IF(Metadata!Q905="",FALSE,TRUE),OR(exact(Metadata!Q905,"not applicable"),exact(Metadata!Q905,"not collected"),exact(Metadata!Q905,"not provided"),exact(Metadata!Q905,"restricted access"))),IF(Metadata!Q905="",FALSE,IF(ISERROR(INT(Metadata!Q905)),FALSE,INT(Metadata!Q905)=Metadata!Q905)))</f>
        <v>0</v>
      </c>
      <c r="AS905">
        <f>AND(IF(Metadata!R905="",FALSE,TRUE),exact(Metadata!R905,"Not applicable"))</f>
        <v>0</v>
      </c>
    </row>
    <row r="906" spans="1:45">
      <c r="A906" s="4">
        <f>IF(B906=" "," ",HYPERLINK(CONCATENATE("#metadata!",ADDRESS(INDEX($X$2:$X$1001,MATCH(ROWS($V$2:V906),$V$2:$V$1001,0),0),2)),INDEX($AA$2:$AA$1001,MATCH(ROWS($V$2:V906),$V$2:$V$1001,0),0)))</f>
        <v>0</v>
      </c>
      <c r="B906" s="5">
        <f>IF(OR(INDEX($W$2:$W$1001,MATCH(ROWS($V$2:V906),$V$2:$V$1001,0),1)&gt;=100000,INDEX($AC$1005:$AS$1005,1,MATCH(COLUMNS($AC$1006:AC1006),$AC$1006:$AS$1006,0))&gt;=100000), " ",IF(INDEX($AC$2:$AS$1001,MATCH(ROWS($V$2:V906),$V$2:$V$1001,0),MATCH(COLUMNS($AC$1006:AC1006),$AC$1006:$AS$1006,0)), HYPERLINK("#",""), HYPERLINK(CONCATENATE("#Metadata!", ADDRESS(INDEX($X$2:$X$1001,MATCH(ROWS($V$2:V906),$V$2:$V$1001,0),0), INDEX($AC$1004:$AS$1004,1,MATCH(COLUMNS($AC$1006:AC1006),$AC$1006:$AS$1006,0)))),"Fix")))</f>
        <v>0</v>
      </c>
      <c r="C906" s="5">
        <f>IF(OR(INDEX($W$2:$W$1001,MATCH(ROWS($V$2:V906),$V$2:$V$1001,0),1)&gt;=100000,INDEX($AC$1005:$AS$1005,1,MATCH(COLUMNS($AC$1006:AD1006),$AC$1006:$AS$1006,0))&gt;=100000), " ",IF(INDEX($AC$2:$AS$1001,MATCH(ROWS($V$2:V906),$V$2:$V$1001,0),MATCH(COLUMNS($AC$1006:AD1006),$AC$1006:$AS$1006,0)), HYPERLINK("#",""), HYPERLINK(CONCATENATE("#Metadata!", ADDRESS(INDEX($X$2:$X$1001,MATCH(ROWS($V$2:V906),$V$2:$V$1001,0),0), INDEX($AC$1004:$AS$1004,1,MATCH(COLUMNS($AC$1006:AD1006),$AC$1006:$AS$1006,0)))),"Fix")))</f>
        <v>0</v>
      </c>
      <c r="D906" s="5">
        <f>IF(OR(INDEX($W$2:$W$1001,MATCH(ROWS($V$2:V906),$V$2:$V$1001,0),1)&gt;=100000,INDEX($AC$1005:$AS$1005,1,MATCH(COLUMNS($AC$1006:AE1006),$AC$1006:$AS$1006,0))&gt;=100000), " ",IF(INDEX($AC$2:$AS$1001,MATCH(ROWS($V$2:V906),$V$2:$V$1001,0),MATCH(COLUMNS($AC$1006:AE1006),$AC$1006:$AS$1006,0)), HYPERLINK("#",""), HYPERLINK(CONCATENATE("#Metadata!", ADDRESS(INDEX($X$2:$X$1001,MATCH(ROWS($V$2:V906),$V$2:$V$1001,0),0), INDEX($AC$1004:$AS$1004,1,MATCH(COLUMNS($AC$1006:AE1006),$AC$1006:$AS$1006,0)))),"Fix")))</f>
        <v>0</v>
      </c>
      <c r="E906" s="5">
        <f>IF(OR(INDEX($W$2:$W$1001,MATCH(ROWS($V$2:V906),$V$2:$V$1001,0),1)&gt;=100000,INDEX($AC$1005:$AS$1005,1,MATCH(COLUMNS($AC$1006:AF1006),$AC$1006:$AS$1006,0))&gt;=100000), " ",IF(INDEX($AC$2:$AS$1001,MATCH(ROWS($V$2:V906),$V$2:$V$1001,0),MATCH(COLUMNS($AC$1006:AF1006),$AC$1006:$AS$1006,0)), HYPERLINK("#",""), HYPERLINK(CONCATENATE("#Metadata!", ADDRESS(INDEX($X$2:$X$1001,MATCH(ROWS($V$2:V906),$V$2:$V$1001,0),0), INDEX($AC$1004:$AS$1004,1,MATCH(COLUMNS($AC$1006:AF1006),$AC$1006:$AS$1006,0)))),"Fix")))</f>
        <v>0</v>
      </c>
      <c r="F906" s="5">
        <f>IF(OR(INDEX($W$2:$W$1001,MATCH(ROWS($V$2:V906),$V$2:$V$1001,0),1)&gt;=100000,INDEX($AC$1005:$AS$1005,1,MATCH(COLUMNS($AC$1006:AG1006),$AC$1006:$AS$1006,0))&gt;=100000), " ",IF(INDEX($AC$2:$AS$1001,MATCH(ROWS($V$2:V906),$V$2:$V$1001,0),MATCH(COLUMNS($AC$1006:AG1006),$AC$1006:$AS$1006,0)), HYPERLINK("#",""), HYPERLINK(CONCATENATE("#Metadata!", ADDRESS(INDEX($X$2:$X$1001,MATCH(ROWS($V$2:V906),$V$2:$V$1001,0),0), INDEX($AC$1004:$AS$1004,1,MATCH(COLUMNS($AC$1006:AG1006),$AC$1006:$AS$1006,0)))),"Fix")))</f>
        <v>0</v>
      </c>
      <c r="G906" s="5">
        <f>IF(OR(INDEX($W$2:$W$1001,MATCH(ROWS($V$2:V906),$V$2:$V$1001,0),1)&gt;=100000,INDEX($AC$1005:$AS$1005,1,MATCH(COLUMNS($AC$1006:AH1006),$AC$1006:$AS$1006,0))&gt;=100000), " ",IF(INDEX($AC$2:$AS$1001,MATCH(ROWS($V$2:V906),$V$2:$V$1001,0),MATCH(COLUMNS($AC$1006:AH1006),$AC$1006:$AS$1006,0)), HYPERLINK("#",""), HYPERLINK(CONCATENATE("#Metadata!", ADDRESS(INDEX($X$2:$X$1001,MATCH(ROWS($V$2:V906),$V$2:$V$1001,0),0), INDEX($AC$1004:$AS$1004,1,MATCH(COLUMNS($AC$1006:AH1006),$AC$1006:$AS$1006,0)))),"Fix")))</f>
        <v>0</v>
      </c>
      <c r="H906" s="5">
        <f>IF(OR(INDEX($W$2:$W$1001,MATCH(ROWS($V$2:V906),$V$2:$V$1001,0),1)&gt;=100000,INDEX($AC$1005:$AS$1005,1,MATCH(COLUMNS($AC$1006:AI1006),$AC$1006:$AS$1006,0))&gt;=100000), " ",IF(INDEX($AC$2:$AS$1001,MATCH(ROWS($V$2:V906),$V$2:$V$1001,0),MATCH(COLUMNS($AC$1006:AI1006),$AC$1006:$AS$1006,0)), HYPERLINK("#",""), HYPERLINK(CONCATENATE("#Metadata!", ADDRESS(INDEX($X$2:$X$1001,MATCH(ROWS($V$2:V906),$V$2:$V$1001,0),0), INDEX($AC$1004:$AS$1004,1,MATCH(COLUMNS($AC$1006:AI1006),$AC$1006:$AS$1006,0)))),"Fix")))</f>
        <v>0</v>
      </c>
      <c r="I906" s="5">
        <f>IF(OR(INDEX($W$2:$W$1001,MATCH(ROWS($V$2:V906),$V$2:$V$1001,0),1)&gt;=100000,INDEX($AC$1005:$AS$1005,1,MATCH(COLUMNS($AC$1006:AJ1006),$AC$1006:$AS$1006,0))&gt;=100000), " ",IF(INDEX($AC$2:$AS$1001,MATCH(ROWS($V$2:V906),$V$2:$V$1001,0),MATCH(COLUMNS($AC$1006:AJ1006),$AC$1006:$AS$1006,0)), HYPERLINK("#",""), HYPERLINK(CONCATENATE("#Metadata!", ADDRESS(INDEX($X$2:$X$1001,MATCH(ROWS($V$2:V906),$V$2:$V$1001,0),0), INDEX($AC$1004:$AS$1004,1,MATCH(COLUMNS($AC$1006:AJ1006),$AC$1006:$AS$1006,0)))),"Fix")))</f>
        <v>0</v>
      </c>
      <c r="J906" s="5">
        <f>IF(OR(INDEX($W$2:$W$1001,MATCH(ROWS($V$2:V906),$V$2:$V$1001,0),1)&gt;=100000,INDEX($AC$1005:$AS$1005,1,MATCH(COLUMNS($AC$1006:AK1006),$AC$1006:$AS$1006,0))&gt;=100000), " ",IF(INDEX($AC$2:$AS$1001,MATCH(ROWS($V$2:V906),$V$2:$V$1001,0),MATCH(COLUMNS($AC$1006:AK1006),$AC$1006:$AS$1006,0)), HYPERLINK("#",""), HYPERLINK(CONCATENATE("#Metadata!", ADDRESS(INDEX($X$2:$X$1001,MATCH(ROWS($V$2:V906),$V$2:$V$1001,0),0), INDEX($AC$1004:$AS$1004,1,MATCH(COLUMNS($AC$1006:AK1006),$AC$1006:$AS$1006,0)))),"Fix")))</f>
        <v>0</v>
      </c>
      <c r="K906" s="5">
        <f>IF(OR(INDEX($W$2:$W$1001,MATCH(ROWS($V$2:V906),$V$2:$V$1001,0),1)&gt;=100000,INDEX($AC$1005:$AS$1005,1,MATCH(COLUMNS($AC$1006:AL1006),$AC$1006:$AS$1006,0))&gt;=100000), " ",IF(INDEX($AC$2:$AS$1001,MATCH(ROWS($V$2:V906),$V$2:$V$1001,0),MATCH(COLUMNS($AC$1006:AL1006),$AC$1006:$AS$1006,0)), HYPERLINK("#",""), HYPERLINK(CONCATENATE("#Metadata!", ADDRESS(INDEX($X$2:$X$1001,MATCH(ROWS($V$2:V906),$V$2:$V$1001,0),0), INDEX($AC$1004:$AS$1004,1,MATCH(COLUMNS($AC$1006:AL1006),$AC$1006:$AS$1006,0)))),"Fix")))</f>
        <v>0</v>
      </c>
      <c r="L906" s="5">
        <f>IF(OR(INDEX($W$2:$W$1001,MATCH(ROWS($V$2:V906),$V$2:$V$1001,0),1)&gt;=100000,INDEX($AC$1005:$AS$1005,1,MATCH(COLUMNS($AC$1006:AM1006),$AC$1006:$AS$1006,0))&gt;=100000), " ",IF(INDEX($AC$2:$AS$1001,MATCH(ROWS($V$2:V906),$V$2:$V$1001,0),MATCH(COLUMNS($AC$1006:AM1006),$AC$1006:$AS$1006,0)), HYPERLINK("#",""), HYPERLINK(CONCATENATE("#Metadata!", ADDRESS(INDEX($X$2:$X$1001,MATCH(ROWS($V$2:V906),$V$2:$V$1001,0),0), INDEX($AC$1004:$AS$1004,1,MATCH(COLUMNS($AC$1006:AM1006),$AC$1006:$AS$1006,0)))),"Fix")))</f>
        <v>0</v>
      </c>
      <c r="M906" s="5">
        <f>IF(OR(INDEX($W$2:$W$1001,MATCH(ROWS($V$2:V906),$V$2:$V$1001,0),1)&gt;=100000,INDEX($AC$1005:$AS$1005,1,MATCH(COLUMNS($AC$1006:AN1006),$AC$1006:$AS$1006,0))&gt;=100000), " ",IF(INDEX($AC$2:$AS$1001,MATCH(ROWS($V$2:V906),$V$2:$V$1001,0),MATCH(COLUMNS($AC$1006:AN1006),$AC$1006:$AS$1006,0)), HYPERLINK("#",""), HYPERLINK(CONCATENATE("#Metadata!", ADDRESS(INDEX($X$2:$X$1001,MATCH(ROWS($V$2:V906),$V$2:$V$1001,0),0), INDEX($AC$1004:$AS$1004,1,MATCH(COLUMNS($AC$1006:AN1006),$AC$1006:$AS$1006,0)))),"Fix")))</f>
        <v>0</v>
      </c>
      <c r="N906" s="5">
        <f>IF(OR(INDEX($W$2:$W$1001,MATCH(ROWS($V$2:V906),$V$2:$V$1001,0),1)&gt;=100000,INDEX($AC$1005:$AS$1005,1,MATCH(COLUMNS($AC$1006:AO1006),$AC$1006:$AS$1006,0))&gt;=100000), " ",IF(INDEX($AC$2:$AS$1001,MATCH(ROWS($V$2:V906),$V$2:$V$1001,0),MATCH(COLUMNS($AC$1006:AO1006),$AC$1006:$AS$1006,0)), HYPERLINK("#",""), HYPERLINK(CONCATENATE("#Metadata!", ADDRESS(INDEX($X$2:$X$1001,MATCH(ROWS($V$2:V906),$V$2:$V$1001,0),0), INDEX($AC$1004:$AS$1004,1,MATCH(COLUMNS($AC$1006:AO1006),$AC$1006:$AS$1006,0)))),"Fix")))</f>
        <v>0</v>
      </c>
      <c r="O906" s="5">
        <f>IF(OR(INDEX($W$2:$W$1001,MATCH(ROWS($V$2:V906),$V$2:$V$1001,0),1)&gt;=100000,INDEX($AC$1005:$AS$1005,1,MATCH(COLUMNS($AC$1006:AP1006),$AC$1006:$AS$1006,0))&gt;=100000), " ",IF(INDEX($AC$2:$AS$1001,MATCH(ROWS($V$2:V906),$V$2:$V$1001,0),MATCH(COLUMNS($AC$1006:AP1006),$AC$1006:$AS$1006,0)), HYPERLINK("#",""), HYPERLINK(CONCATENATE("#Metadata!", ADDRESS(INDEX($X$2:$X$1001,MATCH(ROWS($V$2:V906),$V$2:$V$1001,0),0), INDEX($AC$1004:$AS$1004,1,MATCH(COLUMNS($AC$1006:AP1006),$AC$1006:$AS$1006,0)))),"Fix")))</f>
        <v>0</v>
      </c>
      <c r="P906" s="5">
        <f>IF(OR(INDEX($W$2:$W$1001,MATCH(ROWS($V$2:V906),$V$2:$V$1001,0),1)&gt;=100000,INDEX($AC$1005:$AS$1005,1,MATCH(COLUMNS($AC$1006:AQ1006),$AC$1006:$AS$1006,0))&gt;=100000), " ",IF(INDEX($AC$2:$AS$1001,MATCH(ROWS($V$2:V906),$V$2:$V$1001,0),MATCH(COLUMNS($AC$1006:AQ1006),$AC$1006:$AS$1006,0)), HYPERLINK("#",""), HYPERLINK(CONCATENATE("#Metadata!", ADDRESS(INDEX($X$2:$X$1001,MATCH(ROWS($V$2:V906),$V$2:$V$1001,0),0), INDEX($AC$1004:$AS$1004,1,MATCH(COLUMNS($AC$1006:AQ1006),$AC$1006:$AS$1006,0)))),"Fix")))</f>
        <v>0</v>
      </c>
      <c r="Q906" s="5">
        <f>IF(OR(INDEX($W$2:$W$1001,MATCH(ROWS($V$2:V906),$V$2:$V$1001,0),1)&gt;=100000,INDEX($AC$1005:$AS$1005,1,MATCH(COLUMNS($AC$1006:AR1006),$AC$1006:$AS$1006,0))&gt;=100000), " ",IF(INDEX($AC$2:$AS$1001,MATCH(ROWS($V$2:V906),$V$2:$V$1001,0),MATCH(COLUMNS($AC$1006:AR1006),$AC$1006:$AS$1006,0)), HYPERLINK("#",""), HYPERLINK(CONCATENATE("#Metadata!", ADDRESS(INDEX($X$2:$X$1001,MATCH(ROWS($V$2:V906),$V$2:$V$1001,0),0), INDEX($AC$1004:$AS$1004,1,MATCH(COLUMNS($AC$1006:AR1006),$AC$1006:$AS$1006,0)))),"Fix")))</f>
        <v>0</v>
      </c>
      <c r="R906" s="5">
        <f>IF(OR(INDEX($W$2:$W$1001,MATCH(ROWS($V$2:V906),$V$2:$V$1001,0),1)&gt;=100000,INDEX($AC$1005:$AS$1005,1,MATCH(COLUMNS($AC$1006:AS1006),$AC$1006:$AS$1006,0))&gt;=100000), " ",IF(INDEX($AC$2:$AS$1001,MATCH(ROWS($V$2:V906),$V$2:$V$1001,0),MATCH(COLUMNS($AC$1006:AS1006),$AC$1006:$AS$1006,0)), HYPERLINK("#",""), HYPERLINK(CONCATENATE("#Metadata!", ADDRESS(INDEX($X$2:$X$1001,MATCH(ROWS($V$2:V906),$V$2:$V$1001,0),0), INDEX($AC$1004:$AS$1004,1,MATCH(COLUMNS($AC$1006:AS1006),$AC$1006:$AS$1006,0)))),"Fix")))</f>
        <v>0</v>
      </c>
      <c r="V906">
        <v>0</v>
      </c>
      <c r="W906">
        <v>0</v>
      </c>
      <c r="X906">
        <v>0</v>
      </c>
      <c r="Y906">
        <f>IF(Z906,TRUE,AND(AC906:AS906))</f>
        <v>0</v>
      </c>
      <c r="Z906">
        <f>COUNTBLANK(Metadata!B906:R906)=COLUMNS(Metadata!B906:R906)</f>
        <v>0</v>
      </c>
      <c r="AA906">
        <v>0</v>
      </c>
      <c r="AC906">
        <f>AND(IF(Metadata!B906="",FALSE,TRUE),COUNTIF(Metadata!B:B, Metadata!B906) = 1,NOT(ISERROR(SUMPRODUCT(SEARCH(MID(Metadata!B906,ROW(INDIRECT("1:"&amp;LEN(Metadata!B906))), 1),"0123456789abcdefghijklmnopqrstuvwxyzABCDEFGHIJKLMNOPQRSTUVWXYZ.")))))</f>
        <v>0</v>
      </c>
      <c r="AD906">
        <f>AND(IF(Metadata!C906="",FALSE,TRUE),exact(Metadata!C906,"Host-associated"))</f>
        <v>0</v>
      </c>
      <c r="AE906">
        <f>AND(IF(Metadata!D906="",FALSE,TRUE),OR(exact(Metadata!D906,"Animal"),exact(Metadata!D906,"Fungus"),exact(Metadata!D906,"Plant")))</f>
        <v>0</v>
      </c>
      <c r="AF906">
        <f>AND(IF(Metadata!E906="",FALSE,TRUE),OR(exact(Metadata!E906,"Plant secretion"),exact(Metadata!E906,"Plant rhizosphere"),exact(Metadata!E906,"Plant surface"),exact(Metadata!E906,"Plant corpus"),exact(Metadata!E906,"Fungus surface"),exact(Metadata!E906,"Fungus corpus"),exact(Metadata!E906,"Animal surface"),exact(Metadata!E906,"Animal proximal gut"),exact(Metadata!E906,"Animal corpus"),exact(Metadata!E906,"Animal distal gut"),exact(Metadata!E906,"Animal secretion")))</f>
        <v>0</v>
      </c>
      <c r="AG906">
        <f>OR(AND(IF(Metadata!F906="",FALSE,TRUE),OR(exact(Metadata!F906,"not collected"),exact(Metadata!F906,"not provided"),exact(Metadata!F906,"restricted access"))),AND(IF(Metadata!F906="",FALSE,TRUE),OR(exact(Metadata!F906,"organism-associated habitat"),exact(Metadata!F906,"plant-associated habitat"),exact(Metadata!F906,"animal-associated habitat"),exact(Metadata!F906,"insecta-associated habitat"),exact(Metadata!F906,"mammalia-associated habitat"),exact(Metadata!F906,"human-associated habitat"),exact(Metadata!F906,"livestock-associated habitat"))))</f>
        <v>0</v>
      </c>
      <c r="AH906">
        <f>AND(IF(Metadata!G906="",FALSE,TRUE),exact(Metadata!G906,"host-associated"))</f>
        <v>0</v>
      </c>
      <c r="AI906">
        <f>OR(AND(IF(Metadata!H906="",FALSE,TRUE),OR(exact(Metadata!H906,"not collected"),exact(Metadata!H906,"not provided"))),AND(IF(Metadata!H906="",FALSE,ISNUMBER(VALUE(Metadata!H906))),Metadata!H906&gt;0))</f>
        <v>0</v>
      </c>
      <c r="AJ906">
        <f>AND(IF(Metadata!I906="",FALSE,TRUE),exact(Metadata!I906,"years"))</f>
        <v>0</v>
      </c>
      <c r="AK906">
        <f>IF(Metadata!J906="",FALSE,TRUE)</f>
        <v>0</v>
      </c>
      <c r="AL906">
        <f>OR(AND(IF(Metadata!K906="",FALSE,TRUE),OR(exact(Metadata!K906,"not collected"),exact(Metadata!K906,"not provided"))),AND(IF(Metadata!K906="",FALSE,ISNUMBER(VALUE(Metadata!K906))),Metadata!K906&gt;0))</f>
        <v>0</v>
      </c>
      <c r="AM906">
        <f>AND(IF(Metadata!L906="",FALSE,TRUE),exact(Metadata!L906,"cm"))</f>
        <v>0</v>
      </c>
      <c r="AN906">
        <f>IF(Metadata!M906="",FALSE,TRUE)</f>
        <v>0</v>
      </c>
      <c r="AO906">
        <f>OR(AND(IF(Metadata!N906="",FALSE,TRUE),OR(exact(Metadata!N906,"not applicable"),exact(Metadata!N906,"not collected"),exact(Metadata!N906,"not provided"))),AND(IF(Metadata!N906="",FALSE,IF(ISERROR(INT(Metadata!N906)),FALSE,INT(Metadata!N906)=Metadata!N906)),Metadata!N906&gt;0))</f>
        <v>0</v>
      </c>
      <c r="AP906">
        <f>OR(AND(IF(Metadata!O906="",FALSE,TRUE),OR(exact(Metadata!O906,"not collected"),exact(Metadata!O906,"not provided"))),AND(IF(Metadata!O906="",FALSE,ISNUMBER(VALUE(Metadata!O906))),Metadata!O906&gt;0))</f>
        <v>0</v>
      </c>
      <c r="AQ906">
        <f>AND(IF(Metadata!P906="",FALSE,TRUE),exact(Metadata!P906,"kg"))</f>
        <v>0</v>
      </c>
      <c r="AR906">
        <f>OR(AND(IF(Metadata!Q906="",FALSE,TRUE),OR(exact(Metadata!Q906,"not applicable"),exact(Metadata!Q906,"not collected"),exact(Metadata!Q906,"not provided"),exact(Metadata!Q906,"restricted access"))),IF(Metadata!Q906="",FALSE,IF(ISERROR(INT(Metadata!Q906)),FALSE,INT(Metadata!Q906)=Metadata!Q906)))</f>
        <v>0</v>
      </c>
      <c r="AS906">
        <f>AND(IF(Metadata!R906="",FALSE,TRUE),exact(Metadata!R906,"Not applicable"))</f>
        <v>0</v>
      </c>
    </row>
    <row r="907" spans="1:45">
      <c r="A907" s="4">
        <f>IF(B907=" "," ",HYPERLINK(CONCATENATE("#metadata!",ADDRESS(INDEX($X$2:$X$1001,MATCH(ROWS($V$2:V907),$V$2:$V$1001,0),0),2)),INDEX($AA$2:$AA$1001,MATCH(ROWS($V$2:V907),$V$2:$V$1001,0),0)))</f>
        <v>0</v>
      </c>
      <c r="B907" s="5">
        <f>IF(OR(INDEX($W$2:$W$1001,MATCH(ROWS($V$2:V907),$V$2:$V$1001,0),1)&gt;=100000,INDEX($AC$1005:$AS$1005,1,MATCH(COLUMNS($AC$1006:AC1006),$AC$1006:$AS$1006,0))&gt;=100000), " ",IF(INDEX($AC$2:$AS$1001,MATCH(ROWS($V$2:V907),$V$2:$V$1001,0),MATCH(COLUMNS($AC$1006:AC1006),$AC$1006:$AS$1006,0)), HYPERLINK("#",""), HYPERLINK(CONCATENATE("#Metadata!", ADDRESS(INDEX($X$2:$X$1001,MATCH(ROWS($V$2:V907),$V$2:$V$1001,0),0), INDEX($AC$1004:$AS$1004,1,MATCH(COLUMNS($AC$1006:AC1006),$AC$1006:$AS$1006,0)))),"Fix")))</f>
        <v>0</v>
      </c>
      <c r="C907" s="5">
        <f>IF(OR(INDEX($W$2:$W$1001,MATCH(ROWS($V$2:V907),$V$2:$V$1001,0),1)&gt;=100000,INDEX($AC$1005:$AS$1005,1,MATCH(COLUMNS($AC$1006:AD1006),$AC$1006:$AS$1006,0))&gt;=100000), " ",IF(INDEX($AC$2:$AS$1001,MATCH(ROWS($V$2:V907),$V$2:$V$1001,0),MATCH(COLUMNS($AC$1006:AD1006),$AC$1006:$AS$1006,0)), HYPERLINK("#",""), HYPERLINK(CONCATENATE("#Metadata!", ADDRESS(INDEX($X$2:$X$1001,MATCH(ROWS($V$2:V907),$V$2:$V$1001,0),0), INDEX($AC$1004:$AS$1004,1,MATCH(COLUMNS($AC$1006:AD1006),$AC$1006:$AS$1006,0)))),"Fix")))</f>
        <v>0</v>
      </c>
      <c r="D907" s="5">
        <f>IF(OR(INDEX($W$2:$W$1001,MATCH(ROWS($V$2:V907),$V$2:$V$1001,0),1)&gt;=100000,INDEX($AC$1005:$AS$1005,1,MATCH(COLUMNS($AC$1006:AE1006),$AC$1006:$AS$1006,0))&gt;=100000), " ",IF(INDEX($AC$2:$AS$1001,MATCH(ROWS($V$2:V907),$V$2:$V$1001,0),MATCH(COLUMNS($AC$1006:AE1006),$AC$1006:$AS$1006,0)), HYPERLINK("#",""), HYPERLINK(CONCATENATE("#Metadata!", ADDRESS(INDEX($X$2:$X$1001,MATCH(ROWS($V$2:V907),$V$2:$V$1001,0),0), INDEX($AC$1004:$AS$1004,1,MATCH(COLUMNS($AC$1006:AE1006),$AC$1006:$AS$1006,0)))),"Fix")))</f>
        <v>0</v>
      </c>
      <c r="E907" s="5">
        <f>IF(OR(INDEX($W$2:$W$1001,MATCH(ROWS($V$2:V907),$V$2:$V$1001,0),1)&gt;=100000,INDEX($AC$1005:$AS$1005,1,MATCH(COLUMNS($AC$1006:AF1006),$AC$1006:$AS$1006,0))&gt;=100000), " ",IF(INDEX($AC$2:$AS$1001,MATCH(ROWS($V$2:V907),$V$2:$V$1001,0),MATCH(COLUMNS($AC$1006:AF1006),$AC$1006:$AS$1006,0)), HYPERLINK("#",""), HYPERLINK(CONCATENATE("#Metadata!", ADDRESS(INDEX($X$2:$X$1001,MATCH(ROWS($V$2:V907),$V$2:$V$1001,0),0), INDEX($AC$1004:$AS$1004,1,MATCH(COLUMNS($AC$1006:AF1006),$AC$1006:$AS$1006,0)))),"Fix")))</f>
        <v>0</v>
      </c>
      <c r="F907" s="5">
        <f>IF(OR(INDEX($W$2:$W$1001,MATCH(ROWS($V$2:V907),$V$2:$V$1001,0),1)&gt;=100000,INDEX($AC$1005:$AS$1005,1,MATCH(COLUMNS($AC$1006:AG1006),$AC$1006:$AS$1006,0))&gt;=100000), " ",IF(INDEX($AC$2:$AS$1001,MATCH(ROWS($V$2:V907),$V$2:$V$1001,0),MATCH(COLUMNS($AC$1006:AG1006),$AC$1006:$AS$1006,0)), HYPERLINK("#",""), HYPERLINK(CONCATENATE("#Metadata!", ADDRESS(INDEX($X$2:$X$1001,MATCH(ROWS($V$2:V907),$V$2:$V$1001,0),0), INDEX($AC$1004:$AS$1004,1,MATCH(COLUMNS($AC$1006:AG1006),$AC$1006:$AS$1006,0)))),"Fix")))</f>
        <v>0</v>
      </c>
      <c r="G907" s="5">
        <f>IF(OR(INDEX($W$2:$W$1001,MATCH(ROWS($V$2:V907),$V$2:$V$1001,0),1)&gt;=100000,INDEX($AC$1005:$AS$1005,1,MATCH(COLUMNS($AC$1006:AH1006),$AC$1006:$AS$1006,0))&gt;=100000), " ",IF(INDEX($AC$2:$AS$1001,MATCH(ROWS($V$2:V907),$V$2:$V$1001,0),MATCH(COLUMNS($AC$1006:AH1006),$AC$1006:$AS$1006,0)), HYPERLINK("#",""), HYPERLINK(CONCATENATE("#Metadata!", ADDRESS(INDEX($X$2:$X$1001,MATCH(ROWS($V$2:V907),$V$2:$V$1001,0),0), INDEX($AC$1004:$AS$1004,1,MATCH(COLUMNS($AC$1006:AH1006),$AC$1006:$AS$1006,0)))),"Fix")))</f>
        <v>0</v>
      </c>
      <c r="H907" s="5">
        <f>IF(OR(INDEX($W$2:$W$1001,MATCH(ROWS($V$2:V907),$V$2:$V$1001,0),1)&gt;=100000,INDEX($AC$1005:$AS$1005,1,MATCH(COLUMNS($AC$1006:AI1006),$AC$1006:$AS$1006,0))&gt;=100000), " ",IF(INDEX($AC$2:$AS$1001,MATCH(ROWS($V$2:V907),$V$2:$V$1001,0),MATCH(COLUMNS($AC$1006:AI1006),$AC$1006:$AS$1006,0)), HYPERLINK("#",""), HYPERLINK(CONCATENATE("#Metadata!", ADDRESS(INDEX($X$2:$X$1001,MATCH(ROWS($V$2:V907),$V$2:$V$1001,0),0), INDEX($AC$1004:$AS$1004,1,MATCH(COLUMNS($AC$1006:AI1006),$AC$1006:$AS$1006,0)))),"Fix")))</f>
        <v>0</v>
      </c>
      <c r="I907" s="5">
        <f>IF(OR(INDEX($W$2:$W$1001,MATCH(ROWS($V$2:V907),$V$2:$V$1001,0),1)&gt;=100000,INDEX($AC$1005:$AS$1005,1,MATCH(COLUMNS($AC$1006:AJ1006),$AC$1006:$AS$1006,0))&gt;=100000), " ",IF(INDEX($AC$2:$AS$1001,MATCH(ROWS($V$2:V907),$V$2:$V$1001,0),MATCH(COLUMNS($AC$1006:AJ1006),$AC$1006:$AS$1006,0)), HYPERLINK("#",""), HYPERLINK(CONCATENATE("#Metadata!", ADDRESS(INDEX($X$2:$X$1001,MATCH(ROWS($V$2:V907),$V$2:$V$1001,0),0), INDEX($AC$1004:$AS$1004,1,MATCH(COLUMNS($AC$1006:AJ1006),$AC$1006:$AS$1006,0)))),"Fix")))</f>
        <v>0</v>
      </c>
      <c r="J907" s="5">
        <f>IF(OR(INDEX($W$2:$W$1001,MATCH(ROWS($V$2:V907),$V$2:$V$1001,0),1)&gt;=100000,INDEX($AC$1005:$AS$1005,1,MATCH(COLUMNS($AC$1006:AK1006),$AC$1006:$AS$1006,0))&gt;=100000), " ",IF(INDEX($AC$2:$AS$1001,MATCH(ROWS($V$2:V907),$V$2:$V$1001,0),MATCH(COLUMNS($AC$1006:AK1006),$AC$1006:$AS$1006,0)), HYPERLINK("#",""), HYPERLINK(CONCATENATE("#Metadata!", ADDRESS(INDEX($X$2:$X$1001,MATCH(ROWS($V$2:V907),$V$2:$V$1001,0),0), INDEX($AC$1004:$AS$1004,1,MATCH(COLUMNS($AC$1006:AK1006),$AC$1006:$AS$1006,0)))),"Fix")))</f>
        <v>0</v>
      </c>
      <c r="K907" s="5">
        <f>IF(OR(INDEX($W$2:$W$1001,MATCH(ROWS($V$2:V907),$V$2:$V$1001,0),1)&gt;=100000,INDEX($AC$1005:$AS$1005,1,MATCH(COLUMNS($AC$1006:AL1006),$AC$1006:$AS$1006,0))&gt;=100000), " ",IF(INDEX($AC$2:$AS$1001,MATCH(ROWS($V$2:V907),$V$2:$V$1001,0),MATCH(COLUMNS($AC$1006:AL1006),$AC$1006:$AS$1006,0)), HYPERLINK("#",""), HYPERLINK(CONCATENATE("#Metadata!", ADDRESS(INDEX($X$2:$X$1001,MATCH(ROWS($V$2:V907),$V$2:$V$1001,0),0), INDEX($AC$1004:$AS$1004,1,MATCH(COLUMNS($AC$1006:AL1006),$AC$1006:$AS$1006,0)))),"Fix")))</f>
        <v>0</v>
      </c>
      <c r="L907" s="5">
        <f>IF(OR(INDEX($W$2:$W$1001,MATCH(ROWS($V$2:V907),$V$2:$V$1001,0),1)&gt;=100000,INDEX($AC$1005:$AS$1005,1,MATCH(COLUMNS($AC$1006:AM1006),$AC$1006:$AS$1006,0))&gt;=100000), " ",IF(INDEX($AC$2:$AS$1001,MATCH(ROWS($V$2:V907),$V$2:$V$1001,0),MATCH(COLUMNS($AC$1006:AM1006),$AC$1006:$AS$1006,0)), HYPERLINK("#",""), HYPERLINK(CONCATENATE("#Metadata!", ADDRESS(INDEX($X$2:$X$1001,MATCH(ROWS($V$2:V907),$V$2:$V$1001,0),0), INDEX($AC$1004:$AS$1004,1,MATCH(COLUMNS($AC$1006:AM1006),$AC$1006:$AS$1006,0)))),"Fix")))</f>
        <v>0</v>
      </c>
      <c r="M907" s="5">
        <f>IF(OR(INDEX($W$2:$W$1001,MATCH(ROWS($V$2:V907),$V$2:$V$1001,0),1)&gt;=100000,INDEX($AC$1005:$AS$1005,1,MATCH(COLUMNS($AC$1006:AN1006),$AC$1006:$AS$1006,0))&gt;=100000), " ",IF(INDEX($AC$2:$AS$1001,MATCH(ROWS($V$2:V907),$V$2:$V$1001,0),MATCH(COLUMNS($AC$1006:AN1006),$AC$1006:$AS$1006,0)), HYPERLINK("#",""), HYPERLINK(CONCATENATE("#Metadata!", ADDRESS(INDEX($X$2:$X$1001,MATCH(ROWS($V$2:V907),$V$2:$V$1001,0),0), INDEX($AC$1004:$AS$1004,1,MATCH(COLUMNS($AC$1006:AN1006),$AC$1006:$AS$1006,0)))),"Fix")))</f>
        <v>0</v>
      </c>
      <c r="N907" s="5">
        <f>IF(OR(INDEX($W$2:$W$1001,MATCH(ROWS($V$2:V907),$V$2:$V$1001,0),1)&gt;=100000,INDEX($AC$1005:$AS$1005,1,MATCH(COLUMNS($AC$1006:AO1006),$AC$1006:$AS$1006,0))&gt;=100000), " ",IF(INDEX($AC$2:$AS$1001,MATCH(ROWS($V$2:V907),$V$2:$V$1001,0),MATCH(COLUMNS($AC$1006:AO1006),$AC$1006:$AS$1006,0)), HYPERLINK("#",""), HYPERLINK(CONCATENATE("#Metadata!", ADDRESS(INDEX($X$2:$X$1001,MATCH(ROWS($V$2:V907),$V$2:$V$1001,0),0), INDEX($AC$1004:$AS$1004,1,MATCH(COLUMNS($AC$1006:AO1006),$AC$1006:$AS$1006,0)))),"Fix")))</f>
        <v>0</v>
      </c>
      <c r="O907" s="5">
        <f>IF(OR(INDEX($W$2:$W$1001,MATCH(ROWS($V$2:V907),$V$2:$V$1001,0),1)&gt;=100000,INDEX($AC$1005:$AS$1005,1,MATCH(COLUMNS($AC$1006:AP1006),$AC$1006:$AS$1006,0))&gt;=100000), " ",IF(INDEX($AC$2:$AS$1001,MATCH(ROWS($V$2:V907),$V$2:$V$1001,0),MATCH(COLUMNS($AC$1006:AP1006),$AC$1006:$AS$1006,0)), HYPERLINK("#",""), HYPERLINK(CONCATENATE("#Metadata!", ADDRESS(INDEX($X$2:$X$1001,MATCH(ROWS($V$2:V907),$V$2:$V$1001,0),0), INDEX($AC$1004:$AS$1004,1,MATCH(COLUMNS($AC$1006:AP1006),$AC$1006:$AS$1006,0)))),"Fix")))</f>
        <v>0</v>
      </c>
      <c r="P907" s="5">
        <f>IF(OR(INDEX($W$2:$W$1001,MATCH(ROWS($V$2:V907),$V$2:$V$1001,0),1)&gt;=100000,INDEX($AC$1005:$AS$1005,1,MATCH(COLUMNS($AC$1006:AQ1006),$AC$1006:$AS$1006,0))&gt;=100000), " ",IF(INDEX($AC$2:$AS$1001,MATCH(ROWS($V$2:V907),$V$2:$V$1001,0),MATCH(COLUMNS($AC$1006:AQ1006),$AC$1006:$AS$1006,0)), HYPERLINK("#",""), HYPERLINK(CONCATENATE("#Metadata!", ADDRESS(INDEX($X$2:$X$1001,MATCH(ROWS($V$2:V907),$V$2:$V$1001,0),0), INDEX($AC$1004:$AS$1004,1,MATCH(COLUMNS($AC$1006:AQ1006),$AC$1006:$AS$1006,0)))),"Fix")))</f>
        <v>0</v>
      </c>
      <c r="Q907" s="5">
        <f>IF(OR(INDEX($W$2:$W$1001,MATCH(ROWS($V$2:V907),$V$2:$V$1001,0),1)&gt;=100000,INDEX($AC$1005:$AS$1005,1,MATCH(COLUMNS($AC$1006:AR1006),$AC$1006:$AS$1006,0))&gt;=100000), " ",IF(INDEX($AC$2:$AS$1001,MATCH(ROWS($V$2:V907),$V$2:$V$1001,0),MATCH(COLUMNS($AC$1006:AR1006),$AC$1006:$AS$1006,0)), HYPERLINK("#",""), HYPERLINK(CONCATENATE("#Metadata!", ADDRESS(INDEX($X$2:$X$1001,MATCH(ROWS($V$2:V907),$V$2:$V$1001,0),0), INDEX($AC$1004:$AS$1004,1,MATCH(COLUMNS($AC$1006:AR1006),$AC$1006:$AS$1006,0)))),"Fix")))</f>
        <v>0</v>
      </c>
      <c r="R907" s="5">
        <f>IF(OR(INDEX($W$2:$W$1001,MATCH(ROWS($V$2:V907),$V$2:$V$1001,0),1)&gt;=100000,INDEX($AC$1005:$AS$1005,1,MATCH(COLUMNS($AC$1006:AS1006),$AC$1006:$AS$1006,0))&gt;=100000), " ",IF(INDEX($AC$2:$AS$1001,MATCH(ROWS($V$2:V907),$V$2:$V$1001,0),MATCH(COLUMNS($AC$1006:AS1006),$AC$1006:$AS$1006,0)), HYPERLINK("#",""), HYPERLINK(CONCATENATE("#Metadata!", ADDRESS(INDEX($X$2:$X$1001,MATCH(ROWS($V$2:V907),$V$2:$V$1001,0),0), INDEX($AC$1004:$AS$1004,1,MATCH(COLUMNS($AC$1006:AS1006),$AC$1006:$AS$1006,0)))),"Fix")))</f>
        <v>0</v>
      </c>
      <c r="V907">
        <v>0</v>
      </c>
      <c r="W907">
        <v>0</v>
      </c>
      <c r="X907">
        <v>0</v>
      </c>
      <c r="Y907">
        <f>IF(Z907,TRUE,AND(AC907:AS907))</f>
        <v>0</v>
      </c>
      <c r="Z907">
        <f>COUNTBLANK(Metadata!B907:R907)=COLUMNS(Metadata!B907:R907)</f>
        <v>0</v>
      </c>
      <c r="AA907">
        <v>0</v>
      </c>
      <c r="AC907">
        <f>AND(IF(Metadata!B907="",FALSE,TRUE),COUNTIF(Metadata!B:B, Metadata!B907) = 1,NOT(ISERROR(SUMPRODUCT(SEARCH(MID(Metadata!B907,ROW(INDIRECT("1:"&amp;LEN(Metadata!B907))), 1),"0123456789abcdefghijklmnopqrstuvwxyzABCDEFGHIJKLMNOPQRSTUVWXYZ.")))))</f>
        <v>0</v>
      </c>
      <c r="AD907">
        <f>AND(IF(Metadata!C907="",FALSE,TRUE),exact(Metadata!C907,"Host-associated"))</f>
        <v>0</v>
      </c>
      <c r="AE907">
        <f>AND(IF(Metadata!D907="",FALSE,TRUE),OR(exact(Metadata!D907,"Animal"),exact(Metadata!D907,"Fungus"),exact(Metadata!D907,"Plant")))</f>
        <v>0</v>
      </c>
      <c r="AF907">
        <f>AND(IF(Metadata!E907="",FALSE,TRUE),OR(exact(Metadata!E907,"Plant secretion"),exact(Metadata!E907,"Plant rhizosphere"),exact(Metadata!E907,"Plant surface"),exact(Metadata!E907,"Plant corpus"),exact(Metadata!E907,"Fungus surface"),exact(Metadata!E907,"Fungus corpus"),exact(Metadata!E907,"Animal surface"),exact(Metadata!E907,"Animal proximal gut"),exact(Metadata!E907,"Animal corpus"),exact(Metadata!E907,"Animal distal gut"),exact(Metadata!E907,"Animal secretion")))</f>
        <v>0</v>
      </c>
      <c r="AG907">
        <f>OR(AND(IF(Metadata!F907="",FALSE,TRUE),OR(exact(Metadata!F907,"not collected"),exact(Metadata!F907,"not provided"),exact(Metadata!F907,"restricted access"))),AND(IF(Metadata!F907="",FALSE,TRUE),OR(exact(Metadata!F907,"organism-associated habitat"),exact(Metadata!F907,"plant-associated habitat"),exact(Metadata!F907,"animal-associated habitat"),exact(Metadata!F907,"insecta-associated habitat"),exact(Metadata!F907,"mammalia-associated habitat"),exact(Metadata!F907,"human-associated habitat"),exact(Metadata!F907,"livestock-associated habitat"))))</f>
        <v>0</v>
      </c>
      <c r="AH907">
        <f>AND(IF(Metadata!G907="",FALSE,TRUE),exact(Metadata!G907,"host-associated"))</f>
        <v>0</v>
      </c>
      <c r="AI907">
        <f>OR(AND(IF(Metadata!H907="",FALSE,TRUE),OR(exact(Metadata!H907,"not collected"),exact(Metadata!H907,"not provided"))),AND(IF(Metadata!H907="",FALSE,ISNUMBER(VALUE(Metadata!H907))),Metadata!H907&gt;0))</f>
        <v>0</v>
      </c>
      <c r="AJ907">
        <f>AND(IF(Metadata!I907="",FALSE,TRUE),exact(Metadata!I907,"years"))</f>
        <v>0</v>
      </c>
      <c r="AK907">
        <f>IF(Metadata!J907="",FALSE,TRUE)</f>
        <v>0</v>
      </c>
      <c r="AL907">
        <f>OR(AND(IF(Metadata!K907="",FALSE,TRUE),OR(exact(Metadata!K907,"not collected"),exact(Metadata!K907,"not provided"))),AND(IF(Metadata!K907="",FALSE,ISNUMBER(VALUE(Metadata!K907))),Metadata!K907&gt;0))</f>
        <v>0</v>
      </c>
      <c r="AM907">
        <f>AND(IF(Metadata!L907="",FALSE,TRUE),exact(Metadata!L907,"cm"))</f>
        <v>0</v>
      </c>
      <c r="AN907">
        <f>IF(Metadata!M907="",FALSE,TRUE)</f>
        <v>0</v>
      </c>
      <c r="AO907">
        <f>OR(AND(IF(Metadata!N907="",FALSE,TRUE),OR(exact(Metadata!N907,"not applicable"),exact(Metadata!N907,"not collected"),exact(Metadata!N907,"not provided"))),AND(IF(Metadata!N907="",FALSE,IF(ISERROR(INT(Metadata!N907)),FALSE,INT(Metadata!N907)=Metadata!N907)),Metadata!N907&gt;0))</f>
        <v>0</v>
      </c>
      <c r="AP907">
        <f>OR(AND(IF(Metadata!O907="",FALSE,TRUE),OR(exact(Metadata!O907,"not collected"),exact(Metadata!O907,"not provided"))),AND(IF(Metadata!O907="",FALSE,ISNUMBER(VALUE(Metadata!O907))),Metadata!O907&gt;0))</f>
        <v>0</v>
      </c>
      <c r="AQ907">
        <f>AND(IF(Metadata!P907="",FALSE,TRUE),exact(Metadata!P907,"kg"))</f>
        <v>0</v>
      </c>
      <c r="AR907">
        <f>OR(AND(IF(Metadata!Q907="",FALSE,TRUE),OR(exact(Metadata!Q907,"not applicable"),exact(Metadata!Q907,"not collected"),exact(Metadata!Q907,"not provided"),exact(Metadata!Q907,"restricted access"))),IF(Metadata!Q907="",FALSE,IF(ISERROR(INT(Metadata!Q907)),FALSE,INT(Metadata!Q907)=Metadata!Q907)))</f>
        <v>0</v>
      </c>
      <c r="AS907">
        <f>AND(IF(Metadata!R907="",FALSE,TRUE),exact(Metadata!R907,"Not applicable"))</f>
        <v>0</v>
      </c>
    </row>
    <row r="908" spans="1:45">
      <c r="A908" s="4">
        <f>IF(B908=" "," ",HYPERLINK(CONCATENATE("#metadata!",ADDRESS(INDEX($X$2:$X$1001,MATCH(ROWS($V$2:V908),$V$2:$V$1001,0),0),2)),INDEX($AA$2:$AA$1001,MATCH(ROWS($V$2:V908),$V$2:$V$1001,0),0)))</f>
        <v>0</v>
      </c>
      <c r="B908" s="5">
        <f>IF(OR(INDEX($W$2:$W$1001,MATCH(ROWS($V$2:V908),$V$2:$V$1001,0),1)&gt;=100000,INDEX($AC$1005:$AS$1005,1,MATCH(COLUMNS($AC$1006:AC1006),$AC$1006:$AS$1006,0))&gt;=100000), " ",IF(INDEX($AC$2:$AS$1001,MATCH(ROWS($V$2:V908),$V$2:$V$1001,0),MATCH(COLUMNS($AC$1006:AC1006),$AC$1006:$AS$1006,0)), HYPERLINK("#",""), HYPERLINK(CONCATENATE("#Metadata!", ADDRESS(INDEX($X$2:$X$1001,MATCH(ROWS($V$2:V908),$V$2:$V$1001,0),0), INDEX($AC$1004:$AS$1004,1,MATCH(COLUMNS($AC$1006:AC1006),$AC$1006:$AS$1006,0)))),"Fix")))</f>
        <v>0</v>
      </c>
      <c r="C908" s="5">
        <f>IF(OR(INDEX($W$2:$W$1001,MATCH(ROWS($V$2:V908),$V$2:$V$1001,0),1)&gt;=100000,INDEX($AC$1005:$AS$1005,1,MATCH(COLUMNS($AC$1006:AD1006),$AC$1006:$AS$1006,0))&gt;=100000), " ",IF(INDEX($AC$2:$AS$1001,MATCH(ROWS($V$2:V908),$V$2:$V$1001,0),MATCH(COLUMNS($AC$1006:AD1006),$AC$1006:$AS$1006,0)), HYPERLINK("#",""), HYPERLINK(CONCATENATE("#Metadata!", ADDRESS(INDEX($X$2:$X$1001,MATCH(ROWS($V$2:V908),$V$2:$V$1001,0),0), INDEX($AC$1004:$AS$1004,1,MATCH(COLUMNS($AC$1006:AD1006),$AC$1006:$AS$1006,0)))),"Fix")))</f>
        <v>0</v>
      </c>
      <c r="D908" s="5">
        <f>IF(OR(INDEX($W$2:$W$1001,MATCH(ROWS($V$2:V908),$V$2:$V$1001,0),1)&gt;=100000,INDEX($AC$1005:$AS$1005,1,MATCH(COLUMNS($AC$1006:AE1006),$AC$1006:$AS$1006,0))&gt;=100000), " ",IF(INDEX($AC$2:$AS$1001,MATCH(ROWS($V$2:V908),$V$2:$V$1001,0),MATCH(COLUMNS($AC$1006:AE1006),$AC$1006:$AS$1006,0)), HYPERLINK("#",""), HYPERLINK(CONCATENATE("#Metadata!", ADDRESS(INDEX($X$2:$X$1001,MATCH(ROWS($V$2:V908),$V$2:$V$1001,0),0), INDEX($AC$1004:$AS$1004,1,MATCH(COLUMNS($AC$1006:AE1006),$AC$1006:$AS$1006,0)))),"Fix")))</f>
        <v>0</v>
      </c>
      <c r="E908" s="5">
        <f>IF(OR(INDEX($W$2:$W$1001,MATCH(ROWS($V$2:V908),$V$2:$V$1001,0),1)&gt;=100000,INDEX($AC$1005:$AS$1005,1,MATCH(COLUMNS($AC$1006:AF1006),$AC$1006:$AS$1006,0))&gt;=100000), " ",IF(INDEX($AC$2:$AS$1001,MATCH(ROWS($V$2:V908),$V$2:$V$1001,0),MATCH(COLUMNS($AC$1006:AF1006),$AC$1006:$AS$1006,0)), HYPERLINK("#",""), HYPERLINK(CONCATENATE("#Metadata!", ADDRESS(INDEX($X$2:$X$1001,MATCH(ROWS($V$2:V908),$V$2:$V$1001,0),0), INDEX($AC$1004:$AS$1004,1,MATCH(COLUMNS($AC$1006:AF1006),$AC$1006:$AS$1006,0)))),"Fix")))</f>
        <v>0</v>
      </c>
      <c r="F908" s="5">
        <f>IF(OR(INDEX($W$2:$W$1001,MATCH(ROWS($V$2:V908),$V$2:$V$1001,0),1)&gt;=100000,INDEX($AC$1005:$AS$1005,1,MATCH(COLUMNS($AC$1006:AG1006),$AC$1006:$AS$1006,0))&gt;=100000), " ",IF(INDEX($AC$2:$AS$1001,MATCH(ROWS($V$2:V908),$V$2:$V$1001,0),MATCH(COLUMNS($AC$1006:AG1006),$AC$1006:$AS$1006,0)), HYPERLINK("#",""), HYPERLINK(CONCATENATE("#Metadata!", ADDRESS(INDEX($X$2:$X$1001,MATCH(ROWS($V$2:V908),$V$2:$V$1001,0),0), INDEX($AC$1004:$AS$1004,1,MATCH(COLUMNS($AC$1006:AG1006),$AC$1006:$AS$1006,0)))),"Fix")))</f>
        <v>0</v>
      </c>
      <c r="G908" s="5">
        <f>IF(OR(INDEX($W$2:$W$1001,MATCH(ROWS($V$2:V908),$V$2:$V$1001,0),1)&gt;=100000,INDEX($AC$1005:$AS$1005,1,MATCH(COLUMNS($AC$1006:AH1006),$AC$1006:$AS$1006,0))&gt;=100000), " ",IF(INDEX($AC$2:$AS$1001,MATCH(ROWS($V$2:V908),$V$2:$V$1001,0),MATCH(COLUMNS($AC$1006:AH1006),$AC$1006:$AS$1006,0)), HYPERLINK("#",""), HYPERLINK(CONCATENATE("#Metadata!", ADDRESS(INDEX($X$2:$X$1001,MATCH(ROWS($V$2:V908),$V$2:$V$1001,0),0), INDEX($AC$1004:$AS$1004,1,MATCH(COLUMNS($AC$1006:AH1006),$AC$1006:$AS$1006,0)))),"Fix")))</f>
        <v>0</v>
      </c>
      <c r="H908" s="5">
        <f>IF(OR(INDEX($W$2:$W$1001,MATCH(ROWS($V$2:V908),$V$2:$V$1001,0),1)&gt;=100000,INDEX($AC$1005:$AS$1005,1,MATCH(COLUMNS($AC$1006:AI1006),$AC$1006:$AS$1006,0))&gt;=100000), " ",IF(INDEX($AC$2:$AS$1001,MATCH(ROWS($V$2:V908),$V$2:$V$1001,0),MATCH(COLUMNS($AC$1006:AI1006),$AC$1006:$AS$1006,0)), HYPERLINK("#",""), HYPERLINK(CONCATENATE("#Metadata!", ADDRESS(INDEX($X$2:$X$1001,MATCH(ROWS($V$2:V908),$V$2:$V$1001,0),0), INDEX($AC$1004:$AS$1004,1,MATCH(COLUMNS($AC$1006:AI1006),$AC$1006:$AS$1006,0)))),"Fix")))</f>
        <v>0</v>
      </c>
      <c r="I908" s="5">
        <f>IF(OR(INDEX($W$2:$W$1001,MATCH(ROWS($V$2:V908),$V$2:$V$1001,0),1)&gt;=100000,INDEX($AC$1005:$AS$1005,1,MATCH(COLUMNS($AC$1006:AJ1006),$AC$1006:$AS$1006,0))&gt;=100000), " ",IF(INDEX($AC$2:$AS$1001,MATCH(ROWS($V$2:V908),$V$2:$V$1001,0),MATCH(COLUMNS($AC$1006:AJ1006),$AC$1006:$AS$1006,0)), HYPERLINK("#",""), HYPERLINK(CONCATENATE("#Metadata!", ADDRESS(INDEX($X$2:$X$1001,MATCH(ROWS($V$2:V908),$V$2:$V$1001,0),0), INDEX($AC$1004:$AS$1004,1,MATCH(COLUMNS($AC$1006:AJ1006),$AC$1006:$AS$1006,0)))),"Fix")))</f>
        <v>0</v>
      </c>
      <c r="J908" s="5">
        <f>IF(OR(INDEX($W$2:$W$1001,MATCH(ROWS($V$2:V908),$V$2:$V$1001,0),1)&gt;=100000,INDEX($AC$1005:$AS$1005,1,MATCH(COLUMNS($AC$1006:AK1006),$AC$1006:$AS$1006,0))&gt;=100000), " ",IF(INDEX($AC$2:$AS$1001,MATCH(ROWS($V$2:V908),$V$2:$V$1001,0),MATCH(COLUMNS($AC$1006:AK1006),$AC$1006:$AS$1006,0)), HYPERLINK("#",""), HYPERLINK(CONCATENATE("#Metadata!", ADDRESS(INDEX($X$2:$X$1001,MATCH(ROWS($V$2:V908),$V$2:$V$1001,0),0), INDEX($AC$1004:$AS$1004,1,MATCH(COLUMNS($AC$1006:AK1006),$AC$1006:$AS$1006,0)))),"Fix")))</f>
        <v>0</v>
      </c>
      <c r="K908" s="5">
        <f>IF(OR(INDEX($W$2:$W$1001,MATCH(ROWS($V$2:V908),$V$2:$V$1001,0),1)&gt;=100000,INDEX($AC$1005:$AS$1005,1,MATCH(COLUMNS($AC$1006:AL1006),$AC$1006:$AS$1006,0))&gt;=100000), " ",IF(INDEX($AC$2:$AS$1001,MATCH(ROWS($V$2:V908),$V$2:$V$1001,0),MATCH(COLUMNS($AC$1006:AL1006),$AC$1006:$AS$1006,0)), HYPERLINK("#",""), HYPERLINK(CONCATENATE("#Metadata!", ADDRESS(INDEX($X$2:$X$1001,MATCH(ROWS($V$2:V908),$V$2:$V$1001,0),0), INDEX($AC$1004:$AS$1004,1,MATCH(COLUMNS($AC$1006:AL1006),$AC$1006:$AS$1006,0)))),"Fix")))</f>
        <v>0</v>
      </c>
      <c r="L908" s="5">
        <f>IF(OR(INDEX($W$2:$W$1001,MATCH(ROWS($V$2:V908),$V$2:$V$1001,0),1)&gt;=100000,INDEX($AC$1005:$AS$1005,1,MATCH(COLUMNS($AC$1006:AM1006),$AC$1006:$AS$1006,0))&gt;=100000), " ",IF(INDEX($AC$2:$AS$1001,MATCH(ROWS($V$2:V908),$V$2:$V$1001,0),MATCH(COLUMNS($AC$1006:AM1006),$AC$1006:$AS$1006,0)), HYPERLINK("#",""), HYPERLINK(CONCATENATE("#Metadata!", ADDRESS(INDEX($X$2:$X$1001,MATCH(ROWS($V$2:V908),$V$2:$V$1001,0),0), INDEX($AC$1004:$AS$1004,1,MATCH(COLUMNS($AC$1006:AM1006),$AC$1006:$AS$1006,0)))),"Fix")))</f>
        <v>0</v>
      </c>
      <c r="M908" s="5">
        <f>IF(OR(INDEX($W$2:$W$1001,MATCH(ROWS($V$2:V908),$V$2:$V$1001,0),1)&gt;=100000,INDEX($AC$1005:$AS$1005,1,MATCH(COLUMNS($AC$1006:AN1006),$AC$1006:$AS$1006,0))&gt;=100000), " ",IF(INDEX($AC$2:$AS$1001,MATCH(ROWS($V$2:V908),$V$2:$V$1001,0),MATCH(COLUMNS($AC$1006:AN1006),$AC$1006:$AS$1006,0)), HYPERLINK("#",""), HYPERLINK(CONCATENATE("#Metadata!", ADDRESS(INDEX($X$2:$X$1001,MATCH(ROWS($V$2:V908),$V$2:$V$1001,0),0), INDEX($AC$1004:$AS$1004,1,MATCH(COLUMNS($AC$1006:AN1006),$AC$1006:$AS$1006,0)))),"Fix")))</f>
        <v>0</v>
      </c>
      <c r="N908" s="5">
        <f>IF(OR(INDEX($W$2:$W$1001,MATCH(ROWS($V$2:V908),$V$2:$V$1001,0),1)&gt;=100000,INDEX($AC$1005:$AS$1005,1,MATCH(COLUMNS($AC$1006:AO1006),$AC$1006:$AS$1006,0))&gt;=100000), " ",IF(INDEX($AC$2:$AS$1001,MATCH(ROWS($V$2:V908),$V$2:$V$1001,0),MATCH(COLUMNS($AC$1006:AO1006),$AC$1006:$AS$1006,0)), HYPERLINK("#",""), HYPERLINK(CONCATENATE("#Metadata!", ADDRESS(INDEX($X$2:$X$1001,MATCH(ROWS($V$2:V908),$V$2:$V$1001,0),0), INDEX($AC$1004:$AS$1004,1,MATCH(COLUMNS($AC$1006:AO1006),$AC$1006:$AS$1006,0)))),"Fix")))</f>
        <v>0</v>
      </c>
      <c r="O908" s="5">
        <f>IF(OR(INDEX($W$2:$W$1001,MATCH(ROWS($V$2:V908),$V$2:$V$1001,0),1)&gt;=100000,INDEX($AC$1005:$AS$1005,1,MATCH(COLUMNS($AC$1006:AP1006),$AC$1006:$AS$1006,0))&gt;=100000), " ",IF(INDEX($AC$2:$AS$1001,MATCH(ROWS($V$2:V908),$V$2:$V$1001,0),MATCH(COLUMNS($AC$1006:AP1006),$AC$1006:$AS$1006,0)), HYPERLINK("#",""), HYPERLINK(CONCATENATE("#Metadata!", ADDRESS(INDEX($X$2:$X$1001,MATCH(ROWS($V$2:V908),$V$2:$V$1001,0),0), INDEX($AC$1004:$AS$1004,1,MATCH(COLUMNS($AC$1006:AP1006),$AC$1006:$AS$1006,0)))),"Fix")))</f>
        <v>0</v>
      </c>
      <c r="P908" s="5">
        <f>IF(OR(INDEX($W$2:$W$1001,MATCH(ROWS($V$2:V908),$V$2:$V$1001,0),1)&gt;=100000,INDEX($AC$1005:$AS$1005,1,MATCH(COLUMNS($AC$1006:AQ1006),$AC$1006:$AS$1006,0))&gt;=100000), " ",IF(INDEX($AC$2:$AS$1001,MATCH(ROWS($V$2:V908),$V$2:$V$1001,0),MATCH(COLUMNS($AC$1006:AQ1006),$AC$1006:$AS$1006,0)), HYPERLINK("#",""), HYPERLINK(CONCATENATE("#Metadata!", ADDRESS(INDEX($X$2:$X$1001,MATCH(ROWS($V$2:V908),$V$2:$V$1001,0),0), INDEX($AC$1004:$AS$1004,1,MATCH(COLUMNS($AC$1006:AQ1006),$AC$1006:$AS$1006,0)))),"Fix")))</f>
        <v>0</v>
      </c>
      <c r="Q908" s="5">
        <f>IF(OR(INDEX($W$2:$W$1001,MATCH(ROWS($V$2:V908),$V$2:$V$1001,0),1)&gt;=100000,INDEX($AC$1005:$AS$1005,1,MATCH(COLUMNS($AC$1006:AR1006),$AC$1006:$AS$1006,0))&gt;=100000), " ",IF(INDEX($AC$2:$AS$1001,MATCH(ROWS($V$2:V908),$V$2:$V$1001,0),MATCH(COLUMNS($AC$1006:AR1006),$AC$1006:$AS$1006,0)), HYPERLINK("#",""), HYPERLINK(CONCATENATE("#Metadata!", ADDRESS(INDEX($X$2:$X$1001,MATCH(ROWS($V$2:V908),$V$2:$V$1001,0),0), INDEX($AC$1004:$AS$1004,1,MATCH(COLUMNS($AC$1006:AR1006),$AC$1006:$AS$1006,0)))),"Fix")))</f>
        <v>0</v>
      </c>
      <c r="R908" s="5">
        <f>IF(OR(INDEX($W$2:$W$1001,MATCH(ROWS($V$2:V908),$V$2:$V$1001,0),1)&gt;=100000,INDEX($AC$1005:$AS$1005,1,MATCH(COLUMNS($AC$1006:AS1006),$AC$1006:$AS$1006,0))&gt;=100000), " ",IF(INDEX($AC$2:$AS$1001,MATCH(ROWS($V$2:V908),$V$2:$V$1001,0),MATCH(COLUMNS($AC$1006:AS1006),$AC$1006:$AS$1006,0)), HYPERLINK("#",""), HYPERLINK(CONCATENATE("#Metadata!", ADDRESS(INDEX($X$2:$X$1001,MATCH(ROWS($V$2:V908),$V$2:$V$1001,0),0), INDEX($AC$1004:$AS$1004,1,MATCH(COLUMNS($AC$1006:AS1006),$AC$1006:$AS$1006,0)))),"Fix")))</f>
        <v>0</v>
      </c>
      <c r="V908">
        <v>0</v>
      </c>
      <c r="W908">
        <v>0</v>
      </c>
      <c r="X908">
        <v>0</v>
      </c>
      <c r="Y908">
        <f>IF(Z908,TRUE,AND(AC908:AS908))</f>
        <v>0</v>
      </c>
      <c r="Z908">
        <f>COUNTBLANK(Metadata!B908:R908)=COLUMNS(Metadata!B908:R908)</f>
        <v>0</v>
      </c>
      <c r="AA908">
        <v>0</v>
      </c>
      <c r="AC908">
        <f>AND(IF(Metadata!B908="",FALSE,TRUE),COUNTIF(Metadata!B:B, Metadata!B908) = 1,NOT(ISERROR(SUMPRODUCT(SEARCH(MID(Metadata!B908,ROW(INDIRECT("1:"&amp;LEN(Metadata!B908))), 1),"0123456789abcdefghijklmnopqrstuvwxyzABCDEFGHIJKLMNOPQRSTUVWXYZ.")))))</f>
        <v>0</v>
      </c>
      <c r="AD908">
        <f>AND(IF(Metadata!C908="",FALSE,TRUE),exact(Metadata!C908,"Host-associated"))</f>
        <v>0</v>
      </c>
      <c r="AE908">
        <f>AND(IF(Metadata!D908="",FALSE,TRUE),OR(exact(Metadata!D908,"Animal"),exact(Metadata!D908,"Fungus"),exact(Metadata!D908,"Plant")))</f>
        <v>0</v>
      </c>
      <c r="AF908">
        <f>AND(IF(Metadata!E908="",FALSE,TRUE),OR(exact(Metadata!E908,"Plant secretion"),exact(Metadata!E908,"Plant rhizosphere"),exact(Metadata!E908,"Plant surface"),exact(Metadata!E908,"Plant corpus"),exact(Metadata!E908,"Fungus surface"),exact(Metadata!E908,"Fungus corpus"),exact(Metadata!E908,"Animal surface"),exact(Metadata!E908,"Animal proximal gut"),exact(Metadata!E908,"Animal corpus"),exact(Metadata!E908,"Animal distal gut"),exact(Metadata!E908,"Animal secretion")))</f>
        <v>0</v>
      </c>
      <c r="AG908">
        <f>OR(AND(IF(Metadata!F908="",FALSE,TRUE),OR(exact(Metadata!F908,"not collected"),exact(Metadata!F908,"not provided"),exact(Metadata!F908,"restricted access"))),AND(IF(Metadata!F908="",FALSE,TRUE),OR(exact(Metadata!F908,"organism-associated habitat"),exact(Metadata!F908,"plant-associated habitat"),exact(Metadata!F908,"animal-associated habitat"),exact(Metadata!F908,"insecta-associated habitat"),exact(Metadata!F908,"mammalia-associated habitat"),exact(Metadata!F908,"human-associated habitat"),exact(Metadata!F908,"livestock-associated habitat"))))</f>
        <v>0</v>
      </c>
      <c r="AH908">
        <f>AND(IF(Metadata!G908="",FALSE,TRUE),exact(Metadata!G908,"host-associated"))</f>
        <v>0</v>
      </c>
      <c r="AI908">
        <f>OR(AND(IF(Metadata!H908="",FALSE,TRUE),OR(exact(Metadata!H908,"not collected"),exact(Metadata!H908,"not provided"))),AND(IF(Metadata!H908="",FALSE,ISNUMBER(VALUE(Metadata!H908))),Metadata!H908&gt;0))</f>
        <v>0</v>
      </c>
      <c r="AJ908">
        <f>AND(IF(Metadata!I908="",FALSE,TRUE),exact(Metadata!I908,"years"))</f>
        <v>0</v>
      </c>
      <c r="AK908">
        <f>IF(Metadata!J908="",FALSE,TRUE)</f>
        <v>0</v>
      </c>
      <c r="AL908">
        <f>OR(AND(IF(Metadata!K908="",FALSE,TRUE),OR(exact(Metadata!K908,"not collected"),exact(Metadata!K908,"not provided"))),AND(IF(Metadata!K908="",FALSE,ISNUMBER(VALUE(Metadata!K908))),Metadata!K908&gt;0))</f>
        <v>0</v>
      </c>
      <c r="AM908">
        <f>AND(IF(Metadata!L908="",FALSE,TRUE),exact(Metadata!L908,"cm"))</f>
        <v>0</v>
      </c>
      <c r="AN908">
        <f>IF(Metadata!M908="",FALSE,TRUE)</f>
        <v>0</v>
      </c>
      <c r="AO908">
        <f>OR(AND(IF(Metadata!N908="",FALSE,TRUE),OR(exact(Metadata!N908,"not applicable"),exact(Metadata!N908,"not collected"),exact(Metadata!N908,"not provided"))),AND(IF(Metadata!N908="",FALSE,IF(ISERROR(INT(Metadata!N908)),FALSE,INT(Metadata!N908)=Metadata!N908)),Metadata!N908&gt;0))</f>
        <v>0</v>
      </c>
      <c r="AP908">
        <f>OR(AND(IF(Metadata!O908="",FALSE,TRUE),OR(exact(Metadata!O908,"not collected"),exact(Metadata!O908,"not provided"))),AND(IF(Metadata!O908="",FALSE,ISNUMBER(VALUE(Metadata!O908))),Metadata!O908&gt;0))</f>
        <v>0</v>
      </c>
      <c r="AQ908">
        <f>AND(IF(Metadata!P908="",FALSE,TRUE),exact(Metadata!P908,"kg"))</f>
        <v>0</v>
      </c>
      <c r="AR908">
        <f>OR(AND(IF(Metadata!Q908="",FALSE,TRUE),OR(exact(Metadata!Q908,"not applicable"),exact(Metadata!Q908,"not collected"),exact(Metadata!Q908,"not provided"),exact(Metadata!Q908,"restricted access"))),IF(Metadata!Q908="",FALSE,IF(ISERROR(INT(Metadata!Q908)),FALSE,INT(Metadata!Q908)=Metadata!Q908)))</f>
        <v>0</v>
      </c>
      <c r="AS908">
        <f>AND(IF(Metadata!R908="",FALSE,TRUE),exact(Metadata!R908,"Not applicable"))</f>
        <v>0</v>
      </c>
    </row>
    <row r="909" spans="1:45">
      <c r="A909" s="4">
        <f>IF(B909=" "," ",HYPERLINK(CONCATENATE("#metadata!",ADDRESS(INDEX($X$2:$X$1001,MATCH(ROWS($V$2:V909),$V$2:$V$1001,0),0),2)),INDEX($AA$2:$AA$1001,MATCH(ROWS($V$2:V909),$V$2:$V$1001,0),0)))</f>
        <v>0</v>
      </c>
      <c r="B909" s="5">
        <f>IF(OR(INDEX($W$2:$W$1001,MATCH(ROWS($V$2:V909),$V$2:$V$1001,0),1)&gt;=100000,INDEX($AC$1005:$AS$1005,1,MATCH(COLUMNS($AC$1006:AC1006),$AC$1006:$AS$1006,0))&gt;=100000), " ",IF(INDEX($AC$2:$AS$1001,MATCH(ROWS($V$2:V909),$V$2:$V$1001,0),MATCH(COLUMNS($AC$1006:AC1006),$AC$1006:$AS$1006,0)), HYPERLINK("#",""), HYPERLINK(CONCATENATE("#Metadata!", ADDRESS(INDEX($X$2:$X$1001,MATCH(ROWS($V$2:V909),$V$2:$V$1001,0),0), INDEX($AC$1004:$AS$1004,1,MATCH(COLUMNS($AC$1006:AC1006),$AC$1006:$AS$1006,0)))),"Fix")))</f>
        <v>0</v>
      </c>
      <c r="C909" s="5">
        <f>IF(OR(INDEX($W$2:$W$1001,MATCH(ROWS($V$2:V909),$V$2:$V$1001,0),1)&gt;=100000,INDEX($AC$1005:$AS$1005,1,MATCH(COLUMNS($AC$1006:AD1006),$AC$1006:$AS$1006,0))&gt;=100000), " ",IF(INDEX($AC$2:$AS$1001,MATCH(ROWS($V$2:V909),$V$2:$V$1001,0),MATCH(COLUMNS($AC$1006:AD1006),$AC$1006:$AS$1006,0)), HYPERLINK("#",""), HYPERLINK(CONCATENATE("#Metadata!", ADDRESS(INDEX($X$2:$X$1001,MATCH(ROWS($V$2:V909),$V$2:$V$1001,0),0), INDEX($AC$1004:$AS$1004,1,MATCH(COLUMNS($AC$1006:AD1006),$AC$1006:$AS$1006,0)))),"Fix")))</f>
        <v>0</v>
      </c>
      <c r="D909" s="5">
        <f>IF(OR(INDEX($W$2:$W$1001,MATCH(ROWS($V$2:V909),$V$2:$V$1001,0),1)&gt;=100000,INDEX($AC$1005:$AS$1005,1,MATCH(COLUMNS($AC$1006:AE1006),$AC$1006:$AS$1006,0))&gt;=100000), " ",IF(INDEX($AC$2:$AS$1001,MATCH(ROWS($V$2:V909),$V$2:$V$1001,0),MATCH(COLUMNS($AC$1006:AE1006),$AC$1006:$AS$1006,0)), HYPERLINK("#",""), HYPERLINK(CONCATENATE("#Metadata!", ADDRESS(INDEX($X$2:$X$1001,MATCH(ROWS($V$2:V909),$V$2:$V$1001,0),0), INDEX($AC$1004:$AS$1004,1,MATCH(COLUMNS($AC$1006:AE1006),$AC$1006:$AS$1006,0)))),"Fix")))</f>
        <v>0</v>
      </c>
      <c r="E909" s="5">
        <f>IF(OR(INDEX($W$2:$W$1001,MATCH(ROWS($V$2:V909),$V$2:$V$1001,0),1)&gt;=100000,INDEX($AC$1005:$AS$1005,1,MATCH(COLUMNS($AC$1006:AF1006),$AC$1006:$AS$1006,0))&gt;=100000), " ",IF(INDEX($AC$2:$AS$1001,MATCH(ROWS($V$2:V909),$V$2:$V$1001,0),MATCH(COLUMNS($AC$1006:AF1006),$AC$1006:$AS$1006,0)), HYPERLINK("#",""), HYPERLINK(CONCATENATE("#Metadata!", ADDRESS(INDEX($X$2:$X$1001,MATCH(ROWS($V$2:V909),$V$2:$V$1001,0),0), INDEX($AC$1004:$AS$1004,1,MATCH(COLUMNS($AC$1006:AF1006),$AC$1006:$AS$1006,0)))),"Fix")))</f>
        <v>0</v>
      </c>
      <c r="F909" s="5">
        <f>IF(OR(INDEX($W$2:$W$1001,MATCH(ROWS($V$2:V909),$V$2:$V$1001,0),1)&gt;=100000,INDEX($AC$1005:$AS$1005,1,MATCH(COLUMNS($AC$1006:AG1006),$AC$1006:$AS$1006,0))&gt;=100000), " ",IF(INDEX($AC$2:$AS$1001,MATCH(ROWS($V$2:V909),$V$2:$V$1001,0),MATCH(COLUMNS($AC$1006:AG1006),$AC$1006:$AS$1006,0)), HYPERLINK("#",""), HYPERLINK(CONCATENATE("#Metadata!", ADDRESS(INDEX($X$2:$X$1001,MATCH(ROWS($V$2:V909),$V$2:$V$1001,0),0), INDEX($AC$1004:$AS$1004,1,MATCH(COLUMNS($AC$1006:AG1006),$AC$1006:$AS$1006,0)))),"Fix")))</f>
        <v>0</v>
      </c>
      <c r="G909" s="5">
        <f>IF(OR(INDEX($W$2:$W$1001,MATCH(ROWS($V$2:V909),$V$2:$V$1001,0),1)&gt;=100000,INDEX($AC$1005:$AS$1005,1,MATCH(COLUMNS($AC$1006:AH1006),$AC$1006:$AS$1006,0))&gt;=100000), " ",IF(INDEX($AC$2:$AS$1001,MATCH(ROWS($V$2:V909),$V$2:$V$1001,0),MATCH(COLUMNS($AC$1006:AH1006),$AC$1006:$AS$1006,0)), HYPERLINK("#",""), HYPERLINK(CONCATENATE("#Metadata!", ADDRESS(INDEX($X$2:$X$1001,MATCH(ROWS($V$2:V909),$V$2:$V$1001,0),0), INDEX($AC$1004:$AS$1004,1,MATCH(COLUMNS($AC$1006:AH1006),$AC$1006:$AS$1006,0)))),"Fix")))</f>
        <v>0</v>
      </c>
      <c r="H909" s="5">
        <f>IF(OR(INDEX($W$2:$W$1001,MATCH(ROWS($V$2:V909),$V$2:$V$1001,0),1)&gt;=100000,INDEX($AC$1005:$AS$1005,1,MATCH(COLUMNS($AC$1006:AI1006),$AC$1006:$AS$1006,0))&gt;=100000), " ",IF(INDEX($AC$2:$AS$1001,MATCH(ROWS($V$2:V909),$V$2:$V$1001,0),MATCH(COLUMNS($AC$1006:AI1006),$AC$1006:$AS$1006,0)), HYPERLINK("#",""), HYPERLINK(CONCATENATE("#Metadata!", ADDRESS(INDEX($X$2:$X$1001,MATCH(ROWS($V$2:V909),$V$2:$V$1001,0),0), INDEX($AC$1004:$AS$1004,1,MATCH(COLUMNS($AC$1006:AI1006),$AC$1006:$AS$1006,0)))),"Fix")))</f>
        <v>0</v>
      </c>
      <c r="I909" s="5">
        <f>IF(OR(INDEX($W$2:$W$1001,MATCH(ROWS($V$2:V909),$V$2:$V$1001,0),1)&gt;=100000,INDEX($AC$1005:$AS$1005,1,MATCH(COLUMNS($AC$1006:AJ1006),$AC$1006:$AS$1006,0))&gt;=100000), " ",IF(INDEX($AC$2:$AS$1001,MATCH(ROWS($V$2:V909),$V$2:$V$1001,0),MATCH(COLUMNS($AC$1006:AJ1006),$AC$1006:$AS$1006,0)), HYPERLINK("#",""), HYPERLINK(CONCATENATE("#Metadata!", ADDRESS(INDEX($X$2:$X$1001,MATCH(ROWS($V$2:V909),$V$2:$V$1001,0),0), INDEX($AC$1004:$AS$1004,1,MATCH(COLUMNS($AC$1006:AJ1006),$AC$1006:$AS$1006,0)))),"Fix")))</f>
        <v>0</v>
      </c>
      <c r="J909" s="5">
        <f>IF(OR(INDEX($W$2:$W$1001,MATCH(ROWS($V$2:V909),$V$2:$V$1001,0),1)&gt;=100000,INDEX($AC$1005:$AS$1005,1,MATCH(COLUMNS($AC$1006:AK1006),$AC$1006:$AS$1006,0))&gt;=100000), " ",IF(INDEX($AC$2:$AS$1001,MATCH(ROWS($V$2:V909),$V$2:$V$1001,0),MATCH(COLUMNS($AC$1006:AK1006),$AC$1006:$AS$1006,0)), HYPERLINK("#",""), HYPERLINK(CONCATENATE("#Metadata!", ADDRESS(INDEX($X$2:$X$1001,MATCH(ROWS($V$2:V909),$V$2:$V$1001,0),0), INDEX($AC$1004:$AS$1004,1,MATCH(COLUMNS($AC$1006:AK1006),$AC$1006:$AS$1006,0)))),"Fix")))</f>
        <v>0</v>
      </c>
      <c r="K909" s="5">
        <f>IF(OR(INDEX($W$2:$W$1001,MATCH(ROWS($V$2:V909),$V$2:$V$1001,0),1)&gt;=100000,INDEX($AC$1005:$AS$1005,1,MATCH(COLUMNS($AC$1006:AL1006),$AC$1006:$AS$1006,0))&gt;=100000), " ",IF(INDEX($AC$2:$AS$1001,MATCH(ROWS($V$2:V909),$V$2:$V$1001,0),MATCH(COLUMNS($AC$1006:AL1006),$AC$1006:$AS$1006,0)), HYPERLINK("#",""), HYPERLINK(CONCATENATE("#Metadata!", ADDRESS(INDEX($X$2:$X$1001,MATCH(ROWS($V$2:V909),$V$2:$V$1001,0),0), INDEX($AC$1004:$AS$1004,1,MATCH(COLUMNS($AC$1006:AL1006),$AC$1006:$AS$1006,0)))),"Fix")))</f>
        <v>0</v>
      </c>
      <c r="L909" s="5">
        <f>IF(OR(INDEX($W$2:$W$1001,MATCH(ROWS($V$2:V909),$V$2:$V$1001,0),1)&gt;=100000,INDEX($AC$1005:$AS$1005,1,MATCH(COLUMNS($AC$1006:AM1006),$AC$1006:$AS$1006,0))&gt;=100000), " ",IF(INDEX($AC$2:$AS$1001,MATCH(ROWS($V$2:V909),$V$2:$V$1001,0),MATCH(COLUMNS($AC$1006:AM1006),$AC$1006:$AS$1006,0)), HYPERLINK("#",""), HYPERLINK(CONCATENATE("#Metadata!", ADDRESS(INDEX($X$2:$X$1001,MATCH(ROWS($V$2:V909),$V$2:$V$1001,0),0), INDEX($AC$1004:$AS$1004,1,MATCH(COLUMNS($AC$1006:AM1006),$AC$1006:$AS$1006,0)))),"Fix")))</f>
        <v>0</v>
      </c>
      <c r="M909" s="5">
        <f>IF(OR(INDEX($W$2:$W$1001,MATCH(ROWS($V$2:V909),$V$2:$V$1001,0),1)&gt;=100000,INDEX($AC$1005:$AS$1005,1,MATCH(COLUMNS($AC$1006:AN1006),$AC$1006:$AS$1006,0))&gt;=100000), " ",IF(INDEX($AC$2:$AS$1001,MATCH(ROWS($V$2:V909),$V$2:$V$1001,0),MATCH(COLUMNS($AC$1006:AN1006),$AC$1006:$AS$1006,0)), HYPERLINK("#",""), HYPERLINK(CONCATENATE("#Metadata!", ADDRESS(INDEX($X$2:$X$1001,MATCH(ROWS($V$2:V909),$V$2:$V$1001,0),0), INDEX($AC$1004:$AS$1004,1,MATCH(COLUMNS($AC$1006:AN1006),$AC$1006:$AS$1006,0)))),"Fix")))</f>
        <v>0</v>
      </c>
      <c r="N909" s="5">
        <f>IF(OR(INDEX($W$2:$W$1001,MATCH(ROWS($V$2:V909),$V$2:$V$1001,0),1)&gt;=100000,INDEX($AC$1005:$AS$1005,1,MATCH(COLUMNS($AC$1006:AO1006),$AC$1006:$AS$1006,0))&gt;=100000), " ",IF(INDEX($AC$2:$AS$1001,MATCH(ROWS($V$2:V909),$V$2:$V$1001,0),MATCH(COLUMNS($AC$1006:AO1006),$AC$1006:$AS$1006,0)), HYPERLINK("#",""), HYPERLINK(CONCATENATE("#Metadata!", ADDRESS(INDEX($X$2:$X$1001,MATCH(ROWS($V$2:V909),$V$2:$V$1001,0),0), INDEX($AC$1004:$AS$1004,1,MATCH(COLUMNS($AC$1006:AO1006),$AC$1006:$AS$1006,0)))),"Fix")))</f>
        <v>0</v>
      </c>
      <c r="O909" s="5">
        <f>IF(OR(INDEX($W$2:$W$1001,MATCH(ROWS($V$2:V909),$V$2:$V$1001,0),1)&gt;=100000,INDEX($AC$1005:$AS$1005,1,MATCH(COLUMNS($AC$1006:AP1006),$AC$1006:$AS$1006,0))&gt;=100000), " ",IF(INDEX($AC$2:$AS$1001,MATCH(ROWS($V$2:V909),$V$2:$V$1001,0),MATCH(COLUMNS($AC$1006:AP1006),$AC$1006:$AS$1006,0)), HYPERLINK("#",""), HYPERLINK(CONCATENATE("#Metadata!", ADDRESS(INDEX($X$2:$X$1001,MATCH(ROWS($V$2:V909),$V$2:$V$1001,0),0), INDEX($AC$1004:$AS$1004,1,MATCH(COLUMNS($AC$1006:AP1006),$AC$1006:$AS$1006,0)))),"Fix")))</f>
        <v>0</v>
      </c>
      <c r="P909" s="5">
        <f>IF(OR(INDEX($W$2:$W$1001,MATCH(ROWS($V$2:V909),$V$2:$V$1001,0),1)&gt;=100000,INDEX($AC$1005:$AS$1005,1,MATCH(COLUMNS($AC$1006:AQ1006),$AC$1006:$AS$1006,0))&gt;=100000), " ",IF(INDEX($AC$2:$AS$1001,MATCH(ROWS($V$2:V909),$V$2:$V$1001,0),MATCH(COLUMNS($AC$1006:AQ1006),$AC$1006:$AS$1006,0)), HYPERLINK("#",""), HYPERLINK(CONCATENATE("#Metadata!", ADDRESS(INDEX($X$2:$X$1001,MATCH(ROWS($V$2:V909),$V$2:$V$1001,0),0), INDEX($AC$1004:$AS$1004,1,MATCH(COLUMNS($AC$1006:AQ1006),$AC$1006:$AS$1006,0)))),"Fix")))</f>
        <v>0</v>
      </c>
      <c r="Q909" s="5">
        <f>IF(OR(INDEX($W$2:$W$1001,MATCH(ROWS($V$2:V909),$V$2:$V$1001,0),1)&gt;=100000,INDEX($AC$1005:$AS$1005,1,MATCH(COLUMNS($AC$1006:AR1006),$AC$1006:$AS$1006,0))&gt;=100000), " ",IF(INDEX($AC$2:$AS$1001,MATCH(ROWS($V$2:V909),$V$2:$V$1001,0),MATCH(COLUMNS($AC$1006:AR1006),$AC$1006:$AS$1006,0)), HYPERLINK("#",""), HYPERLINK(CONCATENATE("#Metadata!", ADDRESS(INDEX($X$2:$X$1001,MATCH(ROWS($V$2:V909),$V$2:$V$1001,0),0), INDEX($AC$1004:$AS$1004,1,MATCH(COLUMNS($AC$1006:AR1006),$AC$1006:$AS$1006,0)))),"Fix")))</f>
        <v>0</v>
      </c>
      <c r="R909" s="5">
        <f>IF(OR(INDEX($W$2:$W$1001,MATCH(ROWS($V$2:V909),$V$2:$V$1001,0),1)&gt;=100000,INDEX($AC$1005:$AS$1005,1,MATCH(COLUMNS($AC$1006:AS1006),$AC$1006:$AS$1006,0))&gt;=100000), " ",IF(INDEX($AC$2:$AS$1001,MATCH(ROWS($V$2:V909),$V$2:$V$1001,0),MATCH(COLUMNS($AC$1006:AS1006),$AC$1006:$AS$1006,0)), HYPERLINK("#",""), HYPERLINK(CONCATENATE("#Metadata!", ADDRESS(INDEX($X$2:$X$1001,MATCH(ROWS($V$2:V909),$V$2:$V$1001,0),0), INDEX($AC$1004:$AS$1004,1,MATCH(COLUMNS($AC$1006:AS1006),$AC$1006:$AS$1006,0)))),"Fix")))</f>
        <v>0</v>
      </c>
      <c r="V909">
        <v>0</v>
      </c>
      <c r="W909">
        <v>0</v>
      </c>
      <c r="X909">
        <v>0</v>
      </c>
      <c r="Y909">
        <f>IF(Z909,TRUE,AND(AC909:AS909))</f>
        <v>0</v>
      </c>
      <c r="Z909">
        <f>COUNTBLANK(Metadata!B909:R909)=COLUMNS(Metadata!B909:R909)</f>
        <v>0</v>
      </c>
      <c r="AA909">
        <v>0</v>
      </c>
      <c r="AC909">
        <f>AND(IF(Metadata!B909="",FALSE,TRUE),COUNTIF(Metadata!B:B, Metadata!B909) = 1,NOT(ISERROR(SUMPRODUCT(SEARCH(MID(Metadata!B909,ROW(INDIRECT("1:"&amp;LEN(Metadata!B909))), 1),"0123456789abcdefghijklmnopqrstuvwxyzABCDEFGHIJKLMNOPQRSTUVWXYZ.")))))</f>
        <v>0</v>
      </c>
      <c r="AD909">
        <f>AND(IF(Metadata!C909="",FALSE,TRUE),exact(Metadata!C909,"Host-associated"))</f>
        <v>0</v>
      </c>
      <c r="AE909">
        <f>AND(IF(Metadata!D909="",FALSE,TRUE),OR(exact(Metadata!D909,"Animal"),exact(Metadata!D909,"Fungus"),exact(Metadata!D909,"Plant")))</f>
        <v>0</v>
      </c>
      <c r="AF909">
        <f>AND(IF(Metadata!E909="",FALSE,TRUE),OR(exact(Metadata!E909,"Plant secretion"),exact(Metadata!E909,"Plant rhizosphere"),exact(Metadata!E909,"Plant surface"),exact(Metadata!E909,"Plant corpus"),exact(Metadata!E909,"Fungus surface"),exact(Metadata!E909,"Fungus corpus"),exact(Metadata!E909,"Animal surface"),exact(Metadata!E909,"Animal proximal gut"),exact(Metadata!E909,"Animal corpus"),exact(Metadata!E909,"Animal distal gut"),exact(Metadata!E909,"Animal secretion")))</f>
        <v>0</v>
      </c>
      <c r="AG909">
        <f>OR(AND(IF(Metadata!F909="",FALSE,TRUE),OR(exact(Metadata!F909,"not collected"),exact(Metadata!F909,"not provided"),exact(Metadata!F909,"restricted access"))),AND(IF(Metadata!F909="",FALSE,TRUE),OR(exact(Metadata!F909,"organism-associated habitat"),exact(Metadata!F909,"plant-associated habitat"),exact(Metadata!F909,"animal-associated habitat"),exact(Metadata!F909,"insecta-associated habitat"),exact(Metadata!F909,"mammalia-associated habitat"),exact(Metadata!F909,"human-associated habitat"),exact(Metadata!F909,"livestock-associated habitat"))))</f>
        <v>0</v>
      </c>
      <c r="AH909">
        <f>AND(IF(Metadata!G909="",FALSE,TRUE),exact(Metadata!G909,"host-associated"))</f>
        <v>0</v>
      </c>
      <c r="AI909">
        <f>OR(AND(IF(Metadata!H909="",FALSE,TRUE),OR(exact(Metadata!H909,"not collected"),exact(Metadata!H909,"not provided"))),AND(IF(Metadata!H909="",FALSE,ISNUMBER(VALUE(Metadata!H909))),Metadata!H909&gt;0))</f>
        <v>0</v>
      </c>
      <c r="AJ909">
        <f>AND(IF(Metadata!I909="",FALSE,TRUE),exact(Metadata!I909,"years"))</f>
        <v>0</v>
      </c>
      <c r="AK909">
        <f>IF(Metadata!J909="",FALSE,TRUE)</f>
        <v>0</v>
      </c>
      <c r="AL909">
        <f>OR(AND(IF(Metadata!K909="",FALSE,TRUE),OR(exact(Metadata!K909,"not collected"),exact(Metadata!K909,"not provided"))),AND(IF(Metadata!K909="",FALSE,ISNUMBER(VALUE(Metadata!K909))),Metadata!K909&gt;0))</f>
        <v>0</v>
      </c>
      <c r="AM909">
        <f>AND(IF(Metadata!L909="",FALSE,TRUE),exact(Metadata!L909,"cm"))</f>
        <v>0</v>
      </c>
      <c r="AN909">
        <f>IF(Metadata!M909="",FALSE,TRUE)</f>
        <v>0</v>
      </c>
      <c r="AO909">
        <f>OR(AND(IF(Metadata!N909="",FALSE,TRUE),OR(exact(Metadata!N909,"not applicable"),exact(Metadata!N909,"not collected"),exact(Metadata!N909,"not provided"))),AND(IF(Metadata!N909="",FALSE,IF(ISERROR(INT(Metadata!N909)),FALSE,INT(Metadata!N909)=Metadata!N909)),Metadata!N909&gt;0))</f>
        <v>0</v>
      </c>
      <c r="AP909">
        <f>OR(AND(IF(Metadata!O909="",FALSE,TRUE),OR(exact(Metadata!O909,"not collected"),exact(Metadata!O909,"not provided"))),AND(IF(Metadata!O909="",FALSE,ISNUMBER(VALUE(Metadata!O909))),Metadata!O909&gt;0))</f>
        <v>0</v>
      </c>
      <c r="AQ909">
        <f>AND(IF(Metadata!P909="",FALSE,TRUE),exact(Metadata!P909,"kg"))</f>
        <v>0</v>
      </c>
      <c r="AR909">
        <f>OR(AND(IF(Metadata!Q909="",FALSE,TRUE),OR(exact(Metadata!Q909,"not applicable"),exact(Metadata!Q909,"not collected"),exact(Metadata!Q909,"not provided"),exact(Metadata!Q909,"restricted access"))),IF(Metadata!Q909="",FALSE,IF(ISERROR(INT(Metadata!Q909)),FALSE,INT(Metadata!Q909)=Metadata!Q909)))</f>
        <v>0</v>
      </c>
      <c r="AS909">
        <f>AND(IF(Metadata!R909="",FALSE,TRUE),exact(Metadata!R909,"Not applicable"))</f>
        <v>0</v>
      </c>
    </row>
    <row r="910" spans="1:45">
      <c r="A910" s="4">
        <f>IF(B910=" "," ",HYPERLINK(CONCATENATE("#metadata!",ADDRESS(INDEX($X$2:$X$1001,MATCH(ROWS($V$2:V910),$V$2:$V$1001,0),0),2)),INDEX($AA$2:$AA$1001,MATCH(ROWS($V$2:V910),$V$2:$V$1001,0),0)))</f>
        <v>0</v>
      </c>
      <c r="B910" s="5">
        <f>IF(OR(INDEX($W$2:$W$1001,MATCH(ROWS($V$2:V910),$V$2:$V$1001,0),1)&gt;=100000,INDEX($AC$1005:$AS$1005,1,MATCH(COLUMNS($AC$1006:AC1006),$AC$1006:$AS$1006,0))&gt;=100000), " ",IF(INDEX($AC$2:$AS$1001,MATCH(ROWS($V$2:V910),$V$2:$V$1001,0),MATCH(COLUMNS($AC$1006:AC1006),$AC$1006:$AS$1006,0)), HYPERLINK("#",""), HYPERLINK(CONCATENATE("#Metadata!", ADDRESS(INDEX($X$2:$X$1001,MATCH(ROWS($V$2:V910),$V$2:$V$1001,0),0), INDEX($AC$1004:$AS$1004,1,MATCH(COLUMNS($AC$1006:AC1006),$AC$1006:$AS$1006,0)))),"Fix")))</f>
        <v>0</v>
      </c>
      <c r="C910" s="5">
        <f>IF(OR(INDEX($W$2:$W$1001,MATCH(ROWS($V$2:V910),$V$2:$V$1001,0),1)&gt;=100000,INDEX($AC$1005:$AS$1005,1,MATCH(COLUMNS($AC$1006:AD1006),$AC$1006:$AS$1006,0))&gt;=100000), " ",IF(INDEX($AC$2:$AS$1001,MATCH(ROWS($V$2:V910),$V$2:$V$1001,0),MATCH(COLUMNS($AC$1006:AD1006),$AC$1006:$AS$1006,0)), HYPERLINK("#",""), HYPERLINK(CONCATENATE("#Metadata!", ADDRESS(INDEX($X$2:$X$1001,MATCH(ROWS($V$2:V910),$V$2:$V$1001,0),0), INDEX($AC$1004:$AS$1004,1,MATCH(COLUMNS($AC$1006:AD1006),$AC$1006:$AS$1006,0)))),"Fix")))</f>
        <v>0</v>
      </c>
      <c r="D910" s="5">
        <f>IF(OR(INDEX($W$2:$W$1001,MATCH(ROWS($V$2:V910),$V$2:$V$1001,0),1)&gt;=100000,INDEX($AC$1005:$AS$1005,1,MATCH(COLUMNS($AC$1006:AE1006),$AC$1006:$AS$1006,0))&gt;=100000), " ",IF(INDEX($AC$2:$AS$1001,MATCH(ROWS($V$2:V910),$V$2:$V$1001,0),MATCH(COLUMNS($AC$1006:AE1006),$AC$1006:$AS$1006,0)), HYPERLINK("#",""), HYPERLINK(CONCATENATE("#Metadata!", ADDRESS(INDEX($X$2:$X$1001,MATCH(ROWS($V$2:V910),$V$2:$V$1001,0),0), INDEX($AC$1004:$AS$1004,1,MATCH(COLUMNS($AC$1006:AE1006),$AC$1006:$AS$1006,0)))),"Fix")))</f>
        <v>0</v>
      </c>
      <c r="E910" s="5">
        <f>IF(OR(INDEX($W$2:$W$1001,MATCH(ROWS($V$2:V910),$V$2:$V$1001,0),1)&gt;=100000,INDEX($AC$1005:$AS$1005,1,MATCH(COLUMNS($AC$1006:AF1006),$AC$1006:$AS$1006,0))&gt;=100000), " ",IF(INDEX($AC$2:$AS$1001,MATCH(ROWS($V$2:V910),$V$2:$V$1001,0),MATCH(COLUMNS($AC$1006:AF1006),$AC$1006:$AS$1006,0)), HYPERLINK("#",""), HYPERLINK(CONCATENATE("#Metadata!", ADDRESS(INDEX($X$2:$X$1001,MATCH(ROWS($V$2:V910),$V$2:$V$1001,0),0), INDEX($AC$1004:$AS$1004,1,MATCH(COLUMNS($AC$1006:AF1006),$AC$1006:$AS$1006,0)))),"Fix")))</f>
        <v>0</v>
      </c>
      <c r="F910" s="5">
        <f>IF(OR(INDEX($W$2:$W$1001,MATCH(ROWS($V$2:V910),$V$2:$V$1001,0),1)&gt;=100000,INDEX($AC$1005:$AS$1005,1,MATCH(COLUMNS($AC$1006:AG1006),$AC$1006:$AS$1006,0))&gt;=100000), " ",IF(INDEX($AC$2:$AS$1001,MATCH(ROWS($V$2:V910),$V$2:$V$1001,0),MATCH(COLUMNS($AC$1006:AG1006),$AC$1006:$AS$1006,0)), HYPERLINK("#",""), HYPERLINK(CONCATENATE("#Metadata!", ADDRESS(INDEX($X$2:$X$1001,MATCH(ROWS($V$2:V910),$V$2:$V$1001,0),0), INDEX($AC$1004:$AS$1004,1,MATCH(COLUMNS($AC$1006:AG1006),$AC$1006:$AS$1006,0)))),"Fix")))</f>
        <v>0</v>
      </c>
      <c r="G910" s="5">
        <f>IF(OR(INDEX($W$2:$W$1001,MATCH(ROWS($V$2:V910),$V$2:$V$1001,0),1)&gt;=100000,INDEX($AC$1005:$AS$1005,1,MATCH(COLUMNS($AC$1006:AH1006),$AC$1006:$AS$1006,0))&gt;=100000), " ",IF(INDEX($AC$2:$AS$1001,MATCH(ROWS($V$2:V910),$V$2:$V$1001,0),MATCH(COLUMNS($AC$1006:AH1006),$AC$1006:$AS$1006,0)), HYPERLINK("#",""), HYPERLINK(CONCATENATE("#Metadata!", ADDRESS(INDEX($X$2:$X$1001,MATCH(ROWS($V$2:V910),$V$2:$V$1001,0),0), INDEX($AC$1004:$AS$1004,1,MATCH(COLUMNS($AC$1006:AH1006),$AC$1006:$AS$1006,0)))),"Fix")))</f>
        <v>0</v>
      </c>
      <c r="H910" s="5">
        <f>IF(OR(INDEX($W$2:$W$1001,MATCH(ROWS($V$2:V910),$V$2:$V$1001,0),1)&gt;=100000,INDEX($AC$1005:$AS$1005,1,MATCH(COLUMNS($AC$1006:AI1006),$AC$1006:$AS$1006,0))&gt;=100000), " ",IF(INDEX($AC$2:$AS$1001,MATCH(ROWS($V$2:V910),$V$2:$V$1001,0),MATCH(COLUMNS($AC$1006:AI1006),$AC$1006:$AS$1006,0)), HYPERLINK("#",""), HYPERLINK(CONCATENATE("#Metadata!", ADDRESS(INDEX($X$2:$X$1001,MATCH(ROWS($V$2:V910),$V$2:$V$1001,0),0), INDEX($AC$1004:$AS$1004,1,MATCH(COLUMNS($AC$1006:AI1006),$AC$1006:$AS$1006,0)))),"Fix")))</f>
        <v>0</v>
      </c>
      <c r="I910" s="5">
        <f>IF(OR(INDEX($W$2:$W$1001,MATCH(ROWS($V$2:V910),$V$2:$V$1001,0),1)&gt;=100000,INDEX($AC$1005:$AS$1005,1,MATCH(COLUMNS($AC$1006:AJ1006),$AC$1006:$AS$1006,0))&gt;=100000), " ",IF(INDEX($AC$2:$AS$1001,MATCH(ROWS($V$2:V910),$V$2:$V$1001,0),MATCH(COLUMNS($AC$1006:AJ1006),$AC$1006:$AS$1006,0)), HYPERLINK("#",""), HYPERLINK(CONCATENATE("#Metadata!", ADDRESS(INDEX($X$2:$X$1001,MATCH(ROWS($V$2:V910),$V$2:$V$1001,0),0), INDEX($AC$1004:$AS$1004,1,MATCH(COLUMNS($AC$1006:AJ1006),$AC$1006:$AS$1006,0)))),"Fix")))</f>
        <v>0</v>
      </c>
      <c r="J910" s="5">
        <f>IF(OR(INDEX($W$2:$W$1001,MATCH(ROWS($V$2:V910),$V$2:$V$1001,0),1)&gt;=100000,INDEX($AC$1005:$AS$1005,1,MATCH(COLUMNS($AC$1006:AK1006),$AC$1006:$AS$1006,0))&gt;=100000), " ",IF(INDEX($AC$2:$AS$1001,MATCH(ROWS($V$2:V910),$V$2:$V$1001,0),MATCH(COLUMNS($AC$1006:AK1006),$AC$1006:$AS$1006,0)), HYPERLINK("#",""), HYPERLINK(CONCATENATE("#Metadata!", ADDRESS(INDEX($X$2:$X$1001,MATCH(ROWS($V$2:V910),$V$2:$V$1001,0),0), INDEX($AC$1004:$AS$1004,1,MATCH(COLUMNS($AC$1006:AK1006),$AC$1006:$AS$1006,0)))),"Fix")))</f>
        <v>0</v>
      </c>
      <c r="K910" s="5">
        <f>IF(OR(INDEX($W$2:$W$1001,MATCH(ROWS($V$2:V910),$V$2:$V$1001,0),1)&gt;=100000,INDEX($AC$1005:$AS$1005,1,MATCH(COLUMNS($AC$1006:AL1006),$AC$1006:$AS$1006,0))&gt;=100000), " ",IF(INDEX($AC$2:$AS$1001,MATCH(ROWS($V$2:V910),$V$2:$V$1001,0),MATCH(COLUMNS($AC$1006:AL1006),$AC$1006:$AS$1006,0)), HYPERLINK("#",""), HYPERLINK(CONCATENATE("#Metadata!", ADDRESS(INDEX($X$2:$X$1001,MATCH(ROWS($V$2:V910),$V$2:$V$1001,0),0), INDEX($AC$1004:$AS$1004,1,MATCH(COLUMNS($AC$1006:AL1006),$AC$1006:$AS$1006,0)))),"Fix")))</f>
        <v>0</v>
      </c>
      <c r="L910" s="5">
        <f>IF(OR(INDEX($W$2:$W$1001,MATCH(ROWS($V$2:V910),$V$2:$V$1001,0),1)&gt;=100000,INDEX($AC$1005:$AS$1005,1,MATCH(COLUMNS($AC$1006:AM1006),$AC$1006:$AS$1006,0))&gt;=100000), " ",IF(INDEX($AC$2:$AS$1001,MATCH(ROWS($V$2:V910),$V$2:$V$1001,0),MATCH(COLUMNS($AC$1006:AM1006),$AC$1006:$AS$1006,0)), HYPERLINK("#",""), HYPERLINK(CONCATENATE("#Metadata!", ADDRESS(INDEX($X$2:$X$1001,MATCH(ROWS($V$2:V910),$V$2:$V$1001,0),0), INDEX($AC$1004:$AS$1004,1,MATCH(COLUMNS($AC$1006:AM1006),$AC$1006:$AS$1006,0)))),"Fix")))</f>
        <v>0</v>
      </c>
      <c r="M910" s="5">
        <f>IF(OR(INDEX($W$2:$W$1001,MATCH(ROWS($V$2:V910),$V$2:$V$1001,0),1)&gt;=100000,INDEX($AC$1005:$AS$1005,1,MATCH(COLUMNS($AC$1006:AN1006),$AC$1006:$AS$1006,0))&gt;=100000), " ",IF(INDEX($AC$2:$AS$1001,MATCH(ROWS($V$2:V910),$V$2:$V$1001,0),MATCH(COLUMNS($AC$1006:AN1006),$AC$1006:$AS$1006,0)), HYPERLINK("#",""), HYPERLINK(CONCATENATE("#Metadata!", ADDRESS(INDEX($X$2:$X$1001,MATCH(ROWS($V$2:V910),$V$2:$V$1001,0),0), INDEX($AC$1004:$AS$1004,1,MATCH(COLUMNS($AC$1006:AN1006),$AC$1006:$AS$1006,0)))),"Fix")))</f>
        <v>0</v>
      </c>
      <c r="N910" s="5">
        <f>IF(OR(INDEX($W$2:$W$1001,MATCH(ROWS($V$2:V910),$V$2:$V$1001,0),1)&gt;=100000,INDEX($AC$1005:$AS$1005,1,MATCH(COLUMNS($AC$1006:AO1006),$AC$1006:$AS$1006,0))&gt;=100000), " ",IF(INDEX($AC$2:$AS$1001,MATCH(ROWS($V$2:V910),$V$2:$V$1001,0),MATCH(COLUMNS($AC$1006:AO1006),$AC$1006:$AS$1006,0)), HYPERLINK("#",""), HYPERLINK(CONCATENATE("#Metadata!", ADDRESS(INDEX($X$2:$X$1001,MATCH(ROWS($V$2:V910),$V$2:$V$1001,0),0), INDEX($AC$1004:$AS$1004,1,MATCH(COLUMNS($AC$1006:AO1006),$AC$1006:$AS$1006,0)))),"Fix")))</f>
        <v>0</v>
      </c>
      <c r="O910" s="5">
        <f>IF(OR(INDEX($W$2:$W$1001,MATCH(ROWS($V$2:V910),$V$2:$V$1001,0),1)&gt;=100000,INDEX($AC$1005:$AS$1005,1,MATCH(COLUMNS($AC$1006:AP1006),$AC$1006:$AS$1006,0))&gt;=100000), " ",IF(INDEX($AC$2:$AS$1001,MATCH(ROWS($V$2:V910),$V$2:$V$1001,0),MATCH(COLUMNS($AC$1006:AP1006),$AC$1006:$AS$1006,0)), HYPERLINK("#",""), HYPERLINK(CONCATENATE("#Metadata!", ADDRESS(INDEX($X$2:$X$1001,MATCH(ROWS($V$2:V910),$V$2:$V$1001,0),0), INDEX($AC$1004:$AS$1004,1,MATCH(COLUMNS($AC$1006:AP1006),$AC$1006:$AS$1006,0)))),"Fix")))</f>
        <v>0</v>
      </c>
      <c r="P910" s="5">
        <f>IF(OR(INDEX($W$2:$W$1001,MATCH(ROWS($V$2:V910),$V$2:$V$1001,0),1)&gt;=100000,INDEX($AC$1005:$AS$1005,1,MATCH(COLUMNS($AC$1006:AQ1006),$AC$1006:$AS$1006,0))&gt;=100000), " ",IF(INDEX($AC$2:$AS$1001,MATCH(ROWS($V$2:V910),$V$2:$V$1001,0),MATCH(COLUMNS($AC$1006:AQ1006),$AC$1006:$AS$1006,0)), HYPERLINK("#",""), HYPERLINK(CONCATENATE("#Metadata!", ADDRESS(INDEX($X$2:$X$1001,MATCH(ROWS($V$2:V910),$V$2:$V$1001,0),0), INDEX($AC$1004:$AS$1004,1,MATCH(COLUMNS($AC$1006:AQ1006),$AC$1006:$AS$1006,0)))),"Fix")))</f>
        <v>0</v>
      </c>
      <c r="Q910" s="5">
        <f>IF(OR(INDEX($W$2:$W$1001,MATCH(ROWS($V$2:V910),$V$2:$V$1001,0),1)&gt;=100000,INDEX($AC$1005:$AS$1005,1,MATCH(COLUMNS($AC$1006:AR1006),$AC$1006:$AS$1006,0))&gt;=100000), " ",IF(INDEX($AC$2:$AS$1001,MATCH(ROWS($V$2:V910),$V$2:$V$1001,0),MATCH(COLUMNS($AC$1006:AR1006),$AC$1006:$AS$1006,0)), HYPERLINK("#",""), HYPERLINK(CONCATENATE("#Metadata!", ADDRESS(INDEX($X$2:$X$1001,MATCH(ROWS($V$2:V910),$V$2:$V$1001,0),0), INDEX($AC$1004:$AS$1004,1,MATCH(COLUMNS($AC$1006:AR1006),$AC$1006:$AS$1006,0)))),"Fix")))</f>
        <v>0</v>
      </c>
      <c r="R910" s="5">
        <f>IF(OR(INDEX($W$2:$W$1001,MATCH(ROWS($V$2:V910),$V$2:$V$1001,0),1)&gt;=100000,INDEX($AC$1005:$AS$1005,1,MATCH(COLUMNS($AC$1006:AS1006),$AC$1006:$AS$1006,0))&gt;=100000), " ",IF(INDEX($AC$2:$AS$1001,MATCH(ROWS($V$2:V910),$V$2:$V$1001,0),MATCH(COLUMNS($AC$1006:AS1006),$AC$1006:$AS$1006,0)), HYPERLINK("#",""), HYPERLINK(CONCATENATE("#Metadata!", ADDRESS(INDEX($X$2:$X$1001,MATCH(ROWS($V$2:V910),$V$2:$V$1001,0),0), INDEX($AC$1004:$AS$1004,1,MATCH(COLUMNS($AC$1006:AS1006),$AC$1006:$AS$1006,0)))),"Fix")))</f>
        <v>0</v>
      </c>
      <c r="V910">
        <v>0</v>
      </c>
      <c r="W910">
        <v>0</v>
      </c>
      <c r="X910">
        <v>0</v>
      </c>
      <c r="Y910">
        <f>IF(Z910,TRUE,AND(AC910:AS910))</f>
        <v>0</v>
      </c>
      <c r="Z910">
        <f>COUNTBLANK(Metadata!B910:R910)=COLUMNS(Metadata!B910:R910)</f>
        <v>0</v>
      </c>
      <c r="AA910">
        <v>0</v>
      </c>
      <c r="AC910">
        <f>AND(IF(Metadata!B910="",FALSE,TRUE),COUNTIF(Metadata!B:B, Metadata!B910) = 1,NOT(ISERROR(SUMPRODUCT(SEARCH(MID(Metadata!B910,ROW(INDIRECT("1:"&amp;LEN(Metadata!B910))), 1),"0123456789abcdefghijklmnopqrstuvwxyzABCDEFGHIJKLMNOPQRSTUVWXYZ.")))))</f>
        <v>0</v>
      </c>
      <c r="AD910">
        <f>AND(IF(Metadata!C910="",FALSE,TRUE),exact(Metadata!C910,"Host-associated"))</f>
        <v>0</v>
      </c>
      <c r="AE910">
        <f>AND(IF(Metadata!D910="",FALSE,TRUE),OR(exact(Metadata!D910,"Animal"),exact(Metadata!D910,"Fungus"),exact(Metadata!D910,"Plant")))</f>
        <v>0</v>
      </c>
      <c r="AF910">
        <f>AND(IF(Metadata!E910="",FALSE,TRUE),OR(exact(Metadata!E910,"Plant secretion"),exact(Metadata!E910,"Plant rhizosphere"),exact(Metadata!E910,"Plant surface"),exact(Metadata!E910,"Plant corpus"),exact(Metadata!E910,"Fungus surface"),exact(Metadata!E910,"Fungus corpus"),exact(Metadata!E910,"Animal surface"),exact(Metadata!E910,"Animal proximal gut"),exact(Metadata!E910,"Animal corpus"),exact(Metadata!E910,"Animal distal gut"),exact(Metadata!E910,"Animal secretion")))</f>
        <v>0</v>
      </c>
      <c r="AG910">
        <f>OR(AND(IF(Metadata!F910="",FALSE,TRUE),OR(exact(Metadata!F910,"not collected"),exact(Metadata!F910,"not provided"),exact(Metadata!F910,"restricted access"))),AND(IF(Metadata!F910="",FALSE,TRUE),OR(exact(Metadata!F910,"organism-associated habitat"),exact(Metadata!F910,"plant-associated habitat"),exact(Metadata!F910,"animal-associated habitat"),exact(Metadata!F910,"insecta-associated habitat"),exact(Metadata!F910,"mammalia-associated habitat"),exact(Metadata!F910,"human-associated habitat"),exact(Metadata!F910,"livestock-associated habitat"))))</f>
        <v>0</v>
      </c>
      <c r="AH910">
        <f>AND(IF(Metadata!G910="",FALSE,TRUE),exact(Metadata!G910,"host-associated"))</f>
        <v>0</v>
      </c>
      <c r="AI910">
        <f>OR(AND(IF(Metadata!H910="",FALSE,TRUE),OR(exact(Metadata!H910,"not collected"),exact(Metadata!H910,"not provided"))),AND(IF(Metadata!H910="",FALSE,ISNUMBER(VALUE(Metadata!H910))),Metadata!H910&gt;0))</f>
        <v>0</v>
      </c>
      <c r="AJ910">
        <f>AND(IF(Metadata!I910="",FALSE,TRUE),exact(Metadata!I910,"years"))</f>
        <v>0</v>
      </c>
      <c r="AK910">
        <f>IF(Metadata!J910="",FALSE,TRUE)</f>
        <v>0</v>
      </c>
      <c r="AL910">
        <f>OR(AND(IF(Metadata!K910="",FALSE,TRUE),OR(exact(Metadata!K910,"not collected"),exact(Metadata!K910,"not provided"))),AND(IF(Metadata!K910="",FALSE,ISNUMBER(VALUE(Metadata!K910))),Metadata!K910&gt;0))</f>
        <v>0</v>
      </c>
      <c r="AM910">
        <f>AND(IF(Metadata!L910="",FALSE,TRUE),exact(Metadata!L910,"cm"))</f>
        <v>0</v>
      </c>
      <c r="AN910">
        <f>IF(Metadata!M910="",FALSE,TRUE)</f>
        <v>0</v>
      </c>
      <c r="AO910">
        <f>OR(AND(IF(Metadata!N910="",FALSE,TRUE),OR(exact(Metadata!N910,"not applicable"),exact(Metadata!N910,"not collected"),exact(Metadata!N910,"not provided"))),AND(IF(Metadata!N910="",FALSE,IF(ISERROR(INT(Metadata!N910)),FALSE,INT(Metadata!N910)=Metadata!N910)),Metadata!N910&gt;0))</f>
        <v>0</v>
      </c>
      <c r="AP910">
        <f>OR(AND(IF(Metadata!O910="",FALSE,TRUE),OR(exact(Metadata!O910,"not collected"),exact(Metadata!O910,"not provided"))),AND(IF(Metadata!O910="",FALSE,ISNUMBER(VALUE(Metadata!O910))),Metadata!O910&gt;0))</f>
        <v>0</v>
      </c>
      <c r="AQ910">
        <f>AND(IF(Metadata!P910="",FALSE,TRUE),exact(Metadata!P910,"kg"))</f>
        <v>0</v>
      </c>
      <c r="AR910">
        <f>OR(AND(IF(Metadata!Q910="",FALSE,TRUE),OR(exact(Metadata!Q910,"not applicable"),exact(Metadata!Q910,"not collected"),exact(Metadata!Q910,"not provided"),exact(Metadata!Q910,"restricted access"))),IF(Metadata!Q910="",FALSE,IF(ISERROR(INT(Metadata!Q910)),FALSE,INT(Metadata!Q910)=Metadata!Q910)))</f>
        <v>0</v>
      </c>
      <c r="AS910">
        <f>AND(IF(Metadata!R910="",FALSE,TRUE),exact(Metadata!R910,"Not applicable"))</f>
        <v>0</v>
      </c>
    </row>
    <row r="911" spans="1:45">
      <c r="A911" s="4">
        <f>IF(B911=" "," ",HYPERLINK(CONCATENATE("#metadata!",ADDRESS(INDEX($X$2:$X$1001,MATCH(ROWS($V$2:V911),$V$2:$V$1001,0),0),2)),INDEX($AA$2:$AA$1001,MATCH(ROWS($V$2:V911),$V$2:$V$1001,0),0)))</f>
        <v>0</v>
      </c>
      <c r="B911" s="5">
        <f>IF(OR(INDEX($W$2:$W$1001,MATCH(ROWS($V$2:V911),$V$2:$V$1001,0),1)&gt;=100000,INDEX($AC$1005:$AS$1005,1,MATCH(COLUMNS($AC$1006:AC1006),$AC$1006:$AS$1006,0))&gt;=100000), " ",IF(INDEX($AC$2:$AS$1001,MATCH(ROWS($V$2:V911),$V$2:$V$1001,0),MATCH(COLUMNS($AC$1006:AC1006),$AC$1006:$AS$1006,0)), HYPERLINK("#",""), HYPERLINK(CONCATENATE("#Metadata!", ADDRESS(INDEX($X$2:$X$1001,MATCH(ROWS($V$2:V911),$V$2:$V$1001,0),0), INDEX($AC$1004:$AS$1004,1,MATCH(COLUMNS($AC$1006:AC1006),$AC$1006:$AS$1006,0)))),"Fix")))</f>
        <v>0</v>
      </c>
      <c r="C911" s="5">
        <f>IF(OR(INDEX($W$2:$W$1001,MATCH(ROWS($V$2:V911),$V$2:$V$1001,0),1)&gt;=100000,INDEX($AC$1005:$AS$1005,1,MATCH(COLUMNS($AC$1006:AD1006),$AC$1006:$AS$1006,0))&gt;=100000), " ",IF(INDEX($AC$2:$AS$1001,MATCH(ROWS($V$2:V911),$V$2:$V$1001,0),MATCH(COLUMNS($AC$1006:AD1006),$AC$1006:$AS$1006,0)), HYPERLINK("#",""), HYPERLINK(CONCATENATE("#Metadata!", ADDRESS(INDEX($X$2:$X$1001,MATCH(ROWS($V$2:V911),$V$2:$V$1001,0),0), INDEX($AC$1004:$AS$1004,1,MATCH(COLUMNS($AC$1006:AD1006),$AC$1006:$AS$1006,0)))),"Fix")))</f>
        <v>0</v>
      </c>
      <c r="D911" s="5">
        <f>IF(OR(INDEX($W$2:$W$1001,MATCH(ROWS($V$2:V911),$V$2:$V$1001,0),1)&gt;=100000,INDEX($AC$1005:$AS$1005,1,MATCH(COLUMNS($AC$1006:AE1006),$AC$1006:$AS$1006,0))&gt;=100000), " ",IF(INDEX($AC$2:$AS$1001,MATCH(ROWS($V$2:V911),$V$2:$V$1001,0),MATCH(COLUMNS($AC$1006:AE1006),$AC$1006:$AS$1006,0)), HYPERLINK("#",""), HYPERLINK(CONCATENATE("#Metadata!", ADDRESS(INDEX($X$2:$X$1001,MATCH(ROWS($V$2:V911),$V$2:$V$1001,0),0), INDEX($AC$1004:$AS$1004,1,MATCH(COLUMNS($AC$1006:AE1006),$AC$1006:$AS$1006,0)))),"Fix")))</f>
        <v>0</v>
      </c>
      <c r="E911" s="5">
        <f>IF(OR(INDEX($W$2:$W$1001,MATCH(ROWS($V$2:V911),$V$2:$V$1001,0),1)&gt;=100000,INDEX($AC$1005:$AS$1005,1,MATCH(COLUMNS($AC$1006:AF1006),$AC$1006:$AS$1006,0))&gt;=100000), " ",IF(INDEX($AC$2:$AS$1001,MATCH(ROWS($V$2:V911),$V$2:$V$1001,0),MATCH(COLUMNS($AC$1006:AF1006),$AC$1006:$AS$1006,0)), HYPERLINK("#",""), HYPERLINK(CONCATENATE("#Metadata!", ADDRESS(INDEX($X$2:$X$1001,MATCH(ROWS($V$2:V911),$V$2:$V$1001,0),0), INDEX($AC$1004:$AS$1004,1,MATCH(COLUMNS($AC$1006:AF1006),$AC$1006:$AS$1006,0)))),"Fix")))</f>
        <v>0</v>
      </c>
      <c r="F911" s="5">
        <f>IF(OR(INDEX($W$2:$W$1001,MATCH(ROWS($V$2:V911),$V$2:$V$1001,0),1)&gt;=100000,INDEX($AC$1005:$AS$1005,1,MATCH(COLUMNS($AC$1006:AG1006),$AC$1006:$AS$1006,0))&gt;=100000), " ",IF(INDEX($AC$2:$AS$1001,MATCH(ROWS($V$2:V911),$V$2:$V$1001,0),MATCH(COLUMNS($AC$1006:AG1006),$AC$1006:$AS$1006,0)), HYPERLINK("#",""), HYPERLINK(CONCATENATE("#Metadata!", ADDRESS(INDEX($X$2:$X$1001,MATCH(ROWS($V$2:V911),$V$2:$V$1001,0),0), INDEX($AC$1004:$AS$1004,1,MATCH(COLUMNS($AC$1006:AG1006),$AC$1006:$AS$1006,0)))),"Fix")))</f>
        <v>0</v>
      </c>
      <c r="G911" s="5">
        <f>IF(OR(INDEX($W$2:$W$1001,MATCH(ROWS($V$2:V911),$V$2:$V$1001,0),1)&gt;=100000,INDEX($AC$1005:$AS$1005,1,MATCH(COLUMNS($AC$1006:AH1006),$AC$1006:$AS$1006,0))&gt;=100000), " ",IF(INDEX($AC$2:$AS$1001,MATCH(ROWS($V$2:V911),$V$2:$V$1001,0),MATCH(COLUMNS($AC$1006:AH1006),$AC$1006:$AS$1006,0)), HYPERLINK("#",""), HYPERLINK(CONCATENATE("#Metadata!", ADDRESS(INDEX($X$2:$X$1001,MATCH(ROWS($V$2:V911),$V$2:$V$1001,0),0), INDEX($AC$1004:$AS$1004,1,MATCH(COLUMNS($AC$1006:AH1006),$AC$1006:$AS$1006,0)))),"Fix")))</f>
        <v>0</v>
      </c>
      <c r="H911" s="5">
        <f>IF(OR(INDEX($W$2:$W$1001,MATCH(ROWS($V$2:V911),$V$2:$V$1001,0),1)&gt;=100000,INDEX($AC$1005:$AS$1005,1,MATCH(COLUMNS($AC$1006:AI1006),$AC$1006:$AS$1006,0))&gt;=100000), " ",IF(INDEX($AC$2:$AS$1001,MATCH(ROWS($V$2:V911),$V$2:$V$1001,0),MATCH(COLUMNS($AC$1006:AI1006),$AC$1006:$AS$1006,0)), HYPERLINK("#",""), HYPERLINK(CONCATENATE("#Metadata!", ADDRESS(INDEX($X$2:$X$1001,MATCH(ROWS($V$2:V911),$V$2:$V$1001,0),0), INDEX($AC$1004:$AS$1004,1,MATCH(COLUMNS($AC$1006:AI1006),$AC$1006:$AS$1006,0)))),"Fix")))</f>
        <v>0</v>
      </c>
      <c r="I911" s="5">
        <f>IF(OR(INDEX($W$2:$W$1001,MATCH(ROWS($V$2:V911),$V$2:$V$1001,0),1)&gt;=100000,INDEX($AC$1005:$AS$1005,1,MATCH(COLUMNS($AC$1006:AJ1006),$AC$1006:$AS$1006,0))&gt;=100000), " ",IF(INDEX($AC$2:$AS$1001,MATCH(ROWS($V$2:V911),$V$2:$V$1001,0),MATCH(COLUMNS($AC$1006:AJ1006),$AC$1006:$AS$1006,0)), HYPERLINK("#",""), HYPERLINK(CONCATENATE("#Metadata!", ADDRESS(INDEX($X$2:$X$1001,MATCH(ROWS($V$2:V911),$V$2:$V$1001,0),0), INDEX($AC$1004:$AS$1004,1,MATCH(COLUMNS($AC$1006:AJ1006),$AC$1006:$AS$1006,0)))),"Fix")))</f>
        <v>0</v>
      </c>
      <c r="J911" s="5">
        <f>IF(OR(INDEX($W$2:$W$1001,MATCH(ROWS($V$2:V911),$V$2:$V$1001,0),1)&gt;=100000,INDEX($AC$1005:$AS$1005,1,MATCH(COLUMNS($AC$1006:AK1006),$AC$1006:$AS$1006,0))&gt;=100000), " ",IF(INDEX($AC$2:$AS$1001,MATCH(ROWS($V$2:V911),$V$2:$V$1001,0),MATCH(COLUMNS($AC$1006:AK1006),$AC$1006:$AS$1006,0)), HYPERLINK("#",""), HYPERLINK(CONCATENATE("#Metadata!", ADDRESS(INDEX($X$2:$X$1001,MATCH(ROWS($V$2:V911),$V$2:$V$1001,0),0), INDEX($AC$1004:$AS$1004,1,MATCH(COLUMNS($AC$1006:AK1006),$AC$1006:$AS$1006,0)))),"Fix")))</f>
        <v>0</v>
      </c>
      <c r="K911" s="5">
        <f>IF(OR(INDEX($W$2:$W$1001,MATCH(ROWS($V$2:V911),$V$2:$V$1001,0),1)&gt;=100000,INDEX($AC$1005:$AS$1005,1,MATCH(COLUMNS($AC$1006:AL1006),$AC$1006:$AS$1006,0))&gt;=100000), " ",IF(INDEX($AC$2:$AS$1001,MATCH(ROWS($V$2:V911),$V$2:$V$1001,0),MATCH(COLUMNS($AC$1006:AL1006),$AC$1006:$AS$1006,0)), HYPERLINK("#",""), HYPERLINK(CONCATENATE("#Metadata!", ADDRESS(INDEX($X$2:$X$1001,MATCH(ROWS($V$2:V911),$V$2:$V$1001,0),0), INDEX($AC$1004:$AS$1004,1,MATCH(COLUMNS($AC$1006:AL1006),$AC$1006:$AS$1006,0)))),"Fix")))</f>
        <v>0</v>
      </c>
      <c r="L911" s="5">
        <f>IF(OR(INDEX($W$2:$W$1001,MATCH(ROWS($V$2:V911),$V$2:$V$1001,0),1)&gt;=100000,INDEX($AC$1005:$AS$1005,1,MATCH(COLUMNS($AC$1006:AM1006),$AC$1006:$AS$1006,0))&gt;=100000), " ",IF(INDEX($AC$2:$AS$1001,MATCH(ROWS($V$2:V911),$V$2:$V$1001,0),MATCH(COLUMNS($AC$1006:AM1006),$AC$1006:$AS$1006,0)), HYPERLINK("#",""), HYPERLINK(CONCATENATE("#Metadata!", ADDRESS(INDEX($X$2:$X$1001,MATCH(ROWS($V$2:V911),$V$2:$V$1001,0),0), INDEX($AC$1004:$AS$1004,1,MATCH(COLUMNS($AC$1006:AM1006),$AC$1006:$AS$1006,0)))),"Fix")))</f>
        <v>0</v>
      </c>
      <c r="M911" s="5">
        <f>IF(OR(INDEX($W$2:$W$1001,MATCH(ROWS($V$2:V911),$V$2:$V$1001,0),1)&gt;=100000,INDEX($AC$1005:$AS$1005,1,MATCH(COLUMNS($AC$1006:AN1006),$AC$1006:$AS$1006,0))&gt;=100000), " ",IF(INDEX($AC$2:$AS$1001,MATCH(ROWS($V$2:V911),$V$2:$V$1001,0),MATCH(COLUMNS($AC$1006:AN1006),$AC$1006:$AS$1006,0)), HYPERLINK("#",""), HYPERLINK(CONCATENATE("#Metadata!", ADDRESS(INDEX($X$2:$X$1001,MATCH(ROWS($V$2:V911),$V$2:$V$1001,0),0), INDEX($AC$1004:$AS$1004,1,MATCH(COLUMNS($AC$1006:AN1006),$AC$1006:$AS$1006,0)))),"Fix")))</f>
        <v>0</v>
      </c>
      <c r="N911" s="5">
        <f>IF(OR(INDEX($W$2:$W$1001,MATCH(ROWS($V$2:V911),$V$2:$V$1001,0),1)&gt;=100000,INDEX($AC$1005:$AS$1005,1,MATCH(COLUMNS($AC$1006:AO1006),$AC$1006:$AS$1006,0))&gt;=100000), " ",IF(INDEX($AC$2:$AS$1001,MATCH(ROWS($V$2:V911),$V$2:$V$1001,0),MATCH(COLUMNS($AC$1006:AO1006),$AC$1006:$AS$1006,0)), HYPERLINK("#",""), HYPERLINK(CONCATENATE("#Metadata!", ADDRESS(INDEX($X$2:$X$1001,MATCH(ROWS($V$2:V911),$V$2:$V$1001,0),0), INDEX($AC$1004:$AS$1004,1,MATCH(COLUMNS($AC$1006:AO1006),$AC$1006:$AS$1006,0)))),"Fix")))</f>
        <v>0</v>
      </c>
      <c r="O911" s="5">
        <f>IF(OR(INDEX($W$2:$W$1001,MATCH(ROWS($V$2:V911),$V$2:$V$1001,0),1)&gt;=100000,INDEX($AC$1005:$AS$1005,1,MATCH(COLUMNS($AC$1006:AP1006),$AC$1006:$AS$1006,0))&gt;=100000), " ",IF(INDEX($AC$2:$AS$1001,MATCH(ROWS($V$2:V911),$V$2:$V$1001,0),MATCH(COLUMNS($AC$1006:AP1006),$AC$1006:$AS$1006,0)), HYPERLINK("#",""), HYPERLINK(CONCATENATE("#Metadata!", ADDRESS(INDEX($X$2:$X$1001,MATCH(ROWS($V$2:V911),$V$2:$V$1001,0),0), INDEX($AC$1004:$AS$1004,1,MATCH(COLUMNS($AC$1006:AP1006),$AC$1006:$AS$1006,0)))),"Fix")))</f>
        <v>0</v>
      </c>
      <c r="P911" s="5">
        <f>IF(OR(INDEX($W$2:$W$1001,MATCH(ROWS($V$2:V911),$V$2:$V$1001,0),1)&gt;=100000,INDEX($AC$1005:$AS$1005,1,MATCH(COLUMNS($AC$1006:AQ1006),$AC$1006:$AS$1006,0))&gt;=100000), " ",IF(INDEX($AC$2:$AS$1001,MATCH(ROWS($V$2:V911),$V$2:$V$1001,0),MATCH(COLUMNS($AC$1006:AQ1006),$AC$1006:$AS$1006,0)), HYPERLINK("#",""), HYPERLINK(CONCATENATE("#Metadata!", ADDRESS(INDEX($X$2:$X$1001,MATCH(ROWS($V$2:V911),$V$2:$V$1001,0),0), INDEX($AC$1004:$AS$1004,1,MATCH(COLUMNS($AC$1006:AQ1006),$AC$1006:$AS$1006,0)))),"Fix")))</f>
        <v>0</v>
      </c>
      <c r="Q911" s="5">
        <f>IF(OR(INDEX($W$2:$W$1001,MATCH(ROWS($V$2:V911),$V$2:$V$1001,0),1)&gt;=100000,INDEX($AC$1005:$AS$1005,1,MATCH(COLUMNS($AC$1006:AR1006),$AC$1006:$AS$1006,0))&gt;=100000), " ",IF(INDEX($AC$2:$AS$1001,MATCH(ROWS($V$2:V911),$V$2:$V$1001,0),MATCH(COLUMNS($AC$1006:AR1006),$AC$1006:$AS$1006,0)), HYPERLINK("#",""), HYPERLINK(CONCATENATE("#Metadata!", ADDRESS(INDEX($X$2:$X$1001,MATCH(ROWS($V$2:V911),$V$2:$V$1001,0),0), INDEX($AC$1004:$AS$1004,1,MATCH(COLUMNS($AC$1006:AR1006),$AC$1006:$AS$1006,0)))),"Fix")))</f>
        <v>0</v>
      </c>
      <c r="R911" s="5">
        <f>IF(OR(INDEX($W$2:$W$1001,MATCH(ROWS($V$2:V911),$V$2:$V$1001,0),1)&gt;=100000,INDEX($AC$1005:$AS$1005,1,MATCH(COLUMNS($AC$1006:AS1006),$AC$1006:$AS$1006,0))&gt;=100000), " ",IF(INDEX($AC$2:$AS$1001,MATCH(ROWS($V$2:V911),$V$2:$V$1001,0),MATCH(COLUMNS($AC$1006:AS1006),$AC$1006:$AS$1006,0)), HYPERLINK("#",""), HYPERLINK(CONCATENATE("#Metadata!", ADDRESS(INDEX($X$2:$X$1001,MATCH(ROWS($V$2:V911),$V$2:$V$1001,0),0), INDEX($AC$1004:$AS$1004,1,MATCH(COLUMNS($AC$1006:AS1006),$AC$1006:$AS$1006,0)))),"Fix")))</f>
        <v>0</v>
      </c>
      <c r="V911">
        <v>0</v>
      </c>
      <c r="W911">
        <v>0</v>
      </c>
      <c r="X911">
        <v>0</v>
      </c>
      <c r="Y911">
        <f>IF(Z911,TRUE,AND(AC911:AS911))</f>
        <v>0</v>
      </c>
      <c r="Z911">
        <f>COUNTBLANK(Metadata!B911:R911)=COLUMNS(Metadata!B911:R911)</f>
        <v>0</v>
      </c>
      <c r="AA911">
        <v>0</v>
      </c>
      <c r="AC911">
        <f>AND(IF(Metadata!B911="",FALSE,TRUE),COUNTIF(Metadata!B:B, Metadata!B911) = 1,NOT(ISERROR(SUMPRODUCT(SEARCH(MID(Metadata!B911,ROW(INDIRECT("1:"&amp;LEN(Metadata!B911))), 1),"0123456789abcdefghijklmnopqrstuvwxyzABCDEFGHIJKLMNOPQRSTUVWXYZ.")))))</f>
        <v>0</v>
      </c>
      <c r="AD911">
        <f>AND(IF(Metadata!C911="",FALSE,TRUE),exact(Metadata!C911,"Host-associated"))</f>
        <v>0</v>
      </c>
      <c r="AE911">
        <f>AND(IF(Metadata!D911="",FALSE,TRUE),OR(exact(Metadata!D911,"Animal"),exact(Metadata!D911,"Fungus"),exact(Metadata!D911,"Plant")))</f>
        <v>0</v>
      </c>
      <c r="AF911">
        <f>AND(IF(Metadata!E911="",FALSE,TRUE),OR(exact(Metadata!E911,"Plant secretion"),exact(Metadata!E911,"Plant rhizosphere"),exact(Metadata!E911,"Plant surface"),exact(Metadata!E911,"Plant corpus"),exact(Metadata!E911,"Fungus surface"),exact(Metadata!E911,"Fungus corpus"),exact(Metadata!E911,"Animal surface"),exact(Metadata!E911,"Animal proximal gut"),exact(Metadata!E911,"Animal corpus"),exact(Metadata!E911,"Animal distal gut"),exact(Metadata!E911,"Animal secretion")))</f>
        <v>0</v>
      </c>
      <c r="AG911">
        <f>OR(AND(IF(Metadata!F911="",FALSE,TRUE),OR(exact(Metadata!F911,"not collected"),exact(Metadata!F911,"not provided"),exact(Metadata!F911,"restricted access"))),AND(IF(Metadata!F911="",FALSE,TRUE),OR(exact(Metadata!F911,"organism-associated habitat"),exact(Metadata!F911,"plant-associated habitat"),exact(Metadata!F911,"animal-associated habitat"),exact(Metadata!F911,"insecta-associated habitat"),exact(Metadata!F911,"mammalia-associated habitat"),exact(Metadata!F911,"human-associated habitat"),exact(Metadata!F911,"livestock-associated habitat"))))</f>
        <v>0</v>
      </c>
      <c r="AH911">
        <f>AND(IF(Metadata!G911="",FALSE,TRUE),exact(Metadata!G911,"host-associated"))</f>
        <v>0</v>
      </c>
      <c r="AI911">
        <f>OR(AND(IF(Metadata!H911="",FALSE,TRUE),OR(exact(Metadata!H911,"not collected"),exact(Metadata!H911,"not provided"))),AND(IF(Metadata!H911="",FALSE,ISNUMBER(VALUE(Metadata!H911))),Metadata!H911&gt;0))</f>
        <v>0</v>
      </c>
      <c r="AJ911">
        <f>AND(IF(Metadata!I911="",FALSE,TRUE),exact(Metadata!I911,"years"))</f>
        <v>0</v>
      </c>
      <c r="AK911">
        <f>IF(Metadata!J911="",FALSE,TRUE)</f>
        <v>0</v>
      </c>
      <c r="AL911">
        <f>OR(AND(IF(Metadata!K911="",FALSE,TRUE),OR(exact(Metadata!K911,"not collected"),exact(Metadata!K911,"not provided"))),AND(IF(Metadata!K911="",FALSE,ISNUMBER(VALUE(Metadata!K911))),Metadata!K911&gt;0))</f>
        <v>0</v>
      </c>
      <c r="AM911">
        <f>AND(IF(Metadata!L911="",FALSE,TRUE),exact(Metadata!L911,"cm"))</f>
        <v>0</v>
      </c>
      <c r="AN911">
        <f>IF(Metadata!M911="",FALSE,TRUE)</f>
        <v>0</v>
      </c>
      <c r="AO911">
        <f>OR(AND(IF(Metadata!N911="",FALSE,TRUE),OR(exact(Metadata!N911,"not applicable"),exact(Metadata!N911,"not collected"),exact(Metadata!N911,"not provided"))),AND(IF(Metadata!N911="",FALSE,IF(ISERROR(INT(Metadata!N911)),FALSE,INT(Metadata!N911)=Metadata!N911)),Metadata!N911&gt;0))</f>
        <v>0</v>
      </c>
      <c r="AP911">
        <f>OR(AND(IF(Metadata!O911="",FALSE,TRUE),OR(exact(Metadata!O911,"not collected"),exact(Metadata!O911,"not provided"))),AND(IF(Metadata!O911="",FALSE,ISNUMBER(VALUE(Metadata!O911))),Metadata!O911&gt;0))</f>
        <v>0</v>
      </c>
      <c r="AQ911">
        <f>AND(IF(Metadata!P911="",FALSE,TRUE),exact(Metadata!P911,"kg"))</f>
        <v>0</v>
      </c>
      <c r="AR911">
        <f>OR(AND(IF(Metadata!Q911="",FALSE,TRUE),OR(exact(Metadata!Q911,"not applicable"),exact(Metadata!Q911,"not collected"),exact(Metadata!Q911,"not provided"),exact(Metadata!Q911,"restricted access"))),IF(Metadata!Q911="",FALSE,IF(ISERROR(INT(Metadata!Q911)),FALSE,INT(Metadata!Q911)=Metadata!Q911)))</f>
        <v>0</v>
      </c>
      <c r="AS911">
        <f>AND(IF(Metadata!R911="",FALSE,TRUE),exact(Metadata!R911,"Not applicable"))</f>
        <v>0</v>
      </c>
    </row>
    <row r="912" spans="1:45">
      <c r="A912" s="4">
        <f>IF(B912=" "," ",HYPERLINK(CONCATENATE("#metadata!",ADDRESS(INDEX($X$2:$X$1001,MATCH(ROWS($V$2:V912),$V$2:$V$1001,0),0),2)),INDEX($AA$2:$AA$1001,MATCH(ROWS($V$2:V912),$V$2:$V$1001,0),0)))</f>
        <v>0</v>
      </c>
      <c r="B912" s="5">
        <f>IF(OR(INDEX($W$2:$W$1001,MATCH(ROWS($V$2:V912),$V$2:$V$1001,0),1)&gt;=100000,INDEX($AC$1005:$AS$1005,1,MATCH(COLUMNS($AC$1006:AC1006),$AC$1006:$AS$1006,0))&gt;=100000), " ",IF(INDEX($AC$2:$AS$1001,MATCH(ROWS($V$2:V912),$V$2:$V$1001,0),MATCH(COLUMNS($AC$1006:AC1006),$AC$1006:$AS$1006,0)), HYPERLINK("#",""), HYPERLINK(CONCATENATE("#Metadata!", ADDRESS(INDEX($X$2:$X$1001,MATCH(ROWS($V$2:V912),$V$2:$V$1001,0),0), INDEX($AC$1004:$AS$1004,1,MATCH(COLUMNS($AC$1006:AC1006),$AC$1006:$AS$1006,0)))),"Fix")))</f>
        <v>0</v>
      </c>
      <c r="C912" s="5">
        <f>IF(OR(INDEX($W$2:$W$1001,MATCH(ROWS($V$2:V912),$V$2:$V$1001,0),1)&gt;=100000,INDEX($AC$1005:$AS$1005,1,MATCH(COLUMNS($AC$1006:AD1006),$AC$1006:$AS$1006,0))&gt;=100000), " ",IF(INDEX($AC$2:$AS$1001,MATCH(ROWS($V$2:V912),$V$2:$V$1001,0),MATCH(COLUMNS($AC$1006:AD1006),$AC$1006:$AS$1006,0)), HYPERLINK("#",""), HYPERLINK(CONCATENATE("#Metadata!", ADDRESS(INDEX($X$2:$X$1001,MATCH(ROWS($V$2:V912),$V$2:$V$1001,0),0), INDEX($AC$1004:$AS$1004,1,MATCH(COLUMNS($AC$1006:AD1006),$AC$1006:$AS$1006,0)))),"Fix")))</f>
        <v>0</v>
      </c>
      <c r="D912" s="5">
        <f>IF(OR(INDEX($W$2:$W$1001,MATCH(ROWS($V$2:V912),$V$2:$V$1001,0),1)&gt;=100000,INDEX($AC$1005:$AS$1005,1,MATCH(COLUMNS($AC$1006:AE1006),$AC$1006:$AS$1006,0))&gt;=100000), " ",IF(INDEX($AC$2:$AS$1001,MATCH(ROWS($V$2:V912),$V$2:$V$1001,0),MATCH(COLUMNS($AC$1006:AE1006),$AC$1006:$AS$1006,0)), HYPERLINK("#",""), HYPERLINK(CONCATENATE("#Metadata!", ADDRESS(INDEX($X$2:$X$1001,MATCH(ROWS($V$2:V912),$V$2:$V$1001,0),0), INDEX($AC$1004:$AS$1004,1,MATCH(COLUMNS($AC$1006:AE1006),$AC$1006:$AS$1006,0)))),"Fix")))</f>
        <v>0</v>
      </c>
      <c r="E912" s="5">
        <f>IF(OR(INDEX($W$2:$W$1001,MATCH(ROWS($V$2:V912),$V$2:$V$1001,0),1)&gt;=100000,INDEX($AC$1005:$AS$1005,1,MATCH(COLUMNS($AC$1006:AF1006),$AC$1006:$AS$1006,0))&gt;=100000), " ",IF(INDEX($AC$2:$AS$1001,MATCH(ROWS($V$2:V912),$V$2:$V$1001,0),MATCH(COLUMNS($AC$1006:AF1006),$AC$1006:$AS$1006,0)), HYPERLINK("#",""), HYPERLINK(CONCATENATE("#Metadata!", ADDRESS(INDEX($X$2:$X$1001,MATCH(ROWS($V$2:V912),$V$2:$V$1001,0),0), INDEX($AC$1004:$AS$1004,1,MATCH(COLUMNS($AC$1006:AF1006),$AC$1006:$AS$1006,0)))),"Fix")))</f>
        <v>0</v>
      </c>
      <c r="F912" s="5">
        <f>IF(OR(INDEX($W$2:$W$1001,MATCH(ROWS($V$2:V912),$V$2:$V$1001,0),1)&gt;=100000,INDEX($AC$1005:$AS$1005,1,MATCH(COLUMNS($AC$1006:AG1006),$AC$1006:$AS$1006,0))&gt;=100000), " ",IF(INDEX($AC$2:$AS$1001,MATCH(ROWS($V$2:V912),$V$2:$V$1001,0),MATCH(COLUMNS($AC$1006:AG1006),$AC$1006:$AS$1006,0)), HYPERLINK("#",""), HYPERLINK(CONCATENATE("#Metadata!", ADDRESS(INDEX($X$2:$X$1001,MATCH(ROWS($V$2:V912),$V$2:$V$1001,0),0), INDEX($AC$1004:$AS$1004,1,MATCH(COLUMNS($AC$1006:AG1006),$AC$1006:$AS$1006,0)))),"Fix")))</f>
        <v>0</v>
      </c>
      <c r="G912" s="5">
        <f>IF(OR(INDEX($W$2:$W$1001,MATCH(ROWS($V$2:V912),$V$2:$V$1001,0),1)&gt;=100000,INDEX($AC$1005:$AS$1005,1,MATCH(COLUMNS($AC$1006:AH1006),$AC$1006:$AS$1006,0))&gt;=100000), " ",IF(INDEX($AC$2:$AS$1001,MATCH(ROWS($V$2:V912),$V$2:$V$1001,0),MATCH(COLUMNS($AC$1006:AH1006),$AC$1006:$AS$1006,0)), HYPERLINK("#",""), HYPERLINK(CONCATENATE("#Metadata!", ADDRESS(INDEX($X$2:$X$1001,MATCH(ROWS($V$2:V912),$V$2:$V$1001,0),0), INDEX($AC$1004:$AS$1004,1,MATCH(COLUMNS($AC$1006:AH1006),$AC$1006:$AS$1006,0)))),"Fix")))</f>
        <v>0</v>
      </c>
      <c r="H912" s="5">
        <f>IF(OR(INDEX($W$2:$W$1001,MATCH(ROWS($V$2:V912),$V$2:$V$1001,0),1)&gt;=100000,INDEX($AC$1005:$AS$1005,1,MATCH(COLUMNS($AC$1006:AI1006),$AC$1006:$AS$1006,0))&gt;=100000), " ",IF(INDEX($AC$2:$AS$1001,MATCH(ROWS($V$2:V912),$V$2:$V$1001,0),MATCH(COLUMNS($AC$1006:AI1006),$AC$1006:$AS$1006,0)), HYPERLINK("#",""), HYPERLINK(CONCATENATE("#Metadata!", ADDRESS(INDEX($X$2:$X$1001,MATCH(ROWS($V$2:V912),$V$2:$V$1001,0),0), INDEX($AC$1004:$AS$1004,1,MATCH(COLUMNS($AC$1006:AI1006),$AC$1006:$AS$1006,0)))),"Fix")))</f>
        <v>0</v>
      </c>
      <c r="I912" s="5">
        <f>IF(OR(INDEX($W$2:$W$1001,MATCH(ROWS($V$2:V912),$V$2:$V$1001,0),1)&gt;=100000,INDEX($AC$1005:$AS$1005,1,MATCH(COLUMNS($AC$1006:AJ1006),$AC$1006:$AS$1006,0))&gt;=100000), " ",IF(INDEX($AC$2:$AS$1001,MATCH(ROWS($V$2:V912),$V$2:$V$1001,0),MATCH(COLUMNS($AC$1006:AJ1006),$AC$1006:$AS$1006,0)), HYPERLINK("#",""), HYPERLINK(CONCATENATE("#Metadata!", ADDRESS(INDEX($X$2:$X$1001,MATCH(ROWS($V$2:V912),$V$2:$V$1001,0),0), INDEX($AC$1004:$AS$1004,1,MATCH(COLUMNS($AC$1006:AJ1006),$AC$1006:$AS$1006,0)))),"Fix")))</f>
        <v>0</v>
      </c>
      <c r="J912" s="5">
        <f>IF(OR(INDEX($W$2:$W$1001,MATCH(ROWS($V$2:V912),$V$2:$V$1001,0),1)&gt;=100000,INDEX($AC$1005:$AS$1005,1,MATCH(COLUMNS($AC$1006:AK1006),$AC$1006:$AS$1006,0))&gt;=100000), " ",IF(INDEX($AC$2:$AS$1001,MATCH(ROWS($V$2:V912),$V$2:$V$1001,0),MATCH(COLUMNS($AC$1006:AK1006),$AC$1006:$AS$1006,0)), HYPERLINK("#",""), HYPERLINK(CONCATENATE("#Metadata!", ADDRESS(INDEX($X$2:$X$1001,MATCH(ROWS($V$2:V912),$V$2:$V$1001,0),0), INDEX($AC$1004:$AS$1004,1,MATCH(COLUMNS($AC$1006:AK1006),$AC$1006:$AS$1006,0)))),"Fix")))</f>
        <v>0</v>
      </c>
      <c r="K912" s="5">
        <f>IF(OR(INDEX($W$2:$W$1001,MATCH(ROWS($V$2:V912),$V$2:$V$1001,0),1)&gt;=100000,INDEX($AC$1005:$AS$1005,1,MATCH(COLUMNS($AC$1006:AL1006),$AC$1006:$AS$1006,0))&gt;=100000), " ",IF(INDEX($AC$2:$AS$1001,MATCH(ROWS($V$2:V912),$V$2:$V$1001,0),MATCH(COLUMNS($AC$1006:AL1006),$AC$1006:$AS$1006,0)), HYPERLINK("#",""), HYPERLINK(CONCATENATE("#Metadata!", ADDRESS(INDEX($X$2:$X$1001,MATCH(ROWS($V$2:V912),$V$2:$V$1001,0),0), INDEX($AC$1004:$AS$1004,1,MATCH(COLUMNS($AC$1006:AL1006),$AC$1006:$AS$1006,0)))),"Fix")))</f>
        <v>0</v>
      </c>
      <c r="L912" s="5">
        <f>IF(OR(INDEX($W$2:$W$1001,MATCH(ROWS($V$2:V912),$V$2:$V$1001,0),1)&gt;=100000,INDEX($AC$1005:$AS$1005,1,MATCH(COLUMNS($AC$1006:AM1006),$AC$1006:$AS$1006,0))&gt;=100000), " ",IF(INDEX($AC$2:$AS$1001,MATCH(ROWS($V$2:V912),$V$2:$V$1001,0),MATCH(COLUMNS($AC$1006:AM1006),$AC$1006:$AS$1006,0)), HYPERLINK("#",""), HYPERLINK(CONCATENATE("#Metadata!", ADDRESS(INDEX($X$2:$X$1001,MATCH(ROWS($V$2:V912),$V$2:$V$1001,0),0), INDEX($AC$1004:$AS$1004,1,MATCH(COLUMNS($AC$1006:AM1006),$AC$1006:$AS$1006,0)))),"Fix")))</f>
        <v>0</v>
      </c>
      <c r="M912" s="5">
        <f>IF(OR(INDEX($W$2:$W$1001,MATCH(ROWS($V$2:V912),$V$2:$V$1001,0),1)&gt;=100000,INDEX($AC$1005:$AS$1005,1,MATCH(COLUMNS($AC$1006:AN1006),$AC$1006:$AS$1006,0))&gt;=100000), " ",IF(INDEX($AC$2:$AS$1001,MATCH(ROWS($V$2:V912),$V$2:$V$1001,0),MATCH(COLUMNS($AC$1006:AN1006),$AC$1006:$AS$1006,0)), HYPERLINK("#",""), HYPERLINK(CONCATENATE("#Metadata!", ADDRESS(INDEX($X$2:$X$1001,MATCH(ROWS($V$2:V912),$V$2:$V$1001,0),0), INDEX($AC$1004:$AS$1004,1,MATCH(COLUMNS($AC$1006:AN1006),$AC$1006:$AS$1006,0)))),"Fix")))</f>
        <v>0</v>
      </c>
      <c r="N912" s="5">
        <f>IF(OR(INDEX($W$2:$W$1001,MATCH(ROWS($V$2:V912),$V$2:$V$1001,0),1)&gt;=100000,INDEX($AC$1005:$AS$1005,1,MATCH(COLUMNS($AC$1006:AO1006),$AC$1006:$AS$1006,0))&gt;=100000), " ",IF(INDEX($AC$2:$AS$1001,MATCH(ROWS($V$2:V912),$V$2:$V$1001,0),MATCH(COLUMNS($AC$1006:AO1006),$AC$1006:$AS$1006,0)), HYPERLINK("#",""), HYPERLINK(CONCATENATE("#Metadata!", ADDRESS(INDEX($X$2:$X$1001,MATCH(ROWS($V$2:V912),$V$2:$V$1001,0),0), INDEX($AC$1004:$AS$1004,1,MATCH(COLUMNS($AC$1006:AO1006),$AC$1006:$AS$1006,0)))),"Fix")))</f>
        <v>0</v>
      </c>
      <c r="O912" s="5">
        <f>IF(OR(INDEX($W$2:$W$1001,MATCH(ROWS($V$2:V912),$V$2:$V$1001,0),1)&gt;=100000,INDEX($AC$1005:$AS$1005,1,MATCH(COLUMNS($AC$1006:AP1006),$AC$1006:$AS$1006,0))&gt;=100000), " ",IF(INDEX($AC$2:$AS$1001,MATCH(ROWS($V$2:V912),$V$2:$V$1001,0),MATCH(COLUMNS($AC$1006:AP1006),$AC$1006:$AS$1006,0)), HYPERLINK("#",""), HYPERLINK(CONCATENATE("#Metadata!", ADDRESS(INDEX($X$2:$X$1001,MATCH(ROWS($V$2:V912),$V$2:$V$1001,0),0), INDEX($AC$1004:$AS$1004,1,MATCH(COLUMNS($AC$1006:AP1006),$AC$1006:$AS$1006,0)))),"Fix")))</f>
        <v>0</v>
      </c>
      <c r="P912" s="5">
        <f>IF(OR(INDEX($W$2:$W$1001,MATCH(ROWS($V$2:V912),$V$2:$V$1001,0),1)&gt;=100000,INDEX($AC$1005:$AS$1005,1,MATCH(COLUMNS($AC$1006:AQ1006),$AC$1006:$AS$1006,0))&gt;=100000), " ",IF(INDEX($AC$2:$AS$1001,MATCH(ROWS($V$2:V912),$V$2:$V$1001,0),MATCH(COLUMNS($AC$1006:AQ1006),$AC$1006:$AS$1006,0)), HYPERLINK("#",""), HYPERLINK(CONCATENATE("#Metadata!", ADDRESS(INDEX($X$2:$X$1001,MATCH(ROWS($V$2:V912),$V$2:$V$1001,0),0), INDEX($AC$1004:$AS$1004,1,MATCH(COLUMNS($AC$1006:AQ1006),$AC$1006:$AS$1006,0)))),"Fix")))</f>
        <v>0</v>
      </c>
      <c r="Q912" s="5">
        <f>IF(OR(INDEX($W$2:$W$1001,MATCH(ROWS($V$2:V912),$V$2:$V$1001,0),1)&gt;=100000,INDEX($AC$1005:$AS$1005,1,MATCH(COLUMNS($AC$1006:AR1006),$AC$1006:$AS$1006,0))&gt;=100000), " ",IF(INDEX($AC$2:$AS$1001,MATCH(ROWS($V$2:V912),$V$2:$V$1001,0),MATCH(COLUMNS($AC$1006:AR1006),$AC$1006:$AS$1006,0)), HYPERLINK("#",""), HYPERLINK(CONCATENATE("#Metadata!", ADDRESS(INDEX($X$2:$X$1001,MATCH(ROWS($V$2:V912),$V$2:$V$1001,0),0), INDEX($AC$1004:$AS$1004,1,MATCH(COLUMNS($AC$1006:AR1006),$AC$1006:$AS$1006,0)))),"Fix")))</f>
        <v>0</v>
      </c>
      <c r="R912" s="5">
        <f>IF(OR(INDEX($W$2:$W$1001,MATCH(ROWS($V$2:V912),$V$2:$V$1001,0),1)&gt;=100000,INDEX($AC$1005:$AS$1005,1,MATCH(COLUMNS($AC$1006:AS1006),$AC$1006:$AS$1006,0))&gt;=100000), " ",IF(INDEX($AC$2:$AS$1001,MATCH(ROWS($V$2:V912),$V$2:$V$1001,0),MATCH(COLUMNS($AC$1006:AS1006),$AC$1006:$AS$1006,0)), HYPERLINK("#",""), HYPERLINK(CONCATENATE("#Metadata!", ADDRESS(INDEX($X$2:$X$1001,MATCH(ROWS($V$2:V912),$V$2:$V$1001,0),0), INDEX($AC$1004:$AS$1004,1,MATCH(COLUMNS($AC$1006:AS1006),$AC$1006:$AS$1006,0)))),"Fix")))</f>
        <v>0</v>
      </c>
      <c r="V912">
        <v>0</v>
      </c>
      <c r="W912">
        <v>0</v>
      </c>
      <c r="X912">
        <v>0</v>
      </c>
      <c r="Y912">
        <f>IF(Z912,TRUE,AND(AC912:AS912))</f>
        <v>0</v>
      </c>
      <c r="Z912">
        <f>COUNTBLANK(Metadata!B912:R912)=COLUMNS(Metadata!B912:R912)</f>
        <v>0</v>
      </c>
      <c r="AA912">
        <v>0</v>
      </c>
      <c r="AC912">
        <f>AND(IF(Metadata!B912="",FALSE,TRUE),COUNTIF(Metadata!B:B, Metadata!B912) = 1,NOT(ISERROR(SUMPRODUCT(SEARCH(MID(Metadata!B912,ROW(INDIRECT("1:"&amp;LEN(Metadata!B912))), 1),"0123456789abcdefghijklmnopqrstuvwxyzABCDEFGHIJKLMNOPQRSTUVWXYZ.")))))</f>
        <v>0</v>
      </c>
      <c r="AD912">
        <f>AND(IF(Metadata!C912="",FALSE,TRUE),exact(Metadata!C912,"Host-associated"))</f>
        <v>0</v>
      </c>
      <c r="AE912">
        <f>AND(IF(Metadata!D912="",FALSE,TRUE),OR(exact(Metadata!D912,"Animal"),exact(Metadata!D912,"Fungus"),exact(Metadata!D912,"Plant")))</f>
        <v>0</v>
      </c>
      <c r="AF912">
        <f>AND(IF(Metadata!E912="",FALSE,TRUE),OR(exact(Metadata!E912,"Plant secretion"),exact(Metadata!E912,"Plant rhizosphere"),exact(Metadata!E912,"Plant surface"),exact(Metadata!E912,"Plant corpus"),exact(Metadata!E912,"Fungus surface"),exact(Metadata!E912,"Fungus corpus"),exact(Metadata!E912,"Animal surface"),exact(Metadata!E912,"Animal proximal gut"),exact(Metadata!E912,"Animal corpus"),exact(Metadata!E912,"Animal distal gut"),exact(Metadata!E912,"Animal secretion")))</f>
        <v>0</v>
      </c>
      <c r="AG912">
        <f>OR(AND(IF(Metadata!F912="",FALSE,TRUE),OR(exact(Metadata!F912,"not collected"),exact(Metadata!F912,"not provided"),exact(Metadata!F912,"restricted access"))),AND(IF(Metadata!F912="",FALSE,TRUE),OR(exact(Metadata!F912,"organism-associated habitat"),exact(Metadata!F912,"plant-associated habitat"),exact(Metadata!F912,"animal-associated habitat"),exact(Metadata!F912,"insecta-associated habitat"),exact(Metadata!F912,"mammalia-associated habitat"),exact(Metadata!F912,"human-associated habitat"),exact(Metadata!F912,"livestock-associated habitat"))))</f>
        <v>0</v>
      </c>
      <c r="AH912">
        <f>AND(IF(Metadata!G912="",FALSE,TRUE),exact(Metadata!G912,"host-associated"))</f>
        <v>0</v>
      </c>
      <c r="AI912">
        <f>OR(AND(IF(Metadata!H912="",FALSE,TRUE),OR(exact(Metadata!H912,"not collected"),exact(Metadata!H912,"not provided"))),AND(IF(Metadata!H912="",FALSE,ISNUMBER(VALUE(Metadata!H912))),Metadata!H912&gt;0))</f>
        <v>0</v>
      </c>
      <c r="AJ912">
        <f>AND(IF(Metadata!I912="",FALSE,TRUE),exact(Metadata!I912,"years"))</f>
        <v>0</v>
      </c>
      <c r="AK912">
        <f>IF(Metadata!J912="",FALSE,TRUE)</f>
        <v>0</v>
      </c>
      <c r="AL912">
        <f>OR(AND(IF(Metadata!K912="",FALSE,TRUE),OR(exact(Metadata!K912,"not collected"),exact(Metadata!K912,"not provided"))),AND(IF(Metadata!K912="",FALSE,ISNUMBER(VALUE(Metadata!K912))),Metadata!K912&gt;0))</f>
        <v>0</v>
      </c>
      <c r="AM912">
        <f>AND(IF(Metadata!L912="",FALSE,TRUE),exact(Metadata!L912,"cm"))</f>
        <v>0</v>
      </c>
      <c r="AN912">
        <f>IF(Metadata!M912="",FALSE,TRUE)</f>
        <v>0</v>
      </c>
      <c r="AO912">
        <f>OR(AND(IF(Metadata!N912="",FALSE,TRUE),OR(exact(Metadata!N912,"not applicable"),exact(Metadata!N912,"not collected"),exact(Metadata!N912,"not provided"))),AND(IF(Metadata!N912="",FALSE,IF(ISERROR(INT(Metadata!N912)),FALSE,INT(Metadata!N912)=Metadata!N912)),Metadata!N912&gt;0))</f>
        <v>0</v>
      </c>
      <c r="AP912">
        <f>OR(AND(IF(Metadata!O912="",FALSE,TRUE),OR(exact(Metadata!O912,"not collected"),exact(Metadata!O912,"not provided"))),AND(IF(Metadata!O912="",FALSE,ISNUMBER(VALUE(Metadata!O912))),Metadata!O912&gt;0))</f>
        <v>0</v>
      </c>
      <c r="AQ912">
        <f>AND(IF(Metadata!P912="",FALSE,TRUE),exact(Metadata!P912,"kg"))</f>
        <v>0</v>
      </c>
      <c r="AR912">
        <f>OR(AND(IF(Metadata!Q912="",FALSE,TRUE),OR(exact(Metadata!Q912,"not applicable"),exact(Metadata!Q912,"not collected"),exact(Metadata!Q912,"not provided"),exact(Metadata!Q912,"restricted access"))),IF(Metadata!Q912="",FALSE,IF(ISERROR(INT(Metadata!Q912)),FALSE,INT(Metadata!Q912)=Metadata!Q912)))</f>
        <v>0</v>
      </c>
      <c r="AS912">
        <f>AND(IF(Metadata!R912="",FALSE,TRUE),exact(Metadata!R912,"Not applicable"))</f>
        <v>0</v>
      </c>
    </row>
    <row r="913" spans="1:45">
      <c r="A913" s="4">
        <f>IF(B913=" "," ",HYPERLINK(CONCATENATE("#metadata!",ADDRESS(INDEX($X$2:$X$1001,MATCH(ROWS($V$2:V913),$V$2:$V$1001,0),0),2)),INDEX($AA$2:$AA$1001,MATCH(ROWS($V$2:V913),$V$2:$V$1001,0),0)))</f>
        <v>0</v>
      </c>
      <c r="B913" s="5">
        <f>IF(OR(INDEX($W$2:$W$1001,MATCH(ROWS($V$2:V913),$V$2:$V$1001,0),1)&gt;=100000,INDEX($AC$1005:$AS$1005,1,MATCH(COLUMNS($AC$1006:AC1006),$AC$1006:$AS$1006,0))&gt;=100000), " ",IF(INDEX($AC$2:$AS$1001,MATCH(ROWS($V$2:V913),$V$2:$V$1001,0),MATCH(COLUMNS($AC$1006:AC1006),$AC$1006:$AS$1006,0)), HYPERLINK("#",""), HYPERLINK(CONCATENATE("#Metadata!", ADDRESS(INDEX($X$2:$X$1001,MATCH(ROWS($V$2:V913),$V$2:$V$1001,0),0), INDEX($AC$1004:$AS$1004,1,MATCH(COLUMNS($AC$1006:AC1006),$AC$1006:$AS$1006,0)))),"Fix")))</f>
        <v>0</v>
      </c>
      <c r="C913" s="5">
        <f>IF(OR(INDEX($W$2:$W$1001,MATCH(ROWS($V$2:V913),$V$2:$V$1001,0),1)&gt;=100000,INDEX($AC$1005:$AS$1005,1,MATCH(COLUMNS($AC$1006:AD1006),$AC$1006:$AS$1006,0))&gt;=100000), " ",IF(INDEX($AC$2:$AS$1001,MATCH(ROWS($V$2:V913),$V$2:$V$1001,0),MATCH(COLUMNS($AC$1006:AD1006),$AC$1006:$AS$1006,0)), HYPERLINK("#",""), HYPERLINK(CONCATENATE("#Metadata!", ADDRESS(INDEX($X$2:$X$1001,MATCH(ROWS($V$2:V913),$V$2:$V$1001,0),0), INDEX($AC$1004:$AS$1004,1,MATCH(COLUMNS($AC$1006:AD1006),$AC$1006:$AS$1006,0)))),"Fix")))</f>
        <v>0</v>
      </c>
      <c r="D913" s="5">
        <f>IF(OR(INDEX($W$2:$W$1001,MATCH(ROWS($V$2:V913),$V$2:$V$1001,0),1)&gt;=100000,INDEX($AC$1005:$AS$1005,1,MATCH(COLUMNS($AC$1006:AE1006),$AC$1006:$AS$1006,0))&gt;=100000), " ",IF(INDEX($AC$2:$AS$1001,MATCH(ROWS($V$2:V913),$V$2:$V$1001,0),MATCH(COLUMNS($AC$1006:AE1006),$AC$1006:$AS$1006,0)), HYPERLINK("#",""), HYPERLINK(CONCATENATE("#Metadata!", ADDRESS(INDEX($X$2:$X$1001,MATCH(ROWS($V$2:V913),$V$2:$V$1001,0),0), INDEX($AC$1004:$AS$1004,1,MATCH(COLUMNS($AC$1006:AE1006),$AC$1006:$AS$1006,0)))),"Fix")))</f>
        <v>0</v>
      </c>
      <c r="E913" s="5">
        <f>IF(OR(INDEX($W$2:$W$1001,MATCH(ROWS($V$2:V913),$V$2:$V$1001,0),1)&gt;=100000,INDEX($AC$1005:$AS$1005,1,MATCH(COLUMNS($AC$1006:AF1006),$AC$1006:$AS$1006,0))&gt;=100000), " ",IF(INDEX($AC$2:$AS$1001,MATCH(ROWS($V$2:V913),$V$2:$V$1001,0),MATCH(COLUMNS($AC$1006:AF1006),$AC$1006:$AS$1006,0)), HYPERLINK("#",""), HYPERLINK(CONCATENATE("#Metadata!", ADDRESS(INDEX($X$2:$X$1001,MATCH(ROWS($V$2:V913),$V$2:$V$1001,0),0), INDEX($AC$1004:$AS$1004,1,MATCH(COLUMNS($AC$1006:AF1006),$AC$1006:$AS$1006,0)))),"Fix")))</f>
        <v>0</v>
      </c>
      <c r="F913" s="5">
        <f>IF(OR(INDEX($W$2:$W$1001,MATCH(ROWS($V$2:V913),$V$2:$V$1001,0),1)&gt;=100000,INDEX($AC$1005:$AS$1005,1,MATCH(COLUMNS($AC$1006:AG1006),$AC$1006:$AS$1006,0))&gt;=100000), " ",IF(INDEX($AC$2:$AS$1001,MATCH(ROWS($V$2:V913),$V$2:$V$1001,0),MATCH(COLUMNS($AC$1006:AG1006),$AC$1006:$AS$1006,0)), HYPERLINK("#",""), HYPERLINK(CONCATENATE("#Metadata!", ADDRESS(INDEX($X$2:$X$1001,MATCH(ROWS($V$2:V913),$V$2:$V$1001,0),0), INDEX($AC$1004:$AS$1004,1,MATCH(COLUMNS($AC$1006:AG1006),$AC$1006:$AS$1006,0)))),"Fix")))</f>
        <v>0</v>
      </c>
      <c r="G913" s="5">
        <f>IF(OR(INDEX($W$2:$W$1001,MATCH(ROWS($V$2:V913),$V$2:$V$1001,0),1)&gt;=100000,INDEX($AC$1005:$AS$1005,1,MATCH(COLUMNS($AC$1006:AH1006),$AC$1006:$AS$1006,0))&gt;=100000), " ",IF(INDEX($AC$2:$AS$1001,MATCH(ROWS($V$2:V913),$V$2:$V$1001,0),MATCH(COLUMNS($AC$1006:AH1006),$AC$1006:$AS$1006,0)), HYPERLINK("#",""), HYPERLINK(CONCATENATE("#Metadata!", ADDRESS(INDEX($X$2:$X$1001,MATCH(ROWS($V$2:V913),$V$2:$V$1001,0),0), INDEX($AC$1004:$AS$1004,1,MATCH(COLUMNS($AC$1006:AH1006),$AC$1006:$AS$1006,0)))),"Fix")))</f>
        <v>0</v>
      </c>
      <c r="H913" s="5">
        <f>IF(OR(INDEX($W$2:$W$1001,MATCH(ROWS($V$2:V913),$V$2:$V$1001,0),1)&gt;=100000,INDEX($AC$1005:$AS$1005,1,MATCH(COLUMNS($AC$1006:AI1006),$AC$1006:$AS$1006,0))&gt;=100000), " ",IF(INDEX($AC$2:$AS$1001,MATCH(ROWS($V$2:V913),$V$2:$V$1001,0),MATCH(COLUMNS($AC$1006:AI1006),$AC$1006:$AS$1006,0)), HYPERLINK("#",""), HYPERLINK(CONCATENATE("#Metadata!", ADDRESS(INDEX($X$2:$X$1001,MATCH(ROWS($V$2:V913),$V$2:$V$1001,0),0), INDEX($AC$1004:$AS$1004,1,MATCH(COLUMNS($AC$1006:AI1006),$AC$1006:$AS$1006,0)))),"Fix")))</f>
        <v>0</v>
      </c>
      <c r="I913" s="5">
        <f>IF(OR(INDEX($W$2:$W$1001,MATCH(ROWS($V$2:V913),$V$2:$V$1001,0),1)&gt;=100000,INDEX($AC$1005:$AS$1005,1,MATCH(COLUMNS($AC$1006:AJ1006),$AC$1006:$AS$1006,0))&gt;=100000), " ",IF(INDEX($AC$2:$AS$1001,MATCH(ROWS($V$2:V913),$V$2:$V$1001,0),MATCH(COLUMNS($AC$1006:AJ1006),$AC$1006:$AS$1006,0)), HYPERLINK("#",""), HYPERLINK(CONCATENATE("#Metadata!", ADDRESS(INDEX($X$2:$X$1001,MATCH(ROWS($V$2:V913),$V$2:$V$1001,0),0), INDEX($AC$1004:$AS$1004,1,MATCH(COLUMNS($AC$1006:AJ1006),$AC$1006:$AS$1006,0)))),"Fix")))</f>
        <v>0</v>
      </c>
      <c r="J913" s="5">
        <f>IF(OR(INDEX($W$2:$W$1001,MATCH(ROWS($V$2:V913),$V$2:$V$1001,0),1)&gt;=100000,INDEX($AC$1005:$AS$1005,1,MATCH(COLUMNS($AC$1006:AK1006),$AC$1006:$AS$1006,0))&gt;=100000), " ",IF(INDEX($AC$2:$AS$1001,MATCH(ROWS($V$2:V913),$V$2:$V$1001,0),MATCH(COLUMNS($AC$1006:AK1006),$AC$1006:$AS$1006,0)), HYPERLINK("#",""), HYPERLINK(CONCATENATE("#Metadata!", ADDRESS(INDEX($X$2:$X$1001,MATCH(ROWS($V$2:V913),$V$2:$V$1001,0),0), INDEX($AC$1004:$AS$1004,1,MATCH(COLUMNS($AC$1006:AK1006),$AC$1006:$AS$1006,0)))),"Fix")))</f>
        <v>0</v>
      </c>
      <c r="K913" s="5">
        <f>IF(OR(INDEX($W$2:$W$1001,MATCH(ROWS($V$2:V913),$V$2:$V$1001,0),1)&gt;=100000,INDEX($AC$1005:$AS$1005,1,MATCH(COLUMNS($AC$1006:AL1006),$AC$1006:$AS$1006,0))&gt;=100000), " ",IF(INDEX($AC$2:$AS$1001,MATCH(ROWS($V$2:V913),$V$2:$V$1001,0),MATCH(COLUMNS($AC$1006:AL1006),$AC$1006:$AS$1006,0)), HYPERLINK("#",""), HYPERLINK(CONCATENATE("#Metadata!", ADDRESS(INDEX($X$2:$X$1001,MATCH(ROWS($V$2:V913),$V$2:$V$1001,0),0), INDEX($AC$1004:$AS$1004,1,MATCH(COLUMNS($AC$1006:AL1006),$AC$1006:$AS$1006,0)))),"Fix")))</f>
        <v>0</v>
      </c>
      <c r="L913" s="5">
        <f>IF(OR(INDEX($W$2:$W$1001,MATCH(ROWS($V$2:V913),$V$2:$V$1001,0),1)&gt;=100000,INDEX($AC$1005:$AS$1005,1,MATCH(COLUMNS($AC$1006:AM1006),$AC$1006:$AS$1006,0))&gt;=100000), " ",IF(INDEX($AC$2:$AS$1001,MATCH(ROWS($V$2:V913),$V$2:$V$1001,0),MATCH(COLUMNS($AC$1006:AM1006),$AC$1006:$AS$1006,0)), HYPERLINK("#",""), HYPERLINK(CONCATENATE("#Metadata!", ADDRESS(INDEX($X$2:$X$1001,MATCH(ROWS($V$2:V913),$V$2:$V$1001,0),0), INDEX($AC$1004:$AS$1004,1,MATCH(COLUMNS($AC$1006:AM1006),$AC$1006:$AS$1006,0)))),"Fix")))</f>
        <v>0</v>
      </c>
      <c r="M913" s="5">
        <f>IF(OR(INDEX($W$2:$W$1001,MATCH(ROWS($V$2:V913),$V$2:$V$1001,0),1)&gt;=100000,INDEX($AC$1005:$AS$1005,1,MATCH(COLUMNS($AC$1006:AN1006),$AC$1006:$AS$1006,0))&gt;=100000), " ",IF(INDEX($AC$2:$AS$1001,MATCH(ROWS($V$2:V913),$V$2:$V$1001,0),MATCH(COLUMNS($AC$1006:AN1006),$AC$1006:$AS$1006,0)), HYPERLINK("#",""), HYPERLINK(CONCATENATE("#Metadata!", ADDRESS(INDEX($X$2:$X$1001,MATCH(ROWS($V$2:V913),$V$2:$V$1001,0),0), INDEX($AC$1004:$AS$1004,1,MATCH(COLUMNS($AC$1006:AN1006),$AC$1006:$AS$1006,0)))),"Fix")))</f>
        <v>0</v>
      </c>
      <c r="N913" s="5">
        <f>IF(OR(INDEX($W$2:$W$1001,MATCH(ROWS($V$2:V913),$V$2:$V$1001,0),1)&gt;=100000,INDEX($AC$1005:$AS$1005,1,MATCH(COLUMNS($AC$1006:AO1006),$AC$1006:$AS$1006,0))&gt;=100000), " ",IF(INDEX($AC$2:$AS$1001,MATCH(ROWS($V$2:V913),$V$2:$V$1001,0),MATCH(COLUMNS($AC$1006:AO1006),$AC$1006:$AS$1006,0)), HYPERLINK("#",""), HYPERLINK(CONCATENATE("#Metadata!", ADDRESS(INDEX($X$2:$X$1001,MATCH(ROWS($V$2:V913),$V$2:$V$1001,0),0), INDEX($AC$1004:$AS$1004,1,MATCH(COLUMNS($AC$1006:AO1006),$AC$1006:$AS$1006,0)))),"Fix")))</f>
        <v>0</v>
      </c>
      <c r="O913" s="5">
        <f>IF(OR(INDEX($W$2:$W$1001,MATCH(ROWS($V$2:V913),$V$2:$V$1001,0),1)&gt;=100000,INDEX($AC$1005:$AS$1005,1,MATCH(COLUMNS($AC$1006:AP1006),$AC$1006:$AS$1006,0))&gt;=100000), " ",IF(INDEX($AC$2:$AS$1001,MATCH(ROWS($V$2:V913),$V$2:$V$1001,0),MATCH(COLUMNS($AC$1006:AP1006),$AC$1006:$AS$1006,0)), HYPERLINK("#",""), HYPERLINK(CONCATENATE("#Metadata!", ADDRESS(INDEX($X$2:$X$1001,MATCH(ROWS($V$2:V913),$V$2:$V$1001,0),0), INDEX($AC$1004:$AS$1004,1,MATCH(COLUMNS($AC$1006:AP1006),$AC$1006:$AS$1006,0)))),"Fix")))</f>
        <v>0</v>
      </c>
      <c r="P913" s="5">
        <f>IF(OR(INDEX($W$2:$W$1001,MATCH(ROWS($V$2:V913),$V$2:$V$1001,0),1)&gt;=100000,INDEX($AC$1005:$AS$1005,1,MATCH(COLUMNS($AC$1006:AQ1006),$AC$1006:$AS$1006,0))&gt;=100000), " ",IF(INDEX($AC$2:$AS$1001,MATCH(ROWS($V$2:V913),$V$2:$V$1001,0),MATCH(COLUMNS($AC$1006:AQ1006),$AC$1006:$AS$1006,0)), HYPERLINK("#",""), HYPERLINK(CONCATENATE("#Metadata!", ADDRESS(INDEX($X$2:$X$1001,MATCH(ROWS($V$2:V913),$V$2:$V$1001,0),0), INDEX($AC$1004:$AS$1004,1,MATCH(COLUMNS($AC$1006:AQ1006),$AC$1006:$AS$1006,0)))),"Fix")))</f>
        <v>0</v>
      </c>
      <c r="Q913" s="5">
        <f>IF(OR(INDEX($W$2:$W$1001,MATCH(ROWS($V$2:V913),$V$2:$V$1001,0),1)&gt;=100000,INDEX($AC$1005:$AS$1005,1,MATCH(COLUMNS($AC$1006:AR1006),$AC$1006:$AS$1006,0))&gt;=100000), " ",IF(INDEX($AC$2:$AS$1001,MATCH(ROWS($V$2:V913),$V$2:$V$1001,0),MATCH(COLUMNS($AC$1006:AR1006),$AC$1006:$AS$1006,0)), HYPERLINK("#",""), HYPERLINK(CONCATENATE("#Metadata!", ADDRESS(INDEX($X$2:$X$1001,MATCH(ROWS($V$2:V913),$V$2:$V$1001,0),0), INDEX($AC$1004:$AS$1004,1,MATCH(COLUMNS($AC$1006:AR1006),$AC$1006:$AS$1006,0)))),"Fix")))</f>
        <v>0</v>
      </c>
      <c r="R913" s="5">
        <f>IF(OR(INDEX($W$2:$W$1001,MATCH(ROWS($V$2:V913),$V$2:$V$1001,0),1)&gt;=100000,INDEX($AC$1005:$AS$1005,1,MATCH(COLUMNS($AC$1006:AS1006),$AC$1006:$AS$1006,0))&gt;=100000), " ",IF(INDEX($AC$2:$AS$1001,MATCH(ROWS($V$2:V913),$V$2:$V$1001,0),MATCH(COLUMNS($AC$1006:AS1006),$AC$1006:$AS$1006,0)), HYPERLINK("#",""), HYPERLINK(CONCATENATE("#Metadata!", ADDRESS(INDEX($X$2:$X$1001,MATCH(ROWS($V$2:V913),$V$2:$V$1001,0),0), INDEX($AC$1004:$AS$1004,1,MATCH(COLUMNS($AC$1006:AS1006),$AC$1006:$AS$1006,0)))),"Fix")))</f>
        <v>0</v>
      </c>
      <c r="V913">
        <v>0</v>
      </c>
      <c r="W913">
        <v>0</v>
      </c>
      <c r="X913">
        <v>0</v>
      </c>
      <c r="Y913">
        <f>IF(Z913,TRUE,AND(AC913:AS913))</f>
        <v>0</v>
      </c>
      <c r="Z913">
        <f>COUNTBLANK(Metadata!B913:R913)=COLUMNS(Metadata!B913:R913)</f>
        <v>0</v>
      </c>
      <c r="AA913">
        <v>0</v>
      </c>
      <c r="AC913">
        <f>AND(IF(Metadata!B913="",FALSE,TRUE),COUNTIF(Metadata!B:B, Metadata!B913) = 1,NOT(ISERROR(SUMPRODUCT(SEARCH(MID(Metadata!B913,ROW(INDIRECT("1:"&amp;LEN(Metadata!B913))), 1),"0123456789abcdefghijklmnopqrstuvwxyzABCDEFGHIJKLMNOPQRSTUVWXYZ.")))))</f>
        <v>0</v>
      </c>
      <c r="AD913">
        <f>AND(IF(Metadata!C913="",FALSE,TRUE),exact(Metadata!C913,"Host-associated"))</f>
        <v>0</v>
      </c>
      <c r="AE913">
        <f>AND(IF(Metadata!D913="",FALSE,TRUE),OR(exact(Metadata!D913,"Animal"),exact(Metadata!D913,"Fungus"),exact(Metadata!D913,"Plant")))</f>
        <v>0</v>
      </c>
      <c r="AF913">
        <f>AND(IF(Metadata!E913="",FALSE,TRUE),OR(exact(Metadata!E913,"Plant secretion"),exact(Metadata!E913,"Plant rhizosphere"),exact(Metadata!E913,"Plant surface"),exact(Metadata!E913,"Plant corpus"),exact(Metadata!E913,"Fungus surface"),exact(Metadata!E913,"Fungus corpus"),exact(Metadata!E913,"Animal surface"),exact(Metadata!E913,"Animal proximal gut"),exact(Metadata!E913,"Animal corpus"),exact(Metadata!E913,"Animal distal gut"),exact(Metadata!E913,"Animal secretion")))</f>
        <v>0</v>
      </c>
      <c r="AG913">
        <f>OR(AND(IF(Metadata!F913="",FALSE,TRUE),OR(exact(Metadata!F913,"not collected"),exact(Metadata!F913,"not provided"),exact(Metadata!F913,"restricted access"))),AND(IF(Metadata!F913="",FALSE,TRUE),OR(exact(Metadata!F913,"organism-associated habitat"),exact(Metadata!F913,"plant-associated habitat"),exact(Metadata!F913,"animal-associated habitat"),exact(Metadata!F913,"insecta-associated habitat"),exact(Metadata!F913,"mammalia-associated habitat"),exact(Metadata!F913,"human-associated habitat"),exact(Metadata!F913,"livestock-associated habitat"))))</f>
        <v>0</v>
      </c>
      <c r="AH913">
        <f>AND(IF(Metadata!G913="",FALSE,TRUE),exact(Metadata!G913,"host-associated"))</f>
        <v>0</v>
      </c>
      <c r="AI913">
        <f>OR(AND(IF(Metadata!H913="",FALSE,TRUE),OR(exact(Metadata!H913,"not collected"),exact(Metadata!H913,"not provided"))),AND(IF(Metadata!H913="",FALSE,ISNUMBER(VALUE(Metadata!H913))),Metadata!H913&gt;0))</f>
        <v>0</v>
      </c>
      <c r="AJ913">
        <f>AND(IF(Metadata!I913="",FALSE,TRUE),exact(Metadata!I913,"years"))</f>
        <v>0</v>
      </c>
      <c r="AK913">
        <f>IF(Metadata!J913="",FALSE,TRUE)</f>
        <v>0</v>
      </c>
      <c r="AL913">
        <f>OR(AND(IF(Metadata!K913="",FALSE,TRUE),OR(exact(Metadata!K913,"not collected"),exact(Metadata!K913,"not provided"))),AND(IF(Metadata!K913="",FALSE,ISNUMBER(VALUE(Metadata!K913))),Metadata!K913&gt;0))</f>
        <v>0</v>
      </c>
      <c r="AM913">
        <f>AND(IF(Metadata!L913="",FALSE,TRUE),exact(Metadata!L913,"cm"))</f>
        <v>0</v>
      </c>
      <c r="AN913">
        <f>IF(Metadata!M913="",FALSE,TRUE)</f>
        <v>0</v>
      </c>
      <c r="AO913">
        <f>OR(AND(IF(Metadata!N913="",FALSE,TRUE),OR(exact(Metadata!N913,"not applicable"),exact(Metadata!N913,"not collected"),exact(Metadata!N913,"not provided"))),AND(IF(Metadata!N913="",FALSE,IF(ISERROR(INT(Metadata!N913)),FALSE,INT(Metadata!N913)=Metadata!N913)),Metadata!N913&gt;0))</f>
        <v>0</v>
      </c>
      <c r="AP913">
        <f>OR(AND(IF(Metadata!O913="",FALSE,TRUE),OR(exact(Metadata!O913,"not collected"),exact(Metadata!O913,"not provided"))),AND(IF(Metadata!O913="",FALSE,ISNUMBER(VALUE(Metadata!O913))),Metadata!O913&gt;0))</f>
        <v>0</v>
      </c>
      <c r="AQ913">
        <f>AND(IF(Metadata!P913="",FALSE,TRUE),exact(Metadata!P913,"kg"))</f>
        <v>0</v>
      </c>
      <c r="AR913">
        <f>OR(AND(IF(Metadata!Q913="",FALSE,TRUE),OR(exact(Metadata!Q913,"not applicable"),exact(Metadata!Q913,"not collected"),exact(Metadata!Q913,"not provided"),exact(Metadata!Q913,"restricted access"))),IF(Metadata!Q913="",FALSE,IF(ISERROR(INT(Metadata!Q913)),FALSE,INT(Metadata!Q913)=Metadata!Q913)))</f>
        <v>0</v>
      </c>
      <c r="AS913">
        <f>AND(IF(Metadata!R913="",FALSE,TRUE),exact(Metadata!R913,"Not applicable"))</f>
        <v>0</v>
      </c>
    </row>
    <row r="914" spans="1:45">
      <c r="A914" s="4">
        <f>IF(B914=" "," ",HYPERLINK(CONCATENATE("#metadata!",ADDRESS(INDEX($X$2:$X$1001,MATCH(ROWS($V$2:V914),$V$2:$V$1001,0),0),2)),INDEX($AA$2:$AA$1001,MATCH(ROWS($V$2:V914),$V$2:$V$1001,0),0)))</f>
        <v>0</v>
      </c>
      <c r="B914" s="5">
        <f>IF(OR(INDEX($W$2:$W$1001,MATCH(ROWS($V$2:V914),$V$2:$V$1001,0),1)&gt;=100000,INDEX($AC$1005:$AS$1005,1,MATCH(COLUMNS($AC$1006:AC1006),$AC$1006:$AS$1006,0))&gt;=100000), " ",IF(INDEX($AC$2:$AS$1001,MATCH(ROWS($V$2:V914),$V$2:$V$1001,0),MATCH(COLUMNS($AC$1006:AC1006),$AC$1006:$AS$1006,0)), HYPERLINK("#",""), HYPERLINK(CONCATENATE("#Metadata!", ADDRESS(INDEX($X$2:$X$1001,MATCH(ROWS($V$2:V914),$V$2:$V$1001,0),0), INDEX($AC$1004:$AS$1004,1,MATCH(COLUMNS($AC$1006:AC1006),$AC$1006:$AS$1006,0)))),"Fix")))</f>
        <v>0</v>
      </c>
      <c r="C914" s="5">
        <f>IF(OR(INDEX($W$2:$W$1001,MATCH(ROWS($V$2:V914),$V$2:$V$1001,0),1)&gt;=100000,INDEX($AC$1005:$AS$1005,1,MATCH(COLUMNS($AC$1006:AD1006),$AC$1006:$AS$1006,0))&gt;=100000), " ",IF(INDEX($AC$2:$AS$1001,MATCH(ROWS($V$2:V914),$V$2:$V$1001,0),MATCH(COLUMNS($AC$1006:AD1006),$AC$1006:$AS$1006,0)), HYPERLINK("#",""), HYPERLINK(CONCATENATE("#Metadata!", ADDRESS(INDEX($X$2:$X$1001,MATCH(ROWS($V$2:V914),$V$2:$V$1001,0),0), INDEX($AC$1004:$AS$1004,1,MATCH(COLUMNS($AC$1006:AD1006),$AC$1006:$AS$1006,0)))),"Fix")))</f>
        <v>0</v>
      </c>
      <c r="D914" s="5">
        <f>IF(OR(INDEX($W$2:$W$1001,MATCH(ROWS($V$2:V914),$V$2:$V$1001,0),1)&gt;=100000,INDEX($AC$1005:$AS$1005,1,MATCH(COLUMNS($AC$1006:AE1006),$AC$1006:$AS$1006,0))&gt;=100000), " ",IF(INDEX($AC$2:$AS$1001,MATCH(ROWS($V$2:V914),$V$2:$V$1001,0),MATCH(COLUMNS($AC$1006:AE1006),$AC$1006:$AS$1006,0)), HYPERLINK("#",""), HYPERLINK(CONCATENATE("#Metadata!", ADDRESS(INDEX($X$2:$X$1001,MATCH(ROWS($V$2:V914),$V$2:$V$1001,0),0), INDEX($AC$1004:$AS$1004,1,MATCH(COLUMNS($AC$1006:AE1006),$AC$1006:$AS$1006,0)))),"Fix")))</f>
        <v>0</v>
      </c>
      <c r="E914" s="5">
        <f>IF(OR(INDEX($W$2:$W$1001,MATCH(ROWS($V$2:V914),$V$2:$V$1001,0),1)&gt;=100000,INDEX($AC$1005:$AS$1005,1,MATCH(COLUMNS($AC$1006:AF1006),$AC$1006:$AS$1006,0))&gt;=100000), " ",IF(INDEX($AC$2:$AS$1001,MATCH(ROWS($V$2:V914),$V$2:$V$1001,0),MATCH(COLUMNS($AC$1006:AF1006),$AC$1006:$AS$1006,0)), HYPERLINK("#",""), HYPERLINK(CONCATENATE("#Metadata!", ADDRESS(INDEX($X$2:$X$1001,MATCH(ROWS($V$2:V914),$V$2:$V$1001,0),0), INDEX($AC$1004:$AS$1004,1,MATCH(COLUMNS($AC$1006:AF1006),$AC$1006:$AS$1006,0)))),"Fix")))</f>
        <v>0</v>
      </c>
      <c r="F914" s="5">
        <f>IF(OR(INDEX($W$2:$W$1001,MATCH(ROWS($V$2:V914),$V$2:$V$1001,0),1)&gt;=100000,INDEX($AC$1005:$AS$1005,1,MATCH(COLUMNS($AC$1006:AG1006),$AC$1006:$AS$1006,0))&gt;=100000), " ",IF(INDEX($AC$2:$AS$1001,MATCH(ROWS($V$2:V914),$V$2:$V$1001,0),MATCH(COLUMNS($AC$1006:AG1006),$AC$1006:$AS$1006,0)), HYPERLINK("#",""), HYPERLINK(CONCATENATE("#Metadata!", ADDRESS(INDEX($X$2:$X$1001,MATCH(ROWS($V$2:V914),$V$2:$V$1001,0),0), INDEX($AC$1004:$AS$1004,1,MATCH(COLUMNS($AC$1006:AG1006),$AC$1006:$AS$1006,0)))),"Fix")))</f>
        <v>0</v>
      </c>
      <c r="G914" s="5">
        <f>IF(OR(INDEX($W$2:$W$1001,MATCH(ROWS($V$2:V914),$V$2:$V$1001,0),1)&gt;=100000,INDEX($AC$1005:$AS$1005,1,MATCH(COLUMNS($AC$1006:AH1006),$AC$1006:$AS$1006,0))&gt;=100000), " ",IF(INDEX($AC$2:$AS$1001,MATCH(ROWS($V$2:V914),$V$2:$V$1001,0),MATCH(COLUMNS($AC$1006:AH1006),$AC$1006:$AS$1006,0)), HYPERLINK("#",""), HYPERLINK(CONCATENATE("#Metadata!", ADDRESS(INDEX($X$2:$X$1001,MATCH(ROWS($V$2:V914),$V$2:$V$1001,0),0), INDEX($AC$1004:$AS$1004,1,MATCH(COLUMNS($AC$1006:AH1006),$AC$1006:$AS$1006,0)))),"Fix")))</f>
        <v>0</v>
      </c>
      <c r="H914" s="5">
        <f>IF(OR(INDEX($W$2:$W$1001,MATCH(ROWS($V$2:V914),$V$2:$V$1001,0),1)&gt;=100000,INDEX($AC$1005:$AS$1005,1,MATCH(COLUMNS($AC$1006:AI1006),$AC$1006:$AS$1006,0))&gt;=100000), " ",IF(INDEX($AC$2:$AS$1001,MATCH(ROWS($V$2:V914),$V$2:$V$1001,0),MATCH(COLUMNS($AC$1006:AI1006),$AC$1006:$AS$1006,0)), HYPERLINK("#",""), HYPERLINK(CONCATENATE("#Metadata!", ADDRESS(INDEX($X$2:$X$1001,MATCH(ROWS($V$2:V914),$V$2:$V$1001,0),0), INDEX($AC$1004:$AS$1004,1,MATCH(COLUMNS($AC$1006:AI1006),$AC$1006:$AS$1006,0)))),"Fix")))</f>
        <v>0</v>
      </c>
      <c r="I914" s="5">
        <f>IF(OR(INDEX($W$2:$W$1001,MATCH(ROWS($V$2:V914),$V$2:$V$1001,0),1)&gt;=100000,INDEX($AC$1005:$AS$1005,1,MATCH(COLUMNS($AC$1006:AJ1006),$AC$1006:$AS$1006,0))&gt;=100000), " ",IF(INDEX($AC$2:$AS$1001,MATCH(ROWS($V$2:V914),$V$2:$V$1001,0),MATCH(COLUMNS($AC$1006:AJ1006),$AC$1006:$AS$1006,0)), HYPERLINK("#",""), HYPERLINK(CONCATENATE("#Metadata!", ADDRESS(INDEX($X$2:$X$1001,MATCH(ROWS($V$2:V914),$V$2:$V$1001,0),0), INDEX($AC$1004:$AS$1004,1,MATCH(COLUMNS($AC$1006:AJ1006),$AC$1006:$AS$1006,0)))),"Fix")))</f>
        <v>0</v>
      </c>
      <c r="J914" s="5">
        <f>IF(OR(INDEX($W$2:$W$1001,MATCH(ROWS($V$2:V914),$V$2:$V$1001,0),1)&gt;=100000,INDEX($AC$1005:$AS$1005,1,MATCH(COLUMNS($AC$1006:AK1006),$AC$1006:$AS$1006,0))&gt;=100000), " ",IF(INDEX($AC$2:$AS$1001,MATCH(ROWS($V$2:V914),$V$2:$V$1001,0),MATCH(COLUMNS($AC$1006:AK1006),$AC$1006:$AS$1006,0)), HYPERLINK("#",""), HYPERLINK(CONCATENATE("#Metadata!", ADDRESS(INDEX($X$2:$X$1001,MATCH(ROWS($V$2:V914),$V$2:$V$1001,0),0), INDEX($AC$1004:$AS$1004,1,MATCH(COLUMNS($AC$1006:AK1006),$AC$1006:$AS$1006,0)))),"Fix")))</f>
        <v>0</v>
      </c>
      <c r="K914" s="5">
        <f>IF(OR(INDEX($W$2:$W$1001,MATCH(ROWS($V$2:V914),$V$2:$V$1001,0),1)&gt;=100000,INDEX($AC$1005:$AS$1005,1,MATCH(COLUMNS($AC$1006:AL1006),$AC$1006:$AS$1006,0))&gt;=100000), " ",IF(INDEX($AC$2:$AS$1001,MATCH(ROWS($V$2:V914),$V$2:$V$1001,0),MATCH(COLUMNS($AC$1006:AL1006),$AC$1006:$AS$1006,0)), HYPERLINK("#",""), HYPERLINK(CONCATENATE("#Metadata!", ADDRESS(INDEX($X$2:$X$1001,MATCH(ROWS($V$2:V914),$V$2:$V$1001,0),0), INDEX($AC$1004:$AS$1004,1,MATCH(COLUMNS($AC$1006:AL1006),$AC$1006:$AS$1006,0)))),"Fix")))</f>
        <v>0</v>
      </c>
      <c r="L914" s="5">
        <f>IF(OR(INDEX($W$2:$W$1001,MATCH(ROWS($V$2:V914),$V$2:$V$1001,0),1)&gt;=100000,INDEX($AC$1005:$AS$1005,1,MATCH(COLUMNS($AC$1006:AM1006),$AC$1006:$AS$1006,0))&gt;=100000), " ",IF(INDEX($AC$2:$AS$1001,MATCH(ROWS($V$2:V914),$V$2:$V$1001,0),MATCH(COLUMNS($AC$1006:AM1006),$AC$1006:$AS$1006,0)), HYPERLINK("#",""), HYPERLINK(CONCATENATE("#Metadata!", ADDRESS(INDEX($X$2:$X$1001,MATCH(ROWS($V$2:V914),$V$2:$V$1001,0),0), INDEX($AC$1004:$AS$1004,1,MATCH(COLUMNS($AC$1006:AM1006),$AC$1006:$AS$1006,0)))),"Fix")))</f>
        <v>0</v>
      </c>
      <c r="M914" s="5">
        <f>IF(OR(INDEX($W$2:$W$1001,MATCH(ROWS($V$2:V914),$V$2:$V$1001,0),1)&gt;=100000,INDEX($AC$1005:$AS$1005,1,MATCH(COLUMNS($AC$1006:AN1006),$AC$1006:$AS$1006,0))&gt;=100000), " ",IF(INDEX($AC$2:$AS$1001,MATCH(ROWS($V$2:V914),$V$2:$V$1001,0),MATCH(COLUMNS($AC$1006:AN1006),$AC$1006:$AS$1006,0)), HYPERLINK("#",""), HYPERLINK(CONCATENATE("#Metadata!", ADDRESS(INDEX($X$2:$X$1001,MATCH(ROWS($V$2:V914),$V$2:$V$1001,0),0), INDEX($AC$1004:$AS$1004,1,MATCH(COLUMNS($AC$1006:AN1006),$AC$1006:$AS$1006,0)))),"Fix")))</f>
        <v>0</v>
      </c>
      <c r="N914" s="5">
        <f>IF(OR(INDEX($W$2:$W$1001,MATCH(ROWS($V$2:V914),$V$2:$V$1001,0),1)&gt;=100000,INDEX($AC$1005:$AS$1005,1,MATCH(COLUMNS($AC$1006:AO1006),$AC$1006:$AS$1006,0))&gt;=100000), " ",IF(INDEX($AC$2:$AS$1001,MATCH(ROWS($V$2:V914),$V$2:$V$1001,0),MATCH(COLUMNS($AC$1006:AO1006),$AC$1006:$AS$1006,0)), HYPERLINK("#",""), HYPERLINK(CONCATENATE("#Metadata!", ADDRESS(INDEX($X$2:$X$1001,MATCH(ROWS($V$2:V914),$V$2:$V$1001,0),0), INDEX($AC$1004:$AS$1004,1,MATCH(COLUMNS($AC$1006:AO1006),$AC$1006:$AS$1006,0)))),"Fix")))</f>
        <v>0</v>
      </c>
      <c r="O914" s="5">
        <f>IF(OR(INDEX($W$2:$W$1001,MATCH(ROWS($V$2:V914),$V$2:$V$1001,0),1)&gt;=100000,INDEX($AC$1005:$AS$1005,1,MATCH(COLUMNS($AC$1006:AP1006),$AC$1006:$AS$1006,0))&gt;=100000), " ",IF(INDEX($AC$2:$AS$1001,MATCH(ROWS($V$2:V914),$V$2:$V$1001,0),MATCH(COLUMNS($AC$1006:AP1006),$AC$1006:$AS$1006,0)), HYPERLINK("#",""), HYPERLINK(CONCATENATE("#Metadata!", ADDRESS(INDEX($X$2:$X$1001,MATCH(ROWS($V$2:V914),$V$2:$V$1001,0),0), INDEX($AC$1004:$AS$1004,1,MATCH(COLUMNS($AC$1006:AP1006),$AC$1006:$AS$1006,0)))),"Fix")))</f>
        <v>0</v>
      </c>
      <c r="P914" s="5">
        <f>IF(OR(INDEX($W$2:$W$1001,MATCH(ROWS($V$2:V914),$V$2:$V$1001,0),1)&gt;=100000,INDEX($AC$1005:$AS$1005,1,MATCH(COLUMNS($AC$1006:AQ1006),$AC$1006:$AS$1006,0))&gt;=100000), " ",IF(INDEX($AC$2:$AS$1001,MATCH(ROWS($V$2:V914),$V$2:$V$1001,0),MATCH(COLUMNS($AC$1006:AQ1006),$AC$1006:$AS$1006,0)), HYPERLINK("#",""), HYPERLINK(CONCATENATE("#Metadata!", ADDRESS(INDEX($X$2:$X$1001,MATCH(ROWS($V$2:V914),$V$2:$V$1001,0),0), INDEX($AC$1004:$AS$1004,1,MATCH(COLUMNS($AC$1006:AQ1006),$AC$1006:$AS$1006,0)))),"Fix")))</f>
        <v>0</v>
      </c>
      <c r="Q914" s="5">
        <f>IF(OR(INDEX($W$2:$W$1001,MATCH(ROWS($V$2:V914),$V$2:$V$1001,0),1)&gt;=100000,INDEX($AC$1005:$AS$1005,1,MATCH(COLUMNS($AC$1006:AR1006),$AC$1006:$AS$1006,0))&gt;=100000), " ",IF(INDEX($AC$2:$AS$1001,MATCH(ROWS($V$2:V914),$V$2:$V$1001,0),MATCH(COLUMNS($AC$1006:AR1006),$AC$1006:$AS$1006,0)), HYPERLINK("#",""), HYPERLINK(CONCATENATE("#Metadata!", ADDRESS(INDEX($X$2:$X$1001,MATCH(ROWS($V$2:V914),$V$2:$V$1001,0),0), INDEX($AC$1004:$AS$1004,1,MATCH(COLUMNS($AC$1006:AR1006),$AC$1006:$AS$1006,0)))),"Fix")))</f>
        <v>0</v>
      </c>
      <c r="R914" s="5">
        <f>IF(OR(INDEX($W$2:$W$1001,MATCH(ROWS($V$2:V914),$V$2:$V$1001,0),1)&gt;=100000,INDEX($AC$1005:$AS$1005,1,MATCH(COLUMNS($AC$1006:AS1006),$AC$1006:$AS$1006,0))&gt;=100000), " ",IF(INDEX($AC$2:$AS$1001,MATCH(ROWS($V$2:V914),$V$2:$V$1001,0),MATCH(COLUMNS($AC$1006:AS1006),$AC$1006:$AS$1006,0)), HYPERLINK("#",""), HYPERLINK(CONCATENATE("#Metadata!", ADDRESS(INDEX($X$2:$X$1001,MATCH(ROWS($V$2:V914),$V$2:$V$1001,0),0), INDEX($AC$1004:$AS$1004,1,MATCH(COLUMNS($AC$1006:AS1006),$AC$1006:$AS$1006,0)))),"Fix")))</f>
        <v>0</v>
      </c>
      <c r="V914">
        <v>0</v>
      </c>
      <c r="W914">
        <v>0</v>
      </c>
      <c r="X914">
        <v>0</v>
      </c>
      <c r="Y914">
        <f>IF(Z914,TRUE,AND(AC914:AS914))</f>
        <v>0</v>
      </c>
      <c r="Z914">
        <f>COUNTBLANK(Metadata!B914:R914)=COLUMNS(Metadata!B914:R914)</f>
        <v>0</v>
      </c>
      <c r="AA914">
        <v>0</v>
      </c>
      <c r="AC914">
        <f>AND(IF(Metadata!B914="",FALSE,TRUE),COUNTIF(Metadata!B:B, Metadata!B914) = 1,NOT(ISERROR(SUMPRODUCT(SEARCH(MID(Metadata!B914,ROW(INDIRECT("1:"&amp;LEN(Metadata!B914))), 1),"0123456789abcdefghijklmnopqrstuvwxyzABCDEFGHIJKLMNOPQRSTUVWXYZ.")))))</f>
        <v>0</v>
      </c>
      <c r="AD914">
        <f>AND(IF(Metadata!C914="",FALSE,TRUE),exact(Metadata!C914,"Host-associated"))</f>
        <v>0</v>
      </c>
      <c r="AE914">
        <f>AND(IF(Metadata!D914="",FALSE,TRUE),OR(exact(Metadata!D914,"Animal"),exact(Metadata!D914,"Fungus"),exact(Metadata!D914,"Plant")))</f>
        <v>0</v>
      </c>
      <c r="AF914">
        <f>AND(IF(Metadata!E914="",FALSE,TRUE),OR(exact(Metadata!E914,"Plant secretion"),exact(Metadata!E914,"Plant rhizosphere"),exact(Metadata!E914,"Plant surface"),exact(Metadata!E914,"Plant corpus"),exact(Metadata!E914,"Fungus surface"),exact(Metadata!E914,"Fungus corpus"),exact(Metadata!E914,"Animal surface"),exact(Metadata!E914,"Animal proximal gut"),exact(Metadata!E914,"Animal corpus"),exact(Metadata!E914,"Animal distal gut"),exact(Metadata!E914,"Animal secretion")))</f>
        <v>0</v>
      </c>
      <c r="AG914">
        <f>OR(AND(IF(Metadata!F914="",FALSE,TRUE),OR(exact(Metadata!F914,"not collected"),exact(Metadata!F914,"not provided"),exact(Metadata!F914,"restricted access"))),AND(IF(Metadata!F914="",FALSE,TRUE),OR(exact(Metadata!F914,"organism-associated habitat"),exact(Metadata!F914,"plant-associated habitat"),exact(Metadata!F914,"animal-associated habitat"),exact(Metadata!F914,"insecta-associated habitat"),exact(Metadata!F914,"mammalia-associated habitat"),exact(Metadata!F914,"human-associated habitat"),exact(Metadata!F914,"livestock-associated habitat"))))</f>
        <v>0</v>
      </c>
      <c r="AH914">
        <f>AND(IF(Metadata!G914="",FALSE,TRUE),exact(Metadata!G914,"host-associated"))</f>
        <v>0</v>
      </c>
      <c r="AI914">
        <f>OR(AND(IF(Metadata!H914="",FALSE,TRUE),OR(exact(Metadata!H914,"not collected"),exact(Metadata!H914,"not provided"))),AND(IF(Metadata!H914="",FALSE,ISNUMBER(VALUE(Metadata!H914))),Metadata!H914&gt;0))</f>
        <v>0</v>
      </c>
      <c r="AJ914">
        <f>AND(IF(Metadata!I914="",FALSE,TRUE),exact(Metadata!I914,"years"))</f>
        <v>0</v>
      </c>
      <c r="AK914">
        <f>IF(Metadata!J914="",FALSE,TRUE)</f>
        <v>0</v>
      </c>
      <c r="AL914">
        <f>OR(AND(IF(Metadata!K914="",FALSE,TRUE),OR(exact(Metadata!K914,"not collected"),exact(Metadata!K914,"not provided"))),AND(IF(Metadata!K914="",FALSE,ISNUMBER(VALUE(Metadata!K914))),Metadata!K914&gt;0))</f>
        <v>0</v>
      </c>
      <c r="AM914">
        <f>AND(IF(Metadata!L914="",FALSE,TRUE),exact(Metadata!L914,"cm"))</f>
        <v>0</v>
      </c>
      <c r="AN914">
        <f>IF(Metadata!M914="",FALSE,TRUE)</f>
        <v>0</v>
      </c>
      <c r="AO914">
        <f>OR(AND(IF(Metadata!N914="",FALSE,TRUE),OR(exact(Metadata!N914,"not applicable"),exact(Metadata!N914,"not collected"),exact(Metadata!N914,"not provided"))),AND(IF(Metadata!N914="",FALSE,IF(ISERROR(INT(Metadata!N914)),FALSE,INT(Metadata!N914)=Metadata!N914)),Metadata!N914&gt;0))</f>
        <v>0</v>
      </c>
      <c r="AP914">
        <f>OR(AND(IF(Metadata!O914="",FALSE,TRUE),OR(exact(Metadata!O914,"not collected"),exact(Metadata!O914,"not provided"))),AND(IF(Metadata!O914="",FALSE,ISNUMBER(VALUE(Metadata!O914))),Metadata!O914&gt;0))</f>
        <v>0</v>
      </c>
      <c r="AQ914">
        <f>AND(IF(Metadata!P914="",FALSE,TRUE),exact(Metadata!P914,"kg"))</f>
        <v>0</v>
      </c>
      <c r="AR914">
        <f>OR(AND(IF(Metadata!Q914="",FALSE,TRUE),OR(exact(Metadata!Q914,"not applicable"),exact(Metadata!Q914,"not collected"),exact(Metadata!Q914,"not provided"),exact(Metadata!Q914,"restricted access"))),IF(Metadata!Q914="",FALSE,IF(ISERROR(INT(Metadata!Q914)),FALSE,INT(Metadata!Q914)=Metadata!Q914)))</f>
        <v>0</v>
      </c>
      <c r="AS914">
        <f>AND(IF(Metadata!R914="",FALSE,TRUE),exact(Metadata!R914,"Not applicable"))</f>
        <v>0</v>
      </c>
    </row>
    <row r="915" spans="1:45">
      <c r="A915" s="4">
        <f>IF(B915=" "," ",HYPERLINK(CONCATENATE("#metadata!",ADDRESS(INDEX($X$2:$X$1001,MATCH(ROWS($V$2:V915),$V$2:$V$1001,0),0),2)),INDEX($AA$2:$AA$1001,MATCH(ROWS($V$2:V915),$V$2:$V$1001,0),0)))</f>
        <v>0</v>
      </c>
      <c r="B915" s="5">
        <f>IF(OR(INDEX($W$2:$W$1001,MATCH(ROWS($V$2:V915),$V$2:$V$1001,0),1)&gt;=100000,INDEX($AC$1005:$AS$1005,1,MATCH(COLUMNS($AC$1006:AC1006),$AC$1006:$AS$1006,0))&gt;=100000), " ",IF(INDEX($AC$2:$AS$1001,MATCH(ROWS($V$2:V915),$V$2:$V$1001,0),MATCH(COLUMNS($AC$1006:AC1006),$AC$1006:$AS$1006,0)), HYPERLINK("#",""), HYPERLINK(CONCATENATE("#Metadata!", ADDRESS(INDEX($X$2:$X$1001,MATCH(ROWS($V$2:V915),$V$2:$V$1001,0),0), INDEX($AC$1004:$AS$1004,1,MATCH(COLUMNS($AC$1006:AC1006),$AC$1006:$AS$1006,0)))),"Fix")))</f>
        <v>0</v>
      </c>
      <c r="C915" s="5">
        <f>IF(OR(INDEX($W$2:$W$1001,MATCH(ROWS($V$2:V915),$V$2:$V$1001,0),1)&gt;=100000,INDEX($AC$1005:$AS$1005,1,MATCH(COLUMNS($AC$1006:AD1006),$AC$1006:$AS$1006,0))&gt;=100000), " ",IF(INDEX($AC$2:$AS$1001,MATCH(ROWS($V$2:V915),$V$2:$V$1001,0),MATCH(COLUMNS($AC$1006:AD1006),$AC$1006:$AS$1006,0)), HYPERLINK("#",""), HYPERLINK(CONCATENATE("#Metadata!", ADDRESS(INDEX($X$2:$X$1001,MATCH(ROWS($V$2:V915),$V$2:$V$1001,0),0), INDEX($AC$1004:$AS$1004,1,MATCH(COLUMNS($AC$1006:AD1006),$AC$1006:$AS$1006,0)))),"Fix")))</f>
        <v>0</v>
      </c>
      <c r="D915" s="5">
        <f>IF(OR(INDEX($W$2:$W$1001,MATCH(ROWS($V$2:V915),$V$2:$V$1001,0),1)&gt;=100000,INDEX($AC$1005:$AS$1005,1,MATCH(COLUMNS($AC$1006:AE1006),$AC$1006:$AS$1006,0))&gt;=100000), " ",IF(INDEX($AC$2:$AS$1001,MATCH(ROWS($V$2:V915),$V$2:$V$1001,0),MATCH(COLUMNS($AC$1006:AE1006),$AC$1006:$AS$1006,0)), HYPERLINK("#",""), HYPERLINK(CONCATENATE("#Metadata!", ADDRESS(INDEX($X$2:$X$1001,MATCH(ROWS($V$2:V915),$V$2:$V$1001,0),0), INDEX($AC$1004:$AS$1004,1,MATCH(COLUMNS($AC$1006:AE1006),$AC$1006:$AS$1006,0)))),"Fix")))</f>
        <v>0</v>
      </c>
      <c r="E915" s="5">
        <f>IF(OR(INDEX($W$2:$W$1001,MATCH(ROWS($V$2:V915),$V$2:$V$1001,0),1)&gt;=100000,INDEX($AC$1005:$AS$1005,1,MATCH(COLUMNS($AC$1006:AF1006),$AC$1006:$AS$1006,0))&gt;=100000), " ",IF(INDEX($AC$2:$AS$1001,MATCH(ROWS($V$2:V915),$V$2:$V$1001,0),MATCH(COLUMNS($AC$1006:AF1006),$AC$1006:$AS$1006,0)), HYPERLINK("#",""), HYPERLINK(CONCATENATE("#Metadata!", ADDRESS(INDEX($X$2:$X$1001,MATCH(ROWS($V$2:V915),$V$2:$V$1001,0),0), INDEX($AC$1004:$AS$1004,1,MATCH(COLUMNS($AC$1006:AF1006),$AC$1006:$AS$1006,0)))),"Fix")))</f>
        <v>0</v>
      </c>
      <c r="F915" s="5">
        <f>IF(OR(INDEX($W$2:$W$1001,MATCH(ROWS($V$2:V915),$V$2:$V$1001,0),1)&gt;=100000,INDEX($AC$1005:$AS$1005,1,MATCH(COLUMNS($AC$1006:AG1006),$AC$1006:$AS$1006,0))&gt;=100000), " ",IF(INDEX($AC$2:$AS$1001,MATCH(ROWS($V$2:V915),$V$2:$V$1001,0),MATCH(COLUMNS($AC$1006:AG1006),$AC$1006:$AS$1006,0)), HYPERLINK("#",""), HYPERLINK(CONCATENATE("#Metadata!", ADDRESS(INDEX($X$2:$X$1001,MATCH(ROWS($V$2:V915),$V$2:$V$1001,0),0), INDEX($AC$1004:$AS$1004,1,MATCH(COLUMNS($AC$1006:AG1006),$AC$1006:$AS$1006,0)))),"Fix")))</f>
        <v>0</v>
      </c>
      <c r="G915" s="5">
        <f>IF(OR(INDEX($W$2:$W$1001,MATCH(ROWS($V$2:V915),$V$2:$V$1001,0),1)&gt;=100000,INDEX($AC$1005:$AS$1005,1,MATCH(COLUMNS($AC$1006:AH1006),$AC$1006:$AS$1006,0))&gt;=100000), " ",IF(INDEX($AC$2:$AS$1001,MATCH(ROWS($V$2:V915),$V$2:$V$1001,0),MATCH(COLUMNS($AC$1006:AH1006),$AC$1006:$AS$1006,0)), HYPERLINK("#",""), HYPERLINK(CONCATENATE("#Metadata!", ADDRESS(INDEX($X$2:$X$1001,MATCH(ROWS($V$2:V915),$V$2:$V$1001,0),0), INDEX($AC$1004:$AS$1004,1,MATCH(COLUMNS($AC$1006:AH1006),$AC$1006:$AS$1006,0)))),"Fix")))</f>
        <v>0</v>
      </c>
      <c r="H915" s="5">
        <f>IF(OR(INDEX($W$2:$W$1001,MATCH(ROWS($V$2:V915),$V$2:$V$1001,0),1)&gt;=100000,INDEX($AC$1005:$AS$1005,1,MATCH(COLUMNS($AC$1006:AI1006),$AC$1006:$AS$1006,0))&gt;=100000), " ",IF(INDEX($AC$2:$AS$1001,MATCH(ROWS($V$2:V915),$V$2:$V$1001,0),MATCH(COLUMNS($AC$1006:AI1006),$AC$1006:$AS$1006,0)), HYPERLINK("#",""), HYPERLINK(CONCATENATE("#Metadata!", ADDRESS(INDEX($X$2:$X$1001,MATCH(ROWS($V$2:V915),$V$2:$V$1001,0),0), INDEX($AC$1004:$AS$1004,1,MATCH(COLUMNS($AC$1006:AI1006),$AC$1006:$AS$1006,0)))),"Fix")))</f>
        <v>0</v>
      </c>
      <c r="I915" s="5">
        <f>IF(OR(INDEX($W$2:$W$1001,MATCH(ROWS($V$2:V915),$V$2:$V$1001,0),1)&gt;=100000,INDEX($AC$1005:$AS$1005,1,MATCH(COLUMNS($AC$1006:AJ1006),$AC$1006:$AS$1006,0))&gt;=100000), " ",IF(INDEX($AC$2:$AS$1001,MATCH(ROWS($V$2:V915),$V$2:$V$1001,0),MATCH(COLUMNS($AC$1006:AJ1006),$AC$1006:$AS$1006,0)), HYPERLINK("#",""), HYPERLINK(CONCATENATE("#Metadata!", ADDRESS(INDEX($X$2:$X$1001,MATCH(ROWS($V$2:V915),$V$2:$V$1001,0),0), INDEX($AC$1004:$AS$1004,1,MATCH(COLUMNS($AC$1006:AJ1006),$AC$1006:$AS$1006,0)))),"Fix")))</f>
        <v>0</v>
      </c>
      <c r="J915" s="5">
        <f>IF(OR(INDEX($W$2:$W$1001,MATCH(ROWS($V$2:V915),$V$2:$V$1001,0),1)&gt;=100000,INDEX($AC$1005:$AS$1005,1,MATCH(COLUMNS($AC$1006:AK1006),$AC$1006:$AS$1006,0))&gt;=100000), " ",IF(INDEX($AC$2:$AS$1001,MATCH(ROWS($V$2:V915),$V$2:$V$1001,0),MATCH(COLUMNS($AC$1006:AK1006),$AC$1006:$AS$1006,0)), HYPERLINK("#",""), HYPERLINK(CONCATENATE("#Metadata!", ADDRESS(INDEX($X$2:$X$1001,MATCH(ROWS($V$2:V915),$V$2:$V$1001,0),0), INDEX($AC$1004:$AS$1004,1,MATCH(COLUMNS($AC$1006:AK1006),$AC$1006:$AS$1006,0)))),"Fix")))</f>
        <v>0</v>
      </c>
      <c r="K915" s="5">
        <f>IF(OR(INDEX($W$2:$W$1001,MATCH(ROWS($V$2:V915),$V$2:$V$1001,0),1)&gt;=100000,INDEX($AC$1005:$AS$1005,1,MATCH(COLUMNS($AC$1006:AL1006),$AC$1006:$AS$1006,0))&gt;=100000), " ",IF(INDEX($AC$2:$AS$1001,MATCH(ROWS($V$2:V915),$V$2:$V$1001,0),MATCH(COLUMNS($AC$1006:AL1006),$AC$1006:$AS$1006,0)), HYPERLINK("#",""), HYPERLINK(CONCATENATE("#Metadata!", ADDRESS(INDEX($X$2:$X$1001,MATCH(ROWS($V$2:V915),$V$2:$V$1001,0),0), INDEX($AC$1004:$AS$1004,1,MATCH(COLUMNS($AC$1006:AL1006),$AC$1006:$AS$1006,0)))),"Fix")))</f>
        <v>0</v>
      </c>
      <c r="L915" s="5">
        <f>IF(OR(INDEX($W$2:$W$1001,MATCH(ROWS($V$2:V915),$V$2:$V$1001,0),1)&gt;=100000,INDEX($AC$1005:$AS$1005,1,MATCH(COLUMNS($AC$1006:AM1006),$AC$1006:$AS$1006,0))&gt;=100000), " ",IF(INDEX($AC$2:$AS$1001,MATCH(ROWS($V$2:V915),$V$2:$V$1001,0),MATCH(COLUMNS($AC$1006:AM1006),$AC$1006:$AS$1006,0)), HYPERLINK("#",""), HYPERLINK(CONCATENATE("#Metadata!", ADDRESS(INDEX($X$2:$X$1001,MATCH(ROWS($V$2:V915),$V$2:$V$1001,0),0), INDEX($AC$1004:$AS$1004,1,MATCH(COLUMNS($AC$1006:AM1006),$AC$1006:$AS$1006,0)))),"Fix")))</f>
        <v>0</v>
      </c>
      <c r="M915" s="5">
        <f>IF(OR(INDEX($W$2:$W$1001,MATCH(ROWS($V$2:V915),$V$2:$V$1001,0),1)&gt;=100000,INDEX($AC$1005:$AS$1005,1,MATCH(COLUMNS($AC$1006:AN1006),$AC$1006:$AS$1006,0))&gt;=100000), " ",IF(INDEX($AC$2:$AS$1001,MATCH(ROWS($V$2:V915),$V$2:$V$1001,0),MATCH(COLUMNS($AC$1006:AN1006),$AC$1006:$AS$1006,0)), HYPERLINK("#",""), HYPERLINK(CONCATENATE("#Metadata!", ADDRESS(INDEX($X$2:$X$1001,MATCH(ROWS($V$2:V915),$V$2:$V$1001,0),0), INDEX($AC$1004:$AS$1004,1,MATCH(COLUMNS($AC$1006:AN1006),$AC$1006:$AS$1006,0)))),"Fix")))</f>
        <v>0</v>
      </c>
      <c r="N915" s="5">
        <f>IF(OR(INDEX($W$2:$W$1001,MATCH(ROWS($V$2:V915),$V$2:$V$1001,0),1)&gt;=100000,INDEX($AC$1005:$AS$1005,1,MATCH(COLUMNS($AC$1006:AO1006),$AC$1006:$AS$1006,0))&gt;=100000), " ",IF(INDEX($AC$2:$AS$1001,MATCH(ROWS($V$2:V915),$V$2:$V$1001,0),MATCH(COLUMNS($AC$1006:AO1006),$AC$1006:$AS$1006,0)), HYPERLINK("#",""), HYPERLINK(CONCATENATE("#Metadata!", ADDRESS(INDEX($X$2:$X$1001,MATCH(ROWS($V$2:V915),$V$2:$V$1001,0),0), INDEX($AC$1004:$AS$1004,1,MATCH(COLUMNS($AC$1006:AO1006),$AC$1006:$AS$1006,0)))),"Fix")))</f>
        <v>0</v>
      </c>
      <c r="O915" s="5">
        <f>IF(OR(INDEX($W$2:$W$1001,MATCH(ROWS($V$2:V915),$V$2:$V$1001,0),1)&gt;=100000,INDEX($AC$1005:$AS$1005,1,MATCH(COLUMNS($AC$1006:AP1006),$AC$1006:$AS$1006,0))&gt;=100000), " ",IF(INDEX($AC$2:$AS$1001,MATCH(ROWS($V$2:V915),$V$2:$V$1001,0),MATCH(COLUMNS($AC$1006:AP1006),$AC$1006:$AS$1006,0)), HYPERLINK("#",""), HYPERLINK(CONCATENATE("#Metadata!", ADDRESS(INDEX($X$2:$X$1001,MATCH(ROWS($V$2:V915),$V$2:$V$1001,0),0), INDEX($AC$1004:$AS$1004,1,MATCH(COLUMNS($AC$1006:AP1006),$AC$1006:$AS$1006,0)))),"Fix")))</f>
        <v>0</v>
      </c>
      <c r="P915" s="5">
        <f>IF(OR(INDEX($W$2:$W$1001,MATCH(ROWS($V$2:V915),$V$2:$V$1001,0),1)&gt;=100000,INDEX($AC$1005:$AS$1005,1,MATCH(COLUMNS($AC$1006:AQ1006),$AC$1006:$AS$1006,0))&gt;=100000), " ",IF(INDEX($AC$2:$AS$1001,MATCH(ROWS($V$2:V915),$V$2:$V$1001,0),MATCH(COLUMNS($AC$1006:AQ1006),$AC$1006:$AS$1006,0)), HYPERLINK("#",""), HYPERLINK(CONCATENATE("#Metadata!", ADDRESS(INDEX($X$2:$X$1001,MATCH(ROWS($V$2:V915),$V$2:$V$1001,0),0), INDEX($AC$1004:$AS$1004,1,MATCH(COLUMNS($AC$1006:AQ1006),$AC$1006:$AS$1006,0)))),"Fix")))</f>
        <v>0</v>
      </c>
      <c r="Q915" s="5">
        <f>IF(OR(INDEX($W$2:$W$1001,MATCH(ROWS($V$2:V915),$V$2:$V$1001,0),1)&gt;=100000,INDEX($AC$1005:$AS$1005,1,MATCH(COLUMNS($AC$1006:AR1006),$AC$1006:$AS$1006,0))&gt;=100000), " ",IF(INDEX($AC$2:$AS$1001,MATCH(ROWS($V$2:V915),$V$2:$V$1001,0),MATCH(COLUMNS($AC$1006:AR1006),$AC$1006:$AS$1006,0)), HYPERLINK("#",""), HYPERLINK(CONCATENATE("#Metadata!", ADDRESS(INDEX($X$2:$X$1001,MATCH(ROWS($V$2:V915),$V$2:$V$1001,0),0), INDEX($AC$1004:$AS$1004,1,MATCH(COLUMNS($AC$1006:AR1006),$AC$1006:$AS$1006,0)))),"Fix")))</f>
        <v>0</v>
      </c>
      <c r="R915" s="5">
        <f>IF(OR(INDEX($W$2:$W$1001,MATCH(ROWS($V$2:V915),$V$2:$V$1001,0),1)&gt;=100000,INDEX($AC$1005:$AS$1005,1,MATCH(COLUMNS($AC$1006:AS1006),$AC$1006:$AS$1006,0))&gt;=100000), " ",IF(INDEX($AC$2:$AS$1001,MATCH(ROWS($V$2:V915),$V$2:$V$1001,0),MATCH(COLUMNS($AC$1006:AS1006),$AC$1006:$AS$1006,0)), HYPERLINK("#",""), HYPERLINK(CONCATENATE("#Metadata!", ADDRESS(INDEX($X$2:$X$1001,MATCH(ROWS($V$2:V915),$V$2:$V$1001,0),0), INDEX($AC$1004:$AS$1004,1,MATCH(COLUMNS($AC$1006:AS1006),$AC$1006:$AS$1006,0)))),"Fix")))</f>
        <v>0</v>
      </c>
      <c r="V915">
        <v>0</v>
      </c>
      <c r="W915">
        <v>0</v>
      </c>
      <c r="X915">
        <v>0</v>
      </c>
      <c r="Y915">
        <f>IF(Z915,TRUE,AND(AC915:AS915))</f>
        <v>0</v>
      </c>
      <c r="Z915">
        <f>COUNTBLANK(Metadata!B915:R915)=COLUMNS(Metadata!B915:R915)</f>
        <v>0</v>
      </c>
      <c r="AA915">
        <v>0</v>
      </c>
      <c r="AC915">
        <f>AND(IF(Metadata!B915="",FALSE,TRUE),COUNTIF(Metadata!B:B, Metadata!B915) = 1,NOT(ISERROR(SUMPRODUCT(SEARCH(MID(Metadata!B915,ROW(INDIRECT("1:"&amp;LEN(Metadata!B915))), 1),"0123456789abcdefghijklmnopqrstuvwxyzABCDEFGHIJKLMNOPQRSTUVWXYZ.")))))</f>
        <v>0</v>
      </c>
      <c r="AD915">
        <f>AND(IF(Metadata!C915="",FALSE,TRUE),exact(Metadata!C915,"Host-associated"))</f>
        <v>0</v>
      </c>
      <c r="AE915">
        <f>AND(IF(Metadata!D915="",FALSE,TRUE),OR(exact(Metadata!D915,"Animal"),exact(Metadata!D915,"Fungus"),exact(Metadata!D915,"Plant")))</f>
        <v>0</v>
      </c>
      <c r="AF915">
        <f>AND(IF(Metadata!E915="",FALSE,TRUE),OR(exact(Metadata!E915,"Plant secretion"),exact(Metadata!E915,"Plant rhizosphere"),exact(Metadata!E915,"Plant surface"),exact(Metadata!E915,"Plant corpus"),exact(Metadata!E915,"Fungus surface"),exact(Metadata!E915,"Fungus corpus"),exact(Metadata!E915,"Animal surface"),exact(Metadata!E915,"Animal proximal gut"),exact(Metadata!E915,"Animal corpus"),exact(Metadata!E915,"Animal distal gut"),exact(Metadata!E915,"Animal secretion")))</f>
        <v>0</v>
      </c>
      <c r="AG915">
        <f>OR(AND(IF(Metadata!F915="",FALSE,TRUE),OR(exact(Metadata!F915,"not collected"),exact(Metadata!F915,"not provided"),exact(Metadata!F915,"restricted access"))),AND(IF(Metadata!F915="",FALSE,TRUE),OR(exact(Metadata!F915,"organism-associated habitat"),exact(Metadata!F915,"plant-associated habitat"),exact(Metadata!F915,"animal-associated habitat"),exact(Metadata!F915,"insecta-associated habitat"),exact(Metadata!F915,"mammalia-associated habitat"),exact(Metadata!F915,"human-associated habitat"),exact(Metadata!F915,"livestock-associated habitat"))))</f>
        <v>0</v>
      </c>
      <c r="AH915">
        <f>AND(IF(Metadata!G915="",FALSE,TRUE),exact(Metadata!G915,"host-associated"))</f>
        <v>0</v>
      </c>
      <c r="AI915">
        <f>OR(AND(IF(Metadata!H915="",FALSE,TRUE),OR(exact(Metadata!H915,"not collected"),exact(Metadata!H915,"not provided"))),AND(IF(Metadata!H915="",FALSE,ISNUMBER(VALUE(Metadata!H915))),Metadata!H915&gt;0))</f>
        <v>0</v>
      </c>
      <c r="AJ915">
        <f>AND(IF(Metadata!I915="",FALSE,TRUE),exact(Metadata!I915,"years"))</f>
        <v>0</v>
      </c>
      <c r="AK915">
        <f>IF(Metadata!J915="",FALSE,TRUE)</f>
        <v>0</v>
      </c>
      <c r="AL915">
        <f>OR(AND(IF(Metadata!K915="",FALSE,TRUE),OR(exact(Metadata!K915,"not collected"),exact(Metadata!K915,"not provided"))),AND(IF(Metadata!K915="",FALSE,ISNUMBER(VALUE(Metadata!K915))),Metadata!K915&gt;0))</f>
        <v>0</v>
      </c>
      <c r="AM915">
        <f>AND(IF(Metadata!L915="",FALSE,TRUE),exact(Metadata!L915,"cm"))</f>
        <v>0</v>
      </c>
      <c r="AN915">
        <f>IF(Metadata!M915="",FALSE,TRUE)</f>
        <v>0</v>
      </c>
      <c r="AO915">
        <f>OR(AND(IF(Metadata!N915="",FALSE,TRUE),OR(exact(Metadata!N915,"not applicable"),exact(Metadata!N915,"not collected"),exact(Metadata!N915,"not provided"))),AND(IF(Metadata!N915="",FALSE,IF(ISERROR(INT(Metadata!N915)),FALSE,INT(Metadata!N915)=Metadata!N915)),Metadata!N915&gt;0))</f>
        <v>0</v>
      </c>
      <c r="AP915">
        <f>OR(AND(IF(Metadata!O915="",FALSE,TRUE),OR(exact(Metadata!O915,"not collected"),exact(Metadata!O915,"not provided"))),AND(IF(Metadata!O915="",FALSE,ISNUMBER(VALUE(Metadata!O915))),Metadata!O915&gt;0))</f>
        <v>0</v>
      </c>
      <c r="AQ915">
        <f>AND(IF(Metadata!P915="",FALSE,TRUE),exact(Metadata!P915,"kg"))</f>
        <v>0</v>
      </c>
      <c r="AR915">
        <f>OR(AND(IF(Metadata!Q915="",FALSE,TRUE),OR(exact(Metadata!Q915,"not applicable"),exact(Metadata!Q915,"not collected"),exact(Metadata!Q915,"not provided"),exact(Metadata!Q915,"restricted access"))),IF(Metadata!Q915="",FALSE,IF(ISERROR(INT(Metadata!Q915)),FALSE,INT(Metadata!Q915)=Metadata!Q915)))</f>
        <v>0</v>
      </c>
      <c r="AS915">
        <f>AND(IF(Metadata!R915="",FALSE,TRUE),exact(Metadata!R915,"Not applicable"))</f>
        <v>0</v>
      </c>
    </row>
    <row r="916" spans="1:45">
      <c r="A916" s="4">
        <f>IF(B916=" "," ",HYPERLINK(CONCATENATE("#metadata!",ADDRESS(INDEX($X$2:$X$1001,MATCH(ROWS($V$2:V916),$V$2:$V$1001,0),0),2)),INDEX($AA$2:$AA$1001,MATCH(ROWS($V$2:V916),$V$2:$V$1001,0),0)))</f>
        <v>0</v>
      </c>
      <c r="B916" s="5">
        <f>IF(OR(INDEX($W$2:$W$1001,MATCH(ROWS($V$2:V916),$V$2:$V$1001,0),1)&gt;=100000,INDEX($AC$1005:$AS$1005,1,MATCH(COLUMNS($AC$1006:AC1006),$AC$1006:$AS$1006,0))&gt;=100000), " ",IF(INDEX($AC$2:$AS$1001,MATCH(ROWS($V$2:V916),$V$2:$V$1001,0),MATCH(COLUMNS($AC$1006:AC1006),$AC$1006:$AS$1006,0)), HYPERLINK("#",""), HYPERLINK(CONCATENATE("#Metadata!", ADDRESS(INDEX($X$2:$X$1001,MATCH(ROWS($V$2:V916),$V$2:$V$1001,0),0), INDEX($AC$1004:$AS$1004,1,MATCH(COLUMNS($AC$1006:AC1006),$AC$1006:$AS$1006,0)))),"Fix")))</f>
        <v>0</v>
      </c>
      <c r="C916" s="5">
        <f>IF(OR(INDEX($W$2:$W$1001,MATCH(ROWS($V$2:V916),$V$2:$V$1001,0),1)&gt;=100000,INDEX($AC$1005:$AS$1005,1,MATCH(COLUMNS($AC$1006:AD1006),$AC$1006:$AS$1006,0))&gt;=100000), " ",IF(INDEX($AC$2:$AS$1001,MATCH(ROWS($V$2:V916),$V$2:$V$1001,0),MATCH(COLUMNS($AC$1006:AD1006),$AC$1006:$AS$1006,0)), HYPERLINK("#",""), HYPERLINK(CONCATENATE("#Metadata!", ADDRESS(INDEX($X$2:$X$1001,MATCH(ROWS($V$2:V916),$V$2:$V$1001,0),0), INDEX($AC$1004:$AS$1004,1,MATCH(COLUMNS($AC$1006:AD1006),$AC$1006:$AS$1006,0)))),"Fix")))</f>
        <v>0</v>
      </c>
      <c r="D916" s="5">
        <f>IF(OR(INDEX($W$2:$W$1001,MATCH(ROWS($V$2:V916),$V$2:$V$1001,0),1)&gt;=100000,INDEX($AC$1005:$AS$1005,1,MATCH(COLUMNS($AC$1006:AE1006),$AC$1006:$AS$1006,0))&gt;=100000), " ",IF(INDEX($AC$2:$AS$1001,MATCH(ROWS($V$2:V916),$V$2:$V$1001,0),MATCH(COLUMNS($AC$1006:AE1006),$AC$1006:$AS$1006,0)), HYPERLINK("#",""), HYPERLINK(CONCATENATE("#Metadata!", ADDRESS(INDEX($X$2:$X$1001,MATCH(ROWS($V$2:V916),$V$2:$V$1001,0),0), INDEX($AC$1004:$AS$1004,1,MATCH(COLUMNS($AC$1006:AE1006),$AC$1006:$AS$1006,0)))),"Fix")))</f>
        <v>0</v>
      </c>
      <c r="E916" s="5">
        <f>IF(OR(INDEX($W$2:$W$1001,MATCH(ROWS($V$2:V916),$V$2:$V$1001,0),1)&gt;=100000,INDEX($AC$1005:$AS$1005,1,MATCH(COLUMNS($AC$1006:AF1006),$AC$1006:$AS$1006,0))&gt;=100000), " ",IF(INDEX($AC$2:$AS$1001,MATCH(ROWS($V$2:V916),$V$2:$V$1001,0),MATCH(COLUMNS($AC$1006:AF1006),$AC$1006:$AS$1006,0)), HYPERLINK("#",""), HYPERLINK(CONCATENATE("#Metadata!", ADDRESS(INDEX($X$2:$X$1001,MATCH(ROWS($V$2:V916),$V$2:$V$1001,0),0), INDEX($AC$1004:$AS$1004,1,MATCH(COLUMNS($AC$1006:AF1006),$AC$1006:$AS$1006,0)))),"Fix")))</f>
        <v>0</v>
      </c>
      <c r="F916" s="5">
        <f>IF(OR(INDEX($W$2:$W$1001,MATCH(ROWS($V$2:V916),$V$2:$V$1001,0),1)&gt;=100000,INDEX($AC$1005:$AS$1005,1,MATCH(COLUMNS($AC$1006:AG1006),$AC$1006:$AS$1006,0))&gt;=100000), " ",IF(INDEX($AC$2:$AS$1001,MATCH(ROWS($V$2:V916),$V$2:$V$1001,0),MATCH(COLUMNS($AC$1006:AG1006),$AC$1006:$AS$1006,0)), HYPERLINK("#",""), HYPERLINK(CONCATENATE("#Metadata!", ADDRESS(INDEX($X$2:$X$1001,MATCH(ROWS($V$2:V916),$V$2:$V$1001,0),0), INDEX($AC$1004:$AS$1004,1,MATCH(COLUMNS($AC$1006:AG1006),$AC$1006:$AS$1006,0)))),"Fix")))</f>
        <v>0</v>
      </c>
      <c r="G916" s="5">
        <f>IF(OR(INDEX($W$2:$W$1001,MATCH(ROWS($V$2:V916),$V$2:$V$1001,0),1)&gt;=100000,INDEX($AC$1005:$AS$1005,1,MATCH(COLUMNS($AC$1006:AH1006),$AC$1006:$AS$1006,0))&gt;=100000), " ",IF(INDEX($AC$2:$AS$1001,MATCH(ROWS($V$2:V916),$V$2:$V$1001,0),MATCH(COLUMNS($AC$1006:AH1006),$AC$1006:$AS$1006,0)), HYPERLINK("#",""), HYPERLINK(CONCATENATE("#Metadata!", ADDRESS(INDEX($X$2:$X$1001,MATCH(ROWS($V$2:V916),$V$2:$V$1001,0),0), INDEX($AC$1004:$AS$1004,1,MATCH(COLUMNS($AC$1006:AH1006),$AC$1006:$AS$1006,0)))),"Fix")))</f>
        <v>0</v>
      </c>
      <c r="H916" s="5">
        <f>IF(OR(INDEX($W$2:$W$1001,MATCH(ROWS($V$2:V916),$V$2:$V$1001,0),1)&gt;=100000,INDEX($AC$1005:$AS$1005,1,MATCH(COLUMNS($AC$1006:AI1006),$AC$1006:$AS$1006,0))&gt;=100000), " ",IF(INDEX($AC$2:$AS$1001,MATCH(ROWS($V$2:V916),$V$2:$V$1001,0),MATCH(COLUMNS($AC$1006:AI1006),$AC$1006:$AS$1006,0)), HYPERLINK("#",""), HYPERLINK(CONCATENATE("#Metadata!", ADDRESS(INDEX($X$2:$X$1001,MATCH(ROWS($V$2:V916),$V$2:$V$1001,0),0), INDEX($AC$1004:$AS$1004,1,MATCH(COLUMNS($AC$1006:AI1006),$AC$1006:$AS$1006,0)))),"Fix")))</f>
        <v>0</v>
      </c>
      <c r="I916" s="5">
        <f>IF(OR(INDEX($W$2:$W$1001,MATCH(ROWS($V$2:V916),$V$2:$V$1001,0),1)&gt;=100000,INDEX($AC$1005:$AS$1005,1,MATCH(COLUMNS($AC$1006:AJ1006),$AC$1006:$AS$1006,0))&gt;=100000), " ",IF(INDEX($AC$2:$AS$1001,MATCH(ROWS($V$2:V916),$V$2:$V$1001,0),MATCH(COLUMNS($AC$1006:AJ1006),$AC$1006:$AS$1006,0)), HYPERLINK("#",""), HYPERLINK(CONCATENATE("#Metadata!", ADDRESS(INDEX($X$2:$X$1001,MATCH(ROWS($V$2:V916),$V$2:$V$1001,0),0), INDEX($AC$1004:$AS$1004,1,MATCH(COLUMNS($AC$1006:AJ1006),$AC$1006:$AS$1006,0)))),"Fix")))</f>
        <v>0</v>
      </c>
      <c r="J916" s="5">
        <f>IF(OR(INDEX($W$2:$W$1001,MATCH(ROWS($V$2:V916),$V$2:$V$1001,0),1)&gt;=100000,INDEX($AC$1005:$AS$1005,1,MATCH(COLUMNS($AC$1006:AK1006),$AC$1006:$AS$1006,0))&gt;=100000), " ",IF(INDEX($AC$2:$AS$1001,MATCH(ROWS($V$2:V916),$V$2:$V$1001,0),MATCH(COLUMNS($AC$1006:AK1006),$AC$1006:$AS$1006,0)), HYPERLINK("#",""), HYPERLINK(CONCATENATE("#Metadata!", ADDRESS(INDEX($X$2:$X$1001,MATCH(ROWS($V$2:V916),$V$2:$V$1001,0),0), INDEX($AC$1004:$AS$1004,1,MATCH(COLUMNS($AC$1006:AK1006),$AC$1006:$AS$1006,0)))),"Fix")))</f>
        <v>0</v>
      </c>
      <c r="K916" s="5">
        <f>IF(OR(INDEX($W$2:$W$1001,MATCH(ROWS($V$2:V916),$V$2:$V$1001,0),1)&gt;=100000,INDEX($AC$1005:$AS$1005,1,MATCH(COLUMNS($AC$1006:AL1006),$AC$1006:$AS$1006,0))&gt;=100000), " ",IF(INDEX($AC$2:$AS$1001,MATCH(ROWS($V$2:V916),$V$2:$V$1001,0),MATCH(COLUMNS($AC$1006:AL1006),$AC$1006:$AS$1006,0)), HYPERLINK("#",""), HYPERLINK(CONCATENATE("#Metadata!", ADDRESS(INDEX($X$2:$X$1001,MATCH(ROWS($V$2:V916),$V$2:$V$1001,0),0), INDEX($AC$1004:$AS$1004,1,MATCH(COLUMNS($AC$1006:AL1006),$AC$1006:$AS$1006,0)))),"Fix")))</f>
        <v>0</v>
      </c>
      <c r="L916" s="5">
        <f>IF(OR(INDEX($W$2:$W$1001,MATCH(ROWS($V$2:V916),$V$2:$V$1001,0),1)&gt;=100000,INDEX($AC$1005:$AS$1005,1,MATCH(COLUMNS($AC$1006:AM1006),$AC$1006:$AS$1006,0))&gt;=100000), " ",IF(INDEX($AC$2:$AS$1001,MATCH(ROWS($V$2:V916),$V$2:$V$1001,0),MATCH(COLUMNS($AC$1006:AM1006),$AC$1006:$AS$1006,0)), HYPERLINK("#",""), HYPERLINK(CONCATENATE("#Metadata!", ADDRESS(INDEX($X$2:$X$1001,MATCH(ROWS($V$2:V916),$V$2:$V$1001,0),0), INDEX($AC$1004:$AS$1004,1,MATCH(COLUMNS($AC$1006:AM1006),$AC$1006:$AS$1006,0)))),"Fix")))</f>
        <v>0</v>
      </c>
      <c r="M916" s="5">
        <f>IF(OR(INDEX($W$2:$W$1001,MATCH(ROWS($V$2:V916),$V$2:$V$1001,0),1)&gt;=100000,INDEX($AC$1005:$AS$1005,1,MATCH(COLUMNS($AC$1006:AN1006),$AC$1006:$AS$1006,0))&gt;=100000), " ",IF(INDEX($AC$2:$AS$1001,MATCH(ROWS($V$2:V916),$V$2:$V$1001,0),MATCH(COLUMNS($AC$1006:AN1006),$AC$1006:$AS$1006,0)), HYPERLINK("#",""), HYPERLINK(CONCATENATE("#Metadata!", ADDRESS(INDEX($X$2:$X$1001,MATCH(ROWS($V$2:V916),$V$2:$V$1001,0),0), INDEX($AC$1004:$AS$1004,1,MATCH(COLUMNS($AC$1006:AN1006),$AC$1006:$AS$1006,0)))),"Fix")))</f>
        <v>0</v>
      </c>
      <c r="N916" s="5">
        <f>IF(OR(INDEX($W$2:$W$1001,MATCH(ROWS($V$2:V916),$V$2:$V$1001,0),1)&gt;=100000,INDEX($AC$1005:$AS$1005,1,MATCH(COLUMNS($AC$1006:AO1006),$AC$1006:$AS$1006,0))&gt;=100000), " ",IF(INDEX($AC$2:$AS$1001,MATCH(ROWS($V$2:V916),$V$2:$V$1001,0),MATCH(COLUMNS($AC$1006:AO1006),$AC$1006:$AS$1006,0)), HYPERLINK("#",""), HYPERLINK(CONCATENATE("#Metadata!", ADDRESS(INDEX($X$2:$X$1001,MATCH(ROWS($V$2:V916),$V$2:$V$1001,0),0), INDEX($AC$1004:$AS$1004,1,MATCH(COLUMNS($AC$1006:AO1006),$AC$1006:$AS$1006,0)))),"Fix")))</f>
        <v>0</v>
      </c>
      <c r="O916" s="5">
        <f>IF(OR(INDEX($W$2:$W$1001,MATCH(ROWS($V$2:V916),$V$2:$V$1001,0),1)&gt;=100000,INDEX($AC$1005:$AS$1005,1,MATCH(COLUMNS($AC$1006:AP1006),$AC$1006:$AS$1006,0))&gt;=100000), " ",IF(INDEX($AC$2:$AS$1001,MATCH(ROWS($V$2:V916),$V$2:$V$1001,0),MATCH(COLUMNS($AC$1006:AP1006),$AC$1006:$AS$1006,0)), HYPERLINK("#",""), HYPERLINK(CONCATENATE("#Metadata!", ADDRESS(INDEX($X$2:$X$1001,MATCH(ROWS($V$2:V916),$V$2:$V$1001,0),0), INDEX($AC$1004:$AS$1004,1,MATCH(COLUMNS($AC$1006:AP1006),$AC$1006:$AS$1006,0)))),"Fix")))</f>
        <v>0</v>
      </c>
      <c r="P916" s="5">
        <f>IF(OR(INDEX($W$2:$W$1001,MATCH(ROWS($V$2:V916),$V$2:$V$1001,0),1)&gt;=100000,INDEX($AC$1005:$AS$1005,1,MATCH(COLUMNS($AC$1006:AQ1006),$AC$1006:$AS$1006,0))&gt;=100000), " ",IF(INDEX($AC$2:$AS$1001,MATCH(ROWS($V$2:V916),$V$2:$V$1001,0),MATCH(COLUMNS($AC$1006:AQ1006),$AC$1006:$AS$1006,0)), HYPERLINK("#",""), HYPERLINK(CONCATENATE("#Metadata!", ADDRESS(INDEX($X$2:$X$1001,MATCH(ROWS($V$2:V916),$V$2:$V$1001,0),0), INDEX($AC$1004:$AS$1004,1,MATCH(COLUMNS($AC$1006:AQ1006),$AC$1006:$AS$1006,0)))),"Fix")))</f>
        <v>0</v>
      </c>
      <c r="Q916" s="5">
        <f>IF(OR(INDEX($W$2:$W$1001,MATCH(ROWS($V$2:V916),$V$2:$V$1001,0),1)&gt;=100000,INDEX($AC$1005:$AS$1005,1,MATCH(COLUMNS($AC$1006:AR1006),$AC$1006:$AS$1006,0))&gt;=100000), " ",IF(INDEX($AC$2:$AS$1001,MATCH(ROWS($V$2:V916),$V$2:$V$1001,0),MATCH(COLUMNS($AC$1006:AR1006),$AC$1006:$AS$1006,0)), HYPERLINK("#",""), HYPERLINK(CONCATENATE("#Metadata!", ADDRESS(INDEX($X$2:$X$1001,MATCH(ROWS($V$2:V916),$V$2:$V$1001,0),0), INDEX($AC$1004:$AS$1004,1,MATCH(COLUMNS($AC$1006:AR1006),$AC$1006:$AS$1006,0)))),"Fix")))</f>
        <v>0</v>
      </c>
      <c r="R916" s="5">
        <f>IF(OR(INDEX($W$2:$W$1001,MATCH(ROWS($V$2:V916),$V$2:$V$1001,0),1)&gt;=100000,INDEX($AC$1005:$AS$1005,1,MATCH(COLUMNS($AC$1006:AS1006),$AC$1006:$AS$1006,0))&gt;=100000), " ",IF(INDEX($AC$2:$AS$1001,MATCH(ROWS($V$2:V916),$V$2:$V$1001,0),MATCH(COLUMNS($AC$1006:AS1006),$AC$1006:$AS$1006,0)), HYPERLINK("#",""), HYPERLINK(CONCATENATE("#Metadata!", ADDRESS(INDEX($X$2:$X$1001,MATCH(ROWS($V$2:V916),$V$2:$V$1001,0),0), INDEX($AC$1004:$AS$1004,1,MATCH(COLUMNS($AC$1006:AS1006),$AC$1006:$AS$1006,0)))),"Fix")))</f>
        <v>0</v>
      </c>
      <c r="V916">
        <v>0</v>
      </c>
      <c r="W916">
        <v>0</v>
      </c>
      <c r="X916">
        <v>0</v>
      </c>
      <c r="Y916">
        <f>IF(Z916,TRUE,AND(AC916:AS916))</f>
        <v>0</v>
      </c>
      <c r="Z916">
        <f>COUNTBLANK(Metadata!B916:R916)=COLUMNS(Metadata!B916:R916)</f>
        <v>0</v>
      </c>
      <c r="AA916">
        <v>0</v>
      </c>
      <c r="AC916">
        <f>AND(IF(Metadata!B916="",FALSE,TRUE),COUNTIF(Metadata!B:B, Metadata!B916) = 1,NOT(ISERROR(SUMPRODUCT(SEARCH(MID(Metadata!B916,ROW(INDIRECT("1:"&amp;LEN(Metadata!B916))), 1),"0123456789abcdefghijklmnopqrstuvwxyzABCDEFGHIJKLMNOPQRSTUVWXYZ.")))))</f>
        <v>0</v>
      </c>
      <c r="AD916">
        <f>AND(IF(Metadata!C916="",FALSE,TRUE),exact(Metadata!C916,"Host-associated"))</f>
        <v>0</v>
      </c>
      <c r="AE916">
        <f>AND(IF(Metadata!D916="",FALSE,TRUE),OR(exact(Metadata!D916,"Animal"),exact(Metadata!D916,"Fungus"),exact(Metadata!D916,"Plant")))</f>
        <v>0</v>
      </c>
      <c r="AF916">
        <f>AND(IF(Metadata!E916="",FALSE,TRUE),OR(exact(Metadata!E916,"Plant secretion"),exact(Metadata!E916,"Plant rhizosphere"),exact(Metadata!E916,"Plant surface"),exact(Metadata!E916,"Plant corpus"),exact(Metadata!E916,"Fungus surface"),exact(Metadata!E916,"Fungus corpus"),exact(Metadata!E916,"Animal surface"),exact(Metadata!E916,"Animal proximal gut"),exact(Metadata!E916,"Animal corpus"),exact(Metadata!E916,"Animal distal gut"),exact(Metadata!E916,"Animal secretion")))</f>
        <v>0</v>
      </c>
      <c r="AG916">
        <f>OR(AND(IF(Metadata!F916="",FALSE,TRUE),OR(exact(Metadata!F916,"not collected"),exact(Metadata!F916,"not provided"),exact(Metadata!F916,"restricted access"))),AND(IF(Metadata!F916="",FALSE,TRUE),OR(exact(Metadata!F916,"organism-associated habitat"),exact(Metadata!F916,"plant-associated habitat"),exact(Metadata!F916,"animal-associated habitat"),exact(Metadata!F916,"insecta-associated habitat"),exact(Metadata!F916,"mammalia-associated habitat"),exact(Metadata!F916,"human-associated habitat"),exact(Metadata!F916,"livestock-associated habitat"))))</f>
        <v>0</v>
      </c>
      <c r="AH916">
        <f>AND(IF(Metadata!G916="",FALSE,TRUE),exact(Metadata!G916,"host-associated"))</f>
        <v>0</v>
      </c>
      <c r="AI916">
        <f>OR(AND(IF(Metadata!H916="",FALSE,TRUE),OR(exact(Metadata!H916,"not collected"),exact(Metadata!H916,"not provided"))),AND(IF(Metadata!H916="",FALSE,ISNUMBER(VALUE(Metadata!H916))),Metadata!H916&gt;0))</f>
        <v>0</v>
      </c>
      <c r="AJ916">
        <f>AND(IF(Metadata!I916="",FALSE,TRUE),exact(Metadata!I916,"years"))</f>
        <v>0</v>
      </c>
      <c r="AK916">
        <f>IF(Metadata!J916="",FALSE,TRUE)</f>
        <v>0</v>
      </c>
      <c r="AL916">
        <f>OR(AND(IF(Metadata!K916="",FALSE,TRUE),OR(exact(Metadata!K916,"not collected"),exact(Metadata!K916,"not provided"))),AND(IF(Metadata!K916="",FALSE,ISNUMBER(VALUE(Metadata!K916))),Metadata!K916&gt;0))</f>
        <v>0</v>
      </c>
      <c r="AM916">
        <f>AND(IF(Metadata!L916="",FALSE,TRUE),exact(Metadata!L916,"cm"))</f>
        <v>0</v>
      </c>
      <c r="AN916">
        <f>IF(Metadata!M916="",FALSE,TRUE)</f>
        <v>0</v>
      </c>
      <c r="AO916">
        <f>OR(AND(IF(Metadata!N916="",FALSE,TRUE),OR(exact(Metadata!N916,"not applicable"),exact(Metadata!N916,"not collected"),exact(Metadata!N916,"not provided"))),AND(IF(Metadata!N916="",FALSE,IF(ISERROR(INT(Metadata!N916)),FALSE,INT(Metadata!N916)=Metadata!N916)),Metadata!N916&gt;0))</f>
        <v>0</v>
      </c>
      <c r="AP916">
        <f>OR(AND(IF(Metadata!O916="",FALSE,TRUE),OR(exact(Metadata!O916,"not collected"),exact(Metadata!O916,"not provided"))),AND(IF(Metadata!O916="",FALSE,ISNUMBER(VALUE(Metadata!O916))),Metadata!O916&gt;0))</f>
        <v>0</v>
      </c>
      <c r="AQ916">
        <f>AND(IF(Metadata!P916="",FALSE,TRUE),exact(Metadata!P916,"kg"))</f>
        <v>0</v>
      </c>
      <c r="AR916">
        <f>OR(AND(IF(Metadata!Q916="",FALSE,TRUE),OR(exact(Metadata!Q916,"not applicable"),exact(Metadata!Q916,"not collected"),exact(Metadata!Q916,"not provided"),exact(Metadata!Q916,"restricted access"))),IF(Metadata!Q916="",FALSE,IF(ISERROR(INT(Metadata!Q916)),FALSE,INT(Metadata!Q916)=Metadata!Q916)))</f>
        <v>0</v>
      </c>
      <c r="AS916">
        <f>AND(IF(Metadata!R916="",FALSE,TRUE),exact(Metadata!R916,"Not applicable"))</f>
        <v>0</v>
      </c>
    </row>
    <row r="917" spans="1:45">
      <c r="A917" s="4">
        <f>IF(B917=" "," ",HYPERLINK(CONCATENATE("#metadata!",ADDRESS(INDEX($X$2:$X$1001,MATCH(ROWS($V$2:V917),$V$2:$V$1001,0),0),2)),INDEX($AA$2:$AA$1001,MATCH(ROWS($V$2:V917),$V$2:$V$1001,0),0)))</f>
        <v>0</v>
      </c>
      <c r="B917" s="5">
        <f>IF(OR(INDEX($W$2:$W$1001,MATCH(ROWS($V$2:V917),$V$2:$V$1001,0),1)&gt;=100000,INDEX($AC$1005:$AS$1005,1,MATCH(COLUMNS($AC$1006:AC1006),$AC$1006:$AS$1006,0))&gt;=100000), " ",IF(INDEX($AC$2:$AS$1001,MATCH(ROWS($V$2:V917),$V$2:$V$1001,0),MATCH(COLUMNS($AC$1006:AC1006),$AC$1006:$AS$1006,0)), HYPERLINK("#",""), HYPERLINK(CONCATENATE("#Metadata!", ADDRESS(INDEX($X$2:$X$1001,MATCH(ROWS($V$2:V917),$V$2:$V$1001,0),0), INDEX($AC$1004:$AS$1004,1,MATCH(COLUMNS($AC$1006:AC1006),$AC$1006:$AS$1006,0)))),"Fix")))</f>
        <v>0</v>
      </c>
      <c r="C917" s="5">
        <f>IF(OR(INDEX($W$2:$W$1001,MATCH(ROWS($V$2:V917),$V$2:$V$1001,0),1)&gt;=100000,INDEX($AC$1005:$AS$1005,1,MATCH(COLUMNS($AC$1006:AD1006),$AC$1006:$AS$1006,0))&gt;=100000), " ",IF(INDEX($AC$2:$AS$1001,MATCH(ROWS($V$2:V917),$V$2:$V$1001,0),MATCH(COLUMNS($AC$1006:AD1006),$AC$1006:$AS$1006,0)), HYPERLINK("#",""), HYPERLINK(CONCATENATE("#Metadata!", ADDRESS(INDEX($X$2:$X$1001,MATCH(ROWS($V$2:V917),$V$2:$V$1001,0),0), INDEX($AC$1004:$AS$1004,1,MATCH(COLUMNS($AC$1006:AD1006),$AC$1006:$AS$1006,0)))),"Fix")))</f>
        <v>0</v>
      </c>
      <c r="D917" s="5">
        <f>IF(OR(INDEX($W$2:$W$1001,MATCH(ROWS($V$2:V917),$V$2:$V$1001,0),1)&gt;=100000,INDEX($AC$1005:$AS$1005,1,MATCH(COLUMNS($AC$1006:AE1006),$AC$1006:$AS$1006,0))&gt;=100000), " ",IF(INDEX($AC$2:$AS$1001,MATCH(ROWS($V$2:V917),$V$2:$V$1001,0),MATCH(COLUMNS($AC$1006:AE1006),$AC$1006:$AS$1006,0)), HYPERLINK("#",""), HYPERLINK(CONCATENATE("#Metadata!", ADDRESS(INDEX($X$2:$X$1001,MATCH(ROWS($V$2:V917),$V$2:$V$1001,0),0), INDEX($AC$1004:$AS$1004,1,MATCH(COLUMNS($AC$1006:AE1006),$AC$1006:$AS$1006,0)))),"Fix")))</f>
        <v>0</v>
      </c>
      <c r="E917" s="5">
        <f>IF(OR(INDEX($W$2:$W$1001,MATCH(ROWS($V$2:V917),$V$2:$V$1001,0),1)&gt;=100000,INDEX($AC$1005:$AS$1005,1,MATCH(COLUMNS($AC$1006:AF1006),$AC$1006:$AS$1006,0))&gt;=100000), " ",IF(INDEX($AC$2:$AS$1001,MATCH(ROWS($V$2:V917),$V$2:$V$1001,0),MATCH(COLUMNS($AC$1006:AF1006),$AC$1006:$AS$1006,0)), HYPERLINK("#",""), HYPERLINK(CONCATENATE("#Metadata!", ADDRESS(INDEX($X$2:$X$1001,MATCH(ROWS($V$2:V917),$V$2:$V$1001,0),0), INDEX($AC$1004:$AS$1004,1,MATCH(COLUMNS($AC$1006:AF1006),$AC$1006:$AS$1006,0)))),"Fix")))</f>
        <v>0</v>
      </c>
      <c r="F917" s="5">
        <f>IF(OR(INDEX($W$2:$W$1001,MATCH(ROWS($V$2:V917),$V$2:$V$1001,0),1)&gt;=100000,INDEX($AC$1005:$AS$1005,1,MATCH(COLUMNS($AC$1006:AG1006),$AC$1006:$AS$1006,0))&gt;=100000), " ",IF(INDEX($AC$2:$AS$1001,MATCH(ROWS($V$2:V917),$V$2:$V$1001,0),MATCH(COLUMNS($AC$1006:AG1006),$AC$1006:$AS$1006,0)), HYPERLINK("#",""), HYPERLINK(CONCATENATE("#Metadata!", ADDRESS(INDEX($X$2:$X$1001,MATCH(ROWS($V$2:V917),$V$2:$V$1001,0),0), INDEX($AC$1004:$AS$1004,1,MATCH(COLUMNS($AC$1006:AG1006),$AC$1006:$AS$1006,0)))),"Fix")))</f>
        <v>0</v>
      </c>
      <c r="G917" s="5">
        <f>IF(OR(INDEX($W$2:$W$1001,MATCH(ROWS($V$2:V917),$V$2:$V$1001,0),1)&gt;=100000,INDEX($AC$1005:$AS$1005,1,MATCH(COLUMNS($AC$1006:AH1006),$AC$1006:$AS$1006,0))&gt;=100000), " ",IF(INDEX($AC$2:$AS$1001,MATCH(ROWS($V$2:V917),$V$2:$V$1001,0),MATCH(COLUMNS($AC$1006:AH1006),$AC$1006:$AS$1006,0)), HYPERLINK("#",""), HYPERLINK(CONCATENATE("#Metadata!", ADDRESS(INDEX($X$2:$X$1001,MATCH(ROWS($V$2:V917),$V$2:$V$1001,0),0), INDEX($AC$1004:$AS$1004,1,MATCH(COLUMNS($AC$1006:AH1006),$AC$1006:$AS$1006,0)))),"Fix")))</f>
        <v>0</v>
      </c>
      <c r="H917" s="5">
        <f>IF(OR(INDEX($W$2:$W$1001,MATCH(ROWS($V$2:V917),$V$2:$V$1001,0),1)&gt;=100000,INDEX($AC$1005:$AS$1005,1,MATCH(COLUMNS($AC$1006:AI1006),$AC$1006:$AS$1006,0))&gt;=100000), " ",IF(INDEX($AC$2:$AS$1001,MATCH(ROWS($V$2:V917),$V$2:$V$1001,0),MATCH(COLUMNS($AC$1006:AI1006),$AC$1006:$AS$1006,0)), HYPERLINK("#",""), HYPERLINK(CONCATENATE("#Metadata!", ADDRESS(INDEX($X$2:$X$1001,MATCH(ROWS($V$2:V917),$V$2:$V$1001,0),0), INDEX($AC$1004:$AS$1004,1,MATCH(COLUMNS($AC$1006:AI1006),$AC$1006:$AS$1006,0)))),"Fix")))</f>
        <v>0</v>
      </c>
      <c r="I917" s="5">
        <f>IF(OR(INDEX($W$2:$W$1001,MATCH(ROWS($V$2:V917),$V$2:$V$1001,0),1)&gt;=100000,INDEX($AC$1005:$AS$1005,1,MATCH(COLUMNS($AC$1006:AJ1006),$AC$1006:$AS$1006,0))&gt;=100000), " ",IF(INDEX($AC$2:$AS$1001,MATCH(ROWS($V$2:V917),$V$2:$V$1001,0),MATCH(COLUMNS($AC$1006:AJ1006),$AC$1006:$AS$1006,0)), HYPERLINK("#",""), HYPERLINK(CONCATENATE("#Metadata!", ADDRESS(INDEX($X$2:$X$1001,MATCH(ROWS($V$2:V917),$V$2:$V$1001,0),0), INDEX($AC$1004:$AS$1004,1,MATCH(COLUMNS($AC$1006:AJ1006),$AC$1006:$AS$1006,0)))),"Fix")))</f>
        <v>0</v>
      </c>
      <c r="J917" s="5">
        <f>IF(OR(INDEX($W$2:$W$1001,MATCH(ROWS($V$2:V917),$V$2:$V$1001,0),1)&gt;=100000,INDEX($AC$1005:$AS$1005,1,MATCH(COLUMNS($AC$1006:AK1006),$AC$1006:$AS$1006,0))&gt;=100000), " ",IF(INDEX($AC$2:$AS$1001,MATCH(ROWS($V$2:V917),$V$2:$V$1001,0),MATCH(COLUMNS($AC$1006:AK1006),$AC$1006:$AS$1006,0)), HYPERLINK("#",""), HYPERLINK(CONCATENATE("#Metadata!", ADDRESS(INDEX($X$2:$X$1001,MATCH(ROWS($V$2:V917),$V$2:$V$1001,0),0), INDEX($AC$1004:$AS$1004,1,MATCH(COLUMNS($AC$1006:AK1006),$AC$1006:$AS$1006,0)))),"Fix")))</f>
        <v>0</v>
      </c>
      <c r="K917" s="5">
        <f>IF(OR(INDEX($W$2:$W$1001,MATCH(ROWS($V$2:V917),$V$2:$V$1001,0),1)&gt;=100000,INDEX($AC$1005:$AS$1005,1,MATCH(COLUMNS($AC$1006:AL1006),$AC$1006:$AS$1006,0))&gt;=100000), " ",IF(INDEX($AC$2:$AS$1001,MATCH(ROWS($V$2:V917),$V$2:$V$1001,0),MATCH(COLUMNS($AC$1006:AL1006),$AC$1006:$AS$1006,0)), HYPERLINK("#",""), HYPERLINK(CONCATENATE("#Metadata!", ADDRESS(INDEX($X$2:$X$1001,MATCH(ROWS($V$2:V917),$V$2:$V$1001,0),0), INDEX($AC$1004:$AS$1004,1,MATCH(COLUMNS($AC$1006:AL1006),$AC$1006:$AS$1006,0)))),"Fix")))</f>
        <v>0</v>
      </c>
      <c r="L917" s="5">
        <f>IF(OR(INDEX($W$2:$W$1001,MATCH(ROWS($V$2:V917),$V$2:$V$1001,0),1)&gt;=100000,INDEX($AC$1005:$AS$1005,1,MATCH(COLUMNS($AC$1006:AM1006),$AC$1006:$AS$1006,0))&gt;=100000), " ",IF(INDEX($AC$2:$AS$1001,MATCH(ROWS($V$2:V917),$V$2:$V$1001,0),MATCH(COLUMNS($AC$1006:AM1006),$AC$1006:$AS$1006,0)), HYPERLINK("#",""), HYPERLINK(CONCATENATE("#Metadata!", ADDRESS(INDEX($X$2:$X$1001,MATCH(ROWS($V$2:V917),$V$2:$V$1001,0),0), INDEX($AC$1004:$AS$1004,1,MATCH(COLUMNS($AC$1006:AM1006),$AC$1006:$AS$1006,0)))),"Fix")))</f>
        <v>0</v>
      </c>
      <c r="M917" s="5">
        <f>IF(OR(INDEX($W$2:$W$1001,MATCH(ROWS($V$2:V917),$V$2:$V$1001,0),1)&gt;=100000,INDEX($AC$1005:$AS$1005,1,MATCH(COLUMNS($AC$1006:AN1006),$AC$1006:$AS$1006,0))&gt;=100000), " ",IF(INDEX($AC$2:$AS$1001,MATCH(ROWS($V$2:V917),$V$2:$V$1001,0),MATCH(COLUMNS($AC$1006:AN1006),$AC$1006:$AS$1006,0)), HYPERLINK("#",""), HYPERLINK(CONCATENATE("#Metadata!", ADDRESS(INDEX($X$2:$X$1001,MATCH(ROWS($V$2:V917),$V$2:$V$1001,0),0), INDEX($AC$1004:$AS$1004,1,MATCH(COLUMNS($AC$1006:AN1006),$AC$1006:$AS$1006,0)))),"Fix")))</f>
        <v>0</v>
      </c>
      <c r="N917" s="5">
        <f>IF(OR(INDEX($W$2:$W$1001,MATCH(ROWS($V$2:V917),$V$2:$V$1001,0),1)&gt;=100000,INDEX($AC$1005:$AS$1005,1,MATCH(COLUMNS($AC$1006:AO1006),$AC$1006:$AS$1006,0))&gt;=100000), " ",IF(INDEX($AC$2:$AS$1001,MATCH(ROWS($V$2:V917),$V$2:$V$1001,0),MATCH(COLUMNS($AC$1006:AO1006),$AC$1006:$AS$1006,0)), HYPERLINK("#",""), HYPERLINK(CONCATENATE("#Metadata!", ADDRESS(INDEX($X$2:$X$1001,MATCH(ROWS($V$2:V917),$V$2:$V$1001,0),0), INDEX($AC$1004:$AS$1004,1,MATCH(COLUMNS($AC$1006:AO1006),$AC$1006:$AS$1006,0)))),"Fix")))</f>
        <v>0</v>
      </c>
      <c r="O917" s="5">
        <f>IF(OR(INDEX($W$2:$W$1001,MATCH(ROWS($V$2:V917),$V$2:$V$1001,0),1)&gt;=100000,INDEX($AC$1005:$AS$1005,1,MATCH(COLUMNS($AC$1006:AP1006),$AC$1006:$AS$1006,0))&gt;=100000), " ",IF(INDEX($AC$2:$AS$1001,MATCH(ROWS($V$2:V917),$V$2:$V$1001,0),MATCH(COLUMNS($AC$1006:AP1006),$AC$1006:$AS$1006,0)), HYPERLINK("#",""), HYPERLINK(CONCATENATE("#Metadata!", ADDRESS(INDEX($X$2:$X$1001,MATCH(ROWS($V$2:V917),$V$2:$V$1001,0),0), INDEX($AC$1004:$AS$1004,1,MATCH(COLUMNS($AC$1006:AP1006),$AC$1006:$AS$1006,0)))),"Fix")))</f>
        <v>0</v>
      </c>
      <c r="P917" s="5">
        <f>IF(OR(INDEX($W$2:$W$1001,MATCH(ROWS($V$2:V917),$V$2:$V$1001,0),1)&gt;=100000,INDEX($AC$1005:$AS$1005,1,MATCH(COLUMNS($AC$1006:AQ1006),$AC$1006:$AS$1006,0))&gt;=100000), " ",IF(INDEX($AC$2:$AS$1001,MATCH(ROWS($V$2:V917),$V$2:$V$1001,0),MATCH(COLUMNS($AC$1006:AQ1006),$AC$1006:$AS$1006,0)), HYPERLINK("#",""), HYPERLINK(CONCATENATE("#Metadata!", ADDRESS(INDEX($X$2:$X$1001,MATCH(ROWS($V$2:V917),$V$2:$V$1001,0),0), INDEX($AC$1004:$AS$1004,1,MATCH(COLUMNS($AC$1006:AQ1006),$AC$1006:$AS$1006,0)))),"Fix")))</f>
        <v>0</v>
      </c>
      <c r="Q917" s="5">
        <f>IF(OR(INDEX($W$2:$W$1001,MATCH(ROWS($V$2:V917),$V$2:$V$1001,0),1)&gt;=100000,INDEX($AC$1005:$AS$1005,1,MATCH(COLUMNS($AC$1006:AR1006),$AC$1006:$AS$1006,0))&gt;=100000), " ",IF(INDEX($AC$2:$AS$1001,MATCH(ROWS($V$2:V917),$V$2:$V$1001,0),MATCH(COLUMNS($AC$1006:AR1006),$AC$1006:$AS$1006,0)), HYPERLINK("#",""), HYPERLINK(CONCATENATE("#Metadata!", ADDRESS(INDEX($X$2:$X$1001,MATCH(ROWS($V$2:V917),$V$2:$V$1001,0),0), INDEX($AC$1004:$AS$1004,1,MATCH(COLUMNS($AC$1006:AR1006),$AC$1006:$AS$1006,0)))),"Fix")))</f>
        <v>0</v>
      </c>
      <c r="R917" s="5">
        <f>IF(OR(INDEX($W$2:$W$1001,MATCH(ROWS($V$2:V917),$V$2:$V$1001,0),1)&gt;=100000,INDEX($AC$1005:$AS$1005,1,MATCH(COLUMNS($AC$1006:AS1006),$AC$1006:$AS$1006,0))&gt;=100000), " ",IF(INDEX($AC$2:$AS$1001,MATCH(ROWS($V$2:V917),$V$2:$V$1001,0),MATCH(COLUMNS($AC$1006:AS1006),$AC$1006:$AS$1006,0)), HYPERLINK("#",""), HYPERLINK(CONCATENATE("#Metadata!", ADDRESS(INDEX($X$2:$X$1001,MATCH(ROWS($V$2:V917),$V$2:$V$1001,0),0), INDEX($AC$1004:$AS$1004,1,MATCH(COLUMNS($AC$1006:AS1006),$AC$1006:$AS$1006,0)))),"Fix")))</f>
        <v>0</v>
      </c>
      <c r="V917">
        <v>0</v>
      </c>
      <c r="W917">
        <v>0</v>
      </c>
      <c r="X917">
        <v>0</v>
      </c>
      <c r="Y917">
        <f>IF(Z917,TRUE,AND(AC917:AS917))</f>
        <v>0</v>
      </c>
      <c r="Z917">
        <f>COUNTBLANK(Metadata!B917:R917)=COLUMNS(Metadata!B917:R917)</f>
        <v>0</v>
      </c>
      <c r="AA917">
        <v>0</v>
      </c>
      <c r="AC917">
        <f>AND(IF(Metadata!B917="",FALSE,TRUE),COUNTIF(Metadata!B:B, Metadata!B917) = 1,NOT(ISERROR(SUMPRODUCT(SEARCH(MID(Metadata!B917,ROW(INDIRECT("1:"&amp;LEN(Metadata!B917))), 1),"0123456789abcdefghijklmnopqrstuvwxyzABCDEFGHIJKLMNOPQRSTUVWXYZ.")))))</f>
        <v>0</v>
      </c>
      <c r="AD917">
        <f>AND(IF(Metadata!C917="",FALSE,TRUE),exact(Metadata!C917,"Host-associated"))</f>
        <v>0</v>
      </c>
      <c r="AE917">
        <f>AND(IF(Metadata!D917="",FALSE,TRUE),OR(exact(Metadata!D917,"Animal"),exact(Metadata!D917,"Fungus"),exact(Metadata!D917,"Plant")))</f>
        <v>0</v>
      </c>
      <c r="AF917">
        <f>AND(IF(Metadata!E917="",FALSE,TRUE),OR(exact(Metadata!E917,"Plant secretion"),exact(Metadata!E917,"Plant rhizosphere"),exact(Metadata!E917,"Plant surface"),exact(Metadata!E917,"Plant corpus"),exact(Metadata!E917,"Fungus surface"),exact(Metadata!E917,"Fungus corpus"),exact(Metadata!E917,"Animal surface"),exact(Metadata!E917,"Animal proximal gut"),exact(Metadata!E917,"Animal corpus"),exact(Metadata!E917,"Animal distal gut"),exact(Metadata!E917,"Animal secretion")))</f>
        <v>0</v>
      </c>
      <c r="AG917">
        <f>OR(AND(IF(Metadata!F917="",FALSE,TRUE),OR(exact(Metadata!F917,"not collected"),exact(Metadata!F917,"not provided"),exact(Metadata!F917,"restricted access"))),AND(IF(Metadata!F917="",FALSE,TRUE),OR(exact(Metadata!F917,"organism-associated habitat"),exact(Metadata!F917,"plant-associated habitat"),exact(Metadata!F917,"animal-associated habitat"),exact(Metadata!F917,"insecta-associated habitat"),exact(Metadata!F917,"mammalia-associated habitat"),exact(Metadata!F917,"human-associated habitat"),exact(Metadata!F917,"livestock-associated habitat"))))</f>
        <v>0</v>
      </c>
      <c r="AH917">
        <f>AND(IF(Metadata!G917="",FALSE,TRUE),exact(Metadata!G917,"host-associated"))</f>
        <v>0</v>
      </c>
      <c r="AI917">
        <f>OR(AND(IF(Metadata!H917="",FALSE,TRUE),OR(exact(Metadata!H917,"not collected"),exact(Metadata!H917,"not provided"))),AND(IF(Metadata!H917="",FALSE,ISNUMBER(VALUE(Metadata!H917))),Metadata!H917&gt;0))</f>
        <v>0</v>
      </c>
      <c r="AJ917">
        <f>AND(IF(Metadata!I917="",FALSE,TRUE),exact(Metadata!I917,"years"))</f>
        <v>0</v>
      </c>
      <c r="AK917">
        <f>IF(Metadata!J917="",FALSE,TRUE)</f>
        <v>0</v>
      </c>
      <c r="AL917">
        <f>OR(AND(IF(Metadata!K917="",FALSE,TRUE),OR(exact(Metadata!K917,"not collected"),exact(Metadata!K917,"not provided"))),AND(IF(Metadata!K917="",FALSE,ISNUMBER(VALUE(Metadata!K917))),Metadata!K917&gt;0))</f>
        <v>0</v>
      </c>
      <c r="AM917">
        <f>AND(IF(Metadata!L917="",FALSE,TRUE),exact(Metadata!L917,"cm"))</f>
        <v>0</v>
      </c>
      <c r="AN917">
        <f>IF(Metadata!M917="",FALSE,TRUE)</f>
        <v>0</v>
      </c>
      <c r="AO917">
        <f>OR(AND(IF(Metadata!N917="",FALSE,TRUE),OR(exact(Metadata!N917,"not applicable"),exact(Metadata!N917,"not collected"),exact(Metadata!N917,"not provided"))),AND(IF(Metadata!N917="",FALSE,IF(ISERROR(INT(Metadata!N917)),FALSE,INT(Metadata!N917)=Metadata!N917)),Metadata!N917&gt;0))</f>
        <v>0</v>
      </c>
      <c r="AP917">
        <f>OR(AND(IF(Metadata!O917="",FALSE,TRUE),OR(exact(Metadata!O917,"not collected"),exact(Metadata!O917,"not provided"))),AND(IF(Metadata!O917="",FALSE,ISNUMBER(VALUE(Metadata!O917))),Metadata!O917&gt;0))</f>
        <v>0</v>
      </c>
      <c r="AQ917">
        <f>AND(IF(Metadata!P917="",FALSE,TRUE),exact(Metadata!P917,"kg"))</f>
        <v>0</v>
      </c>
      <c r="AR917">
        <f>OR(AND(IF(Metadata!Q917="",FALSE,TRUE),OR(exact(Metadata!Q917,"not applicable"),exact(Metadata!Q917,"not collected"),exact(Metadata!Q917,"not provided"),exact(Metadata!Q917,"restricted access"))),IF(Metadata!Q917="",FALSE,IF(ISERROR(INT(Metadata!Q917)),FALSE,INT(Metadata!Q917)=Metadata!Q917)))</f>
        <v>0</v>
      </c>
      <c r="AS917">
        <f>AND(IF(Metadata!R917="",FALSE,TRUE),exact(Metadata!R917,"Not applicable"))</f>
        <v>0</v>
      </c>
    </row>
    <row r="918" spans="1:45">
      <c r="A918" s="4">
        <f>IF(B918=" "," ",HYPERLINK(CONCATENATE("#metadata!",ADDRESS(INDEX($X$2:$X$1001,MATCH(ROWS($V$2:V918),$V$2:$V$1001,0),0),2)),INDEX($AA$2:$AA$1001,MATCH(ROWS($V$2:V918),$V$2:$V$1001,0),0)))</f>
        <v>0</v>
      </c>
      <c r="B918" s="5">
        <f>IF(OR(INDEX($W$2:$W$1001,MATCH(ROWS($V$2:V918),$V$2:$V$1001,0),1)&gt;=100000,INDEX($AC$1005:$AS$1005,1,MATCH(COLUMNS($AC$1006:AC1006),$AC$1006:$AS$1006,0))&gt;=100000), " ",IF(INDEX($AC$2:$AS$1001,MATCH(ROWS($V$2:V918),$V$2:$V$1001,0),MATCH(COLUMNS($AC$1006:AC1006),$AC$1006:$AS$1006,0)), HYPERLINK("#",""), HYPERLINK(CONCATENATE("#Metadata!", ADDRESS(INDEX($X$2:$X$1001,MATCH(ROWS($V$2:V918),$V$2:$V$1001,0),0), INDEX($AC$1004:$AS$1004,1,MATCH(COLUMNS($AC$1006:AC1006),$AC$1006:$AS$1006,0)))),"Fix")))</f>
        <v>0</v>
      </c>
      <c r="C918" s="5">
        <f>IF(OR(INDEX($W$2:$W$1001,MATCH(ROWS($V$2:V918),$V$2:$V$1001,0),1)&gt;=100000,INDEX($AC$1005:$AS$1005,1,MATCH(COLUMNS($AC$1006:AD1006),$AC$1006:$AS$1006,0))&gt;=100000), " ",IF(INDEX($AC$2:$AS$1001,MATCH(ROWS($V$2:V918),$V$2:$V$1001,0),MATCH(COLUMNS($AC$1006:AD1006),$AC$1006:$AS$1006,0)), HYPERLINK("#",""), HYPERLINK(CONCATENATE("#Metadata!", ADDRESS(INDEX($X$2:$X$1001,MATCH(ROWS($V$2:V918),$V$2:$V$1001,0),0), INDEX($AC$1004:$AS$1004,1,MATCH(COLUMNS($AC$1006:AD1006),$AC$1006:$AS$1006,0)))),"Fix")))</f>
        <v>0</v>
      </c>
      <c r="D918" s="5">
        <f>IF(OR(INDEX($W$2:$W$1001,MATCH(ROWS($V$2:V918),$V$2:$V$1001,0),1)&gt;=100000,INDEX($AC$1005:$AS$1005,1,MATCH(COLUMNS($AC$1006:AE1006),$AC$1006:$AS$1006,0))&gt;=100000), " ",IF(INDEX($AC$2:$AS$1001,MATCH(ROWS($V$2:V918),$V$2:$V$1001,0),MATCH(COLUMNS($AC$1006:AE1006),$AC$1006:$AS$1006,0)), HYPERLINK("#",""), HYPERLINK(CONCATENATE("#Metadata!", ADDRESS(INDEX($X$2:$X$1001,MATCH(ROWS($V$2:V918),$V$2:$V$1001,0),0), INDEX($AC$1004:$AS$1004,1,MATCH(COLUMNS($AC$1006:AE1006),$AC$1006:$AS$1006,0)))),"Fix")))</f>
        <v>0</v>
      </c>
      <c r="E918" s="5">
        <f>IF(OR(INDEX($W$2:$W$1001,MATCH(ROWS($V$2:V918),$V$2:$V$1001,0),1)&gt;=100000,INDEX($AC$1005:$AS$1005,1,MATCH(COLUMNS($AC$1006:AF1006),$AC$1006:$AS$1006,0))&gt;=100000), " ",IF(INDEX($AC$2:$AS$1001,MATCH(ROWS($V$2:V918),$V$2:$V$1001,0),MATCH(COLUMNS($AC$1006:AF1006),$AC$1006:$AS$1006,0)), HYPERLINK("#",""), HYPERLINK(CONCATENATE("#Metadata!", ADDRESS(INDEX($X$2:$X$1001,MATCH(ROWS($V$2:V918),$V$2:$V$1001,0),0), INDEX($AC$1004:$AS$1004,1,MATCH(COLUMNS($AC$1006:AF1006),$AC$1006:$AS$1006,0)))),"Fix")))</f>
        <v>0</v>
      </c>
      <c r="F918" s="5">
        <f>IF(OR(INDEX($W$2:$W$1001,MATCH(ROWS($V$2:V918),$V$2:$V$1001,0),1)&gt;=100000,INDEX($AC$1005:$AS$1005,1,MATCH(COLUMNS($AC$1006:AG1006),$AC$1006:$AS$1006,0))&gt;=100000), " ",IF(INDEX($AC$2:$AS$1001,MATCH(ROWS($V$2:V918),$V$2:$V$1001,0),MATCH(COLUMNS($AC$1006:AG1006),$AC$1006:$AS$1006,0)), HYPERLINK("#",""), HYPERLINK(CONCATENATE("#Metadata!", ADDRESS(INDEX($X$2:$X$1001,MATCH(ROWS($V$2:V918),$V$2:$V$1001,0),0), INDEX($AC$1004:$AS$1004,1,MATCH(COLUMNS($AC$1006:AG1006),$AC$1006:$AS$1006,0)))),"Fix")))</f>
        <v>0</v>
      </c>
      <c r="G918" s="5">
        <f>IF(OR(INDEX($W$2:$W$1001,MATCH(ROWS($V$2:V918),$V$2:$V$1001,0),1)&gt;=100000,INDEX($AC$1005:$AS$1005,1,MATCH(COLUMNS($AC$1006:AH1006),$AC$1006:$AS$1006,0))&gt;=100000), " ",IF(INDEX($AC$2:$AS$1001,MATCH(ROWS($V$2:V918),$V$2:$V$1001,0),MATCH(COLUMNS($AC$1006:AH1006),$AC$1006:$AS$1006,0)), HYPERLINK("#",""), HYPERLINK(CONCATENATE("#Metadata!", ADDRESS(INDEX($X$2:$X$1001,MATCH(ROWS($V$2:V918),$V$2:$V$1001,0),0), INDEX($AC$1004:$AS$1004,1,MATCH(COLUMNS($AC$1006:AH1006),$AC$1006:$AS$1006,0)))),"Fix")))</f>
        <v>0</v>
      </c>
      <c r="H918" s="5">
        <f>IF(OR(INDEX($W$2:$W$1001,MATCH(ROWS($V$2:V918),$V$2:$V$1001,0),1)&gt;=100000,INDEX($AC$1005:$AS$1005,1,MATCH(COLUMNS($AC$1006:AI1006),$AC$1006:$AS$1006,0))&gt;=100000), " ",IF(INDEX($AC$2:$AS$1001,MATCH(ROWS($V$2:V918),$V$2:$V$1001,0),MATCH(COLUMNS($AC$1006:AI1006),$AC$1006:$AS$1006,0)), HYPERLINK("#",""), HYPERLINK(CONCATENATE("#Metadata!", ADDRESS(INDEX($X$2:$X$1001,MATCH(ROWS($V$2:V918),$V$2:$V$1001,0),0), INDEX($AC$1004:$AS$1004,1,MATCH(COLUMNS($AC$1006:AI1006),$AC$1006:$AS$1006,0)))),"Fix")))</f>
        <v>0</v>
      </c>
      <c r="I918" s="5">
        <f>IF(OR(INDEX($W$2:$W$1001,MATCH(ROWS($V$2:V918),$V$2:$V$1001,0),1)&gt;=100000,INDEX($AC$1005:$AS$1005,1,MATCH(COLUMNS($AC$1006:AJ1006),$AC$1006:$AS$1006,0))&gt;=100000), " ",IF(INDEX($AC$2:$AS$1001,MATCH(ROWS($V$2:V918),$V$2:$V$1001,0),MATCH(COLUMNS($AC$1006:AJ1006),$AC$1006:$AS$1006,0)), HYPERLINK("#",""), HYPERLINK(CONCATENATE("#Metadata!", ADDRESS(INDEX($X$2:$X$1001,MATCH(ROWS($V$2:V918),$V$2:$V$1001,0),0), INDEX($AC$1004:$AS$1004,1,MATCH(COLUMNS($AC$1006:AJ1006),$AC$1006:$AS$1006,0)))),"Fix")))</f>
        <v>0</v>
      </c>
      <c r="J918" s="5">
        <f>IF(OR(INDEX($W$2:$W$1001,MATCH(ROWS($V$2:V918),$V$2:$V$1001,0),1)&gt;=100000,INDEX($AC$1005:$AS$1005,1,MATCH(COLUMNS($AC$1006:AK1006),$AC$1006:$AS$1006,0))&gt;=100000), " ",IF(INDEX($AC$2:$AS$1001,MATCH(ROWS($V$2:V918),$V$2:$V$1001,0),MATCH(COLUMNS($AC$1006:AK1006),$AC$1006:$AS$1006,0)), HYPERLINK("#",""), HYPERLINK(CONCATENATE("#Metadata!", ADDRESS(INDEX($X$2:$X$1001,MATCH(ROWS($V$2:V918),$V$2:$V$1001,0),0), INDEX($AC$1004:$AS$1004,1,MATCH(COLUMNS($AC$1006:AK1006),$AC$1006:$AS$1006,0)))),"Fix")))</f>
        <v>0</v>
      </c>
      <c r="K918" s="5">
        <f>IF(OR(INDEX($W$2:$W$1001,MATCH(ROWS($V$2:V918),$V$2:$V$1001,0),1)&gt;=100000,INDEX($AC$1005:$AS$1005,1,MATCH(COLUMNS($AC$1006:AL1006),$AC$1006:$AS$1006,0))&gt;=100000), " ",IF(INDEX($AC$2:$AS$1001,MATCH(ROWS($V$2:V918),$V$2:$V$1001,0),MATCH(COLUMNS($AC$1006:AL1006),$AC$1006:$AS$1006,0)), HYPERLINK("#",""), HYPERLINK(CONCATENATE("#Metadata!", ADDRESS(INDEX($X$2:$X$1001,MATCH(ROWS($V$2:V918),$V$2:$V$1001,0),0), INDEX($AC$1004:$AS$1004,1,MATCH(COLUMNS($AC$1006:AL1006),$AC$1006:$AS$1006,0)))),"Fix")))</f>
        <v>0</v>
      </c>
      <c r="L918" s="5">
        <f>IF(OR(INDEX($W$2:$W$1001,MATCH(ROWS($V$2:V918),$V$2:$V$1001,0),1)&gt;=100000,INDEX($AC$1005:$AS$1005,1,MATCH(COLUMNS($AC$1006:AM1006),$AC$1006:$AS$1006,0))&gt;=100000), " ",IF(INDEX($AC$2:$AS$1001,MATCH(ROWS($V$2:V918),$V$2:$V$1001,0),MATCH(COLUMNS($AC$1006:AM1006),$AC$1006:$AS$1006,0)), HYPERLINK("#",""), HYPERLINK(CONCATENATE("#Metadata!", ADDRESS(INDEX($X$2:$X$1001,MATCH(ROWS($V$2:V918),$V$2:$V$1001,0),0), INDEX($AC$1004:$AS$1004,1,MATCH(COLUMNS($AC$1006:AM1006),$AC$1006:$AS$1006,0)))),"Fix")))</f>
        <v>0</v>
      </c>
      <c r="M918" s="5">
        <f>IF(OR(INDEX($W$2:$W$1001,MATCH(ROWS($V$2:V918),$V$2:$V$1001,0),1)&gt;=100000,INDEX($AC$1005:$AS$1005,1,MATCH(COLUMNS($AC$1006:AN1006),$AC$1006:$AS$1006,0))&gt;=100000), " ",IF(INDEX($AC$2:$AS$1001,MATCH(ROWS($V$2:V918),$V$2:$V$1001,0),MATCH(COLUMNS($AC$1006:AN1006),$AC$1006:$AS$1006,0)), HYPERLINK("#",""), HYPERLINK(CONCATENATE("#Metadata!", ADDRESS(INDEX($X$2:$X$1001,MATCH(ROWS($V$2:V918),$V$2:$V$1001,0),0), INDEX($AC$1004:$AS$1004,1,MATCH(COLUMNS($AC$1006:AN1006),$AC$1006:$AS$1006,0)))),"Fix")))</f>
        <v>0</v>
      </c>
      <c r="N918" s="5">
        <f>IF(OR(INDEX($W$2:$W$1001,MATCH(ROWS($V$2:V918),$V$2:$V$1001,0),1)&gt;=100000,INDEX($AC$1005:$AS$1005,1,MATCH(COLUMNS($AC$1006:AO1006),$AC$1006:$AS$1006,0))&gt;=100000), " ",IF(INDEX($AC$2:$AS$1001,MATCH(ROWS($V$2:V918),$V$2:$V$1001,0),MATCH(COLUMNS($AC$1006:AO1006),$AC$1006:$AS$1006,0)), HYPERLINK("#",""), HYPERLINK(CONCATENATE("#Metadata!", ADDRESS(INDEX($X$2:$X$1001,MATCH(ROWS($V$2:V918),$V$2:$V$1001,0),0), INDEX($AC$1004:$AS$1004,1,MATCH(COLUMNS($AC$1006:AO1006),$AC$1006:$AS$1006,0)))),"Fix")))</f>
        <v>0</v>
      </c>
      <c r="O918" s="5">
        <f>IF(OR(INDEX($W$2:$W$1001,MATCH(ROWS($V$2:V918),$V$2:$V$1001,0),1)&gt;=100000,INDEX($AC$1005:$AS$1005,1,MATCH(COLUMNS($AC$1006:AP1006),$AC$1006:$AS$1006,0))&gt;=100000), " ",IF(INDEX($AC$2:$AS$1001,MATCH(ROWS($V$2:V918),$V$2:$V$1001,0),MATCH(COLUMNS($AC$1006:AP1006),$AC$1006:$AS$1006,0)), HYPERLINK("#",""), HYPERLINK(CONCATENATE("#Metadata!", ADDRESS(INDEX($X$2:$X$1001,MATCH(ROWS($V$2:V918),$V$2:$V$1001,0),0), INDEX($AC$1004:$AS$1004,1,MATCH(COLUMNS($AC$1006:AP1006),$AC$1006:$AS$1006,0)))),"Fix")))</f>
        <v>0</v>
      </c>
      <c r="P918" s="5">
        <f>IF(OR(INDEX($W$2:$W$1001,MATCH(ROWS($V$2:V918),$V$2:$V$1001,0),1)&gt;=100000,INDEX($AC$1005:$AS$1005,1,MATCH(COLUMNS($AC$1006:AQ1006),$AC$1006:$AS$1006,0))&gt;=100000), " ",IF(INDEX($AC$2:$AS$1001,MATCH(ROWS($V$2:V918),$V$2:$V$1001,0),MATCH(COLUMNS($AC$1006:AQ1006),$AC$1006:$AS$1006,0)), HYPERLINK("#",""), HYPERLINK(CONCATENATE("#Metadata!", ADDRESS(INDEX($X$2:$X$1001,MATCH(ROWS($V$2:V918),$V$2:$V$1001,0),0), INDEX($AC$1004:$AS$1004,1,MATCH(COLUMNS($AC$1006:AQ1006),$AC$1006:$AS$1006,0)))),"Fix")))</f>
        <v>0</v>
      </c>
      <c r="Q918" s="5">
        <f>IF(OR(INDEX($W$2:$W$1001,MATCH(ROWS($V$2:V918),$V$2:$V$1001,0),1)&gt;=100000,INDEX($AC$1005:$AS$1005,1,MATCH(COLUMNS($AC$1006:AR1006),$AC$1006:$AS$1006,0))&gt;=100000), " ",IF(INDEX($AC$2:$AS$1001,MATCH(ROWS($V$2:V918),$V$2:$V$1001,0),MATCH(COLUMNS($AC$1006:AR1006),$AC$1006:$AS$1006,0)), HYPERLINK("#",""), HYPERLINK(CONCATENATE("#Metadata!", ADDRESS(INDEX($X$2:$X$1001,MATCH(ROWS($V$2:V918),$V$2:$V$1001,0),0), INDEX($AC$1004:$AS$1004,1,MATCH(COLUMNS($AC$1006:AR1006),$AC$1006:$AS$1006,0)))),"Fix")))</f>
        <v>0</v>
      </c>
      <c r="R918" s="5">
        <f>IF(OR(INDEX($W$2:$W$1001,MATCH(ROWS($V$2:V918),$V$2:$V$1001,0),1)&gt;=100000,INDEX($AC$1005:$AS$1005,1,MATCH(COLUMNS($AC$1006:AS1006),$AC$1006:$AS$1006,0))&gt;=100000), " ",IF(INDEX($AC$2:$AS$1001,MATCH(ROWS($V$2:V918),$V$2:$V$1001,0),MATCH(COLUMNS($AC$1006:AS1006),$AC$1006:$AS$1006,0)), HYPERLINK("#",""), HYPERLINK(CONCATENATE("#Metadata!", ADDRESS(INDEX($X$2:$X$1001,MATCH(ROWS($V$2:V918),$V$2:$V$1001,0),0), INDEX($AC$1004:$AS$1004,1,MATCH(COLUMNS($AC$1006:AS1006),$AC$1006:$AS$1006,0)))),"Fix")))</f>
        <v>0</v>
      </c>
      <c r="V918">
        <v>0</v>
      </c>
      <c r="W918">
        <v>0</v>
      </c>
      <c r="X918">
        <v>0</v>
      </c>
      <c r="Y918">
        <f>IF(Z918,TRUE,AND(AC918:AS918))</f>
        <v>0</v>
      </c>
      <c r="Z918">
        <f>COUNTBLANK(Metadata!B918:R918)=COLUMNS(Metadata!B918:R918)</f>
        <v>0</v>
      </c>
      <c r="AA918">
        <v>0</v>
      </c>
      <c r="AC918">
        <f>AND(IF(Metadata!B918="",FALSE,TRUE),COUNTIF(Metadata!B:B, Metadata!B918) = 1,NOT(ISERROR(SUMPRODUCT(SEARCH(MID(Metadata!B918,ROW(INDIRECT("1:"&amp;LEN(Metadata!B918))), 1),"0123456789abcdefghijklmnopqrstuvwxyzABCDEFGHIJKLMNOPQRSTUVWXYZ.")))))</f>
        <v>0</v>
      </c>
      <c r="AD918">
        <f>AND(IF(Metadata!C918="",FALSE,TRUE),exact(Metadata!C918,"Host-associated"))</f>
        <v>0</v>
      </c>
      <c r="AE918">
        <f>AND(IF(Metadata!D918="",FALSE,TRUE),OR(exact(Metadata!D918,"Animal"),exact(Metadata!D918,"Fungus"),exact(Metadata!D918,"Plant")))</f>
        <v>0</v>
      </c>
      <c r="AF918">
        <f>AND(IF(Metadata!E918="",FALSE,TRUE),OR(exact(Metadata!E918,"Plant secretion"),exact(Metadata!E918,"Plant rhizosphere"),exact(Metadata!E918,"Plant surface"),exact(Metadata!E918,"Plant corpus"),exact(Metadata!E918,"Fungus surface"),exact(Metadata!E918,"Fungus corpus"),exact(Metadata!E918,"Animal surface"),exact(Metadata!E918,"Animal proximal gut"),exact(Metadata!E918,"Animal corpus"),exact(Metadata!E918,"Animal distal gut"),exact(Metadata!E918,"Animal secretion")))</f>
        <v>0</v>
      </c>
      <c r="AG918">
        <f>OR(AND(IF(Metadata!F918="",FALSE,TRUE),OR(exact(Metadata!F918,"not collected"),exact(Metadata!F918,"not provided"),exact(Metadata!F918,"restricted access"))),AND(IF(Metadata!F918="",FALSE,TRUE),OR(exact(Metadata!F918,"organism-associated habitat"),exact(Metadata!F918,"plant-associated habitat"),exact(Metadata!F918,"animal-associated habitat"),exact(Metadata!F918,"insecta-associated habitat"),exact(Metadata!F918,"mammalia-associated habitat"),exact(Metadata!F918,"human-associated habitat"),exact(Metadata!F918,"livestock-associated habitat"))))</f>
        <v>0</v>
      </c>
      <c r="AH918">
        <f>AND(IF(Metadata!G918="",FALSE,TRUE),exact(Metadata!G918,"host-associated"))</f>
        <v>0</v>
      </c>
      <c r="AI918">
        <f>OR(AND(IF(Metadata!H918="",FALSE,TRUE),OR(exact(Metadata!H918,"not collected"),exact(Metadata!H918,"not provided"))),AND(IF(Metadata!H918="",FALSE,ISNUMBER(VALUE(Metadata!H918))),Metadata!H918&gt;0))</f>
        <v>0</v>
      </c>
      <c r="AJ918">
        <f>AND(IF(Metadata!I918="",FALSE,TRUE),exact(Metadata!I918,"years"))</f>
        <v>0</v>
      </c>
      <c r="AK918">
        <f>IF(Metadata!J918="",FALSE,TRUE)</f>
        <v>0</v>
      </c>
      <c r="AL918">
        <f>OR(AND(IF(Metadata!K918="",FALSE,TRUE),OR(exact(Metadata!K918,"not collected"),exact(Metadata!K918,"not provided"))),AND(IF(Metadata!K918="",FALSE,ISNUMBER(VALUE(Metadata!K918))),Metadata!K918&gt;0))</f>
        <v>0</v>
      </c>
      <c r="AM918">
        <f>AND(IF(Metadata!L918="",FALSE,TRUE),exact(Metadata!L918,"cm"))</f>
        <v>0</v>
      </c>
      <c r="AN918">
        <f>IF(Metadata!M918="",FALSE,TRUE)</f>
        <v>0</v>
      </c>
      <c r="AO918">
        <f>OR(AND(IF(Metadata!N918="",FALSE,TRUE),OR(exact(Metadata!N918,"not applicable"),exact(Metadata!N918,"not collected"),exact(Metadata!N918,"not provided"))),AND(IF(Metadata!N918="",FALSE,IF(ISERROR(INT(Metadata!N918)),FALSE,INT(Metadata!N918)=Metadata!N918)),Metadata!N918&gt;0))</f>
        <v>0</v>
      </c>
      <c r="AP918">
        <f>OR(AND(IF(Metadata!O918="",FALSE,TRUE),OR(exact(Metadata!O918,"not collected"),exact(Metadata!O918,"not provided"))),AND(IF(Metadata!O918="",FALSE,ISNUMBER(VALUE(Metadata!O918))),Metadata!O918&gt;0))</f>
        <v>0</v>
      </c>
      <c r="AQ918">
        <f>AND(IF(Metadata!P918="",FALSE,TRUE),exact(Metadata!P918,"kg"))</f>
        <v>0</v>
      </c>
      <c r="AR918">
        <f>OR(AND(IF(Metadata!Q918="",FALSE,TRUE),OR(exact(Metadata!Q918,"not applicable"),exact(Metadata!Q918,"not collected"),exact(Metadata!Q918,"not provided"),exact(Metadata!Q918,"restricted access"))),IF(Metadata!Q918="",FALSE,IF(ISERROR(INT(Metadata!Q918)),FALSE,INT(Metadata!Q918)=Metadata!Q918)))</f>
        <v>0</v>
      </c>
      <c r="AS918">
        <f>AND(IF(Metadata!R918="",FALSE,TRUE),exact(Metadata!R918,"Not applicable"))</f>
        <v>0</v>
      </c>
    </row>
    <row r="919" spans="1:45">
      <c r="A919" s="4">
        <f>IF(B919=" "," ",HYPERLINK(CONCATENATE("#metadata!",ADDRESS(INDEX($X$2:$X$1001,MATCH(ROWS($V$2:V919),$V$2:$V$1001,0),0),2)),INDEX($AA$2:$AA$1001,MATCH(ROWS($V$2:V919),$V$2:$V$1001,0),0)))</f>
        <v>0</v>
      </c>
      <c r="B919" s="5">
        <f>IF(OR(INDEX($W$2:$W$1001,MATCH(ROWS($V$2:V919),$V$2:$V$1001,0),1)&gt;=100000,INDEX($AC$1005:$AS$1005,1,MATCH(COLUMNS($AC$1006:AC1006),$AC$1006:$AS$1006,0))&gt;=100000), " ",IF(INDEX($AC$2:$AS$1001,MATCH(ROWS($V$2:V919),$V$2:$V$1001,0),MATCH(COLUMNS($AC$1006:AC1006),$AC$1006:$AS$1006,0)), HYPERLINK("#",""), HYPERLINK(CONCATENATE("#Metadata!", ADDRESS(INDEX($X$2:$X$1001,MATCH(ROWS($V$2:V919),$V$2:$V$1001,0),0), INDEX($AC$1004:$AS$1004,1,MATCH(COLUMNS($AC$1006:AC1006),$AC$1006:$AS$1006,0)))),"Fix")))</f>
        <v>0</v>
      </c>
      <c r="C919" s="5">
        <f>IF(OR(INDEX($W$2:$W$1001,MATCH(ROWS($V$2:V919),$V$2:$V$1001,0),1)&gt;=100000,INDEX($AC$1005:$AS$1005,1,MATCH(COLUMNS($AC$1006:AD1006),$AC$1006:$AS$1006,0))&gt;=100000), " ",IF(INDEX($AC$2:$AS$1001,MATCH(ROWS($V$2:V919),$V$2:$V$1001,0),MATCH(COLUMNS($AC$1006:AD1006),$AC$1006:$AS$1006,0)), HYPERLINK("#",""), HYPERLINK(CONCATENATE("#Metadata!", ADDRESS(INDEX($X$2:$X$1001,MATCH(ROWS($V$2:V919),$V$2:$V$1001,0),0), INDEX($AC$1004:$AS$1004,1,MATCH(COLUMNS($AC$1006:AD1006),$AC$1006:$AS$1006,0)))),"Fix")))</f>
        <v>0</v>
      </c>
      <c r="D919" s="5">
        <f>IF(OR(INDEX($W$2:$W$1001,MATCH(ROWS($V$2:V919),$V$2:$V$1001,0),1)&gt;=100000,INDEX($AC$1005:$AS$1005,1,MATCH(COLUMNS($AC$1006:AE1006),$AC$1006:$AS$1006,0))&gt;=100000), " ",IF(INDEX($AC$2:$AS$1001,MATCH(ROWS($V$2:V919),$V$2:$V$1001,0),MATCH(COLUMNS($AC$1006:AE1006),$AC$1006:$AS$1006,0)), HYPERLINK("#",""), HYPERLINK(CONCATENATE("#Metadata!", ADDRESS(INDEX($X$2:$X$1001,MATCH(ROWS($V$2:V919),$V$2:$V$1001,0),0), INDEX($AC$1004:$AS$1004,1,MATCH(COLUMNS($AC$1006:AE1006),$AC$1006:$AS$1006,0)))),"Fix")))</f>
        <v>0</v>
      </c>
      <c r="E919" s="5">
        <f>IF(OR(INDEX($W$2:$W$1001,MATCH(ROWS($V$2:V919),$V$2:$V$1001,0),1)&gt;=100000,INDEX($AC$1005:$AS$1005,1,MATCH(COLUMNS($AC$1006:AF1006),$AC$1006:$AS$1006,0))&gt;=100000), " ",IF(INDEX($AC$2:$AS$1001,MATCH(ROWS($V$2:V919),$V$2:$V$1001,0),MATCH(COLUMNS($AC$1006:AF1006),$AC$1006:$AS$1006,0)), HYPERLINK("#",""), HYPERLINK(CONCATENATE("#Metadata!", ADDRESS(INDEX($X$2:$X$1001,MATCH(ROWS($V$2:V919),$V$2:$V$1001,0),0), INDEX($AC$1004:$AS$1004,1,MATCH(COLUMNS($AC$1006:AF1006),$AC$1006:$AS$1006,0)))),"Fix")))</f>
        <v>0</v>
      </c>
      <c r="F919" s="5">
        <f>IF(OR(INDEX($W$2:$W$1001,MATCH(ROWS($V$2:V919),$V$2:$V$1001,0),1)&gt;=100000,INDEX($AC$1005:$AS$1005,1,MATCH(COLUMNS($AC$1006:AG1006),$AC$1006:$AS$1006,0))&gt;=100000), " ",IF(INDEX($AC$2:$AS$1001,MATCH(ROWS($V$2:V919),$V$2:$V$1001,0),MATCH(COLUMNS($AC$1006:AG1006),$AC$1006:$AS$1006,0)), HYPERLINK("#",""), HYPERLINK(CONCATENATE("#Metadata!", ADDRESS(INDEX($X$2:$X$1001,MATCH(ROWS($V$2:V919),$V$2:$V$1001,0),0), INDEX($AC$1004:$AS$1004,1,MATCH(COLUMNS($AC$1006:AG1006),$AC$1006:$AS$1006,0)))),"Fix")))</f>
        <v>0</v>
      </c>
      <c r="G919" s="5">
        <f>IF(OR(INDEX($W$2:$W$1001,MATCH(ROWS($V$2:V919),$V$2:$V$1001,0),1)&gt;=100000,INDEX($AC$1005:$AS$1005,1,MATCH(COLUMNS($AC$1006:AH1006),$AC$1006:$AS$1006,0))&gt;=100000), " ",IF(INDEX($AC$2:$AS$1001,MATCH(ROWS($V$2:V919),$V$2:$V$1001,0),MATCH(COLUMNS($AC$1006:AH1006),$AC$1006:$AS$1006,0)), HYPERLINK("#",""), HYPERLINK(CONCATENATE("#Metadata!", ADDRESS(INDEX($X$2:$X$1001,MATCH(ROWS($V$2:V919),$V$2:$V$1001,0),0), INDEX($AC$1004:$AS$1004,1,MATCH(COLUMNS($AC$1006:AH1006),$AC$1006:$AS$1006,0)))),"Fix")))</f>
        <v>0</v>
      </c>
      <c r="H919" s="5">
        <f>IF(OR(INDEX($W$2:$W$1001,MATCH(ROWS($V$2:V919),$V$2:$V$1001,0),1)&gt;=100000,INDEX($AC$1005:$AS$1005,1,MATCH(COLUMNS($AC$1006:AI1006),$AC$1006:$AS$1006,0))&gt;=100000), " ",IF(INDEX($AC$2:$AS$1001,MATCH(ROWS($V$2:V919),$V$2:$V$1001,0),MATCH(COLUMNS($AC$1006:AI1006),$AC$1006:$AS$1006,0)), HYPERLINK("#",""), HYPERLINK(CONCATENATE("#Metadata!", ADDRESS(INDEX($X$2:$X$1001,MATCH(ROWS($V$2:V919),$V$2:$V$1001,0),0), INDEX($AC$1004:$AS$1004,1,MATCH(COLUMNS($AC$1006:AI1006),$AC$1006:$AS$1006,0)))),"Fix")))</f>
        <v>0</v>
      </c>
      <c r="I919" s="5">
        <f>IF(OR(INDEX($W$2:$W$1001,MATCH(ROWS($V$2:V919),$V$2:$V$1001,0),1)&gt;=100000,INDEX($AC$1005:$AS$1005,1,MATCH(COLUMNS($AC$1006:AJ1006),$AC$1006:$AS$1006,0))&gt;=100000), " ",IF(INDEX($AC$2:$AS$1001,MATCH(ROWS($V$2:V919),$V$2:$V$1001,0),MATCH(COLUMNS($AC$1006:AJ1006),$AC$1006:$AS$1006,0)), HYPERLINK("#",""), HYPERLINK(CONCATENATE("#Metadata!", ADDRESS(INDEX($X$2:$X$1001,MATCH(ROWS($V$2:V919),$V$2:$V$1001,0),0), INDEX($AC$1004:$AS$1004,1,MATCH(COLUMNS($AC$1006:AJ1006),$AC$1006:$AS$1006,0)))),"Fix")))</f>
        <v>0</v>
      </c>
      <c r="J919" s="5">
        <f>IF(OR(INDEX($W$2:$W$1001,MATCH(ROWS($V$2:V919),$V$2:$V$1001,0),1)&gt;=100000,INDEX($AC$1005:$AS$1005,1,MATCH(COLUMNS($AC$1006:AK1006),$AC$1006:$AS$1006,0))&gt;=100000), " ",IF(INDEX($AC$2:$AS$1001,MATCH(ROWS($V$2:V919),$V$2:$V$1001,0),MATCH(COLUMNS($AC$1006:AK1006),$AC$1006:$AS$1006,0)), HYPERLINK("#",""), HYPERLINK(CONCATENATE("#Metadata!", ADDRESS(INDEX($X$2:$X$1001,MATCH(ROWS($V$2:V919),$V$2:$V$1001,0),0), INDEX($AC$1004:$AS$1004,1,MATCH(COLUMNS($AC$1006:AK1006),$AC$1006:$AS$1006,0)))),"Fix")))</f>
        <v>0</v>
      </c>
      <c r="K919" s="5">
        <f>IF(OR(INDEX($W$2:$W$1001,MATCH(ROWS($V$2:V919),$V$2:$V$1001,0),1)&gt;=100000,INDEX($AC$1005:$AS$1005,1,MATCH(COLUMNS($AC$1006:AL1006),$AC$1006:$AS$1006,0))&gt;=100000), " ",IF(INDEX($AC$2:$AS$1001,MATCH(ROWS($V$2:V919),$V$2:$V$1001,0),MATCH(COLUMNS($AC$1006:AL1006),$AC$1006:$AS$1006,0)), HYPERLINK("#",""), HYPERLINK(CONCATENATE("#Metadata!", ADDRESS(INDEX($X$2:$X$1001,MATCH(ROWS($V$2:V919),$V$2:$V$1001,0),0), INDEX($AC$1004:$AS$1004,1,MATCH(COLUMNS($AC$1006:AL1006),$AC$1006:$AS$1006,0)))),"Fix")))</f>
        <v>0</v>
      </c>
      <c r="L919" s="5">
        <f>IF(OR(INDEX($W$2:$W$1001,MATCH(ROWS($V$2:V919),$V$2:$V$1001,0),1)&gt;=100000,INDEX($AC$1005:$AS$1005,1,MATCH(COLUMNS($AC$1006:AM1006),$AC$1006:$AS$1006,0))&gt;=100000), " ",IF(INDEX($AC$2:$AS$1001,MATCH(ROWS($V$2:V919),$V$2:$V$1001,0),MATCH(COLUMNS($AC$1006:AM1006),$AC$1006:$AS$1006,0)), HYPERLINK("#",""), HYPERLINK(CONCATENATE("#Metadata!", ADDRESS(INDEX($X$2:$X$1001,MATCH(ROWS($V$2:V919),$V$2:$V$1001,0),0), INDEX($AC$1004:$AS$1004,1,MATCH(COLUMNS($AC$1006:AM1006),$AC$1006:$AS$1006,0)))),"Fix")))</f>
        <v>0</v>
      </c>
      <c r="M919" s="5">
        <f>IF(OR(INDEX($W$2:$W$1001,MATCH(ROWS($V$2:V919),$V$2:$V$1001,0),1)&gt;=100000,INDEX($AC$1005:$AS$1005,1,MATCH(COLUMNS($AC$1006:AN1006),$AC$1006:$AS$1006,0))&gt;=100000), " ",IF(INDEX($AC$2:$AS$1001,MATCH(ROWS($V$2:V919),$V$2:$V$1001,0),MATCH(COLUMNS($AC$1006:AN1006),$AC$1006:$AS$1006,0)), HYPERLINK("#",""), HYPERLINK(CONCATENATE("#Metadata!", ADDRESS(INDEX($X$2:$X$1001,MATCH(ROWS($V$2:V919),$V$2:$V$1001,0),0), INDEX($AC$1004:$AS$1004,1,MATCH(COLUMNS($AC$1006:AN1006),$AC$1006:$AS$1006,0)))),"Fix")))</f>
        <v>0</v>
      </c>
      <c r="N919" s="5">
        <f>IF(OR(INDEX($W$2:$W$1001,MATCH(ROWS($V$2:V919),$V$2:$V$1001,0),1)&gt;=100000,INDEX($AC$1005:$AS$1005,1,MATCH(COLUMNS($AC$1006:AO1006),$AC$1006:$AS$1006,0))&gt;=100000), " ",IF(INDEX($AC$2:$AS$1001,MATCH(ROWS($V$2:V919),$V$2:$V$1001,0),MATCH(COLUMNS($AC$1006:AO1006),$AC$1006:$AS$1006,0)), HYPERLINK("#",""), HYPERLINK(CONCATENATE("#Metadata!", ADDRESS(INDEX($X$2:$X$1001,MATCH(ROWS($V$2:V919),$V$2:$V$1001,0),0), INDEX($AC$1004:$AS$1004,1,MATCH(COLUMNS($AC$1006:AO1006),$AC$1006:$AS$1006,0)))),"Fix")))</f>
        <v>0</v>
      </c>
      <c r="O919" s="5">
        <f>IF(OR(INDEX($W$2:$W$1001,MATCH(ROWS($V$2:V919),$V$2:$V$1001,0),1)&gt;=100000,INDEX($AC$1005:$AS$1005,1,MATCH(COLUMNS($AC$1006:AP1006),$AC$1006:$AS$1006,0))&gt;=100000), " ",IF(INDEX($AC$2:$AS$1001,MATCH(ROWS($V$2:V919),$V$2:$V$1001,0),MATCH(COLUMNS($AC$1006:AP1006),$AC$1006:$AS$1006,0)), HYPERLINK("#",""), HYPERLINK(CONCATENATE("#Metadata!", ADDRESS(INDEX($X$2:$X$1001,MATCH(ROWS($V$2:V919),$V$2:$V$1001,0),0), INDEX($AC$1004:$AS$1004,1,MATCH(COLUMNS($AC$1006:AP1006),$AC$1006:$AS$1006,0)))),"Fix")))</f>
        <v>0</v>
      </c>
      <c r="P919" s="5">
        <f>IF(OR(INDEX($W$2:$W$1001,MATCH(ROWS($V$2:V919),$V$2:$V$1001,0),1)&gt;=100000,INDEX($AC$1005:$AS$1005,1,MATCH(COLUMNS($AC$1006:AQ1006),$AC$1006:$AS$1006,0))&gt;=100000), " ",IF(INDEX($AC$2:$AS$1001,MATCH(ROWS($V$2:V919),$V$2:$V$1001,0),MATCH(COLUMNS($AC$1006:AQ1006),$AC$1006:$AS$1006,0)), HYPERLINK("#",""), HYPERLINK(CONCATENATE("#Metadata!", ADDRESS(INDEX($X$2:$X$1001,MATCH(ROWS($V$2:V919),$V$2:$V$1001,0),0), INDEX($AC$1004:$AS$1004,1,MATCH(COLUMNS($AC$1006:AQ1006),$AC$1006:$AS$1006,0)))),"Fix")))</f>
        <v>0</v>
      </c>
      <c r="Q919" s="5">
        <f>IF(OR(INDEX($W$2:$W$1001,MATCH(ROWS($V$2:V919),$V$2:$V$1001,0),1)&gt;=100000,INDEX($AC$1005:$AS$1005,1,MATCH(COLUMNS($AC$1006:AR1006),$AC$1006:$AS$1006,0))&gt;=100000), " ",IF(INDEX($AC$2:$AS$1001,MATCH(ROWS($V$2:V919),$V$2:$V$1001,0),MATCH(COLUMNS($AC$1006:AR1006),$AC$1006:$AS$1006,0)), HYPERLINK("#",""), HYPERLINK(CONCATENATE("#Metadata!", ADDRESS(INDEX($X$2:$X$1001,MATCH(ROWS($V$2:V919),$V$2:$V$1001,0),0), INDEX($AC$1004:$AS$1004,1,MATCH(COLUMNS($AC$1006:AR1006),$AC$1006:$AS$1006,0)))),"Fix")))</f>
        <v>0</v>
      </c>
      <c r="R919" s="5">
        <f>IF(OR(INDEX($W$2:$W$1001,MATCH(ROWS($V$2:V919),$V$2:$V$1001,0),1)&gt;=100000,INDEX($AC$1005:$AS$1005,1,MATCH(COLUMNS($AC$1006:AS1006),$AC$1006:$AS$1006,0))&gt;=100000), " ",IF(INDEX($AC$2:$AS$1001,MATCH(ROWS($V$2:V919),$V$2:$V$1001,0),MATCH(COLUMNS($AC$1006:AS1006),$AC$1006:$AS$1006,0)), HYPERLINK("#",""), HYPERLINK(CONCATENATE("#Metadata!", ADDRESS(INDEX($X$2:$X$1001,MATCH(ROWS($V$2:V919),$V$2:$V$1001,0),0), INDEX($AC$1004:$AS$1004,1,MATCH(COLUMNS($AC$1006:AS1006),$AC$1006:$AS$1006,0)))),"Fix")))</f>
        <v>0</v>
      </c>
      <c r="V919">
        <v>0</v>
      </c>
      <c r="W919">
        <v>0</v>
      </c>
      <c r="X919">
        <v>0</v>
      </c>
      <c r="Y919">
        <f>IF(Z919,TRUE,AND(AC919:AS919))</f>
        <v>0</v>
      </c>
      <c r="Z919">
        <f>COUNTBLANK(Metadata!B919:R919)=COLUMNS(Metadata!B919:R919)</f>
        <v>0</v>
      </c>
      <c r="AA919">
        <v>0</v>
      </c>
      <c r="AC919">
        <f>AND(IF(Metadata!B919="",FALSE,TRUE),COUNTIF(Metadata!B:B, Metadata!B919) = 1,NOT(ISERROR(SUMPRODUCT(SEARCH(MID(Metadata!B919,ROW(INDIRECT("1:"&amp;LEN(Metadata!B919))), 1),"0123456789abcdefghijklmnopqrstuvwxyzABCDEFGHIJKLMNOPQRSTUVWXYZ.")))))</f>
        <v>0</v>
      </c>
      <c r="AD919">
        <f>AND(IF(Metadata!C919="",FALSE,TRUE),exact(Metadata!C919,"Host-associated"))</f>
        <v>0</v>
      </c>
      <c r="AE919">
        <f>AND(IF(Metadata!D919="",FALSE,TRUE),OR(exact(Metadata!D919,"Animal"),exact(Metadata!D919,"Fungus"),exact(Metadata!D919,"Plant")))</f>
        <v>0</v>
      </c>
      <c r="AF919">
        <f>AND(IF(Metadata!E919="",FALSE,TRUE),OR(exact(Metadata!E919,"Plant secretion"),exact(Metadata!E919,"Plant rhizosphere"),exact(Metadata!E919,"Plant surface"),exact(Metadata!E919,"Plant corpus"),exact(Metadata!E919,"Fungus surface"),exact(Metadata!E919,"Fungus corpus"),exact(Metadata!E919,"Animal surface"),exact(Metadata!E919,"Animal proximal gut"),exact(Metadata!E919,"Animal corpus"),exact(Metadata!E919,"Animal distal gut"),exact(Metadata!E919,"Animal secretion")))</f>
        <v>0</v>
      </c>
      <c r="AG919">
        <f>OR(AND(IF(Metadata!F919="",FALSE,TRUE),OR(exact(Metadata!F919,"not collected"),exact(Metadata!F919,"not provided"),exact(Metadata!F919,"restricted access"))),AND(IF(Metadata!F919="",FALSE,TRUE),OR(exact(Metadata!F919,"organism-associated habitat"),exact(Metadata!F919,"plant-associated habitat"),exact(Metadata!F919,"animal-associated habitat"),exact(Metadata!F919,"insecta-associated habitat"),exact(Metadata!F919,"mammalia-associated habitat"),exact(Metadata!F919,"human-associated habitat"),exact(Metadata!F919,"livestock-associated habitat"))))</f>
        <v>0</v>
      </c>
      <c r="AH919">
        <f>AND(IF(Metadata!G919="",FALSE,TRUE),exact(Metadata!G919,"host-associated"))</f>
        <v>0</v>
      </c>
      <c r="AI919">
        <f>OR(AND(IF(Metadata!H919="",FALSE,TRUE),OR(exact(Metadata!H919,"not collected"),exact(Metadata!H919,"not provided"))),AND(IF(Metadata!H919="",FALSE,ISNUMBER(VALUE(Metadata!H919))),Metadata!H919&gt;0))</f>
        <v>0</v>
      </c>
      <c r="AJ919">
        <f>AND(IF(Metadata!I919="",FALSE,TRUE),exact(Metadata!I919,"years"))</f>
        <v>0</v>
      </c>
      <c r="AK919">
        <f>IF(Metadata!J919="",FALSE,TRUE)</f>
        <v>0</v>
      </c>
      <c r="AL919">
        <f>OR(AND(IF(Metadata!K919="",FALSE,TRUE),OR(exact(Metadata!K919,"not collected"),exact(Metadata!K919,"not provided"))),AND(IF(Metadata!K919="",FALSE,ISNUMBER(VALUE(Metadata!K919))),Metadata!K919&gt;0))</f>
        <v>0</v>
      </c>
      <c r="AM919">
        <f>AND(IF(Metadata!L919="",FALSE,TRUE),exact(Metadata!L919,"cm"))</f>
        <v>0</v>
      </c>
      <c r="AN919">
        <f>IF(Metadata!M919="",FALSE,TRUE)</f>
        <v>0</v>
      </c>
      <c r="AO919">
        <f>OR(AND(IF(Metadata!N919="",FALSE,TRUE),OR(exact(Metadata!N919,"not applicable"),exact(Metadata!N919,"not collected"),exact(Metadata!N919,"not provided"))),AND(IF(Metadata!N919="",FALSE,IF(ISERROR(INT(Metadata!N919)),FALSE,INT(Metadata!N919)=Metadata!N919)),Metadata!N919&gt;0))</f>
        <v>0</v>
      </c>
      <c r="AP919">
        <f>OR(AND(IF(Metadata!O919="",FALSE,TRUE),OR(exact(Metadata!O919,"not collected"),exact(Metadata!O919,"not provided"))),AND(IF(Metadata!O919="",FALSE,ISNUMBER(VALUE(Metadata!O919))),Metadata!O919&gt;0))</f>
        <v>0</v>
      </c>
      <c r="AQ919">
        <f>AND(IF(Metadata!P919="",FALSE,TRUE),exact(Metadata!P919,"kg"))</f>
        <v>0</v>
      </c>
      <c r="AR919">
        <f>OR(AND(IF(Metadata!Q919="",FALSE,TRUE),OR(exact(Metadata!Q919,"not applicable"),exact(Metadata!Q919,"not collected"),exact(Metadata!Q919,"not provided"),exact(Metadata!Q919,"restricted access"))),IF(Metadata!Q919="",FALSE,IF(ISERROR(INT(Metadata!Q919)),FALSE,INT(Metadata!Q919)=Metadata!Q919)))</f>
        <v>0</v>
      </c>
      <c r="AS919">
        <f>AND(IF(Metadata!R919="",FALSE,TRUE),exact(Metadata!R919,"Not applicable"))</f>
        <v>0</v>
      </c>
    </row>
    <row r="920" spans="1:45">
      <c r="A920" s="4">
        <f>IF(B920=" "," ",HYPERLINK(CONCATENATE("#metadata!",ADDRESS(INDEX($X$2:$X$1001,MATCH(ROWS($V$2:V920),$V$2:$V$1001,0),0),2)),INDEX($AA$2:$AA$1001,MATCH(ROWS($V$2:V920),$V$2:$V$1001,0),0)))</f>
        <v>0</v>
      </c>
      <c r="B920" s="5">
        <f>IF(OR(INDEX($W$2:$W$1001,MATCH(ROWS($V$2:V920),$V$2:$V$1001,0),1)&gt;=100000,INDEX($AC$1005:$AS$1005,1,MATCH(COLUMNS($AC$1006:AC1006),$AC$1006:$AS$1006,0))&gt;=100000), " ",IF(INDEX($AC$2:$AS$1001,MATCH(ROWS($V$2:V920),$V$2:$V$1001,0),MATCH(COLUMNS($AC$1006:AC1006),$AC$1006:$AS$1006,0)), HYPERLINK("#",""), HYPERLINK(CONCATENATE("#Metadata!", ADDRESS(INDEX($X$2:$X$1001,MATCH(ROWS($V$2:V920),$V$2:$V$1001,0),0), INDEX($AC$1004:$AS$1004,1,MATCH(COLUMNS($AC$1006:AC1006),$AC$1006:$AS$1006,0)))),"Fix")))</f>
        <v>0</v>
      </c>
      <c r="C920" s="5">
        <f>IF(OR(INDEX($W$2:$W$1001,MATCH(ROWS($V$2:V920),$V$2:$V$1001,0),1)&gt;=100000,INDEX($AC$1005:$AS$1005,1,MATCH(COLUMNS($AC$1006:AD1006),$AC$1006:$AS$1006,0))&gt;=100000), " ",IF(INDEX($AC$2:$AS$1001,MATCH(ROWS($V$2:V920),$V$2:$V$1001,0),MATCH(COLUMNS($AC$1006:AD1006),$AC$1006:$AS$1006,0)), HYPERLINK("#",""), HYPERLINK(CONCATENATE("#Metadata!", ADDRESS(INDEX($X$2:$X$1001,MATCH(ROWS($V$2:V920),$V$2:$V$1001,0),0), INDEX($AC$1004:$AS$1004,1,MATCH(COLUMNS($AC$1006:AD1006),$AC$1006:$AS$1006,0)))),"Fix")))</f>
        <v>0</v>
      </c>
      <c r="D920" s="5">
        <f>IF(OR(INDEX($W$2:$W$1001,MATCH(ROWS($V$2:V920),$V$2:$V$1001,0),1)&gt;=100000,INDEX($AC$1005:$AS$1005,1,MATCH(COLUMNS($AC$1006:AE1006),$AC$1006:$AS$1006,0))&gt;=100000), " ",IF(INDEX($AC$2:$AS$1001,MATCH(ROWS($V$2:V920),$V$2:$V$1001,0),MATCH(COLUMNS($AC$1006:AE1006),$AC$1006:$AS$1006,0)), HYPERLINK("#",""), HYPERLINK(CONCATENATE("#Metadata!", ADDRESS(INDEX($X$2:$X$1001,MATCH(ROWS($V$2:V920),$V$2:$V$1001,0),0), INDEX($AC$1004:$AS$1004,1,MATCH(COLUMNS($AC$1006:AE1006),$AC$1006:$AS$1006,0)))),"Fix")))</f>
        <v>0</v>
      </c>
      <c r="E920" s="5">
        <f>IF(OR(INDEX($W$2:$W$1001,MATCH(ROWS($V$2:V920),$V$2:$V$1001,0),1)&gt;=100000,INDEX($AC$1005:$AS$1005,1,MATCH(COLUMNS($AC$1006:AF1006),$AC$1006:$AS$1006,0))&gt;=100000), " ",IF(INDEX($AC$2:$AS$1001,MATCH(ROWS($V$2:V920),$V$2:$V$1001,0),MATCH(COLUMNS($AC$1006:AF1006),$AC$1006:$AS$1006,0)), HYPERLINK("#",""), HYPERLINK(CONCATENATE("#Metadata!", ADDRESS(INDEX($X$2:$X$1001,MATCH(ROWS($V$2:V920),$V$2:$V$1001,0),0), INDEX($AC$1004:$AS$1004,1,MATCH(COLUMNS($AC$1006:AF1006),$AC$1006:$AS$1006,0)))),"Fix")))</f>
        <v>0</v>
      </c>
      <c r="F920" s="5">
        <f>IF(OR(INDEX($W$2:$W$1001,MATCH(ROWS($V$2:V920),$V$2:$V$1001,0),1)&gt;=100000,INDEX($AC$1005:$AS$1005,1,MATCH(COLUMNS($AC$1006:AG1006),$AC$1006:$AS$1006,0))&gt;=100000), " ",IF(INDEX($AC$2:$AS$1001,MATCH(ROWS($V$2:V920),$V$2:$V$1001,0),MATCH(COLUMNS($AC$1006:AG1006),$AC$1006:$AS$1006,0)), HYPERLINK("#",""), HYPERLINK(CONCATENATE("#Metadata!", ADDRESS(INDEX($X$2:$X$1001,MATCH(ROWS($V$2:V920),$V$2:$V$1001,0),0), INDEX($AC$1004:$AS$1004,1,MATCH(COLUMNS($AC$1006:AG1006),$AC$1006:$AS$1006,0)))),"Fix")))</f>
        <v>0</v>
      </c>
      <c r="G920" s="5">
        <f>IF(OR(INDEX($W$2:$W$1001,MATCH(ROWS($V$2:V920),$V$2:$V$1001,0),1)&gt;=100000,INDEX($AC$1005:$AS$1005,1,MATCH(COLUMNS($AC$1006:AH1006),$AC$1006:$AS$1006,0))&gt;=100000), " ",IF(INDEX($AC$2:$AS$1001,MATCH(ROWS($V$2:V920),$V$2:$V$1001,0),MATCH(COLUMNS($AC$1006:AH1006),$AC$1006:$AS$1006,0)), HYPERLINK("#",""), HYPERLINK(CONCATENATE("#Metadata!", ADDRESS(INDEX($X$2:$X$1001,MATCH(ROWS($V$2:V920),$V$2:$V$1001,0),0), INDEX($AC$1004:$AS$1004,1,MATCH(COLUMNS($AC$1006:AH1006),$AC$1006:$AS$1006,0)))),"Fix")))</f>
        <v>0</v>
      </c>
      <c r="H920" s="5">
        <f>IF(OR(INDEX($W$2:$W$1001,MATCH(ROWS($V$2:V920),$V$2:$V$1001,0),1)&gt;=100000,INDEX($AC$1005:$AS$1005,1,MATCH(COLUMNS($AC$1006:AI1006),$AC$1006:$AS$1006,0))&gt;=100000), " ",IF(INDEX($AC$2:$AS$1001,MATCH(ROWS($V$2:V920),$V$2:$V$1001,0),MATCH(COLUMNS($AC$1006:AI1006),$AC$1006:$AS$1006,0)), HYPERLINK("#",""), HYPERLINK(CONCATENATE("#Metadata!", ADDRESS(INDEX($X$2:$X$1001,MATCH(ROWS($V$2:V920),$V$2:$V$1001,0),0), INDEX($AC$1004:$AS$1004,1,MATCH(COLUMNS($AC$1006:AI1006),$AC$1006:$AS$1006,0)))),"Fix")))</f>
        <v>0</v>
      </c>
      <c r="I920" s="5">
        <f>IF(OR(INDEX($W$2:$W$1001,MATCH(ROWS($V$2:V920),$V$2:$V$1001,0),1)&gt;=100000,INDEX($AC$1005:$AS$1005,1,MATCH(COLUMNS($AC$1006:AJ1006),$AC$1006:$AS$1006,0))&gt;=100000), " ",IF(INDEX($AC$2:$AS$1001,MATCH(ROWS($V$2:V920),$V$2:$V$1001,0),MATCH(COLUMNS($AC$1006:AJ1006),$AC$1006:$AS$1006,0)), HYPERLINK("#",""), HYPERLINK(CONCATENATE("#Metadata!", ADDRESS(INDEX($X$2:$X$1001,MATCH(ROWS($V$2:V920),$V$2:$V$1001,0),0), INDEX($AC$1004:$AS$1004,1,MATCH(COLUMNS($AC$1006:AJ1006),$AC$1006:$AS$1006,0)))),"Fix")))</f>
        <v>0</v>
      </c>
      <c r="J920" s="5">
        <f>IF(OR(INDEX($W$2:$W$1001,MATCH(ROWS($V$2:V920),$V$2:$V$1001,0),1)&gt;=100000,INDEX($AC$1005:$AS$1005,1,MATCH(COLUMNS($AC$1006:AK1006),$AC$1006:$AS$1006,0))&gt;=100000), " ",IF(INDEX($AC$2:$AS$1001,MATCH(ROWS($V$2:V920),$V$2:$V$1001,0),MATCH(COLUMNS($AC$1006:AK1006),$AC$1006:$AS$1006,0)), HYPERLINK("#",""), HYPERLINK(CONCATENATE("#Metadata!", ADDRESS(INDEX($X$2:$X$1001,MATCH(ROWS($V$2:V920),$V$2:$V$1001,0),0), INDEX($AC$1004:$AS$1004,1,MATCH(COLUMNS($AC$1006:AK1006),$AC$1006:$AS$1006,0)))),"Fix")))</f>
        <v>0</v>
      </c>
      <c r="K920" s="5">
        <f>IF(OR(INDEX($W$2:$W$1001,MATCH(ROWS($V$2:V920),$V$2:$V$1001,0),1)&gt;=100000,INDEX($AC$1005:$AS$1005,1,MATCH(COLUMNS($AC$1006:AL1006),$AC$1006:$AS$1006,0))&gt;=100000), " ",IF(INDEX($AC$2:$AS$1001,MATCH(ROWS($V$2:V920),$V$2:$V$1001,0),MATCH(COLUMNS($AC$1006:AL1006),$AC$1006:$AS$1006,0)), HYPERLINK("#",""), HYPERLINK(CONCATENATE("#Metadata!", ADDRESS(INDEX($X$2:$X$1001,MATCH(ROWS($V$2:V920),$V$2:$V$1001,0),0), INDEX($AC$1004:$AS$1004,1,MATCH(COLUMNS($AC$1006:AL1006),$AC$1006:$AS$1006,0)))),"Fix")))</f>
        <v>0</v>
      </c>
      <c r="L920" s="5">
        <f>IF(OR(INDEX($W$2:$W$1001,MATCH(ROWS($V$2:V920),$V$2:$V$1001,0),1)&gt;=100000,INDEX($AC$1005:$AS$1005,1,MATCH(COLUMNS($AC$1006:AM1006),$AC$1006:$AS$1006,0))&gt;=100000), " ",IF(INDEX($AC$2:$AS$1001,MATCH(ROWS($V$2:V920),$V$2:$V$1001,0),MATCH(COLUMNS($AC$1006:AM1006),$AC$1006:$AS$1006,0)), HYPERLINK("#",""), HYPERLINK(CONCATENATE("#Metadata!", ADDRESS(INDEX($X$2:$X$1001,MATCH(ROWS($V$2:V920),$V$2:$V$1001,0),0), INDEX($AC$1004:$AS$1004,1,MATCH(COLUMNS($AC$1006:AM1006),$AC$1006:$AS$1006,0)))),"Fix")))</f>
        <v>0</v>
      </c>
      <c r="M920" s="5">
        <f>IF(OR(INDEX($W$2:$W$1001,MATCH(ROWS($V$2:V920),$V$2:$V$1001,0),1)&gt;=100000,INDEX($AC$1005:$AS$1005,1,MATCH(COLUMNS($AC$1006:AN1006),$AC$1006:$AS$1006,0))&gt;=100000), " ",IF(INDEX($AC$2:$AS$1001,MATCH(ROWS($V$2:V920),$V$2:$V$1001,0),MATCH(COLUMNS($AC$1006:AN1006),$AC$1006:$AS$1006,0)), HYPERLINK("#",""), HYPERLINK(CONCATENATE("#Metadata!", ADDRESS(INDEX($X$2:$X$1001,MATCH(ROWS($V$2:V920),$V$2:$V$1001,0),0), INDEX($AC$1004:$AS$1004,1,MATCH(COLUMNS($AC$1006:AN1006),$AC$1006:$AS$1006,0)))),"Fix")))</f>
        <v>0</v>
      </c>
      <c r="N920" s="5">
        <f>IF(OR(INDEX($W$2:$W$1001,MATCH(ROWS($V$2:V920),$V$2:$V$1001,0),1)&gt;=100000,INDEX($AC$1005:$AS$1005,1,MATCH(COLUMNS($AC$1006:AO1006),$AC$1006:$AS$1006,0))&gt;=100000), " ",IF(INDEX($AC$2:$AS$1001,MATCH(ROWS($V$2:V920),$V$2:$V$1001,0),MATCH(COLUMNS($AC$1006:AO1006),$AC$1006:$AS$1006,0)), HYPERLINK("#",""), HYPERLINK(CONCATENATE("#Metadata!", ADDRESS(INDEX($X$2:$X$1001,MATCH(ROWS($V$2:V920),$V$2:$V$1001,0),0), INDEX($AC$1004:$AS$1004,1,MATCH(COLUMNS($AC$1006:AO1006),$AC$1006:$AS$1006,0)))),"Fix")))</f>
        <v>0</v>
      </c>
      <c r="O920" s="5">
        <f>IF(OR(INDEX($W$2:$W$1001,MATCH(ROWS($V$2:V920),$V$2:$V$1001,0),1)&gt;=100000,INDEX($AC$1005:$AS$1005,1,MATCH(COLUMNS($AC$1006:AP1006),$AC$1006:$AS$1006,0))&gt;=100000), " ",IF(INDEX($AC$2:$AS$1001,MATCH(ROWS($V$2:V920),$V$2:$V$1001,0),MATCH(COLUMNS($AC$1006:AP1006),$AC$1006:$AS$1006,0)), HYPERLINK("#",""), HYPERLINK(CONCATENATE("#Metadata!", ADDRESS(INDEX($X$2:$X$1001,MATCH(ROWS($V$2:V920),$V$2:$V$1001,0),0), INDEX($AC$1004:$AS$1004,1,MATCH(COLUMNS($AC$1006:AP1006),$AC$1006:$AS$1006,0)))),"Fix")))</f>
        <v>0</v>
      </c>
      <c r="P920" s="5">
        <f>IF(OR(INDEX($W$2:$W$1001,MATCH(ROWS($V$2:V920),$V$2:$V$1001,0),1)&gt;=100000,INDEX($AC$1005:$AS$1005,1,MATCH(COLUMNS($AC$1006:AQ1006),$AC$1006:$AS$1006,0))&gt;=100000), " ",IF(INDEX($AC$2:$AS$1001,MATCH(ROWS($V$2:V920),$V$2:$V$1001,0),MATCH(COLUMNS($AC$1006:AQ1006),$AC$1006:$AS$1006,0)), HYPERLINK("#",""), HYPERLINK(CONCATENATE("#Metadata!", ADDRESS(INDEX($X$2:$X$1001,MATCH(ROWS($V$2:V920),$V$2:$V$1001,0),0), INDEX($AC$1004:$AS$1004,1,MATCH(COLUMNS($AC$1006:AQ1006),$AC$1006:$AS$1006,0)))),"Fix")))</f>
        <v>0</v>
      </c>
      <c r="Q920" s="5">
        <f>IF(OR(INDEX($W$2:$W$1001,MATCH(ROWS($V$2:V920),$V$2:$V$1001,0),1)&gt;=100000,INDEX($AC$1005:$AS$1005,1,MATCH(COLUMNS($AC$1006:AR1006),$AC$1006:$AS$1006,0))&gt;=100000), " ",IF(INDEX($AC$2:$AS$1001,MATCH(ROWS($V$2:V920),$V$2:$V$1001,0),MATCH(COLUMNS($AC$1006:AR1006),$AC$1006:$AS$1006,0)), HYPERLINK("#",""), HYPERLINK(CONCATENATE("#Metadata!", ADDRESS(INDEX($X$2:$X$1001,MATCH(ROWS($V$2:V920),$V$2:$V$1001,0),0), INDEX($AC$1004:$AS$1004,1,MATCH(COLUMNS($AC$1006:AR1006),$AC$1006:$AS$1006,0)))),"Fix")))</f>
        <v>0</v>
      </c>
      <c r="R920" s="5">
        <f>IF(OR(INDEX($W$2:$W$1001,MATCH(ROWS($V$2:V920),$V$2:$V$1001,0),1)&gt;=100000,INDEX($AC$1005:$AS$1005,1,MATCH(COLUMNS($AC$1006:AS1006),$AC$1006:$AS$1006,0))&gt;=100000), " ",IF(INDEX($AC$2:$AS$1001,MATCH(ROWS($V$2:V920),$V$2:$V$1001,0),MATCH(COLUMNS($AC$1006:AS1006),$AC$1006:$AS$1006,0)), HYPERLINK("#",""), HYPERLINK(CONCATENATE("#Metadata!", ADDRESS(INDEX($X$2:$X$1001,MATCH(ROWS($V$2:V920),$V$2:$V$1001,0),0), INDEX($AC$1004:$AS$1004,1,MATCH(COLUMNS($AC$1006:AS1006),$AC$1006:$AS$1006,0)))),"Fix")))</f>
        <v>0</v>
      </c>
      <c r="V920">
        <v>0</v>
      </c>
      <c r="W920">
        <v>0</v>
      </c>
      <c r="X920">
        <v>0</v>
      </c>
      <c r="Y920">
        <f>IF(Z920,TRUE,AND(AC920:AS920))</f>
        <v>0</v>
      </c>
      <c r="Z920">
        <f>COUNTBLANK(Metadata!B920:R920)=COLUMNS(Metadata!B920:R920)</f>
        <v>0</v>
      </c>
      <c r="AA920">
        <v>0</v>
      </c>
      <c r="AC920">
        <f>AND(IF(Metadata!B920="",FALSE,TRUE),COUNTIF(Metadata!B:B, Metadata!B920) = 1,NOT(ISERROR(SUMPRODUCT(SEARCH(MID(Metadata!B920,ROW(INDIRECT("1:"&amp;LEN(Metadata!B920))), 1),"0123456789abcdefghijklmnopqrstuvwxyzABCDEFGHIJKLMNOPQRSTUVWXYZ.")))))</f>
        <v>0</v>
      </c>
      <c r="AD920">
        <f>AND(IF(Metadata!C920="",FALSE,TRUE),exact(Metadata!C920,"Host-associated"))</f>
        <v>0</v>
      </c>
      <c r="AE920">
        <f>AND(IF(Metadata!D920="",FALSE,TRUE),OR(exact(Metadata!D920,"Animal"),exact(Metadata!D920,"Fungus"),exact(Metadata!D920,"Plant")))</f>
        <v>0</v>
      </c>
      <c r="AF920">
        <f>AND(IF(Metadata!E920="",FALSE,TRUE),OR(exact(Metadata!E920,"Plant secretion"),exact(Metadata!E920,"Plant rhizosphere"),exact(Metadata!E920,"Plant surface"),exact(Metadata!E920,"Plant corpus"),exact(Metadata!E920,"Fungus surface"),exact(Metadata!E920,"Fungus corpus"),exact(Metadata!E920,"Animal surface"),exact(Metadata!E920,"Animal proximal gut"),exact(Metadata!E920,"Animal corpus"),exact(Metadata!E920,"Animal distal gut"),exact(Metadata!E920,"Animal secretion")))</f>
        <v>0</v>
      </c>
      <c r="AG920">
        <f>OR(AND(IF(Metadata!F920="",FALSE,TRUE),OR(exact(Metadata!F920,"not collected"),exact(Metadata!F920,"not provided"),exact(Metadata!F920,"restricted access"))),AND(IF(Metadata!F920="",FALSE,TRUE),OR(exact(Metadata!F920,"organism-associated habitat"),exact(Metadata!F920,"plant-associated habitat"),exact(Metadata!F920,"animal-associated habitat"),exact(Metadata!F920,"insecta-associated habitat"),exact(Metadata!F920,"mammalia-associated habitat"),exact(Metadata!F920,"human-associated habitat"),exact(Metadata!F920,"livestock-associated habitat"))))</f>
        <v>0</v>
      </c>
      <c r="AH920">
        <f>AND(IF(Metadata!G920="",FALSE,TRUE),exact(Metadata!G920,"host-associated"))</f>
        <v>0</v>
      </c>
      <c r="AI920">
        <f>OR(AND(IF(Metadata!H920="",FALSE,TRUE),OR(exact(Metadata!H920,"not collected"),exact(Metadata!H920,"not provided"))),AND(IF(Metadata!H920="",FALSE,ISNUMBER(VALUE(Metadata!H920))),Metadata!H920&gt;0))</f>
        <v>0</v>
      </c>
      <c r="AJ920">
        <f>AND(IF(Metadata!I920="",FALSE,TRUE),exact(Metadata!I920,"years"))</f>
        <v>0</v>
      </c>
      <c r="AK920">
        <f>IF(Metadata!J920="",FALSE,TRUE)</f>
        <v>0</v>
      </c>
      <c r="AL920">
        <f>OR(AND(IF(Metadata!K920="",FALSE,TRUE),OR(exact(Metadata!K920,"not collected"),exact(Metadata!K920,"not provided"))),AND(IF(Metadata!K920="",FALSE,ISNUMBER(VALUE(Metadata!K920))),Metadata!K920&gt;0))</f>
        <v>0</v>
      </c>
      <c r="AM920">
        <f>AND(IF(Metadata!L920="",FALSE,TRUE),exact(Metadata!L920,"cm"))</f>
        <v>0</v>
      </c>
      <c r="AN920">
        <f>IF(Metadata!M920="",FALSE,TRUE)</f>
        <v>0</v>
      </c>
      <c r="AO920">
        <f>OR(AND(IF(Metadata!N920="",FALSE,TRUE),OR(exact(Metadata!N920,"not applicable"),exact(Metadata!N920,"not collected"),exact(Metadata!N920,"not provided"))),AND(IF(Metadata!N920="",FALSE,IF(ISERROR(INT(Metadata!N920)),FALSE,INT(Metadata!N920)=Metadata!N920)),Metadata!N920&gt;0))</f>
        <v>0</v>
      </c>
      <c r="AP920">
        <f>OR(AND(IF(Metadata!O920="",FALSE,TRUE),OR(exact(Metadata!O920,"not collected"),exact(Metadata!O920,"not provided"))),AND(IF(Metadata!O920="",FALSE,ISNUMBER(VALUE(Metadata!O920))),Metadata!O920&gt;0))</f>
        <v>0</v>
      </c>
      <c r="AQ920">
        <f>AND(IF(Metadata!P920="",FALSE,TRUE),exact(Metadata!P920,"kg"))</f>
        <v>0</v>
      </c>
      <c r="AR920">
        <f>OR(AND(IF(Metadata!Q920="",FALSE,TRUE),OR(exact(Metadata!Q920,"not applicable"),exact(Metadata!Q920,"not collected"),exact(Metadata!Q920,"not provided"),exact(Metadata!Q920,"restricted access"))),IF(Metadata!Q920="",FALSE,IF(ISERROR(INT(Metadata!Q920)),FALSE,INT(Metadata!Q920)=Metadata!Q920)))</f>
        <v>0</v>
      </c>
      <c r="AS920">
        <f>AND(IF(Metadata!R920="",FALSE,TRUE),exact(Metadata!R920,"Not applicable"))</f>
        <v>0</v>
      </c>
    </row>
    <row r="921" spans="1:45">
      <c r="A921" s="4">
        <f>IF(B921=" "," ",HYPERLINK(CONCATENATE("#metadata!",ADDRESS(INDEX($X$2:$X$1001,MATCH(ROWS($V$2:V921),$V$2:$V$1001,0),0),2)),INDEX($AA$2:$AA$1001,MATCH(ROWS($V$2:V921),$V$2:$V$1001,0),0)))</f>
        <v>0</v>
      </c>
      <c r="B921" s="5">
        <f>IF(OR(INDEX($W$2:$W$1001,MATCH(ROWS($V$2:V921),$V$2:$V$1001,0),1)&gt;=100000,INDEX($AC$1005:$AS$1005,1,MATCH(COLUMNS($AC$1006:AC1006),$AC$1006:$AS$1006,0))&gt;=100000), " ",IF(INDEX($AC$2:$AS$1001,MATCH(ROWS($V$2:V921),$V$2:$V$1001,0),MATCH(COLUMNS($AC$1006:AC1006),$AC$1006:$AS$1006,0)), HYPERLINK("#",""), HYPERLINK(CONCATENATE("#Metadata!", ADDRESS(INDEX($X$2:$X$1001,MATCH(ROWS($V$2:V921),$V$2:$V$1001,0),0), INDEX($AC$1004:$AS$1004,1,MATCH(COLUMNS($AC$1006:AC1006),$AC$1006:$AS$1006,0)))),"Fix")))</f>
        <v>0</v>
      </c>
      <c r="C921" s="5">
        <f>IF(OR(INDEX($W$2:$W$1001,MATCH(ROWS($V$2:V921),$V$2:$V$1001,0),1)&gt;=100000,INDEX($AC$1005:$AS$1005,1,MATCH(COLUMNS($AC$1006:AD1006),$AC$1006:$AS$1006,0))&gt;=100000), " ",IF(INDEX($AC$2:$AS$1001,MATCH(ROWS($V$2:V921),$V$2:$V$1001,0),MATCH(COLUMNS($AC$1006:AD1006),$AC$1006:$AS$1006,0)), HYPERLINK("#",""), HYPERLINK(CONCATENATE("#Metadata!", ADDRESS(INDEX($X$2:$X$1001,MATCH(ROWS($V$2:V921),$V$2:$V$1001,0),0), INDEX($AC$1004:$AS$1004,1,MATCH(COLUMNS($AC$1006:AD1006),$AC$1006:$AS$1006,0)))),"Fix")))</f>
        <v>0</v>
      </c>
      <c r="D921" s="5">
        <f>IF(OR(INDEX($W$2:$W$1001,MATCH(ROWS($V$2:V921),$V$2:$V$1001,0),1)&gt;=100000,INDEX($AC$1005:$AS$1005,1,MATCH(COLUMNS($AC$1006:AE1006),$AC$1006:$AS$1006,0))&gt;=100000), " ",IF(INDEX($AC$2:$AS$1001,MATCH(ROWS($V$2:V921),$V$2:$V$1001,0),MATCH(COLUMNS($AC$1006:AE1006),$AC$1006:$AS$1006,0)), HYPERLINK("#",""), HYPERLINK(CONCATENATE("#Metadata!", ADDRESS(INDEX($X$2:$X$1001,MATCH(ROWS($V$2:V921),$V$2:$V$1001,0),0), INDEX($AC$1004:$AS$1004,1,MATCH(COLUMNS($AC$1006:AE1006),$AC$1006:$AS$1006,0)))),"Fix")))</f>
        <v>0</v>
      </c>
      <c r="E921" s="5">
        <f>IF(OR(INDEX($W$2:$W$1001,MATCH(ROWS($V$2:V921),$V$2:$V$1001,0),1)&gt;=100000,INDEX($AC$1005:$AS$1005,1,MATCH(COLUMNS($AC$1006:AF1006),$AC$1006:$AS$1006,0))&gt;=100000), " ",IF(INDEX($AC$2:$AS$1001,MATCH(ROWS($V$2:V921),$V$2:$V$1001,0),MATCH(COLUMNS($AC$1006:AF1006),$AC$1006:$AS$1006,0)), HYPERLINK("#",""), HYPERLINK(CONCATENATE("#Metadata!", ADDRESS(INDEX($X$2:$X$1001,MATCH(ROWS($V$2:V921),$V$2:$V$1001,0),0), INDEX($AC$1004:$AS$1004,1,MATCH(COLUMNS($AC$1006:AF1006),$AC$1006:$AS$1006,0)))),"Fix")))</f>
        <v>0</v>
      </c>
      <c r="F921" s="5">
        <f>IF(OR(INDEX($W$2:$W$1001,MATCH(ROWS($V$2:V921),$V$2:$V$1001,0),1)&gt;=100000,INDEX($AC$1005:$AS$1005,1,MATCH(COLUMNS($AC$1006:AG1006),$AC$1006:$AS$1006,0))&gt;=100000), " ",IF(INDEX($AC$2:$AS$1001,MATCH(ROWS($V$2:V921),$V$2:$V$1001,0),MATCH(COLUMNS($AC$1006:AG1006),$AC$1006:$AS$1006,0)), HYPERLINK("#",""), HYPERLINK(CONCATENATE("#Metadata!", ADDRESS(INDEX($X$2:$X$1001,MATCH(ROWS($V$2:V921),$V$2:$V$1001,0),0), INDEX($AC$1004:$AS$1004,1,MATCH(COLUMNS($AC$1006:AG1006),$AC$1006:$AS$1006,0)))),"Fix")))</f>
        <v>0</v>
      </c>
      <c r="G921" s="5">
        <f>IF(OR(INDEX($W$2:$W$1001,MATCH(ROWS($V$2:V921),$V$2:$V$1001,0),1)&gt;=100000,INDEX($AC$1005:$AS$1005,1,MATCH(COLUMNS($AC$1006:AH1006),$AC$1006:$AS$1006,0))&gt;=100000), " ",IF(INDEX($AC$2:$AS$1001,MATCH(ROWS($V$2:V921),$V$2:$V$1001,0),MATCH(COLUMNS($AC$1006:AH1006),$AC$1006:$AS$1006,0)), HYPERLINK("#",""), HYPERLINK(CONCATENATE("#Metadata!", ADDRESS(INDEX($X$2:$X$1001,MATCH(ROWS($V$2:V921),$V$2:$V$1001,0),0), INDEX($AC$1004:$AS$1004,1,MATCH(COLUMNS($AC$1006:AH1006),$AC$1006:$AS$1006,0)))),"Fix")))</f>
        <v>0</v>
      </c>
      <c r="H921" s="5">
        <f>IF(OR(INDEX($W$2:$W$1001,MATCH(ROWS($V$2:V921),$V$2:$V$1001,0),1)&gt;=100000,INDEX($AC$1005:$AS$1005,1,MATCH(COLUMNS($AC$1006:AI1006),$AC$1006:$AS$1006,0))&gt;=100000), " ",IF(INDEX($AC$2:$AS$1001,MATCH(ROWS($V$2:V921),$V$2:$V$1001,0),MATCH(COLUMNS($AC$1006:AI1006),$AC$1006:$AS$1006,0)), HYPERLINK("#",""), HYPERLINK(CONCATENATE("#Metadata!", ADDRESS(INDEX($X$2:$X$1001,MATCH(ROWS($V$2:V921),$V$2:$V$1001,0),0), INDEX($AC$1004:$AS$1004,1,MATCH(COLUMNS($AC$1006:AI1006),$AC$1006:$AS$1006,0)))),"Fix")))</f>
        <v>0</v>
      </c>
      <c r="I921" s="5">
        <f>IF(OR(INDEX($W$2:$W$1001,MATCH(ROWS($V$2:V921),$V$2:$V$1001,0),1)&gt;=100000,INDEX($AC$1005:$AS$1005,1,MATCH(COLUMNS($AC$1006:AJ1006),$AC$1006:$AS$1006,0))&gt;=100000), " ",IF(INDEX($AC$2:$AS$1001,MATCH(ROWS($V$2:V921),$V$2:$V$1001,0),MATCH(COLUMNS($AC$1006:AJ1006),$AC$1006:$AS$1006,0)), HYPERLINK("#",""), HYPERLINK(CONCATENATE("#Metadata!", ADDRESS(INDEX($X$2:$X$1001,MATCH(ROWS($V$2:V921),$V$2:$V$1001,0),0), INDEX($AC$1004:$AS$1004,1,MATCH(COLUMNS($AC$1006:AJ1006),$AC$1006:$AS$1006,0)))),"Fix")))</f>
        <v>0</v>
      </c>
      <c r="J921" s="5">
        <f>IF(OR(INDEX($W$2:$W$1001,MATCH(ROWS($V$2:V921),$V$2:$V$1001,0),1)&gt;=100000,INDEX($AC$1005:$AS$1005,1,MATCH(COLUMNS($AC$1006:AK1006),$AC$1006:$AS$1006,0))&gt;=100000), " ",IF(INDEX($AC$2:$AS$1001,MATCH(ROWS($V$2:V921),$V$2:$V$1001,0),MATCH(COLUMNS($AC$1006:AK1006),$AC$1006:$AS$1006,0)), HYPERLINK("#",""), HYPERLINK(CONCATENATE("#Metadata!", ADDRESS(INDEX($X$2:$X$1001,MATCH(ROWS($V$2:V921),$V$2:$V$1001,0),0), INDEX($AC$1004:$AS$1004,1,MATCH(COLUMNS($AC$1006:AK1006),$AC$1006:$AS$1006,0)))),"Fix")))</f>
        <v>0</v>
      </c>
      <c r="K921" s="5">
        <f>IF(OR(INDEX($W$2:$W$1001,MATCH(ROWS($V$2:V921),$V$2:$V$1001,0),1)&gt;=100000,INDEX($AC$1005:$AS$1005,1,MATCH(COLUMNS($AC$1006:AL1006),$AC$1006:$AS$1006,0))&gt;=100000), " ",IF(INDEX($AC$2:$AS$1001,MATCH(ROWS($V$2:V921),$V$2:$V$1001,0),MATCH(COLUMNS($AC$1006:AL1006),$AC$1006:$AS$1006,0)), HYPERLINK("#",""), HYPERLINK(CONCATENATE("#Metadata!", ADDRESS(INDEX($X$2:$X$1001,MATCH(ROWS($V$2:V921),$V$2:$V$1001,0),0), INDEX($AC$1004:$AS$1004,1,MATCH(COLUMNS($AC$1006:AL1006),$AC$1006:$AS$1006,0)))),"Fix")))</f>
        <v>0</v>
      </c>
      <c r="L921" s="5">
        <f>IF(OR(INDEX($W$2:$W$1001,MATCH(ROWS($V$2:V921),$V$2:$V$1001,0),1)&gt;=100000,INDEX($AC$1005:$AS$1005,1,MATCH(COLUMNS($AC$1006:AM1006),$AC$1006:$AS$1006,0))&gt;=100000), " ",IF(INDEX($AC$2:$AS$1001,MATCH(ROWS($V$2:V921),$V$2:$V$1001,0),MATCH(COLUMNS($AC$1006:AM1006),$AC$1006:$AS$1006,0)), HYPERLINK("#",""), HYPERLINK(CONCATENATE("#Metadata!", ADDRESS(INDEX($X$2:$X$1001,MATCH(ROWS($V$2:V921),$V$2:$V$1001,0),0), INDEX($AC$1004:$AS$1004,1,MATCH(COLUMNS($AC$1006:AM1006),$AC$1006:$AS$1006,0)))),"Fix")))</f>
        <v>0</v>
      </c>
      <c r="M921" s="5">
        <f>IF(OR(INDEX($W$2:$W$1001,MATCH(ROWS($V$2:V921),$V$2:$V$1001,0),1)&gt;=100000,INDEX($AC$1005:$AS$1005,1,MATCH(COLUMNS($AC$1006:AN1006),$AC$1006:$AS$1006,0))&gt;=100000), " ",IF(INDEX($AC$2:$AS$1001,MATCH(ROWS($V$2:V921),$V$2:$V$1001,0),MATCH(COLUMNS($AC$1006:AN1006),$AC$1006:$AS$1006,0)), HYPERLINK("#",""), HYPERLINK(CONCATENATE("#Metadata!", ADDRESS(INDEX($X$2:$X$1001,MATCH(ROWS($V$2:V921),$V$2:$V$1001,0),0), INDEX($AC$1004:$AS$1004,1,MATCH(COLUMNS($AC$1006:AN1006),$AC$1006:$AS$1006,0)))),"Fix")))</f>
        <v>0</v>
      </c>
      <c r="N921" s="5">
        <f>IF(OR(INDEX($W$2:$W$1001,MATCH(ROWS($V$2:V921),$V$2:$V$1001,0),1)&gt;=100000,INDEX($AC$1005:$AS$1005,1,MATCH(COLUMNS($AC$1006:AO1006),$AC$1006:$AS$1006,0))&gt;=100000), " ",IF(INDEX($AC$2:$AS$1001,MATCH(ROWS($V$2:V921),$V$2:$V$1001,0),MATCH(COLUMNS($AC$1006:AO1006),$AC$1006:$AS$1006,0)), HYPERLINK("#",""), HYPERLINK(CONCATENATE("#Metadata!", ADDRESS(INDEX($X$2:$X$1001,MATCH(ROWS($V$2:V921),$V$2:$V$1001,0),0), INDEX($AC$1004:$AS$1004,1,MATCH(COLUMNS($AC$1006:AO1006),$AC$1006:$AS$1006,0)))),"Fix")))</f>
        <v>0</v>
      </c>
      <c r="O921" s="5">
        <f>IF(OR(INDEX($W$2:$W$1001,MATCH(ROWS($V$2:V921),$V$2:$V$1001,0),1)&gt;=100000,INDEX($AC$1005:$AS$1005,1,MATCH(COLUMNS($AC$1006:AP1006),$AC$1006:$AS$1006,0))&gt;=100000), " ",IF(INDEX($AC$2:$AS$1001,MATCH(ROWS($V$2:V921),$V$2:$V$1001,0),MATCH(COLUMNS($AC$1006:AP1006),$AC$1006:$AS$1006,0)), HYPERLINK("#",""), HYPERLINK(CONCATENATE("#Metadata!", ADDRESS(INDEX($X$2:$X$1001,MATCH(ROWS($V$2:V921),$V$2:$V$1001,0),0), INDEX($AC$1004:$AS$1004,1,MATCH(COLUMNS($AC$1006:AP1006),$AC$1006:$AS$1006,0)))),"Fix")))</f>
        <v>0</v>
      </c>
      <c r="P921" s="5">
        <f>IF(OR(INDEX($W$2:$W$1001,MATCH(ROWS($V$2:V921),$V$2:$V$1001,0),1)&gt;=100000,INDEX($AC$1005:$AS$1005,1,MATCH(COLUMNS($AC$1006:AQ1006),$AC$1006:$AS$1006,0))&gt;=100000), " ",IF(INDEX($AC$2:$AS$1001,MATCH(ROWS($V$2:V921),$V$2:$V$1001,0),MATCH(COLUMNS($AC$1006:AQ1006),$AC$1006:$AS$1006,0)), HYPERLINK("#",""), HYPERLINK(CONCATENATE("#Metadata!", ADDRESS(INDEX($X$2:$X$1001,MATCH(ROWS($V$2:V921),$V$2:$V$1001,0),0), INDEX($AC$1004:$AS$1004,1,MATCH(COLUMNS($AC$1006:AQ1006),$AC$1006:$AS$1006,0)))),"Fix")))</f>
        <v>0</v>
      </c>
      <c r="Q921" s="5">
        <f>IF(OR(INDEX($W$2:$W$1001,MATCH(ROWS($V$2:V921),$V$2:$V$1001,0),1)&gt;=100000,INDEX($AC$1005:$AS$1005,1,MATCH(COLUMNS($AC$1006:AR1006),$AC$1006:$AS$1006,0))&gt;=100000), " ",IF(INDEX($AC$2:$AS$1001,MATCH(ROWS($V$2:V921),$V$2:$V$1001,0),MATCH(COLUMNS($AC$1006:AR1006),$AC$1006:$AS$1006,0)), HYPERLINK("#",""), HYPERLINK(CONCATENATE("#Metadata!", ADDRESS(INDEX($X$2:$X$1001,MATCH(ROWS($V$2:V921),$V$2:$V$1001,0),0), INDEX($AC$1004:$AS$1004,1,MATCH(COLUMNS($AC$1006:AR1006),$AC$1006:$AS$1006,0)))),"Fix")))</f>
        <v>0</v>
      </c>
      <c r="R921" s="5">
        <f>IF(OR(INDEX($W$2:$W$1001,MATCH(ROWS($V$2:V921),$V$2:$V$1001,0),1)&gt;=100000,INDEX($AC$1005:$AS$1005,1,MATCH(COLUMNS($AC$1006:AS1006),$AC$1006:$AS$1006,0))&gt;=100000), " ",IF(INDEX($AC$2:$AS$1001,MATCH(ROWS($V$2:V921),$V$2:$V$1001,0),MATCH(COLUMNS($AC$1006:AS1006),$AC$1006:$AS$1006,0)), HYPERLINK("#",""), HYPERLINK(CONCATENATE("#Metadata!", ADDRESS(INDEX($X$2:$X$1001,MATCH(ROWS($V$2:V921),$V$2:$V$1001,0),0), INDEX($AC$1004:$AS$1004,1,MATCH(COLUMNS($AC$1006:AS1006),$AC$1006:$AS$1006,0)))),"Fix")))</f>
        <v>0</v>
      </c>
      <c r="V921">
        <v>0</v>
      </c>
      <c r="W921">
        <v>0</v>
      </c>
      <c r="X921">
        <v>0</v>
      </c>
      <c r="Y921">
        <f>IF(Z921,TRUE,AND(AC921:AS921))</f>
        <v>0</v>
      </c>
      <c r="Z921">
        <f>COUNTBLANK(Metadata!B921:R921)=COLUMNS(Metadata!B921:R921)</f>
        <v>0</v>
      </c>
      <c r="AA921">
        <v>0</v>
      </c>
      <c r="AC921">
        <f>AND(IF(Metadata!B921="",FALSE,TRUE),COUNTIF(Metadata!B:B, Metadata!B921) = 1,NOT(ISERROR(SUMPRODUCT(SEARCH(MID(Metadata!B921,ROW(INDIRECT("1:"&amp;LEN(Metadata!B921))), 1),"0123456789abcdefghijklmnopqrstuvwxyzABCDEFGHIJKLMNOPQRSTUVWXYZ.")))))</f>
        <v>0</v>
      </c>
      <c r="AD921">
        <f>AND(IF(Metadata!C921="",FALSE,TRUE),exact(Metadata!C921,"Host-associated"))</f>
        <v>0</v>
      </c>
      <c r="AE921">
        <f>AND(IF(Metadata!D921="",FALSE,TRUE),OR(exact(Metadata!D921,"Animal"),exact(Metadata!D921,"Fungus"),exact(Metadata!D921,"Plant")))</f>
        <v>0</v>
      </c>
      <c r="AF921">
        <f>AND(IF(Metadata!E921="",FALSE,TRUE),OR(exact(Metadata!E921,"Plant secretion"),exact(Metadata!E921,"Plant rhizosphere"),exact(Metadata!E921,"Plant surface"),exact(Metadata!E921,"Plant corpus"),exact(Metadata!E921,"Fungus surface"),exact(Metadata!E921,"Fungus corpus"),exact(Metadata!E921,"Animal surface"),exact(Metadata!E921,"Animal proximal gut"),exact(Metadata!E921,"Animal corpus"),exact(Metadata!E921,"Animal distal gut"),exact(Metadata!E921,"Animal secretion")))</f>
        <v>0</v>
      </c>
      <c r="AG921">
        <f>OR(AND(IF(Metadata!F921="",FALSE,TRUE),OR(exact(Metadata!F921,"not collected"),exact(Metadata!F921,"not provided"),exact(Metadata!F921,"restricted access"))),AND(IF(Metadata!F921="",FALSE,TRUE),OR(exact(Metadata!F921,"organism-associated habitat"),exact(Metadata!F921,"plant-associated habitat"),exact(Metadata!F921,"animal-associated habitat"),exact(Metadata!F921,"insecta-associated habitat"),exact(Metadata!F921,"mammalia-associated habitat"),exact(Metadata!F921,"human-associated habitat"),exact(Metadata!F921,"livestock-associated habitat"))))</f>
        <v>0</v>
      </c>
      <c r="AH921">
        <f>AND(IF(Metadata!G921="",FALSE,TRUE),exact(Metadata!G921,"host-associated"))</f>
        <v>0</v>
      </c>
      <c r="AI921">
        <f>OR(AND(IF(Metadata!H921="",FALSE,TRUE),OR(exact(Metadata!H921,"not collected"),exact(Metadata!H921,"not provided"))),AND(IF(Metadata!H921="",FALSE,ISNUMBER(VALUE(Metadata!H921))),Metadata!H921&gt;0))</f>
        <v>0</v>
      </c>
      <c r="AJ921">
        <f>AND(IF(Metadata!I921="",FALSE,TRUE),exact(Metadata!I921,"years"))</f>
        <v>0</v>
      </c>
      <c r="AK921">
        <f>IF(Metadata!J921="",FALSE,TRUE)</f>
        <v>0</v>
      </c>
      <c r="AL921">
        <f>OR(AND(IF(Metadata!K921="",FALSE,TRUE),OR(exact(Metadata!K921,"not collected"),exact(Metadata!K921,"not provided"))),AND(IF(Metadata!K921="",FALSE,ISNUMBER(VALUE(Metadata!K921))),Metadata!K921&gt;0))</f>
        <v>0</v>
      </c>
      <c r="AM921">
        <f>AND(IF(Metadata!L921="",FALSE,TRUE),exact(Metadata!L921,"cm"))</f>
        <v>0</v>
      </c>
      <c r="AN921">
        <f>IF(Metadata!M921="",FALSE,TRUE)</f>
        <v>0</v>
      </c>
      <c r="AO921">
        <f>OR(AND(IF(Metadata!N921="",FALSE,TRUE),OR(exact(Metadata!N921,"not applicable"),exact(Metadata!N921,"not collected"),exact(Metadata!N921,"not provided"))),AND(IF(Metadata!N921="",FALSE,IF(ISERROR(INT(Metadata!N921)),FALSE,INT(Metadata!N921)=Metadata!N921)),Metadata!N921&gt;0))</f>
        <v>0</v>
      </c>
      <c r="AP921">
        <f>OR(AND(IF(Metadata!O921="",FALSE,TRUE),OR(exact(Metadata!O921,"not collected"),exact(Metadata!O921,"not provided"))),AND(IF(Metadata!O921="",FALSE,ISNUMBER(VALUE(Metadata!O921))),Metadata!O921&gt;0))</f>
        <v>0</v>
      </c>
      <c r="AQ921">
        <f>AND(IF(Metadata!P921="",FALSE,TRUE),exact(Metadata!P921,"kg"))</f>
        <v>0</v>
      </c>
      <c r="AR921">
        <f>OR(AND(IF(Metadata!Q921="",FALSE,TRUE),OR(exact(Metadata!Q921,"not applicable"),exact(Metadata!Q921,"not collected"),exact(Metadata!Q921,"not provided"),exact(Metadata!Q921,"restricted access"))),IF(Metadata!Q921="",FALSE,IF(ISERROR(INT(Metadata!Q921)),FALSE,INT(Metadata!Q921)=Metadata!Q921)))</f>
        <v>0</v>
      </c>
      <c r="AS921">
        <f>AND(IF(Metadata!R921="",FALSE,TRUE),exact(Metadata!R921,"Not applicable"))</f>
        <v>0</v>
      </c>
    </row>
    <row r="922" spans="1:45">
      <c r="A922" s="4">
        <f>IF(B922=" "," ",HYPERLINK(CONCATENATE("#metadata!",ADDRESS(INDEX($X$2:$X$1001,MATCH(ROWS($V$2:V922),$V$2:$V$1001,0),0),2)),INDEX($AA$2:$AA$1001,MATCH(ROWS($V$2:V922),$V$2:$V$1001,0),0)))</f>
        <v>0</v>
      </c>
      <c r="B922" s="5">
        <f>IF(OR(INDEX($W$2:$W$1001,MATCH(ROWS($V$2:V922),$V$2:$V$1001,0),1)&gt;=100000,INDEX($AC$1005:$AS$1005,1,MATCH(COLUMNS($AC$1006:AC1006),$AC$1006:$AS$1006,0))&gt;=100000), " ",IF(INDEX($AC$2:$AS$1001,MATCH(ROWS($V$2:V922),$V$2:$V$1001,0),MATCH(COLUMNS($AC$1006:AC1006),$AC$1006:$AS$1006,0)), HYPERLINK("#",""), HYPERLINK(CONCATENATE("#Metadata!", ADDRESS(INDEX($X$2:$X$1001,MATCH(ROWS($V$2:V922),$V$2:$V$1001,0),0), INDEX($AC$1004:$AS$1004,1,MATCH(COLUMNS($AC$1006:AC1006),$AC$1006:$AS$1006,0)))),"Fix")))</f>
        <v>0</v>
      </c>
      <c r="C922" s="5">
        <f>IF(OR(INDEX($W$2:$W$1001,MATCH(ROWS($V$2:V922),$V$2:$V$1001,0),1)&gt;=100000,INDEX($AC$1005:$AS$1005,1,MATCH(COLUMNS($AC$1006:AD1006),$AC$1006:$AS$1006,0))&gt;=100000), " ",IF(INDEX($AC$2:$AS$1001,MATCH(ROWS($V$2:V922),$V$2:$V$1001,0),MATCH(COLUMNS($AC$1006:AD1006),$AC$1006:$AS$1006,0)), HYPERLINK("#",""), HYPERLINK(CONCATENATE("#Metadata!", ADDRESS(INDEX($X$2:$X$1001,MATCH(ROWS($V$2:V922),$V$2:$V$1001,0),0), INDEX($AC$1004:$AS$1004,1,MATCH(COLUMNS($AC$1006:AD1006),$AC$1006:$AS$1006,0)))),"Fix")))</f>
        <v>0</v>
      </c>
      <c r="D922" s="5">
        <f>IF(OR(INDEX($W$2:$W$1001,MATCH(ROWS($V$2:V922),$V$2:$V$1001,0),1)&gt;=100000,INDEX($AC$1005:$AS$1005,1,MATCH(COLUMNS($AC$1006:AE1006),$AC$1006:$AS$1006,0))&gt;=100000), " ",IF(INDEX($AC$2:$AS$1001,MATCH(ROWS($V$2:V922),$V$2:$V$1001,0),MATCH(COLUMNS($AC$1006:AE1006),$AC$1006:$AS$1006,0)), HYPERLINK("#",""), HYPERLINK(CONCATENATE("#Metadata!", ADDRESS(INDEX($X$2:$X$1001,MATCH(ROWS($V$2:V922),$V$2:$V$1001,0),0), INDEX($AC$1004:$AS$1004,1,MATCH(COLUMNS($AC$1006:AE1006),$AC$1006:$AS$1006,0)))),"Fix")))</f>
        <v>0</v>
      </c>
      <c r="E922" s="5">
        <f>IF(OR(INDEX($W$2:$W$1001,MATCH(ROWS($V$2:V922),$V$2:$V$1001,0),1)&gt;=100000,INDEX($AC$1005:$AS$1005,1,MATCH(COLUMNS($AC$1006:AF1006),$AC$1006:$AS$1006,0))&gt;=100000), " ",IF(INDEX($AC$2:$AS$1001,MATCH(ROWS($V$2:V922),$V$2:$V$1001,0),MATCH(COLUMNS($AC$1006:AF1006),$AC$1006:$AS$1006,0)), HYPERLINK("#",""), HYPERLINK(CONCATENATE("#Metadata!", ADDRESS(INDEX($X$2:$X$1001,MATCH(ROWS($V$2:V922),$V$2:$V$1001,0),0), INDEX($AC$1004:$AS$1004,1,MATCH(COLUMNS($AC$1006:AF1006),$AC$1006:$AS$1006,0)))),"Fix")))</f>
        <v>0</v>
      </c>
      <c r="F922" s="5">
        <f>IF(OR(INDEX($W$2:$W$1001,MATCH(ROWS($V$2:V922),$V$2:$V$1001,0),1)&gt;=100000,INDEX($AC$1005:$AS$1005,1,MATCH(COLUMNS($AC$1006:AG1006),$AC$1006:$AS$1006,0))&gt;=100000), " ",IF(INDEX($AC$2:$AS$1001,MATCH(ROWS($V$2:V922),$V$2:$V$1001,0),MATCH(COLUMNS($AC$1006:AG1006),$AC$1006:$AS$1006,0)), HYPERLINK("#",""), HYPERLINK(CONCATENATE("#Metadata!", ADDRESS(INDEX($X$2:$X$1001,MATCH(ROWS($V$2:V922),$V$2:$V$1001,0),0), INDEX($AC$1004:$AS$1004,1,MATCH(COLUMNS($AC$1006:AG1006),$AC$1006:$AS$1006,0)))),"Fix")))</f>
        <v>0</v>
      </c>
      <c r="G922" s="5">
        <f>IF(OR(INDEX($W$2:$W$1001,MATCH(ROWS($V$2:V922),$V$2:$V$1001,0),1)&gt;=100000,INDEX($AC$1005:$AS$1005,1,MATCH(COLUMNS($AC$1006:AH1006),$AC$1006:$AS$1006,0))&gt;=100000), " ",IF(INDEX($AC$2:$AS$1001,MATCH(ROWS($V$2:V922),$V$2:$V$1001,0),MATCH(COLUMNS($AC$1006:AH1006),$AC$1006:$AS$1006,0)), HYPERLINK("#",""), HYPERLINK(CONCATENATE("#Metadata!", ADDRESS(INDEX($X$2:$X$1001,MATCH(ROWS($V$2:V922),$V$2:$V$1001,0),0), INDEX($AC$1004:$AS$1004,1,MATCH(COLUMNS($AC$1006:AH1006),$AC$1006:$AS$1006,0)))),"Fix")))</f>
        <v>0</v>
      </c>
      <c r="H922" s="5">
        <f>IF(OR(INDEX($W$2:$W$1001,MATCH(ROWS($V$2:V922),$V$2:$V$1001,0),1)&gt;=100000,INDEX($AC$1005:$AS$1005,1,MATCH(COLUMNS($AC$1006:AI1006),$AC$1006:$AS$1006,0))&gt;=100000), " ",IF(INDEX($AC$2:$AS$1001,MATCH(ROWS($V$2:V922),$V$2:$V$1001,0),MATCH(COLUMNS($AC$1006:AI1006),$AC$1006:$AS$1006,0)), HYPERLINK("#",""), HYPERLINK(CONCATENATE("#Metadata!", ADDRESS(INDEX($X$2:$X$1001,MATCH(ROWS($V$2:V922),$V$2:$V$1001,0),0), INDEX($AC$1004:$AS$1004,1,MATCH(COLUMNS($AC$1006:AI1006),$AC$1006:$AS$1006,0)))),"Fix")))</f>
        <v>0</v>
      </c>
      <c r="I922" s="5">
        <f>IF(OR(INDEX($W$2:$W$1001,MATCH(ROWS($V$2:V922),$V$2:$V$1001,0),1)&gt;=100000,INDEX($AC$1005:$AS$1005,1,MATCH(COLUMNS($AC$1006:AJ1006),$AC$1006:$AS$1006,0))&gt;=100000), " ",IF(INDEX($AC$2:$AS$1001,MATCH(ROWS($V$2:V922),$V$2:$V$1001,0),MATCH(COLUMNS($AC$1006:AJ1006),$AC$1006:$AS$1006,0)), HYPERLINK("#",""), HYPERLINK(CONCATENATE("#Metadata!", ADDRESS(INDEX($X$2:$X$1001,MATCH(ROWS($V$2:V922),$V$2:$V$1001,0),0), INDEX($AC$1004:$AS$1004,1,MATCH(COLUMNS($AC$1006:AJ1006),$AC$1006:$AS$1006,0)))),"Fix")))</f>
        <v>0</v>
      </c>
      <c r="J922" s="5">
        <f>IF(OR(INDEX($W$2:$W$1001,MATCH(ROWS($V$2:V922),$V$2:$V$1001,0),1)&gt;=100000,INDEX($AC$1005:$AS$1005,1,MATCH(COLUMNS($AC$1006:AK1006),$AC$1006:$AS$1006,0))&gt;=100000), " ",IF(INDEX($AC$2:$AS$1001,MATCH(ROWS($V$2:V922),$V$2:$V$1001,0),MATCH(COLUMNS($AC$1006:AK1006),$AC$1006:$AS$1006,0)), HYPERLINK("#",""), HYPERLINK(CONCATENATE("#Metadata!", ADDRESS(INDEX($X$2:$X$1001,MATCH(ROWS($V$2:V922),$V$2:$V$1001,0),0), INDEX($AC$1004:$AS$1004,1,MATCH(COLUMNS($AC$1006:AK1006),$AC$1006:$AS$1006,0)))),"Fix")))</f>
        <v>0</v>
      </c>
      <c r="K922" s="5">
        <f>IF(OR(INDEX($W$2:$W$1001,MATCH(ROWS($V$2:V922),$V$2:$V$1001,0),1)&gt;=100000,INDEX($AC$1005:$AS$1005,1,MATCH(COLUMNS($AC$1006:AL1006),$AC$1006:$AS$1006,0))&gt;=100000), " ",IF(INDEX($AC$2:$AS$1001,MATCH(ROWS($V$2:V922),$V$2:$V$1001,0),MATCH(COLUMNS($AC$1006:AL1006),$AC$1006:$AS$1006,0)), HYPERLINK("#",""), HYPERLINK(CONCATENATE("#Metadata!", ADDRESS(INDEX($X$2:$X$1001,MATCH(ROWS($V$2:V922),$V$2:$V$1001,0),0), INDEX($AC$1004:$AS$1004,1,MATCH(COLUMNS($AC$1006:AL1006),$AC$1006:$AS$1006,0)))),"Fix")))</f>
        <v>0</v>
      </c>
      <c r="L922" s="5">
        <f>IF(OR(INDEX($W$2:$W$1001,MATCH(ROWS($V$2:V922),$V$2:$V$1001,0),1)&gt;=100000,INDEX($AC$1005:$AS$1005,1,MATCH(COLUMNS($AC$1006:AM1006),$AC$1006:$AS$1006,0))&gt;=100000), " ",IF(INDEX($AC$2:$AS$1001,MATCH(ROWS($V$2:V922),$V$2:$V$1001,0),MATCH(COLUMNS($AC$1006:AM1006),$AC$1006:$AS$1006,0)), HYPERLINK("#",""), HYPERLINK(CONCATENATE("#Metadata!", ADDRESS(INDEX($X$2:$X$1001,MATCH(ROWS($V$2:V922),$V$2:$V$1001,0),0), INDEX($AC$1004:$AS$1004,1,MATCH(COLUMNS($AC$1006:AM1006),$AC$1006:$AS$1006,0)))),"Fix")))</f>
        <v>0</v>
      </c>
      <c r="M922" s="5">
        <f>IF(OR(INDEX($W$2:$W$1001,MATCH(ROWS($V$2:V922),$V$2:$V$1001,0),1)&gt;=100000,INDEX($AC$1005:$AS$1005,1,MATCH(COLUMNS($AC$1006:AN1006),$AC$1006:$AS$1006,0))&gt;=100000), " ",IF(INDEX($AC$2:$AS$1001,MATCH(ROWS($V$2:V922),$V$2:$V$1001,0),MATCH(COLUMNS($AC$1006:AN1006),$AC$1006:$AS$1006,0)), HYPERLINK("#",""), HYPERLINK(CONCATENATE("#Metadata!", ADDRESS(INDEX($X$2:$X$1001,MATCH(ROWS($V$2:V922),$V$2:$V$1001,0),0), INDEX($AC$1004:$AS$1004,1,MATCH(COLUMNS($AC$1006:AN1006),$AC$1006:$AS$1006,0)))),"Fix")))</f>
        <v>0</v>
      </c>
      <c r="N922" s="5">
        <f>IF(OR(INDEX($W$2:$W$1001,MATCH(ROWS($V$2:V922),$V$2:$V$1001,0),1)&gt;=100000,INDEX($AC$1005:$AS$1005,1,MATCH(COLUMNS($AC$1006:AO1006),$AC$1006:$AS$1006,0))&gt;=100000), " ",IF(INDEX($AC$2:$AS$1001,MATCH(ROWS($V$2:V922),$V$2:$V$1001,0),MATCH(COLUMNS($AC$1006:AO1006),$AC$1006:$AS$1006,0)), HYPERLINK("#",""), HYPERLINK(CONCATENATE("#Metadata!", ADDRESS(INDEX($X$2:$X$1001,MATCH(ROWS($V$2:V922),$V$2:$V$1001,0),0), INDEX($AC$1004:$AS$1004,1,MATCH(COLUMNS($AC$1006:AO1006),$AC$1006:$AS$1006,0)))),"Fix")))</f>
        <v>0</v>
      </c>
      <c r="O922" s="5">
        <f>IF(OR(INDEX($W$2:$W$1001,MATCH(ROWS($V$2:V922),$V$2:$V$1001,0),1)&gt;=100000,INDEX($AC$1005:$AS$1005,1,MATCH(COLUMNS($AC$1006:AP1006),$AC$1006:$AS$1006,0))&gt;=100000), " ",IF(INDEX($AC$2:$AS$1001,MATCH(ROWS($V$2:V922),$V$2:$V$1001,0),MATCH(COLUMNS($AC$1006:AP1006),$AC$1006:$AS$1006,0)), HYPERLINK("#",""), HYPERLINK(CONCATENATE("#Metadata!", ADDRESS(INDEX($X$2:$X$1001,MATCH(ROWS($V$2:V922),$V$2:$V$1001,0),0), INDEX($AC$1004:$AS$1004,1,MATCH(COLUMNS($AC$1006:AP1006),$AC$1006:$AS$1006,0)))),"Fix")))</f>
        <v>0</v>
      </c>
      <c r="P922" s="5">
        <f>IF(OR(INDEX($W$2:$W$1001,MATCH(ROWS($V$2:V922),$V$2:$V$1001,0),1)&gt;=100000,INDEX($AC$1005:$AS$1005,1,MATCH(COLUMNS($AC$1006:AQ1006),$AC$1006:$AS$1006,0))&gt;=100000), " ",IF(INDEX($AC$2:$AS$1001,MATCH(ROWS($V$2:V922),$V$2:$V$1001,0),MATCH(COLUMNS($AC$1006:AQ1006),$AC$1006:$AS$1006,0)), HYPERLINK("#",""), HYPERLINK(CONCATENATE("#Metadata!", ADDRESS(INDEX($X$2:$X$1001,MATCH(ROWS($V$2:V922),$V$2:$V$1001,0),0), INDEX($AC$1004:$AS$1004,1,MATCH(COLUMNS($AC$1006:AQ1006),$AC$1006:$AS$1006,0)))),"Fix")))</f>
        <v>0</v>
      </c>
      <c r="Q922" s="5">
        <f>IF(OR(INDEX($W$2:$W$1001,MATCH(ROWS($V$2:V922),$V$2:$V$1001,0),1)&gt;=100000,INDEX($AC$1005:$AS$1005,1,MATCH(COLUMNS($AC$1006:AR1006),$AC$1006:$AS$1006,0))&gt;=100000), " ",IF(INDEX($AC$2:$AS$1001,MATCH(ROWS($V$2:V922),$V$2:$V$1001,0),MATCH(COLUMNS($AC$1006:AR1006),$AC$1006:$AS$1006,0)), HYPERLINK("#",""), HYPERLINK(CONCATENATE("#Metadata!", ADDRESS(INDEX($X$2:$X$1001,MATCH(ROWS($V$2:V922),$V$2:$V$1001,0),0), INDEX($AC$1004:$AS$1004,1,MATCH(COLUMNS($AC$1006:AR1006),$AC$1006:$AS$1006,0)))),"Fix")))</f>
        <v>0</v>
      </c>
      <c r="R922" s="5">
        <f>IF(OR(INDEX($W$2:$W$1001,MATCH(ROWS($V$2:V922),$V$2:$V$1001,0),1)&gt;=100000,INDEX($AC$1005:$AS$1005,1,MATCH(COLUMNS($AC$1006:AS1006),$AC$1006:$AS$1006,0))&gt;=100000), " ",IF(INDEX($AC$2:$AS$1001,MATCH(ROWS($V$2:V922),$V$2:$V$1001,0),MATCH(COLUMNS($AC$1006:AS1006),$AC$1006:$AS$1006,0)), HYPERLINK("#",""), HYPERLINK(CONCATENATE("#Metadata!", ADDRESS(INDEX($X$2:$X$1001,MATCH(ROWS($V$2:V922),$V$2:$V$1001,0),0), INDEX($AC$1004:$AS$1004,1,MATCH(COLUMNS($AC$1006:AS1006),$AC$1006:$AS$1006,0)))),"Fix")))</f>
        <v>0</v>
      </c>
      <c r="V922">
        <v>0</v>
      </c>
      <c r="W922">
        <v>0</v>
      </c>
      <c r="X922">
        <v>0</v>
      </c>
      <c r="Y922">
        <f>IF(Z922,TRUE,AND(AC922:AS922))</f>
        <v>0</v>
      </c>
      <c r="Z922">
        <f>COUNTBLANK(Metadata!B922:R922)=COLUMNS(Metadata!B922:R922)</f>
        <v>0</v>
      </c>
      <c r="AA922">
        <v>0</v>
      </c>
      <c r="AC922">
        <f>AND(IF(Metadata!B922="",FALSE,TRUE),COUNTIF(Metadata!B:B, Metadata!B922) = 1,NOT(ISERROR(SUMPRODUCT(SEARCH(MID(Metadata!B922,ROW(INDIRECT("1:"&amp;LEN(Metadata!B922))), 1),"0123456789abcdefghijklmnopqrstuvwxyzABCDEFGHIJKLMNOPQRSTUVWXYZ.")))))</f>
        <v>0</v>
      </c>
      <c r="AD922">
        <f>AND(IF(Metadata!C922="",FALSE,TRUE),exact(Metadata!C922,"Host-associated"))</f>
        <v>0</v>
      </c>
      <c r="AE922">
        <f>AND(IF(Metadata!D922="",FALSE,TRUE),OR(exact(Metadata!D922,"Animal"),exact(Metadata!D922,"Fungus"),exact(Metadata!D922,"Plant")))</f>
        <v>0</v>
      </c>
      <c r="AF922">
        <f>AND(IF(Metadata!E922="",FALSE,TRUE),OR(exact(Metadata!E922,"Plant secretion"),exact(Metadata!E922,"Plant rhizosphere"),exact(Metadata!E922,"Plant surface"),exact(Metadata!E922,"Plant corpus"),exact(Metadata!E922,"Fungus surface"),exact(Metadata!E922,"Fungus corpus"),exact(Metadata!E922,"Animal surface"),exact(Metadata!E922,"Animal proximal gut"),exact(Metadata!E922,"Animal corpus"),exact(Metadata!E922,"Animal distal gut"),exact(Metadata!E922,"Animal secretion")))</f>
        <v>0</v>
      </c>
      <c r="AG922">
        <f>OR(AND(IF(Metadata!F922="",FALSE,TRUE),OR(exact(Metadata!F922,"not collected"),exact(Metadata!F922,"not provided"),exact(Metadata!F922,"restricted access"))),AND(IF(Metadata!F922="",FALSE,TRUE),OR(exact(Metadata!F922,"organism-associated habitat"),exact(Metadata!F922,"plant-associated habitat"),exact(Metadata!F922,"animal-associated habitat"),exact(Metadata!F922,"insecta-associated habitat"),exact(Metadata!F922,"mammalia-associated habitat"),exact(Metadata!F922,"human-associated habitat"),exact(Metadata!F922,"livestock-associated habitat"))))</f>
        <v>0</v>
      </c>
      <c r="AH922">
        <f>AND(IF(Metadata!G922="",FALSE,TRUE),exact(Metadata!G922,"host-associated"))</f>
        <v>0</v>
      </c>
      <c r="AI922">
        <f>OR(AND(IF(Metadata!H922="",FALSE,TRUE),OR(exact(Metadata!H922,"not collected"),exact(Metadata!H922,"not provided"))),AND(IF(Metadata!H922="",FALSE,ISNUMBER(VALUE(Metadata!H922))),Metadata!H922&gt;0))</f>
        <v>0</v>
      </c>
      <c r="AJ922">
        <f>AND(IF(Metadata!I922="",FALSE,TRUE),exact(Metadata!I922,"years"))</f>
        <v>0</v>
      </c>
      <c r="AK922">
        <f>IF(Metadata!J922="",FALSE,TRUE)</f>
        <v>0</v>
      </c>
      <c r="AL922">
        <f>OR(AND(IF(Metadata!K922="",FALSE,TRUE),OR(exact(Metadata!K922,"not collected"),exact(Metadata!K922,"not provided"))),AND(IF(Metadata!K922="",FALSE,ISNUMBER(VALUE(Metadata!K922))),Metadata!K922&gt;0))</f>
        <v>0</v>
      </c>
      <c r="AM922">
        <f>AND(IF(Metadata!L922="",FALSE,TRUE),exact(Metadata!L922,"cm"))</f>
        <v>0</v>
      </c>
      <c r="AN922">
        <f>IF(Metadata!M922="",FALSE,TRUE)</f>
        <v>0</v>
      </c>
      <c r="AO922">
        <f>OR(AND(IF(Metadata!N922="",FALSE,TRUE),OR(exact(Metadata!N922,"not applicable"),exact(Metadata!N922,"not collected"),exact(Metadata!N922,"not provided"))),AND(IF(Metadata!N922="",FALSE,IF(ISERROR(INT(Metadata!N922)),FALSE,INT(Metadata!N922)=Metadata!N922)),Metadata!N922&gt;0))</f>
        <v>0</v>
      </c>
      <c r="AP922">
        <f>OR(AND(IF(Metadata!O922="",FALSE,TRUE),OR(exact(Metadata!O922,"not collected"),exact(Metadata!O922,"not provided"))),AND(IF(Metadata!O922="",FALSE,ISNUMBER(VALUE(Metadata!O922))),Metadata!O922&gt;0))</f>
        <v>0</v>
      </c>
      <c r="AQ922">
        <f>AND(IF(Metadata!P922="",FALSE,TRUE),exact(Metadata!P922,"kg"))</f>
        <v>0</v>
      </c>
      <c r="AR922">
        <f>OR(AND(IF(Metadata!Q922="",FALSE,TRUE),OR(exact(Metadata!Q922,"not applicable"),exact(Metadata!Q922,"not collected"),exact(Metadata!Q922,"not provided"),exact(Metadata!Q922,"restricted access"))),IF(Metadata!Q922="",FALSE,IF(ISERROR(INT(Metadata!Q922)),FALSE,INT(Metadata!Q922)=Metadata!Q922)))</f>
        <v>0</v>
      </c>
      <c r="AS922">
        <f>AND(IF(Metadata!R922="",FALSE,TRUE),exact(Metadata!R922,"Not applicable"))</f>
        <v>0</v>
      </c>
    </row>
    <row r="923" spans="1:45">
      <c r="A923" s="4">
        <f>IF(B923=" "," ",HYPERLINK(CONCATENATE("#metadata!",ADDRESS(INDEX($X$2:$X$1001,MATCH(ROWS($V$2:V923),$V$2:$V$1001,0),0),2)),INDEX($AA$2:$AA$1001,MATCH(ROWS($V$2:V923),$V$2:$V$1001,0),0)))</f>
        <v>0</v>
      </c>
      <c r="B923" s="5">
        <f>IF(OR(INDEX($W$2:$W$1001,MATCH(ROWS($V$2:V923),$V$2:$V$1001,0),1)&gt;=100000,INDEX($AC$1005:$AS$1005,1,MATCH(COLUMNS($AC$1006:AC1006),$AC$1006:$AS$1006,0))&gt;=100000), " ",IF(INDEX($AC$2:$AS$1001,MATCH(ROWS($V$2:V923),$V$2:$V$1001,0),MATCH(COLUMNS($AC$1006:AC1006),$AC$1006:$AS$1006,0)), HYPERLINK("#",""), HYPERLINK(CONCATENATE("#Metadata!", ADDRESS(INDEX($X$2:$X$1001,MATCH(ROWS($V$2:V923),$V$2:$V$1001,0),0), INDEX($AC$1004:$AS$1004,1,MATCH(COLUMNS($AC$1006:AC1006),$AC$1006:$AS$1006,0)))),"Fix")))</f>
        <v>0</v>
      </c>
      <c r="C923" s="5">
        <f>IF(OR(INDEX($W$2:$W$1001,MATCH(ROWS($V$2:V923),$V$2:$V$1001,0),1)&gt;=100000,INDEX($AC$1005:$AS$1005,1,MATCH(COLUMNS($AC$1006:AD1006),$AC$1006:$AS$1006,0))&gt;=100000), " ",IF(INDEX($AC$2:$AS$1001,MATCH(ROWS($V$2:V923),$V$2:$V$1001,0),MATCH(COLUMNS($AC$1006:AD1006),$AC$1006:$AS$1006,0)), HYPERLINK("#",""), HYPERLINK(CONCATENATE("#Metadata!", ADDRESS(INDEX($X$2:$X$1001,MATCH(ROWS($V$2:V923),$V$2:$V$1001,0),0), INDEX($AC$1004:$AS$1004,1,MATCH(COLUMNS($AC$1006:AD1006),$AC$1006:$AS$1006,0)))),"Fix")))</f>
        <v>0</v>
      </c>
      <c r="D923" s="5">
        <f>IF(OR(INDEX($W$2:$W$1001,MATCH(ROWS($V$2:V923),$V$2:$V$1001,0),1)&gt;=100000,INDEX($AC$1005:$AS$1005,1,MATCH(COLUMNS($AC$1006:AE1006),$AC$1006:$AS$1006,0))&gt;=100000), " ",IF(INDEX($AC$2:$AS$1001,MATCH(ROWS($V$2:V923),$V$2:$V$1001,0),MATCH(COLUMNS($AC$1006:AE1006),$AC$1006:$AS$1006,0)), HYPERLINK("#",""), HYPERLINK(CONCATENATE("#Metadata!", ADDRESS(INDEX($X$2:$X$1001,MATCH(ROWS($V$2:V923),$V$2:$V$1001,0),0), INDEX($AC$1004:$AS$1004,1,MATCH(COLUMNS($AC$1006:AE1006),$AC$1006:$AS$1006,0)))),"Fix")))</f>
        <v>0</v>
      </c>
      <c r="E923" s="5">
        <f>IF(OR(INDEX($W$2:$W$1001,MATCH(ROWS($V$2:V923),$V$2:$V$1001,0),1)&gt;=100000,INDEX($AC$1005:$AS$1005,1,MATCH(COLUMNS($AC$1006:AF1006),$AC$1006:$AS$1006,0))&gt;=100000), " ",IF(INDEX($AC$2:$AS$1001,MATCH(ROWS($V$2:V923),$V$2:$V$1001,0),MATCH(COLUMNS($AC$1006:AF1006),$AC$1006:$AS$1006,0)), HYPERLINK("#",""), HYPERLINK(CONCATENATE("#Metadata!", ADDRESS(INDEX($X$2:$X$1001,MATCH(ROWS($V$2:V923),$V$2:$V$1001,0),0), INDEX($AC$1004:$AS$1004,1,MATCH(COLUMNS($AC$1006:AF1006),$AC$1006:$AS$1006,0)))),"Fix")))</f>
        <v>0</v>
      </c>
      <c r="F923" s="5">
        <f>IF(OR(INDEX($W$2:$W$1001,MATCH(ROWS($V$2:V923),$V$2:$V$1001,0),1)&gt;=100000,INDEX($AC$1005:$AS$1005,1,MATCH(COLUMNS($AC$1006:AG1006),$AC$1006:$AS$1006,0))&gt;=100000), " ",IF(INDEX($AC$2:$AS$1001,MATCH(ROWS($V$2:V923),$V$2:$V$1001,0),MATCH(COLUMNS($AC$1006:AG1006),$AC$1006:$AS$1006,0)), HYPERLINK("#",""), HYPERLINK(CONCATENATE("#Metadata!", ADDRESS(INDEX($X$2:$X$1001,MATCH(ROWS($V$2:V923),$V$2:$V$1001,0),0), INDEX($AC$1004:$AS$1004,1,MATCH(COLUMNS($AC$1006:AG1006),$AC$1006:$AS$1006,0)))),"Fix")))</f>
        <v>0</v>
      </c>
      <c r="G923" s="5">
        <f>IF(OR(INDEX($W$2:$W$1001,MATCH(ROWS($V$2:V923),$V$2:$V$1001,0),1)&gt;=100000,INDEX($AC$1005:$AS$1005,1,MATCH(COLUMNS($AC$1006:AH1006),$AC$1006:$AS$1006,0))&gt;=100000), " ",IF(INDEX($AC$2:$AS$1001,MATCH(ROWS($V$2:V923),$V$2:$V$1001,0),MATCH(COLUMNS($AC$1006:AH1006),$AC$1006:$AS$1006,0)), HYPERLINK("#",""), HYPERLINK(CONCATENATE("#Metadata!", ADDRESS(INDEX($X$2:$X$1001,MATCH(ROWS($V$2:V923),$V$2:$V$1001,0),0), INDEX($AC$1004:$AS$1004,1,MATCH(COLUMNS($AC$1006:AH1006),$AC$1006:$AS$1006,0)))),"Fix")))</f>
        <v>0</v>
      </c>
      <c r="H923" s="5">
        <f>IF(OR(INDEX($W$2:$W$1001,MATCH(ROWS($V$2:V923),$V$2:$V$1001,0),1)&gt;=100000,INDEX($AC$1005:$AS$1005,1,MATCH(COLUMNS($AC$1006:AI1006),$AC$1006:$AS$1006,0))&gt;=100000), " ",IF(INDEX($AC$2:$AS$1001,MATCH(ROWS($V$2:V923),$V$2:$V$1001,0),MATCH(COLUMNS($AC$1006:AI1006),$AC$1006:$AS$1006,0)), HYPERLINK("#",""), HYPERLINK(CONCATENATE("#Metadata!", ADDRESS(INDEX($X$2:$X$1001,MATCH(ROWS($V$2:V923),$V$2:$V$1001,0),0), INDEX($AC$1004:$AS$1004,1,MATCH(COLUMNS($AC$1006:AI1006),$AC$1006:$AS$1006,0)))),"Fix")))</f>
        <v>0</v>
      </c>
      <c r="I923" s="5">
        <f>IF(OR(INDEX($W$2:$W$1001,MATCH(ROWS($V$2:V923),$V$2:$V$1001,0),1)&gt;=100000,INDEX($AC$1005:$AS$1005,1,MATCH(COLUMNS($AC$1006:AJ1006),$AC$1006:$AS$1006,0))&gt;=100000), " ",IF(INDEX($AC$2:$AS$1001,MATCH(ROWS($V$2:V923),$V$2:$V$1001,0),MATCH(COLUMNS($AC$1006:AJ1006),$AC$1006:$AS$1006,0)), HYPERLINK("#",""), HYPERLINK(CONCATENATE("#Metadata!", ADDRESS(INDEX($X$2:$X$1001,MATCH(ROWS($V$2:V923),$V$2:$V$1001,0),0), INDEX($AC$1004:$AS$1004,1,MATCH(COLUMNS($AC$1006:AJ1006),$AC$1006:$AS$1006,0)))),"Fix")))</f>
        <v>0</v>
      </c>
      <c r="J923" s="5">
        <f>IF(OR(INDEX($W$2:$W$1001,MATCH(ROWS($V$2:V923),$V$2:$V$1001,0),1)&gt;=100000,INDEX($AC$1005:$AS$1005,1,MATCH(COLUMNS($AC$1006:AK1006),$AC$1006:$AS$1006,0))&gt;=100000), " ",IF(INDEX($AC$2:$AS$1001,MATCH(ROWS($V$2:V923),$V$2:$V$1001,0),MATCH(COLUMNS($AC$1006:AK1006),$AC$1006:$AS$1006,0)), HYPERLINK("#",""), HYPERLINK(CONCATENATE("#Metadata!", ADDRESS(INDEX($X$2:$X$1001,MATCH(ROWS($V$2:V923),$V$2:$V$1001,0),0), INDEX($AC$1004:$AS$1004,1,MATCH(COLUMNS($AC$1006:AK1006),$AC$1006:$AS$1006,0)))),"Fix")))</f>
        <v>0</v>
      </c>
      <c r="K923" s="5">
        <f>IF(OR(INDEX($W$2:$W$1001,MATCH(ROWS($V$2:V923),$V$2:$V$1001,0),1)&gt;=100000,INDEX($AC$1005:$AS$1005,1,MATCH(COLUMNS($AC$1006:AL1006),$AC$1006:$AS$1006,0))&gt;=100000), " ",IF(INDEX($AC$2:$AS$1001,MATCH(ROWS($V$2:V923),$V$2:$V$1001,0),MATCH(COLUMNS($AC$1006:AL1006),$AC$1006:$AS$1006,0)), HYPERLINK("#",""), HYPERLINK(CONCATENATE("#Metadata!", ADDRESS(INDEX($X$2:$X$1001,MATCH(ROWS($V$2:V923),$V$2:$V$1001,0),0), INDEX($AC$1004:$AS$1004,1,MATCH(COLUMNS($AC$1006:AL1006),$AC$1006:$AS$1006,0)))),"Fix")))</f>
        <v>0</v>
      </c>
      <c r="L923" s="5">
        <f>IF(OR(INDEX($W$2:$W$1001,MATCH(ROWS($V$2:V923),$V$2:$V$1001,0),1)&gt;=100000,INDEX($AC$1005:$AS$1005,1,MATCH(COLUMNS($AC$1006:AM1006),$AC$1006:$AS$1006,0))&gt;=100000), " ",IF(INDEX($AC$2:$AS$1001,MATCH(ROWS($V$2:V923),$V$2:$V$1001,0),MATCH(COLUMNS($AC$1006:AM1006),$AC$1006:$AS$1006,0)), HYPERLINK("#",""), HYPERLINK(CONCATENATE("#Metadata!", ADDRESS(INDEX($X$2:$X$1001,MATCH(ROWS($V$2:V923),$V$2:$V$1001,0),0), INDEX($AC$1004:$AS$1004,1,MATCH(COLUMNS($AC$1006:AM1006),$AC$1006:$AS$1006,0)))),"Fix")))</f>
        <v>0</v>
      </c>
      <c r="M923" s="5">
        <f>IF(OR(INDEX($W$2:$W$1001,MATCH(ROWS($V$2:V923),$V$2:$V$1001,0),1)&gt;=100000,INDEX($AC$1005:$AS$1005,1,MATCH(COLUMNS($AC$1006:AN1006),$AC$1006:$AS$1006,0))&gt;=100000), " ",IF(INDEX($AC$2:$AS$1001,MATCH(ROWS($V$2:V923),$V$2:$V$1001,0),MATCH(COLUMNS($AC$1006:AN1006),$AC$1006:$AS$1006,0)), HYPERLINK("#",""), HYPERLINK(CONCATENATE("#Metadata!", ADDRESS(INDEX($X$2:$X$1001,MATCH(ROWS($V$2:V923),$V$2:$V$1001,0),0), INDEX($AC$1004:$AS$1004,1,MATCH(COLUMNS($AC$1006:AN1006),$AC$1006:$AS$1006,0)))),"Fix")))</f>
        <v>0</v>
      </c>
      <c r="N923" s="5">
        <f>IF(OR(INDEX($W$2:$W$1001,MATCH(ROWS($V$2:V923),$V$2:$V$1001,0),1)&gt;=100000,INDEX($AC$1005:$AS$1005,1,MATCH(COLUMNS($AC$1006:AO1006),$AC$1006:$AS$1006,0))&gt;=100000), " ",IF(INDEX($AC$2:$AS$1001,MATCH(ROWS($V$2:V923),$V$2:$V$1001,0),MATCH(COLUMNS($AC$1006:AO1006),$AC$1006:$AS$1006,0)), HYPERLINK("#",""), HYPERLINK(CONCATENATE("#Metadata!", ADDRESS(INDEX($X$2:$X$1001,MATCH(ROWS($V$2:V923),$V$2:$V$1001,0),0), INDEX($AC$1004:$AS$1004,1,MATCH(COLUMNS($AC$1006:AO1006),$AC$1006:$AS$1006,0)))),"Fix")))</f>
        <v>0</v>
      </c>
      <c r="O923" s="5">
        <f>IF(OR(INDEX($W$2:$W$1001,MATCH(ROWS($V$2:V923),$V$2:$V$1001,0),1)&gt;=100000,INDEX($AC$1005:$AS$1005,1,MATCH(COLUMNS($AC$1006:AP1006),$AC$1006:$AS$1006,0))&gt;=100000), " ",IF(INDEX($AC$2:$AS$1001,MATCH(ROWS($V$2:V923),$V$2:$V$1001,0),MATCH(COLUMNS($AC$1006:AP1006),$AC$1006:$AS$1006,0)), HYPERLINK("#",""), HYPERLINK(CONCATENATE("#Metadata!", ADDRESS(INDEX($X$2:$X$1001,MATCH(ROWS($V$2:V923),$V$2:$V$1001,0),0), INDEX($AC$1004:$AS$1004,1,MATCH(COLUMNS($AC$1006:AP1006),$AC$1006:$AS$1006,0)))),"Fix")))</f>
        <v>0</v>
      </c>
      <c r="P923" s="5">
        <f>IF(OR(INDEX($W$2:$W$1001,MATCH(ROWS($V$2:V923),$V$2:$V$1001,0),1)&gt;=100000,INDEX($AC$1005:$AS$1005,1,MATCH(COLUMNS($AC$1006:AQ1006),$AC$1006:$AS$1006,0))&gt;=100000), " ",IF(INDEX($AC$2:$AS$1001,MATCH(ROWS($V$2:V923),$V$2:$V$1001,0),MATCH(COLUMNS($AC$1006:AQ1006),$AC$1006:$AS$1006,0)), HYPERLINK("#",""), HYPERLINK(CONCATENATE("#Metadata!", ADDRESS(INDEX($X$2:$X$1001,MATCH(ROWS($V$2:V923),$V$2:$V$1001,0),0), INDEX($AC$1004:$AS$1004,1,MATCH(COLUMNS($AC$1006:AQ1006),$AC$1006:$AS$1006,0)))),"Fix")))</f>
        <v>0</v>
      </c>
      <c r="Q923" s="5">
        <f>IF(OR(INDEX($W$2:$W$1001,MATCH(ROWS($V$2:V923),$V$2:$V$1001,0),1)&gt;=100000,INDEX($AC$1005:$AS$1005,1,MATCH(COLUMNS($AC$1006:AR1006),$AC$1006:$AS$1006,0))&gt;=100000), " ",IF(INDEX($AC$2:$AS$1001,MATCH(ROWS($V$2:V923),$V$2:$V$1001,0),MATCH(COLUMNS($AC$1006:AR1006),$AC$1006:$AS$1006,0)), HYPERLINK("#",""), HYPERLINK(CONCATENATE("#Metadata!", ADDRESS(INDEX($X$2:$X$1001,MATCH(ROWS($V$2:V923),$V$2:$V$1001,0),0), INDEX($AC$1004:$AS$1004,1,MATCH(COLUMNS($AC$1006:AR1006),$AC$1006:$AS$1006,0)))),"Fix")))</f>
        <v>0</v>
      </c>
      <c r="R923" s="5">
        <f>IF(OR(INDEX($W$2:$W$1001,MATCH(ROWS($V$2:V923),$V$2:$V$1001,0),1)&gt;=100000,INDEX($AC$1005:$AS$1005,1,MATCH(COLUMNS($AC$1006:AS1006),$AC$1006:$AS$1006,0))&gt;=100000), " ",IF(INDEX($AC$2:$AS$1001,MATCH(ROWS($V$2:V923),$V$2:$V$1001,0),MATCH(COLUMNS($AC$1006:AS1006),$AC$1006:$AS$1006,0)), HYPERLINK("#",""), HYPERLINK(CONCATENATE("#Metadata!", ADDRESS(INDEX($X$2:$X$1001,MATCH(ROWS($V$2:V923),$V$2:$V$1001,0),0), INDEX($AC$1004:$AS$1004,1,MATCH(COLUMNS($AC$1006:AS1006),$AC$1006:$AS$1006,0)))),"Fix")))</f>
        <v>0</v>
      </c>
      <c r="V923">
        <v>0</v>
      </c>
      <c r="W923">
        <v>0</v>
      </c>
      <c r="X923">
        <v>0</v>
      </c>
      <c r="Y923">
        <f>IF(Z923,TRUE,AND(AC923:AS923))</f>
        <v>0</v>
      </c>
      <c r="Z923">
        <f>COUNTBLANK(Metadata!B923:R923)=COLUMNS(Metadata!B923:R923)</f>
        <v>0</v>
      </c>
      <c r="AA923">
        <v>0</v>
      </c>
      <c r="AC923">
        <f>AND(IF(Metadata!B923="",FALSE,TRUE),COUNTIF(Metadata!B:B, Metadata!B923) = 1,NOT(ISERROR(SUMPRODUCT(SEARCH(MID(Metadata!B923,ROW(INDIRECT("1:"&amp;LEN(Metadata!B923))), 1),"0123456789abcdefghijklmnopqrstuvwxyzABCDEFGHIJKLMNOPQRSTUVWXYZ.")))))</f>
        <v>0</v>
      </c>
      <c r="AD923">
        <f>AND(IF(Metadata!C923="",FALSE,TRUE),exact(Metadata!C923,"Host-associated"))</f>
        <v>0</v>
      </c>
      <c r="AE923">
        <f>AND(IF(Metadata!D923="",FALSE,TRUE),OR(exact(Metadata!D923,"Animal"),exact(Metadata!D923,"Fungus"),exact(Metadata!D923,"Plant")))</f>
        <v>0</v>
      </c>
      <c r="AF923">
        <f>AND(IF(Metadata!E923="",FALSE,TRUE),OR(exact(Metadata!E923,"Plant secretion"),exact(Metadata!E923,"Plant rhizosphere"),exact(Metadata!E923,"Plant surface"),exact(Metadata!E923,"Plant corpus"),exact(Metadata!E923,"Fungus surface"),exact(Metadata!E923,"Fungus corpus"),exact(Metadata!E923,"Animal surface"),exact(Metadata!E923,"Animal proximal gut"),exact(Metadata!E923,"Animal corpus"),exact(Metadata!E923,"Animal distal gut"),exact(Metadata!E923,"Animal secretion")))</f>
        <v>0</v>
      </c>
      <c r="AG923">
        <f>OR(AND(IF(Metadata!F923="",FALSE,TRUE),OR(exact(Metadata!F923,"not collected"),exact(Metadata!F923,"not provided"),exact(Metadata!F923,"restricted access"))),AND(IF(Metadata!F923="",FALSE,TRUE),OR(exact(Metadata!F923,"organism-associated habitat"),exact(Metadata!F923,"plant-associated habitat"),exact(Metadata!F923,"animal-associated habitat"),exact(Metadata!F923,"insecta-associated habitat"),exact(Metadata!F923,"mammalia-associated habitat"),exact(Metadata!F923,"human-associated habitat"),exact(Metadata!F923,"livestock-associated habitat"))))</f>
        <v>0</v>
      </c>
      <c r="AH923">
        <f>AND(IF(Metadata!G923="",FALSE,TRUE),exact(Metadata!G923,"host-associated"))</f>
        <v>0</v>
      </c>
      <c r="AI923">
        <f>OR(AND(IF(Metadata!H923="",FALSE,TRUE),OR(exact(Metadata!H923,"not collected"),exact(Metadata!H923,"not provided"))),AND(IF(Metadata!H923="",FALSE,ISNUMBER(VALUE(Metadata!H923))),Metadata!H923&gt;0))</f>
        <v>0</v>
      </c>
      <c r="AJ923">
        <f>AND(IF(Metadata!I923="",FALSE,TRUE),exact(Metadata!I923,"years"))</f>
        <v>0</v>
      </c>
      <c r="AK923">
        <f>IF(Metadata!J923="",FALSE,TRUE)</f>
        <v>0</v>
      </c>
      <c r="AL923">
        <f>OR(AND(IF(Metadata!K923="",FALSE,TRUE),OR(exact(Metadata!K923,"not collected"),exact(Metadata!K923,"not provided"))),AND(IF(Metadata!K923="",FALSE,ISNUMBER(VALUE(Metadata!K923))),Metadata!K923&gt;0))</f>
        <v>0</v>
      </c>
      <c r="AM923">
        <f>AND(IF(Metadata!L923="",FALSE,TRUE),exact(Metadata!L923,"cm"))</f>
        <v>0</v>
      </c>
      <c r="AN923">
        <f>IF(Metadata!M923="",FALSE,TRUE)</f>
        <v>0</v>
      </c>
      <c r="AO923">
        <f>OR(AND(IF(Metadata!N923="",FALSE,TRUE),OR(exact(Metadata!N923,"not applicable"),exact(Metadata!N923,"not collected"),exact(Metadata!N923,"not provided"))),AND(IF(Metadata!N923="",FALSE,IF(ISERROR(INT(Metadata!N923)),FALSE,INT(Metadata!N923)=Metadata!N923)),Metadata!N923&gt;0))</f>
        <v>0</v>
      </c>
      <c r="AP923">
        <f>OR(AND(IF(Metadata!O923="",FALSE,TRUE),OR(exact(Metadata!O923,"not collected"),exact(Metadata!O923,"not provided"))),AND(IF(Metadata!O923="",FALSE,ISNUMBER(VALUE(Metadata!O923))),Metadata!O923&gt;0))</f>
        <v>0</v>
      </c>
      <c r="AQ923">
        <f>AND(IF(Metadata!P923="",FALSE,TRUE),exact(Metadata!P923,"kg"))</f>
        <v>0</v>
      </c>
      <c r="AR923">
        <f>OR(AND(IF(Metadata!Q923="",FALSE,TRUE),OR(exact(Metadata!Q923,"not applicable"),exact(Metadata!Q923,"not collected"),exact(Metadata!Q923,"not provided"),exact(Metadata!Q923,"restricted access"))),IF(Metadata!Q923="",FALSE,IF(ISERROR(INT(Metadata!Q923)),FALSE,INT(Metadata!Q923)=Metadata!Q923)))</f>
        <v>0</v>
      </c>
      <c r="AS923">
        <f>AND(IF(Metadata!R923="",FALSE,TRUE),exact(Metadata!R923,"Not applicable"))</f>
        <v>0</v>
      </c>
    </row>
    <row r="924" spans="1:45">
      <c r="A924" s="4">
        <f>IF(B924=" "," ",HYPERLINK(CONCATENATE("#metadata!",ADDRESS(INDEX($X$2:$X$1001,MATCH(ROWS($V$2:V924),$V$2:$V$1001,0),0),2)),INDEX($AA$2:$AA$1001,MATCH(ROWS($V$2:V924),$V$2:$V$1001,0),0)))</f>
        <v>0</v>
      </c>
      <c r="B924" s="5">
        <f>IF(OR(INDEX($W$2:$W$1001,MATCH(ROWS($V$2:V924),$V$2:$V$1001,0),1)&gt;=100000,INDEX($AC$1005:$AS$1005,1,MATCH(COLUMNS($AC$1006:AC1006),$AC$1006:$AS$1006,0))&gt;=100000), " ",IF(INDEX($AC$2:$AS$1001,MATCH(ROWS($V$2:V924),$V$2:$V$1001,0),MATCH(COLUMNS($AC$1006:AC1006),$AC$1006:$AS$1006,0)), HYPERLINK("#",""), HYPERLINK(CONCATENATE("#Metadata!", ADDRESS(INDEX($X$2:$X$1001,MATCH(ROWS($V$2:V924),$V$2:$V$1001,0),0), INDEX($AC$1004:$AS$1004,1,MATCH(COLUMNS($AC$1006:AC1006),$AC$1006:$AS$1006,0)))),"Fix")))</f>
        <v>0</v>
      </c>
      <c r="C924" s="5">
        <f>IF(OR(INDEX($W$2:$W$1001,MATCH(ROWS($V$2:V924),$V$2:$V$1001,0),1)&gt;=100000,INDEX($AC$1005:$AS$1005,1,MATCH(COLUMNS($AC$1006:AD1006),$AC$1006:$AS$1006,0))&gt;=100000), " ",IF(INDEX($AC$2:$AS$1001,MATCH(ROWS($V$2:V924),$V$2:$V$1001,0),MATCH(COLUMNS($AC$1006:AD1006),$AC$1006:$AS$1006,0)), HYPERLINK("#",""), HYPERLINK(CONCATENATE("#Metadata!", ADDRESS(INDEX($X$2:$X$1001,MATCH(ROWS($V$2:V924),$V$2:$V$1001,0),0), INDEX($AC$1004:$AS$1004,1,MATCH(COLUMNS($AC$1006:AD1006),$AC$1006:$AS$1006,0)))),"Fix")))</f>
        <v>0</v>
      </c>
      <c r="D924" s="5">
        <f>IF(OR(INDEX($W$2:$W$1001,MATCH(ROWS($V$2:V924),$V$2:$V$1001,0),1)&gt;=100000,INDEX($AC$1005:$AS$1005,1,MATCH(COLUMNS($AC$1006:AE1006),$AC$1006:$AS$1006,0))&gt;=100000), " ",IF(INDEX($AC$2:$AS$1001,MATCH(ROWS($V$2:V924),$V$2:$V$1001,0),MATCH(COLUMNS($AC$1006:AE1006),$AC$1006:$AS$1006,0)), HYPERLINK("#",""), HYPERLINK(CONCATENATE("#Metadata!", ADDRESS(INDEX($X$2:$X$1001,MATCH(ROWS($V$2:V924),$V$2:$V$1001,0),0), INDEX($AC$1004:$AS$1004,1,MATCH(COLUMNS($AC$1006:AE1006),$AC$1006:$AS$1006,0)))),"Fix")))</f>
        <v>0</v>
      </c>
      <c r="E924" s="5">
        <f>IF(OR(INDEX($W$2:$W$1001,MATCH(ROWS($V$2:V924),$V$2:$V$1001,0),1)&gt;=100000,INDEX($AC$1005:$AS$1005,1,MATCH(COLUMNS($AC$1006:AF1006),$AC$1006:$AS$1006,0))&gt;=100000), " ",IF(INDEX($AC$2:$AS$1001,MATCH(ROWS($V$2:V924),$V$2:$V$1001,0),MATCH(COLUMNS($AC$1006:AF1006),$AC$1006:$AS$1006,0)), HYPERLINK("#",""), HYPERLINK(CONCATENATE("#Metadata!", ADDRESS(INDEX($X$2:$X$1001,MATCH(ROWS($V$2:V924),$V$2:$V$1001,0),0), INDEX($AC$1004:$AS$1004,1,MATCH(COLUMNS($AC$1006:AF1006),$AC$1006:$AS$1006,0)))),"Fix")))</f>
        <v>0</v>
      </c>
      <c r="F924" s="5">
        <f>IF(OR(INDEX($W$2:$W$1001,MATCH(ROWS($V$2:V924),$V$2:$V$1001,0),1)&gt;=100000,INDEX($AC$1005:$AS$1005,1,MATCH(COLUMNS($AC$1006:AG1006),$AC$1006:$AS$1006,0))&gt;=100000), " ",IF(INDEX($AC$2:$AS$1001,MATCH(ROWS($V$2:V924),$V$2:$V$1001,0),MATCH(COLUMNS($AC$1006:AG1006),$AC$1006:$AS$1006,0)), HYPERLINK("#",""), HYPERLINK(CONCATENATE("#Metadata!", ADDRESS(INDEX($X$2:$X$1001,MATCH(ROWS($V$2:V924),$V$2:$V$1001,0),0), INDEX($AC$1004:$AS$1004,1,MATCH(COLUMNS($AC$1006:AG1006),$AC$1006:$AS$1006,0)))),"Fix")))</f>
        <v>0</v>
      </c>
      <c r="G924" s="5">
        <f>IF(OR(INDEX($W$2:$W$1001,MATCH(ROWS($V$2:V924),$V$2:$V$1001,0),1)&gt;=100000,INDEX($AC$1005:$AS$1005,1,MATCH(COLUMNS($AC$1006:AH1006),$AC$1006:$AS$1006,0))&gt;=100000), " ",IF(INDEX($AC$2:$AS$1001,MATCH(ROWS($V$2:V924),$V$2:$V$1001,0),MATCH(COLUMNS($AC$1006:AH1006),$AC$1006:$AS$1006,0)), HYPERLINK("#",""), HYPERLINK(CONCATENATE("#Metadata!", ADDRESS(INDEX($X$2:$X$1001,MATCH(ROWS($V$2:V924),$V$2:$V$1001,0),0), INDEX($AC$1004:$AS$1004,1,MATCH(COLUMNS($AC$1006:AH1006),$AC$1006:$AS$1006,0)))),"Fix")))</f>
        <v>0</v>
      </c>
      <c r="H924" s="5">
        <f>IF(OR(INDEX($W$2:$W$1001,MATCH(ROWS($V$2:V924),$V$2:$V$1001,0),1)&gt;=100000,INDEX($AC$1005:$AS$1005,1,MATCH(COLUMNS($AC$1006:AI1006),$AC$1006:$AS$1006,0))&gt;=100000), " ",IF(INDEX($AC$2:$AS$1001,MATCH(ROWS($V$2:V924),$V$2:$V$1001,0),MATCH(COLUMNS($AC$1006:AI1006),$AC$1006:$AS$1006,0)), HYPERLINK("#",""), HYPERLINK(CONCATENATE("#Metadata!", ADDRESS(INDEX($X$2:$X$1001,MATCH(ROWS($V$2:V924),$V$2:$V$1001,0),0), INDEX($AC$1004:$AS$1004,1,MATCH(COLUMNS($AC$1006:AI1006),$AC$1006:$AS$1006,0)))),"Fix")))</f>
        <v>0</v>
      </c>
      <c r="I924" s="5">
        <f>IF(OR(INDEX($W$2:$W$1001,MATCH(ROWS($V$2:V924),$V$2:$V$1001,0),1)&gt;=100000,INDEX($AC$1005:$AS$1005,1,MATCH(COLUMNS($AC$1006:AJ1006),$AC$1006:$AS$1006,0))&gt;=100000), " ",IF(INDEX($AC$2:$AS$1001,MATCH(ROWS($V$2:V924),$V$2:$V$1001,0),MATCH(COLUMNS($AC$1006:AJ1006),$AC$1006:$AS$1006,0)), HYPERLINK("#",""), HYPERLINK(CONCATENATE("#Metadata!", ADDRESS(INDEX($X$2:$X$1001,MATCH(ROWS($V$2:V924),$V$2:$V$1001,0),0), INDEX($AC$1004:$AS$1004,1,MATCH(COLUMNS($AC$1006:AJ1006),$AC$1006:$AS$1006,0)))),"Fix")))</f>
        <v>0</v>
      </c>
      <c r="J924" s="5">
        <f>IF(OR(INDEX($W$2:$W$1001,MATCH(ROWS($V$2:V924),$V$2:$V$1001,0),1)&gt;=100000,INDEX($AC$1005:$AS$1005,1,MATCH(COLUMNS($AC$1006:AK1006),$AC$1006:$AS$1006,0))&gt;=100000), " ",IF(INDEX($AC$2:$AS$1001,MATCH(ROWS($V$2:V924),$V$2:$V$1001,0),MATCH(COLUMNS($AC$1006:AK1006),$AC$1006:$AS$1006,0)), HYPERLINK("#",""), HYPERLINK(CONCATENATE("#Metadata!", ADDRESS(INDEX($X$2:$X$1001,MATCH(ROWS($V$2:V924),$V$2:$V$1001,0),0), INDEX($AC$1004:$AS$1004,1,MATCH(COLUMNS($AC$1006:AK1006),$AC$1006:$AS$1006,0)))),"Fix")))</f>
        <v>0</v>
      </c>
      <c r="K924" s="5">
        <f>IF(OR(INDEX($W$2:$W$1001,MATCH(ROWS($V$2:V924),$V$2:$V$1001,0),1)&gt;=100000,INDEX($AC$1005:$AS$1005,1,MATCH(COLUMNS($AC$1006:AL1006),$AC$1006:$AS$1006,0))&gt;=100000), " ",IF(INDEX($AC$2:$AS$1001,MATCH(ROWS($V$2:V924),$V$2:$V$1001,0),MATCH(COLUMNS($AC$1006:AL1006),$AC$1006:$AS$1006,0)), HYPERLINK("#",""), HYPERLINK(CONCATENATE("#Metadata!", ADDRESS(INDEX($X$2:$X$1001,MATCH(ROWS($V$2:V924),$V$2:$V$1001,0),0), INDEX($AC$1004:$AS$1004,1,MATCH(COLUMNS($AC$1006:AL1006),$AC$1006:$AS$1006,0)))),"Fix")))</f>
        <v>0</v>
      </c>
      <c r="L924" s="5">
        <f>IF(OR(INDEX($W$2:$W$1001,MATCH(ROWS($V$2:V924),$V$2:$V$1001,0),1)&gt;=100000,INDEX($AC$1005:$AS$1005,1,MATCH(COLUMNS($AC$1006:AM1006),$AC$1006:$AS$1006,0))&gt;=100000), " ",IF(INDEX($AC$2:$AS$1001,MATCH(ROWS($V$2:V924),$V$2:$V$1001,0),MATCH(COLUMNS($AC$1006:AM1006),$AC$1006:$AS$1006,0)), HYPERLINK("#",""), HYPERLINK(CONCATENATE("#Metadata!", ADDRESS(INDEX($X$2:$X$1001,MATCH(ROWS($V$2:V924),$V$2:$V$1001,0),0), INDEX($AC$1004:$AS$1004,1,MATCH(COLUMNS($AC$1006:AM1006),$AC$1006:$AS$1006,0)))),"Fix")))</f>
        <v>0</v>
      </c>
      <c r="M924" s="5">
        <f>IF(OR(INDEX($W$2:$W$1001,MATCH(ROWS($V$2:V924),$V$2:$V$1001,0),1)&gt;=100000,INDEX($AC$1005:$AS$1005,1,MATCH(COLUMNS($AC$1006:AN1006),$AC$1006:$AS$1006,0))&gt;=100000), " ",IF(INDEX($AC$2:$AS$1001,MATCH(ROWS($V$2:V924),$V$2:$V$1001,0),MATCH(COLUMNS($AC$1006:AN1006),$AC$1006:$AS$1006,0)), HYPERLINK("#",""), HYPERLINK(CONCATENATE("#Metadata!", ADDRESS(INDEX($X$2:$X$1001,MATCH(ROWS($V$2:V924),$V$2:$V$1001,0),0), INDEX($AC$1004:$AS$1004,1,MATCH(COLUMNS($AC$1006:AN1006),$AC$1006:$AS$1006,0)))),"Fix")))</f>
        <v>0</v>
      </c>
      <c r="N924" s="5">
        <f>IF(OR(INDEX($W$2:$W$1001,MATCH(ROWS($V$2:V924),$V$2:$V$1001,0),1)&gt;=100000,INDEX($AC$1005:$AS$1005,1,MATCH(COLUMNS($AC$1006:AO1006),$AC$1006:$AS$1006,0))&gt;=100000), " ",IF(INDEX($AC$2:$AS$1001,MATCH(ROWS($V$2:V924),$V$2:$V$1001,0),MATCH(COLUMNS($AC$1006:AO1006),$AC$1006:$AS$1006,0)), HYPERLINK("#",""), HYPERLINK(CONCATENATE("#Metadata!", ADDRESS(INDEX($X$2:$X$1001,MATCH(ROWS($V$2:V924),$V$2:$V$1001,0),0), INDEX($AC$1004:$AS$1004,1,MATCH(COLUMNS($AC$1006:AO1006),$AC$1006:$AS$1006,0)))),"Fix")))</f>
        <v>0</v>
      </c>
      <c r="O924" s="5">
        <f>IF(OR(INDEX($W$2:$W$1001,MATCH(ROWS($V$2:V924),$V$2:$V$1001,0),1)&gt;=100000,INDEX($AC$1005:$AS$1005,1,MATCH(COLUMNS($AC$1006:AP1006),$AC$1006:$AS$1006,0))&gt;=100000), " ",IF(INDEX($AC$2:$AS$1001,MATCH(ROWS($V$2:V924),$V$2:$V$1001,0),MATCH(COLUMNS($AC$1006:AP1006),$AC$1006:$AS$1006,0)), HYPERLINK("#",""), HYPERLINK(CONCATENATE("#Metadata!", ADDRESS(INDEX($X$2:$X$1001,MATCH(ROWS($V$2:V924),$V$2:$V$1001,0),0), INDEX($AC$1004:$AS$1004,1,MATCH(COLUMNS($AC$1006:AP1006),$AC$1006:$AS$1006,0)))),"Fix")))</f>
        <v>0</v>
      </c>
      <c r="P924" s="5">
        <f>IF(OR(INDEX($W$2:$W$1001,MATCH(ROWS($V$2:V924),$V$2:$V$1001,0),1)&gt;=100000,INDEX($AC$1005:$AS$1005,1,MATCH(COLUMNS($AC$1006:AQ1006),$AC$1006:$AS$1006,0))&gt;=100000), " ",IF(INDEX($AC$2:$AS$1001,MATCH(ROWS($V$2:V924),$V$2:$V$1001,0),MATCH(COLUMNS($AC$1006:AQ1006),$AC$1006:$AS$1006,0)), HYPERLINK("#",""), HYPERLINK(CONCATENATE("#Metadata!", ADDRESS(INDEX($X$2:$X$1001,MATCH(ROWS($V$2:V924),$V$2:$V$1001,0),0), INDEX($AC$1004:$AS$1004,1,MATCH(COLUMNS($AC$1006:AQ1006),$AC$1006:$AS$1006,0)))),"Fix")))</f>
        <v>0</v>
      </c>
      <c r="Q924" s="5">
        <f>IF(OR(INDEX($W$2:$W$1001,MATCH(ROWS($V$2:V924),$V$2:$V$1001,0),1)&gt;=100000,INDEX($AC$1005:$AS$1005,1,MATCH(COLUMNS($AC$1006:AR1006),$AC$1006:$AS$1006,0))&gt;=100000), " ",IF(INDEX($AC$2:$AS$1001,MATCH(ROWS($V$2:V924),$V$2:$V$1001,0),MATCH(COLUMNS($AC$1006:AR1006),$AC$1006:$AS$1006,0)), HYPERLINK("#",""), HYPERLINK(CONCATENATE("#Metadata!", ADDRESS(INDEX($X$2:$X$1001,MATCH(ROWS($V$2:V924),$V$2:$V$1001,0),0), INDEX($AC$1004:$AS$1004,1,MATCH(COLUMNS($AC$1006:AR1006),$AC$1006:$AS$1006,0)))),"Fix")))</f>
        <v>0</v>
      </c>
      <c r="R924" s="5">
        <f>IF(OR(INDEX($W$2:$W$1001,MATCH(ROWS($V$2:V924),$V$2:$V$1001,0),1)&gt;=100000,INDEX($AC$1005:$AS$1005,1,MATCH(COLUMNS($AC$1006:AS1006),$AC$1006:$AS$1006,0))&gt;=100000), " ",IF(INDEX($AC$2:$AS$1001,MATCH(ROWS($V$2:V924),$V$2:$V$1001,0),MATCH(COLUMNS($AC$1006:AS1006),$AC$1006:$AS$1006,0)), HYPERLINK("#",""), HYPERLINK(CONCATENATE("#Metadata!", ADDRESS(INDEX($X$2:$X$1001,MATCH(ROWS($V$2:V924),$V$2:$V$1001,0),0), INDEX($AC$1004:$AS$1004,1,MATCH(COLUMNS($AC$1006:AS1006),$AC$1006:$AS$1006,0)))),"Fix")))</f>
        <v>0</v>
      </c>
      <c r="V924">
        <v>0</v>
      </c>
      <c r="W924">
        <v>0</v>
      </c>
      <c r="X924">
        <v>0</v>
      </c>
      <c r="Y924">
        <f>IF(Z924,TRUE,AND(AC924:AS924))</f>
        <v>0</v>
      </c>
      <c r="Z924">
        <f>COUNTBLANK(Metadata!B924:R924)=COLUMNS(Metadata!B924:R924)</f>
        <v>0</v>
      </c>
      <c r="AA924">
        <v>0</v>
      </c>
      <c r="AC924">
        <f>AND(IF(Metadata!B924="",FALSE,TRUE),COUNTIF(Metadata!B:B, Metadata!B924) = 1,NOT(ISERROR(SUMPRODUCT(SEARCH(MID(Metadata!B924,ROW(INDIRECT("1:"&amp;LEN(Metadata!B924))), 1),"0123456789abcdefghijklmnopqrstuvwxyzABCDEFGHIJKLMNOPQRSTUVWXYZ.")))))</f>
        <v>0</v>
      </c>
      <c r="AD924">
        <f>AND(IF(Metadata!C924="",FALSE,TRUE),exact(Metadata!C924,"Host-associated"))</f>
        <v>0</v>
      </c>
      <c r="AE924">
        <f>AND(IF(Metadata!D924="",FALSE,TRUE),OR(exact(Metadata!D924,"Animal"),exact(Metadata!D924,"Fungus"),exact(Metadata!D924,"Plant")))</f>
        <v>0</v>
      </c>
      <c r="AF924">
        <f>AND(IF(Metadata!E924="",FALSE,TRUE),OR(exact(Metadata!E924,"Plant secretion"),exact(Metadata!E924,"Plant rhizosphere"),exact(Metadata!E924,"Plant surface"),exact(Metadata!E924,"Plant corpus"),exact(Metadata!E924,"Fungus surface"),exact(Metadata!E924,"Fungus corpus"),exact(Metadata!E924,"Animal surface"),exact(Metadata!E924,"Animal proximal gut"),exact(Metadata!E924,"Animal corpus"),exact(Metadata!E924,"Animal distal gut"),exact(Metadata!E924,"Animal secretion")))</f>
        <v>0</v>
      </c>
      <c r="AG924">
        <f>OR(AND(IF(Metadata!F924="",FALSE,TRUE),OR(exact(Metadata!F924,"not collected"),exact(Metadata!F924,"not provided"),exact(Metadata!F924,"restricted access"))),AND(IF(Metadata!F924="",FALSE,TRUE),OR(exact(Metadata!F924,"organism-associated habitat"),exact(Metadata!F924,"plant-associated habitat"),exact(Metadata!F924,"animal-associated habitat"),exact(Metadata!F924,"insecta-associated habitat"),exact(Metadata!F924,"mammalia-associated habitat"),exact(Metadata!F924,"human-associated habitat"),exact(Metadata!F924,"livestock-associated habitat"))))</f>
        <v>0</v>
      </c>
      <c r="AH924">
        <f>AND(IF(Metadata!G924="",FALSE,TRUE),exact(Metadata!G924,"host-associated"))</f>
        <v>0</v>
      </c>
      <c r="AI924">
        <f>OR(AND(IF(Metadata!H924="",FALSE,TRUE),OR(exact(Metadata!H924,"not collected"),exact(Metadata!H924,"not provided"))),AND(IF(Metadata!H924="",FALSE,ISNUMBER(VALUE(Metadata!H924))),Metadata!H924&gt;0))</f>
        <v>0</v>
      </c>
      <c r="AJ924">
        <f>AND(IF(Metadata!I924="",FALSE,TRUE),exact(Metadata!I924,"years"))</f>
        <v>0</v>
      </c>
      <c r="AK924">
        <f>IF(Metadata!J924="",FALSE,TRUE)</f>
        <v>0</v>
      </c>
      <c r="AL924">
        <f>OR(AND(IF(Metadata!K924="",FALSE,TRUE),OR(exact(Metadata!K924,"not collected"),exact(Metadata!K924,"not provided"))),AND(IF(Metadata!K924="",FALSE,ISNUMBER(VALUE(Metadata!K924))),Metadata!K924&gt;0))</f>
        <v>0</v>
      </c>
      <c r="AM924">
        <f>AND(IF(Metadata!L924="",FALSE,TRUE),exact(Metadata!L924,"cm"))</f>
        <v>0</v>
      </c>
      <c r="AN924">
        <f>IF(Metadata!M924="",FALSE,TRUE)</f>
        <v>0</v>
      </c>
      <c r="AO924">
        <f>OR(AND(IF(Metadata!N924="",FALSE,TRUE),OR(exact(Metadata!N924,"not applicable"),exact(Metadata!N924,"not collected"),exact(Metadata!N924,"not provided"))),AND(IF(Metadata!N924="",FALSE,IF(ISERROR(INT(Metadata!N924)),FALSE,INT(Metadata!N924)=Metadata!N924)),Metadata!N924&gt;0))</f>
        <v>0</v>
      </c>
      <c r="AP924">
        <f>OR(AND(IF(Metadata!O924="",FALSE,TRUE),OR(exact(Metadata!O924,"not collected"),exact(Metadata!O924,"not provided"))),AND(IF(Metadata!O924="",FALSE,ISNUMBER(VALUE(Metadata!O924))),Metadata!O924&gt;0))</f>
        <v>0</v>
      </c>
      <c r="AQ924">
        <f>AND(IF(Metadata!P924="",FALSE,TRUE),exact(Metadata!P924,"kg"))</f>
        <v>0</v>
      </c>
      <c r="AR924">
        <f>OR(AND(IF(Metadata!Q924="",FALSE,TRUE),OR(exact(Metadata!Q924,"not applicable"),exact(Metadata!Q924,"not collected"),exact(Metadata!Q924,"not provided"),exact(Metadata!Q924,"restricted access"))),IF(Metadata!Q924="",FALSE,IF(ISERROR(INT(Metadata!Q924)),FALSE,INT(Metadata!Q924)=Metadata!Q924)))</f>
        <v>0</v>
      </c>
      <c r="AS924">
        <f>AND(IF(Metadata!R924="",FALSE,TRUE),exact(Metadata!R924,"Not applicable"))</f>
        <v>0</v>
      </c>
    </row>
    <row r="925" spans="1:45">
      <c r="A925" s="4">
        <f>IF(B925=" "," ",HYPERLINK(CONCATENATE("#metadata!",ADDRESS(INDEX($X$2:$X$1001,MATCH(ROWS($V$2:V925),$V$2:$V$1001,0),0),2)),INDEX($AA$2:$AA$1001,MATCH(ROWS($V$2:V925),$V$2:$V$1001,0),0)))</f>
        <v>0</v>
      </c>
      <c r="B925" s="5">
        <f>IF(OR(INDEX($W$2:$W$1001,MATCH(ROWS($V$2:V925),$V$2:$V$1001,0),1)&gt;=100000,INDEX($AC$1005:$AS$1005,1,MATCH(COLUMNS($AC$1006:AC1006),$AC$1006:$AS$1006,0))&gt;=100000), " ",IF(INDEX($AC$2:$AS$1001,MATCH(ROWS($V$2:V925),$V$2:$V$1001,0),MATCH(COLUMNS($AC$1006:AC1006),$AC$1006:$AS$1006,0)), HYPERLINK("#",""), HYPERLINK(CONCATENATE("#Metadata!", ADDRESS(INDEX($X$2:$X$1001,MATCH(ROWS($V$2:V925),$V$2:$V$1001,0),0), INDEX($AC$1004:$AS$1004,1,MATCH(COLUMNS($AC$1006:AC1006),$AC$1006:$AS$1006,0)))),"Fix")))</f>
        <v>0</v>
      </c>
      <c r="C925" s="5">
        <f>IF(OR(INDEX($W$2:$W$1001,MATCH(ROWS($V$2:V925),$V$2:$V$1001,0),1)&gt;=100000,INDEX($AC$1005:$AS$1005,1,MATCH(COLUMNS($AC$1006:AD1006),$AC$1006:$AS$1006,0))&gt;=100000), " ",IF(INDEX($AC$2:$AS$1001,MATCH(ROWS($V$2:V925),$V$2:$V$1001,0),MATCH(COLUMNS($AC$1006:AD1006),$AC$1006:$AS$1006,0)), HYPERLINK("#",""), HYPERLINK(CONCATENATE("#Metadata!", ADDRESS(INDEX($X$2:$X$1001,MATCH(ROWS($V$2:V925),$V$2:$V$1001,0),0), INDEX($AC$1004:$AS$1004,1,MATCH(COLUMNS($AC$1006:AD1006),$AC$1006:$AS$1006,0)))),"Fix")))</f>
        <v>0</v>
      </c>
      <c r="D925" s="5">
        <f>IF(OR(INDEX($W$2:$W$1001,MATCH(ROWS($V$2:V925),$V$2:$V$1001,0),1)&gt;=100000,INDEX($AC$1005:$AS$1005,1,MATCH(COLUMNS($AC$1006:AE1006),$AC$1006:$AS$1006,0))&gt;=100000), " ",IF(INDEX($AC$2:$AS$1001,MATCH(ROWS($V$2:V925),$V$2:$V$1001,0),MATCH(COLUMNS($AC$1006:AE1006),$AC$1006:$AS$1006,0)), HYPERLINK("#",""), HYPERLINK(CONCATENATE("#Metadata!", ADDRESS(INDEX($X$2:$X$1001,MATCH(ROWS($V$2:V925),$V$2:$V$1001,0),0), INDEX($AC$1004:$AS$1004,1,MATCH(COLUMNS($AC$1006:AE1006),$AC$1006:$AS$1006,0)))),"Fix")))</f>
        <v>0</v>
      </c>
      <c r="E925" s="5">
        <f>IF(OR(INDEX($W$2:$W$1001,MATCH(ROWS($V$2:V925),$V$2:$V$1001,0),1)&gt;=100000,INDEX($AC$1005:$AS$1005,1,MATCH(COLUMNS($AC$1006:AF1006),$AC$1006:$AS$1006,0))&gt;=100000), " ",IF(INDEX($AC$2:$AS$1001,MATCH(ROWS($V$2:V925),$V$2:$V$1001,0),MATCH(COLUMNS($AC$1006:AF1006),$AC$1006:$AS$1006,0)), HYPERLINK("#",""), HYPERLINK(CONCATENATE("#Metadata!", ADDRESS(INDEX($X$2:$X$1001,MATCH(ROWS($V$2:V925),$V$2:$V$1001,0),0), INDEX($AC$1004:$AS$1004,1,MATCH(COLUMNS($AC$1006:AF1006),$AC$1006:$AS$1006,0)))),"Fix")))</f>
        <v>0</v>
      </c>
      <c r="F925" s="5">
        <f>IF(OR(INDEX($W$2:$W$1001,MATCH(ROWS($V$2:V925),$V$2:$V$1001,0),1)&gt;=100000,INDEX($AC$1005:$AS$1005,1,MATCH(COLUMNS($AC$1006:AG1006),$AC$1006:$AS$1006,0))&gt;=100000), " ",IF(INDEX($AC$2:$AS$1001,MATCH(ROWS($V$2:V925),$V$2:$V$1001,0),MATCH(COLUMNS($AC$1006:AG1006),$AC$1006:$AS$1006,0)), HYPERLINK("#",""), HYPERLINK(CONCATENATE("#Metadata!", ADDRESS(INDEX($X$2:$X$1001,MATCH(ROWS($V$2:V925),$V$2:$V$1001,0),0), INDEX($AC$1004:$AS$1004,1,MATCH(COLUMNS($AC$1006:AG1006),$AC$1006:$AS$1006,0)))),"Fix")))</f>
        <v>0</v>
      </c>
      <c r="G925" s="5">
        <f>IF(OR(INDEX($W$2:$W$1001,MATCH(ROWS($V$2:V925),$V$2:$V$1001,0),1)&gt;=100000,INDEX($AC$1005:$AS$1005,1,MATCH(COLUMNS($AC$1006:AH1006),$AC$1006:$AS$1006,0))&gt;=100000), " ",IF(INDEX($AC$2:$AS$1001,MATCH(ROWS($V$2:V925),$V$2:$V$1001,0),MATCH(COLUMNS($AC$1006:AH1006),$AC$1006:$AS$1006,0)), HYPERLINK("#",""), HYPERLINK(CONCATENATE("#Metadata!", ADDRESS(INDEX($X$2:$X$1001,MATCH(ROWS($V$2:V925),$V$2:$V$1001,0),0), INDEX($AC$1004:$AS$1004,1,MATCH(COLUMNS($AC$1006:AH1006),$AC$1006:$AS$1006,0)))),"Fix")))</f>
        <v>0</v>
      </c>
      <c r="H925" s="5">
        <f>IF(OR(INDEX($W$2:$W$1001,MATCH(ROWS($V$2:V925),$V$2:$V$1001,0),1)&gt;=100000,INDEX($AC$1005:$AS$1005,1,MATCH(COLUMNS($AC$1006:AI1006),$AC$1006:$AS$1006,0))&gt;=100000), " ",IF(INDEX($AC$2:$AS$1001,MATCH(ROWS($V$2:V925),$V$2:$V$1001,0),MATCH(COLUMNS($AC$1006:AI1006),$AC$1006:$AS$1006,0)), HYPERLINK("#",""), HYPERLINK(CONCATENATE("#Metadata!", ADDRESS(INDEX($X$2:$X$1001,MATCH(ROWS($V$2:V925),$V$2:$V$1001,0),0), INDEX($AC$1004:$AS$1004,1,MATCH(COLUMNS($AC$1006:AI1006),$AC$1006:$AS$1006,0)))),"Fix")))</f>
        <v>0</v>
      </c>
      <c r="I925" s="5">
        <f>IF(OR(INDEX($W$2:$W$1001,MATCH(ROWS($V$2:V925),$V$2:$V$1001,0),1)&gt;=100000,INDEX($AC$1005:$AS$1005,1,MATCH(COLUMNS($AC$1006:AJ1006),$AC$1006:$AS$1006,0))&gt;=100000), " ",IF(INDEX($AC$2:$AS$1001,MATCH(ROWS($V$2:V925),$V$2:$V$1001,0),MATCH(COLUMNS($AC$1006:AJ1006),$AC$1006:$AS$1006,0)), HYPERLINK("#",""), HYPERLINK(CONCATENATE("#Metadata!", ADDRESS(INDEX($X$2:$X$1001,MATCH(ROWS($V$2:V925),$V$2:$V$1001,0),0), INDEX($AC$1004:$AS$1004,1,MATCH(COLUMNS($AC$1006:AJ1006),$AC$1006:$AS$1006,0)))),"Fix")))</f>
        <v>0</v>
      </c>
      <c r="J925" s="5">
        <f>IF(OR(INDEX($W$2:$W$1001,MATCH(ROWS($V$2:V925),$V$2:$V$1001,0),1)&gt;=100000,INDEX($AC$1005:$AS$1005,1,MATCH(COLUMNS($AC$1006:AK1006),$AC$1006:$AS$1006,0))&gt;=100000), " ",IF(INDEX($AC$2:$AS$1001,MATCH(ROWS($V$2:V925),$V$2:$V$1001,0),MATCH(COLUMNS($AC$1006:AK1006),$AC$1006:$AS$1006,0)), HYPERLINK("#",""), HYPERLINK(CONCATENATE("#Metadata!", ADDRESS(INDEX($X$2:$X$1001,MATCH(ROWS($V$2:V925),$V$2:$V$1001,0),0), INDEX($AC$1004:$AS$1004,1,MATCH(COLUMNS($AC$1006:AK1006),$AC$1006:$AS$1006,0)))),"Fix")))</f>
        <v>0</v>
      </c>
      <c r="K925" s="5">
        <f>IF(OR(INDEX($W$2:$W$1001,MATCH(ROWS($V$2:V925),$V$2:$V$1001,0),1)&gt;=100000,INDEX($AC$1005:$AS$1005,1,MATCH(COLUMNS($AC$1006:AL1006),$AC$1006:$AS$1006,0))&gt;=100000), " ",IF(INDEX($AC$2:$AS$1001,MATCH(ROWS($V$2:V925),$V$2:$V$1001,0),MATCH(COLUMNS($AC$1006:AL1006),$AC$1006:$AS$1006,0)), HYPERLINK("#",""), HYPERLINK(CONCATENATE("#Metadata!", ADDRESS(INDEX($X$2:$X$1001,MATCH(ROWS($V$2:V925),$V$2:$V$1001,0),0), INDEX($AC$1004:$AS$1004,1,MATCH(COLUMNS($AC$1006:AL1006),$AC$1006:$AS$1006,0)))),"Fix")))</f>
        <v>0</v>
      </c>
      <c r="L925" s="5">
        <f>IF(OR(INDEX($W$2:$W$1001,MATCH(ROWS($V$2:V925),$V$2:$V$1001,0),1)&gt;=100000,INDEX($AC$1005:$AS$1005,1,MATCH(COLUMNS($AC$1006:AM1006),$AC$1006:$AS$1006,0))&gt;=100000), " ",IF(INDEX($AC$2:$AS$1001,MATCH(ROWS($V$2:V925),$V$2:$V$1001,0),MATCH(COLUMNS($AC$1006:AM1006),$AC$1006:$AS$1006,0)), HYPERLINK("#",""), HYPERLINK(CONCATENATE("#Metadata!", ADDRESS(INDEX($X$2:$X$1001,MATCH(ROWS($V$2:V925),$V$2:$V$1001,0),0), INDEX($AC$1004:$AS$1004,1,MATCH(COLUMNS($AC$1006:AM1006),$AC$1006:$AS$1006,0)))),"Fix")))</f>
        <v>0</v>
      </c>
      <c r="M925" s="5">
        <f>IF(OR(INDEX($W$2:$W$1001,MATCH(ROWS($V$2:V925),$V$2:$V$1001,0),1)&gt;=100000,INDEX($AC$1005:$AS$1005,1,MATCH(COLUMNS($AC$1006:AN1006),$AC$1006:$AS$1006,0))&gt;=100000), " ",IF(INDEX($AC$2:$AS$1001,MATCH(ROWS($V$2:V925),$V$2:$V$1001,0),MATCH(COLUMNS($AC$1006:AN1006),$AC$1006:$AS$1006,0)), HYPERLINK("#",""), HYPERLINK(CONCATENATE("#Metadata!", ADDRESS(INDEX($X$2:$X$1001,MATCH(ROWS($V$2:V925),$V$2:$V$1001,0),0), INDEX($AC$1004:$AS$1004,1,MATCH(COLUMNS($AC$1006:AN1006),$AC$1006:$AS$1006,0)))),"Fix")))</f>
        <v>0</v>
      </c>
      <c r="N925" s="5">
        <f>IF(OR(INDEX($W$2:$W$1001,MATCH(ROWS($V$2:V925),$V$2:$V$1001,0),1)&gt;=100000,INDEX($AC$1005:$AS$1005,1,MATCH(COLUMNS($AC$1006:AO1006),$AC$1006:$AS$1006,0))&gt;=100000), " ",IF(INDEX($AC$2:$AS$1001,MATCH(ROWS($V$2:V925),$V$2:$V$1001,0),MATCH(COLUMNS($AC$1006:AO1006),$AC$1006:$AS$1006,0)), HYPERLINK("#",""), HYPERLINK(CONCATENATE("#Metadata!", ADDRESS(INDEX($X$2:$X$1001,MATCH(ROWS($V$2:V925),$V$2:$V$1001,0),0), INDEX($AC$1004:$AS$1004,1,MATCH(COLUMNS($AC$1006:AO1006),$AC$1006:$AS$1006,0)))),"Fix")))</f>
        <v>0</v>
      </c>
      <c r="O925" s="5">
        <f>IF(OR(INDEX($W$2:$W$1001,MATCH(ROWS($V$2:V925),$V$2:$V$1001,0),1)&gt;=100000,INDEX($AC$1005:$AS$1005,1,MATCH(COLUMNS($AC$1006:AP1006),$AC$1006:$AS$1006,0))&gt;=100000), " ",IF(INDEX($AC$2:$AS$1001,MATCH(ROWS($V$2:V925),$V$2:$V$1001,0),MATCH(COLUMNS($AC$1006:AP1006),$AC$1006:$AS$1006,0)), HYPERLINK("#",""), HYPERLINK(CONCATENATE("#Metadata!", ADDRESS(INDEX($X$2:$X$1001,MATCH(ROWS($V$2:V925),$V$2:$V$1001,0),0), INDEX($AC$1004:$AS$1004,1,MATCH(COLUMNS($AC$1006:AP1006),$AC$1006:$AS$1006,0)))),"Fix")))</f>
        <v>0</v>
      </c>
      <c r="P925" s="5">
        <f>IF(OR(INDEX($W$2:$W$1001,MATCH(ROWS($V$2:V925),$V$2:$V$1001,0),1)&gt;=100000,INDEX($AC$1005:$AS$1005,1,MATCH(COLUMNS($AC$1006:AQ1006),$AC$1006:$AS$1006,0))&gt;=100000), " ",IF(INDEX($AC$2:$AS$1001,MATCH(ROWS($V$2:V925),$V$2:$V$1001,0),MATCH(COLUMNS($AC$1006:AQ1006),$AC$1006:$AS$1006,0)), HYPERLINK("#",""), HYPERLINK(CONCATENATE("#Metadata!", ADDRESS(INDEX($X$2:$X$1001,MATCH(ROWS($V$2:V925),$V$2:$V$1001,0),0), INDEX($AC$1004:$AS$1004,1,MATCH(COLUMNS($AC$1006:AQ1006),$AC$1006:$AS$1006,0)))),"Fix")))</f>
        <v>0</v>
      </c>
      <c r="Q925" s="5">
        <f>IF(OR(INDEX($W$2:$W$1001,MATCH(ROWS($V$2:V925),$V$2:$V$1001,0),1)&gt;=100000,INDEX($AC$1005:$AS$1005,1,MATCH(COLUMNS($AC$1006:AR1006),$AC$1006:$AS$1006,0))&gt;=100000), " ",IF(INDEX($AC$2:$AS$1001,MATCH(ROWS($V$2:V925),$V$2:$V$1001,0),MATCH(COLUMNS($AC$1006:AR1006),$AC$1006:$AS$1006,0)), HYPERLINK("#",""), HYPERLINK(CONCATENATE("#Metadata!", ADDRESS(INDEX($X$2:$X$1001,MATCH(ROWS($V$2:V925),$V$2:$V$1001,0),0), INDEX($AC$1004:$AS$1004,1,MATCH(COLUMNS($AC$1006:AR1006),$AC$1006:$AS$1006,0)))),"Fix")))</f>
        <v>0</v>
      </c>
      <c r="R925" s="5">
        <f>IF(OR(INDEX($W$2:$W$1001,MATCH(ROWS($V$2:V925),$V$2:$V$1001,0),1)&gt;=100000,INDEX($AC$1005:$AS$1005,1,MATCH(COLUMNS($AC$1006:AS1006),$AC$1006:$AS$1006,0))&gt;=100000), " ",IF(INDEX($AC$2:$AS$1001,MATCH(ROWS($V$2:V925),$V$2:$V$1001,0),MATCH(COLUMNS($AC$1006:AS1006),$AC$1006:$AS$1006,0)), HYPERLINK("#",""), HYPERLINK(CONCATENATE("#Metadata!", ADDRESS(INDEX($X$2:$X$1001,MATCH(ROWS($V$2:V925),$V$2:$V$1001,0),0), INDEX($AC$1004:$AS$1004,1,MATCH(COLUMNS($AC$1006:AS1006),$AC$1006:$AS$1006,0)))),"Fix")))</f>
        <v>0</v>
      </c>
      <c r="V925">
        <v>0</v>
      </c>
      <c r="W925">
        <v>0</v>
      </c>
      <c r="X925">
        <v>0</v>
      </c>
      <c r="Y925">
        <f>IF(Z925,TRUE,AND(AC925:AS925))</f>
        <v>0</v>
      </c>
      <c r="Z925">
        <f>COUNTBLANK(Metadata!B925:R925)=COLUMNS(Metadata!B925:R925)</f>
        <v>0</v>
      </c>
      <c r="AA925">
        <v>0</v>
      </c>
      <c r="AC925">
        <f>AND(IF(Metadata!B925="",FALSE,TRUE),COUNTIF(Metadata!B:B, Metadata!B925) = 1,NOT(ISERROR(SUMPRODUCT(SEARCH(MID(Metadata!B925,ROW(INDIRECT("1:"&amp;LEN(Metadata!B925))), 1),"0123456789abcdefghijklmnopqrstuvwxyzABCDEFGHIJKLMNOPQRSTUVWXYZ.")))))</f>
        <v>0</v>
      </c>
      <c r="AD925">
        <f>AND(IF(Metadata!C925="",FALSE,TRUE),exact(Metadata!C925,"Host-associated"))</f>
        <v>0</v>
      </c>
      <c r="AE925">
        <f>AND(IF(Metadata!D925="",FALSE,TRUE),OR(exact(Metadata!D925,"Animal"),exact(Metadata!D925,"Fungus"),exact(Metadata!D925,"Plant")))</f>
        <v>0</v>
      </c>
      <c r="AF925">
        <f>AND(IF(Metadata!E925="",FALSE,TRUE),OR(exact(Metadata!E925,"Plant secretion"),exact(Metadata!E925,"Plant rhizosphere"),exact(Metadata!E925,"Plant surface"),exact(Metadata!E925,"Plant corpus"),exact(Metadata!E925,"Fungus surface"),exact(Metadata!E925,"Fungus corpus"),exact(Metadata!E925,"Animal surface"),exact(Metadata!E925,"Animal proximal gut"),exact(Metadata!E925,"Animal corpus"),exact(Metadata!E925,"Animal distal gut"),exact(Metadata!E925,"Animal secretion")))</f>
        <v>0</v>
      </c>
      <c r="AG925">
        <f>OR(AND(IF(Metadata!F925="",FALSE,TRUE),OR(exact(Metadata!F925,"not collected"),exact(Metadata!F925,"not provided"),exact(Metadata!F925,"restricted access"))),AND(IF(Metadata!F925="",FALSE,TRUE),OR(exact(Metadata!F925,"organism-associated habitat"),exact(Metadata!F925,"plant-associated habitat"),exact(Metadata!F925,"animal-associated habitat"),exact(Metadata!F925,"insecta-associated habitat"),exact(Metadata!F925,"mammalia-associated habitat"),exact(Metadata!F925,"human-associated habitat"),exact(Metadata!F925,"livestock-associated habitat"))))</f>
        <v>0</v>
      </c>
      <c r="AH925">
        <f>AND(IF(Metadata!G925="",FALSE,TRUE),exact(Metadata!G925,"host-associated"))</f>
        <v>0</v>
      </c>
      <c r="AI925">
        <f>OR(AND(IF(Metadata!H925="",FALSE,TRUE),OR(exact(Metadata!H925,"not collected"),exact(Metadata!H925,"not provided"))),AND(IF(Metadata!H925="",FALSE,ISNUMBER(VALUE(Metadata!H925))),Metadata!H925&gt;0))</f>
        <v>0</v>
      </c>
      <c r="AJ925">
        <f>AND(IF(Metadata!I925="",FALSE,TRUE),exact(Metadata!I925,"years"))</f>
        <v>0</v>
      </c>
      <c r="AK925">
        <f>IF(Metadata!J925="",FALSE,TRUE)</f>
        <v>0</v>
      </c>
      <c r="AL925">
        <f>OR(AND(IF(Metadata!K925="",FALSE,TRUE),OR(exact(Metadata!K925,"not collected"),exact(Metadata!K925,"not provided"))),AND(IF(Metadata!K925="",FALSE,ISNUMBER(VALUE(Metadata!K925))),Metadata!K925&gt;0))</f>
        <v>0</v>
      </c>
      <c r="AM925">
        <f>AND(IF(Metadata!L925="",FALSE,TRUE),exact(Metadata!L925,"cm"))</f>
        <v>0</v>
      </c>
      <c r="AN925">
        <f>IF(Metadata!M925="",FALSE,TRUE)</f>
        <v>0</v>
      </c>
      <c r="AO925">
        <f>OR(AND(IF(Metadata!N925="",FALSE,TRUE),OR(exact(Metadata!N925,"not applicable"),exact(Metadata!N925,"not collected"),exact(Metadata!N925,"not provided"))),AND(IF(Metadata!N925="",FALSE,IF(ISERROR(INT(Metadata!N925)),FALSE,INT(Metadata!N925)=Metadata!N925)),Metadata!N925&gt;0))</f>
        <v>0</v>
      </c>
      <c r="AP925">
        <f>OR(AND(IF(Metadata!O925="",FALSE,TRUE),OR(exact(Metadata!O925,"not collected"),exact(Metadata!O925,"not provided"))),AND(IF(Metadata!O925="",FALSE,ISNUMBER(VALUE(Metadata!O925))),Metadata!O925&gt;0))</f>
        <v>0</v>
      </c>
      <c r="AQ925">
        <f>AND(IF(Metadata!P925="",FALSE,TRUE),exact(Metadata!P925,"kg"))</f>
        <v>0</v>
      </c>
      <c r="AR925">
        <f>OR(AND(IF(Metadata!Q925="",FALSE,TRUE),OR(exact(Metadata!Q925,"not applicable"),exact(Metadata!Q925,"not collected"),exact(Metadata!Q925,"not provided"),exact(Metadata!Q925,"restricted access"))),IF(Metadata!Q925="",FALSE,IF(ISERROR(INT(Metadata!Q925)),FALSE,INT(Metadata!Q925)=Metadata!Q925)))</f>
        <v>0</v>
      </c>
      <c r="AS925">
        <f>AND(IF(Metadata!R925="",FALSE,TRUE),exact(Metadata!R925,"Not applicable"))</f>
        <v>0</v>
      </c>
    </row>
    <row r="926" spans="1:45">
      <c r="A926" s="4">
        <f>IF(B926=" "," ",HYPERLINK(CONCATENATE("#metadata!",ADDRESS(INDEX($X$2:$X$1001,MATCH(ROWS($V$2:V926),$V$2:$V$1001,0),0),2)),INDEX($AA$2:$AA$1001,MATCH(ROWS($V$2:V926),$V$2:$V$1001,0),0)))</f>
        <v>0</v>
      </c>
      <c r="B926" s="5">
        <f>IF(OR(INDEX($W$2:$W$1001,MATCH(ROWS($V$2:V926),$V$2:$V$1001,0),1)&gt;=100000,INDEX($AC$1005:$AS$1005,1,MATCH(COLUMNS($AC$1006:AC1006),$AC$1006:$AS$1006,0))&gt;=100000), " ",IF(INDEX($AC$2:$AS$1001,MATCH(ROWS($V$2:V926),$V$2:$V$1001,0),MATCH(COLUMNS($AC$1006:AC1006),$AC$1006:$AS$1006,0)), HYPERLINK("#",""), HYPERLINK(CONCATENATE("#Metadata!", ADDRESS(INDEX($X$2:$X$1001,MATCH(ROWS($V$2:V926),$V$2:$V$1001,0),0), INDEX($AC$1004:$AS$1004,1,MATCH(COLUMNS($AC$1006:AC1006),$AC$1006:$AS$1006,0)))),"Fix")))</f>
        <v>0</v>
      </c>
      <c r="C926" s="5">
        <f>IF(OR(INDEX($W$2:$W$1001,MATCH(ROWS($V$2:V926),$V$2:$V$1001,0),1)&gt;=100000,INDEX($AC$1005:$AS$1005,1,MATCH(COLUMNS($AC$1006:AD1006),$AC$1006:$AS$1006,0))&gt;=100000), " ",IF(INDEX($AC$2:$AS$1001,MATCH(ROWS($V$2:V926),$V$2:$V$1001,0),MATCH(COLUMNS($AC$1006:AD1006),$AC$1006:$AS$1006,0)), HYPERLINK("#",""), HYPERLINK(CONCATENATE("#Metadata!", ADDRESS(INDEX($X$2:$X$1001,MATCH(ROWS($V$2:V926),$V$2:$V$1001,0),0), INDEX($AC$1004:$AS$1004,1,MATCH(COLUMNS($AC$1006:AD1006),$AC$1006:$AS$1006,0)))),"Fix")))</f>
        <v>0</v>
      </c>
      <c r="D926" s="5">
        <f>IF(OR(INDEX($W$2:$W$1001,MATCH(ROWS($V$2:V926),$V$2:$V$1001,0),1)&gt;=100000,INDEX($AC$1005:$AS$1005,1,MATCH(COLUMNS($AC$1006:AE1006),$AC$1006:$AS$1006,0))&gt;=100000), " ",IF(INDEX($AC$2:$AS$1001,MATCH(ROWS($V$2:V926),$V$2:$V$1001,0),MATCH(COLUMNS($AC$1006:AE1006),$AC$1006:$AS$1006,0)), HYPERLINK("#",""), HYPERLINK(CONCATENATE("#Metadata!", ADDRESS(INDEX($X$2:$X$1001,MATCH(ROWS($V$2:V926),$V$2:$V$1001,0),0), INDEX($AC$1004:$AS$1004,1,MATCH(COLUMNS($AC$1006:AE1006),$AC$1006:$AS$1006,0)))),"Fix")))</f>
        <v>0</v>
      </c>
      <c r="E926" s="5">
        <f>IF(OR(INDEX($W$2:$W$1001,MATCH(ROWS($V$2:V926),$V$2:$V$1001,0),1)&gt;=100000,INDEX($AC$1005:$AS$1005,1,MATCH(COLUMNS($AC$1006:AF1006),$AC$1006:$AS$1006,0))&gt;=100000), " ",IF(INDEX($AC$2:$AS$1001,MATCH(ROWS($V$2:V926),$V$2:$V$1001,0),MATCH(COLUMNS($AC$1006:AF1006),$AC$1006:$AS$1006,0)), HYPERLINK("#",""), HYPERLINK(CONCATENATE("#Metadata!", ADDRESS(INDEX($X$2:$X$1001,MATCH(ROWS($V$2:V926),$V$2:$V$1001,0),0), INDEX($AC$1004:$AS$1004,1,MATCH(COLUMNS($AC$1006:AF1006),$AC$1006:$AS$1006,0)))),"Fix")))</f>
        <v>0</v>
      </c>
      <c r="F926" s="5">
        <f>IF(OR(INDEX($W$2:$W$1001,MATCH(ROWS($V$2:V926),$V$2:$V$1001,0),1)&gt;=100000,INDEX($AC$1005:$AS$1005,1,MATCH(COLUMNS($AC$1006:AG1006),$AC$1006:$AS$1006,0))&gt;=100000), " ",IF(INDEX($AC$2:$AS$1001,MATCH(ROWS($V$2:V926),$V$2:$V$1001,0),MATCH(COLUMNS($AC$1006:AG1006),$AC$1006:$AS$1006,0)), HYPERLINK("#",""), HYPERLINK(CONCATENATE("#Metadata!", ADDRESS(INDEX($X$2:$X$1001,MATCH(ROWS($V$2:V926),$V$2:$V$1001,0),0), INDEX($AC$1004:$AS$1004,1,MATCH(COLUMNS($AC$1006:AG1006),$AC$1006:$AS$1006,0)))),"Fix")))</f>
        <v>0</v>
      </c>
      <c r="G926" s="5">
        <f>IF(OR(INDEX($W$2:$W$1001,MATCH(ROWS($V$2:V926),$V$2:$V$1001,0),1)&gt;=100000,INDEX($AC$1005:$AS$1005,1,MATCH(COLUMNS($AC$1006:AH1006),$AC$1006:$AS$1006,0))&gt;=100000), " ",IF(INDEX($AC$2:$AS$1001,MATCH(ROWS($V$2:V926),$V$2:$V$1001,0),MATCH(COLUMNS($AC$1006:AH1006),$AC$1006:$AS$1006,0)), HYPERLINK("#",""), HYPERLINK(CONCATENATE("#Metadata!", ADDRESS(INDEX($X$2:$X$1001,MATCH(ROWS($V$2:V926),$V$2:$V$1001,0),0), INDEX($AC$1004:$AS$1004,1,MATCH(COLUMNS($AC$1006:AH1006),$AC$1006:$AS$1006,0)))),"Fix")))</f>
        <v>0</v>
      </c>
      <c r="H926" s="5">
        <f>IF(OR(INDEX($W$2:$W$1001,MATCH(ROWS($V$2:V926),$V$2:$V$1001,0),1)&gt;=100000,INDEX($AC$1005:$AS$1005,1,MATCH(COLUMNS($AC$1006:AI1006),$AC$1006:$AS$1006,0))&gt;=100000), " ",IF(INDEX($AC$2:$AS$1001,MATCH(ROWS($V$2:V926),$V$2:$V$1001,0),MATCH(COLUMNS($AC$1006:AI1006),$AC$1006:$AS$1006,0)), HYPERLINK("#",""), HYPERLINK(CONCATENATE("#Metadata!", ADDRESS(INDEX($X$2:$X$1001,MATCH(ROWS($V$2:V926),$V$2:$V$1001,0),0), INDEX($AC$1004:$AS$1004,1,MATCH(COLUMNS($AC$1006:AI1006),$AC$1006:$AS$1006,0)))),"Fix")))</f>
        <v>0</v>
      </c>
      <c r="I926" s="5">
        <f>IF(OR(INDEX($W$2:$W$1001,MATCH(ROWS($V$2:V926),$V$2:$V$1001,0),1)&gt;=100000,INDEX($AC$1005:$AS$1005,1,MATCH(COLUMNS($AC$1006:AJ1006),$AC$1006:$AS$1006,0))&gt;=100000), " ",IF(INDEX($AC$2:$AS$1001,MATCH(ROWS($V$2:V926),$V$2:$V$1001,0),MATCH(COLUMNS($AC$1006:AJ1006),$AC$1006:$AS$1006,0)), HYPERLINK("#",""), HYPERLINK(CONCATENATE("#Metadata!", ADDRESS(INDEX($X$2:$X$1001,MATCH(ROWS($V$2:V926),$V$2:$V$1001,0),0), INDEX($AC$1004:$AS$1004,1,MATCH(COLUMNS($AC$1006:AJ1006),$AC$1006:$AS$1006,0)))),"Fix")))</f>
        <v>0</v>
      </c>
      <c r="J926" s="5">
        <f>IF(OR(INDEX($W$2:$W$1001,MATCH(ROWS($V$2:V926),$V$2:$V$1001,0),1)&gt;=100000,INDEX($AC$1005:$AS$1005,1,MATCH(COLUMNS($AC$1006:AK1006),$AC$1006:$AS$1006,0))&gt;=100000), " ",IF(INDEX($AC$2:$AS$1001,MATCH(ROWS($V$2:V926),$V$2:$V$1001,0),MATCH(COLUMNS($AC$1006:AK1006),$AC$1006:$AS$1006,0)), HYPERLINK("#",""), HYPERLINK(CONCATENATE("#Metadata!", ADDRESS(INDEX($X$2:$X$1001,MATCH(ROWS($V$2:V926),$V$2:$V$1001,0),0), INDEX($AC$1004:$AS$1004,1,MATCH(COLUMNS($AC$1006:AK1006),$AC$1006:$AS$1006,0)))),"Fix")))</f>
        <v>0</v>
      </c>
      <c r="K926" s="5">
        <f>IF(OR(INDEX($W$2:$W$1001,MATCH(ROWS($V$2:V926),$V$2:$V$1001,0),1)&gt;=100000,INDEX($AC$1005:$AS$1005,1,MATCH(COLUMNS($AC$1006:AL1006),$AC$1006:$AS$1006,0))&gt;=100000), " ",IF(INDEX($AC$2:$AS$1001,MATCH(ROWS($V$2:V926),$V$2:$V$1001,0),MATCH(COLUMNS($AC$1006:AL1006),$AC$1006:$AS$1006,0)), HYPERLINK("#",""), HYPERLINK(CONCATENATE("#Metadata!", ADDRESS(INDEX($X$2:$X$1001,MATCH(ROWS($V$2:V926),$V$2:$V$1001,0),0), INDEX($AC$1004:$AS$1004,1,MATCH(COLUMNS($AC$1006:AL1006),$AC$1006:$AS$1006,0)))),"Fix")))</f>
        <v>0</v>
      </c>
      <c r="L926" s="5">
        <f>IF(OR(INDEX($W$2:$W$1001,MATCH(ROWS($V$2:V926),$V$2:$V$1001,0),1)&gt;=100000,INDEX($AC$1005:$AS$1005,1,MATCH(COLUMNS($AC$1006:AM1006),$AC$1006:$AS$1006,0))&gt;=100000), " ",IF(INDEX($AC$2:$AS$1001,MATCH(ROWS($V$2:V926),$V$2:$V$1001,0),MATCH(COLUMNS($AC$1006:AM1006),$AC$1006:$AS$1006,0)), HYPERLINK("#",""), HYPERLINK(CONCATENATE("#Metadata!", ADDRESS(INDEX($X$2:$X$1001,MATCH(ROWS($V$2:V926),$V$2:$V$1001,0),0), INDEX($AC$1004:$AS$1004,1,MATCH(COLUMNS($AC$1006:AM1006),$AC$1006:$AS$1006,0)))),"Fix")))</f>
        <v>0</v>
      </c>
      <c r="M926" s="5">
        <f>IF(OR(INDEX($W$2:$W$1001,MATCH(ROWS($V$2:V926),$V$2:$V$1001,0),1)&gt;=100000,INDEX($AC$1005:$AS$1005,1,MATCH(COLUMNS($AC$1006:AN1006),$AC$1006:$AS$1006,0))&gt;=100000), " ",IF(INDEX($AC$2:$AS$1001,MATCH(ROWS($V$2:V926),$V$2:$V$1001,0),MATCH(COLUMNS($AC$1006:AN1006),$AC$1006:$AS$1006,0)), HYPERLINK("#",""), HYPERLINK(CONCATENATE("#Metadata!", ADDRESS(INDEX($X$2:$X$1001,MATCH(ROWS($V$2:V926),$V$2:$V$1001,0),0), INDEX($AC$1004:$AS$1004,1,MATCH(COLUMNS($AC$1006:AN1006),$AC$1006:$AS$1006,0)))),"Fix")))</f>
        <v>0</v>
      </c>
      <c r="N926" s="5">
        <f>IF(OR(INDEX($W$2:$W$1001,MATCH(ROWS($V$2:V926),$V$2:$V$1001,0),1)&gt;=100000,INDEX($AC$1005:$AS$1005,1,MATCH(COLUMNS($AC$1006:AO1006),$AC$1006:$AS$1006,0))&gt;=100000), " ",IF(INDEX($AC$2:$AS$1001,MATCH(ROWS($V$2:V926),$V$2:$V$1001,0),MATCH(COLUMNS($AC$1006:AO1006),$AC$1006:$AS$1006,0)), HYPERLINK("#",""), HYPERLINK(CONCATENATE("#Metadata!", ADDRESS(INDEX($X$2:$X$1001,MATCH(ROWS($V$2:V926),$V$2:$V$1001,0),0), INDEX($AC$1004:$AS$1004,1,MATCH(COLUMNS($AC$1006:AO1006),$AC$1006:$AS$1006,0)))),"Fix")))</f>
        <v>0</v>
      </c>
      <c r="O926" s="5">
        <f>IF(OR(INDEX($W$2:$W$1001,MATCH(ROWS($V$2:V926),$V$2:$V$1001,0),1)&gt;=100000,INDEX($AC$1005:$AS$1005,1,MATCH(COLUMNS($AC$1006:AP1006),$AC$1006:$AS$1006,0))&gt;=100000), " ",IF(INDEX($AC$2:$AS$1001,MATCH(ROWS($V$2:V926),$V$2:$V$1001,0),MATCH(COLUMNS($AC$1006:AP1006),$AC$1006:$AS$1006,0)), HYPERLINK("#",""), HYPERLINK(CONCATENATE("#Metadata!", ADDRESS(INDEX($X$2:$X$1001,MATCH(ROWS($V$2:V926),$V$2:$V$1001,0),0), INDEX($AC$1004:$AS$1004,1,MATCH(COLUMNS($AC$1006:AP1006),$AC$1006:$AS$1006,0)))),"Fix")))</f>
        <v>0</v>
      </c>
      <c r="P926" s="5">
        <f>IF(OR(INDEX($W$2:$W$1001,MATCH(ROWS($V$2:V926),$V$2:$V$1001,0),1)&gt;=100000,INDEX($AC$1005:$AS$1005,1,MATCH(COLUMNS($AC$1006:AQ1006),$AC$1006:$AS$1006,0))&gt;=100000), " ",IF(INDEX($AC$2:$AS$1001,MATCH(ROWS($V$2:V926),$V$2:$V$1001,0),MATCH(COLUMNS($AC$1006:AQ1006),$AC$1006:$AS$1006,0)), HYPERLINK("#",""), HYPERLINK(CONCATENATE("#Metadata!", ADDRESS(INDEX($X$2:$X$1001,MATCH(ROWS($V$2:V926),$V$2:$V$1001,0),0), INDEX($AC$1004:$AS$1004,1,MATCH(COLUMNS($AC$1006:AQ1006),$AC$1006:$AS$1006,0)))),"Fix")))</f>
        <v>0</v>
      </c>
      <c r="Q926" s="5">
        <f>IF(OR(INDEX($W$2:$W$1001,MATCH(ROWS($V$2:V926),$V$2:$V$1001,0),1)&gt;=100000,INDEX($AC$1005:$AS$1005,1,MATCH(COLUMNS($AC$1006:AR1006),$AC$1006:$AS$1006,0))&gt;=100000), " ",IF(INDEX($AC$2:$AS$1001,MATCH(ROWS($V$2:V926),$V$2:$V$1001,0),MATCH(COLUMNS($AC$1006:AR1006),$AC$1006:$AS$1006,0)), HYPERLINK("#",""), HYPERLINK(CONCATENATE("#Metadata!", ADDRESS(INDEX($X$2:$X$1001,MATCH(ROWS($V$2:V926),$V$2:$V$1001,0),0), INDEX($AC$1004:$AS$1004,1,MATCH(COLUMNS($AC$1006:AR1006),$AC$1006:$AS$1006,0)))),"Fix")))</f>
        <v>0</v>
      </c>
      <c r="R926" s="5">
        <f>IF(OR(INDEX($W$2:$W$1001,MATCH(ROWS($V$2:V926),$V$2:$V$1001,0),1)&gt;=100000,INDEX($AC$1005:$AS$1005,1,MATCH(COLUMNS($AC$1006:AS1006),$AC$1006:$AS$1006,0))&gt;=100000), " ",IF(INDEX($AC$2:$AS$1001,MATCH(ROWS($V$2:V926),$V$2:$V$1001,0),MATCH(COLUMNS($AC$1006:AS1006),$AC$1006:$AS$1006,0)), HYPERLINK("#",""), HYPERLINK(CONCATENATE("#Metadata!", ADDRESS(INDEX($X$2:$X$1001,MATCH(ROWS($V$2:V926),$V$2:$V$1001,0),0), INDEX($AC$1004:$AS$1004,1,MATCH(COLUMNS($AC$1006:AS1006),$AC$1006:$AS$1006,0)))),"Fix")))</f>
        <v>0</v>
      </c>
      <c r="V926">
        <v>0</v>
      </c>
      <c r="W926">
        <v>0</v>
      </c>
      <c r="X926">
        <v>0</v>
      </c>
      <c r="Y926">
        <f>IF(Z926,TRUE,AND(AC926:AS926))</f>
        <v>0</v>
      </c>
      <c r="Z926">
        <f>COUNTBLANK(Metadata!B926:R926)=COLUMNS(Metadata!B926:R926)</f>
        <v>0</v>
      </c>
      <c r="AA926">
        <v>0</v>
      </c>
      <c r="AC926">
        <f>AND(IF(Metadata!B926="",FALSE,TRUE),COUNTIF(Metadata!B:B, Metadata!B926) = 1,NOT(ISERROR(SUMPRODUCT(SEARCH(MID(Metadata!B926,ROW(INDIRECT("1:"&amp;LEN(Metadata!B926))), 1),"0123456789abcdefghijklmnopqrstuvwxyzABCDEFGHIJKLMNOPQRSTUVWXYZ.")))))</f>
        <v>0</v>
      </c>
      <c r="AD926">
        <f>AND(IF(Metadata!C926="",FALSE,TRUE),exact(Metadata!C926,"Host-associated"))</f>
        <v>0</v>
      </c>
      <c r="AE926">
        <f>AND(IF(Metadata!D926="",FALSE,TRUE),OR(exact(Metadata!D926,"Animal"),exact(Metadata!D926,"Fungus"),exact(Metadata!D926,"Plant")))</f>
        <v>0</v>
      </c>
      <c r="AF926">
        <f>AND(IF(Metadata!E926="",FALSE,TRUE),OR(exact(Metadata!E926,"Plant secretion"),exact(Metadata!E926,"Plant rhizosphere"),exact(Metadata!E926,"Plant surface"),exact(Metadata!E926,"Plant corpus"),exact(Metadata!E926,"Fungus surface"),exact(Metadata!E926,"Fungus corpus"),exact(Metadata!E926,"Animal surface"),exact(Metadata!E926,"Animal proximal gut"),exact(Metadata!E926,"Animal corpus"),exact(Metadata!E926,"Animal distal gut"),exact(Metadata!E926,"Animal secretion")))</f>
        <v>0</v>
      </c>
      <c r="AG926">
        <f>OR(AND(IF(Metadata!F926="",FALSE,TRUE),OR(exact(Metadata!F926,"not collected"),exact(Metadata!F926,"not provided"),exact(Metadata!F926,"restricted access"))),AND(IF(Metadata!F926="",FALSE,TRUE),OR(exact(Metadata!F926,"organism-associated habitat"),exact(Metadata!F926,"plant-associated habitat"),exact(Metadata!F926,"animal-associated habitat"),exact(Metadata!F926,"insecta-associated habitat"),exact(Metadata!F926,"mammalia-associated habitat"),exact(Metadata!F926,"human-associated habitat"),exact(Metadata!F926,"livestock-associated habitat"))))</f>
        <v>0</v>
      </c>
      <c r="AH926">
        <f>AND(IF(Metadata!G926="",FALSE,TRUE),exact(Metadata!G926,"host-associated"))</f>
        <v>0</v>
      </c>
      <c r="AI926">
        <f>OR(AND(IF(Metadata!H926="",FALSE,TRUE),OR(exact(Metadata!H926,"not collected"),exact(Metadata!H926,"not provided"))),AND(IF(Metadata!H926="",FALSE,ISNUMBER(VALUE(Metadata!H926))),Metadata!H926&gt;0))</f>
        <v>0</v>
      </c>
      <c r="AJ926">
        <f>AND(IF(Metadata!I926="",FALSE,TRUE),exact(Metadata!I926,"years"))</f>
        <v>0</v>
      </c>
      <c r="AK926">
        <f>IF(Metadata!J926="",FALSE,TRUE)</f>
        <v>0</v>
      </c>
      <c r="AL926">
        <f>OR(AND(IF(Metadata!K926="",FALSE,TRUE),OR(exact(Metadata!K926,"not collected"),exact(Metadata!K926,"not provided"))),AND(IF(Metadata!K926="",FALSE,ISNUMBER(VALUE(Metadata!K926))),Metadata!K926&gt;0))</f>
        <v>0</v>
      </c>
      <c r="AM926">
        <f>AND(IF(Metadata!L926="",FALSE,TRUE),exact(Metadata!L926,"cm"))</f>
        <v>0</v>
      </c>
      <c r="AN926">
        <f>IF(Metadata!M926="",FALSE,TRUE)</f>
        <v>0</v>
      </c>
      <c r="AO926">
        <f>OR(AND(IF(Metadata!N926="",FALSE,TRUE),OR(exact(Metadata!N926,"not applicable"),exact(Metadata!N926,"not collected"),exact(Metadata!N926,"not provided"))),AND(IF(Metadata!N926="",FALSE,IF(ISERROR(INT(Metadata!N926)),FALSE,INT(Metadata!N926)=Metadata!N926)),Metadata!N926&gt;0))</f>
        <v>0</v>
      </c>
      <c r="AP926">
        <f>OR(AND(IF(Metadata!O926="",FALSE,TRUE),OR(exact(Metadata!O926,"not collected"),exact(Metadata!O926,"not provided"))),AND(IF(Metadata!O926="",FALSE,ISNUMBER(VALUE(Metadata!O926))),Metadata!O926&gt;0))</f>
        <v>0</v>
      </c>
      <c r="AQ926">
        <f>AND(IF(Metadata!P926="",FALSE,TRUE),exact(Metadata!P926,"kg"))</f>
        <v>0</v>
      </c>
      <c r="AR926">
        <f>OR(AND(IF(Metadata!Q926="",FALSE,TRUE),OR(exact(Metadata!Q926,"not applicable"),exact(Metadata!Q926,"not collected"),exact(Metadata!Q926,"not provided"),exact(Metadata!Q926,"restricted access"))),IF(Metadata!Q926="",FALSE,IF(ISERROR(INT(Metadata!Q926)),FALSE,INT(Metadata!Q926)=Metadata!Q926)))</f>
        <v>0</v>
      </c>
      <c r="AS926">
        <f>AND(IF(Metadata!R926="",FALSE,TRUE),exact(Metadata!R926,"Not applicable"))</f>
        <v>0</v>
      </c>
    </row>
    <row r="927" spans="1:45">
      <c r="A927" s="4">
        <f>IF(B927=" "," ",HYPERLINK(CONCATENATE("#metadata!",ADDRESS(INDEX($X$2:$X$1001,MATCH(ROWS($V$2:V927),$V$2:$V$1001,0),0),2)),INDEX($AA$2:$AA$1001,MATCH(ROWS($V$2:V927),$V$2:$V$1001,0),0)))</f>
        <v>0</v>
      </c>
      <c r="B927" s="5">
        <f>IF(OR(INDEX($W$2:$W$1001,MATCH(ROWS($V$2:V927),$V$2:$V$1001,0),1)&gt;=100000,INDEX($AC$1005:$AS$1005,1,MATCH(COLUMNS($AC$1006:AC1006),$AC$1006:$AS$1006,0))&gt;=100000), " ",IF(INDEX($AC$2:$AS$1001,MATCH(ROWS($V$2:V927),$V$2:$V$1001,0),MATCH(COLUMNS($AC$1006:AC1006),$AC$1006:$AS$1006,0)), HYPERLINK("#",""), HYPERLINK(CONCATENATE("#Metadata!", ADDRESS(INDEX($X$2:$X$1001,MATCH(ROWS($V$2:V927),$V$2:$V$1001,0),0), INDEX($AC$1004:$AS$1004,1,MATCH(COLUMNS($AC$1006:AC1006),$AC$1006:$AS$1006,0)))),"Fix")))</f>
        <v>0</v>
      </c>
      <c r="C927" s="5">
        <f>IF(OR(INDEX($W$2:$W$1001,MATCH(ROWS($V$2:V927),$V$2:$V$1001,0),1)&gt;=100000,INDEX($AC$1005:$AS$1005,1,MATCH(COLUMNS($AC$1006:AD1006),$AC$1006:$AS$1006,0))&gt;=100000), " ",IF(INDEX($AC$2:$AS$1001,MATCH(ROWS($V$2:V927),$V$2:$V$1001,0),MATCH(COLUMNS($AC$1006:AD1006),$AC$1006:$AS$1006,0)), HYPERLINK("#",""), HYPERLINK(CONCATENATE("#Metadata!", ADDRESS(INDEX($X$2:$X$1001,MATCH(ROWS($V$2:V927),$V$2:$V$1001,0),0), INDEX($AC$1004:$AS$1004,1,MATCH(COLUMNS($AC$1006:AD1006),$AC$1006:$AS$1006,0)))),"Fix")))</f>
        <v>0</v>
      </c>
      <c r="D927" s="5">
        <f>IF(OR(INDEX($W$2:$W$1001,MATCH(ROWS($V$2:V927),$V$2:$V$1001,0),1)&gt;=100000,INDEX($AC$1005:$AS$1005,1,MATCH(COLUMNS($AC$1006:AE1006),$AC$1006:$AS$1006,0))&gt;=100000), " ",IF(INDEX($AC$2:$AS$1001,MATCH(ROWS($V$2:V927),$V$2:$V$1001,0),MATCH(COLUMNS($AC$1006:AE1006),$AC$1006:$AS$1006,0)), HYPERLINK("#",""), HYPERLINK(CONCATENATE("#Metadata!", ADDRESS(INDEX($X$2:$X$1001,MATCH(ROWS($V$2:V927),$V$2:$V$1001,0),0), INDEX($AC$1004:$AS$1004,1,MATCH(COLUMNS($AC$1006:AE1006),$AC$1006:$AS$1006,0)))),"Fix")))</f>
        <v>0</v>
      </c>
      <c r="E927" s="5">
        <f>IF(OR(INDEX($W$2:$W$1001,MATCH(ROWS($V$2:V927),$V$2:$V$1001,0),1)&gt;=100000,INDEX($AC$1005:$AS$1005,1,MATCH(COLUMNS($AC$1006:AF1006),$AC$1006:$AS$1006,0))&gt;=100000), " ",IF(INDEX($AC$2:$AS$1001,MATCH(ROWS($V$2:V927),$V$2:$V$1001,0),MATCH(COLUMNS($AC$1006:AF1006),$AC$1006:$AS$1006,0)), HYPERLINK("#",""), HYPERLINK(CONCATENATE("#Metadata!", ADDRESS(INDEX($X$2:$X$1001,MATCH(ROWS($V$2:V927),$V$2:$V$1001,0),0), INDEX($AC$1004:$AS$1004,1,MATCH(COLUMNS($AC$1006:AF1006),$AC$1006:$AS$1006,0)))),"Fix")))</f>
        <v>0</v>
      </c>
      <c r="F927" s="5">
        <f>IF(OR(INDEX($W$2:$W$1001,MATCH(ROWS($V$2:V927),$V$2:$V$1001,0),1)&gt;=100000,INDEX($AC$1005:$AS$1005,1,MATCH(COLUMNS($AC$1006:AG1006),$AC$1006:$AS$1006,0))&gt;=100000), " ",IF(INDEX($AC$2:$AS$1001,MATCH(ROWS($V$2:V927),$V$2:$V$1001,0),MATCH(COLUMNS($AC$1006:AG1006),$AC$1006:$AS$1006,0)), HYPERLINK("#",""), HYPERLINK(CONCATENATE("#Metadata!", ADDRESS(INDEX($X$2:$X$1001,MATCH(ROWS($V$2:V927),$V$2:$V$1001,0),0), INDEX($AC$1004:$AS$1004,1,MATCH(COLUMNS($AC$1006:AG1006),$AC$1006:$AS$1006,0)))),"Fix")))</f>
        <v>0</v>
      </c>
      <c r="G927" s="5">
        <f>IF(OR(INDEX($W$2:$W$1001,MATCH(ROWS($V$2:V927),$V$2:$V$1001,0),1)&gt;=100000,INDEX($AC$1005:$AS$1005,1,MATCH(COLUMNS($AC$1006:AH1006),$AC$1006:$AS$1006,0))&gt;=100000), " ",IF(INDEX($AC$2:$AS$1001,MATCH(ROWS($V$2:V927),$V$2:$V$1001,0),MATCH(COLUMNS($AC$1006:AH1006),$AC$1006:$AS$1006,0)), HYPERLINK("#",""), HYPERLINK(CONCATENATE("#Metadata!", ADDRESS(INDEX($X$2:$X$1001,MATCH(ROWS($V$2:V927),$V$2:$V$1001,0),0), INDEX($AC$1004:$AS$1004,1,MATCH(COLUMNS($AC$1006:AH1006),$AC$1006:$AS$1006,0)))),"Fix")))</f>
        <v>0</v>
      </c>
      <c r="H927" s="5">
        <f>IF(OR(INDEX($W$2:$W$1001,MATCH(ROWS($V$2:V927),$V$2:$V$1001,0),1)&gt;=100000,INDEX($AC$1005:$AS$1005,1,MATCH(COLUMNS($AC$1006:AI1006),$AC$1006:$AS$1006,0))&gt;=100000), " ",IF(INDEX($AC$2:$AS$1001,MATCH(ROWS($V$2:V927),$V$2:$V$1001,0),MATCH(COLUMNS($AC$1006:AI1006),$AC$1006:$AS$1006,0)), HYPERLINK("#",""), HYPERLINK(CONCATENATE("#Metadata!", ADDRESS(INDEX($X$2:$X$1001,MATCH(ROWS($V$2:V927),$V$2:$V$1001,0),0), INDEX($AC$1004:$AS$1004,1,MATCH(COLUMNS($AC$1006:AI1006),$AC$1006:$AS$1006,0)))),"Fix")))</f>
        <v>0</v>
      </c>
      <c r="I927" s="5">
        <f>IF(OR(INDEX($W$2:$W$1001,MATCH(ROWS($V$2:V927),$V$2:$V$1001,0),1)&gt;=100000,INDEX($AC$1005:$AS$1005,1,MATCH(COLUMNS($AC$1006:AJ1006),$AC$1006:$AS$1006,0))&gt;=100000), " ",IF(INDEX($AC$2:$AS$1001,MATCH(ROWS($V$2:V927),$V$2:$V$1001,0),MATCH(COLUMNS($AC$1006:AJ1006),$AC$1006:$AS$1006,0)), HYPERLINK("#",""), HYPERLINK(CONCATENATE("#Metadata!", ADDRESS(INDEX($X$2:$X$1001,MATCH(ROWS($V$2:V927),$V$2:$V$1001,0),0), INDEX($AC$1004:$AS$1004,1,MATCH(COLUMNS($AC$1006:AJ1006),$AC$1006:$AS$1006,0)))),"Fix")))</f>
        <v>0</v>
      </c>
      <c r="J927" s="5">
        <f>IF(OR(INDEX($W$2:$W$1001,MATCH(ROWS($V$2:V927),$V$2:$V$1001,0),1)&gt;=100000,INDEX($AC$1005:$AS$1005,1,MATCH(COLUMNS($AC$1006:AK1006),$AC$1006:$AS$1006,0))&gt;=100000), " ",IF(INDEX($AC$2:$AS$1001,MATCH(ROWS($V$2:V927),$V$2:$V$1001,0),MATCH(COLUMNS($AC$1006:AK1006),$AC$1006:$AS$1006,0)), HYPERLINK("#",""), HYPERLINK(CONCATENATE("#Metadata!", ADDRESS(INDEX($X$2:$X$1001,MATCH(ROWS($V$2:V927),$V$2:$V$1001,0),0), INDEX($AC$1004:$AS$1004,1,MATCH(COLUMNS($AC$1006:AK1006),$AC$1006:$AS$1006,0)))),"Fix")))</f>
        <v>0</v>
      </c>
      <c r="K927" s="5">
        <f>IF(OR(INDEX($W$2:$W$1001,MATCH(ROWS($V$2:V927),$V$2:$V$1001,0),1)&gt;=100000,INDEX($AC$1005:$AS$1005,1,MATCH(COLUMNS($AC$1006:AL1006),$AC$1006:$AS$1006,0))&gt;=100000), " ",IF(INDEX($AC$2:$AS$1001,MATCH(ROWS($V$2:V927),$V$2:$V$1001,0),MATCH(COLUMNS($AC$1006:AL1006),$AC$1006:$AS$1006,0)), HYPERLINK("#",""), HYPERLINK(CONCATENATE("#Metadata!", ADDRESS(INDEX($X$2:$X$1001,MATCH(ROWS($V$2:V927),$V$2:$V$1001,0),0), INDEX($AC$1004:$AS$1004,1,MATCH(COLUMNS($AC$1006:AL1006),$AC$1006:$AS$1006,0)))),"Fix")))</f>
        <v>0</v>
      </c>
      <c r="L927" s="5">
        <f>IF(OR(INDEX($W$2:$W$1001,MATCH(ROWS($V$2:V927),$V$2:$V$1001,0),1)&gt;=100000,INDEX($AC$1005:$AS$1005,1,MATCH(COLUMNS($AC$1006:AM1006),$AC$1006:$AS$1006,0))&gt;=100000), " ",IF(INDEX($AC$2:$AS$1001,MATCH(ROWS($V$2:V927),$V$2:$V$1001,0),MATCH(COLUMNS($AC$1006:AM1006),$AC$1006:$AS$1006,0)), HYPERLINK("#",""), HYPERLINK(CONCATENATE("#Metadata!", ADDRESS(INDEX($X$2:$X$1001,MATCH(ROWS($V$2:V927),$V$2:$V$1001,0),0), INDEX($AC$1004:$AS$1004,1,MATCH(COLUMNS($AC$1006:AM1006),$AC$1006:$AS$1006,0)))),"Fix")))</f>
        <v>0</v>
      </c>
      <c r="M927" s="5">
        <f>IF(OR(INDEX($W$2:$W$1001,MATCH(ROWS($V$2:V927),$V$2:$V$1001,0),1)&gt;=100000,INDEX($AC$1005:$AS$1005,1,MATCH(COLUMNS($AC$1006:AN1006),$AC$1006:$AS$1006,0))&gt;=100000), " ",IF(INDEX($AC$2:$AS$1001,MATCH(ROWS($V$2:V927),$V$2:$V$1001,0),MATCH(COLUMNS($AC$1006:AN1006),$AC$1006:$AS$1006,0)), HYPERLINK("#",""), HYPERLINK(CONCATENATE("#Metadata!", ADDRESS(INDEX($X$2:$X$1001,MATCH(ROWS($V$2:V927),$V$2:$V$1001,0),0), INDEX($AC$1004:$AS$1004,1,MATCH(COLUMNS($AC$1006:AN1006),$AC$1006:$AS$1006,0)))),"Fix")))</f>
        <v>0</v>
      </c>
      <c r="N927" s="5">
        <f>IF(OR(INDEX($W$2:$W$1001,MATCH(ROWS($V$2:V927),$V$2:$V$1001,0),1)&gt;=100000,INDEX($AC$1005:$AS$1005,1,MATCH(COLUMNS($AC$1006:AO1006),$AC$1006:$AS$1006,0))&gt;=100000), " ",IF(INDEX($AC$2:$AS$1001,MATCH(ROWS($V$2:V927),$V$2:$V$1001,0),MATCH(COLUMNS($AC$1006:AO1006),$AC$1006:$AS$1006,0)), HYPERLINK("#",""), HYPERLINK(CONCATENATE("#Metadata!", ADDRESS(INDEX($X$2:$X$1001,MATCH(ROWS($V$2:V927),$V$2:$V$1001,0),0), INDEX($AC$1004:$AS$1004,1,MATCH(COLUMNS($AC$1006:AO1006),$AC$1006:$AS$1006,0)))),"Fix")))</f>
        <v>0</v>
      </c>
      <c r="O927" s="5">
        <f>IF(OR(INDEX($W$2:$W$1001,MATCH(ROWS($V$2:V927),$V$2:$V$1001,0),1)&gt;=100000,INDEX($AC$1005:$AS$1005,1,MATCH(COLUMNS($AC$1006:AP1006),$AC$1006:$AS$1006,0))&gt;=100000), " ",IF(INDEX($AC$2:$AS$1001,MATCH(ROWS($V$2:V927),$V$2:$V$1001,0),MATCH(COLUMNS($AC$1006:AP1006),$AC$1006:$AS$1006,0)), HYPERLINK("#",""), HYPERLINK(CONCATENATE("#Metadata!", ADDRESS(INDEX($X$2:$X$1001,MATCH(ROWS($V$2:V927),$V$2:$V$1001,0),0), INDEX($AC$1004:$AS$1004,1,MATCH(COLUMNS($AC$1006:AP1006),$AC$1006:$AS$1006,0)))),"Fix")))</f>
        <v>0</v>
      </c>
      <c r="P927" s="5">
        <f>IF(OR(INDEX($W$2:$W$1001,MATCH(ROWS($V$2:V927),$V$2:$V$1001,0),1)&gt;=100000,INDEX($AC$1005:$AS$1005,1,MATCH(COLUMNS($AC$1006:AQ1006),$AC$1006:$AS$1006,0))&gt;=100000), " ",IF(INDEX($AC$2:$AS$1001,MATCH(ROWS($V$2:V927),$V$2:$V$1001,0),MATCH(COLUMNS($AC$1006:AQ1006),$AC$1006:$AS$1006,0)), HYPERLINK("#",""), HYPERLINK(CONCATENATE("#Metadata!", ADDRESS(INDEX($X$2:$X$1001,MATCH(ROWS($V$2:V927),$V$2:$V$1001,0),0), INDEX($AC$1004:$AS$1004,1,MATCH(COLUMNS($AC$1006:AQ1006),$AC$1006:$AS$1006,0)))),"Fix")))</f>
        <v>0</v>
      </c>
      <c r="Q927" s="5">
        <f>IF(OR(INDEX($W$2:$W$1001,MATCH(ROWS($V$2:V927),$V$2:$V$1001,0),1)&gt;=100000,INDEX($AC$1005:$AS$1005,1,MATCH(COLUMNS($AC$1006:AR1006),$AC$1006:$AS$1006,0))&gt;=100000), " ",IF(INDEX($AC$2:$AS$1001,MATCH(ROWS($V$2:V927),$V$2:$V$1001,0),MATCH(COLUMNS($AC$1006:AR1006),$AC$1006:$AS$1006,0)), HYPERLINK("#",""), HYPERLINK(CONCATENATE("#Metadata!", ADDRESS(INDEX($X$2:$X$1001,MATCH(ROWS($V$2:V927),$V$2:$V$1001,0),0), INDEX($AC$1004:$AS$1004,1,MATCH(COLUMNS($AC$1006:AR1006),$AC$1006:$AS$1006,0)))),"Fix")))</f>
        <v>0</v>
      </c>
      <c r="R927" s="5">
        <f>IF(OR(INDEX($W$2:$W$1001,MATCH(ROWS($V$2:V927),$V$2:$V$1001,0),1)&gt;=100000,INDEX($AC$1005:$AS$1005,1,MATCH(COLUMNS($AC$1006:AS1006),$AC$1006:$AS$1006,0))&gt;=100000), " ",IF(INDEX($AC$2:$AS$1001,MATCH(ROWS($V$2:V927),$V$2:$V$1001,0),MATCH(COLUMNS($AC$1006:AS1006),$AC$1006:$AS$1006,0)), HYPERLINK("#",""), HYPERLINK(CONCATENATE("#Metadata!", ADDRESS(INDEX($X$2:$X$1001,MATCH(ROWS($V$2:V927),$V$2:$V$1001,0),0), INDEX($AC$1004:$AS$1004,1,MATCH(COLUMNS($AC$1006:AS1006),$AC$1006:$AS$1006,0)))),"Fix")))</f>
        <v>0</v>
      </c>
      <c r="V927">
        <v>0</v>
      </c>
      <c r="W927">
        <v>0</v>
      </c>
      <c r="X927">
        <v>0</v>
      </c>
      <c r="Y927">
        <f>IF(Z927,TRUE,AND(AC927:AS927))</f>
        <v>0</v>
      </c>
      <c r="Z927">
        <f>COUNTBLANK(Metadata!B927:R927)=COLUMNS(Metadata!B927:R927)</f>
        <v>0</v>
      </c>
      <c r="AA927">
        <v>0</v>
      </c>
      <c r="AC927">
        <f>AND(IF(Metadata!B927="",FALSE,TRUE),COUNTIF(Metadata!B:B, Metadata!B927) = 1,NOT(ISERROR(SUMPRODUCT(SEARCH(MID(Metadata!B927,ROW(INDIRECT("1:"&amp;LEN(Metadata!B927))), 1),"0123456789abcdefghijklmnopqrstuvwxyzABCDEFGHIJKLMNOPQRSTUVWXYZ.")))))</f>
        <v>0</v>
      </c>
      <c r="AD927">
        <f>AND(IF(Metadata!C927="",FALSE,TRUE),exact(Metadata!C927,"Host-associated"))</f>
        <v>0</v>
      </c>
      <c r="AE927">
        <f>AND(IF(Metadata!D927="",FALSE,TRUE),OR(exact(Metadata!D927,"Animal"),exact(Metadata!D927,"Fungus"),exact(Metadata!D927,"Plant")))</f>
        <v>0</v>
      </c>
      <c r="AF927">
        <f>AND(IF(Metadata!E927="",FALSE,TRUE),OR(exact(Metadata!E927,"Plant secretion"),exact(Metadata!E927,"Plant rhizosphere"),exact(Metadata!E927,"Plant surface"),exact(Metadata!E927,"Plant corpus"),exact(Metadata!E927,"Fungus surface"),exact(Metadata!E927,"Fungus corpus"),exact(Metadata!E927,"Animal surface"),exact(Metadata!E927,"Animal proximal gut"),exact(Metadata!E927,"Animal corpus"),exact(Metadata!E927,"Animal distal gut"),exact(Metadata!E927,"Animal secretion")))</f>
        <v>0</v>
      </c>
      <c r="AG927">
        <f>OR(AND(IF(Metadata!F927="",FALSE,TRUE),OR(exact(Metadata!F927,"not collected"),exact(Metadata!F927,"not provided"),exact(Metadata!F927,"restricted access"))),AND(IF(Metadata!F927="",FALSE,TRUE),OR(exact(Metadata!F927,"organism-associated habitat"),exact(Metadata!F927,"plant-associated habitat"),exact(Metadata!F927,"animal-associated habitat"),exact(Metadata!F927,"insecta-associated habitat"),exact(Metadata!F927,"mammalia-associated habitat"),exact(Metadata!F927,"human-associated habitat"),exact(Metadata!F927,"livestock-associated habitat"))))</f>
        <v>0</v>
      </c>
      <c r="AH927">
        <f>AND(IF(Metadata!G927="",FALSE,TRUE),exact(Metadata!G927,"host-associated"))</f>
        <v>0</v>
      </c>
      <c r="AI927">
        <f>OR(AND(IF(Metadata!H927="",FALSE,TRUE),OR(exact(Metadata!H927,"not collected"),exact(Metadata!H927,"not provided"))),AND(IF(Metadata!H927="",FALSE,ISNUMBER(VALUE(Metadata!H927))),Metadata!H927&gt;0))</f>
        <v>0</v>
      </c>
      <c r="AJ927">
        <f>AND(IF(Metadata!I927="",FALSE,TRUE),exact(Metadata!I927,"years"))</f>
        <v>0</v>
      </c>
      <c r="AK927">
        <f>IF(Metadata!J927="",FALSE,TRUE)</f>
        <v>0</v>
      </c>
      <c r="AL927">
        <f>OR(AND(IF(Metadata!K927="",FALSE,TRUE),OR(exact(Metadata!K927,"not collected"),exact(Metadata!K927,"not provided"))),AND(IF(Metadata!K927="",FALSE,ISNUMBER(VALUE(Metadata!K927))),Metadata!K927&gt;0))</f>
        <v>0</v>
      </c>
      <c r="AM927">
        <f>AND(IF(Metadata!L927="",FALSE,TRUE),exact(Metadata!L927,"cm"))</f>
        <v>0</v>
      </c>
      <c r="AN927">
        <f>IF(Metadata!M927="",FALSE,TRUE)</f>
        <v>0</v>
      </c>
      <c r="AO927">
        <f>OR(AND(IF(Metadata!N927="",FALSE,TRUE),OR(exact(Metadata!N927,"not applicable"),exact(Metadata!N927,"not collected"),exact(Metadata!N927,"not provided"))),AND(IF(Metadata!N927="",FALSE,IF(ISERROR(INT(Metadata!N927)),FALSE,INT(Metadata!N927)=Metadata!N927)),Metadata!N927&gt;0))</f>
        <v>0</v>
      </c>
      <c r="AP927">
        <f>OR(AND(IF(Metadata!O927="",FALSE,TRUE),OR(exact(Metadata!O927,"not collected"),exact(Metadata!O927,"not provided"))),AND(IF(Metadata!O927="",FALSE,ISNUMBER(VALUE(Metadata!O927))),Metadata!O927&gt;0))</f>
        <v>0</v>
      </c>
      <c r="AQ927">
        <f>AND(IF(Metadata!P927="",FALSE,TRUE),exact(Metadata!P927,"kg"))</f>
        <v>0</v>
      </c>
      <c r="AR927">
        <f>OR(AND(IF(Metadata!Q927="",FALSE,TRUE),OR(exact(Metadata!Q927,"not applicable"),exact(Metadata!Q927,"not collected"),exact(Metadata!Q927,"not provided"),exact(Metadata!Q927,"restricted access"))),IF(Metadata!Q927="",FALSE,IF(ISERROR(INT(Metadata!Q927)),FALSE,INT(Metadata!Q927)=Metadata!Q927)))</f>
        <v>0</v>
      </c>
      <c r="AS927">
        <f>AND(IF(Metadata!R927="",FALSE,TRUE),exact(Metadata!R927,"Not applicable"))</f>
        <v>0</v>
      </c>
    </row>
    <row r="928" spans="1:45">
      <c r="A928" s="4">
        <f>IF(B928=" "," ",HYPERLINK(CONCATENATE("#metadata!",ADDRESS(INDEX($X$2:$X$1001,MATCH(ROWS($V$2:V928),$V$2:$V$1001,0),0),2)),INDEX($AA$2:$AA$1001,MATCH(ROWS($V$2:V928),$V$2:$V$1001,0),0)))</f>
        <v>0</v>
      </c>
      <c r="B928" s="5">
        <f>IF(OR(INDEX($W$2:$W$1001,MATCH(ROWS($V$2:V928),$V$2:$V$1001,0),1)&gt;=100000,INDEX($AC$1005:$AS$1005,1,MATCH(COLUMNS($AC$1006:AC1006),$AC$1006:$AS$1006,0))&gt;=100000), " ",IF(INDEX($AC$2:$AS$1001,MATCH(ROWS($V$2:V928),$V$2:$V$1001,0),MATCH(COLUMNS($AC$1006:AC1006),$AC$1006:$AS$1006,0)), HYPERLINK("#",""), HYPERLINK(CONCATENATE("#Metadata!", ADDRESS(INDEX($X$2:$X$1001,MATCH(ROWS($V$2:V928),$V$2:$V$1001,0),0), INDEX($AC$1004:$AS$1004,1,MATCH(COLUMNS($AC$1006:AC1006),$AC$1006:$AS$1006,0)))),"Fix")))</f>
        <v>0</v>
      </c>
      <c r="C928" s="5">
        <f>IF(OR(INDEX($W$2:$W$1001,MATCH(ROWS($V$2:V928),$V$2:$V$1001,0),1)&gt;=100000,INDEX($AC$1005:$AS$1005,1,MATCH(COLUMNS($AC$1006:AD1006),$AC$1006:$AS$1006,0))&gt;=100000), " ",IF(INDEX($AC$2:$AS$1001,MATCH(ROWS($V$2:V928),$V$2:$V$1001,0),MATCH(COLUMNS($AC$1006:AD1006),$AC$1006:$AS$1006,0)), HYPERLINK("#",""), HYPERLINK(CONCATENATE("#Metadata!", ADDRESS(INDEX($X$2:$X$1001,MATCH(ROWS($V$2:V928),$V$2:$V$1001,0),0), INDEX($AC$1004:$AS$1004,1,MATCH(COLUMNS($AC$1006:AD1006),$AC$1006:$AS$1006,0)))),"Fix")))</f>
        <v>0</v>
      </c>
      <c r="D928" s="5">
        <f>IF(OR(INDEX($W$2:$W$1001,MATCH(ROWS($V$2:V928),$V$2:$V$1001,0),1)&gt;=100000,INDEX($AC$1005:$AS$1005,1,MATCH(COLUMNS($AC$1006:AE1006),$AC$1006:$AS$1006,0))&gt;=100000), " ",IF(INDEX($AC$2:$AS$1001,MATCH(ROWS($V$2:V928),$V$2:$V$1001,0),MATCH(COLUMNS($AC$1006:AE1006),$AC$1006:$AS$1006,0)), HYPERLINK("#",""), HYPERLINK(CONCATENATE("#Metadata!", ADDRESS(INDEX($X$2:$X$1001,MATCH(ROWS($V$2:V928),$V$2:$V$1001,0),0), INDEX($AC$1004:$AS$1004,1,MATCH(COLUMNS($AC$1006:AE1006),$AC$1006:$AS$1006,0)))),"Fix")))</f>
        <v>0</v>
      </c>
      <c r="E928" s="5">
        <f>IF(OR(INDEX($W$2:$W$1001,MATCH(ROWS($V$2:V928),$V$2:$V$1001,0),1)&gt;=100000,INDEX($AC$1005:$AS$1005,1,MATCH(COLUMNS($AC$1006:AF1006),$AC$1006:$AS$1006,0))&gt;=100000), " ",IF(INDEX($AC$2:$AS$1001,MATCH(ROWS($V$2:V928),$V$2:$V$1001,0),MATCH(COLUMNS($AC$1006:AF1006),$AC$1006:$AS$1006,0)), HYPERLINK("#",""), HYPERLINK(CONCATENATE("#Metadata!", ADDRESS(INDEX($X$2:$X$1001,MATCH(ROWS($V$2:V928),$V$2:$V$1001,0),0), INDEX($AC$1004:$AS$1004,1,MATCH(COLUMNS($AC$1006:AF1006),$AC$1006:$AS$1006,0)))),"Fix")))</f>
        <v>0</v>
      </c>
      <c r="F928" s="5">
        <f>IF(OR(INDEX($W$2:$W$1001,MATCH(ROWS($V$2:V928),$V$2:$V$1001,0),1)&gt;=100000,INDEX($AC$1005:$AS$1005,1,MATCH(COLUMNS($AC$1006:AG1006),$AC$1006:$AS$1006,0))&gt;=100000), " ",IF(INDEX($AC$2:$AS$1001,MATCH(ROWS($V$2:V928),$V$2:$V$1001,0),MATCH(COLUMNS($AC$1006:AG1006),$AC$1006:$AS$1006,0)), HYPERLINK("#",""), HYPERLINK(CONCATENATE("#Metadata!", ADDRESS(INDEX($X$2:$X$1001,MATCH(ROWS($V$2:V928),$V$2:$V$1001,0),0), INDEX($AC$1004:$AS$1004,1,MATCH(COLUMNS($AC$1006:AG1006),$AC$1006:$AS$1006,0)))),"Fix")))</f>
        <v>0</v>
      </c>
      <c r="G928" s="5">
        <f>IF(OR(INDEX($W$2:$W$1001,MATCH(ROWS($V$2:V928),$V$2:$V$1001,0),1)&gt;=100000,INDEX($AC$1005:$AS$1005,1,MATCH(COLUMNS($AC$1006:AH1006),$AC$1006:$AS$1006,0))&gt;=100000), " ",IF(INDEX($AC$2:$AS$1001,MATCH(ROWS($V$2:V928),$V$2:$V$1001,0),MATCH(COLUMNS($AC$1006:AH1006),$AC$1006:$AS$1006,0)), HYPERLINK("#",""), HYPERLINK(CONCATENATE("#Metadata!", ADDRESS(INDEX($X$2:$X$1001,MATCH(ROWS($V$2:V928),$V$2:$V$1001,0),0), INDEX($AC$1004:$AS$1004,1,MATCH(COLUMNS($AC$1006:AH1006),$AC$1006:$AS$1006,0)))),"Fix")))</f>
        <v>0</v>
      </c>
      <c r="H928" s="5">
        <f>IF(OR(INDEX($W$2:$W$1001,MATCH(ROWS($V$2:V928),$V$2:$V$1001,0),1)&gt;=100000,INDEX($AC$1005:$AS$1005,1,MATCH(COLUMNS($AC$1006:AI1006),$AC$1006:$AS$1006,0))&gt;=100000), " ",IF(INDEX($AC$2:$AS$1001,MATCH(ROWS($V$2:V928),$V$2:$V$1001,0),MATCH(COLUMNS($AC$1006:AI1006),$AC$1006:$AS$1006,0)), HYPERLINK("#",""), HYPERLINK(CONCATENATE("#Metadata!", ADDRESS(INDEX($X$2:$X$1001,MATCH(ROWS($V$2:V928),$V$2:$V$1001,0),0), INDEX($AC$1004:$AS$1004,1,MATCH(COLUMNS($AC$1006:AI1006),$AC$1006:$AS$1006,0)))),"Fix")))</f>
        <v>0</v>
      </c>
      <c r="I928" s="5">
        <f>IF(OR(INDEX($W$2:$W$1001,MATCH(ROWS($V$2:V928),$V$2:$V$1001,0),1)&gt;=100000,INDEX($AC$1005:$AS$1005,1,MATCH(COLUMNS($AC$1006:AJ1006),$AC$1006:$AS$1006,0))&gt;=100000), " ",IF(INDEX($AC$2:$AS$1001,MATCH(ROWS($V$2:V928),$V$2:$V$1001,0),MATCH(COLUMNS($AC$1006:AJ1006),$AC$1006:$AS$1006,0)), HYPERLINK("#",""), HYPERLINK(CONCATENATE("#Metadata!", ADDRESS(INDEX($X$2:$X$1001,MATCH(ROWS($V$2:V928),$V$2:$V$1001,0),0), INDEX($AC$1004:$AS$1004,1,MATCH(COLUMNS($AC$1006:AJ1006),$AC$1006:$AS$1006,0)))),"Fix")))</f>
        <v>0</v>
      </c>
      <c r="J928" s="5">
        <f>IF(OR(INDEX($W$2:$W$1001,MATCH(ROWS($V$2:V928),$V$2:$V$1001,0),1)&gt;=100000,INDEX($AC$1005:$AS$1005,1,MATCH(COLUMNS($AC$1006:AK1006),$AC$1006:$AS$1006,0))&gt;=100000), " ",IF(INDEX($AC$2:$AS$1001,MATCH(ROWS($V$2:V928),$V$2:$V$1001,0),MATCH(COLUMNS($AC$1006:AK1006),$AC$1006:$AS$1006,0)), HYPERLINK("#",""), HYPERLINK(CONCATENATE("#Metadata!", ADDRESS(INDEX($X$2:$X$1001,MATCH(ROWS($V$2:V928),$V$2:$V$1001,0),0), INDEX($AC$1004:$AS$1004,1,MATCH(COLUMNS($AC$1006:AK1006),$AC$1006:$AS$1006,0)))),"Fix")))</f>
        <v>0</v>
      </c>
      <c r="K928" s="5">
        <f>IF(OR(INDEX($W$2:$W$1001,MATCH(ROWS($V$2:V928),$V$2:$V$1001,0),1)&gt;=100000,INDEX($AC$1005:$AS$1005,1,MATCH(COLUMNS($AC$1006:AL1006),$AC$1006:$AS$1006,0))&gt;=100000), " ",IF(INDEX($AC$2:$AS$1001,MATCH(ROWS($V$2:V928),$V$2:$V$1001,0),MATCH(COLUMNS($AC$1006:AL1006),$AC$1006:$AS$1006,0)), HYPERLINK("#",""), HYPERLINK(CONCATENATE("#Metadata!", ADDRESS(INDEX($X$2:$X$1001,MATCH(ROWS($V$2:V928),$V$2:$V$1001,0),0), INDEX($AC$1004:$AS$1004,1,MATCH(COLUMNS($AC$1006:AL1006),$AC$1006:$AS$1006,0)))),"Fix")))</f>
        <v>0</v>
      </c>
      <c r="L928" s="5">
        <f>IF(OR(INDEX($W$2:$W$1001,MATCH(ROWS($V$2:V928),$V$2:$V$1001,0),1)&gt;=100000,INDEX($AC$1005:$AS$1005,1,MATCH(COLUMNS($AC$1006:AM1006),$AC$1006:$AS$1006,0))&gt;=100000), " ",IF(INDEX($AC$2:$AS$1001,MATCH(ROWS($V$2:V928),$V$2:$V$1001,0),MATCH(COLUMNS($AC$1006:AM1006),$AC$1006:$AS$1006,0)), HYPERLINK("#",""), HYPERLINK(CONCATENATE("#Metadata!", ADDRESS(INDEX($X$2:$X$1001,MATCH(ROWS($V$2:V928),$V$2:$V$1001,0),0), INDEX($AC$1004:$AS$1004,1,MATCH(COLUMNS($AC$1006:AM1006),$AC$1006:$AS$1006,0)))),"Fix")))</f>
        <v>0</v>
      </c>
      <c r="M928" s="5">
        <f>IF(OR(INDEX($W$2:$W$1001,MATCH(ROWS($V$2:V928),$V$2:$V$1001,0),1)&gt;=100000,INDEX($AC$1005:$AS$1005,1,MATCH(COLUMNS($AC$1006:AN1006),$AC$1006:$AS$1006,0))&gt;=100000), " ",IF(INDEX($AC$2:$AS$1001,MATCH(ROWS($V$2:V928),$V$2:$V$1001,0),MATCH(COLUMNS($AC$1006:AN1006),$AC$1006:$AS$1006,0)), HYPERLINK("#",""), HYPERLINK(CONCATENATE("#Metadata!", ADDRESS(INDEX($X$2:$X$1001,MATCH(ROWS($V$2:V928),$V$2:$V$1001,0),0), INDEX($AC$1004:$AS$1004,1,MATCH(COLUMNS($AC$1006:AN1006),$AC$1006:$AS$1006,0)))),"Fix")))</f>
        <v>0</v>
      </c>
      <c r="N928" s="5">
        <f>IF(OR(INDEX($W$2:$W$1001,MATCH(ROWS($V$2:V928),$V$2:$V$1001,0),1)&gt;=100000,INDEX($AC$1005:$AS$1005,1,MATCH(COLUMNS($AC$1006:AO1006),$AC$1006:$AS$1006,0))&gt;=100000), " ",IF(INDEX($AC$2:$AS$1001,MATCH(ROWS($V$2:V928),$V$2:$V$1001,0),MATCH(COLUMNS($AC$1006:AO1006),$AC$1006:$AS$1006,0)), HYPERLINK("#",""), HYPERLINK(CONCATENATE("#Metadata!", ADDRESS(INDEX($X$2:$X$1001,MATCH(ROWS($V$2:V928),$V$2:$V$1001,0),0), INDEX($AC$1004:$AS$1004,1,MATCH(COLUMNS($AC$1006:AO1006),$AC$1006:$AS$1006,0)))),"Fix")))</f>
        <v>0</v>
      </c>
      <c r="O928" s="5">
        <f>IF(OR(INDEX($W$2:$W$1001,MATCH(ROWS($V$2:V928),$V$2:$V$1001,0),1)&gt;=100000,INDEX($AC$1005:$AS$1005,1,MATCH(COLUMNS($AC$1006:AP1006),$AC$1006:$AS$1006,0))&gt;=100000), " ",IF(INDEX($AC$2:$AS$1001,MATCH(ROWS($V$2:V928),$V$2:$V$1001,0),MATCH(COLUMNS($AC$1006:AP1006),$AC$1006:$AS$1006,0)), HYPERLINK("#",""), HYPERLINK(CONCATENATE("#Metadata!", ADDRESS(INDEX($X$2:$X$1001,MATCH(ROWS($V$2:V928),$V$2:$V$1001,0),0), INDEX($AC$1004:$AS$1004,1,MATCH(COLUMNS($AC$1006:AP1006),$AC$1006:$AS$1006,0)))),"Fix")))</f>
        <v>0</v>
      </c>
      <c r="P928" s="5">
        <f>IF(OR(INDEX($W$2:$W$1001,MATCH(ROWS($V$2:V928),$V$2:$V$1001,0),1)&gt;=100000,INDEX($AC$1005:$AS$1005,1,MATCH(COLUMNS($AC$1006:AQ1006),$AC$1006:$AS$1006,0))&gt;=100000), " ",IF(INDEX($AC$2:$AS$1001,MATCH(ROWS($V$2:V928),$V$2:$V$1001,0),MATCH(COLUMNS($AC$1006:AQ1006),$AC$1006:$AS$1006,0)), HYPERLINK("#",""), HYPERLINK(CONCATENATE("#Metadata!", ADDRESS(INDEX($X$2:$X$1001,MATCH(ROWS($V$2:V928),$V$2:$V$1001,0),0), INDEX($AC$1004:$AS$1004,1,MATCH(COLUMNS($AC$1006:AQ1006),$AC$1006:$AS$1006,0)))),"Fix")))</f>
        <v>0</v>
      </c>
      <c r="Q928" s="5">
        <f>IF(OR(INDEX($W$2:$W$1001,MATCH(ROWS($V$2:V928),$V$2:$V$1001,0),1)&gt;=100000,INDEX($AC$1005:$AS$1005,1,MATCH(COLUMNS($AC$1006:AR1006),$AC$1006:$AS$1006,0))&gt;=100000), " ",IF(INDEX($AC$2:$AS$1001,MATCH(ROWS($V$2:V928),$V$2:$V$1001,0),MATCH(COLUMNS($AC$1006:AR1006),$AC$1006:$AS$1006,0)), HYPERLINK("#",""), HYPERLINK(CONCATENATE("#Metadata!", ADDRESS(INDEX($X$2:$X$1001,MATCH(ROWS($V$2:V928),$V$2:$V$1001,0),0), INDEX($AC$1004:$AS$1004,1,MATCH(COLUMNS($AC$1006:AR1006),$AC$1006:$AS$1006,0)))),"Fix")))</f>
        <v>0</v>
      </c>
      <c r="R928" s="5">
        <f>IF(OR(INDEX($W$2:$W$1001,MATCH(ROWS($V$2:V928),$V$2:$V$1001,0),1)&gt;=100000,INDEX($AC$1005:$AS$1005,1,MATCH(COLUMNS($AC$1006:AS1006),$AC$1006:$AS$1006,0))&gt;=100000), " ",IF(INDEX($AC$2:$AS$1001,MATCH(ROWS($V$2:V928),$V$2:$V$1001,0),MATCH(COLUMNS($AC$1006:AS1006),$AC$1006:$AS$1006,0)), HYPERLINK("#",""), HYPERLINK(CONCATENATE("#Metadata!", ADDRESS(INDEX($X$2:$X$1001,MATCH(ROWS($V$2:V928),$V$2:$V$1001,0),0), INDEX($AC$1004:$AS$1004,1,MATCH(COLUMNS($AC$1006:AS1006),$AC$1006:$AS$1006,0)))),"Fix")))</f>
        <v>0</v>
      </c>
      <c r="V928">
        <v>0</v>
      </c>
      <c r="W928">
        <v>0</v>
      </c>
      <c r="X928">
        <v>0</v>
      </c>
      <c r="Y928">
        <f>IF(Z928,TRUE,AND(AC928:AS928))</f>
        <v>0</v>
      </c>
      <c r="Z928">
        <f>COUNTBLANK(Metadata!B928:R928)=COLUMNS(Metadata!B928:R928)</f>
        <v>0</v>
      </c>
      <c r="AA928">
        <v>0</v>
      </c>
      <c r="AC928">
        <f>AND(IF(Metadata!B928="",FALSE,TRUE),COUNTIF(Metadata!B:B, Metadata!B928) = 1,NOT(ISERROR(SUMPRODUCT(SEARCH(MID(Metadata!B928,ROW(INDIRECT("1:"&amp;LEN(Metadata!B928))), 1),"0123456789abcdefghijklmnopqrstuvwxyzABCDEFGHIJKLMNOPQRSTUVWXYZ.")))))</f>
        <v>0</v>
      </c>
      <c r="AD928">
        <f>AND(IF(Metadata!C928="",FALSE,TRUE),exact(Metadata!C928,"Host-associated"))</f>
        <v>0</v>
      </c>
      <c r="AE928">
        <f>AND(IF(Metadata!D928="",FALSE,TRUE),OR(exact(Metadata!D928,"Animal"),exact(Metadata!D928,"Fungus"),exact(Metadata!D928,"Plant")))</f>
        <v>0</v>
      </c>
      <c r="AF928">
        <f>AND(IF(Metadata!E928="",FALSE,TRUE),OR(exact(Metadata!E928,"Plant secretion"),exact(Metadata!E928,"Plant rhizosphere"),exact(Metadata!E928,"Plant surface"),exact(Metadata!E928,"Plant corpus"),exact(Metadata!E928,"Fungus surface"),exact(Metadata!E928,"Fungus corpus"),exact(Metadata!E928,"Animal surface"),exact(Metadata!E928,"Animal proximal gut"),exact(Metadata!E928,"Animal corpus"),exact(Metadata!E928,"Animal distal gut"),exact(Metadata!E928,"Animal secretion")))</f>
        <v>0</v>
      </c>
      <c r="AG928">
        <f>OR(AND(IF(Metadata!F928="",FALSE,TRUE),OR(exact(Metadata!F928,"not collected"),exact(Metadata!F928,"not provided"),exact(Metadata!F928,"restricted access"))),AND(IF(Metadata!F928="",FALSE,TRUE),OR(exact(Metadata!F928,"organism-associated habitat"),exact(Metadata!F928,"plant-associated habitat"),exact(Metadata!F928,"animal-associated habitat"),exact(Metadata!F928,"insecta-associated habitat"),exact(Metadata!F928,"mammalia-associated habitat"),exact(Metadata!F928,"human-associated habitat"),exact(Metadata!F928,"livestock-associated habitat"))))</f>
        <v>0</v>
      </c>
      <c r="AH928">
        <f>AND(IF(Metadata!G928="",FALSE,TRUE),exact(Metadata!G928,"host-associated"))</f>
        <v>0</v>
      </c>
      <c r="AI928">
        <f>OR(AND(IF(Metadata!H928="",FALSE,TRUE),OR(exact(Metadata!H928,"not collected"),exact(Metadata!H928,"not provided"))),AND(IF(Metadata!H928="",FALSE,ISNUMBER(VALUE(Metadata!H928))),Metadata!H928&gt;0))</f>
        <v>0</v>
      </c>
      <c r="AJ928">
        <f>AND(IF(Metadata!I928="",FALSE,TRUE),exact(Metadata!I928,"years"))</f>
        <v>0</v>
      </c>
      <c r="AK928">
        <f>IF(Metadata!J928="",FALSE,TRUE)</f>
        <v>0</v>
      </c>
      <c r="AL928">
        <f>OR(AND(IF(Metadata!K928="",FALSE,TRUE),OR(exact(Metadata!K928,"not collected"),exact(Metadata!K928,"not provided"))),AND(IF(Metadata!K928="",FALSE,ISNUMBER(VALUE(Metadata!K928))),Metadata!K928&gt;0))</f>
        <v>0</v>
      </c>
      <c r="AM928">
        <f>AND(IF(Metadata!L928="",FALSE,TRUE),exact(Metadata!L928,"cm"))</f>
        <v>0</v>
      </c>
      <c r="AN928">
        <f>IF(Metadata!M928="",FALSE,TRUE)</f>
        <v>0</v>
      </c>
      <c r="AO928">
        <f>OR(AND(IF(Metadata!N928="",FALSE,TRUE),OR(exact(Metadata!N928,"not applicable"),exact(Metadata!N928,"not collected"),exact(Metadata!N928,"not provided"))),AND(IF(Metadata!N928="",FALSE,IF(ISERROR(INT(Metadata!N928)),FALSE,INT(Metadata!N928)=Metadata!N928)),Metadata!N928&gt;0))</f>
        <v>0</v>
      </c>
      <c r="AP928">
        <f>OR(AND(IF(Metadata!O928="",FALSE,TRUE),OR(exact(Metadata!O928,"not collected"),exact(Metadata!O928,"not provided"))),AND(IF(Metadata!O928="",FALSE,ISNUMBER(VALUE(Metadata!O928))),Metadata!O928&gt;0))</f>
        <v>0</v>
      </c>
      <c r="AQ928">
        <f>AND(IF(Metadata!P928="",FALSE,TRUE),exact(Metadata!P928,"kg"))</f>
        <v>0</v>
      </c>
      <c r="AR928">
        <f>OR(AND(IF(Metadata!Q928="",FALSE,TRUE),OR(exact(Metadata!Q928,"not applicable"),exact(Metadata!Q928,"not collected"),exact(Metadata!Q928,"not provided"),exact(Metadata!Q928,"restricted access"))),IF(Metadata!Q928="",FALSE,IF(ISERROR(INT(Metadata!Q928)),FALSE,INT(Metadata!Q928)=Metadata!Q928)))</f>
        <v>0</v>
      </c>
      <c r="AS928">
        <f>AND(IF(Metadata!R928="",FALSE,TRUE),exact(Metadata!R928,"Not applicable"))</f>
        <v>0</v>
      </c>
    </row>
    <row r="929" spans="1:45">
      <c r="A929" s="4">
        <f>IF(B929=" "," ",HYPERLINK(CONCATENATE("#metadata!",ADDRESS(INDEX($X$2:$X$1001,MATCH(ROWS($V$2:V929),$V$2:$V$1001,0),0),2)),INDEX($AA$2:$AA$1001,MATCH(ROWS($V$2:V929),$V$2:$V$1001,0),0)))</f>
        <v>0</v>
      </c>
      <c r="B929" s="5">
        <f>IF(OR(INDEX($W$2:$W$1001,MATCH(ROWS($V$2:V929),$V$2:$V$1001,0),1)&gt;=100000,INDEX($AC$1005:$AS$1005,1,MATCH(COLUMNS($AC$1006:AC1006),$AC$1006:$AS$1006,0))&gt;=100000), " ",IF(INDEX($AC$2:$AS$1001,MATCH(ROWS($V$2:V929),$V$2:$V$1001,0),MATCH(COLUMNS($AC$1006:AC1006),$AC$1006:$AS$1006,0)), HYPERLINK("#",""), HYPERLINK(CONCATENATE("#Metadata!", ADDRESS(INDEX($X$2:$X$1001,MATCH(ROWS($V$2:V929),$V$2:$V$1001,0),0), INDEX($AC$1004:$AS$1004,1,MATCH(COLUMNS($AC$1006:AC1006),$AC$1006:$AS$1006,0)))),"Fix")))</f>
        <v>0</v>
      </c>
      <c r="C929" s="5">
        <f>IF(OR(INDEX($W$2:$W$1001,MATCH(ROWS($V$2:V929),$V$2:$V$1001,0),1)&gt;=100000,INDEX($AC$1005:$AS$1005,1,MATCH(COLUMNS($AC$1006:AD1006),$AC$1006:$AS$1006,0))&gt;=100000), " ",IF(INDEX($AC$2:$AS$1001,MATCH(ROWS($V$2:V929),$V$2:$V$1001,0),MATCH(COLUMNS($AC$1006:AD1006),$AC$1006:$AS$1006,0)), HYPERLINK("#",""), HYPERLINK(CONCATENATE("#Metadata!", ADDRESS(INDEX($X$2:$X$1001,MATCH(ROWS($V$2:V929),$V$2:$V$1001,0),0), INDEX($AC$1004:$AS$1004,1,MATCH(COLUMNS($AC$1006:AD1006),$AC$1006:$AS$1006,0)))),"Fix")))</f>
        <v>0</v>
      </c>
      <c r="D929" s="5">
        <f>IF(OR(INDEX($W$2:$W$1001,MATCH(ROWS($V$2:V929),$V$2:$V$1001,0),1)&gt;=100000,INDEX($AC$1005:$AS$1005,1,MATCH(COLUMNS($AC$1006:AE1006),$AC$1006:$AS$1006,0))&gt;=100000), " ",IF(INDEX($AC$2:$AS$1001,MATCH(ROWS($V$2:V929),$V$2:$V$1001,0),MATCH(COLUMNS($AC$1006:AE1006),$AC$1006:$AS$1006,0)), HYPERLINK("#",""), HYPERLINK(CONCATENATE("#Metadata!", ADDRESS(INDEX($X$2:$X$1001,MATCH(ROWS($V$2:V929),$V$2:$V$1001,0),0), INDEX($AC$1004:$AS$1004,1,MATCH(COLUMNS($AC$1006:AE1006),$AC$1006:$AS$1006,0)))),"Fix")))</f>
        <v>0</v>
      </c>
      <c r="E929" s="5">
        <f>IF(OR(INDEX($W$2:$W$1001,MATCH(ROWS($V$2:V929),$V$2:$V$1001,0),1)&gt;=100000,INDEX($AC$1005:$AS$1005,1,MATCH(COLUMNS($AC$1006:AF1006),$AC$1006:$AS$1006,0))&gt;=100000), " ",IF(INDEX($AC$2:$AS$1001,MATCH(ROWS($V$2:V929),$V$2:$V$1001,0),MATCH(COLUMNS($AC$1006:AF1006),$AC$1006:$AS$1006,0)), HYPERLINK("#",""), HYPERLINK(CONCATENATE("#Metadata!", ADDRESS(INDEX($X$2:$X$1001,MATCH(ROWS($V$2:V929),$V$2:$V$1001,0),0), INDEX($AC$1004:$AS$1004,1,MATCH(COLUMNS($AC$1006:AF1006),$AC$1006:$AS$1006,0)))),"Fix")))</f>
        <v>0</v>
      </c>
      <c r="F929" s="5">
        <f>IF(OR(INDEX($W$2:$W$1001,MATCH(ROWS($V$2:V929),$V$2:$V$1001,0),1)&gt;=100000,INDEX($AC$1005:$AS$1005,1,MATCH(COLUMNS($AC$1006:AG1006),$AC$1006:$AS$1006,0))&gt;=100000), " ",IF(INDEX($AC$2:$AS$1001,MATCH(ROWS($V$2:V929),$V$2:$V$1001,0),MATCH(COLUMNS($AC$1006:AG1006),$AC$1006:$AS$1006,0)), HYPERLINK("#",""), HYPERLINK(CONCATENATE("#Metadata!", ADDRESS(INDEX($X$2:$X$1001,MATCH(ROWS($V$2:V929),$V$2:$V$1001,0),0), INDEX($AC$1004:$AS$1004,1,MATCH(COLUMNS($AC$1006:AG1006),$AC$1006:$AS$1006,0)))),"Fix")))</f>
        <v>0</v>
      </c>
      <c r="G929" s="5">
        <f>IF(OR(INDEX($W$2:$W$1001,MATCH(ROWS($V$2:V929),$V$2:$V$1001,0),1)&gt;=100000,INDEX($AC$1005:$AS$1005,1,MATCH(COLUMNS($AC$1006:AH1006),$AC$1006:$AS$1006,0))&gt;=100000), " ",IF(INDEX($AC$2:$AS$1001,MATCH(ROWS($V$2:V929),$V$2:$V$1001,0),MATCH(COLUMNS($AC$1006:AH1006),$AC$1006:$AS$1006,0)), HYPERLINK("#",""), HYPERLINK(CONCATENATE("#Metadata!", ADDRESS(INDEX($X$2:$X$1001,MATCH(ROWS($V$2:V929),$V$2:$V$1001,0),0), INDEX($AC$1004:$AS$1004,1,MATCH(COLUMNS($AC$1006:AH1006),$AC$1006:$AS$1006,0)))),"Fix")))</f>
        <v>0</v>
      </c>
      <c r="H929" s="5">
        <f>IF(OR(INDEX($W$2:$W$1001,MATCH(ROWS($V$2:V929),$V$2:$V$1001,0),1)&gt;=100000,INDEX($AC$1005:$AS$1005,1,MATCH(COLUMNS($AC$1006:AI1006),$AC$1006:$AS$1006,0))&gt;=100000), " ",IF(INDEX($AC$2:$AS$1001,MATCH(ROWS($V$2:V929),$V$2:$V$1001,0),MATCH(COLUMNS($AC$1006:AI1006),$AC$1006:$AS$1006,0)), HYPERLINK("#",""), HYPERLINK(CONCATENATE("#Metadata!", ADDRESS(INDEX($X$2:$X$1001,MATCH(ROWS($V$2:V929),$V$2:$V$1001,0),0), INDEX($AC$1004:$AS$1004,1,MATCH(COLUMNS($AC$1006:AI1006),$AC$1006:$AS$1006,0)))),"Fix")))</f>
        <v>0</v>
      </c>
      <c r="I929" s="5">
        <f>IF(OR(INDEX($W$2:$W$1001,MATCH(ROWS($V$2:V929),$V$2:$V$1001,0),1)&gt;=100000,INDEX($AC$1005:$AS$1005,1,MATCH(COLUMNS($AC$1006:AJ1006),$AC$1006:$AS$1006,0))&gt;=100000), " ",IF(INDEX($AC$2:$AS$1001,MATCH(ROWS($V$2:V929),$V$2:$V$1001,0),MATCH(COLUMNS($AC$1006:AJ1006),$AC$1006:$AS$1006,0)), HYPERLINK("#",""), HYPERLINK(CONCATENATE("#Metadata!", ADDRESS(INDEX($X$2:$X$1001,MATCH(ROWS($V$2:V929),$V$2:$V$1001,0),0), INDEX($AC$1004:$AS$1004,1,MATCH(COLUMNS($AC$1006:AJ1006),$AC$1006:$AS$1006,0)))),"Fix")))</f>
        <v>0</v>
      </c>
      <c r="J929" s="5">
        <f>IF(OR(INDEX($W$2:$W$1001,MATCH(ROWS($V$2:V929),$V$2:$V$1001,0),1)&gt;=100000,INDEX($AC$1005:$AS$1005,1,MATCH(COLUMNS($AC$1006:AK1006),$AC$1006:$AS$1006,0))&gt;=100000), " ",IF(INDEX($AC$2:$AS$1001,MATCH(ROWS($V$2:V929),$V$2:$V$1001,0),MATCH(COLUMNS($AC$1006:AK1006),$AC$1006:$AS$1006,0)), HYPERLINK("#",""), HYPERLINK(CONCATENATE("#Metadata!", ADDRESS(INDEX($X$2:$X$1001,MATCH(ROWS($V$2:V929),$V$2:$V$1001,0),0), INDEX($AC$1004:$AS$1004,1,MATCH(COLUMNS($AC$1006:AK1006),$AC$1006:$AS$1006,0)))),"Fix")))</f>
        <v>0</v>
      </c>
      <c r="K929" s="5">
        <f>IF(OR(INDEX($W$2:$W$1001,MATCH(ROWS($V$2:V929),$V$2:$V$1001,0),1)&gt;=100000,INDEX($AC$1005:$AS$1005,1,MATCH(COLUMNS($AC$1006:AL1006),$AC$1006:$AS$1006,0))&gt;=100000), " ",IF(INDEX($AC$2:$AS$1001,MATCH(ROWS($V$2:V929),$V$2:$V$1001,0),MATCH(COLUMNS($AC$1006:AL1006),$AC$1006:$AS$1006,0)), HYPERLINK("#",""), HYPERLINK(CONCATENATE("#Metadata!", ADDRESS(INDEX($X$2:$X$1001,MATCH(ROWS($V$2:V929),$V$2:$V$1001,0),0), INDEX($AC$1004:$AS$1004,1,MATCH(COLUMNS($AC$1006:AL1006),$AC$1006:$AS$1006,0)))),"Fix")))</f>
        <v>0</v>
      </c>
      <c r="L929" s="5">
        <f>IF(OR(INDEX($W$2:$W$1001,MATCH(ROWS($V$2:V929),$V$2:$V$1001,0),1)&gt;=100000,INDEX($AC$1005:$AS$1005,1,MATCH(COLUMNS($AC$1006:AM1006),$AC$1006:$AS$1006,0))&gt;=100000), " ",IF(INDEX($AC$2:$AS$1001,MATCH(ROWS($V$2:V929),$V$2:$V$1001,0),MATCH(COLUMNS($AC$1006:AM1006),$AC$1006:$AS$1006,0)), HYPERLINK("#",""), HYPERLINK(CONCATENATE("#Metadata!", ADDRESS(INDEX($X$2:$X$1001,MATCH(ROWS($V$2:V929),$V$2:$V$1001,0),0), INDEX($AC$1004:$AS$1004,1,MATCH(COLUMNS($AC$1006:AM1006),$AC$1006:$AS$1006,0)))),"Fix")))</f>
        <v>0</v>
      </c>
      <c r="M929" s="5">
        <f>IF(OR(INDEX($W$2:$W$1001,MATCH(ROWS($V$2:V929),$V$2:$V$1001,0),1)&gt;=100000,INDEX($AC$1005:$AS$1005,1,MATCH(COLUMNS($AC$1006:AN1006),$AC$1006:$AS$1006,0))&gt;=100000), " ",IF(INDEX($AC$2:$AS$1001,MATCH(ROWS($V$2:V929),$V$2:$V$1001,0),MATCH(COLUMNS($AC$1006:AN1006),$AC$1006:$AS$1006,0)), HYPERLINK("#",""), HYPERLINK(CONCATENATE("#Metadata!", ADDRESS(INDEX($X$2:$X$1001,MATCH(ROWS($V$2:V929),$V$2:$V$1001,0),0), INDEX($AC$1004:$AS$1004,1,MATCH(COLUMNS($AC$1006:AN1006),$AC$1006:$AS$1006,0)))),"Fix")))</f>
        <v>0</v>
      </c>
      <c r="N929" s="5">
        <f>IF(OR(INDEX($W$2:$W$1001,MATCH(ROWS($V$2:V929),$V$2:$V$1001,0),1)&gt;=100000,INDEX($AC$1005:$AS$1005,1,MATCH(COLUMNS($AC$1006:AO1006),$AC$1006:$AS$1006,0))&gt;=100000), " ",IF(INDEX($AC$2:$AS$1001,MATCH(ROWS($V$2:V929),$V$2:$V$1001,0),MATCH(COLUMNS($AC$1006:AO1006),$AC$1006:$AS$1006,0)), HYPERLINK("#",""), HYPERLINK(CONCATENATE("#Metadata!", ADDRESS(INDEX($X$2:$X$1001,MATCH(ROWS($V$2:V929),$V$2:$V$1001,0),0), INDEX($AC$1004:$AS$1004,1,MATCH(COLUMNS($AC$1006:AO1006),$AC$1006:$AS$1006,0)))),"Fix")))</f>
        <v>0</v>
      </c>
      <c r="O929" s="5">
        <f>IF(OR(INDEX($W$2:$W$1001,MATCH(ROWS($V$2:V929),$V$2:$V$1001,0),1)&gt;=100000,INDEX($AC$1005:$AS$1005,1,MATCH(COLUMNS($AC$1006:AP1006),$AC$1006:$AS$1006,0))&gt;=100000), " ",IF(INDEX($AC$2:$AS$1001,MATCH(ROWS($V$2:V929),$V$2:$V$1001,0),MATCH(COLUMNS($AC$1006:AP1006),$AC$1006:$AS$1006,0)), HYPERLINK("#",""), HYPERLINK(CONCATENATE("#Metadata!", ADDRESS(INDEX($X$2:$X$1001,MATCH(ROWS($V$2:V929),$V$2:$V$1001,0),0), INDEX($AC$1004:$AS$1004,1,MATCH(COLUMNS($AC$1006:AP1006),$AC$1006:$AS$1006,0)))),"Fix")))</f>
        <v>0</v>
      </c>
      <c r="P929" s="5">
        <f>IF(OR(INDEX($W$2:$W$1001,MATCH(ROWS($V$2:V929),$V$2:$V$1001,0),1)&gt;=100000,INDEX($AC$1005:$AS$1005,1,MATCH(COLUMNS($AC$1006:AQ1006),$AC$1006:$AS$1006,0))&gt;=100000), " ",IF(INDEX($AC$2:$AS$1001,MATCH(ROWS($V$2:V929),$V$2:$V$1001,0),MATCH(COLUMNS($AC$1006:AQ1006),$AC$1006:$AS$1006,0)), HYPERLINK("#",""), HYPERLINK(CONCATENATE("#Metadata!", ADDRESS(INDEX($X$2:$X$1001,MATCH(ROWS($V$2:V929),$V$2:$V$1001,0),0), INDEX($AC$1004:$AS$1004,1,MATCH(COLUMNS($AC$1006:AQ1006),$AC$1006:$AS$1006,0)))),"Fix")))</f>
        <v>0</v>
      </c>
      <c r="Q929" s="5">
        <f>IF(OR(INDEX($W$2:$W$1001,MATCH(ROWS($V$2:V929),$V$2:$V$1001,0),1)&gt;=100000,INDEX($AC$1005:$AS$1005,1,MATCH(COLUMNS($AC$1006:AR1006),$AC$1006:$AS$1006,0))&gt;=100000), " ",IF(INDEX($AC$2:$AS$1001,MATCH(ROWS($V$2:V929),$V$2:$V$1001,0),MATCH(COLUMNS($AC$1006:AR1006),$AC$1006:$AS$1006,0)), HYPERLINK("#",""), HYPERLINK(CONCATENATE("#Metadata!", ADDRESS(INDEX($X$2:$X$1001,MATCH(ROWS($V$2:V929),$V$2:$V$1001,0),0), INDEX($AC$1004:$AS$1004,1,MATCH(COLUMNS($AC$1006:AR1006),$AC$1006:$AS$1006,0)))),"Fix")))</f>
        <v>0</v>
      </c>
      <c r="R929" s="5">
        <f>IF(OR(INDEX($W$2:$W$1001,MATCH(ROWS($V$2:V929),$V$2:$V$1001,0),1)&gt;=100000,INDEX($AC$1005:$AS$1005,1,MATCH(COLUMNS($AC$1006:AS1006),$AC$1006:$AS$1006,0))&gt;=100000), " ",IF(INDEX($AC$2:$AS$1001,MATCH(ROWS($V$2:V929),$V$2:$V$1001,0),MATCH(COLUMNS($AC$1006:AS1006),$AC$1006:$AS$1006,0)), HYPERLINK("#",""), HYPERLINK(CONCATENATE("#Metadata!", ADDRESS(INDEX($X$2:$X$1001,MATCH(ROWS($V$2:V929),$V$2:$V$1001,0),0), INDEX($AC$1004:$AS$1004,1,MATCH(COLUMNS($AC$1006:AS1006),$AC$1006:$AS$1006,0)))),"Fix")))</f>
        <v>0</v>
      </c>
      <c r="V929">
        <v>0</v>
      </c>
      <c r="W929">
        <v>0</v>
      </c>
      <c r="X929">
        <v>0</v>
      </c>
      <c r="Y929">
        <f>IF(Z929,TRUE,AND(AC929:AS929))</f>
        <v>0</v>
      </c>
      <c r="Z929">
        <f>COUNTBLANK(Metadata!B929:R929)=COLUMNS(Metadata!B929:R929)</f>
        <v>0</v>
      </c>
      <c r="AA929">
        <v>0</v>
      </c>
      <c r="AC929">
        <f>AND(IF(Metadata!B929="",FALSE,TRUE),COUNTIF(Metadata!B:B, Metadata!B929) = 1,NOT(ISERROR(SUMPRODUCT(SEARCH(MID(Metadata!B929,ROW(INDIRECT("1:"&amp;LEN(Metadata!B929))), 1),"0123456789abcdefghijklmnopqrstuvwxyzABCDEFGHIJKLMNOPQRSTUVWXYZ.")))))</f>
        <v>0</v>
      </c>
      <c r="AD929">
        <f>AND(IF(Metadata!C929="",FALSE,TRUE),exact(Metadata!C929,"Host-associated"))</f>
        <v>0</v>
      </c>
      <c r="AE929">
        <f>AND(IF(Metadata!D929="",FALSE,TRUE),OR(exact(Metadata!D929,"Animal"),exact(Metadata!D929,"Fungus"),exact(Metadata!D929,"Plant")))</f>
        <v>0</v>
      </c>
      <c r="AF929">
        <f>AND(IF(Metadata!E929="",FALSE,TRUE),OR(exact(Metadata!E929,"Plant secretion"),exact(Metadata!E929,"Plant rhizosphere"),exact(Metadata!E929,"Plant surface"),exact(Metadata!E929,"Plant corpus"),exact(Metadata!E929,"Fungus surface"),exact(Metadata!E929,"Fungus corpus"),exact(Metadata!E929,"Animal surface"),exact(Metadata!E929,"Animal proximal gut"),exact(Metadata!E929,"Animal corpus"),exact(Metadata!E929,"Animal distal gut"),exact(Metadata!E929,"Animal secretion")))</f>
        <v>0</v>
      </c>
      <c r="AG929">
        <f>OR(AND(IF(Metadata!F929="",FALSE,TRUE),OR(exact(Metadata!F929,"not collected"),exact(Metadata!F929,"not provided"),exact(Metadata!F929,"restricted access"))),AND(IF(Metadata!F929="",FALSE,TRUE),OR(exact(Metadata!F929,"organism-associated habitat"),exact(Metadata!F929,"plant-associated habitat"),exact(Metadata!F929,"animal-associated habitat"),exact(Metadata!F929,"insecta-associated habitat"),exact(Metadata!F929,"mammalia-associated habitat"),exact(Metadata!F929,"human-associated habitat"),exact(Metadata!F929,"livestock-associated habitat"))))</f>
        <v>0</v>
      </c>
      <c r="AH929">
        <f>AND(IF(Metadata!G929="",FALSE,TRUE),exact(Metadata!G929,"host-associated"))</f>
        <v>0</v>
      </c>
      <c r="AI929">
        <f>OR(AND(IF(Metadata!H929="",FALSE,TRUE),OR(exact(Metadata!H929,"not collected"),exact(Metadata!H929,"not provided"))),AND(IF(Metadata!H929="",FALSE,ISNUMBER(VALUE(Metadata!H929))),Metadata!H929&gt;0))</f>
        <v>0</v>
      </c>
      <c r="AJ929">
        <f>AND(IF(Metadata!I929="",FALSE,TRUE),exact(Metadata!I929,"years"))</f>
        <v>0</v>
      </c>
      <c r="AK929">
        <f>IF(Metadata!J929="",FALSE,TRUE)</f>
        <v>0</v>
      </c>
      <c r="AL929">
        <f>OR(AND(IF(Metadata!K929="",FALSE,TRUE),OR(exact(Metadata!K929,"not collected"),exact(Metadata!K929,"not provided"))),AND(IF(Metadata!K929="",FALSE,ISNUMBER(VALUE(Metadata!K929))),Metadata!K929&gt;0))</f>
        <v>0</v>
      </c>
      <c r="AM929">
        <f>AND(IF(Metadata!L929="",FALSE,TRUE),exact(Metadata!L929,"cm"))</f>
        <v>0</v>
      </c>
      <c r="AN929">
        <f>IF(Metadata!M929="",FALSE,TRUE)</f>
        <v>0</v>
      </c>
      <c r="AO929">
        <f>OR(AND(IF(Metadata!N929="",FALSE,TRUE),OR(exact(Metadata!N929,"not applicable"),exact(Metadata!N929,"not collected"),exact(Metadata!N929,"not provided"))),AND(IF(Metadata!N929="",FALSE,IF(ISERROR(INT(Metadata!N929)),FALSE,INT(Metadata!N929)=Metadata!N929)),Metadata!N929&gt;0))</f>
        <v>0</v>
      </c>
      <c r="AP929">
        <f>OR(AND(IF(Metadata!O929="",FALSE,TRUE),OR(exact(Metadata!O929,"not collected"),exact(Metadata!O929,"not provided"))),AND(IF(Metadata!O929="",FALSE,ISNUMBER(VALUE(Metadata!O929))),Metadata!O929&gt;0))</f>
        <v>0</v>
      </c>
      <c r="AQ929">
        <f>AND(IF(Metadata!P929="",FALSE,TRUE),exact(Metadata!P929,"kg"))</f>
        <v>0</v>
      </c>
      <c r="AR929">
        <f>OR(AND(IF(Metadata!Q929="",FALSE,TRUE),OR(exact(Metadata!Q929,"not applicable"),exact(Metadata!Q929,"not collected"),exact(Metadata!Q929,"not provided"),exact(Metadata!Q929,"restricted access"))),IF(Metadata!Q929="",FALSE,IF(ISERROR(INT(Metadata!Q929)),FALSE,INT(Metadata!Q929)=Metadata!Q929)))</f>
        <v>0</v>
      </c>
      <c r="AS929">
        <f>AND(IF(Metadata!R929="",FALSE,TRUE),exact(Metadata!R929,"Not applicable"))</f>
        <v>0</v>
      </c>
    </row>
    <row r="930" spans="1:45">
      <c r="A930" s="4">
        <f>IF(B930=" "," ",HYPERLINK(CONCATENATE("#metadata!",ADDRESS(INDEX($X$2:$X$1001,MATCH(ROWS($V$2:V930),$V$2:$V$1001,0),0),2)),INDEX($AA$2:$AA$1001,MATCH(ROWS($V$2:V930),$V$2:$V$1001,0),0)))</f>
        <v>0</v>
      </c>
      <c r="B930" s="5">
        <f>IF(OR(INDEX($W$2:$W$1001,MATCH(ROWS($V$2:V930),$V$2:$V$1001,0),1)&gt;=100000,INDEX($AC$1005:$AS$1005,1,MATCH(COLUMNS($AC$1006:AC1006),$AC$1006:$AS$1006,0))&gt;=100000), " ",IF(INDEX($AC$2:$AS$1001,MATCH(ROWS($V$2:V930),$V$2:$V$1001,0),MATCH(COLUMNS($AC$1006:AC1006),$AC$1006:$AS$1006,0)), HYPERLINK("#",""), HYPERLINK(CONCATENATE("#Metadata!", ADDRESS(INDEX($X$2:$X$1001,MATCH(ROWS($V$2:V930),$V$2:$V$1001,0),0), INDEX($AC$1004:$AS$1004,1,MATCH(COLUMNS($AC$1006:AC1006),$AC$1006:$AS$1006,0)))),"Fix")))</f>
        <v>0</v>
      </c>
      <c r="C930" s="5">
        <f>IF(OR(INDEX($W$2:$W$1001,MATCH(ROWS($V$2:V930),$V$2:$V$1001,0),1)&gt;=100000,INDEX($AC$1005:$AS$1005,1,MATCH(COLUMNS($AC$1006:AD1006),$AC$1006:$AS$1006,0))&gt;=100000), " ",IF(INDEX($AC$2:$AS$1001,MATCH(ROWS($V$2:V930),$V$2:$V$1001,0),MATCH(COLUMNS($AC$1006:AD1006),$AC$1006:$AS$1006,0)), HYPERLINK("#",""), HYPERLINK(CONCATENATE("#Metadata!", ADDRESS(INDEX($X$2:$X$1001,MATCH(ROWS($V$2:V930),$V$2:$V$1001,0),0), INDEX($AC$1004:$AS$1004,1,MATCH(COLUMNS($AC$1006:AD1006),$AC$1006:$AS$1006,0)))),"Fix")))</f>
        <v>0</v>
      </c>
      <c r="D930" s="5">
        <f>IF(OR(INDEX($W$2:$W$1001,MATCH(ROWS($V$2:V930),$V$2:$V$1001,0),1)&gt;=100000,INDEX($AC$1005:$AS$1005,1,MATCH(COLUMNS($AC$1006:AE1006),$AC$1006:$AS$1006,0))&gt;=100000), " ",IF(INDEX($AC$2:$AS$1001,MATCH(ROWS($V$2:V930),$V$2:$V$1001,0),MATCH(COLUMNS($AC$1006:AE1006),$AC$1006:$AS$1006,0)), HYPERLINK("#",""), HYPERLINK(CONCATENATE("#Metadata!", ADDRESS(INDEX($X$2:$X$1001,MATCH(ROWS($V$2:V930),$V$2:$V$1001,0),0), INDEX($AC$1004:$AS$1004,1,MATCH(COLUMNS($AC$1006:AE1006),$AC$1006:$AS$1006,0)))),"Fix")))</f>
        <v>0</v>
      </c>
      <c r="E930" s="5">
        <f>IF(OR(INDEX($W$2:$W$1001,MATCH(ROWS($V$2:V930),$V$2:$V$1001,0),1)&gt;=100000,INDEX($AC$1005:$AS$1005,1,MATCH(COLUMNS($AC$1006:AF1006),$AC$1006:$AS$1006,0))&gt;=100000), " ",IF(INDEX($AC$2:$AS$1001,MATCH(ROWS($V$2:V930),$V$2:$V$1001,0),MATCH(COLUMNS($AC$1006:AF1006),$AC$1006:$AS$1006,0)), HYPERLINK("#",""), HYPERLINK(CONCATENATE("#Metadata!", ADDRESS(INDEX($X$2:$X$1001,MATCH(ROWS($V$2:V930),$V$2:$V$1001,0),0), INDEX($AC$1004:$AS$1004,1,MATCH(COLUMNS($AC$1006:AF1006),$AC$1006:$AS$1006,0)))),"Fix")))</f>
        <v>0</v>
      </c>
      <c r="F930" s="5">
        <f>IF(OR(INDEX($W$2:$W$1001,MATCH(ROWS($V$2:V930),$V$2:$V$1001,0),1)&gt;=100000,INDEX($AC$1005:$AS$1005,1,MATCH(COLUMNS($AC$1006:AG1006),$AC$1006:$AS$1006,0))&gt;=100000), " ",IF(INDEX($AC$2:$AS$1001,MATCH(ROWS($V$2:V930),$V$2:$V$1001,0),MATCH(COLUMNS($AC$1006:AG1006),$AC$1006:$AS$1006,0)), HYPERLINK("#",""), HYPERLINK(CONCATENATE("#Metadata!", ADDRESS(INDEX($X$2:$X$1001,MATCH(ROWS($V$2:V930),$V$2:$V$1001,0),0), INDEX($AC$1004:$AS$1004,1,MATCH(COLUMNS($AC$1006:AG1006),$AC$1006:$AS$1006,0)))),"Fix")))</f>
        <v>0</v>
      </c>
      <c r="G930" s="5">
        <f>IF(OR(INDEX($W$2:$W$1001,MATCH(ROWS($V$2:V930),$V$2:$V$1001,0),1)&gt;=100000,INDEX($AC$1005:$AS$1005,1,MATCH(COLUMNS($AC$1006:AH1006),$AC$1006:$AS$1006,0))&gt;=100000), " ",IF(INDEX($AC$2:$AS$1001,MATCH(ROWS($V$2:V930),$V$2:$V$1001,0),MATCH(COLUMNS($AC$1006:AH1006),$AC$1006:$AS$1006,0)), HYPERLINK("#",""), HYPERLINK(CONCATENATE("#Metadata!", ADDRESS(INDEX($X$2:$X$1001,MATCH(ROWS($V$2:V930),$V$2:$V$1001,0),0), INDEX($AC$1004:$AS$1004,1,MATCH(COLUMNS($AC$1006:AH1006),$AC$1006:$AS$1006,0)))),"Fix")))</f>
        <v>0</v>
      </c>
      <c r="H930" s="5">
        <f>IF(OR(INDEX($W$2:$W$1001,MATCH(ROWS($V$2:V930),$V$2:$V$1001,0),1)&gt;=100000,INDEX($AC$1005:$AS$1005,1,MATCH(COLUMNS($AC$1006:AI1006),$AC$1006:$AS$1006,0))&gt;=100000), " ",IF(INDEX($AC$2:$AS$1001,MATCH(ROWS($V$2:V930),$V$2:$V$1001,0),MATCH(COLUMNS($AC$1006:AI1006),$AC$1006:$AS$1006,0)), HYPERLINK("#",""), HYPERLINK(CONCATENATE("#Metadata!", ADDRESS(INDEX($X$2:$X$1001,MATCH(ROWS($V$2:V930),$V$2:$V$1001,0),0), INDEX($AC$1004:$AS$1004,1,MATCH(COLUMNS($AC$1006:AI1006),$AC$1006:$AS$1006,0)))),"Fix")))</f>
        <v>0</v>
      </c>
      <c r="I930" s="5">
        <f>IF(OR(INDEX($W$2:$W$1001,MATCH(ROWS($V$2:V930),$V$2:$V$1001,0),1)&gt;=100000,INDEX($AC$1005:$AS$1005,1,MATCH(COLUMNS($AC$1006:AJ1006),$AC$1006:$AS$1006,0))&gt;=100000), " ",IF(INDEX($AC$2:$AS$1001,MATCH(ROWS($V$2:V930),$V$2:$V$1001,0),MATCH(COLUMNS($AC$1006:AJ1006),$AC$1006:$AS$1006,0)), HYPERLINK("#",""), HYPERLINK(CONCATENATE("#Metadata!", ADDRESS(INDEX($X$2:$X$1001,MATCH(ROWS($V$2:V930),$V$2:$V$1001,0),0), INDEX($AC$1004:$AS$1004,1,MATCH(COLUMNS($AC$1006:AJ1006),$AC$1006:$AS$1006,0)))),"Fix")))</f>
        <v>0</v>
      </c>
      <c r="J930" s="5">
        <f>IF(OR(INDEX($W$2:$W$1001,MATCH(ROWS($V$2:V930),$V$2:$V$1001,0),1)&gt;=100000,INDEX($AC$1005:$AS$1005,1,MATCH(COLUMNS($AC$1006:AK1006),$AC$1006:$AS$1006,0))&gt;=100000), " ",IF(INDEX($AC$2:$AS$1001,MATCH(ROWS($V$2:V930),$V$2:$V$1001,0),MATCH(COLUMNS($AC$1006:AK1006),$AC$1006:$AS$1006,0)), HYPERLINK("#",""), HYPERLINK(CONCATENATE("#Metadata!", ADDRESS(INDEX($X$2:$X$1001,MATCH(ROWS($V$2:V930),$V$2:$V$1001,0),0), INDEX($AC$1004:$AS$1004,1,MATCH(COLUMNS($AC$1006:AK1006),$AC$1006:$AS$1006,0)))),"Fix")))</f>
        <v>0</v>
      </c>
      <c r="K930" s="5">
        <f>IF(OR(INDEX($W$2:$W$1001,MATCH(ROWS($V$2:V930),$V$2:$V$1001,0),1)&gt;=100000,INDEX($AC$1005:$AS$1005,1,MATCH(COLUMNS($AC$1006:AL1006),$AC$1006:$AS$1006,0))&gt;=100000), " ",IF(INDEX($AC$2:$AS$1001,MATCH(ROWS($V$2:V930),$V$2:$V$1001,0),MATCH(COLUMNS($AC$1006:AL1006),$AC$1006:$AS$1006,0)), HYPERLINK("#",""), HYPERLINK(CONCATENATE("#Metadata!", ADDRESS(INDEX($X$2:$X$1001,MATCH(ROWS($V$2:V930),$V$2:$V$1001,0),0), INDEX($AC$1004:$AS$1004,1,MATCH(COLUMNS($AC$1006:AL1006),$AC$1006:$AS$1006,0)))),"Fix")))</f>
        <v>0</v>
      </c>
      <c r="L930" s="5">
        <f>IF(OR(INDEX($W$2:$W$1001,MATCH(ROWS($V$2:V930),$V$2:$V$1001,0),1)&gt;=100000,INDEX($AC$1005:$AS$1005,1,MATCH(COLUMNS($AC$1006:AM1006),$AC$1006:$AS$1006,0))&gt;=100000), " ",IF(INDEX($AC$2:$AS$1001,MATCH(ROWS($V$2:V930),$V$2:$V$1001,0),MATCH(COLUMNS($AC$1006:AM1006),$AC$1006:$AS$1006,0)), HYPERLINK("#",""), HYPERLINK(CONCATENATE("#Metadata!", ADDRESS(INDEX($X$2:$X$1001,MATCH(ROWS($V$2:V930),$V$2:$V$1001,0),0), INDEX($AC$1004:$AS$1004,1,MATCH(COLUMNS($AC$1006:AM1006),$AC$1006:$AS$1006,0)))),"Fix")))</f>
        <v>0</v>
      </c>
      <c r="M930" s="5">
        <f>IF(OR(INDEX($W$2:$W$1001,MATCH(ROWS($V$2:V930),$V$2:$V$1001,0),1)&gt;=100000,INDEX($AC$1005:$AS$1005,1,MATCH(COLUMNS($AC$1006:AN1006),$AC$1006:$AS$1006,0))&gt;=100000), " ",IF(INDEX($AC$2:$AS$1001,MATCH(ROWS($V$2:V930),$V$2:$V$1001,0),MATCH(COLUMNS($AC$1006:AN1006),$AC$1006:$AS$1006,0)), HYPERLINK("#",""), HYPERLINK(CONCATENATE("#Metadata!", ADDRESS(INDEX($X$2:$X$1001,MATCH(ROWS($V$2:V930),$V$2:$V$1001,0),0), INDEX($AC$1004:$AS$1004,1,MATCH(COLUMNS($AC$1006:AN1006),$AC$1006:$AS$1006,0)))),"Fix")))</f>
        <v>0</v>
      </c>
      <c r="N930" s="5">
        <f>IF(OR(INDEX($W$2:$W$1001,MATCH(ROWS($V$2:V930),$V$2:$V$1001,0),1)&gt;=100000,INDEX($AC$1005:$AS$1005,1,MATCH(COLUMNS($AC$1006:AO1006),$AC$1006:$AS$1006,0))&gt;=100000), " ",IF(INDEX($AC$2:$AS$1001,MATCH(ROWS($V$2:V930),$V$2:$V$1001,0),MATCH(COLUMNS($AC$1006:AO1006),$AC$1006:$AS$1006,0)), HYPERLINK("#",""), HYPERLINK(CONCATENATE("#Metadata!", ADDRESS(INDEX($X$2:$X$1001,MATCH(ROWS($V$2:V930),$V$2:$V$1001,0),0), INDEX($AC$1004:$AS$1004,1,MATCH(COLUMNS($AC$1006:AO1006),$AC$1006:$AS$1006,0)))),"Fix")))</f>
        <v>0</v>
      </c>
      <c r="O930" s="5">
        <f>IF(OR(INDEX($W$2:$W$1001,MATCH(ROWS($V$2:V930),$V$2:$V$1001,0),1)&gt;=100000,INDEX($AC$1005:$AS$1005,1,MATCH(COLUMNS($AC$1006:AP1006),$AC$1006:$AS$1006,0))&gt;=100000), " ",IF(INDEX($AC$2:$AS$1001,MATCH(ROWS($V$2:V930),$V$2:$V$1001,0),MATCH(COLUMNS($AC$1006:AP1006),$AC$1006:$AS$1006,0)), HYPERLINK("#",""), HYPERLINK(CONCATENATE("#Metadata!", ADDRESS(INDEX($X$2:$X$1001,MATCH(ROWS($V$2:V930),$V$2:$V$1001,0),0), INDEX($AC$1004:$AS$1004,1,MATCH(COLUMNS($AC$1006:AP1006),$AC$1006:$AS$1006,0)))),"Fix")))</f>
        <v>0</v>
      </c>
      <c r="P930" s="5">
        <f>IF(OR(INDEX($W$2:$W$1001,MATCH(ROWS($V$2:V930),$V$2:$V$1001,0),1)&gt;=100000,INDEX($AC$1005:$AS$1005,1,MATCH(COLUMNS($AC$1006:AQ1006),$AC$1006:$AS$1006,0))&gt;=100000), " ",IF(INDEX($AC$2:$AS$1001,MATCH(ROWS($V$2:V930),$V$2:$V$1001,0),MATCH(COLUMNS($AC$1006:AQ1006),$AC$1006:$AS$1006,0)), HYPERLINK("#",""), HYPERLINK(CONCATENATE("#Metadata!", ADDRESS(INDEX($X$2:$X$1001,MATCH(ROWS($V$2:V930),$V$2:$V$1001,0),0), INDEX($AC$1004:$AS$1004,1,MATCH(COLUMNS($AC$1006:AQ1006),$AC$1006:$AS$1006,0)))),"Fix")))</f>
        <v>0</v>
      </c>
      <c r="Q930" s="5">
        <f>IF(OR(INDEX($W$2:$W$1001,MATCH(ROWS($V$2:V930),$V$2:$V$1001,0),1)&gt;=100000,INDEX($AC$1005:$AS$1005,1,MATCH(COLUMNS($AC$1006:AR1006),$AC$1006:$AS$1006,0))&gt;=100000), " ",IF(INDEX($AC$2:$AS$1001,MATCH(ROWS($V$2:V930),$V$2:$V$1001,0),MATCH(COLUMNS($AC$1006:AR1006),$AC$1006:$AS$1006,0)), HYPERLINK("#",""), HYPERLINK(CONCATENATE("#Metadata!", ADDRESS(INDEX($X$2:$X$1001,MATCH(ROWS($V$2:V930),$V$2:$V$1001,0),0), INDEX($AC$1004:$AS$1004,1,MATCH(COLUMNS($AC$1006:AR1006),$AC$1006:$AS$1006,0)))),"Fix")))</f>
        <v>0</v>
      </c>
      <c r="R930" s="5">
        <f>IF(OR(INDEX($W$2:$W$1001,MATCH(ROWS($V$2:V930),$V$2:$V$1001,0),1)&gt;=100000,INDEX($AC$1005:$AS$1005,1,MATCH(COLUMNS($AC$1006:AS1006),$AC$1006:$AS$1006,0))&gt;=100000), " ",IF(INDEX($AC$2:$AS$1001,MATCH(ROWS($V$2:V930),$V$2:$V$1001,0),MATCH(COLUMNS($AC$1006:AS1006),$AC$1006:$AS$1006,0)), HYPERLINK("#",""), HYPERLINK(CONCATENATE("#Metadata!", ADDRESS(INDEX($X$2:$X$1001,MATCH(ROWS($V$2:V930),$V$2:$V$1001,0),0), INDEX($AC$1004:$AS$1004,1,MATCH(COLUMNS($AC$1006:AS1006),$AC$1006:$AS$1006,0)))),"Fix")))</f>
        <v>0</v>
      </c>
      <c r="V930">
        <v>0</v>
      </c>
      <c r="W930">
        <v>0</v>
      </c>
      <c r="X930">
        <v>0</v>
      </c>
      <c r="Y930">
        <f>IF(Z930,TRUE,AND(AC930:AS930))</f>
        <v>0</v>
      </c>
      <c r="Z930">
        <f>COUNTBLANK(Metadata!B930:R930)=COLUMNS(Metadata!B930:R930)</f>
        <v>0</v>
      </c>
      <c r="AA930">
        <v>0</v>
      </c>
      <c r="AC930">
        <f>AND(IF(Metadata!B930="",FALSE,TRUE),COUNTIF(Metadata!B:B, Metadata!B930) = 1,NOT(ISERROR(SUMPRODUCT(SEARCH(MID(Metadata!B930,ROW(INDIRECT("1:"&amp;LEN(Metadata!B930))), 1),"0123456789abcdefghijklmnopqrstuvwxyzABCDEFGHIJKLMNOPQRSTUVWXYZ.")))))</f>
        <v>0</v>
      </c>
      <c r="AD930">
        <f>AND(IF(Metadata!C930="",FALSE,TRUE),exact(Metadata!C930,"Host-associated"))</f>
        <v>0</v>
      </c>
      <c r="AE930">
        <f>AND(IF(Metadata!D930="",FALSE,TRUE),OR(exact(Metadata!D930,"Animal"),exact(Metadata!D930,"Fungus"),exact(Metadata!D930,"Plant")))</f>
        <v>0</v>
      </c>
      <c r="AF930">
        <f>AND(IF(Metadata!E930="",FALSE,TRUE),OR(exact(Metadata!E930,"Plant secretion"),exact(Metadata!E930,"Plant rhizosphere"),exact(Metadata!E930,"Plant surface"),exact(Metadata!E930,"Plant corpus"),exact(Metadata!E930,"Fungus surface"),exact(Metadata!E930,"Fungus corpus"),exact(Metadata!E930,"Animal surface"),exact(Metadata!E930,"Animal proximal gut"),exact(Metadata!E930,"Animal corpus"),exact(Metadata!E930,"Animal distal gut"),exact(Metadata!E930,"Animal secretion")))</f>
        <v>0</v>
      </c>
      <c r="AG930">
        <f>OR(AND(IF(Metadata!F930="",FALSE,TRUE),OR(exact(Metadata!F930,"not collected"),exact(Metadata!F930,"not provided"),exact(Metadata!F930,"restricted access"))),AND(IF(Metadata!F930="",FALSE,TRUE),OR(exact(Metadata!F930,"organism-associated habitat"),exact(Metadata!F930,"plant-associated habitat"),exact(Metadata!F930,"animal-associated habitat"),exact(Metadata!F930,"insecta-associated habitat"),exact(Metadata!F930,"mammalia-associated habitat"),exact(Metadata!F930,"human-associated habitat"),exact(Metadata!F930,"livestock-associated habitat"))))</f>
        <v>0</v>
      </c>
      <c r="AH930">
        <f>AND(IF(Metadata!G930="",FALSE,TRUE),exact(Metadata!G930,"host-associated"))</f>
        <v>0</v>
      </c>
      <c r="AI930">
        <f>OR(AND(IF(Metadata!H930="",FALSE,TRUE),OR(exact(Metadata!H930,"not collected"),exact(Metadata!H930,"not provided"))),AND(IF(Metadata!H930="",FALSE,ISNUMBER(VALUE(Metadata!H930))),Metadata!H930&gt;0))</f>
        <v>0</v>
      </c>
      <c r="AJ930">
        <f>AND(IF(Metadata!I930="",FALSE,TRUE),exact(Metadata!I930,"years"))</f>
        <v>0</v>
      </c>
      <c r="AK930">
        <f>IF(Metadata!J930="",FALSE,TRUE)</f>
        <v>0</v>
      </c>
      <c r="AL930">
        <f>OR(AND(IF(Metadata!K930="",FALSE,TRUE),OR(exact(Metadata!K930,"not collected"),exact(Metadata!K930,"not provided"))),AND(IF(Metadata!K930="",FALSE,ISNUMBER(VALUE(Metadata!K930))),Metadata!K930&gt;0))</f>
        <v>0</v>
      </c>
      <c r="AM930">
        <f>AND(IF(Metadata!L930="",FALSE,TRUE),exact(Metadata!L930,"cm"))</f>
        <v>0</v>
      </c>
      <c r="AN930">
        <f>IF(Metadata!M930="",FALSE,TRUE)</f>
        <v>0</v>
      </c>
      <c r="AO930">
        <f>OR(AND(IF(Metadata!N930="",FALSE,TRUE),OR(exact(Metadata!N930,"not applicable"),exact(Metadata!N930,"not collected"),exact(Metadata!N930,"not provided"))),AND(IF(Metadata!N930="",FALSE,IF(ISERROR(INT(Metadata!N930)),FALSE,INT(Metadata!N930)=Metadata!N930)),Metadata!N930&gt;0))</f>
        <v>0</v>
      </c>
      <c r="AP930">
        <f>OR(AND(IF(Metadata!O930="",FALSE,TRUE),OR(exact(Metadata!O930,"not collected"),exact(Metadata!O930,"not provided"))),AND(IF(Metadata!O930="",FALSE,ISNUMBER(VALUE(Metadata!O930))),Metadata!O930&gt;0))</f>
        <v>0</v>
      </c>
      <c r="AQ930">
        <f>AND(IF(Metadata!P930="",FALSE,TRUE),exact(Metadata!P930,"kg"))</f>
        <v>0</v>
      </c>
      <c r="AR930">
        <f>OR(AND(IF(Metadata!Q930="",FALSE,TRUE),OR(exact(Metadata!Q930,"not applicable"),exact(Metadata!Q930,"not collected"),exact(Metadata!Q930,"not provided"),exact(Metadata!Q930,"restricted access"))),IF(Metadata!Q930="",FALSE,IF(ISERROR(INT(Metadata!Q930)),FALSE,INT(Metadata!Q930)=Metadata!Q930)))</f>
        <v>0</v>
      </c>
      <c r="AS930">
        <f>AND(IF(Metadata!R930="",FALSE,TRUE),exact(Metadata!R930,"Not applicable"))</f>
        <v>0</v>
      </c>
    </row>
    <row r="931" spans="1:45">
      <c r="A931" s="4">
        <f>IF(B931=" "," ",HYPERLINK(CONCATENATE("#metadata!",ADDRESS(INDEX($X$2:$X$1001,MATCH(ROWS($V$2:V931),$V$2:$V$1001,0),0),2)),INDEX($AA$2:$AA$1001,MATCH(ROWS($V$2:V931),$V$2:$V$1001,0),0)))</f>
        <v>0</v>
      </c>
      <c r="B931" s="5">
        <f>IF(OR(INDEX($W$2:$W$1001,MATCH(ROWS($V$2:V931),$V$2:$V$1001,0),1)&gt;=100000,INDEX($AC$1005:$AS$1005,1,MATCH(COLUMNS($AC$1006:AC1006),$AC$1006:$AS$1006,0))&gt;=100000), " ",IF(INDEX($AC$2:$AS$1001,MATCH(ROWS($V$2:V931),$V$2:$V$1001,0),MATCH(COLUMNS($AC$1006:AC1006),$AC$1006:$AS$1006,0)), HYPERLINK("#",""), HYPERLINK(CONCATENATE("#Metadata!", ADDRESS(INDEX($X$2:$X$1001,MATCH(ROWS($V$2:V931),$V$2:$V$1001,0),0), INDEX($AC$1004:$AS$1004,1,MATCH(COLUMNS($AC$1006:AC1006),$AC$1006:$AS$1006,0)))),"Fix")))</f>
        <v>0</v>
      </c>
      <c r="C931" s="5">
        <f>IF(OR(INDEX($W$2:$W$1001,MATCH(ROWS($V$2:V931),$V$2:$V$1001,0),1)&gt;=100000,INDEX($AC$1005:$AS$1005,1,MATCH(COLUMNS($AC$1006:AD1006),$AC$1006:$AS$1006,0))&gt;=100000), " ",IF(INDEX($AC$2:$AS$1001,MATCH(ROWS($V$2:V931),$V$2:$V$1001,0),MATCH(COLUMNS($AC$1006:AD1006),$AC$1006:$AS$1006,0)), HYPERLINK("#",""), HYPERLINK(CONCATENATE("#Metadata!", ADDRESS(INDEX($X$2:$X$1001,MATCH(ROWS($V$2:V931),$V$2:$V$1001,0),0), INDEX($AC$1004:$AS$1004,1,MATCH(COLUMNS($AC$1006:AD1006),$AC$1006:$AS$1006,0)))),"Fix")))</f>
        <v>0</v>
      </c>
      <c r="D931" s="5">
        <f>IF(OR(INDEX($W$2:$W$1001,MATCH(ROWS($V$2:V931),$V$2:$V$1001,0),1)&gt;=100000,INDEX($AC$1005:$AS$1005,1,MATCH(COLUMNS($AC$1006:AE1006),$AC$1006:$AS$1006,0))&gt;=100000), " ",IF(INDEX($AC$2:$AS$1001,MATCH(ROWS($V$2:V931),$V$2:$V$1001,0),MATCH(COLUMNS($AC$1006:AE1006),$AC$1006:$AS$1006,0)), HYPERLINK("#",""), HYPERLINK(CONCATENATE("#Metadata!", ADDRESS(INDEX($X$2:$X$1001,MATCH(ROWS($V$2:V931),$V$2:$V$1001,0),0), INDEX($AC$1004:$AS$1004,1,MATCH(COLUMNS($AC$1006:AE1006),$AC$1006:$AS$1006,0)))),"Fix")))</f>
        <v>0</v>
      </c>
      <c r="E931" s="5">
        <f>IF(OR(INDEX($W$2:$W$1001,MATCH(ROWS($V$2:V931),$V$2:$V$1001,0),1)&gt;=100000,INDEX($AC$1005:$AS$1005,1,MATCH(COLUMNS($AC$1006:AF1006),$AC$1006:$AS$1006,0))&gt;=100000), " ",IF(INDEX($AC$2:$AS$1001,MATCH(ROWS($V$2:V931),$V$2:$V$1001,0),MATCH(COLUMNS($AC$1006:AF1006),$AC$1006:$AS$1006,0)), HYPERLINK("#",""), HYPERLINK(CONCATENATE("#Metadata!", ADDRESS(INDEX($X$2:$X$1001,MATCH(ROWS($V$2:V931),$V$2:$V$1001,0),0), INDEX($AC$1004:$AS$1004,1,MATCH(COLUMNS($AC$1006:AF1006),$AC$1006:$AS$1006,0)))),"Fix")))</f>
        <v>0</v>
      </c>
      <c r="F931" s="5">
        <f>IF(OR(INDEX($W$2:$W$1001,MATCH(ROWS($V$2:V931),$V$2:$V$1001,0),1)&gt;=100000,INDEX($AC$1005:$AS$1005,1,MATCH(COLUMNS($AC$1006:AG1006),$AC$1006:$AS$1006,0))&gt;=100000), " ",IF(INDEX($AC$2:$AS$1001,MATCH(ROWS($V$2:V931),$V$2:$V$1001,0),MATCH(COLUMNS($AC$1006:AG1006),$AC$1006:$AS$1006,0)), HYPERLINK("#",""), HYPERLINK(CONCATENATE("#Metadata!", ADDRESS(INDEX($X$2:$X$1001,MATCH(ROWS($V$2:V931),$V$2:$V$1001,0),0), INDEX($AC$1004:$AS$1004,1,MATCH(COLUMNS($AC$1006:AG1006),$AC$1006:$AS$1006,0)))),"Fix")))</f>
        <v>0</v>
      </c>
      <c r="G931" s="5">
        <f>IF(OR(INDEX($W$2:$W$1001,MATCH(ROWS($V$2:V931),$V$2:$V$1001,0),1)&gt;=100000,INDEX($AC$1005:$AS$1005,1,MATCH(COLUMNS($AC$1006:AH1006),$AC$1006:$AS$1006,0))&gt;=100000), " ",IF(INDEX($AC$2:$AS$1001,MATCH(ROWS($V$2:V931),$V$2:$V$1001,0),MATCH(COLUMNS($AC$1006:AH1006),$AC$1006:$AS$1006,0)), HYPERLINK("#",""), HYPERLINK(CONCATENATE("#Metadata!", ADDRESS(INDEX($X$2:$X$1001,MATCH(ROWS($V$2:V931),$V$2:$V$1001,0),0), INDEX($AC$1004:$AS$1004,1,MATCH(COLUMNS($AC$1006:AH1006),$AC$1006:$AS$1006,0)))),"Fix")))</f>
        <v>0</v>
      </c>
      <c r="H931" s="5">
        <f>IF(OR(INDEX($W$2:$W$1001,MATCH(ROWS($V$2:V931),$V$2:$V$1001,0),1)&gt;=100000,INDEX($AC$1005:$AS$1005,1,MATCH(COLUMNS($AC$1006:AI1006),$AC$1006:$AS$1006,0))&gt;=100000), " ",IF(INDEX($AC$2:$AS$1001,MATCH(ROWS($V$2:V931),$V$2:$V$1001,0),MATCH(COLUMNS($AC$1006:AI1006),$AC$1006:$AS$1006,0)), HYPERLINK("#",""), HYPERLINK(CONCATENATE("#Metadata!", ADDRESS(INDEX($X$2:$X$1001,MATCH(ROWS($V$2:V931),$V$2:$V$1001,0),0), INDEX($AC$1004:$AS$1004,1,MATCH(COLUMNS($AC$1006:AI1006),$AC$1006:$AS$1006,0)))),"Fix")))</f>
        <v>0</v>
      </c>
      <c r="I931" s="5">
        <f>IF(OR(INDEX($W$2:$W$1001,MATCH(ROWS($V$2:V931),$V$2:$V$1001,0),1)&gt;=100000,INDEX($AC$1005:$AS$1005,1,MATCH(COLUMNS($AC$1006:AJ1006),$AC$1006:$AS$1006,0))&gt;=100000), " ",IF(INDEX($AC$2:$AS$1001,MATCH(ROWS($V$2:V931),$V$2:$V$1001,0),MATCH(COLUMNS($AC$1006:AJ1006),$AC$1006:$AS$1006,0)), HYPERLINK("#",""), HYPERLINK(CONCATENATE("#Metadata!", ADDRESS(INDEX($X$2:$X$1001,MATCH(ROWS($V$2:V931),$V$2:$V$1001,0),0), INDEX($AC$1004:$AS$1004,1,MATCH(COLUMNS($AC$1006:AJ1006),$AC$1006:$AS$1006,0)))),"Fix")))</f>
        <v>0</v>
      </c>
      <c r="J931" s="5">
        <f>IF(OR(INDEX($W$2:$W$1001,MATCH(ROWS($V$2:V931),$V$2:$V$1001,0),1)&gt;=100000,INDEX($AC$1005:$AS$1005,1,MATCH(COLUMNS($AC$1006:AK1006),$AC$1006:$AS$1006,0))&gt;=100000), " ",IF(INDEX($AC$2:$AS$1001,MATCH(ROWS($V$2:V931),$V$2:$V$1001,0),MATCH(COLUMNS($AC$1006:AK1006),$AC$1006:$AS$1006,0)), HYPERLINK("#",""), HYPERLINK(CONCATENATE("#Metadata!", ADDRESS(INDEX($X$2:$X$1001,MATCH(ROWS($V$2:V931),$V$2:$V$1001,0),0), INDEX($AC$1004:$AS$1004,1,MATCH(COLUMNS($AC$1006:AK1006),$AC$1006:$AS$1006,0)))),"Fix")))</f>
        <v>0</v>
      </c>
      <c r="K931" s="5">
        <f>IF(OR(INDEX($W$2:$W$1001,MATCH(ROWS($V$2:V931),$V$2:$V$1001,0),1)&gt;=100000,INDEX($AC$1005:$AS$1005,1,MATCH(COLUMNS($AC$1006:AL1006),$AC$1006:$AS$1006,0))&gt;=100000), " ",IF(INDEX($AC$2:$AS$1001,MATCH(ROWS($V$2:V931),$V$2:$V$1001,0),MATCH(COLUMNS($AC$1006:AL1006),$AC$1006:$AS$1006,0)), HYPERLINK("#",""), HYPERLINK(CONCATENATE("#Metadata!", ADDRESS(INDEX($X$2:$X$1001,MATCH(ROWS($V$2:V931),$V$2:$V$1001,0),0), INDEX($AC$1004:$AS$1004,1,MATCH(COLUMNS($AC$1006:AL1006),$AC$1006:$AS$1006,0)))),"Fix")))</f>
        <v>0</v>
      </c>
      <c r="L931" s="5">
        <f>IF(OR(INDEX($W$2:$W$1001,MATCH(ROWS($V$2:V931),$V$2:$V$1001,0),1)&gt;=100000,INDEX($AC$1005:$AS$1005,1,MATCH(COLUMNS($AC$1006:AM1006),$AC$1006:$AS$1006,0))&gt;=100000), " ",IF(INDEX($AC$2:$AS$1001,MATCH(ROWS($V$2:V931),$V$2:$V$1001,0),MATCH(COLUMNS($AC$1006:AM1006),$AC$1006:$AS$1006,0)), HYPERLINK("#",""), HYPERLINK(CONCATENATE("#Metadata!", ADDRESS(INDEX($X$2:$X$1001,MATCH(ROWS($V$2:V931),$V$2:$V$1001,0),0), INDEX($AC$1004:$AS$1004,1,MATCH(COLUMNS($AC$1006:AM1006),$AC$1006:$AS$1006,0)))),"Fix")))</f>
        <v>0</v>
      </c>
      <c r="M931" s="5">
        <f>IF(OR(INDEX($W$2:$W$1001,MATCH(ROWS($V$2:V931),$V$2:$V$1001,0),1)&gt;=100000,INDEX($AC$1005:$AS$1005,1,MATCH(COLUMNS($AC$1006:AN1006),$AC$1006:$AS$1006,0))&gt;=100000), " ",IF(INDEX($AC$2:$AS$1001,MATCH(ROWS($V$2:V931),$V$2:$V$1001,0),MATCH(COLUMNS($AC$1006:AN1006),$AC$1006:$AS$1006,0)), HYPERLINK("#",""), HYPERLINK(CONCATENATE("#Metadata!", ADDRESS(INDEX($X$2:$X$1001,MATCH(ROWS($V$2:V931),$V$2:$V$1001,0),0), INDEX($AC$1004:$AS$1004,1,MATCH(COLUMNS($AC$1006:AN1006),$AC$1006:$AS$1006,0)))),"Fix")))</f>
        <v>0</v>
      </c>
      <c r="N931" s="5">
        <f>IF(OR(INDEX($W$2:$W$1001,MATCH(ROWS($V$2:V931),$V$2:$V$1001,0),1)&gt;=100000,INDEX($AC$1005:$AS$1005,1,MATCH(COLUMNS($AC$1006:AO1006),$AC$1006:$AS$1006,0))&gt;=100000), " ",IF(INDEX($AC$2:$AS$1001,MATCH(ROWS($V$2:V931),$V$2:$V$1001,0),MATCH(COLUMNS($AC$1006:AO1006),$AC$1006:$AS$1006,0)), HYPERLINK("#",""), HYPERLINK(CONCATENATE("#Metadata!", ADDRESS(INDEX($X$2:$X$1001,MATCH(ROWS($V$2:V931),$V$2:$V$1001,0),0), INDEX($AC$1004:$AS$1004,1,MATCH(COLUMNS($AC$1006:AO1006),$AC$1006:$AS$1006,0)))),"Fix")))</f>
        <v>0</v>
      </c>
      <c r="O931" s="5">
        <f>IF(OR(INDEX($W$2:$W$1001,MATCH(ROWS($V$2:V931),$V$2:$V$1001,0),1)&gt;=100000,INDEX($AC$1005:$AS$1005,1,MATCH(COLUMNS($AC$1006:AP1006),$AC$1006:$AS$1006,0))&gt;=100000), " ",IF(INDEX($AC$2:$AS$1001,MATCH(ROWS($V$2:V931),$V$2:$V$1001,0),MATCH(COLUMNS($AC$1006:AP1006),$AC$1006:$AS$1006,0)), HYPERLINK("#",""), HYPERLINK(CONCATENATE("#Metadata!", ADDRESS(INDEX($X$2:$X$1001,MATCH(ROWS($V$2:V931),$V$2:$V$1001,0),0), INDEX($AC$1004:$AS$1004,1,MATCH(COLUMNS($AC$1006:AP1006),$AC$1006:$AS$1006,0)))),"Fix")))</f>
        <v>0</v>
      </c>
      <c r="P931" s="5">
        <f>IF(OR(INDEX($W$2:$W$1001,MATCH(ROWS($V$2:V931),$V$2:$V$1001,0),1)&gt;=100000,INDEX($AC$1005:$AS$1005,1,MATCH(COLUMNS($AC$1006:AQ1006),$AC$1006:$AS$1006,0))&gt;=100000), " ",IF(INDEX($AC$2:$AS$1001,MATCH(ROWS($V$2:V931),$V$2:$V$1001,0),MATCH(COLUMNS($AC$1006:AQ1006),$AC$1006:$AS$1006,0)), HYPERLINK("#",""), HYPERLINK(CONCATENATE("#Metadata!", ADDRESS(INDEX($X$2:$X$1001,MATCH(ROWS($V$2:V931),$V$2:$V$1001,0),0), INDEX($AC$1004:$AS$1004,1,MATCH(COLUMNS($AC$1006:AQ1006),$AC$1006:$AS$1006,0)))),"Fix")))</f>
        <v>0</v>
      </c>
      <c r="Q931" s="5">
        <f>IF(OR(INDEX($W$2:$W$1001,MATCH(ROWS($V$2:V931),$V$2:$V$1001,0),1)&gt;=100000,INDEX($AC$1005:$AS$1005,1,MATCH(COLUMNS($AC$1006:AR1006),$AC$1006:$AS$1006,0))&gt;=100000), " ",IF(INDEX($AC$2:$AS$1001,MATCH(ROWS($V$2:V931),$V$2:$V$1001,0),MATCH(COLUMNS($AC$1006:AR1006),$AC$1006:$AS$1006,0)), HYPERLINK("#",""), HYPERLINK(CONCATENATE("#Metadata!", ADDRESS(INDEX($X$2:$X$1001,MATCH(ROWS($V$2:V931),$V$2:$V$1001,0),0), INDEX($AC$1004:$AS$1004,1,MATCH(COLUMNS($AC$1006:AR1006),$AC$1006:$AS$1006,0)))),"Fix")))</f>
        <v>0</v>
      </c>
      <c r="R931" s="5">
        <f>IF(OR(INDEX($W$2:$W$1001,MATCH(ROWS($V$2:V931),$V$2:$V$1001,0),1)&gt;=100000,INDEX($AC$1005:$AS$1005,1,MATCH(COLUMNS($AC$1006:AS1006),$AC$1006:$AS$1006,0))&gt;=100000), " ",IF(INDEX($AC$2:$AS$1001,MATCH(ROWS($V$2:V931),$V$2:$V$1001,0),MATCH(COLUMNS($AC$1006:AS1006),$AC$1006:$AS$1006,0)), HYPERLINK("#",""), HYPERLINK(CONCATENATE("#Metadata!", ADDRESS(INDEX($X$2:$X$1001,MATCH(ROWS($V$2:V931),$V$2:$V$1001,0),0), INDEX($AC$1004:$AS$1004,1,MATCH(COLUMNS($AC$1006:AS1006),$AC$1006:$AS$1006,0)))),"Fix")))</f>
        <v>0</v>
      </c>
      <c r="V931">
        <v>0</v>
      </c>
      <c r="W931">
        <v>0</v>
      </c>
      <c r="X931">
        <v>0</v>
      </c>
      <c r="Y931">
        <f>IF(Z931,TRUE,AND(AC931:AS931))</f>
        <v>0</v>
      </c>
      <c r="Z931">
        <f>COUNTBLANK(Metadata!B931:R931)=COLUMNS(Metadata!B931:R931)</f>
        <v>0</v>
      </c>
      <c r="AA931">
        <v>0</v>
      </c>
      <c r="AC931">
        <f>AND(IF(Metadata!B931="",FALSE,TRUE),COUNTIF(Metadata!B:B, Metadata!B931) = 1,NOT(ISERROR(SUMPRODUCT(SEARCH(MID(Metadata!B931,ROW(INDIRECT("1:"&amp;LEN(Metadata!B931))), 1),"0123456789abcdefghijklmnopqrstuvwxyzABCDEFGHIJKLMNOPQRSTUVWXYZ.")))))</f>
        <v>0</v>
      </c>
      <c r="AD931">
        <f>AND(IF(Metadata!C931="",FALSE,TRUE),exact(Metadata!C931,"Host-associated"))</f>
        <v>0</v>
      </c>
      <c r="AE931">
        <f>AND(IF(Metadata!D931="",FALSE,TRUE),OR(exact(Metadata!D931,"Animal"),exact(Metadata!D931,"Fungus"),exact(Metadata!D931,"Plant")))</f>
        <v>0</v>
      </c>
      <c r="AF931">
        <f>AND(IF(Metadata!E931="",FALSE,TRUE),OR(exact(Metadata!E931,"Plant secretion"),exact(Metadata!E931,"Plant rhizosphere"),exact(Metadata!E931,"Plant surface"),exact(Metadata!E931,"Plant corpus"),exact(Metadata!E931,"Fungus surface"),exact(Metadata!E931,"Fungus corpus"),exact(Metadata!E931,"Animal surface"),exact(Metadata!E931,"Animal proximal gut"),exact(Metadata!E931,"Animal corpus"),exact(Metadata!E931,"Animal distal gut"),exact(Metadata!E931,"Animal secretion")))</f>
        <v>0</v>
      </c>
      <c r="AG931">
        <f>OR(AND(IF(Metadata!F931="",FALSE,TRUE),OR(exact(Metadata!F931,"not collected"),exact(Metadata!F931,"not provided"),exact(Metadata!F931,"restricted access"))),AND(IF(Metadata!F931="",FALSE,TRUE),OR(exact(Metadata!F931,"organism-associated habitat"),exact(Metadata!F931,"plant-associated habitat"),exact(Metadata!F931,"animal-associated habitat"),exact(Metadata!F931,"insecta-associated habitat"),exact(Metadata!F931,"mammalia-associated habitat"),exact(Metadata!F931,"human-associated habitat"),exact(Metadata!F931,"livestock-associated habitat"))))</f>
        <v>0</v>
      </c>
      <c r="AH931">
        <f>AND(IF(Metadata!G931="",FALSE,TRUE),exact(Metadata!G931,"host-associated"))</f>
        <v>0</v>
      </c>
      <c r="AI931">
        <f>OR(AND(IF(Metadata!H931="",FALSE,TRUE),OR(exact(Metadata!H931,"not collected"),exact(Metadata!H931,"not provided"))),AND(IF(Metadata!H931="",FALSE,ISNUMBER(VALUE(Metadata!H931))),Metadata!H931&gt;0))</f>
        <v>0</v>
      </c>
      <c r="AJ931">
        <f>AND(IF(Metadata!I931="",FALSE,TRUE),exact(Metadata!I931,"years"))</f>
        <v>0</v>
      </c>
      <c r="AK931">
        <f>IF(Metadata!J931="",FALSE,TRUE)</f>
        <v>0</v>
      </c>
      <c r="AL931">
        <f>OR(AND(IF(Metadata!K931="",FALSE,TRUE),OR(exact(Metadata!K931,"not collected"),exact(Metadata!K931,"not provided"))),AND(IF(Metadata!K931="",FALSE,ISNUMBER(VALUE(Metadata!K931))),Metadata!K931&gt;0))</f>
        <v>0</v>
      </c>
      <c r="AM931">
        <f>AND(IF(Metadata!L931="",FALSE,TRUE),exact(Metadata!L931,"cm"))</f>
        <v>0</v>
      </c>
      <c r="AN931">
        <f>IF(Metadata!M931="",FALSE,TRUE)</f>
        <v>0</v>
      </c>
      <c r="AO931">
        <f>OR(AND(IF(Metadata!N931="",FALSE,TRUE),OR(exact(Metadata!N931,"not applicable"),exact(Metadata!N931,"not collected"),exact(Metadata!N931,"not provided"))),AND(IF(Metadata!N931="",FALSE,IF(ISERROR(INT(Metadata!N931)),FALSE,INT(Metadata!N931)=Metadata!N931)),Metadata!N931&gt;0))</f>
        <v>0</v>
      </c>
      <c r="AP931">
        <f>OR(AND(IF(Metadata!O931="",FALSE,TRUE),OR(exact(Metadata!O931,"not collected"),exact(Metadata!O931,"not provided"))),AND(IF(Metadata!O931="",FALSE,ISNUMBER(VALUE(Metadata!O931))),Metadata!O931&gt;0))</f>
        <v>0</v>
      </c>
      <c r="AQ931">
        <f>AND(IF(Metadata!P931="",FALSE,TRUE),exact(Metadata!P931,"kg"))</f>
        <v>0</v>
      </c>
      <c r="AR931">
        <f>OR(AND(IF(Metadata!Q931="",FALSE,TRUE),OR(exact(Metadata!Q931,"not applicable"),exact(Metadata!Q931,"not collected"),exact(Metadata!Q931,"not provided"),exact(Metadata!Q931,"restricted access"))),IF(Metadata!Q931="",FALSE,IF(ISERROR(INT(Metadata!Q931)),FALSE,INT(Metadata!Q931)=Metadata!Q931)))</f>
        <v>0</v>
      </c>
      <c r="AS931">
        <f>AND(IF(Metadata!R931="",FALSE,TRUE),exact(Metadata!R931,"Not applicable"))</f>
        <v>0</v>
      </c>
    </row>
    <row r="932" spans="1:45">
      <c r="A932" s="4">
        <f>IF(B932=" "," ",HYPERLINK(CONCATENATE("#metadata!",ADDRESS(INDEX($X$2:$X$1001,MATCH(ROWS($V$2:V932),$V$2:$V$1001,0),0),2)),INDEX($AA$2:$AA$1001,MATCH(ROWS($V$2:V932),$V$2:$V$1001,0),0)))</f>
        <v>0</v>
      </c>
      <c r="B932" s="5">
        <f>IF(OR(INDEX($W$2:$W$1001,MATCH(ROWS($V$2:V932),$V$2:$V$1001,0),1)&gt;=100000,INDEX($AC$1005:$AS$1005,1,MATCH(COLUMNS($AC$1006:AC1006),$AC$1006:$AS$1006,0))&gt;=100000), " ",IF(INDEX($AC$2:$AS$1001,MATCH(ROWS($V$2:V932),$V$2:$V$1001,0),MATCH(COLUMNS($AC$1006:AC1006),$AC$1006:$AS$1006,0)), HYPERLINK("#",""), HYPERLINK(CONCATENATE("#Metadata!", ADDRESS(INDEX($X$2:$X$1001,MATCH(ROWS($V$2:V932),$V$2:$V$1001,0),0), INDEX($AC$1004:$AS$1004,1,MATCH(COLUMNS($AC$1006:AC1006),$AC$1006:$AS$1006,0)))),"Fix")))</f>
        <v>0</v>
      </c>
      <c r="C932" s="5">
        <f>IF(OR(INDEX($W$2:$W$1001,MATCH(ROWS($V$2:V932),$V$2:$V$1001,0),1)&gt;=100000,INDEX($AC$1005:$AS$1005,1,MATCH(COLUMNS($AC$1006:AD1006),$AC$1006:$AS$1006,0))&gt;=100000), " ",IF(INDEX($AC$2:$AS$1001,MATCH(ROWS($V$2:V932),$V$2:$V$1001,0),MATCH(COLUMNS($AC$1006:AD1006),$AC$1006:$AS$1006,0)), HYPERLINK("#",""), HYPERLINK(CONCATENATE("#Metadata!", ADDRESS(INDEX($X$2:$X$1001,MATCH(ROWS($V$2:V932),$V$2:$V$1001,0),0), INDEX($AC$1004:$AS$1004,1,MATCH(COLUMNS($AC$1006:AD1006),$AC$1006:$AS$1006,0)))),"Fix")))</f>
        <v>0</v>
      </c>
      <c r="D932" s="5">
        <f>IF(OR(INDEX($W$2:$W$1001,MATCH(ROWS($V$2:V932),$V$2:$V$1001,0),1)&gt;=100000,INDEX($AC$1005:$AS$1005,1,MATCH(COLUMNS($AC$1006:AE1006),$AC$1006:$AS$1006,0))&gt;=100000), " ",IF(INDEX($AC$2:$AS$1001,MATCH(ROWS($V$2:V932),$V$2:$V$1001,0),MATCH(COLUMNS($AC$1006:AE1006),$AC$1006:$AS$1006,0)), HYPERLINK("#",""), HYPERLINK(CONCATENATE("#Metadata!", ADDRESS(INDEX($X$2:$X$1001,MATCH(ROWS($V$2:V932),$V$2:$V$1001,0),0), INDEX($AC$1004:$AS$1004,1,MATCH(COLUMNS($AC$1006:AE1006),$AC$1006:$AS$1006,0)))),"Fix")))</f>
        <v>0</v>
      </c>
      <c r="E932" s="5">
        <f>IF(OR(INDEX($W$2:$W$1001,MATCH(ROWS($V$2:V932),$V$2:$V$1001,0),1)&gt;=100000,INDEX($AC$1005:$AS$1005,1,MATCH(COLUMNS($AC$1006:AF1006),$AC$1006:$AS$1006,0))&gt;=100000), " ",IF(INDEX($AC$2:$AS$1001,MATCH(ROWS($V$2:V932),$V$2:$V$1001,0),MATCH(COLUMNS($AC$1006:AF1006),$AC$1006:$AS$1006,0)), HYPERLINK("#",""), HYPERLINK(CONCATENATE("#Metadata!", ADDRESS(INDEX($X$2:$X$1001,MATCH(ROWS($V$2:V932),$V$2:$V$1001,0),0), INDEX($AC$1004:$AS$1004,1,MATCH(COLUMNS($AC$1006:AF1006),$AC$1006:$AS$1006,0)))),"Fix")))</f>
        <v>0</v>
      </c>
      <c r="F932" s="5">
        <f>IF(OR(INDEX($W$2:$W$1001,MATCH(ROWS($V$2:V932),$V$2:$V$1001,0),1)&gt;=100000,INDEX($AC$1005:$AS$1005,1,MATCH(COLUMNS($AC$1006:AG1006),$AC$1006:$AS$1006,0))&gt;=100000), " ",IF(INDEX($AC$2:$AS$1001,MATCH(ROWS($V$2:V932),$V$2:$V$1001,0),MATCH(COLUMNS($AC$1006:AG1006),$AC$1006:$AS$1006,0)), HYPERLINK("#",""), HYPERLINK(CONCATENATE("#Metadata!", ADDRESS(INDEX($X$2:$X$1001,MATCH(ROWS($V$2:V932),$V$2:$V$1001,0),0), INDEX($AC$1004:$AS$1004,1,MATCH(COLUMNS($AC$1006:AG1006),$AC$1006:$AS$1006,0)))),"Fix")))</f>
        <v>0</v>
      </c>
      <c r="G932" s="5">
        <f>IF(OR(INDEX($W$2:$W$1001,MATCH(ROWS($V$2:V932),$V$2:$V$1001,0),1)&gt;=100000,INDEX($AC$1005:$AS$1005,1,MATCH(COLUMNS($AC$1006:AH1006),$AC$1006:$AS$1006,0))&gt;=100000), " ",IF(INDEX($AC$2:$AS$1001,MATCH(ROWS($V$2:V932),$V$2:$V$1001,0),MATCH(COLUMNS($AC$1006:AH1006),$AC$1006:$AS$1006,0)), HYPERLINK("#",""), HYPERLINK(CONCATENATE("#Metadata!", ADDRESS(INDEX($X$2:$X$1001,MATCH(ROWS($V$2:V932),$V$2:$V$1001,0),0), INDEX($AC$1004:$AS$1004,1,MATCH(COLUMNS($AC$1006:AH1006),$AC$1006:$AS$1006,0)))),"Fix")))</f>
        <v>0</v>
      </c>
      <c r="H932" s="5">
        <f>IF(OR(INDEX($W$2:$W$1001,MATCH(ROWS($V$2:V932),$V$2:$V$1001,0),1)&gt;=100000,INDEX($AC$1005:$AS$1005,1,MATCH(COLUMNS($AC$1006:AI1006),$AC$1006:$AS$1006,0))&gt;=100000), " ",IF(INDEX($AC$2:$AS$1001,MATCH(ROWS($V$2:V932),$V$2:$V$1001,0),MATCH(COLUMNS($AC$1006:AI1006),$AC$1006:$AS$1006,0)), HYPERLINK("#",""), HYPERLINK(CONCATENATE("#Metadata!", ADDRESS(INDEX($X$2:$X$1001,MATCH(ROWS($V$2:V932),$V$2:$V$1001,0),0), INDEX($AC$1004:$AS$1004,1,MATCH(COLUMNS($AC$1006:AI1006),$AC$1006:$AS$1006,0)))),"Fix")))</f>
        <v>0</v>
      </c>
      <c r="I932" s="5">
        <f>IF(OR(INDEX($W$2:$W$1001,MATCH(ROWS($V$2:V932),$V$2:$V$1001,0),1)&gt;=100000,INDEX($AC$1005:$AS$1005,1,MATCH(COLUMNS($AC$1006:AJ1006),$AC$1006:$AS$1006,0))&gt;=100000), " ",IF(INDEX($AC$2:$AS$1001,MATCH(ROWS($V$2:V932),$V$2:$V$1001,0),MATCH(COLUMNS($AC$1006:AJ1006),$AC$1006:$AS$1006,0)), HYPERLINK("#",""), HYPERLINK(CONCATENATE("#Metadata!", ADDRESS(INDEX($X$2:$X$1001,MATCH(ROWS($V$2:V932),$V$2:$V$1001,0),0), INDEX($AC$1004:$AS$1004,1,MATCH(COLUMNS($AC$1006:AJ1006),$AC$1006:$AS$1006,0)))),"Fix")))</f>
        <v>0</v>
      </c>
      <c r="J932" s="5">
        <f>IF(OR(INDEX($W$2:$W$1001,MATCH(ROWS($V$2:V932),$V$2:$V$1001,0),1)&gt;=100000,INDEX($AC$1005:$AS$1005,1,MATCH(COLUMNS($AC$1006:AK1006),$AC$1006:$AS$1006,0))&gt;=100000), " ",IF(INDEX($AC$2:$AS$1001,MATCH(ROWS($V$2:V932),$V$2:$V$1001,0),MATCH(COLUMNS($AC$1006:AK1006),$AC$1006:$AS$1006,0)), HYPERLINK("#",""), HYPERLINK(CONCATENATE("#Metadata!", ADDRESS(INDEX($X$2:$X$1001,MATCH(ROWS($V$2:V932),$V$2:$V$1001,0),0), INDEX($AC$1004:$AS$1004,1,MATCH(COLUMNS($AC$1006:AK1006),$AC$1006:$AS$1006,0)))),"Fix")))</f>
        <v>0</v>
      </c>
      <c r="K932" s="5">
        <f>IF(OR(INDEX($W$2:$W$1001,MATCH(ROWS($V$2:V932),$V$2:$V$1001,0),1)&gt;=100000,INDEX($AC$1005:$AS$1005,1,MATCH(COLUMNS($AC$1006:AL1006),$AC$1006:$AS$1006,0))&gt;=100000), " ",IF(INDEX($AC$2:$AS$1001,MATCH(ROWS($V$2:V932),$V$2:$V$1001,0),MATCH(COLUMNS($AC$1006:AL1006),$AC$1006:$AS$1006,0)), HYPERLINK("#",""), HYPERLINK(CONCATENATE("#Metadata!", ADDRESS(INDEX($X$2:$X$1001,MATCH(ROWS($V$2:V932),$V$2:$V$1001,0),0), INDEX($AC$1004:$AS$1004,1,MATCH(COLUMNS($AC$1006:AL1006),$AC$1006:$AS$1006,0)))),"Fix")))</f>
        <v>0</v>
      </c>
      <c r="L932" s="5">
        <f>IF(OR(INDEX($W$2:$W$1001,MATCH(ROWS($V$2:V932),$V$2:$V$1001,0),1)&gt;=100000,INDEX($AC$1005:$AS$1005,1,MATCH(COLUMNS($AC$1006:AM1006),$AC$1006:$AS$1006,0))&gt;=100000), " ",IF(INDEX($AC$2:$AS$1001,MATCH(ROWS($V$2:V932),$V$2:$V$1001,0),MATCH(COLUMNS($AC$1006:AM1006),$AC$1006:$AS$1006,0)), HYPERLINK("#",""), HYPERLINK(CONCATENATE("#Metadata!", ADDRESS(INDEX($X$2:$X$1001,MATCH(ROWS($V$2:V932),$V$2:$V$1001,0),0), INDEX($AC$1004:$AS$1004,1,MATCH(COLUMNS($AC$1006:AM1006),$AC$1006:$AS$1006,0)))),"Fix")))</f>
        <v>0</v>
      </c>
      <c r="M932" s="5">
        <f>IF(OR(INDEX($W$2:$W$1001,MATCH(ROWS($V$2:V932),$V$2:$V$1001,0),1)&gt;=100000,INDEX($AC$1005:$AS$1005,1,MATCH(COLUMNS($AC$1006:AN1006),$AC$1006:$AS$1006,0))&gt;=100000), " ",IF(INDEX($AC$2:$AS$1001,MATCH(ROWS($V$2:V932),$V$2:$V$1001,0),MATCH(COLUMNS($AC$1006:AN1006),$AC$1006:$AS$1006,0)), HYPERLINK("#",""), HYPERLINK(CONCATENATE("#Metadata!", ADDRESS(INDEX($X$2:$X$1001,MATCH(ROWS($V$2:V932),$V$2:$V$1001,0),0), INDEX($AC$1004:$AS$1004,1,MATCH(COLUMNS($AC$1006:AN1006),$AC$1006:$AS$1006,0)))),"Fix")))</f>
        <v>0</v>
      </c>
      <c r="N932" s="5">
        <f>IF(OR(INDEX($W$2:$W$1001,MATCH(ROWS($V$2:V932),$V$2:$V$1001,0),1)&gt;=100000,INDEX($AC$1005:$AS$1005,1,MATCH(COLUMNS($AC$1006:AO1006),$AC$1006:$AS$1006,0))&gt;=100000), " ",IF(INDEX($AC$2:$AS$1001,MATCH(ROWS($V$2:V932),$V$2:$V$1001,0),MATCH(COLUMNS($AC$1006:AO1006),$AC$1006:$AS$1006,0)), HYPERLINK("#",""), HYPERLINK(CONCATENATE("#Metadata!", ADDRESS(INDEX($X$2:$X$1001,MATCH(ROWS($V$2:V932),$V$2:$V$1001,0),0), INDEX($AC$1004:$AS$1004,1,MATCH(COLUMNS($AC$1006:AO1006),$AC$1006:$AS$1006,0)))),"Fix")))</f>
        <v>0</v>
      </c>
      <c r="O932" s="5">
        <f>IF(OR(INDEX($W$2:$W$1001,MATCH(ROWS($V$2:V932),$V$2:$V$1001,0),1)&gt;=100000,INDEX($AC$1005:$AS$1005,1,MATCH(COLUMNS($AC$1006:AP1006),$AC$1006:$AS$1006,0))&gt;=100000), " ",IF(INDEX($AC$2:$AS$1001,MATCH(ROWS($V$2:V932),$V$2:$V$1001,0),MATCH(COLUMNS($AC$1006:AP1006),$AC$1006:$AS$1006,0)), HYPERLINK("#",""), HYPERLINK(CONCATENATE("#Metadata!", ADDRESS(INDEX($X$2:$X$1001,MATCH(ROWS($V$2:V932),$V$2:$V$1001,0),0), INDEX($AC$1004:$AS$1004,1,MATCH(COLUMNS($AC$1006:AP1006),$AC$1006:$AS$1006,0)))),"Fix")))</f>
        <v>0</v>
      </c>
      <c r="P932" s="5">
        <f>IF(OR(INDEX($W$2:$W$1001,MATCH(ROWS($V$2:V932),$V$2:$V$1001,0),1)&gt;=100000,INDEX($AC$1005:$AS$1005,1,MATCH(COLUMNS($AC$1006:AQ1006),$AC$1006:$AS$1006,0))&gt;=100000), " ",IF(INDEX($AC$2:$AS$1001,MATCH(ROWS($V$2:V932),$V$2:$V$1001,0),MATCH(COLUMNS($AC$1006:AQ1006),$AC$1006:$AS$1006,0)), HYPERLINK("#",""), HYPERLINK(CONCATENATE("#Metadata!", ADDRESS(INDEX($X$2:$X$1001,MATCH(ROWS($V$2:V932),$V$2:$V$1001,0),0), INDEX($AC$1004:$AS$1004,1,MATCH(COLUMNS($AC$1006:AQ1006),$AC$1006:$AS$1006,0)))),"Fix")))</f>
        <v>0</v>
      </c>
      <c r="Q932" s="5">
        <f>IF(OR(INDEX($W$2:$W$1001,MATCH(ROWS($V$2:V932),$V$2:$V$1001,0),1)&gt;=100000,INDEX($AC$1005:$AS$1005,1,MATCH(COLUMNS($AC$1006:AR1006),$AC$1006:$AS$1006,0))&gt;=100000), " ",IF(INDEX($AC$2:$AS$1001,MATCH(ROWS($V$2:V932),$V$2:$V$1001,0),MATCH(COLUMNS($AC$1006:AR1006),$AC$1006:$AS$1006,0)), HYPERLINK("#",""), HYPERLINK(CONCATENATE("#Metadata!", ADDRESS(INDEX($X$2:$X$1001,MATCH(ROWS($V$2:V932),$V$2:$V$1001,0),0), INDEX($AC$1004:$AS$1004,1,MATCH(COLUMNS($AC$1006:AR1006),$AC$1006:$AS$1006,0)))),"Fix")))</f>
        <v>0</v>
      </c>
      <c r="R932" s="5">
        <f>IF(OR(INDEX($W$2:$W$1001,MATCH(ROWS($V$2:V932),$V$2:$V$1001,0),1)&gt;=100000,INDEX($AC$1005:$AS$1005,1,MATCH(COLUMNS($AC$1006:AS1006),$AC$1006:$AS$1006,0))&gt;=100000), " ",IF(INDEX($AC$2:$AS$1001,MATCH(ROWS($V$2:V932),$V$2:$V$1001,0),MATCH(COLUMNS($AC$1006:AS1006),$AC$1006:$AS$1006,0)), HYPERLINK("#",""), HYPERLINK(CONCATENATE("#Metadata!", ADDRESS(INDEX($X$2:$X$1001,MATCH(ROWS($V$2:V932),$V$2:$V$1001,0),0), INDEX($AC$1004:$AS$1004,1,MATCH(COLUMNS($AC$1006:AS1006),$AC$1006:$AS$1006,0)))),"Fix")))</f>
        <v>0</v>
      </c>
      <c r="V932">
        <v>0</v>
      </c>
      <c r="W932">
        <v>0</v>
      </c>
      <c r="X932">
        <v>0</v>
      </c>
      <c r="Y932">
        <f>IF(Z932,TRUE,AND(AC932:AS932))</f>
        <v>0</v>
      </c>
      <c r="Z932">
        <f>COUNTBLANK(Metadata!B932:R932)=COLUMNS(Metadata!B932:R932)</f>
        <v>0</v>
      </c>
      <c r="AA932">
        <v>0</v>
      </c>
      <c r="AC932">
        <f>AND(IF(Metadata!B932="",FALSE,TRUE),COUNTIF(Metadata!B:B, Metadata!B932) = 1,NOT(ISERROR(SUMPRODUCT(SEARCH(MID(Metadata!B932,ROW(INDIRECT("1:"&amp;LEN(Metadata!B932))), 1),"0123456789abcdefghijklmnopqrstuvwxyzABCDEFGHIJKLMNOPQRSTUVWXYZ.")))))</f>
        <v>0</v>
      </c>
      <c r="AD932">
        <f>AND(IF(Metadata!C932="",FALSE,TRUE),exact(Metadata!C932,"Host-associated"))</f>
        <v>0</v>
      </c>
      <c r="AE932">
        <f>AND(IF(Metadata!D932="",FALSE,TRUE),OR(exact(Metadata!D932,"Animal"),exact(Metadata!D932,"Fungus"),exact(Metadata!D932,"Plant")))</f>
        <v>0</v>
      </c>
      <c r="AF932">
        <f>AND(IF(Metadata!E932="",FALSE,TRUE),OR(exact(Metadata!E932,"Plant secretion"),exact(Metadata!E932,"Plant rhizosphere"),exact(Metadata!E932,"Plant surface"),exact(Metadata!E932,"Plant corpus"),exact(Metadata!E932,"Fungus surface"),exact(Metadata!E932,"Fungus corpus"),exact(Metadata!E932,"Animal surface"),exact(Metadata!E932,"Animal proximal gut"),exact(Metadata!E932,"Animal corpus"),exact(Metadata!E932,"Animal distal gut"),exact(Metadata!E932,"Animal secretion")))</f>
        <v>0</v>
      </c>
      <c r="AG932">
        <f>OR(AND(IF(Metadata!F932="",FALSE,TRUE),OR(exact(Metadata!F932,"not collected"),exact(Metadata!F932,"not provided"),exact(Metadata!F932,"restricted access"))),AND(IF(Metadata!F932="",FALSE,TRUE),OR(exact(Metadata!F932,"organism-associated habitat"),exact(Metadata!F932,"plant-associated habitat"),exact(Metadata!F932,"animal-associated habitat"),exact(Metadata!F932,"insecta-associated habitat"),exact(Metadata!F932,"mammalia-associated habitat"),exact(Metadata!F932,"human-associated habitat"),exact(Metadata!F932,"livestock-associated habitat"))))</f>
        <v>0</v>
      </c>
      <c r="AH932">
        <f>AND(IF(Metadata!G932="",FALSE,TRUE),exact(Metadata!G932,"host-associated"))</f>
        <v>0</v>
      </c>
      <c r="AI932">
        <f>OR(AND(IF(Metadata!H932="",FALSE,TRUE),OR(exact(Metadata!H932,"not collected"),exact(Metadata!H932,"not provided"))),AND(IF(Metadata!H932="",FALSE,ISNUMBER(VALUE(Metadata!H932))),Metadata!H932&gt;0))</f>
        <v>0</v>
      </c>
      <c r="AJ932">
        <f>AND(IF(Metadata!I932="",FALSE,TRUE),exact(Metadata!I932,"years"))</f>
        <v>0</v>
      </c>
      <c r="AK932">
        <f>IF(Metadata!J932="",FALSE,TRUE)</f>
        <v>0</v>
      </c>
      <c r="AL932">
        <f>OR(AND(IF(Metadata!K932="",FALSE,TRUE),OR(exact(Metadata!K932,"not collected"),exact(Metadata!K932,"not provided"))),AND(IF(Metadata!K932="",FALSE,ISNUMBER(VALUE(Metadata!K932))),Metadata!K932&gt;0))</f>
        <v>0</v>
      </c>
      <c r="AM932">
        <f>AND(IF(Metadata!L932="",FALSE,TRUE),exact(Metadata!L932,"cm"))</f>
        <v>0</v>
      </c>
      <c r="AN932">
        <f>IF(Metadata!M932="",FALSE,TRUE)</f>
        <v>0</v>
      </c>
      <c r="AO932">
        <f>OR(AND(IF(Metadata!N932="",FALSE,TRUE),OR(exact(Metadata!N932,"not applicable"),exact(Metadata!N932,"not collected"),exact(Metadata!N932,"not provided"))),AND(IF(Metadata!N932="",FALSE,IF(ISERROR(INT(Metadata!N932)),FALSE,INT(Metadata!N932)=Metadata!N932)),Metadata!N932&gt;0))</f>
        <v>0</v>
      </c>
      <c r="AP932">
        <f>OR(AND(IF(Metadata!O932="",FALSE,TRUE),OR(exact(Metadata!O932,"not collected"),exact(Metadata!O932,"not provided"))),AND(IF(Metadata!O932="",FALSE,ISNUMBER(VALUE(Metadata!O932))),Metadata!O932&gt;0))</f>
        <v>0</v>
      </c>
      <c r="AQ932">
        <f>AND(IF(Metadata!P932="",FALSE,TRUE),exact(Metadata!P932,"kg"))</f>
        <v>0</v>
      </c>
      <c r="AR932">
        <f>OR(AND(IF(Metadata!Q932="",FALSE,TRUE),OR(exact(Metadata!Q932,"not applicable"),exact(Metadata!Q932,"not collected"),exact(Metadata!Q932,"not provided"),exact(Metadata!Q932,"restricted access"))),IF(Metadata!Q932="",FALSE,IF(ISERROR(INT(Metadata!Q932)),FALSE,INT(Metadata!Q932)=Metadata!Q932)))</f>
        <v>0</v>
      </c>
      <c r="AS932">
        <f>AND(IF(Metadata!R932="",FALSE,TRUE),exact(Metadata!R932,"Not applicable"))</f>
        <v>0</v>
      </c>
    </row>
    <row r="933" spans="1:45">
      <c r="A933" s="4">
        <f>IF(B933=" "," ",HYPERLINK(CONCATENATE("#metadata!",ADDRESS(INDEX($X$2:$X$1001,MATCH(ROWS($V$2:V933),$V$2:$V$1001,0),0),2)),INDEX($AA$2:$AA$1001,MATCH(ROWS($V$2:V933),$V$2:$V$1001,0),0)))</f>
        <v>0</v>
      </c>
      <c r="B933" s="5">
        <f>IF(OR(INDEX($W$2:$W$1001,MATCH(ROWS($V$2:V933),$V$2:$V$1001,0),1)&gt;=100000,INDEX($AC$1005:$AS$1005,1,MATCH(COLUMNS($AC$1006:AC1006),$AC$1006:$AS$1006,0))&gt;=100000), " ",IF(INDEX($AC$2:$AS$1001,MATCH(ROWS($V$2:V933),$V$2:$V$1001,0),MATCH(COLUMNS($AC$1006:AC1006),$AC$1006:$AS$1006,0)), HYPERLINK("#",""), HYPERLINK(CONCATENATE("#Metadata!", ADDRESS(INDEX($X$2:$X$1001,MATCH(ROWS($V$2:V933),$V$2:$V$1001,0),0), INDEX($AC$1004:$AS$1004,1,MATCH(COLUMNS($AC$1006:AC1006),$AC$1006:$AS$1006,0)))),"Fix")))</f>
        <v>0</v>
      </c>
      <c r="C933" s="5">
        <f>IF(OR(INDEX($W$2:$W$1001,MATCH(ROWS($V$2:V933),$V$2:$V$1001,0),1)&gt;=100000,INDEX($AC$1005:$AS$1005,1,MATCH(COLUMNS($AC$1006:AD1006),$AC$1006:$AS$1006,0))&gt;=100000), " ",IF(INDEX($AC$2:$AS$1001,MATCH(ROWS($V$2:V933),$V$2:$V$1001,0),MATCH(COLUMNS($AC$1006:AD1006),$AC$1006:$AS$1006,0)), HYPERLINK("#",""), HYPERLINK(CONCATENATE("#Metadata!", ADDRESS(INDEX($X$2:$X$1001,MATCH(ROWS($V$2:V933),$V$2:$V$1001,0),0), INDEX($AC$1004:$AS$1004,1,MATCH(COLUMNS($AC$1006:AD1006),$AC$1006:$AS$1006,0)))),"Fix")))</f>
        <v>0</v>
      </c>
      <c r="D933" s="5">
        <f>IF(OR(INDEX($W$2:$W$1001,MATCH(ROWS($V$2:V933),$V$2:$V$1001,0),1)&gt;=100000,INDEX($AC$1005:$AS$1005,1,MATCH(COLUMNS($AC$1006:AE1006),$AC$1006:$AS$1006,0))&gt;=100000), " ",IF(INDEX($AC$2:$AS$1001,MATCH(ROWS($V$2:V933),$V$2:$V$1001,0),MATCH(COLUMNS($AC$1006:AE1006),$AC$1006:$AS$1006,0)), HYPERLINK("#",""), HYPERLINK(CONCATENATE("#Metadata!", ADDRESS(INDEX($X$2:$X$1001,MATCH(ROWS($V$2:V933),$V$2:$V$1001,0),0), INDEX($AC$1004:$AS$1004,1,MATCH(COLUMNS($AC$1006:AE1006),$AC$1006:$AS$1006,0)))),"Fix")))</f>
        <v>0</v>
      </c>
      <c r="E933" s="5">
        <f>IF(OR(INDEX($W$2:$W$1001,MATCH(ROWS($V$2:V933),$V$2:$V$1001,0),1)&gt;=100000,INDEX($AC$1005:$AS$1005,1,MATCH(COLUMNS($AC$1006:AF1006),$AC$1006:$AS$1006,0))&gt;=100000), " ",IF(INDEX($AC$2:$AS$1001,MATCH(ROWS($V$2:V933),$V$2:$V$1001,0),MATCH(COLUMNS($AC$1006:AF1006),$AC$1006:$AS$1006,0)), HYPERLINK("#",""), HYPERLINK(CONCATENATE("#Metadata!", ADDRESS(INDEX($X$2:$X$1001,MATCH(ROWS($V$2:V933),$V$2:$V$1001,0),0), INDEX($AC$1004:$AS$1004,1,MATCH(COLUMNS($AC$1006:AF1006),$AC$1006:$AS$1006,0)))),"Fix")))</f>
        <v>0</v>
      </c>
      <c r="F933" s="5">
        <f>IF(OR(INDEX($W$2:$W$1001,MATCH(ROWS($V$2:V933),$V$2:$V$1001,0),1)&gt;=100000,INDEX($AC$1005:$AS$1005,1,MATCH(COLUMNS($AC$1006:AG1006),$AC$1006:$AS$1006,0))&gt;=100000), " ",IF(INDEX($AC$2:$AS$1001,MATCH(ROWS($V$2:V933),$V$2:$V$1001,0),MATCH(COLUMNS($AC$1006:AG1006),$AC$1006:$AS$1006,0)), HYPERLINK("#",""), HYPERLINK(CONCATENATE("#Metadata!", ADDRESS(INDEX($X$2:$X$1001,MATCH(ROWS($V$2:V933),$V$2:$V$1001,0),0), INDEX($AC$1004:$AS$1004,1,MATCH(COLUMNS($AC$1006:AG1006),$AC$1006:$AS$1006,0)))),"Fix")))</f>
        <v>0</v>
      </c>
      <c r="G933" s="5">
        <f>IF(OR(INDEX($W$2:$W$1001,MATCH(ROWS($V$2:V933),$V$2:$V$1001,0),1)&gt;=100000,INDEX($AC$1005:$AS$1005,1,MATCH(COLUMNS($AC$1006:AH1006),$AC$1006:$AS$1006,0))&gt;=100000), " ",IF(INDEX($AC$2:$AS$1001,MATCH(ROWS($V$2:V933),$V$2:$V$1001,0),MATCH(COLUMNS($AC$1006:AH1006),$AC$1006:$AS$1006,0)), HYPERLINK("#",""), HYPERLINK(CONCATENATE("#Metadata!", ADDRESS(INDEX($X$2:$X$1001,MATCH(ROWS($V$2:V933),$V$2:$V$1001,0),0), INDEX($AC$1004:$AS$1004,1,MATCH(COLUMNS($AC$1006:AH1006),$AC$1006:$AS$1006,0)))),"Fix")))</f>
        <v>0</v>
      </c>
      <c r="H933" s="5">
        <f>IF(OR(INDEX($W$2:$W$1001,MATCH(ROWS($V$2:V933),$V$2:$V$1001,0),1)&gt;=100000,INDEX($AC$1005:$AS$1005,1,MATCH(COLUMNS($AC$1006:AI1006),$AC$1006:$AS$1006,0))&gt;=100000), " ",IF(INDEX($AC$2:$AS$1001,MATCH(ROWS($V$2:V933),$V$2:$V$1001,0),MATCH(COLUMNS($AC$1006:AI1006),$AC$1006:$AS$1006,0)), HYPERLINK("#",""), HYPERLINK(CONCATENATE("#Metadata!", ADDRESS(INDEX($X$2:$X$1001,MATCH(ROWS($V$2:V933),$V$2:$V$1001,0),0), INDEX($AC$1004:$AS$1004,1,MATCH(COLUMNS($AC$1006:AI1006),$AC$1006:$AS$1006,0)))),"Fix")))</f>
        <v>0</v>
      </c>
      <c r="I933" s="5">
        <f>IF(OR(INDEX($W$2:$W$1001,MATCH(ROWS($V$2:V933),$V$2:$V$1001,0),1)&gt;=100000,INDEX($AC$1005:$AS$1005,1,MATCH(COLUMNS($AC$1006:AJ1006),$AC$1006:$AS$1006,0))&gt;=100000), " ",IF(INDEX($AC$2:$AS$1001,MATCH(ROWS($V$2:V933),$V$2:$V$1001,0),MATCH(COLUMNS($AC$1006:AJ1006),$AC$1006:$AS$1006,0)), HYPERLINK("#",""), HYPERLINK(CONCATENATE("#Metadata!", ADDRESS(INDEX($X$2:$X$1001,MATCH(ROWS($V$2:V933),$V$2:$V$1001,0),0), INDEX($AC$1004:$AS$1004,1,MATCH(COLUMNS($AC$1006:AJ1006),$AC$1006:$AS$1006,0)))),"Fix")))</f>
        <v>0</v>
      </c>
      <c r="J933" s="5">
        <f>IF(OR(INDEX($W$2:$W$1001,MATCH(ROWS($V$2:V933),$V$2:$V$1001,0),1)&gt;=100000,INDEX($AC$1005:$AS$1005,1,MATCH(COLUMNS($AC$1006:AK1006),$AC$1006:$AS$1006,0))&gt;=100000), " ",IF(INDEX($AC$2:$AS$1001,MATCH(ROWS($V$2:V933),$V$2:$V$1001,0),MATCH(COLUMNS($AC$1006:AK1006),$AC$1006:$AS$1006,0)), HYPERLINK("#",""), HYPERLINK(CONCATENATE("#Metadata!", ADDRESS(INDEX($X$2:$X$1001,MATCH(ROWS($V$2:V933),$V$2:$V$1001,0),0), INDEX($AC$1004:$AS$1004,1,MATCH(COLUMNS($AC$1006:AK1006),$AC$1006:$AS$1006,0)))),"Fix")))</f>
        <v>0</v>
      </c>
      <c r="K933" s="5">
        <f>IF(OR(INDEX($W$2:$W$1001,MATCH(ROWS($V$2:V933),$V$2:$V$1001,0),1)&gt;=100000,INDEX($AC$1005:$AS$1005,1,MATCH(COLUMNS($AC$1006:AL1006),$AC$1006:$AS$1006,0))&gt;=100000), " ",IF(INDEX($AC$2:$AS$1001,MATCH(ROWS($V$2:V933),$V$2:$V$1001,0),MATCH(COLUMNS($AC$1006:AL1006),$AC$1006:$AS$1006,0)), HYPERLINK("#",""), HYPERLINK(CONCATENATE("#Metadata!", ADDRESS(INDEX($X$2:$X$1001,MATCH(ROWS($V$2:V933),$V$2:$V$1001,0),0), INDEX($AC$1004:$AS$1004,1,MATCH(COLUMNS($AC$1006:AL1006),$AC$1006:$AS$1006,0)))),"Fix")))</f>
        <v>0</v>
      </c>
      <c r="L933" s="5">
        <f>IF(OR(INDEX($W$2:$W$1001,MATCH(ROWS($V$2:V933),$V$2:$V$1001,0),1)&gt;=100000,INDEX($AC$1005:$AS$1005,1,MATCH(COLUMNS($AC$1006:AM1006),$AC$1006:$AS$1006,0))&gt;=100000), " ",IF(INDEX($AC$2:$AS$1001,MATCH(ROWS($V$2:V933),$V$2:$V$1001,0),MATCH(COLUMNS($AC$1006:AM1006),$AC$1006:$AS$1006,0)), HYPERLINK("#",""), HYPERLINK(CONCATENATE("#Metadata!", ADDRESS(INDEX($X$2:$X$1001,MATCH(ROWS($V$2:V933),$V$2:$V$1001,0),0), INDEX($AC$1004:$AS$1004,1,MATCH(COLUMNS($AC$1006:AM1006),$AC$1006:$AS$1006,0)))),"Fix")))</f>
        <v>0</v>
      </c>
      <c r="M933" s="5">
        <f>IF(OR(INDEX($W$2:$W$1001,MATCH(ROWS($V$2:V933),$V$2:$V$1001,0),1)&gt;=100000,INDEX($AC$1005:$AS$1005,1,MATCH(COLUMNS($AC$1006:AN1006),$AC$1006:$AS$1006,0))&gt;=100000), " ",IF(INDEX($AC$2:$AS$1001,MATCH(ROWS($V$2:V933),$V$2:$V$1001,0),MATCH(COLUMNS($AC$1006:AN1006),$AC$1006:$AS$1006,0)), HYPERLINK("#",""), HYPERLINK(CONCATENATE("#Metadata!", ADDRESS(INDEX($X$2:$X$1001,MATCH(ROWS($V$2:V933),$V$2:$V$1001,0),0), INDEX($AC$1004:$AS$1004,1,MATCH(COLUMNS($AC$1006:AN1006),$AC$1006:$AS$1006,0)))),"Fix")))</f>
        <v>0</v>
      </c>
      <c r="N933" s="5">
        <f>IF(OR(INDEX($W$2:$W$1001,MATCH(ROWS($V$2:V933),$V$2:$V$1001,0),1)&gt;=100000,INDEX($AC$1005:$AS$1005,1,MATCH(COLUMNS($AC$1006:AO1006),$AC$1006:$AS$1006,0))&gt;=100000), " ",IF(INDEX($AC$2:$AS$1001,MATCH(ROWS($V$2:V933),$V$2:$V$1001,0),MATCH(COLUMNS($AC$1006:AO1006),$AC$1006:$AS$1006,0)), HYPERLINK("#",""), HYPERLINK(CONCATENATE("#Metadata!", ADDRESS(INDEX($X$2:$X$1001,MATCH(ROWS($V$2:V933),$V$2:$V$1001,0),0), INDEX($AC$1004:$AS$1004,1,MATCH(COLUMNS($AC$1006:AO1006),$AC$1006:$AS$1006,0)))),"Fix")))</f>
        <v>0</v>
      </c>
      <c r="O933" s="5">
        <f>IF(OR(INDEX($W$2:$W$1001,MATCH(ROWS($V$2:V933),$V$2:$V$1001,0),1)&gt;=100000,INDEX($AC$1005:$AS$1005,1,MATCH(COLUMNS($AC$1006:AP1006),$AC$1006:$AS$1006,0))&gt;=100000), " ",IF(INDEX($AC$2:$AS$1001,MATCH(ROWS($V$2:V933),$V$2:$V$1001,0),MATCH(COLUMNS($AC$1006:AP1006),$AC$1006:$AS$1006,0)), HYPERLINK("#",""), HYPERLINK(CONCATENATE("#Metadata!", ADDRESS(INDEX($X$2:$X$1001,MATCH(ROWS($V$2:V933),$V$2:$V$1001,0),0), INDEX($AC$1004:$AS$1004,1,MATCH(COLUMNS($AC$1006:AP1006),$AC$1006:$AS$1006,0)))),"Fix")))</f>
        <v>0</v>
      </c>
      <c r="P933" s="5">
        <f>IF(OR(INDEX($W$2:$W$1001,MATCH(ROWS($V$2:V933),$V$2:$V$1001,0),1)&gt;=100000,INDEX($AC$1005:$AS$1005,1,MATCH(COLUMNS($AC$1006:AQ1006),$AC$1006:$AS$1006,0))&gt;=100000), " ",IF(INDEX($AC$2:$AS$1001,MATCH(ROWS($V$2:V933),$V$2:$V$1001,0),MATCH(COLUMNS($AC$1006:AQ1006),$AC$1006:$AS$1006,0)), HYPERLINK("#",""), HYPERLINK(CONCATENATE("#Metadata!", ADDRESS(INDEX($X$2:$X$1001,MATCH(ROWS($V$2:V933),$V$2:$V$1001,0),0), INDEX($AC$1004:$AS$1004,1,MATCH(COLUMNS($AC$1006:AQ1006),$AC$1006:$AS$1006,0)))),"Fix")))</f>
        <v>0</v>
      </c>
      <c r="Q933" s="5">
        <f>IF(OR(INDEX($W$2:$W$1001,MATCH(ROWS($V$2:V933),$V$2:$V$1001,0),1)&gt;=100000,INDEX($AC$1005:$AS$1005,1,MATCH(COLUMNS($AC$1006:AR1006),$AC$1006:$AS$1006,0))&gt;=100000), " ",IF(INDEX($AC$2:$AS$1001,MATCH(ROWS($V$2:V933),$V$2:$V$1001,0),MATCH(COLUMNS($AC$1006:AR1006),$AC$1006:$AS$1006,0)), HYPERLINK("#",""), HYPERLINK(CONCATENATE("#Metadata!", ADDRESS(INDEX($X$2:$X$1001,MATCH(ROWS($V$2:V933),$V$2:$V$1001,0),0), INDEX($AC$1004:$AS$1004,1,MATCH(COLUMNS($AC$1006:AR1006),$AC$1006:$AS$1006,0)))),"Fix")))</f>
        <v>0</v>
      </c>
      <c r="R933" s="5">
        <f>IF(OR(INDEX($W$2:$W$1001,MATCH(ROWS($V$2:V933),$V$2:$V$1001,0),1)&gt;=100000,INDEX($AC$1005:$AS$1005,1,MATCH(COLUMNS($AC$1006:AS1006),$AC$1006:$AS$1006,0))&gt;=100000), " ",IF(INDEX($AC$2:$AS$1001,MATCH(ROWS($V$2:V933),$V$2:$V$1001,0),MATCH(COLUMNS($AC$1006:AS1006),$AC$1006:$AS$1006,0)), HYPERLINK("#",""), HYPERLINK(CONCATENATE("#Metadata!", ADDRESS(INDEX($X$2:$X$1001,MATCH(ROWS($V$2:V933),$V$2:$V$1001,0),0), INDEX($AC$1004:$AS$1004,1,MATCH(COLUMNS($AC$1006:AS1006),$AC$1006:$AS$1006,0)))),"Fix")))</f>
        <v>0</v>
      </c>
      <c r="V933">
        <v>0</v>
      </c>
      <c r="W933">
        <v>0</v>
      </c>
      <c r="X933">
        <v>0</v>
      </c>
      <c r="Y933">
        <f>IF(Z933,TRUE,AND(AC933:AS933))</f>
        <v>0</v>
      </c>
      <c r="Z933">
        <f>COUNTBLANK(Metadata!B933:R933)=COLUMNS(Metadata!B933:R933)</f>
        <v>0</v>
      </c>
      <c r="AA933">
        <v>0</v>
      </c>
      <c r="AC933">
        <f>AND(IF(Metadata!B933="",FALSE,TRUE),COUNTIF(Metadata!B:B, Metadata!B933) = 1,NOT(ISERROR(SUMPRODUCT(SEARCH(MID(Metadata!B933,ROW(INDIRECT("1:"&amp;LEN(Metadata!B933))), 1),"0123456789abcdefghijklmnopqrstuvwxyzABCDEFGHIJKLMNOPQRSTUVWXYZ.")))))</f>
        <v>0</v>
      </c>
      <c r="AD933">
        <f>AND(IF(Metadata!C933="",FALSE,TRUE),exact(Metadata!C933,"Host-associated"))</f>
        <v>0</v>
      </c>
      <c r="AE933">
        <f>AND(IF(Metadata!D933="",FALSE,TRUE),OR(exact(Metadata!D933,"Animal"),exact(Metadata!D933,"Fungus"),exact(Metadata!D933,"Plant")))</f>
        <v>0</v>
      </c>
      <c r="AF933">
        <f>AND(IF(Metadata!E933="",FALSE,TRUE),OR(exact(Metadata!E933,"Plant secretion"),exact(Metadata!E933,"Plant rhizosphere"),exact(Metadata!E933,"Plant surface"),exact(Metadata!E933,"Plant corpus"),exact(Metadata!E933,"Fungus surface"),exact(Metadata!E933,"Fungus corpus"),exact(Metadata!E933,"Animal surface"),exact(Metadata!E933,"Animal proximal gut"),exact(Metadata!E933,"Animal corpus"),exact(Metadata!E933,"Animal distal gut"),exact(Metadata!E933,"Animal secretion")))</f>
        <v>0</v>
      </c>
      <c r="AG933">
        <f>OR(AND(IF(Metadata!F933="",FALSE,TRUE),OR(exact(Metadata!F933,"not collected"),exact(Metadata!F933,"not provided"),exact(Metadata!F933,"restricted access"))),AND(IF(Metadata!F933="",FALSE,TRUE),OR(exact(Metadata!F933,"organism-associated habitat"),exact(Metadata!F933,"plant-associated habitat"),exact(Metadata!F933,"animal-associated habitat"),exact(Metadata!F933,"insecta-associated habitat"),exact(Metadata!F933,"mammalia-associated habitat"),exact(Metadata!F933,"human-associated habitat"),exact(Metadata!F933,"livestock-associated habitat"))))</f>
        <v>0</v>
      </c>
      <c r="AH933">
        <f>AND(IF(Metadata!G933="",FALSE,TRUE),exact(Metadata!G933,"host-associated"))</f>
        <v>0</v>
      </c>
      <c r="AI933">
        <f>OR(AND(IF(Metadata!H933="",FALSE,TRUE),OR(exact(Metadata!H933,"not collected"),exact(Metadata!H933,"not provided"))),AND(IF(Metadata!H933="",FALSE,ISNUMBER(VALUE(Metadata!H933))),Metadata!H933&gt;0))</f>
        <v>0</v>
      </c>
      <c r="AJ933">
        <f>AND(IF(Metadata!I933="",FALSE,TRUE),exact(Metadata!I933,"years"))</f>
        <v>0</v>
      </c>
      <c r="AK933">
        <f>IF(Metadata!J933="",FALSE,TRUE)</f>
        <v>0</v>
      </c>
      <c r="AL933">
        <f>OR(AND(IF(Metadata!K933="",FALSE,TRUE),OR(exact(Metadata!K933,"not collected"),exact(Metadata!K933,"not provided"))),AND(IF(Metadata!K933="",FALSE,ISNUMBER(VALUE(Metadata!K933))),Metadata!K933&gt;0))</f>
        <v>0</v>
      </c>
      <c r="AM933">
        <f>AND(IF(Metadata!L933="",FALSE,TRUE),exact(Metadata!L933,"cm"))</f>
        <v>0</v>
      </c>
      <c r="AN933">
        <f>IF(Metadata!M933="",FALSE,TRUE)</f>
        <v>0</v>
      </c>
      <c r="AO933">
        <f>OR(AND(IF(Metadata!N933="",FALSE,TRUE),OR(exact(Metadata!N933,"not applicable"),exact(Metadata!N933,"not collected"),exact(Metadata!N933,"not provided"))),AND(IF(Metadata!N933="",FALSE,IF(ISERROR(INT(Metadata!N933)),FALSE,INT(Metadata!N933)=Metadata!N933)),Metadata!N933&gt;0))</f>
        <v>0</v>
      </c>
      <c r="AP933">
        <f>OR(AND(IF(Metadata!O933="",FALSE,TRUE),OR(exact(Metadata!O933,"not collected"),exact(Metadata!O933,"not provided"))),AND(IF(Metadata!O933="",FALSE,ISNUMBER(VALUE(Metadata!O933))),Metadata!O933&gt;0))</f>
        <v>0</v>
      </c>
      <c r="AQ933">
        <f>AND(IF(Metadata!P933="",FALSE,TRUE),exact(Metadata!P933,"kg"))</f>
        <v>0</v>
      </c>
      <c r="AR933">
        <f>OR(AND(IF(Metadata!Q933="",FALSE,TRUE),OR(exact(Metadata!Q933,"not applicable"),exact(Metadata!Q933,"not collected"),exact(Metadata!Q933,"not provided"),exact(Metadata!Q933,"restricted access"))),IF(Metadata!Q933="",FALSE,IF(ISERROR(INT(Metadata!Q933)),FALSE,INT(Metadata!Q933)=Metadata!Q933)))</f>
        <v>0</v>
      </c>
      <c r="AS933">
        <f>AND(IF(Metadata!R933="",FALSE,TRUE),exact(Metadata!R933,"Not applicable"))</f>
        <v>0</v>
      </c>
    </row>
    <row r="934" spans="1:45">
      <c r="A934" s="4">
        <f>IF(B934=" "," ",HYPERLINK(CONCATENATE("#metadata!",ADDRESS(INDEX($X$2:$X$1001,MATCH(ROWS($V$2:V934),$V$2:$V$1001,0),0),2)),INDEX($AA$2:$AA$1001,MATCH(ROWS($V$2:V934),$V$2:$V$1001,0),0)))</f>
        <v>0</v>
      </c>
      <c r="B934" s="5">
        <f>IF(OR(INDEX($W$2:$W$1001,MATCH(ROWS($V$2:V934),$V$2:$V$1001,0),1)&gt;=100000,INDEX($AC$1005:$AS$1005,1,MATCH(COLUMNS($AC$1006:AC1006),$AC$1006:$AS$1006,0))&gt;=100000), " ",IF(INDEX($AC$2:$AS$1001,MATCH(ROWS($V$2:V934),$V$2:$V$1001,0),MATCH(COLUMNS($AC$1006:AC1006),$AC$1006:$AS$1006,0)), HYPERLINK("#",""), HYPERLINK(CONCATENATE("#Metadata!", ADDRESS(INDEX($X$2:$X$1001,MATCH(ROWS($V$2:V934),$V$2:$V$1001,0),0), INDEX($AC$1004:$AS$1004,1,MATCH(COLUMNS($AC$1006:AC1006),$AC$1006:$AS$1006,0)))),"Fix")))</f>
        <v>0</v>
      </c>
      <c r="C934" s="5">
        <f>IF(OR(INDEX($W$2:$W$1001,MATCH(ROWS($V$2:V934),$V$2:$V$1001,0),1)&gt;=100000,INDEX($AC$1005:$AS$1005,1,MATCH(COLUMNS($AC$1006:AD1006),$AC$1006:$AS$1006,0))&gt;=100000), " ",IF(INDEX($AC$2:$AS$1001,MATCH(ROWS($V$2:V934),$V$2:$V$1001,0),MATCH(COLUMNS($AC$1006:AD1006),$AC$1006:$AS$1006,0)), HYPERLINK("#",""), HYPERLINK(CONCATENATE("#Metadata!", ADDRESS(INDEX($X$2:$X$1001,MATCH(ROWS($V$2:V934),$V$2:$V$1001,0),0), INDEX($AC$1004:$AS$1004,1,MATCH(COLUMNS($AC$1006:AD1006),$AC$1006:$AS$1006,0)))),"Fix")))</f>
        <v>0</v>
      </c>
      <c r="D934" s="5">
        <f>IF(OR(INDEX($W$2:$W$1001,MATCH(ROWS($V$2:V934),$V$2:$V$1001,0),1)&gt;=100000,INDEX($AC$1005:$AS$1005,1,MATCH(COLUMNS($AC$1006:AE1006),$AC$1006:$AS$1006,0))&gt;=100000), " ",IF(INDEX($AC$2:$AS$1001,MATCH(ROWS($V$2:V934),$V$2:$V$1001,0),MATCH(COLUMNS($AC$1006:AE1006),$AC$1006:$AS$1006,0)), HYPERLINK("#",""), HYPERLINK(CONCATENATE("#Metadata!", ADDRESS(INDEX($X$2:$X$1001,MATCH(ROWS($V$2:V934),$V$2:$V$1001,0),0), INDEX($AC$1004:$AS$1004,1,MATCH(COLUMNS($AC$1006:AE1006),$AC$1006:$AS$1006,0)))),"Fix")))</f>
        <v>0</v>
      </c>
      <c r="E934" s="5">
        <f>IF(OR(INDEX($W$2:$W$1001,MATCH(ROWS($V$2:V934),$V$2:$V$1001,0),1)&gt;=100000,INDEX($AC$1005:$AS$1005,1,MATCH(COLUMNS($AC$1006:AF1006),$AC$1006:$AS$1006,0))&gt;=100000), " ",IF(INDEX($AC$2:$AS$1001,MATCH(ROWS($V$2:V934),$V$2:$V$1001,0),MATCH(COLUMNS($AC$1006:AF1006),$AC$1006:$AS$1006,0)), HYPERLINK("#",""), HYPERLINK(CONCATENATE("#Metadata!", ADDRESS(INDEX($X$2:$X$1001,MATCH(ROWS($V$2:V934),$V$2:$V$1001,0),0), INDEX($AC$1004:$AS$1004,1,MATCH(COLUMNS($AC$1006:AF1006),$AC$1006:$AS$1006,0)))),"Fix")))</f>
        <v>0</v>
      </c>
      <c r="F934" s="5">
        <f>IF(OR(INDEX($W$2:$W$1001,MATCH(ROWS($V$2:V934),$V$2:$V$1001,0),1)&gt;=100000,INDEX($AC$1005:$AS$1005,1,MATCH(COLUMNS($AC$1006:AG1006),$AC$1006:$AS$1006,0))&gt;=100000), " ",IF(INDEX($AC$2:$AS$1001,MATCH(ROWS($V$2:V934),$V$2:$V$1001,0),MATCH(COLUMNS($AC$1006:AG1006),$AC$1006:$AS$1006,0)), HYPERLINK("#",""), HYPERLINK(CONCATENATE("#Metadata!", ADDRESS(INDEX($X$2:$X$1001,MATCH(ROWS($V$2:V934),$V$2:$V$1001,0),0), INDEX($AC$1004:$AS$1004,1,MATCH(COLUMNS($AC$1006:AG1006),$AC$1006:$AS$1006,0)))),"Fix")))</f>
        <v>0</v>
      </c>
      <c r="G934" s="5">
        <f>IF(OR(INDEX($W$2:$W$1001,MATCH(ROWS($V$2:V934),$V$2:$V$1001,0),1)&gt;=100000,INDEX($AC$1005:$AS$1005,1,MATCH(COLUMNS($AC$1006:AH1006),$AC$1006:$AS$1006,0))&gt;=100000), " ",IF(INDEX($AC$2:$AS$1001,MATCH(ROWS($V$2:V934),$V$2:$V$1001,0),MATCH(COLUMNS($AC$1006:AH1006),$AC$1006:$AS$1006,0)), HYPERLINK("#",""), HYPERLINK(CONCATENATE("#Metadata!", ADDRESS(INDEX($X$2:$X$1001,MATCH(ROWS($V$2:V934),$V$2:$V$1001,0),0), INDEX($AC$1004:$AS$1004,1,MATCH(COLUMNS($AC$1006:AH1006),$AC$1006:$AS$1006,0)))),"Fix")))</f>
        <v>0</v>
      </c>
      <c r="H934" s="5">
        <f>IF(OR(INDEX($W$2:$W$1001,MATCH(ROWS($V$2:V934),$V$2:$V$1001,0),1)&gt;=100000,INDEX($AC$1005:$AS$1005,1,MATCH(COLUMNS($AC$1006:AI1006),$AC$1006:$AS$1006,0))&gt;=100000), " ",IF(INDEX($AC$2:$AS$1001,MATCH(ROWS($V$2:V934),$V$2:$V$1001,0),MATCH(COLUMNS($AC$1006:AI1006),$AC$1006:$AS$1006,0)), HYPERLINK("#",""), HYPERLINK(CONCATENATE("#Metadata!", ADDRESS(INDEX($X$2:$X$1001,MATCH(ROWS($V$2:V934),$V$2:$V$1001,0),0), INDEX($AC$1004:$AS$1004,1,MATCH(COLUMNS($AC$1006:AI1006),$AC$1006:$AS$1006,0)))),"Fix")))</f>
        <v>0</v>
      </c>
      <c r="I934" s="5">
        <f>IF(OR(INDEX($W$2:$W$1001,MATCH(ROWS($V$2:V934),$V$2:$V$1001,0),1)&gt;=100000,INDEX($AC$1005:$AS$1005,1,MATCH(COLUMNS($AC$1006:AJ1006),$AC$1006:$AS$1006,0))&gt;=100000), " ",IF(INDEX($AC$2:$AS$1001,MATCH(ROWS($V$2:V934),$V$2:$V$1001,0),MATCH(COLUMNS($AC$1006:AJ1006),$AC$1006:$AS$1006,0)), HYPERLINK("#",""), HYPERLINK(CONCATENATE("#Metadata!", ADDRESS(INDEX($X$2:$X$1001,MATCH(ROWS($V$2:V934),$V$2:$V$1001,0),0), INDEX($AC$1004:$AS$1004,1,MATCH(COLUMNS($AC$1006:AJ1006),$AC$1006:$AS$1006,0)))),"Fix")))</f>
        <v>0</v>
      </c>
      <c r="J934" s="5">
        <f>IF(OR(INDEX($W$2:$W$1001,MATCH(ROWS($V$2:V934),$V$2:$V$1001,0),1)&gt;=100000,INDEX($AC$1005:$AS$1005,1,MATCH(COLUMNS($AC$1006:AK1006),$AC$1006:$AS$1006,0))&gt;=100000), " ",IF(INDEX($AC$2:$AS$1001,MATCH(ROWS($V$2:V934),$V$2:$V$1001,0),MATCH(COLUMNS($AC$1006:AK1006),$AC$1006:$AS$1006,0)), HYPERLINK("#",""), HYPERLINK(CONCATENATE("#Metadata!", ADDRESS(INDEX($X$2:$X$1001,MATCH(ROWS($V$2:V934),$V$2:$V$1001,0),0), INDEX($AC$1004:$AS$1004,1,MATCH(COLUMNS($AC$1006:AK1006),$AC$1006:$AS$1006,0)))),"Fix")))</f>
        <v>0</v>
      </c>
      <c r="K934" s="5">
        <f>IF(OR(INDEX($W$2:$W$1001,MATCH(ROWS($V$2:V934),$V$2:$V$1001,0),1)&gt;=100000,INDEX($AC$1005:$AS$1005,1,MATCH(COLUMNS($AC$1006:AL1006),$AC$1006:$AS$1006,0))&gt;=100000), " ",IF(INDEX($AC$2:$AS$1001,MATCH(ROWS($V$2:V934),$V$2:$V$1001,0),MATCH(COLUMNS($AC$1006:AL1006),$AC$1006:$AS$1006,0)), HYPERLINK("#",""), HYPERLINK(CONCATENATE("#Metadata!", ADDRESS(INDEX($X$2:$X$1001,MATCH(ROWS($V$2:V934),$V$2:$V$1001,0),0), INDEX($AC$1004:$AS$1004,1,MATCH(COLUMNS($AC$1006:AL1006),$AC$1006:$AS$1006,0)))),"Fix")))</f>
        <v>0</v>
      </c>
      <c r="L934" s="5">
        <f>IF(OR(INDEX($W$2:$W$1001,MATCH(ROWS($V$2:V934),$V$2:$V$1001,0),1)&gt;=100000,INDEX($AC$1005:$AS$1005,1,MATCH(COLUMNS($AC$1006:AM1006),$AC$1006:$AS$1006,0))&gt;=100000), " ",IF(INDEX($AC$2:$AS$1001,MATCH(ROWS($V$2:V934),$V$2:$V$1001,0),MATCH(COLUMNS($AC$1006:AM1006),$AC$1006:$AS$1006,0)), HYPERLINK("#",""), HYPERLINK(CONCATENATE("#Metadata!", ADDRESS(INDEX($X$2:$X$1001,MATCH(ROWS($V$2:V934),$V$2:$V$1001,0),0), INDEX($AC$1004:$AS$1004,1,MATCH(COLUMNS($AC$1006:AM1006),$AC$1006:$AS$1006,0)))),"Fix")))</f>
        <v>0</v>
      </c>
      <c r="M934" s="5">
        <f>IF(OR(INDEX($W$2:$W$1001,MATCH(ROWS($V$2:V934),$V$2:$V$1001,0),1)&gt;=100000,INDEX($AC$1005:$AS$1005,1,MATCH(COLUMNS($AC$1006:AN1006),$AC$1006:$AS$1006,0))&gt;=100000), " ",IF(INDEX($AC$2:$AS$1001,MATCH(ROWS($V$2:V934),$V$2:$V$1001,0),MATCH(COLUMNS($AC$1006:AN1006),$AC$1006:$AS$1006,0)), HYPERLINK("#",""), HYPERLINK(CONCATENATE("#Metadata!", ADDRESS(INDEX($X$2:$X$1001,MATCH(ROWS($V$2:V934),$V$2:$V$1001,0),0), INDEX($AC$1004:$AS$1004,1,MATCH(COLUMNS($AC$1006:AN1006),$AC$1006:$AS$1006,0)))),"Fix")))</f>
        <v>0</v>
      </c>
      <c r="N934" s="5">
        <f>IF(OR(INDEX($W$2:$W$1001,MATCH(ROWS($V$2:V934),$V$2:$V$1001,0),1)&gt;=100000,INDEX($AC$1005:$AS$1005,1,MATCH(COLUMNS($AC$1006:AO1006),$AC$1006:$AS$1006,0))&gt;=100000), " ",IF(INDEX($AC$2:$AS$1001,MATCH(ROWS($V$2:V934),$V$2:$V$1001,0),MATCH(COLUMNS($AC$1006:AO1006),$AC$1006:$AS$1006,0)), HYPERLINK("#",""), HYPERLINK(CONCATENATE("#Metadata!", ADDRESS(INDEX($X$2:$X$1001,MATCH(ROWS($V$2:V934),$V$2:$V$1001,0),0), INDEX($AC$1004:$AS$1004,1,MATCH(COLUMNS($AC$1006:AO1006),$AC$1006:$AS$1006,0)))),"Fix")))</f>
        <v>0</v>
      </c>
      <c r="O934" s="5">
        <f>IF(OR(INDEX($W$2:$W$1001,MATCH(ROWS($V$2:V934),$V$2:$V$1001,0),1)&gt;=100000,INDEX($AC$1005:$AS$1005,1,MATCH(COLUMNS($AC$1006:AP1006),$AC$1006:$AS$1006,0))&gt;=100000), " ",IF(INDEX($AC$2:$AS$1001,MATCH(ROWS($V$2:V934),$V$2:$V$1001,0),MATCH(COLUMNS($AC$1006:AP1006),$AC$1006:$AS$1006,0)), HYPERLINK("#",""), HYPERLINK(CONCATENATE("#Metadata!", ADDRESS(INDEX($X$2:$X$1001,MATCH(ROWS($V$2:V934),$V$2:$V$1001,0),0), INDEX($AC$1004:$AS$1004,1,MATCH(COLUMNS($AC$1006:AP1006),$AC$1006:$AS$1006,0)))),"Fix")))</f>
        <v>0</v>
      </c>
      <c r="P934" s="5">
        <f>IF(OR(INDEX($W$2:$W$1001,MATCH(ROWS($V$2:V934),$V$2:$V$1001,0),1)&gt;=100000,INDEX($AC$1005:$AS$1005,1,MATCH(COLUMNS($AC$1006:AQ1006),$AC$1006:$AS$1006,0))&gt;=100000), " ",IF(INDEX($AC$2:$AS$1001,MATCH(ROWS($V$2:V934),$V$2:$V$1001,0),MATCH(COLUMNS($AC$1006:AQ1006),$AC$1006:$AS$1006,0)), HYPERLINK("#",""), HYPERLINK(CONCATENATE("#Metadata!", ADDRESS(INDEX($X$2:$X$1001,MATCH(ROWS($V$2:V934),$V$2:$V$1001,0),0), INDEX($AC$1004:$AS$1004,1,MATCH(COLUMNS($AC$1006:AQ1006),$AC$1006:$AS$1006,0)))),"Fix")))</f>
        <v>0</v>
      </c>
      <c r="Q934" s="5">
        <f>IF(OR(INDEX($W$2:$W$1001,MATCH(ROWS($V$2:V934),$V$2:$V$1001,0),1)&gt;=100000,INDEX($AC$1005:$AS$1005,1,MATCH(COLUMNS($AC$1006:AR1006),$AC$1006:$AS$1006,0))&gt;=100000), " ",IF(INDEX($AC$2:$AS$1001,MATCH(ROWS($V$2:V934),$V$2:$V$1001,0),MATCH(COLUMNS($AC$1006:AR1006),$AC$1006:$AS$1006,0)), HYPERLINK("#",""), HYPERLINK(CONCATENATE("#Metadata!", ADDRESS(INDEX($X$2:$X$1001,MATCH(ROWS($V$2:V934),$V$2:$V$1001,0),0), INDEX($AC$1004:$AS$1004,1,MATCH(COLUMNS($AC$1006:AR1006),$AC$1006:$AS$1006,0)))),"Fix")))</f>
        <v>0</v>
      </c>
      <c r="R934" s="5">
        <f>IF(OR(INDEX($W$2:$W$1001,MATCH(ROWS($V$2:V934),$V$2:$V$1001,0),1)&gt;=100000,INDEX($AC$1005:$AS$1005,1,MATCH(COLUMNS($AC$1006:AS1006),$AC$1006:$AS$1006,0))&gt;=100000), " ",IF(INDEX($AC$2:$AS$1001,MATCH(ROWS($V$2:V934),$V$2:$V$1001,0),MATCH(COLUMNS($AC$1006:AS1006),$AC$1006:$AS$1006,0)), HYPERLINK("#",""), HYPERLINK(CONCATENATE("#Metadata!", ADDRESS(INDEX($X$2:$X$1001,MATCH(ROWS($V$2:V934),$V$2:$V$1001,0),0), INDEX($AC$1004:$AS$1004,1,MATCH(COLUMNS($AC$1006:AS1006),$AC$1006:$AS$1006,0)))),"Fix")))</f>
        <v>0</v>
      </c>
      <c r="V934">
        <v>0</v>
      </c>
      <c r="W934">
        <v>0</v>
      </c>
      <c r="X934">
        <v>0</v>
      </c>
      <c r="Y934">
        <f>IF(Z934,TRUE,AND(AC934:AS934))</f>
        <v>0</v>
      </c>
      <c r="Z934">
        <f>COUNTBLANK(Metadata!B934:R934)=COLUMNS(Metadata!B934:R934)</f>
        <v>0</v>
      </c>
      <c r="AA934">
        <v>0</v>
      </c>
      <c r="AC934">
        <f>AND(IF(Metadata!B934="",FALSE,TRUE),COUNTIF(Metadata!B:B, Metadata!B934) = 1,NOT(ISERROR(SUMPRODUCT(SEARCH(MID(Metadata!B934,ROW(INDIRECT("1:"&amp;LEN(Metadata!B934))), 1),"0123456789abcdefghijklmnopqrstuvwxyzABCDEFGHIJKLMNOPQRSTUVWXYZ.")))))</f>
        <v>0</v>
      </c>
      <c r="AD934">
        <f>AND(IF(Metadata!C934="",FALSE,TRUE),exact(Metadata!C934,"Host-associated"))</f>
        <v>0</v>
      </c>
      <c r="AE934">
        <f>AND(IF(Metadata!D934="",FALSE,TRUE),OR(exact(Metadata!D934,"Animal"),exact(Metadata!D934,"Fungus"),exact(Metadata!D934,"Plant")))</f>
        <v>0</v>
      </c>
      <c r="AF934">
        <f>AND(IF(Metadata!E934="",FALSE,TRUE),OR(exact(Metadata!E934,"Plant secretion"),exact(Metadata!E934,"Plant rhizosphere"),exact(Metadata!E934,"Plant surface"),exact(Metadata!E934,"Plant corpus"),exact(Metadata!E934,"Fungus surface"),exact(Metadata!E934,"Fungus corpus"),exact(Metadata!E934,"Animal surface"),exact(Metadata!E934,"Animal proximal gut"),exact(Metadata!E934,"Animal corpus"),exact(Metadata!E934,"Animal distal gut"),exact(Metadata!E934,"Animal secretion")))</f>
        <v>0</v>
      </c>
      <c r="AG934">
        <f>OR(AND(IF(Metadata!F934="",FALSE,TRUE),OR(exact(Metadata!F934,"not collected"),exact(Metadata!F934,"not provided"),exact(Metadata!F934,"restricted access"))),AND(IF(Metadata!F934="",FALSE,TRUE),OR(exact(Metadata!F934,"organism-associated habitat"),exact(Metadata!F934,"plant-associated habitat"),exact(Metadata!F934,"animal-associated habitat"),exact(Metadata!F934,"insecta-associated habitat"),exact(Metadata!F934,"mammalia-associated habitat"),exact(Metadata!F934,"human-associated habitat"),exact(Metadata!F934,"livestock-associated habitat"))))</f>
        <v>0</v>
      </c>
      <c r="AH934">
        <f>AND(IF(Metadata!G934="",FALSE,TRUE),exact(Metadata!G934,"host-associated"))</f>
        <v>0</v>
      </c>
      <c r="AI934">
        <f>OR(AND(IF(Metadata!H934="",FALSE,TRUE),OR(exact(Metadata!H934,"not collected"),exact(Metadata!H934,"not provided"))),AND(IF(Metadata!H934="",FALSE,ISNUMBER(VALUE(Metadata!H934))),Metadata!H934&gt;0))</f>
        <v>0</v>
      </c>
      <c r="AJ934">
        <f>AND(IF(Metadata!I934="",FALSE,TRUE),exact(Metadata!I934,"years"))</f>
        <v>0</v>
      </c>
      <c r="AK934">
        <f>IF(Metadata!J934="",FALSE,TRUE)</f>
        <v>0</v>
      </c>
      <c r="AL934">
        <f>OR(AND(IF(Metadata!K934="",FALSE,TRUE),OR(exact(Metadata!K934,"not collected"),exact(Metadata!K934,"not provided"))),AND(IF(Metadata!K934="",FALSE,ISNUMBER(VALUE(Metadata!K934))),Metadata!K934&gt;0))</f>
        <v>0</v>
      </c>
      <c r="AM934">
        <f>AND(IF(Metadata!L934="",FALSE,TRUE),exact(Metadata!L934,"cm"))</f>
        <v>0</v>
      </c>
      <c r="AN934">
        <f>IF(Metadata!M934="",FALSE,TRUE)</f>
        <v>0</v>
      </c>
      <c r="AO934">
        <f>OR(AND(IF(Metadata!N934="",FALSE,TRUE),OR(exact(Metadata!N934,"not applicable"),exact(Metadata!N934,"not collected"),exact(Metadata!N934,"not provided"))),AND(IF(Metadata!N934="",FALSE,IF(ISERROR(INT(Metadata!N934)),FALSE,INT(Metadata!N934)=Metadata!N934)),Metadata!N934&gt;0))</f>
        <v>0</v>
      </c>
      <c r="AP934">
        <f>OR(AND(IF(Metadata!O934="",FALSE,TRUE),OR(exact(Metadata!O934,"not collected"),exact(Metadata!O934,"not provided"))),AND(IF(Metadata!O934="",FALSE,ISNUMBER(VALUE(Metadata!O934))),Metadata!O934&gt;0))</f>
        <v>0</v>
      </c>
      <c r="AQ934">
        <f>AND(IF(Metadata!P934="",FALSE,TRUE),exact(Metadata!P934,"kg"))</f>
        <v>0</v>
      </c>
      <c r="AR934">
        <f>OR(AND(IF(Metadata!Q934="",FALSE,TRUE),OR(exact(Metadata!Q934,"not applicable"),exact(Metadata!Q934,"not collected"),exact(Metadata!Q934,"not provided"),exact(Metadata!Q934,"restricted access"))),IF(Metadata!Q934="",FALSE,IF(ISERROR(INT(Metadata!Q934)),FALSE,INT(Metadata!Q934)=Metadata!Q934)))</f>
        <v>0</v>
      </c>
      <c r="AS934">
        <f>AND(IF(Metadata!R934="",FALSE,TRUE),exact(Metadata!R934,"Not applicable"))</f>
        <v>0</v>
      </c>
    </row>
    <row r="935" spans="1:45">
      <c r="A935" s="4">
        <f>IF(B935=" "," ",HYPERLINK(CONCATENATE("#metadata!",ADDRESS(INDEX($X$2:$X$1001,MATCH(ROWS($V$2:V935),$V$2:$V$1001,0),0),2)),INDEX($AA$2:$AA$1001,MATCH(ROWS($V$2:V935),$V$2:$V$1001,0),0)))</f>
        <v>0</v>
      </c>
      <c r="B935" s="5">
        <f>IF(OR(INDEX($W$2:$W$1001,MATCH(ROWS($V$2:V935),$V$2:$V$1001,0),1)&gt;=100000,INDEX($AC$1005:$AS$1005,1,MATCH(COLUMNS($AC$1006:AC1006),$AC$1006:$AS$1006,0))&gt;=100000), " ",IF(INDEX($AC$2:$AS$1001,MATCH(ROWS($V$2:V935),$V$2:$V$1001,0),MATCH(COLUMNS($AC$1006:AC1006),$AC$1006:$AS$1006,0)), HYPERLINK("#",""), HYPERLINK(CONCATENATE("#Metadata!", ADDRESS(INDEX($X$2:$X$1001,MATCH(ROWS($V$2:V935),$V$2:$V$1001,0),0), INDEX($AC$1004:$AS$1004,1,MATCH(COLUMNS($AC$1006:AC1006),$AC$1006:$AS$1006,0)))),"Fix")))</f>
        <v>0</v>
      </c>
      <c r="C935" s="5">
        <f>IF(OR(INDEX($W$2:$W$1001,MATCH(ROWS($V$2:V935),$V$2:$V$1001,0),1)&gt;=100000,INDEX($AC$1005:$AS$1005,1,MATCH(COLUMNS($AC$1006:AD1006),$AC$1006:$AS$1006,0))&gt;=100000), " ",IF(INDEX($AC$2:$AS$1001,MATCH(ROWS($V$2:V935),$V$2:$V$1001,0),MATCH(COLUMNS($AC$1006:AD1006),$AC$1006:$AS$1006,0)), HYPERLINK("#",""), HYPERLINK(CONCATENATE("#Metadata!", ADDRESS(INDEX($X$2:$X$1001,MATCH(ROWS($V$2:V935),$V$2:$V$1001,0),0), INDEX($AC$1004:$AS$1004,1,MATCH(COLUMNS($AC$1006:AD1006),$AC$1006:$AS$1006,0)))),"Fix")))</f>
        <v>0</v>
      </c>
      <c r="D935" s="5">
        <f>IF(OR(INDEX($W$2:$W$1001,MATCH(ROWS($V$2:V935),$V$2:$V$1001,0),1)&gt;=100000,INDEX($AC$1005:$AS$1005,1,MATCH(COLUMNS($AC$1006:AE1006),$AC$1006:$AS$1006,0))&gt;=100000), " ",IF(INDEX($AC$2:$AS$1001,MATCH(ROWS($V$2:V935),$V$2:$V$1001,0),MATCH(COLUMNS($AC$1006:AE1006),$AC$1006:$AS$1006,0)), HYPERLINK("#",""), HYPERLINK(CONCATENATE("#Metadata!", ADDRESS(INDEX($X$2:$X$1001,MATCH(ROWS($V$2:V935),$V$2:$V$1001,0),0), INDEX($AC$1004:$AS$1004,1,MATCH(COLUMNS($AC$1006:AE1006),$AC$1006:$AS$1006,0)))),"Fix")))</f>
        <v>0</v>
      </c>
      <c r="E935" s="5">
        <f>IF(OR(INDEX($W$2:$W$1001,MATCH(ROWS($V$2:V935),$V$2:$V$1001,0),1)&gt;=100000,INDEX($AC$1005:$AS$1005,1,MATCH(COLUMNS($AC$1006:AF1006),$AC$1006:$AS$1006,0))&gt;=100000), " ",IF(INDEX($AC$2:$AS$1001,MATCH(ROWS($V$2:V935),$V$2:$V$1001,0),MATCH(COLUMNS($AC$1006:AF1006),$AC$1006:$AS$1006,0)), HYPERLINK("#",""), HYPERLINK(CONCATENATE("#Metadata!", ADDRESS(INDEX($X$2:$X$1001,MATCH(ROWS($V$2:V935),$V$2:$V$1001,0),0), INDEX($AC$1004:$AS$1004,1,MATCH(COLUMNS($AC$1006:AF1006),$AC$1006:$AS$1006,0)))),"Fix")))</f>
        <v>0</v>
      </c>
      <c r="F935" s="5">
        <f>IF(OR(INDEX($W$2:$W$1001,MATCH(ROWS($V$2:V935),$V$2:$V$1001,0),1)&gt;=100000,INDEX($AC$1005:$AS$1005,1,MATCH(COLUMNS($AC$1006:AG1006),$AC$1006:$AS$1006,0))&gt;=100000), " ",IF(INDEX($AC$2:$AS$1001,MATCH(ROWS($V$2:V935),$V$2:$V$1001,0),MATCH(COLUMNS($AC$1006:AG1006),$AC$1006:$AS$1006,0)), HYPERLINK("#",""), HYPERLINK(CONCATENATE("#Metadata!", ADDRESS(INDEX($X$2:$X$1001,MATCH(ROWS($V$2:V935),$V$2:$V$1001,0),0), INDEX($AC$1004:$AS$1004,1,MATCH(COLUMNS($AC$1006:AG1006),$AC$1006:$AS$1006,0)))),"Fix")))</f>
        <v>0</v>
      </c>
      <c r="G935" s="5">
        <f>IF(OR(INDEX($W$2:$W$1001,MATCH(ROWS($V$2:V935),$V$2:$V$1001,0),1)&gt;=100000,INDEX($AC$1005:$AS$1005,1,MATCH(COLUMNS($AC$1006:AH1006),$AC$1006:$AS$1006,0))&gt;=100000), " ",IF(INDEX($AC$2:$AS$1001,MATCH(ROWS($V$2:V935),$V$2:$V$1001,0),MATCH(COLUMNS($AC$1006:AH1006),$AC$1006:$AS$1006,0)), HYPERLINK("#",""), HYPERLINK(CONCATENATE("#Metadata!", ADDRESS(INDEX($X$2:$X$1001,MATCH(ROWS($V$2:V935),$V$2:$V$1001,0),0), INDEX($AC$1004:$AS$1004,1,MATCH(COLUMNS($AC$1006:AH1006),$AC$1006:$AS$1006,0)))),"Fix")))</f>
        <v>0</v>
      </c>
      <c r="H935" s="5">
        <f>IF(OR(INDEX($W$2:$W$1001,MATCH(ROWS($V$2:V935),$V$2:$V$1001,0),1)&gt;=100000,INDEX($AC$1005:$AS$1005,1,MATCH(COLUMNS($AC$1006:AI1006),$AC$1006:$AS$1006,0))&gt;=100000), " ",IF(INDEX($AC$2:$AS$1001,MATCH(ROWS($V$2:V935),$V$2:$V$1001,0),MATCH(COLUMNS($AC$1006:AI1006),$AC$1006:$AS$1006,0)), HYPERLINK("#",""), HYPERLINK(CONCATENATE("#Metadata!", ADDRESS(INDEX($X$2:$X$1001,MATCH(ROWS($V$2:V935),$V$2:$V$1001,0),0), INDEX($AC$1004:$AS$1004,1,MATCH(COLUMNS($AC$1006:AI1006),$AC$1006:$AS$1006,0)))),"Fix")))</f>
        <v>0</v>
      </c>
      <c r="I935" s="5">
        <f>IF(OR(INDEX($W$2:$W$1001,MATCH(ROWS($V$2:V935),$V$2:$V$1001,0),1)&gt;=100000,INDEX($AC$1005:$AS$1005,1,MATCH(COLUMNS($AC$1006:AJ1006),$AC$1006:$AS$1006,0))&gt;=100000), " ",IF(INDEX($AC$2:$AS$1001,MATCH(ROWS($V$2:V935),$V$2:$V$1001,0),MATCH(COLUMNS($AC$1006:AJ1006),$AC$1006:$AS$1006,0)), HYPERLINK("#",""), HYPERLINK(CONCATENATE("#Metadata!", ADDRESS(INDEX($X$2:$X$1001,MATCH(ROWS($V$2:V935),$V$2:$V$1001,0),0), INDEX($AC$1004:$AS$1004,1,MATCH(COLUMNS($AC$1006:AJ1006),$AC$1006:$AS$1006,0)))),"Fix")))</f>
        <v>0</v>
      </c>
      <c r="J935" s="5">
        <f>IF(OR(INDEX($W$2:$W$1001,MATCH(ROWS($V$2:V935),$V$2:$V$1001,0),1)&gt;=100000,INDEX($AC$1005:$AS$1005,1,MATCH(COLUMNS($AC$1006:AK1006),$AC$1006:$AS$1006,0))&gt;=100000), " ",IF(INDEX($AC$2:$AS$1001,MATCH(ROWS($V$2:V935),$V$2:$V$1001,0),MATCH(COLUMNS($AC$1006:AK1006),$AC$1006:$AS$1006,0)), HYPERLINK("#",""), HYPERLINK(CONCATENATE("#Metadata!", ADDRESS(INDEX($X$2:$X$1001,MATCH(ROWS($V$2:V935),$V$2:$V$1001,0),0), INDEX($AC$1004:$AS$1004,1,MATCH(COLUMNS($AC$1006:AK1006),$AC$1006:$AS$1006,0)))),"Fix")))</f>
        <v>0</v>
      </c>
      <c r="K935" s="5">
        <f>IF(OR(INDEX($W$2:$W$1001,MATCH(ROWS($V$2:V935),$V$2:$V$1001,0),1)&gt;=100000,INDEX($AC$1005:$AS$1005,1,MATCH(COLUMNS($AC$1006:AL1006),$AC$1006:$AS$1006,0))&gt;=100000), " ",IF(INDEX($AC$2:$AS$1001,MATCH(ROWS($V$2:V935),$V$2:$V$1001,0),MATCH(COLUMNS($AC$1006:AL1006),$AC$1006:$AS$1006,0)), HYPERLINK("#",""), HYPERLINK(CONCATENATE("#Metadata!", ADDRESS(INDEX($X$2:$X$1001,MATCH(ROWS($V$2:V935),$V$2:$V$1001,0),0), INDEX($AC$1004:$AS$1004,1,MATCH(COLUMNS($AC$1006:AL1006),$AC$1006:$AS$1006,0)))),"Fix")))</f>
        <v>0</v>
      </c>
      <c r="L935" s="5">
        <f>IF(OR(INDEX($W$2:$W$1001,MATCH(ROWS($V$2:V935),$V$2:$V$1001,0),1)&gt;=100000,INDEX($AC$1005:$AS$1005,1,MATCH(COLUMNS($AC$1006:AM1006),$AC$1006:$AS$1006,0))&gt;=100000), " ",IF(INDEX($AC$2:$AS$1001,MATCH(ROWS($V$2:V935),$V$2:$V$1001,0),MATCH(COLUMNS($AC$1006:AM1006),$AC$1006:$AS$1006,0)), HYPERLINK("#",""), HYPERLINK(CONCATENATE("#Metadata!", ADDRESS(INDEX($X$2:$X$1001,MATCH(ROWS($V$2:V935),$V$2:$V$1001,0),0), INDEX($AC$1004:$AS$1004,1,MATCH(COLUMNS($AC$1006:AM1006),$AC$1006:$AS$1006,0)))),"Fix")))</f>
        <v>0</v>
      </c>
      <c r="M935" s="5">
        <f>IF(OR(INDEX($W$2:$W$1001,MATCH(ROWS($V$2:V935),$V$2:$V$1001,0),1)&gt;=100000,INDEX($AC$1005:$AS$1005,1,MATCH(COLUMNS($AC$1006:AN1006),$AC$1006:$AS$1006,0))&gt;=100000), " ",IF(INDEX($AC$2:$AS$1001,MATCH(ROWS($V$2:V935),$V$2:$V$1001,0),MATCH(COLUMNS($AC$1006:AN1006),$AC$1006:$AS$1006,0)), HYPERLINK("#",""), HYPERLINK(CONCATENATE("#Metadata!", ADDRESS(INDEX($X$2:$X$1001,MATCH(ROWS($V$2:V935),$V$2:$V$1001,0),0), INDEX($AC$1004:$AS$1004,1,MATCH(COLUMNS($AC$1006:AN1006),$AC$1006:$AS$1006,0)))),"Fix")))</f>
        <v>0</v>
      </c>
      <c r="N935" s="5">
        <f>IF(OR(INDEX($W$2:$W$1001,MATCH(ROWS($V$2:V935),$V$2:$V$1001,0),1)&gt;=100000,INDEX($AC$1005:$AS$1005,1,MATCH(COLUMNS($AC$1006:AO1006),$AC$1006:$AS$1006,0))&gt;=100000), " ",IF(INDEX($AC$2:$AS$1001,MATCH(ROWS($V$2:V935),$V$2:$V$1001,0),MATCH(COLUMNS($AC$1006:AO1006),$AC$1006:$AS$1006,0)), HYPERLINK("#",""), HYPERLINK(CONCATENATE("#Metadata!", ADDRESS(INDEX($X$2:$X$1001,MATCH(ROWS($V$2:V935),$V$2:$V$1001,0),0), INDEX($AC$1004:$AS$1004,1,MATCH(COLUMNS($AC$1006:AO1006),$AC$1006:$AS$1006,0)))),"Fix")))</f>
        <v>0</v>
      </c>
      <c r="O935" s="5">
        <f>IF(OR(INDEX($W$2:$W$1001,MATCH(ROWS($V$2:V935),$V$2:$V$1001,0),1)&gt;=100000,INDEX($AC$1005:$AS$1005,1,MATCH(COLUMNS($AC$1006:AP1006),$AC$1006:$AS$1006,0))&gt;=100000), " ",IF(INDEX($AC$2:$AS$1001,MATCH(ROWS($V$2:V935),$V$2:$V$1001,0),MATCH(COLUMNS($AC$1006:AP1006),$AC$1006:$AS$1006,0)), HYPERLINK("#",""), HYPERLINK(CONCATENATE("#Metadata!", ADDRESS(INDEX($X$2:$X$1001,MATCH(ROWS($V$2:V935),$V$2:$V$1001,0),0), INDEX($AC$1004:$AS$1004,1,MATCH(COLUMNS($AC$1006:AP1006),$AC$1006:$AS$1006,0)))),"Fix")))</f>
        <v>0</v>
      </c>
      <c r="P935" s="5">
        <f>IF(OR(INDEX($W$2:$W$1001,MATCH(ROWS($V$2:V935),$V$2:$V$1001,0),1)&gt;=100000,INDEX($AC$1005:$AS$1005,1,MATCH(COLUMNS($AC$1006:AQ1006),$AC$1006:$AS$1006,0))&gt;=100000), " ",IF(INDEX($AC$2:$AS$1001,MATCH(ROWS($V$2:V935),$V$2:$V$1001,0),MATCH(COLUMNS($AC$1006:AQ1006),$AC$1006:$AS$1006,0)), HYPERLINK("#",""), HYPERLINK(CONCATENATE("#Metadata!", ADDRESS(INDEX($X$2:$X$1001,MATCH(ROWS($V$2:V935),$V$2:$V$1001,0),0), INDEX($AC$1004:$AS$1004,1,MATCH(COLUMNS($AC$1006:AQ1006),$AC$1006:$AS$1006,0)))),"Fix")))</f>
        <v>0</v>
      </c>
      <c r="Q935" s="5">
        <f>IF(OR(INDEX($W$2:$W$1001,MATCH(ROWS($V$2:V935),$V$2:$V$1001,0),1)&gt;=100000,INDEX($AC$1005:$AS$1005,1,MATCH(COLUMNS($AC$1006:AR1006),$AC$1006:$AS$1006,0))&gt;=100000), " ",IF(INDEX($AC$2:$AS$1001,MATCH(ROWS($V$2:V935),$V$2:$V$1001,0),MATCH(COLUMNS($AC$1006:AR1006),$AC$1006:$AS$1006,0)), HYPERLINK("#",""), HYPERLINK(CONCATENATE("#Metadata!", ADDRESS(INDEX($X$2:$X$1001,MATCH(ROWS($V$2:V935),$V$2:$V$1001,0),0), INDEX($AC$1004:$AS$1004,1,MATCH(COLUMNS($AC$1006:AR1006),$AC$1006:$AS$1006,0)))),"Fix")))</f>
        <v>0</v>
      </c>
      <c r="R935" s="5">
        <f>IF(OR(INDEX($W$2:$W$1001,MATCH(ROWS($V$2:V935),$V$2:$V$1001,0),1)&gt;=100000,INDEX($AC$1005:$AS$1005,1,MATCH(COLUMNS($AC$1006:AS1006),$AC$1006:$AS$1006,0))&gt;=100000), " ",IF(INDEX($AC$2:$AS$1001,MATCH(ROWS($V$2:V935),$V$2:$V$1001,0),MATCH(COLUMNS($AC$1006:AS1006),$AC$1006:$AS$1006,0)), HYPERLINK("#",""), HYPERLINK(CONCATENATE("#Metadata!", ADDRESS(INDEX($X$2:$X$1001,MATCH(ROWS($V$2:V935),$V$2:$V$1001,0),0), INDEX($AC$1004:$AS$1004,1,MATCH(COLUMNS($AC$1006:AS1006),$AC$1006:$AS$1006,0)))),"Fix")))</f>
        <v>0</v>
      </c>
      <c r="V935">
        <v>0</v>
      </c>
      <c r="W935">
        <v>0</v>
      </c>
      <c r="X935">
        <v>0</v>
      </c>
      <c r="Y935">
        <f>IF(Z935,TRUE,AND(AC935:AS935))</f>
        <v>0</v>
      </c>
      <c r="Z935">
        <f>COUNTBLANK(Metadata!B935:R935)=COLUMNS(Metadata!B935:R935)</f>
        <v>0</v>
      </c>
      <c r="AA935">
        <v>0</v>
      </c>
      <c r="AC935">
        <f>AND(IF(Metadata!B935="",FALSE,TRUE),COUNTIF(Metadata!B:B, Metadata!B935) = 1,NOT(ISERROR(SUMPRODUCT(SEARCH(MID(Metadata!B935,ROW(INDIRECT("1:"&amp;LEN(Metadata!B935))), 1),"0123456789abcdefghijklmnopqrstuvwxyzABCDEFGHIJKLMNOPQRSTUVWXYZ.")))))</f>
        <v>0</v>
      </c>
      <c r="AD935">
        <f>AND(IF(Metadata!C935="",FALSE,TRUE),exact(Metadata!C935,"Host-associated"))</f>
        <v>0</v>
      </c>
      <c r="AE935">
        <f>AND(IF(Metadata!D935="",FALSE,TRUE),OR(exact(Metadata!D935,"Animal"),exact(Metadata!D935,"Fungus"),exact(Metadata!D935,"Plant")))</f>
        <v>0</v>
      </c>
      <c r="AF935">
        <f>AND(IF(Metadata!E935="",FALSE,TRUE),OR(exact(Metadata!E935,"Plant secretion"),exact(Metadata!E935,"Plant rhizosphere"),exact(Metadata!E935,"Plant surface"),exact(Metadata!E935,"Plant corpus"),exact(Metadata!E935,"Fungus surface"),exact(Metadata!E935,"Fungus corpus"),exact(Metadata!E935,"Animal surface"),exact(Metadata!E935,"Animal proximal gut"),exact(Metadata!E935,"Animal corpus"),exact(Metadata!E935,"Animal distal gut"),exact(Metadata!E935,"Animal secretion")))</f>
        <v>0</v>
      </c>
      <c r="AG935">
        <f>OR(AND(IF(Metadata!F935="",FALSE,TRUE),OR(exact(Metadata!F935,"not collected"),exact(Metadata!F935,"not provided"),exact(Metadata!F935,"restricted access"))),AND(IF(Metadata!F935="",FALSE,TRUE),OR(exact(Metadata!F935,"organism-associated habitat"),exact(Metadata!F935,"plant-associated habitat"),exact(Metadata!F935,"animal-associated habitat"),exact(Metadata!F935,"insecta-associated habitat"),exact(Metadata!F935,"mammalia-associated habitat"),exact(Metadata!F935,"human-associated habitat"),exact(Metadata!F935,"livestock-associated habitat"))))</f>
        <v>0</v>
      </c>
      <c r="AH935">
        <f>AND(IF(Metadata!G935="",FALSE,TRUE),exact(Metadata!G935,"host-associated"))</f>
        <v>0</v>
      </c>
      <c r="AI935">
        <f>OR(AND(IF(Metadata!H935="",FALSE,TRUE),OR(exact(Metadata!H935,"not collected"),exact(Metadata!H935,"not provided"))),AND(IF(Metadata!H935="",FALSE,ISNUMBER(VALUE(Metadata!H935))),Metadata!H935&gt;0))</f>
        <v>0</v>
      </c>
      <c r="AJ935">
        <f>AND(IF(Metadata!I935="",FALSE,TRUE),exact(Metadata!I935,"years"))</f>
        <v>0</v>
      </c>
      <c r="AK935">
        <f>IF(Metadata!J935="",FALSE,TRUE)</f>
        <v>0</v>
      </c>
      <c r="AL935">
        <f>OR(AND(IF(Metadata!K935="",FALSE,TRUE),OR(exact(Metadata!K935,"not collected"),exact(Metadata!K935,"not provided"))),AND(IF(Metadata!K935="",FALSE,ISNUMBER(VALUE(Metadata!K935))),Metadata!K935&gt;0))</f>
        <v>0</v>
      </c>
      <c r="AM935">
        <f>AND(IF(Metadata!L935="",FALSE,TRUE),exact(Metadata!L935,"cm"))</f>
        <v>0</v>
      </c>
      <c r="AN935">
        <f>IF(Metadata!M935="",FALSE,TRUE)</f>
        <v>0</v>
      </c>
      <c r="AO935">
        <f>OR(AND(IF(Metadata!N935="",FALSE,TRUE),OR(exact(Metadata!N935,"not applicable"),exact(Metadata!N935,"not collected"),exact(Metadata!N935,"not provided"))),AND(IF(Metadata!N935="",FALSE,IF(ISERROR(INT(Metadata!N935)),FALSE,INT(Metadata!N935)=Metadata!N935)),Metadata!N935&gt;0))</f>
        <v>0</v>
      </c>
      <c r="AP935">
        <f>OR(AND(IF(Metadata!O935="",FALSE,TRUE),OR(exact(Metadata!O935,"not collected"),exact(Metadata!O935,"not provided"))),AND(IF(Metadata!O935="",FALSE,ISNUMBER(VALUE(Metadata!O935))),Metadata!O935&gt;0))</f>
        <v>0</v>
      </c>
      <c r="AQ935">
        <f>AND(IF(Metadata!P935="",FALSE,TRUE),exact(Metadata!P935,"kg"))</f>
        <v>0</v>
      </c>
      <c r="AR935">
        <f>OR(AND(IF(Metadata!Q935="",FALSE,TRUE),OR(exact(Metadata!Q935,"not applicable"),exact(Metadata!Q935,"not collected"),exact(Metadata!Q935,"not provided"),exact(Metadata!Q935,"restricted access"))),IF(Metadata!Q935="",FALSE,IF(ISERROR(INT(Metadata!Q935)),FALSE,INT(Metadata!Q935)=Metadata!Q935)))</f>
        <v>0</v>
      </c>
      <c r="AS935">
        <f>AND(IF(Metadata!R935="",FALSE,TRUE),exact(Metadata!R935,"Not applicable"))</f>
        <v>0</v>
      </c>
    </row>
    <row r="936" spans="1:45">
      <c r="A936" s="4">
        <f>IF(B936=" "," ",HYPERLINK(CONCATENATE("#metadata!",ADDRESS(INDEX($X$2:$X$1001,MATCH(ROWS($V$2:V936),$V$2:$V$1001,0),0),2)),INDEX($AA$2:$AA$1001,MATCH(ROWS($V$2:V936),$V$2:$V$1001,0),0)))</f>
        <v>0</v>
      </c>
      <c r="B936" s="5">
        <f>IF(OR(INDEX($W$2:$W$1001,MATCH(ROWS($V$2:V936),$V$2:$V$1001,0),1)&gt;=100000,INDEX($AC$1005:$AS$1005,1,MATCH(COLUMNS($AC$1006:AC1006),$AC$1006:$AS$1006,0))&gt;=100000), " ",IF(INDEX($AC$2:$AS$1001,MATCH(ROWS($V$2:V936),$V$2:$V$1001,0),MATCH(COLUMNS($AC$1006:AC1006),$AC$1006:$AS$1006,0)), HYPERLINK("#",""), HYPERLINK(CONCATENATE("#Metadata!", ADDRESS(INDEX($X$2:$X$1001,MATCH(ROWS($V$2:V936),$V$2:$V$1001,0),0), INDEX($AC$1004:$AS$1004,1,MATCH(COLUMNS($AC$1006:AC1006),$AC$1006:$AS$1006,0)))),"Fix")))</f>
        <v>0</v>
      </c>
      <c r="C936" s="5">
        <f>IF(OR(INDEX($W$2:$W$1001,MATCH(ROWS($V$2:V936),$V$2:$V$1001,0),1)&gt;=100000,INDEX($AC$1005:$AS$1005,1,MATCH(COLUMNS($AC$1006:AD1006),$AC$1006:$AS$1006,0))&gt;=100000), " ",IF(INDEX($AC$2:$AS$1001,MATCH(ROWS($V$2:V936),$V$2:$V$1001,0),MATCH(COLUMNS($AC$1006:AD1006),$AC$1006:$AS$1006,0)), HYPERLINK("#",""), HYPERLINK(CONCATENATE("#Metadata!", ADDRESS(INDEX($X$2:$X$1001,MATCH(ROWS($V$2:V936),$V$2:$V$1001,0),0), INDEX($AC$1004:$AS$1004,1,MATCH(COLUMNS($AC$1006:AD1006),$AC$1006:$AS$1006,0)))),"Fix")))</f>
        <v>0</v>
      </c>
      <c r="D936" s="5">
        <f>IF(OR(INDEX($W$2:$W$1001,MATCH(ROWS($V$2:V936),$V$2:$V$1001,0),1)&gt;=100000,INDEX($AC$1005:$AS$1005,1,MATCH(COLUMNS($AC$1006:AE1006),$AC$1006:$AS$1006,0))&gt;=100000), " ",IF(INDEX($AC$2:$AS$1001,MATCH(ROWS($V$2:V936),$V$2:$V$1001,0),MATCH(COLUMNS($AC$1006:AE1006),$AC$1006:$AS$1006,0)), HYPERLINK("#",""), HYPERLINK(CONCATENATE("#Metadata!", ADDRESS(INDEX($X$2:$X$1001,MATCH(ROWS($V$2:V936),$V$2:$V$1001,0),0), INDEX($AC$1004:$AS$1004,1,MATCH(COLUMNS($AC$1006:AE1006),$AC$1006:$AS$1006,0)))),"Fix")))</f>
        <v>0</v>
      </c>
      <c r="E936" s="5">
        <f>IF(OR(INDEX($W$2:$W$1001,MATCH(ROWS($V$2:V936),$V$2:$V$1001,0),1)&gt;=100000,INDEX($AC$1005:$AS$1005,1,MATCH(COLUMNS($AC$1006:AF1006),$AC$1006:$AS$1006,0))&gt;=100000), " ",IF(INDEX($AC$2:$AS$1001,MATCH(ROWS($V$2:V936),$V$2:$V$1001,0),MATCH(COLUMNS($AC$1006:AF1006),$AC$1006:$AS$1006,0)), HYPERLINK("#",""), HYPERLINK(CONCATENATE("#Metadata!", ADDRESS(INDEX($X$2:$X$1001,MATCH(ROWS($V$2:V936),$V$2:$V$1001,0),0), INDEX($AC$1004:$AS$1004,1,MATCH(COLUMNS($AC$1006:AF1006),$AC$1006:$AS$1006,0)))),"Fix")))</f>
        <v>0</v>
      </c>
      <c r="F936" s="5">
        <f>IF(OR(INDEX($W$2:$W$1001,MATCH(ROWS($V$2:V936),$V$2:$V$1001,0),1)&gt;=100000,INDEX($AC$1005:$AS$1005,1,MATCH(COLUMNS($AC$1006:AG1006),$AC$1006:$AS$1006,0))&gt;=100000), " ",IF(INDEX($AC$2:$AS$1001,MATCH(ROWS($V$2:V936),$V$2:$V$1001,0),MATCH(COLUMNS($AC$1006:AG1006),$AC$1006:$AS$1006,0)), HYPERLINK("#",""), HYPERLINK(CONCATENATE("#Metadata!", ADDRESS(INDEX($X$2:$X$1001,MATCH(ROWS($V$2:V936),$V$2:$V$1001,0),0), INDEX($AC$1004:$AS$1004,1,MATCH(COLUMNS($AC$1006:AG1006),$AC$1006:$AS$1006,0)))),"Fix")))</f>
        <v>0</v>
      </c>
      <c r="G936" s="5">
        <f>IF(OR(INDEX($W$2:$W$1001,MATCH(ROWS($V$2:V936),$V$2:$V$1001,0),1)&gt;=100000,INDEX($AC$1005:$AS$1005,1,MATCH(COLUMNS($AC$1006:AH1006),$AC$1006:$AS$1006,0))&gt;=100000), " ",IF(INDEX($AC$2:$AS$1001,MATCH(ROWS($V$2:V936),$V$2:$V$1001,0),MATCH(COLUMNS($AC$1006:AH1006),$AC$1006:$AS$1006,0)), HYPERLINK("#",""), HYPERLINK(CONCATENATE("#Metadata!", ADDRESS(INDEX($X$2:$X$1001,MATCH(ROWS($V$2:V936),$V$2:$V$1001,0),0), INDEX($AC$1004:$AS$1004,1,MATCH(COLUMNS($AC$1006:AH1006),$AC$1006:$AS$1006,0)))),"Fix")))</f>
        <v>0</v>
      </c>
      <c r="H936" s="5">
        <f>IF(OR(INDEX($W$2:$W$1001,MATCH(ROWS($V$2:V936),$V$2:$V$1001,0),1)&gt;=100000,INDEX($AC$1005:$AS$1005,1,MATCH(COLUMNS($AC$1006:AI1006),$AC$1006:$AS$1006,0))&gt;=100000), " ",IF(INDEX($AC$2:$AS$1001,MATCH(ROWS($V$2:V936),$V$2:$V$1001,0),MATCH(COLUMNS($AC$1006:AI1006),$AC$1006:$AS$1006,0)), HYPERLINK("#",""), HYPERLINK(CONCATENATE("#Metadata!", ADDRESS(INDEX($X$2:$X$1001,MATCH(ROWS($V$2:V936),$V$2:$V$1001,0),0), INDEX($AC$1004:$AS$1004,1,MATCH(COLUMNS($AC$1006:AI1006),$AC$1006:$AS$1006,0)))),"Fix")))</f>
        <v>0</v>
      </c>
      <c r="I936" s="5">
        <f>IF(OR(INDEX($W$2:$W$1001,MATCH(ROWS($V$2:V936),$V$2:$V$1001,0),1)&gt;=100000,INDEX($AC$1005:$AS$1005,1,MATCH(COLUMNS($AC$1006:AJ1006),$AC$1006:$AS$1006,0))&gt;=100000), " ",IF(INDEX($AC$2:$AS$1001,MATCH(ROWS($V$2:V936),$V$2:$V$1001,0),MATCH(COLUMNS($AC$1006:AJ1006),$AC$1006:$AS$1006,0)), HYPERLINK("#",""), HYPERLINK(CONCATENATE("#Metadata!", ADDRESS(INDEX($X$2:$X$1001,MATCH(ROWS($V$2:V936),$V$2:$V$1001,0),0), INDEX($AC$1004:$AS$1004,1,MATCH(COLUMNS($AC$1006:AJ1006),$AC$1006:$AS$1006,0)))),"Fix")))</f>
        <v>0</v>
      </c>
      <c r="J936" s="5">
        <f>IF(OR(INDEX($W$2:$W$1001,MATCH(ROWS($V$2:V936),$V$2:$V$1001,0),1)&gt;=100000,INDEX($AC$1005:$AS$1005,1,MATCH(COLUMNS($AC$1006:AK1006),$AC$1006:$AS$1006,0))&gt;=100000), " ",IF(INDEX($AC$2:$AS$1001,MATCH(ROWS($V$2:V936),$V$2:$V$1001,0),MATCH(COLUMNS($AC$1006:AK1006),$AC$1006:$AS$1006,0)), HYPERLINK("#",""), HYPERLINK(CONCATENATE("#Metadata!", ADDRESS(INDEX($X$2:$X$1001,MATCH(ROWS($V$2:V936),$V$2:$V$1001,0),0), INDEX($AC$1004:$AS$1004,1,MATCH(COLUMNS($AC$1006:AK1006),$AC$1006:$AS$1006,0)))),"Fix")))</f>
        <v>0</v>
      </c>
      <c r="K936" s="5">
        <f>IF(OR(INDEX($W$2:$W$1001,MATCH(ROWS($V$2:V936),$V$2:$V$1001,0),1)&gt;=100000,INDEX($AC$1005:$AS$1005,1,MATCH(COLUMNS($AC$1006:AL1006),$AC$1006:$AS$1006,0))&gt;=100000), " ",IF(INDEX($AC$2:$AS$1001,MATCH(ROWS($V$2:V936),$V$2:$V$1001,0),MATCH(COLUMNS($AC$1006:AL1006),$AC$1006:$AS$1006,0)), HYPERLINK("#",""), HYPERLINK(CONCATENATE("#Metadata!", ADDRESS(INDEX($X$2:$X$1001,MATCH(ROWS($V$2:V936),$V$2:$V$1001,0),0), INDEX($AC$1004:$AS$1004,1,MATCH(COLUMNS($AC$1006:AL1006),$AC$1006:$AS$1006,0)))),"Fix")))</f>
        <v>0</v>
      </c>
      <c r="L936" s="5">
        <f>IF(OR(INDEX($W$2:$W$1001,MATCH(ROWS($V$2:V936),$V$2:$V$1001,0),1)&gt;=100000,INDEX($AC$1005:$AS$1005,1,MATCH(COLUMNS($AC$1006:AM1006),$AC$1006:$AS$1006,0))&gt;=100000), " ",IF(INDEX($AC$2:$AS$1001,MATCH(ROWS($V$2:V936),$V$2:$V$1001,0),MATCH(COLUMNS($AC$1006:AM1006),$AC$1006:$AS$1006,0)), HYPERLINK("#",""), HYPERLINK(CONCATENATE("#Metadata!", ADDRESS(INDEX($X$2:$X$1001,MATCH(ROWS($V$2:V936),$V$2:$V$1001,0),0), INDEX($AC$1004:$AS$1004,1,MATCH(COLUMNS($AC$1006:AM1006),$AC$1006:$AS$1006,0)))),"Fix")))</f>
        <v>0</v>
      </c>
      <c r="M936" s="5">
        <f>IF(OR(INDEX($W$2:$W$1001,MATCH(ROWS($V$2:V936),$V$2:$V$1001,0),1)&gt;=100000,INDEX($AC$1005:$AS$1005,1,MATCH(COLUMNS($AC$1006:AN1006),$AC$1006:$AS$1006,0))&gt;=100000), " ",IF(INDEX($AC$2:$AS$1001,MATCH(ROWS($V$2:V936),$V$2:$V$1001,0),MATCH(COLUMNS($AC$1006:AN1006),$AC$1006:$AS$1006,0)), HYPERLINK("#",""), HYPERLINK(CONCATENATE("#Metadata!", ADDRESS(INDEX($X$2:$X$1001,MATCH(ROWS($V$2:V936),$V$2:$V$1001,0),0), INDEX($AC$1004:$AS$1004,1,MATCH(COLUMNS($AC$1006:AN1006),$AC$1006:$AS$1006,0)))),"Fix")))</f>
        <v>0</v>
      </c>
      <c r="N936" s="5">
        <f>IF(OR(INDEX($W$2:$W$1001,MATCH(ROWS($V$2:V936),$V$2:$V$1001,0),1)&gt;=100000,INDEX($AC$1005:$AS$1005,1,MATCH(COLUMNS($AC$1006:AO1006),$AC$1006:$AS$1006,0))&gt;=100000), " ",IF(INDEX($AC$2:$AS$1001,MATCH(ROWS($V$2:V936),$V$2:$V$1001,0),MATCH(COLUMNS($AC$1006:AO1006),$AC$1006:$AS$1006,0)), HYPERLINK("#",""), HYPERLINK(CONCATENATE("#Metadata!", ADDRESS(INDEX($X$2:$X$1001,MATCH(ROWS($V$2:V936),$V$2:$V$1001,0),0), INDEX($AC$1004:$AS$1004,1,MATCH(COLUMNS($AC$1006:AO1006),$AC$1006:$AS$1006,0)))),"Fix")))</f>
        <v>0</v>
      </c>
      <c r="O936" s="5">
        <f>IF(OR(INDEX($W$2:$W$1001,MATCH(ROWS($V$2:V936),$V$2:$V$1001,0),1)&gt;=100000,INDEX($AC$1005:$AS$1005,1,MATCH(COLUMNS($AC$1006:AP1006),$AC$1006:$AS$1006,0))&gt;=100000), " ",IF(INDEX($AC$2:$AS$1001,MATCH(ROWS($V$2:V936),$V$2:$V$1001,0),MATCH(COLUMNS($AC$1006:AP1006),$AC$1006:$AS$1006,0)), HYPERLINK("#",""), HYPERLINK(CONCATENATE("#Metadata!", ADDRESS(INDEX($X$2:$X$1001,MATCH(ROWS($V$2:V936),$V$2:$V$1001,0),0), INDEX($AC$1004:$AS$1004,1,MATCH(COLUMNS($AC$1006:AP1006),$AC$1006:$AS$1006,0)))),"Fix")))</f>
        <v>0</v>
      </c>
      <c r="P936" s="5">
        <f>IF(OR(INDEX($W$2:$W$1001,MATCH(ROWS($V$2:V936),$V$2:$V$1001,0),1)&gt;=100000,INDEX($AC$1005:$AS$1005,1,MATCH(COLUMNS($AC$1006:AQ1006),$AC$1006:$AS$1006,0))&gt;=100000), " ",IF(INDEX($AC$2:$AS$1001,MATCH(ROWS($V$2:V936),$V$2:$V$1001,0),MATCH(COLUMNS($AC$1006:AQ1006),$AC$1006:$AS$1006,0)), HYPERLINK("#",""), HYPERLINK(CONCATENATE("#Metadata!", ADDRESS(INDEX($X$2:$X$1001,MATCH(ROWS($V$2:V936),$V$2:$V$1001,0),0), INDEX($AC$1004:$AS$1004,1,MATCH(COLUMNS($AC$1006:AQ1006),$AC$1006:$AS$1006,0)))),"Fix")))</f>
        <v>0</v>
      </c>
      <c r="Q936" s="5">
        <f>IF(OR(INDEX($W$2:$W$1001,MATCH(ROWS($V$2:V936),$V$2:$V$1001,0),1)&gt;=100000,INDEX($AC$1005:$AS$1005,1,MATCH(COLUMNS($AC$1006:AR1006),$AC$1006:$AS$1006,0))&gt;=100000), " ",IF(INDEX($AC$2:$AS$1001,MATCH(ROWS($V$2:V936),$V$2:$V$1001,0),MATCH(COLUMNS($AC$1006:AR1006),$AC$1006:$AS$1006,0)), HYPERLINK("#",""), HYPERLINK(CONCATENATE("#Metadata!", ADDRESS(INDEX($X$2:$X$1001,MATCH(ROWS($V$2:V936),$V$2:$V$1001,0),0), INDEX($AC$1004:$AS$1004,1,MATCH(COLUMNS($AC$1006:AR1006),$AC$1006:$AS$1006,0)))),"Fix")))</f>
        <v>0</v>
      </c>
      <c r="R936" s="5">
        <f>IF(OR(INDEX($W$2:$W$1001,MATCH(ROWS($V$2:V936),$V$2:$V$1001,0),1)&gt;=100000,INDEX($AC$1005:$AS$1005,1,MATCH(COLUMNS($AC$1006:AS1006),$AC$1006:$AS$1006,0))&gt;=100000), " ",IF(INDEX($AC$2:$AS$1001,MATCH(ROWS($V$2:V936),$V$2:$V$1001,0),MATCH(COLUMNS($AC$1006:AS1006),$AC$1006:$AS$1006,0)), HYPERLINK("#",""), HYPERLINK(CONCATENATE("#Metadata!", ADDRESS(INDEX($X$2:$X$1001,MATCH(ROWS($V$2:V936),$V$2:$V$1001,0),0), INDEX($AC$1004:$AS$1004,1,MATCH(COLUMNS($AC$1006:AS1006),$AC$1006:$AS$1006,0)))),"Fix")))</f>
        <v>0</v>
      </c>
      <c r="V936">
        <v>0</v>
      </c>
      <c r="W936">
        <v>0</v>
      </c>
      <c r="X936">
        <v>0</v>
      </c>
      <c r="Y936">
        <f>IF(Z936,TRUE,AND(AC936:AS936))</f>
        <v>0</v>
      </c>
      <c r="Z936">
        <f>COUNTBLANK(Metadata!B936:R936)=COLUMNS(Metadata!B936:R936)</f>
        <v>0</v>
      </c>
      <c r="AA936">
        <v>0</v>
      </c>
      <c r="AC936">
        <f>AND(IF(Metadata!B936="",FALSE,TRUE),COUNTIF(Metadata!B:B, Metadata!B936) = 1,NOT(ISERROR(SUMPRODUCT(SEARCH(MID(Metadata!B936,ROW(INDIRECT("1:"&amp;LEN(Metadata!B936))), 1),"0123456789abcdefghijklmnopqrstuvwxyzABCDEFGHIJKLMNOPQRSTUVWXYZ.")))))</f>
        <v>0</v>
      </c>
      <c r="AD936">
        <f>AND(IF(Metadata!C936="",FALSE,TRUE),exact(Metadata!C936,"Host-associated"))</f>
        <v>0</v>
      </c>
      <c r="AE936">
        <f>AND(IF(Metadata!D936="",FALSE,TRUE),OR(exact(Metadata!D936,"Animal"),exact(Metadata!D936,"Fungus"),exact(Metadata!D936,"Plant")))</f>
        <v>0</v>
      </c>
      <c r="AF936">
        <f>AND(IF(Metadata!E936="",FALSE,TRUE),OR(exact(Metadata!E936,"Plant secretion"),exact(Metadata!E936,"Plant rhizosphere"),exact(Metadata!E936,"Plant surface"),exact(Metadata!E936,"Plant corpus"),exact(Metadata!E936,"Fungus surface"),exact(Metadata!E936,"Fungus corpus"),exact(Metadata!E936,"Animal surface"),exact(Metadata!E936,"Animal proximal gut"),exact(Metadata!E936,"Animal corpus"),exact(Metadata!E936,"Animal distal gut"),exact(Metadata!E936,"Animal secretion")))</f>
        <v>0</v>
      </c>
      <c r="AG936">
        <f>OR(AND(IF(Metadata!F936="",FALSE,TRUE),OR(exact(Metadata!F936,"not collected"),exact(Metadata!F936,"not provided"),exact(Metadata!F936,"restricted access"))),AND(IF(Metadata!F936="",FALSE,TRUE),OR(exact(Metadata!F936,"organism-associated habitat"),exact(Metadata!F936,"plant-associated habitat"),exact(Metadata!F936,"animal-associated habitat"),exact(Metadata!F936,"insecta-associated habitat"),exact(Metadata!F936,"mammalia-associated habitat"),exact(Metadata!F936,"human-associated habitat"),exact(Metadata!F936,"livestock-associated habitat"))))</f>
        <v>0</v>
      </c>
      <c r="AH936">
        <f>AND(IF(Metadata!G936="",FALSE,TRUE),exact(Metadata!G936,"host-associated"))</f>
        <v>0</v>
      </c>
      <c r="AI936">
        <f>OR(AND(IF(Metadata!H936="",FALSE,TRUE),OR(exact(Metadata!H936,"not collected"),exact(Metadata!H936,"not provided"))),AND(IF(Metadata!H936="",FALSE,ISNUMBER(VALUE(Metadata!H936))),Metadata!H936&gt;0))</f>
        <v>0</v>
      </c>
      <c r="AJ936">
        <f>AND(IF(Metadata!I936="",FALSE,TRUE),exact(Metadata!I936,"years"))</f>
        <v>0</v>
      </c>
      <c r="AK936">
        <f>IF(Metadata!J936="",FALSE,TRUE)</f>
        <v>0</v>
      </c>
      <c r="AL936">
        <f>OR(AND(IF(Metadata!K936="",FALSE,TRUE),OR(exact(Metadata!K936,"not collected"),exact(Metadata!K936,"not provided"))),AND(IF(Metadata!K936="",FALSE,ISNUMBER(VALUE(Metadata!K936))),Metadata!K936&gt;0))</f>
        <v>0</v>
      </c>
      <c r="AM936">
        <f>AND(IF(Metadata!L936="",FALSE,TRUE),exact(Metadata!L936,"cm"))</f>
        <v>0</v>
      </c>
      <c r="AN936">
        <f>IF(Metadata!M936="",FALSE,TRUE)</f>
        <v>0</v>
      </c>
      <c r="AO936">
        <f>OR(AND(IF(Metadata!N936="",FALSE,TRUE),OR(exact(Metadata!N936,"not applicable"),exact(Metadata!N936,"not collected"),exact(Metadata!N936,"not provided"))),AND(IF(Metadata!N936="",FALSE,IF(ISERROR(INT(Metadata!N936)),FALSE,INT(Metadata!N936)=Metadata!N936)),Metadata!N936&gt;0))</f>
        <v>0</v>
      </c>
      <c r="AP936">
        <f>OR(AND(IF(Metadata!O936="",FALSE,TRUE),OR(exact(Metadata!O936,"not collected"),exact(Metadata!O936,"not provided"))),AND(IF(Metadata!O936="",FALSE,ISNUMBER(VALUE(Metadata!O936))),Metadata!O936&gt;0))</f>
        <v>0</v>
      </c>
      <c r="AQ936">
        <f>AND(IF(Metadata!P936="",FALSE,TRUE),exact(Metadata!P936,"kg"))</f>
        <v>0</v>
      </c>
      <c r="AR936">
        <f>OR(AND(IF(Metadata!Q936="",FALSE,TRUE),OR(exact(Metadata!Q936,"not applicable"),exact(Metadata!Q936,"not collected"),exact(Metadata!Q936,"not provided"),exact(Metadata!Q936,"restricted access"))),IF(Metadata!Q936="",FALSE,IF(ISERROR(INT(Metadata!Q936)),FALSE,INT(Metadata!Q936)=Metadata!Q936)))</f>
        <v>0</v>
      </c>
      <c r="AS936">
        <f>AND(IF(Metadata!R936="",FALSE,TRUE),exact(Metadata!R936,"Not applicable"))</f>
        <v>0</v>
      </c>
    </row>
    <row r="937" spans="1:45">
      <c r="A937" s="4">
        <f>IF(B937=" "," ",HYPERLINK(CONCATENATE("#metadata!",ADDRESS(INDEX($X$2:$X$1001,MATCH(ROWS($V$2:V937),$V$2:$V$1001,0),0),2)),INDEX($AA$2:$AA$1001,MATCH(ROWS($V$2:V937),$V$2:$V$1001,0),0)))</f>
        <v>0</v>
      </c>
      <c r="B937" s="5">
        <f>IF(OR(INDEX($W$2:$W$1001,MATCH(ROWS($V$2:V937),$V$2:$V$1001,0),1)&gt;=100000,INDEX($AC$1005:$AS$1005,1,MATCH(COLUMNS($AC$1006:AC1006),$AC$1006:$AS$1006,0))&gt;=100000), " ",IF(INDEX($AC$2:$AS$1001,MATCH(ROWS($V$2:V937),$V$2:$V$1001,0),MATCH(COLUMNS($AC$1006:AC1006),$AC$1006:$AS$1006,0)), HYPERLINK("#",""), HYPERLINK(CONCATENATE("#Metadata!", ADDRESS(INDEX($X$2:$X$1001,MATCH(ROWS($V$2:V937),$V$2:$V$1001,0),0), INDEX($AC$1004:$AS$1004,1,MATCH(COLUMNS($AC$1006:AC1006),$AC$1006:$AS$1006,0)))),"Fix")))</f>
        <v>0</v>
      </c>
      <c r="C937" s="5">
        <f>IF(OR(INDEX($W$2:$W$1001,MATCH(ROWS($V$2:V937),$V$2:$V$1001,0),1)&gt;=100000,INDEX($AC$1005:$AS$1005,1,MATCH(COLUMNS($AC$1006:AD1006),$AC$1006:$AS$1006,0))&gt;=100000), " ",IF(INDEX($AC$2:$AS$1001,MATCH(ROWS($V$2:V937),$V$2:$V$1001,0),MATCH(COLUMNS($AC$1006:AD1006),$AC$1006:$AS$1006,0)), HYPERLINK("#",""), HYPERLINK(CONCATENATE("#Metadata!", ADDRESS(INDEX($X$2:$X$1001,MATCH(ROWS($V$2:V937),$V$2:$V$1001,0),0), INDEX($AC$1004:$AS$1004,1,MATCH(COLUMNS($AC$1006:AD1006),$AC$1006:$AS$1006,0)))),"Fix")))</f>
        <v>0</v>
      </c>
      <c r="D937" s="5">
        <f>IF(OR(INDEX($W$2:$W$1001,MATCH(ROWS($V$2:V937),$V$2:$V$1001,0),1)&gt;=100000,INDEX($AC$1005:$AS$1005,1,MATCH(COLUMNS($AC$1006:AE1006),$AC$1006:$AS$1006,0))&gt;=100000), " ",IF(INDEX($AC$2:$AS$1001,MATCH(ROWS($V$2:V937),$V$2:$V$1001,0),MATCH(COLUMNS($AC$1006:AE1006),$AC$1006:$AS$1006,0)), HYPERLINK("#",""), HYPERLINK(CONCATENATE("#Metadata!", ADDRESS(INDEX($X$2:$X$1001,MATCH(ROWS($V$2:V937),$V$2:$V$1001,0),0), INDEX($AC$1004:$AS$1004,1,MATCH(COLUMNS($AC$1006:AE1006),$AC$1006:$AS$1006,0)))),"Fix")))</f>
        <v>0</v>
      </c>
      <c r="E937" s="5">
        <f>IF(OR(INDEX($W$2:$W$1001,MATCH(ROWS($V$2:V937),$V$2:$V$1001,0),1)&gt;=100000,INDEX($AC$1005:$AS$1005,1,MATCH(COLUMNS($AC$1006:AF1006),$AC$1006:$AS$1006,0))&gt;=100000), " ",IF(INDEX($AC$2:$AS$1001,MATCH(ROWS($V$2:V937),$V$2:$V$1001,0),MATCH(COLUMNS($AC$1006:AF1006),$AC$1006:$AS$1006,0)), HYPERLINK("#",""), HYPERLINK(CONCATENATE("#Metadata!", ADDRESS(INDEX($X$2:$X$1001,MATCH(ROWS($V$2:V937),$V$2:$V$1001,0),0), INDEX($AC$1004:$AS$1004,1,MATCH(COLUMNS($AC$1006:AF1006),$AC$1006:$AS$1006,0)))),"Fix")))</f>
        <v>0</v>
      </c>
      <c r="F937" s="5">
        <f>IF(OR(INDEX($W$2:$W$1001,MATCH(ROWS($V$2:V937),$V$2:$V$1001,0),1)&gt;=100000,INDEX($AC$1005:$AS$1005,1,MATCH(COLUMNS($AC$1006:AG1006),$AC$1006:$AS$1006,0))&gt;=100000), " ",IF(INDEX($AC$2:$AS$1001,MATCH(ROWS($V$2:V937),$V$2:$V$1001,0),MATCH(COLUMNS($AC$1006:AG1006),$AC$1006:$AS$1006,0)), HYPERLINK("#",""), HYPERLINK(CONCATENATE("#Metadata!", ADDRESS(INDEX($X$2:$X$1001,MATCH(ROWS($V$2:V937),$V$2:$V$1001,0),0), INDEX($AC$1004:$AS$1004,1,MATCH(COLUMNS($AC$1006:AG1006),$AC$1006:$AS$1006,0)))),"Fix")))</f>
        <v>0</v>
      </c>
      <c r="G937" s="5">
        <f>IF(OR(INDEX($W$2:$W$1001,MATCH(ROWS($V$2:V937),$V$2:$V$1001,0),1)&gt;=100000,INDEX($AC$1005:$AS$1005,1,MATCH(COLUMNS($AC$1006:AH1006),$AC$1006:$AS$1006,0))&gt;=100000), " ",IF(INDEX($AC$2:$AS$1001,MATCH(ROWS($V$2:V937),$V$2:$V$1001,0),MATCH(COLUMNS($AC$1006:AH1006),$AC$1006:$AS$1006,0)), HYPERLINK("#",""), HYPERLINK(CONCATENATE("#Metadata!", ADDRESS(INDEX($X$2:$X$1001,MATCH(ROWS($V$2:V937),$V$2:$V$1001,0),0), INDEX($AC$1004:$AS$1004,1,MATCH(COLUMNS($AC$1006:AH1006),$AC$1006:$AS$1006,0)))),"Fix")))</f>
        <v>0</v>
      </c>
      <c r="H937" s="5">
        <f>IF(OR(INDEX($W$2:$W$1001,MATCH(ROWS($V$2:V937),$V$2:$V$1001,0),1)&gt;=100000,INDEX($AC$1005:$AS$1005,1,MATCH(COLUMNS($AC$1006:AI1006),$AC$1006:$AS$1006,0))&gt;=100000), " ",IF(INDEX($AC$2:$AS$1001,MATCH(ROWS($V$2:V937),$V$2:$V$1001,0),MATCH(COLUMNS($AC$1006:AI1006),$AC$1006:$AS$1006,0)), HYPERLINK("#",""), HYPERLINK(CONCATENATE("#Metadata!", ADDRESS(INDEX($X$2:$X$1001,MATCH(ROWS($V$2:V937),$V$2:$V$1001,0),0), INDEX($AC$1004:$AS$1004,1,MATCH(COLUMNS($AC$1006:AI1006),$AC$1006:$AS$1006,0)))),"Fix")))</f>
        <v>0</v>
      </c>
      <c r="I937" s="5">
        <f>IF(OR(INDEX($W$2:$W$1001,MATCH(ROWS($V$2:V937),$V$2:$V$1001,0),1)&gt;=100000,INDEX($AC$1005:$AS$1005,1,MATCH(COLUMNS($AC$1006:AJ1006),$AC$1006:$AS$1006,0))&gt;=100000), " ",IF(INDEX($AC$2:$AS$1001,MATCH(ROWS($V$2:V937),$V$2:$V$1001,0),MATCH(COLUMNS($AC$1006:AJ1006),$AC$1006:$AS$1006,0)), HYPERLINK("#",""), HYPERLINK(CONCATENATE("#Metadata!", ADDRESS(INDEX($X$2:$X$1001,MATCH(ROWS($V$2:V937),$V$2:$V$1001,0),0), INDEX($AC$1004:$AS$1004,1,MATCH(COLUMNS($AC$1006:AJ1006),$AC$1006:$AS$1006,0)))),"Fix")))</f>
        <v>0</v>
      </c>
      <c r="J937" s="5">
        <f>IF(OR(INDEX($W$2:$W$1001,MATCH(ROWS($V$2:V937),$V$2:$V$1001,0),1)&gt;=100000,INDEX($AC$1005:$AS$1005,1,MATCH(COLUMNS($AC$1006:AK1006),$AC$1006:$AS$1006,0))&gt;=100000), " ",IF(INDEX($AC$2:$AS$1001,MATCH(ROWS($V$2:V937),$V$2:$V$1001,0),MATCH(COLUMNS($AC$1006:AK1006),$AC$1006:$AS$1006,0)), HYPERLINK("#",""), HYPERLINK(CONCATENATE("#Metadata!", ADDRESS(INDEX($X$2:$X$1001,MATCH(ROWS($V$2:V937),$V$2:$V$1001,0),0), INDEX($AC$1004:$AS$1004,1,MATCH(COLUMNS($AC$1006:AK1006),$AC$1006:$AS$1006,0)))),"Fix")))</f>
        <v>0</v>
      </c>
      <c r="K937" s="5">
        <f>IF(OR(INDEX($W$2:$W$1001,MATCH(ROWS($V$2:V937),$V$2:$V$1001,0),1)&gt;=100000,INDEX($AC$1005:$AS$1005,1,MATCH(COLUMNS($AC$1006:AL1006),$AC$1006:$AS$1006,0))&gt;=100000), " ",IF(INDEX($AC$2:$AS$1001,MATCH(ROWS($V$2:V937),$V$2:$V$1001,0),MATCH(COLUMNS($AC$1006:AL1006),$AC$1006:$AS$1006,0)), HYPERLINK("#",""), HYPERLINK(CONCATENATE("#Metadata!", ADDRESS(INDEX($X$2:$X$1001,MATCH(ROWS($V$2:V937),$V$2:$V$1001,0),0), INDEX($AC$1004:$AS$1004,1,MATCH(COLUMNS($AC$1006:AL1006),$AC$1006:$AS$1006,0)))),"Fix")))</f>
        <v>0</v>
      </c>
      <c r="L937" s="5">
        <f>IF(OR(INDEX($W$2:$W$1001,MATCH(ROWS($V$2:V937),$V$2:$V$1001,0),1)&gt;=100000,INDEX($AC$1005:$AS$1005,1,MATCH(COLUMNS($AC$1006:AM1006),$AC$1006:$AS$1006,0))&gt;=100000), " ",IF(INDEX($AC$2:$AS$1001,MATCH(ROWS($V$2:V937),$V$2:$V$1001,0),MATCH(COLUMNS($AC$1006:AM1006),$AC$1006:$AS$1006,0)), HYPERLINK("#",""), HYPERLINK(CONCATENATE("#Metadata!", ADDRESS(INDEX($X$2:$X$1001,MATCH(ROWS($V$2:V937),$V$2:$V$1001,0),0), INDEX($AC$1004:$AS$1004,1,MATCH(COLUMNS($AC$1006:AM1006),$AC$1006:$AS$1006,0)))),"Fix")))</f>
        <v>0</v>
      </c>
      <c r="M937" s="5">
        <f>IF(OR(INDEX($W$2:$W$1001,MATCH(ROWS($V$2:V937),$V$2:$V$1001,0),1)&gt;=100000,INDEX($AC$1005:$AS$1005,1,MATCH(COLUMNS($AC$1006:AN1006),$AC$1006:$AS$1006,0))&gt;=100000), " ",IF(INDEX($AC$2:$AS$1001,MATCH(ROWS($V$2:V937),$V$2:$V$1001,0),MATCH(COLUMNS($AC$1006:AN1006),$AC$1006:$AS$1006,0)), HYPERLINK("#",""), HYPERLINK(CONCATENATE("#Metadata!", ADDRESS(INDEX($X$2:$X$1001,MATCH(ROWS($V$2:V937),$V$2:$V$1001,0),0), INDEX($AC$1004:$AS$1004,1,MATCH(COLUMNS($AC$1006:AN1006),$AC$1006:$AS$1006,0)))),"Fix")))</f>
        <v>0</v>
      </c>
      <c r="N937" s="5">
        <f>IF(OR(INDEX($W$2:$W$1001,MATCH(ROWS($V$2:V937),$V$2:$V$1001,0),1)&gt;=100000,INDEX($AC$1005:$AS$1005,1,MATCH(COLUMNS($AC$1006:AO1006),$AC$1006:$AS$1006,0))&gt;=100000), " ",IF(INDEX($AC$2:$AS$1001,MATCH(ROWS($V$2:V937),$V$2:$V$1001,0),MATCH(COLUMNS($AC$1006:AO1006),$AC$1006:$AS$1006,0)), HYPERLINK("#",""), HYPERLINK(CONCATENATE("#Metadata!", ADDRESS(INDEX($X$2:$X$1001,MATCH(ROWS($V$2:V937),$V$2:$V$1001,0),0), INDEX($AC$1004:$AS$1004,1,MATCH(COLUMNS($AC$1006:AO1006),$AC$1006:$AS$1006,0)))),"Fix")))</f>
        <v>0</v>
      </c>
      <c r="O937" s="5">
        <f>IF(OR(INDEX($W$2:$W$1001,MATCH(ROWS($V$2:V937),$V$2:$V$1001,0),1)&gt;=100000,INDEX($AC$1005:$AS$1005,1,MATCH(COLUMNS($AC$1006:AP1006),$AC$1006:$AS$1006,0))&gt;=100000), " ",IF(INDEX($AC$2:$AS$1001,MATCH(ROWS($V$2:V937),$V$2:$V$1001,0),MATCH(COLUMNS($AC$1006:AP1006),$AC$1006:$AS$1006,0)), HYPERLINK("#",""), HYPERLINK(CONCATENATE("#Metadata!", ADDRESS(INDEX($X$2:$X$1001,MATCH(ROWS($V$2:V937),$V$2:$V$1001,0),0), INDEX($AC$1004:$AS$1004,1,MATCH(COLUMNS($AC$1006:AP1006),$AC$1006:$AS$1006,0)))),"Fix")))</f>
        <v>0</v>
      </c>
      <c r="P937" s="5">
        <f>IF(OR(INDEX($W$2:$W$1001,MATCH(ROWS($V$2:V937),$V$2:$V$1001,0),1)&gt;=100000,INDEX($AC$1005:$AS$1005,1,MATCH(COLUMNS($AC$1006:AQ1006),$AC$1006:$AS$1006,0))&gt;=100000), " ",IF(INDEX($AC$2:$AS$1001,MATCH(ROWS($V$2:V937),$V$2:$V$1001,0),MATCH(COLUMNS($AC$1006:AQ1006),$AC$1006:$AS$1006,0)), HYPERLINK("#",""), HYPERLINK(CONCATENATE("#Metadata!", ADDRESS(INDEX($X$2:$X$1001,MATCH(ROWS($V$2:V937),$V$2:$V$1001,0),0), INDEX($AC$1004:$AS$1004,1,MATCH(COLUMNS($AC$1006:AQ1006),$AC$1006:$AS$1006,0)))),"Fix")))</f>
        <v>0</v>
      </c>
      <c r="Q937" s="5">
        <f>IF(OR(INDEX($W$2:$W$1001,MATCH(ROWS($V$2:V937),$V$2:$V$1001,0),1)&gt;=100000,INDEX($AC$1005:$AS$1005,1,MATCH(COLUMNS($AC$1006:AR1006),$AC$1006:$AS$1006,0))&gt;=100000), " ",IF(INDEX($AC$2:$AS$1001,MATCH(ROWS($V$2:V937),$V$2:$V$1001,0),MATCH(COLUMNS($AC$1006:AR1006),$AC$1006:$AS$1006,0)), HYPERLINK("#",""), HYPERLINK(CONCATENATE("#Metadata!", ADDRESS(INDEX($X$2:$X$1001,MATCH(ROWS($V$2:V937),$V$2:$V$1001,0),0), INDEX($AC$1004:$AS$1004,1,MATCH(COLUMNS($AC$1006:AR1006),$AC$1006:$AS$1006,0)))),"Fix")))</f>
        <v>0</v>
      </c>
      <c r="R937" s="5">
        <f>IF(OR(INDEX($W$2:$W$1001,MATCH(ROWS($V$2:V937),$V$2:$V$1001,0),1)&gt;=100000,INDEX($AC$1005:$AS$1005,1,MATCH(COLUMNS($AC$1006:AS1006),$AC$1006:$AS$1006,0))&gt;=100000), " ",IF(INDEX($AC$2:$AS$1001,MATCH(ROWS($V$2:V937),$V$2:$V$1001,0),MATCH(COLUMNS($AC$1006:AS1006),$AC$1006:$AS$1006,0)), HYPERLINK("#",""), HYPERLINK(CONCATENATE("#Metadata!", ADDRESS(INDEX($X$2:$X$1001,MATCH(ROWS($V$2:V937),$V$2:$V$1001,0),0), INDEX($AC$1004:$AS$1004,1,MATCH(COLUMNS($AC$1006:AS1006),$AC$1006:$AS$1006,0)))),"Fix")))</f>
        <v>0</v>
      </c>
      <c r="V937">
        <v>0</v>
      </c>
      <c r="W937">
        <v>0</v>
      </c>
      <c r="X937">
        <v>0</v>
      </c>
      <c r="Y937">
        <f>IF(Z937,TRUE,AND(AC937:AS937))</f>
        <v>0</v>
      </c>
      <c r="Z937">
        <f>COUNTBLANK(Metadata!B937:R937)=COLUMNS(Metadata!B937:R937)</f>
        <v>0</v>
      </c>
      <c r="AA937">
        <v>0</v>
      </c>
      <c r="AC937">
        <f>AND(IF(Metadata!B937="",FALSE,TRUE),COUNTIF(Metadata!B:B, Metadata!B937) = 1,NOT(ISERROR(SUMPRODUCT(SEARCH(MID(Metadata!B937,ROW(INDIRECT("1:"&amp;LEN(Metadata!B937))), 1),"0123456789abcdefghijklmnopqrstuvwxyzABCDEFGHIJKLMNOPQRSTUVWXYZ.")))))</f>
        <v>0</v>
      </c>
      <c r="AD937">
        <f>AND(IF(Metadata!C937="",FALSE,TRUE),exact(Metadata!C937,"Host-associated"))</f>
        <v>0</v>
      </c>
      <c r="AE937">
        <f>AND(IF(Metadata!D937="",FALSE,TRUE),OR(exact(Metadata!D937,"Animal"),exact(Metadata!D937,"Fungus"),exact(Metadata!D937,"Plant")))</f>
        <v>0</v>
      </c>
      <c r="AF937">
        <f>AND(IF(Metadata!E937="",FALSE,TRUE),OR(exact(Metadata!E937,"Plant secretion"),exact(Metadata!E937,"Plant rhizosphere"),exact(Metadata!E937,"Plant surface"),exact(Metadata!E937,"Plant corpus"),exact(Metadata!E937,"Fungus surface"),exact(Metadata!E937,"Fungus corpus"),exact(Metadata!E937,"Animal surface"),exact(Metadata!E937,"Animal proximal gut"),exact(Metadata!E937,"Animal corpus"),exact(Metadata!E937,"Animal distal gut"),exact(Metadata!E937,"Animal secretion")))</f>
        <v>0</v>
      </c>
      <c r="AG937">
        <f>OR(AND(IF(Metadata!F937="",FALSE,TRUE),OR(exact(Metadata!F937,"not collected"),exact(Metadata!F937,"not provided"),exact(Metadata!F937,"restricted access"))),AND(IF(Metadata!F937="",FALSE,TRUE),OR(exact(Metadata!F937,"organism-associated habitat"),exact(Metadata!F937,"plant-associated habitat"),exact(Metadata!F937,"animal-associated habitat"),exact(Metadata!F937,"insecta-associated habitat"),exact(Metadata!F937,"mammalia-associated habitat"),exact(Metadata!F937,"human-associated habitat"),exact(Metadata!F937,"livestock-associated habitat"))))</f>
        <v>0</v>
      </c>
      <c r="AH937">
        <f>AND(IF(Metadata!G937="",FALSE,TRUE),exact(Metadata!G937,"host-associated"))</f>
        <v>0</v>
      </c>
      <c r="AI937">
        <f>OR(AND(IF(Metadata!H937="",FALSE,TRUE),OR(exact(Metadata!H937,"not collected"),exact(Metadata!H937,"not provided"))),AND(IF(Metadata!H937="",FALSE,ISNUMBER(VALUE(Metadata!H937))),Metadata!H937&gt;0))</f>
        <v>0</v>
      </c>
      <c r="AJ937">
        <f>AND(IF(Metadata!I937="",FALSE,TRUE),exact(Metadata!I937,"years"))</f>
        <v>0</v>
      </c>
      <c r="AK937">
        <f>IF(Metadata!J937="",FALSE,TRUE)</f>
        <v>0</v>
      </c>
      <c r="AL937">
        <f>OR(AND(IF(Metadata!K937="",FALSE,TRUE),OR(exact(Metadata!K937,"not collected"),exact(Metadata!K937,"not provided"))),AND(IF(Metadata!K937="",FALSE,ISNUMBER(VALUE(Metadata!K937))),Metadata!K937&gt;0))</f>
        <v>0</v>
      </c>
      <c r="AM937">
        <f>AND(IF(Metadata!L937="",FALSE,TRUE),exact(Metadata!L937,"cm"))</f>
        <v>0</v>
      </c>
      <c r="AN937">
        <f>IF(Metadata!M937="",FALSE,TRUE)</f>
        <v>0</v>
      </c>
      <c r="AO937">
        <f>OR(AND(IF(Metadata!N937="",FALSE,TRUE),OR(exact(Metadata!N937,"not applicable"),exact(Metadata!N937,"not collected"),exact(Metadata!N937,"not provided"))),AND(IF(Metadata!N937="",FALSE,IF(ISERROR(INT(Metadata!N937)),FALSE,INT(Metadata!N937)=Metadata!N937)),Metadata!N937&gt;0))</f>
        <v>0</v>
      </c>
      <c r="AP937">
        <f>OR(AND(IF(Metadata!O937="",FALSE,TRUE),OR(exact(Metadata!O937,"not collected"),exact(Metadata!O937,"not provided"))),AND(IF(Metadata!O937="",FALSE,ISNUMBER(VALUE(Metadata!O937))),Metadata!O937&gt;0))</f>
        <v>0</v>
      </c>
      <c r="AQ937">
        <f>AND(IF(Metadata!P937="",FALSE,TRUE),exact(Metadata!P937,"kg"))</f>
        <v>0</v>
      </c>
      <c r="AR937">
        <f>OR(AND(IF(Metadata!Q937="",FALSE,TRUE),OR(exact(Metadata!Q937,"not applicable"),exact(Metadata!Q937,"not collected"),exact(Metadata!Q937,"not provided"),exact(Metadata!Q937,"restricted access"))),IF(Metadata!Q937="",FALSE,IF(ISERROR(INT(Metadata!Q937)),FALSE,INT(Metadata!Q937)=Metadata!Q937)))</f>
        <v>0</v>
      </c>
      <c r="AS937">
        <f>AND(IF(Metadata!R937="",FALSE,TRUE),exact(Metadata!R937,"Not applicable"))</f>
        <v>0</v>
      </c>
    </row>
    <row r="938" spans="1:45">
      <c r="A938" s="4">
        <f>IF(B938=" "," ",HYPERLINK(CONCATENATE("#metadata!",ADDRESS(INDEX($X$2:$X$1001,MATCH(ROWS($V$2:V938),$V$2:$V$1001,0),0),2)),INDEX($AA$2:$AA$1001,MATCH(ROWS($V$2:V938),$V$2:$V$1001,0),0)))</f>
        <v>0</v>
      </c>
      <c r="B938" s="5">
        <f>IF(OR(INDEX($W$2:$W$1001,MATCH(ROWS($V$2:V938),$V$2:$V$1001,0),1)&gt;=100000,INDEX($AC$1005:$AS$1005,1,MATCH(COLUMNS($AC$1006:AC1006),$AC$1006:$AS$1006,0))&gt;=100000), " ",IF(INDEX($AC$2:$AS$1001,MATCH(ROWS($V$2:V938),$V$2:$V$1001,0),MATCH(COLUMNS($AC$1006:AC1006),$AC$1006:$AS$1006,0)), HYPERLINK("#",""), HYPERLINK(CONCATENATE("#Metadata!", ADDRESS(INDEX($X$2:$X$1001,MATCH(ROWS($V$2:V938),$V$2:$V$1001,0),0), INDEX($AC$1004:$AS$1004,1,MATCH(COLUMNS($AC$1006:AC1006),$AC$1006:$AS$1006,0)))),"Fix")))</f>
        <v>0</v>
      </c>
      <c r="C938" s="5">
        <f>IF(OR(INDEX($W$2:$W$1001,MATCH(ROWS($V$2:V938),$V$2:$V$1001,0),1)&gt;=100000,INDEX($AC$1005:$AS$1005,1,MATCH(COLUMNS($AC$1006:AD1006),$AC$1006:$AS$1006,0))&gt;=100000), " ",IF(INDEX($AC$2:$AS$1001,MATCH(ROWS($V$2:V938),$V$2:$V$1001,0),MATCH(COLUMNS($AC$1006:AD1006),$AC$1006:$AS$1006,0)), HYPERLINK("#",""), HYPERLINK(CONCATENATE("#Metadata!", ADDRESS(INDEX($X$2:$X$1001,MATCH(ROWS($V$2:V938),$V$2:$V$1001,0),0), INDEX($AC$1004:$AS$1004,1,MATCH(COLUMNS($AC$1006:AD1006),$AC$1006:$AS$1006,0)))),"Fix")))</f>
        <v>0</v>
      </c>
      <c r="D938" s="5">
        <f>IF(OR(INDEX($W$2:$W$1001,MATCH(ROWS($V$2:V938),$V$2:$V$1001,0),1)&gt;=100000,INDEX($AC$1005:$AS$1005,1,MATCH(COLUMNS($AC$1006:AE1006),$AC$1006:$AS$1006,0))&gt;=100000), " ",IF(INDEX($AC$2:$AS$1001,MATCH(ROWS($V$2:V938),$V$2:$V$1001,0),MATCH(COLUMNS($AC$1006:AE1006),$AC$1006:$AS$1006,0)), HYPERLINK("#",""), HYPERLINK(CONCATENATE("#Metadata!", ADDRESS(INDEX($X$2:$X$1001,MATCH(ROWS($V$2:V938),$V$2:$V$1001,0),0), INDEX($AC$1004:$AS$1004,1,MATCH(COLUMNS($AC$1006:AE1006),$AC$1006:$AS$1006,0)))),"Fix")))</f>
        <v>0</v>
      </c>
      <c r="E938" s="5">
        <f>IF(OR(INDEX($W$2:$W$1001,MATCH(ROWS($V$2:V938),$V$2:$V$1001,0),1)&gt;=100000,INDEX($AC$1005:$AS$1005,1,MATCH(COLUMNS($AC$1006:AF1006),$AC$1006:$AS$1006,0))&gt;=100000), " ",IF(INDEX($AC$2:$AS$1001,MATCH(ROWS($V$2:V938),$V$2:$V$1001,0),MATCH(COLUMNS($AC$1006:AF1006),$AC$1006:$AS$1006,0)), HYPERLINK("#",""), HYPERLINK(CONCATENATE("#Metadata!", ADDRESS(INDEX($X$2:$X$1001,MATCH(ROWS($V$2:V938),$V$2:$V$1001,0),0), INDEX($AC$1004:$AS$1004,1,MATCH(COLUMNS($AC$1006:AF1006),$AC$1006:$AS$1006,0)))),"Fix")))</f>
        <v>0</v>
      </c>
      <c r="F938" s="5">
        <f>IF(OR(INDEX($W$2:$W$1001,MATCH(ROWS($V$2:V938),$V$2:$V$1001,0),1)&gt;=100000,INDEX($AC$1005:$AS$1005,1,MATCH(COLUMNS($AC$1006:AG1006),$AC$1006:$AS$1006,0))&gt;=100000), " ",IF(INDEX($AC$2:$AS$1001,MATCH(ROWS($V$2:V938),$V$2:$V$1001,0),MATCH(COLUMNS($AC$1006:AG1006),$AC$1006:$AS$1006,0)), HYPERLINK("#",""), HYPERLINK(CONCATENATE("#Metadata!", ADDRESS(INDEX($X$2:$X$1001,MATCH(ROWS($V$2:V938),$V$2:$V$1001,0),0), INDEX($AC$1004:$AS$1004,1,MATCH(COLUMNS($AC$1006:AG1006),$AC$1006:$AS$1006,0)))),"Fix")))</f>
        <v>0</v>
      </c>
      <c r="G938" s="5">
        <f>IF(OR(INDEX($W$2:$W$1001,MATCH(ROWS($V$2:V938),$V$2:$V$1001,0),1)&gt;=100000,INDEX($AC$1005:$AS$1005,1,MATCH(COLUMNS($AC$1006:AH1006),$AC$1006:$AS$1006,0))&gt;=100000), " ",IF(INDEX($AC$2:$AS$1001,MATCH(ROWS($V$2:V938),$V$2:$V$1001,0),MATCH(COLUMNS($AC$1006:AH1006),$AC$1006:$AS$1006,0)), HYPERLINK("#",""), HYPERLINK(CONCATENATE("#Metadata!", ADDRESS(INDEX($X$2:$X$1001,MATCH(ROWS($V$2:V938),$V$2:$V$1001,0),0), INDEX($AC$1004:$AS$1004,1,MATCH(COLUMNS($AC$1006:AH1006),$AC$1006:$AS$1006,0)))),"Fix")))</f>
        <v>0</v>
      </c>
      <c r="H938" s="5">
        <f>IF(OR(INDEX($W$2:$W$1001,MATCH(ROWS($V$2:V938),$V$2:$V$1001,0),1)&gt;=100000,INDEX($AC$1005:$AS$1005,1,MATCH(COLUMNS($AC$1006:AI1006),$AC$1006:$AS$1006,0))&gt;=100000), " ",IF(INDEX($AC$2:$AS$1001,MATCH(ROWS($V$2:V938),$V$2:$V$1001,0),MATCH(COLUMNS($AC$1006:AI1006),$AC$1006:$AS$1006,0)), HYPERLINK("#",""), HYPERLINK(CONCATENATE("#Metadata!", ADDRESS(INDEX($X$2:$X$1001,MATCH(ROWS($V$2:V938),$V$2:$V$1001,0),0), INDEX($AC$1004:$AS$1004,1,MATCH(COLUMNS($AC$1006:AI1006),$AC$1006:$AS$1006,0)))),"Fix")))</f>
        <v>0</v>
      </c>
      <c r="I938" s="5">
        <f>IF(OR(INDEX($W$2:$W$1001,MATCH(ROWS($V$2:V938),$V$2:$V$1001,0),1)&gt;=100000,INDEX($AC$1005:$AS$1005,1,MATCH(COLUMNS($AC$1006:AJ1006),$AC$1006:$AS$1006,0))&gt;=100000), " ",IF(INDEX($AC$2:$AS$1001,MATCH(ROWS($V$2:V938),$V$2:$V$1001,0),MATCH(COLUMNS($AC$1006:AJ1006),$AC$1006:$AS$1006,0)), HYPERLINK("#",""), HYPERLINK(CONCATENATE("#Metadata!", ADDRESS(INDEX($X$2:$X$1001,MATCH(ROWS($V$2:V938),$V$2:$V$1001,0),0), INDEX($AC$1004:$AS$1004,1,MATCH(COLUMNS($AC$1006:AJ1006),$AC$1006:$AS$1006,0)))),"Fix")))</f>
        <v>0</v>
      </c>
      <c r="J938" s="5">
        <f>IF(OR(INDEX($W$2:$W$1001,MATCH(ROWS($V$2:V938),$V$2:$V$1001,0),1)&gt;=100000,INDEX($AC$1005:$AS$1005,1,MATCH(COLUMNS($AC$1006:AK1006),$AC$1006:$AS$1006,0))&gt;=100000), " ",IF(INDEX($AC$2:$AS$1001,MATCH(ROWS($V$2:V938),$V$2:$V$1001,0),MATCH(COLUMNS($AC$1006:AK1006),$AC$1006:$AS$1006,0)), HYPERLINK("#",""), HYPERLINK(CONCATENATE("#Metadata!", ADDRESS(INDEX($X$2:$X$1001,MATCH(ROWS($V$2:V938),$V$2:$V$1001,0),0), INDEX($AC$1004:$AS$1004,1,MATCH(COLUMNS($AC$1006:AK1006),$AC$1006:$AS$1006,0)))),"Fix")))</f>
        <v>0</v>
      </c>
      <c r="K938" s="5">
        <f>IF(OR(INDEX($W$2:$W$1001,MATCH(ROWS($V$2:V938),$V$2:$V$1001,0),1)&gt;=100000,INDEX($AC$1005:$AS$1005,1,MATCH(COLUMNS($AC$1006:AL1006),$AC$1006:$AS$1006,0))&gt;=100000), " ",IF(INDEX($AC$2:$AS$1001,MATCH(ROWS($V$2:V938),$V$2:$V$1001,0),MATCH(COLUMNS($AC$1006:AL1006),$AC$1006:$AS$1006,0)), HYPERLINK("#",""), HYPERLINK(CONCATENATE("#Metadata!", ADDRESS(INDEX($X$2:$X$1001,MATCH(ROWS($V$2:V938),$V$2:$V$1001,0),0), INDEX($AC$1004:$AS$1004,1,MATCH(COLUMNS($AC$1006:AL1006),$AC$1006:$AS$1006,0)))),"Fix")))</f>
        <v>0</v>
      </c>
      <c r="L938" s="5">
        <f>IF(OR(INDEX($W$2:$W$1001,MATCH(ROWS($V$2:V938),$V$2:$V$1001,0),1)&gt;=100000,INDEX($AC$1005:$AS$1005,1,MATCH(COLUMNS($AC$1006:AM1006),$AC$1006:$AS$1006,0))&gt;=100000), " ",IF(INDEX($AC$2:$AS$1001,MATCH(ROWS($V$2:V938),$V$2:$V$1001,0),MATCH(COLUMNS($AC$1006:AM1006),$AC$1006:$AS$1006,0)), HYPERLINK("#",""), HYPERLINK(CONCATENATE("#Metadata!", ADDRESS(INDEX($X$2:$X$1001,MATCH(ROWS($V$2:V938),$V$2:$V$1001,0),0), INDEX($AC$1004:$AS$1004,1,MATCH(COLUMNS($AC$1006:AM1006),$AC$1006:$AS$1006,0)))),"Fix")))</f>
        <v>0</v>
      </c>
      <c r="M938" s="5">
        <f>IF(OR(INDEX($W$2:$W$1001,MATCH(ROWS($V$2:V938),$V$2:$V$1001,0),1)&gt;=100000,INDEX($AC$1005:$AS$1005,1,MATCH(COLUMNS($AC$1006:AN1006),$AC$1006:$AS$1006,0))&gt;=100000), " ",IF(INDEX($AC$2:$AS$1001,MATCH(ROWS($V$2:V938),$V$2:$V$1001,0),MATCH(COLUMNS($AC$1006:AN1006),$AC$1006:$AS$1006,0)), HYPERLINK("#",""), HYPERLINK(CONCATENATE("#Metadata!", ADDRESS(INDEX($X$2:$X$1001,MATCH(ROWS($V$2:V938),$V$2:$V$1001,0),0), INDEX($AC$1004:$AS$1004,1,MATCH(COLUMNS($AC$1006:AN1006),$AC$1006:$AS$1006,0)))),"Fix")))</f>
        <v>0</v>
      </c>
      <c r="N938" s="5">
        <f>IF(OR(INDEX($W$2:$W$1001,MATCH(ROWS($V$2:V938),$V$2:$V$1001,0),1)&gt;=100000,INDEX($AC$1005:$AS$1005,1,MATCH(COLUMNS($AC$1006:AO1006),$AC$1006:$AS$1006,0))&gt;=100000), " ",IF(INDEX($AC$2:$AS$1001,MATCH(ROWS($V$2:V938),$V$2:$V$1001,0),MATCH(COLUMNS($AC$1006:AO1006),$AC$1006:$AS$1006,0)), HYPERLINK("#",""), HYPERLINK(CONCATENATE("#Metadata!", ADDRESS(INDEX($X$2:$X$1001,MATCH(ROWS($V$2:V938),$V$2:$V$1001,0),0), INDEX($AC$1004:$AS$1004,1,MATCH(COLUMNS($AC$1006:AO1006),$AC$1006:$AS$1006,0)))),"Fix")))</f>
        <v>0</v>
      </c>
      <c r="O938" s="5">
        <f>IF(OR(INDEX($W$2:$W$1001,MATCH(ROWS($V$2:V938),$V$2:$V$1001,0),1)&gt;=100000,INDEX($AC$1005:$AS$1005,1,MATCH(COLUMNS($AC$1006:AP1006),$AC$1006:$AS$1006,0))&gt;=100000), " ",IF(INDEX($AC$2:$AS$1001,MATCH(ROWS($V$2:V938),$V$2:$V$1001,0),MATCH(COLUMNS($AC$1006:AP1006),$AC$1006:$AS$1006,0)), HYPERLINK("#",""), HYPERLINK(CONCATENATE("#Metadata!", ADDRESS(INDEX($X$2:$X$1001,MATCH(ROWS($V$2:V938),$V$2:$V$1001,0),0), INDEX($AC$1004:$AS$1004,1,MATCH(COLUMNS($AC$1006:AP1006),$AC$1006:$AS$1006,0)))),"Fix")))</f>
        <v>0</v>
      </c>
      <c r="P938" s="5">
        <f>IF(OR(INDEX($W$2:$W$1001,MATCH(ROWS($V$2:V938),$V$2:$V$1001,0),1)&gt;=100000,INDEX($AC$1005:$AS$1005,1,MATCH(COLUMNS($AC$1006:AQ1006),$AC$1006:$AS$1006,0))&gt;=100000), " ",IF(INDEX($AC$2:$AS$1001,MATCH(ROWS($V$2:V938),$V$2:$V$1001,0),MATCH(COLUMNS($AC$1006:AQ1006),$AC$1006:$AS$1006,0)), HYPERLINK("#",""), HYPERLINK(CONCATENATE("#Metadata!", ADDRESS(INDEX($X$2:$X$1001,MATCH(ROWS($V$2:V938),$V$2:$V$1001,0),0), INDEX($AC$1004:$AS$1004,1,MATCH(COLUMNS($AC$1006:AQ1006),$AC$1006:$AS$1006,0)))),"Fix")))</f>
        <v>0</v>
      </c>
      <c r="Q938" s="5">
        <f>IF(OR(INDEX($W$2:$W$1001,MATCH(ROWS($V$2:V938),$V$2:$V$1001,0),1)&gt;=100000,INDEX($AC$1005:$AS$1005,1,MATCH(COLUMNS($AC$1006:AR1006),$AC$1006:$AS$1006,0))&gt;=100000), " ",IF(INDEX($AC$2:$AS$1001,MATCH(ROWS($V$2:V938),$V$2:$V$1001,0),MATCH(COLUMNS($AC$1006:AR1006),$AC$1006:$AS$1006,0)), HYPERLINK("#",""), HYPERLINK(CONCATENATE("#Metadata!", ADDRESS(INDEX($X$2:$X$1001,MATCH(ROWS($V$2:V938),$V$2:$V$1001,0),0), INDEX($AC$1004:$AS$1004,1,MATCH(COLUMNS($AC$1006:AR1006),$AC$1006:$AS$1006,0)))),"Fix")))</f>
        <v>0</v>
      </c>
      <c r="R938" s="5">
        <f>IF(OR(INDEX($W$2:$W$1001,MATCH(ROWS($V$2:V938),$V$2:$V$1001,0),1)&gt;=100000,INDEX($AC$1005:$AS$1005,1,MATCH(COLUMNS($AC$1006:AS1006),$AC$1006:$AS$1006,0))&gt;=100000), " ",IF(INDEX($AC$2:$AS$1001,MATCH(ROWS($V$2:V938),$V$2:$V$1001,0),MATCH(COLUMNS($AC$1006:AS1006),$AC$1006:$AS$1006,0)), HYPERLINK("#",""), HYPERLINK(CONCATENATE("#Metadata!", ADDRESS(INDEX($X$2:$X$1001,MATCH(ROWS($V$2:V938),$V$2:$V$1001,0),0), INDEX($AC$1004:$AS$1004,1,MATCH(COLUMNS($AC$1006:AS1006),$AC$1006:$AS$1006,0)))),"Fix")))</f>
        <v>0</v>
      </c>
      <c r="V938">
        <v>0</v>
      </c>
      <c r="W938">
        <v>0</v>
      </c>
      <c r="X938">
        <v>0</v>
      </c>
      <c r="Y938">
        <f>IF(Z938,TRUE,AND(AC938:AS938))</f>
        <v>0</v>
      </c>
      <c r="Z938">
        <f>COUNTBLANK(Metadata!B938:R938)=COLUMNS(Metadata!B938:R938)</f>
        <v>0</v>
      </c>
      <c r="AA938">
        <v>0</v>
      </c>
      <c r="AC938">
        <f>AND(IF(Metadata!B938="",FALSE,TRUE),COUNTIF(Metadata!B:B, Metadata!B938) = 1,NOT(ISERROR(SUMPRODUCT(SEARCH(MID(Metadata!B938,ROW(INDIRECT("1:"&amp;LEN(Metadata!B938))), 1),"0123456789abcdefghijklmnopqrstuvwxyzABCDEFGHIJKLMNOPQRSTUVWXYZ.")))))</f>
        <v>0</v>
      </c>
      <c r="AD938">
        <f>AND(IF(Metadata!C938="",FALSE,TRUE),exact(Metadata!C938,"Host-associated"))</f>
        <v>0</v>
      </c>
      <c r="AE938">
        <f>AND(IF(Metadata!D938="",FALSE,TRUE),OR(exact(Metadata!D938,"Animal"),exact(Metadata!D938,"Fungus"),exact(Metadata!D938,"Plant")))</f>
        <v>0</v>
      </c>
      <c r="AF938">
        <f>AND(IF(Metadata!E938="",FALSE,TRUE),OR(exact(Metadata!E938,"Plant secretion"),exact(Metadata!E938,"Plant rhizosphere"),exact(Metadata!E938,"Plant surface"),exact(Metadata!E938,"Plant corpus"),exact(Metadata!E938,"Fungus surface"),exact(Metadata!E938,"Fungus corpus"),exact(Metadata!E938,"Animal surface"),exact(Metadata!E938,"Animal proximal gut"),exact(Metadata!E938,"Animal corpus"),exact(Metadata!E938,"Animal distal gut"),exact(Metadata!E938,"Animal secretion")))</f>
        <v>0</v>
      </c>
      <c r="AG938">
        <f>OR(AND(IF(Metadata!F938="",FALSE,TRUE),OR(exact(Metadata!F938,"not collected"),exact(Metadata!F938,"not provided"),exact(Metadata!F938,"restricted access"))),AND(IF(Metadata!F938="",FALSE,TRUE),OR(exact(Metadata!F938,"organism-associated habitat"),exact(Metadata!F938,"plant-associated habitat"),exact(Metadata!F938,"animal-associated habitat"),exact(Metadata!F938,"insecta-associated habitat"),exact(Metadata!F938,"mammalia-associated habitat"),exact(Metadata!F938,"human-associated habitat"),exact(Metadata!F938,"livestock-associated habitat"))))</f>
        <v>0</v>
      </c>
      <c r="AH938">
        <f>AND(IF(Metadata!G938="",FALSE,TRUE),exact(Metadata!G938,"host-associated"))</f>
        <v>0</v>
      </c>
      <c r="AI938">
        <f>OR(AND(IF(Metadata!H938="",FALSE,TRUE),OR(exact(Metadata!H938,"not collected"),exact(Metadata!H938,"not provided"))),AND(IF(Metadata!H938="",FALSE,ISNUMBER(VALUE(Metadata!H938))),Metadata!H938&gt;0))</f>
        <v>0</v>
      </c>
      <c r="AJ938">
        <f>AND(IF(Metadata!I938="",FALSE,TRUE),exact(Metadata!I938,"years"))</f>
        <v>0</v>
      </c>
      <c r="AK938">
        <f>IF(Metadata!J938="",FALSE,TRUE)</f>
        <v>0</v>
      </c>
      <c r="AL938">
        <f>OR(AND(IF(Metadata!K938="",FALSE,TRUE),OR(exact(Metadata!K938,"not collected"),exact(Metadata!K938,"not provided"))),AND(IF(Metadata!K938="",FALSE,ISNUMBER(VALUE(Metadata!K938))),Metadata!K938&gt;0))</f>
        <v>0</v>
      </c>
      <c r="AM938">
        <f>AND(IF(Metadata!L938="",FALSE,TRUE),exact(Metadata!L938,"cm"))</f>
        <v>0</v>
      </c>
      <c r="AN938">
        <f>IF(Metadata!M938="",FALSE,TRUE)</f>
        <v>0</v>
      </c>
      <c r="AO938">
        <f>OR(AND(IF(Metadata!N938="",FALSE,TRUE),OR(exact(Metadata!N938,"not applicable"),exact(Metadata!N938,"not collected"),exact(Metadata!N938,"not provided"))),AND(IF(Metadata!N938="",FALSE,IF(ISERROR(INT(Metadata!N938)),FALSE,INT(Metadata!N938)=Metadata!N938)),Metadata!N938&gt;0))</f>
        <v>0</v>
      </c>
      <c r="AP938">
        <f>OR(AND(IF(Metadata!O938="",FALSE,TRUE),OR(exact(Metadata!O938,"not collected"),exact(Metadata!O938,"not provided"))),AND(IF(Metadata!O938="",FALSE,ISNUMBER(VALUE(Metadata!O938))),Metadata!O938&gt;0))</f>
        <v>0</v>
      </c>
      <c r="AQ938">
        <f>AND(IF(Metadata!P938="",FALSE,TRUE),exact(Metadata!P938,"kg"))</f>
        <v>0</v>
      </c>
      <c r="AR938">
        <f>OR(AND(IF(Metadata!Q938="",FALSE,TRUE),OR(exact(Metadata!Q938,"not applicable"),exact(Metadata!Q938,"not collected"),exact(Metadata!Q938,"not provided"),exact(Metadata!Q938,"restricted access"))),IF(Metadata!Q938="",FALSE,IF(ISERROR(INT(Metadata!Q938)),FALSE,INT(Metadata!Q938)=Metadata!Q938)))</f>
        <v>0</v>
      </c>
      <c r="AS938">
        <f>AND(IF(Metadata!R938="",FALSE,TRUE),exact(Metadata!R938,"Not applicable"))</f>
        <v>0</v>
      </c>
    </row>
    <row r="939" spans="1:45">
      <c r="A939" s="4">
        <f>IF(B939=" "," ",HYPERLINK(CONCATENATE("#metadata!",ADDRESS(INDEX($X$2:$X$1001,MATCH(ROWS($V$2:V939),$V$2:$V$1001,0),0),2)),INDEX($AA$2:$AA$1001,MATCH(ROWS($V$2:V939),$V$2:$V$1001,0),0)))</f>
        <v>0</v>
      </c>
      <c r="B939" s="5">
        <f>IF(OR(INDEX($W$2:$W$1001,MATCH(ROWS($V$2:V939),$V$2:$V$1001,0),1)&gt;=100000,INDEX($AC$1005:$AS$1005,1,MATCH(COLUMNS($AC$1006:AC1006),$AC$1006:$AS$1006,0))&gt;=100000), " ",IF(INDEX($AC$2:$AS$1001,MATCH(ROWS($V$2:V939),$V$2:$V$1001,0),MATCH(COLUMNS($AC$1006:AC1006),$AC$1006:$AS$1006,0)), HYPERLINK("#",""), HYPERLINK(CONCATENATE("#Metadata!", ADDRESS(INDEX($X$2:$X$1001,MATCH(ROWS($V$2:V939),$V$2:$V$1001,0),0), INDEX($AC$1004:$AS$1004,1,MATCH(COLUMNS($AC$1006:AC1006),$AC$1006:$AS$1006,0)))),"Fix")))</f>
        <v>0</v>
      </c>
      <c r="C939" s="5">
        <f>IF(OR(INDEX($W$2:$W$1001,MATCH(ROWS($V$2:V939),$V$2:$V$1001,0),1)&gt;=100000,INDEX($AC$1005:$AS$1005,1,MATCH(COLUMNS($AC$1006:AD1006),$AC$1006:$AS$1006,0))&gt;=100000), " ",IF(INDEX($AC$2:$AS$1001,MATCH(ROWS($V$2:V939),$V$2:$V$1001,0),MATCH(COLUMNS($AC$1006:AD1006),$AC$1006:$AS$1006,0)), HYPERLINK("#",""), HYPERLINK(CONCATENATE("#Metadata!", ADDRESS(INDEX($X$2:$X$1001,MATCH(ROWS($V$2:V939),$V$2:$V$1001,0),0), INDEX($AC$1004:$AS$1004,1,MATCH(COLUMNS($AC$1006:AD1006),$AC$1006:$AS$1006,0)))),"Fix")))</f>
        <v>0</v>
      </c>
      <c r="D939" s="5">
        <f>IF(OR(INDEX($W$2:$W$1001,MATCH(ROWS($V$2:V939),$V$2:$V$1001,0),1)&gt;=100000,INDEX($AC$1005:$AS$1005,1,MATCH(COLUMNS($AC$1006:AE1006),$AC$1006:$AS$1006,0))&gt;=100000), " ",IF(INDEX($AC$2:$AS$1001,MATCH(ROWS($V$2:V939),$V$2:$V$1001,0),MATCH(COLUMNS($AC$1006:AE1006),$AC$1006:$AS$1006,0)), HYPERLINK("#",""), HYPERLINK(CONCATENATE("#Metadata!", ADDRESS(INDEX($X$2:$X$1001,MATCH(ROWS($V$2:V939),$V$2:$V$1001,0),0), INDEX($AC$1004:$AS$1004,1,MATCH(COLUMNS($AC$1006:AE1006),$AC$1006:$AS$1006,0)))),"Fix")))</f>
        <v>0</v>
      </c>
      <c r="E939" s="5">
        <f>IF(OR(INDEX($W$2:$W$1001,MATCH(ROWS($V$2:V939),$V$2:$V$1001,0),1)&gt;=100000,INDEX($AC$1005:$AS$1005,1,MATCH(COLUMNS($AC$1006:AF1006),$AC$1006:$AS$1006,0))&gt;=100000), " ",IF(INDEX($AC$2:$AS$1001,MATCH(ROWS($V$2:V939),$V$2:$V$1001,0),MATCH(COLUMNS($AC$1006:AF1006),$AC$1006:$AS$1006,0)), HYPERLINK("#",""), HYPERLINK(CONCATENATE("#Metadata!", ADDRESS(INDEX($X$2:$X$1001,MATCH(ROWS($V$2:V939),$V$2:$V$1001,0),0), INDEX($AC$1004:$AS$1004,1,MATCH(COLUMNS($AC$1006:AF1006),$AC$1006:$AS$1006,0)))),"Fix")))</f>
        <v>0</v>
      </c>
      <c r="F939" s="5">
        <f>IF(OR(INDEX($W$2:$W$1001,MATCH(ROWS($V$2:V939),$V$2:$V$1001,0),1)&gt;=100000,INDEX($AC$1005:$AS$1005,1,MATCH(COLUMNS($AC$1006:AG1006),$AC$1006:$AS$1006,0))&gt;=100000), " ",IF(INDEX($AC$2:$AS$1001,MATCH(ROWS($V$2:V939),$V$2:$V$1001,0),MATCH(COLUMNS($AC$1006:AG1006),$AC$1006:$AS$1006,0)), HYPERLINK("#",""), HYPERLINK(CONCATENATE("#Metadata!", ADDRESS(INDEX($X$2:$X$1001,MATCH(ROWS($V$2:V939),$V$2:$V$1001,0),0), INDEX($AC$1004:$AS$1004,1,MATCH(COLUMNS($AC$1006:AG1006),$AC$1006:$AS$1006,0)))),"Fix")))</f>
        <v>0</v>
      </c>
      <c r="G939" s="5">
        <f>IF(OR(INDEX($W$2:$W$1001,MATCH(ROWS($V$2:V939),$V$2:$V$1001,0),1)&gt;=100000,INDEX($AC$1005:$AS$1005,1,MATCH(COLUMNS($AC$1006:AH1006),$AC$1006:$AS$1006,0))&gt;=100000), " ",IF(INDEX($AC$2:$AS$1001,MATCH(ROWS($V$2:V939),$V$2:$V$1001,0),MATCH(COLUMNS($AC$1006:AH1006),$AC$1006:$AS$1006,0)), HYPERLINK("#",""), HYPERLINK(CONCATENATE("#Metadata!", ADDRESS(INDEX($X$2:$X$1001,MATCH(ROWS($V$2:V939),$V$2:$V$1001,0),0), INDEX($AC$1004:$AS$1004,1,MATCH(COLUMNS($AC$1006:AH1006),$AC$1006:$AS$1006,0)))),"Fix")))</f>
        <v>0</v>
      </c>
      <c r="H939" s="5">
        <f>IF(OR(INDEX($W$2:$W$1001,MATCH(ROWS($V$2:V939),$V$2:$V$1001,0),1)&gt;=100000,INDEX($AC$1005:$AS$1005,1,MATCH(COLUMNS($AC$1006:AI1006),$AC$1006:$AS$1006,0))&gt;=100000), " ",IF(INDEX($AC$2:$AS$1001,MATCH(ROWS($V$2:V939),$V$2:$V$1001,0),MATCH(COLUMNS($AC$1006:AI1006),$AC$1006:$AS$1006,0)), HYPERLINK("#",""), HYPERLINK(CONCATENATE("#Metadata!", ADDRESS(INDEX($X$2:$X$1001,MATCH(ROWS($V$2:V939),$V$2:$V$1001,0),0), INDEX($AC$1004:$AS$1004,1,MATCH(COLUMNS($AC$1006:AI1006),$AC$1006:$AS$1006,0)))),"Fix")))</f>
        <v>0</v>
      </c>
      <c r="I939" s="5">
        <f>IF(OR(INDEX($W$2:$W$1001,MATCH(ROWS($V$2:V939),$V$2:$V$1001,0),1)&gt;=100000,INDEX($AC$1005:$AS$1005,1,MATCH(COLUMNS($AC$1006:AJ1006),$AC$1006:$AS$1006,0))&gt;=100000), " ",IF(INDEX($AC$2:$AS$1001,MATCH(ROWS($V$2:V939),$V$2:$V$1001,0),MATCH(COLUMNS($AC$1006:AJ1006),$AC$1006:$AS$1006,0)), HYPERLINK("#",""), HYPERLINK(CONCATENATE("#Metadata!", ADDRESS(INDEX($X$2:$X$1001,MATCH(ROWS($V$2:V939),$V$2:$V$1001,0),0), INDEX($AC$1004:$AS$1004,1,MATCH(COLUMNS($AC$1006:AJ1006),$AC$1006:$AS$1006,0)))),"Fix")))</f>
        <v>0</v>
      </c>
      <c r="J939" s="5">
        <f>IF(OR(INDEX($W$2:$W$1001,MATCH(ROWS($V$2:V939),$V$2:$V$1001,0),1)&gt;=100000,INDEX($AC$1005:$AS$1005,1,MATCH(COLUMNS($AC$1006:AK1006),$AC$1006:$AS$1006,0))&gt;=100000), " ",IF(INDEX($AC$2:$AS$1001,MATCH(ROWS($V$2:V939),$V$2:$V$1001,0),MATCH(COLUMNS($AC$1006:AK1006),$AC$1006:$AS$1006,0)), HYPERLINK("#",""), HYPERLINK(CONCATENATE("#Metadata!", ADDRESS(INDEX($X$2:$X$1001,MATCH(ROWS($V$2:V939),$V$2:$V$1001,0),0), INDEX($AC$1004:$AS$1004,1,MATCH(COLUMNS($AC$1006:AK1006),$AC$1006:$AS$1006,0)))),"Fix")))</f>
        <v>0</v>
      </c>
      <c r="K939" s="5">
        <f>IF(OR(INDEX($W$2:$W$1001,MATCH(ROWS($V$2:V939),$V$2:$V$1001,0),1)&gt;=100000,INDEX($AC$1005:$AS$1005,1,MATCH(COLUMNS($AC$1006:AL1006),$AC$1006:$AS$1006,0))&gt;=100000), " ",IF(INDEX($AC$2:$AS$1001,MATCH(ROWS($V$2:V939),$V$2:$V$1001,0),MATCH(COLUMNS($AC$1006:AL1006),$AC$1006:$AS$1006,0)), HYPERLINK("#",""), HYPERLINK(CONCATENATE("#Metadata!", ADDRESS(INDEX($X$2:$X$1001,MATCH(ROWS($V$2:V939),$V$2:$V$1001,0),0), INDEX($AC$1004:$AS$1004,1,MATCH(COLUMNS($AC$1006:AL1006),$AC$1006:$AS$1006,0)))),"Fix")))</f>
        <v>0</v>
      </c>
      <c r="L939" s="5">
        <f>IF(OR(INDEX($W$2:$W$1001,MATCH(ROWS($V$2:V939),$V$2:$V$1001,0),1)&gt;=100000,INDEX($AC$1005:$AS$1005,1,MATCH(COLUMNS($AC$1006:AM1006),$AC$1006:$AS$1006,0))&gt;=100000), " ",IF(INDEX($AC$2:$AS$1001,MATCH(ROWS($V$2:V939),$V$2:$V$1001,0),MATCH(COLUMNS($AC$1006:AM1006),$AC$1006:$AS$1006,0)), HYPERLINK("#",""), HYPERLINK(CONCATENATE("#Metadata!", ADDRESS(INDEX($X$2:$X$1001,MATCH(ROWS($V$2:V939),$V$2:$V$1001,0),0), INDEX($AC$1004:$AS$1004,1,MATCH(COLUMNS($AC$1006:AM1006),$AC$1006:$AS$1006,0)))),"Fix")))</f>
        <v>0</v>
      </c>
      <c r="M939" s="5">
        <f>IF(OR(INDEX($W$2:$W$1001,MATCH(ROWS($V$2:V939),$V$2:$V$1001,0),1)&gt;=100000,INDEX($AC$1005:$AS$1005,1,MATCH(COLUMNS($AC$1006:AN1006),$AC$1006:$AS$1006,0))&gt;=100000), " ",IF(INDEX($AC$2:$AS$1001,MATCH(ROWS($V$2:V939),$V$2:$V$1001,0),MATCH(COLUMNS($AC$1006:AN1006),$AC$1006:$AS$1006,0)), HYPERLINK("#",""), HYPERLINK(CONCATENATE("#Metadata!", ADDRESS(INDEX($X$2:$X$1001,MATCH(ROWS($V$2:V939),$V$2:$V$1001,0),0), INDEX($AC$1004:$AS$1004,1,MATCH(COLUMNS($AC$1006:AN1006),$AC$1006:$AS$1006,0)))),"Fix")))</f>
        <v>0</v>
      </c>
      <c r="N939" s="5">
        <f>IF(OR(INDEX($W$2:$W$1001,MATCH(ROWS($V$2:V939),$V$2:$V$1001,0),1)&gt;=100000,INDEX($AC$1005:$AS$1005,1,MATCH(COLUMNS($AC$1006:AO1006),$AC$1006:$AS$1006,0))&gt;=100000), " ",IF(INDEX($AC$2:$AS$1001,MATCH(ROWS($V$2:V939),$V$2:$V$1001,0),MATCH(COLUMNS($AC$1006:AO1006),$AC$1006:$AS$1006,0)), HYPERLINK("#",""), HYPERLINK(CONCATENATE("#Metadata!", ADDRESS(INDEX($X$2:$X$1001,MATCH(ROWS($V$2:V939),$V$2:$V$1001,0),0), INDEX($AC$1004:$AS$1004,1,MATCH(COLUMNS($AC$1006:AO1006),$AC$1006:$AS$1006,0)))),"Fix")))</f>
        <v>0</v>
      </c>
      <c r="O939" s="5">
        <f>IF(OR(INDEX($W$2:$W$1001,MATCH(ROWS($V$2:V939),$V$2:$V$1001,0),1)&gt;=100000,INDEX($AC$1005:$AS$1005,1,MATCH(COLUMNS($AC$1006:AP1006),$AC$1006:$AS$1006,0))&gt;=100000), " ",IF(INDEX($AC$2:$AS$1001,MATCH(ROWS($V$2:V939),$V$2:$V$1001,0),MATCH(COLUMNS($AC$1006:AP1006),$AC$1006:$AS$1006,0)), HYPERLINK("#",""), HYPERLINK(CONCATENATE("#Metadata!", ADDRESS(INDEX($X$2:$X$1001,MATCH(ROWS($V$2:V939),$V$2:$V$1001,0),0), INDEX($AC$1004:$AS$1004,1,MATCH(COLUMNS($AC$1006:AP1006),$AC$1006:$AS$1006,0)))),"Fix")))</f>
        <v>0</v>
      </c>
      <c r="P939" s="5">
        <f>IF(OR(INDEX($W$2:$W$1001,MATCH(ROWS($V$2:V939),$V$2:$V$1001,0),1)&gt;=100000,INDEX($AC$1005:$AS$1005,1,MATCH(COLUMNS($AC$1006:AQ1006),$AC$1006:$AS$1006,0))&gt;=100000), " ",IF(INDEX($AC$2:$AS$1001,MATCH(ROWS($V$2:V939),$V$2:$V$1001,0),MATCH(COLUMNS($AC$1006:AQ1006),$AC$1006:$AS$1006,0)), HYPERLINK("#",""), HYPERLINK(CONCATENATE("#Metadata!", ADDRESS(INDEX($X$2:$X$1001,MATCH(ROWS($V$2:V939),$V$2:$V$1001,0),0), INDEX($AC$1004:$AS$1004,1,MATCH(COLUMNS($AC$1006:AQ1006),$AC$1006:$AS$1006,0)))),"Fix")))</f>
        <v>0</v>
      </c>
      <c r="Q939" s="5">
        <f>IF(OR(INDEX($W$2:$W$1001,MATCH(ROWS($V$2:V939),$V$2:$V$1001,0),1)&gt;=100000,INDEX($AC$1005:$AS$1005,1,MATCH(COLUMNS($AC$1006:AR1006),$AC$1006:$AS$1006,0))&gt;=100000), " ",IF(INDEX($AC$2:$AS$1001,MATCH(ROWS($V$2:V939),$V$2:$V$1001,0),MATCH(COLUMNS($AC$1006:AR1006),$AC$1006:$AS$1006,0)), HYPERLINK("#",""), HYPERLINK(CONCATENATE("#Metadata!", ADDRESS(INDEX($X$2:$X$1001,MATCH(ROWS($V$2:V939),$V$2:$V$1001,0),0), INDEX($AC$1004:$AS$1004,1,MATCH(COLUMNS($AC$1006:AR1006),$AC$1006:$AS$1006,0)))),"Fix")))</f>
        <v>0</v>
      </c>
      <c r="R939" s="5">
        <f>IF(OR(INDEX($W$2:$W$1001,MATCH(ROWS($V$2:V939),$V$2:$V$1001,0),1)&gt;=100000,INDEX($AC$1005:$AS$1005,1,MATCH(COLUMNS($AC$1006:AS1006),$AC$1006:$AS$1006,0))&gt;=100000), " ",IF(INDEX($AC$2:$AS$1001,MATCH(ROWS($V$2:V939),$V$2:$V$1001,0),MATCH(COLUMNS($AC$1006:AS1006),$AC$1006:$AS$1006,0)), HYPERLINK("#",""), HYPERLINK(CONCATENATE("#Metadata!", ADDRESS(INDEX($X$2:$X$1001,MATCH(ROWS($V$2:V939),$V$2:$V$1001,0),0), INDEX($AC$1004:$AS$1004,1,MATCH(COLUMNS($AC$1006:AS1006),$AC$1006:$AS$1006,0)))),"Fix")))</f>
        <v>0</v>
      </c>
      <c r="V939">
        <v>0</v>
      </c>
      <c r="W939">
        <v>0</v>
      </c>
      <c r="X939">
        <v>0</v>
      </c>
      <c r="Y939">
        <f>IF(Z939,TRUE,AND(AC939:AS939))</f>
        <v>0</v>
      </c>
      <c r="Z939">
        <f>COUNTBLANK(Metadata!B939:R939)=COLUMNS(Metadata!B939:R939)</f>
        <v>0</v>
      </c>
      <c r="AA939">
        <v>0</v>
      </c>
      <c r="AC939">
        <f>AND(IF(Metadata!B939="",FALSE,TRUE),COUNTIF(Metadata!B:B, Metadata!B939) = 1,NOT(ISERROR(SUMPRODUCT(SEARCH(MID(Metadata!B939,ROW(INDIRECT("1:"&amp;LEN(Metadata!B939))), 1),"0123456789abcdefghijklmnopqrstuvwxyzABCDEFGHIJKLMNOPQRSTUVWXYZ.")))))</f>
        <v>0</v>
      </c>
      <c r="AD939">
        <f>AND(IF(Metadata!C939="",FALSE,TRUE),exact(Metadata!C939,"Host-associated"))</f>
        <v>0</v>
      </c>
      <c r="AE939">
        <f>AND(IF(Metadata!D939="",FALSE,TRUE),OR(exact(Metadata!D939,"Animal"),exact(Metadata!D939,"Fungus"),exact(Metadata!D939,"Plant")))</f>
        <v>0</v>
      </c>
      <c r="AF939">
        <f>AND(IF(Metadata!E939="",FALSE,TRUE),OR(exact(Metadata!E939,"Plant secretion"),exact(Metadata!E939,"Plant rhizosphere"),exact(Metadata!E939,"Plant surface"),exact(Metadata!E939,"Plant corpus"),exact(Metadata!E939,"Fungus surface"),exact(Metadata!E939,"Fungus corpus"),exact(Metadata!E939,"Animal surface"),exact(Metadata!E939,"Animal proximal gut"),exact(Metadata!E939,"Animal corpus"),exact(Metadata!E939,"Animal distal gut"),exact(Metadata!E939,"Animal secretion")))</f>
        <v>0</v>
      </c>
      <c r="AG939">
        <f>OR(AND(IF(Metadata!F939="",FALSE,TRUE),OR(exact(Metadata!F939,"not collected"),exact(Metadata!F939,"not provided"),exact(Metadata!F939,"restricted access"))),AND(IF(Metadata!F939="",FALSE,TRUE),OR(exact(Metadata!F939,"organism-associated habitat"),exact(Metadata!F939,"plant-associated habitat"),exact(Metadata!F939,"animal-associated habitat"),exact(Metadata!F939,"insecta-associated habitat"),exact(Metadata!F939,"mammalia-associated habitat"),exact(Metadata!F939,"human-associated habitat"),exact(Metadata!F939,"livestock-associated habitat"))))</f>
        <v>0</v>
      </c>
      <c r="AH939">
        <f>AND(IF(Metadata!G939="",FALSE,TRUE),exact(Metadata!G939,"host-associated"))</f>
        <v>0</v>
      </c>
      <c r="AI939">
        <f>OR(AND(IF(Metadata!H939="",FALSE,TRUE),OR(exact(Metadata!H939,"not collected"),exact(Metadata!H939,"not provided"))),AND(IF(Metadata!H939="",FALSE,ISNUMBER(VALUE(Metadata!H939))),Metadata!H939&gt;0))</f>
        <v>0</v>
      </c>
      <c r="AJ939">
        <f>AND(IF(Metadata!I939="",FALSE,TRUE),exact(Metadata!I939,"years"))</f>
        <v>0</v>
      </c>
      <c r="AK939">
        <f>IF(Metadata!J939="",FALSE,TRUE)</f>
        <v>0</v>
      </c>
      <c r="AL939">
        <f>OR(AND(IF(Metadata!K939="",FALSE,TRUE),OR(exact(Metadata!K939,"not collected"),exact(Metadata!K939,"not provided"))),AND(IF(Metadata!K939="",FALSE,ISNUMBER(VALUE(Metadata!K939))),Metadata!K939&gt;0))</f>
        <v>0</v>
      </c>
      <c r="AM939">
        <f>AND(IF(Metadata!L939="",FALSE,TRUE),exact(Metadata!L939,"cm"))</f>
        <v>0</v>
      </c>
      <c r="AN939">
        <f>IF(Metadata!M939="",FALSE,TRUE)</f>
        <v>0</v>
      </c>
      <c r="AO939">
        <f>OR(AND(IF(Metadata!N939="",FALSE,TRUE),OR(exact(Metadata!N939,"not applicable"),exact(Metadata!N939,"not collected"),exact(Metadata!N939,"not provided"))),AND(IF(Metadata!N939="",FALSE,IF(ISERROR(INT(Metadata!N939)),FALSE,INT(Metadata!N939)=Metadata!N939)),Metadata!N939&gt;0))</f>
        <v>0</v>
      </c>
      <c r="AP939">
        <f>OR(AND(IF(Metadata!O939="",FALSE,TRUE),OR(exact(Metadata!O939,"not collected"),exact(Metadata!O939,"not provided"))),AND(IF(Metadata!O939="",FALSE,ISNUMBER(VALUE(Metadata!O939))),Metadata!O939&gt;0))</f>
        <v>0</v>
      </c>
      <c r="AQ939">
        <f>AND(IF(Metadata!P939="",FALSE,TRUE),exact(Metadata!P939,"kg"))</f>
        <v>0</v>
      </c>
      <c r="AR939">
        <f>OR(AND(IF(Metadata!Q939="",FALSE,TRUE),OR(exact(Metadata!Q939,"not applicable"),exact(Metadata!Q939,"not collected"),exact(Metadata!Q939,"not provided"),exact(Metadata!Q939,"restricted access"))),IF(Metadata!Q939="",FALSE,IF(ISERROR(INT(Metadata!Q939)),FALSE,INT(Metadata!Q939)=Metadata!Q939)))</f>
        <v>0</v>
      </c>
      <c r="AS939">
        <f>AND(IF(Metadata!R939="",FALSE,TRUE),exact(Metadata!R939,"Not applicable"))</f>
        <v>0</v>
      </c>
    </row>
    <row r="940" spans="1:45">
      <c r="A940" s="4">
        <f>IF(B940=" "," ",HYPERLINK(CONCATENATE("#metadata!",ADDRESS(INDEX($X$2:$X$1001,MATCH(ROWS($V$2:V940),$V$2:$V$1001,0),0),2)),INDEX($AA$2:$AA$1001,MATCH(ROWS($V$2:V940),$V$2:$V$1001,0),0)))</f>
        <v>0</v>
      </c>
      <c r="B940" s="5">
        <f>IF(OR(INDEX($W$2:$W$1001,MATCH(ROWS($V$2:V940),$V$2:$V$1001,0),1)&gt;=100000,INDEX($AC$1005:$AS$1005,1,MATCH(COLUMNS($AC$1006:AC1006),$AC$1006:$AS$1006,0))&gt;=100000), " ",IF(INDEX($AC$2:$AS$1001,MATCH(ROWS($V$2:V940),$V$2:$V$1001,0),MATCH(COLUMNS($AC$1006:AC1006),$AC$1006:$AS$1006,0)), HYPERLINK("#",""), HYPERLINK(CONCATENATE("#Metadata!", ADDRESS(INDEX($X$2:$X$1001,MATCH(ROWS($V$2:V940),$V$2:$V$1001,0),0), INDEX($AC$1004:$AS$1004,1,MATCH(COLUMNS($AC$1006:AC1006),$AC$1006:$AS$1006,0)))),"Fix")))</f>
        <v>0</v>
      </c>
      <c r="C940" s="5">
        <f>IF(OR(INDEX($W$2:$W$1001,MATCH(ROWS($V$2:V940),$V$2:$V$1001,0),1)&gt;=100000,INDEX($AC$1005:$AS$1005,1,MATCH(COLUMNS($AC$1006:AD1006),$AC$1006:$AS$1006,0))&gt;=100000), " ",IF(INDEX($AC$2:$AS$1001,MATCH(ROWS($V$2:V940),$V$2:$V$1001,0),MATCH(COLUMNS($AC$1006:AD1006),$AC$1006:$AS$1006,0)), HYPERLINK("#",""), HYPERLINK(CONCATENATE("#Metadata!", ADDRESS(INDEX($X$2:$X$1001,MATCH(ROWS($V$2:V940),$V$2:$V$1001,0),0), INDEX($AC$1004:$AS$1004,1,MATCH(COLUMNS($AC$1006:AD1006),$AC$1006:$AS$1006,0)))),"Fix")))</f>
        <v>0</v>
      </c>
      <c r="D940" s="5">
        <f>IF(OR(INDEX($W$2:$W$1001,MATCH(ROWS($V$2:V940),$V$2:$V$1001,0),1)&gt;=100000,INDEX($AC$1005:$AS$1005,1,MATCH(COLUMNS($AC$1006:AE1006),$AC$1006:$AS$1006,0))&gt;=100000), " ",IF(INDEX($AC$2:$AS$1001,MATCH(ROWS($V$2:V940),$V$2:$V$1001,0),MATCH(COLUMNS($AC$1006:AE1006),$AC$1006:$AS$1006,0)), HYPERLINK("#",""), HYPERLINK(CONCATENATE("#Metadata!", ADDRESS(INDEX($X$2:$X$1001,MATCH(ROWS($V$2:V940),$V$2:$V$1001,0),0), INDEX($AC$1004:$AS$1004,1,MATCH(COLUMNS($AC$1006:AE1006),$AC$1006:$AS$1006,0)))),"Fix")))</f>
        <v>0</v>
      </c>
      <c r="E940" s="5">
        <f>IF(OR(INDEX($W$2:$W$1001,MATCH(ROWS($V$2:V940),$V$2:$V$1001,0),1)&gt;=100000,INDEX($AC$1005:$AS$1005,1,MATCH(COLUMNS($AC$1006:AF1006),$AC$1006:$AS$1006,0))&gt;=100000), " ",IF(INDEX($AC$2:$AS$1001,MATCH(ROWS($V$2:V940),$V$2:$V$1001,0),MATCH(COLUMNS($AC$1006:AF1006),$AC$1006:$AS$1006,0)), HYPERLINK("#",""), HYPERLINK(CONCATENATE("#Metadata!", ADDRESS(INDEX($X$2:$X$1001,MATCH(ROWS($V$2:V940),$V$2:$V$1001,0),0), INDEX($AC$1004:$AS$1004,1,MATCH(COLUMNS($AC$1006:AF1006),$AC$1006:$AS$1006,0)))),"Fix")))</f>
        <v>0</v>
      </c>
      <c r="F940" s="5">
        <f>IF(OR(INDEX($W$2:$W$1001,MATCH(ROWS($V$2:V940),$V$2:$V$1001,0),1)&gt;=100000,INDEX($AC$1005:$AS$1005,1,MATCH(COLUMNS($AC$1006:AG1006),$AC$1006:$AS$1006,0))&gt;=100000), " ",IF(INDEX($AC$2:$AS$1001,MATCH(ROWS($V$2:V940),$V$2:$V$1001,0),MATCH(COLUMNS($AC$1006:AG1006),$AC$1006:$AS$1006,0)), HYPERLINK("#",""), HYPERLINK(CONCATENATE("#Metadata!", ADDRESS(INDEX($X$2:$X$1001,MATCH(ROWS($V$2:V940),$V$2:$V$1001,0),0), INDEX($AC$1004:$AS$1004,1,MATCH(COLUMNS($AC$1006:AG1006),$AC$1006:$AS$1006,0)))),"Fix")))</f>
        <v>0</v>
      </c>
      <c r="G940" s="5">
        <f>IF(OR(INDEX($W$2:$W$1001,MATCH(ROWS($V$2:V940),$V$2:$V$1001,0),1)&gt;=100000,INDEX($AC$1005:$AS$1005,1,MATCH(COLUMNS($AC$1006:AH1006),$AC$1006:$AS$1006,0))&gt;=100000), " ",IF(INDEX($AC$2:$AS$1001,MATCH(ROWS($V$2:V940),$V$2:$V$1001,0),MATCH(COLUMNS($AC$1006:AH1006),$AC$1006:$AS$1006,0)), HYPERLINK("#",""), HYPERLINK(CONCATENATE("#Metadata!", ADDRESS(INDEX($X$2:$X$1001,MATCH(ROWS($V$2:V940),$V$2:$V$1001,0),0), INDEX($AC$1004:$AS$1004,1,MATCH(COLUMNS($AC$1006:AH1006),$AC$1006:$AS$1006,0)))),"Fix")))</f>
        <v>0</v>
      </c>
      <c r="H940" s="5">
        <f>IF(OR(INDEX($W$2:$W$1001,MATCH(ROWS($V$2:V940),$V$2:$V$1001,0),1)&gt;=100000,INDEX($AC$1005:$AS$1005,1,MATCH(COLUMNS($AC$1006:AI1006),$AC$1006:$AS$1006,0))&gt;=100000), " ",IF(INDEX($AC$2:$AS$1001,MATCH(ROWS($V$2:V940),$V$2:$V$1001,0),MATCH(COLUMNS($AC$1006:AI1006),$AC$1006:$AS$1006,0)), HYPERLINK("#",""), HYPERLINK(CONCATENATE("#Metadata!", ADDRESS(INDEX($X$2:$X$1001,MATCH(ROWS($V$2:V940),$V$2:$V$1001,0),0), INDEX($AC$1004:$AS$1004,1,MATCH(COLUMNS($AC$1006:AI1006),$AC$1006:$AS$1006,0)))),"Fix")))</f>
        <v>0</v>
      </c>
      <c r="I940" s="5">
        <f>IF(OR(INDEX($W$2:$W$1001,MATCH(ROWS($V$2:V940),$V$2:$V$1001,0),1)&gt;=100000,INDEX($AC$1005:$AS$1005,1,MATCH(COLUMNS($AC$1006:AJ1006),$AC$1006:$AS$1006,0))&gt;=100000), " ",IF(INDEX($AC$2:$AS$1001,MATCH(ROWS($V$2:V940),$V$2:$V$1001,0),MATCH(COLUMNS($AC$1006:AJ1006),$AC$1006:$AS$1006,0)), HYPERLINK("#",""), HYPERLINK(CONCATENATE("#Metadata!", ADDRESS(INDEX($X$2:$X$1001,MATCH(ROWS($V$2:V940),$V$2:$V$1001,0),0), INDEX($AC$1004:$AS$1004,1,MATCH(COLUMNS($AC$1006:AJ1006),$AC$1006:$AS$1006,0)))),"Fix")))</f>
        <v>0</v>
      </c>
      <c r="J940" s="5">
        <f>IF(OR(INDEX($W$2:$W$1001,MATCH(ROWS($V$2:V940),$V$2:$V$1001,0),1)&gt;=100000,INDEX($AC$1005:$AS$1005,1,MATCH(COLUMNS($AC$1006:AK1006),$AC$1006:$AS$1006,0))&gt;=100000), " ",IF(INDEX($AC$2:$AS$1001,MATCH(ROWS($V$2:V940),$V$2:$V$1001,0),MATCH(COLUMNS($AC$1006:AK1006),$AC$1006:$AS$1006,0)), HYPERLINK("#",""), HYPERLINK(CONCATENATE("#Metadata!", ADDRESS(INDEX($X$2:$X$1001,MATCH(ROWS($V$2:V940),$V$2:$V$1001,0),0), INDEX($AC$1004:$AS$1004,1,MATCH(COLUMNS($AC$1006:AK1006),$AC$1006:$AS$1006,0)))),"Fix")))</f>
        <v>0</v>
      </c>
      <c r="K940" s="5">
        <f>IF(OR(INDEX($W$2:$W$1001,MATCH(ROWS($V$2:V940),$V$2:$V$1001,0),1)&gt;=100000,INDEX($AC$1005:$AS$1005,1,MATCH(COLUMNS($AC$1006:AL1006),$AC$1006:$AS$1006,0))&gt;=100000), " ",IF(INDEX($AC$2:$AS$1001,MATCH(ROWS($V$2:V940),$V$2:$V$1001,0),MATCH(COLUMNS($AC$1006:AL1006),$AC$1006:$AS$1006,0)), HYPERLINK("#",""), HYPERLINK(CONCATENATE("#Metadata!", ADDRESS(INDEX($X$2:$X$1001,MATCH(ROWS($V$2:V940),$V$2:$V$1001,0),0), INDEX($AC$1004:$AS$1004,1,MATCH(COLUMNS($AC$1006:AL1006),$AC$1006:$AS$1006,0)))),"Fix")))</f>
        <v>0</v>
      </c>
      <c r="L940" s="5">
        <f>IF(OR(INDEX($W$2:$W$1001,MATCH(ROWS($V$2:V940),$V$2:$V$1001,0),1)&gt;=100000,INDEX($AC$1005:$AS$1005,1,MATCH(COLUMNS($AC$1006:AM1006),$AC$1006:$AS$1006,0))&gt;=100000), " ",IF(INDEX($AC$2:$AS$1001,MATCH(ROWS($V$2:V940),$V$2:$V$1001,0),MATCH(COLUMNS($AC$1006:AM1006),$AC$1006:$AS$1006,0)), HYPERLINK("#",""), HYPERLINK(CONCATENATE("#Metadata!", ADDRESS(INDEX($X$2:$X$1001,MATCH(ROWS($V$2:V940),$V$2:$V$1001,0),0), INDEX($AC$1004:$AS$1004,1,MATCH(COLUMNS($AC$1006:AM1006),$AC$1006:$AS$1006,0)))),"Fix")))</f>
        <v>0</v>
      </c>
      <c r="M940" s="5">
        <f>IF(OR(INDEX($W$2:$W$1001,MATCH(ROWS($V$2:V940),$V$2:$V$1001,0),1)&gt;=100000,INDEX($AC$1005:$AS$1005,1,MATCH(COLUMNS($AC$1006:AN1006),$AC$1006:$AS$1006,0))&gt;=100000), " ",IF(INDEX($AC$2:$AS$1001,MATCH(ROWS($V$2:V940),$V$2:$V$1001,0),MATCH(COLUMNS($AC$1006:AN1006),$AC$1006:$AS$1006,0)), HYPERLINK("#",""), HYPERLINK(CONCATENATE("#Metadata!", ADDRESS(INDEX($X$2:$X$1001,MATCH(ROWS($V$2:V940),$V$2:$V$1001,0),0), INDEX($AC$1004:$AS$1004,1,MATCH(COLUMNS($AC$1006:AN1006),$AC$1006:$AS$1006,0)))),"Fix")))</f>
        <v>0</v>
      </c>
      <c r="N940" s="5">
        <f>IF(OR(INDEX($W$2:$W$1001,MATCH(ROWS($V$2:V940),$V$2:$V$1001,0),1)&gt;=100000,INDEX($AC$1005:$AS$1005,1,MATCH(COLUMNS($AC$1006:AO1006),$AC$1006:$AS$1006,0))&gt;=100000), " ",IF(INDEX($AC$2:$AS$1001,MATCH(ROWS($V$2:V940),$V$2:$V$1001,0),MATCH(COLUMNS($AC$1006:AO1006),$AC$1006:$AS$1006,0)), HYPERLINK("#",""), HYPERLINK(CONCATENATE("#Metadata!", ADDRESS(INDEX($X$2:$X$1001,MATCH(ROWS($V$2:V940),$V$2:$V$1001,0),0), INDEX($AC$1004:$AS$1004,1,MATCH(COLUMNS($AC$1006:AO1006),$AC$1006:$AS$1006,0)))),"Fix")))</f>
        <v>0</v>
      </c>
      <c r="O940" s="5">
        <f>IF(OR(INDEX($W$2:$W$1001,MATCH(ROWS($V$2:V940),$V$2:$V$1001,0),1)&gt;=100000,INDEX($AC$1005:$AS$1005,1,MATCH(COLUMNS($AC$1006:AP1006),$AC$1006:$AS$1006,0))&gt;=100000), " ",IF(INDEX($AC$2:$AS$1001,MATCH(ROWS($V$2:V940),$V$2:$V$1001,0),MATCH(COLUMNS($AC$1006:AP1006),$AC$1006:$AS$1006,0)), HYPERLINK("#",""), HYPERLINK(CONCATENATE("#Metadata!", ADDRESS(INDEX($X$2:$X$1001,MATCH(ROWS($V$2:V940),$V$2:$V$1001,0),0), INDEX($AC$1004:$AS$1004,1,MATCH(COLUMNS($AC$1006:AP1006),$AC$1006:$AS$1006,0)))),"Fix")))</f>
        <v>0</v>
      </c>
      <c r="P940" s="5">
        <f>IF(OR(INDEX($W$2:$W$1001,MATCH(ROWS($V$2:V940),$V$2:$V$1001,0),1)&gt;=100000,INDEX($AC$1005:$AS$1005,1,MATCH(COLUMNS($AC$1006:AQ1006),$AC$1006:$AS$1006,0))&gt;=100000), " ",IF(INDEX($AC$2:$AS$1001,MATCH(ROWS($V$2:V940),$V$2:$V$1001,0),MATCH(COLUMNS($AC$1006:AQ1006),$AC$1006:$AS$1006,0)), HYPERLINK("#",""), HYPERLINK(CONCATENATE("#Metadata!", ADDRESS(INDEX($X$2:$X$1001,MATCH(ROWS($V$2:V940),$V$2:$V$1001,0),0), INDEX($AC$1004:$AS$1004,1,MATCH(COLUMNS($AC$1006:AQ1006),$AC$1006:$AS$1006,0)))),"Fix")))</f>
        <v>0</v>
      </c>
      <c r="Q940" s="5">
        <f>IF(OR(INDEX($W$2:$W$1001,MATCH(ROWS($V$2:V940),$V$2:$V$1001,0),1)&gt;=100000,INDEX($AC$1005:$AS$1005,1,MATCH(COLUMNS($AC$1006:AR1006),$AC$1006:$AS$1006,0))&gt;=100000), " ",IF(INDEX($AC$2:$AS$1001,MATCH(ROWS($V$2:V940),$V$2:$V$1001,0),MATCH(COLUMNS($AC$1006:AR1006),$AC$1006:$AS$1006,0)), HYPERLINK("#",""), HYPERLINK(CONCATENATE("#Metadata!", ADDRESS(INDEX($X$2:$X$1001,MATCH(ROWS($V$2:V940),$V$2:$V$1001,0),0), INDEX($AC$1004:$AS$1004,1,MATCH(COLUMNS($AC$1006:AR1006),$AC$1006:$AS$1006,0)))),"Fix")))</f>
        <v>0</v>
      </c>
      <c r="R940" s="5">
        <f>IF(OR(INDEX($W$2:$W$1001,MATCH(ROWS($V$2:V940),$V$2:$V$1001,0),1)&gt;=100000,INDEX($AC$1005:$AS$1005,1,MATCH(COLUMNS($AC$1006:AS1006),$AC$1006:$AS$1006,0))&gt;=100000), " ",IF(INDEX($AC$2:$AS$1001,MATCH(ROWS($V$2:V940),$V$2:$V$1001,0),MATCH(COLUMNS($AC$1006:AS1006),$AC$1006:$AS$1006,0)), HYPERLINK("#",""), HYPERLINK(CONCATENATE("#Metadata!", ADDRESS(INDEX($X$2:$X$1001,MATCH(ROWS($V$2:V940),$V$2:$V$1001,0),0), INDEX($AC$1004:$AS$1004,1,MATCH(COLUMNS($AC$1006:AS1006),$AC$1006:$AS$1006,0)))),"Fix")))</f>
        <v>0</v>
      </c>
      <c r="V940">
        <v>0</v>
      </c>
      <c r="W940">
        <v>0</v>
      </c>
      <c r="X940">
        <v>0</v>
      </c>
      <c r="Y940">
        <f>IF(Z940,TRUE,AND(AC940:AS940))</f>
        <v>0</v>
      </c>
      <c r="Z940">
        <f>COUNTBLANK(Metadata!B940:R940)=COLUMNS(Metadata!B940:R940)</f>
        <v>0</v>
      </c>
      <c r="AA940">
        <v>0</v>
      </c>
      <c r="AC940">
        <f>AND(IF(Metadata!B940="",FALSE,TRUE),COUNTIF(Metadata!B:B, Metadata!B940) = 1,NOT(ISERROR(SUMPRODUCT(SEARCH(MID(Metadata!B940,ROW(INDIRECT("1:"&amp;LEN(Metadata!B940))), 1),"0123456789abcdefghijklmnopqrstuvwxyzABCDEFGHIJKLMNOPQRSTUVWXYZ.")))))</f>
        <v>0</v>
      </c>
      <c r="AD940">
        <f>AND(IF(Metadata!C940="",FALSE,TRUE),exact(Metadata!C940,"Host-associated"))</f>
        <v>0</v>
      </c>
      <c r="AE940">
        <f>AND(IF(Metadata!D940="",FALSE,TRUE),OR(exact(Metadata!D940,"Animal"),exact(Metadata!D940,"Fungus"),exact(Metadata!D940,"Plant")))</f>
        <v>0</v>
      </c>
      <c r="AF940">
        <f>AND(IF(Metadata!E940="",FALSE,TRUE),OR(exact(Metadata!E940,"Plant secretion"),exact(Metadata!E940,"Plant rhizosphere"),exact(Metadata!E940,"Plant surface"),exact(Metadata!E940,"Plant corpus"),exact(Metadata!E940,"Fungus surface"),exact(Metadata!E940,"Fungus corpus"),exact(Metadata!E940,"Animal surface"),exact(Metadata!E940,"Animal proximal gut"),exact(Metadata!E940,"Animal corpus"),exact(Metadata!E940,"Animal distal gut"),exact(Metadata!E940,"Animal secretion")))</f>
        <v>0</v>
      </c>
      <c r="AG940">
        <f>OR(AND(IF(Metadata!F940="",FALSE,TRUE),OR(exact(Metadata!F940,"not collected"),exact(Metadata!F940,"not provided"),exact(Metadata!F940,"restricted access"))),AND(IF(Metadata!F940="",FALSE,TRUE),OR(exact(Metadata!F940,"organism-associated habitat"),exact(Metadata!F940,"plant-associated habitat"),exact(Metadata!F940,"animal-associated habitat"),exact(Metadata!F940,"insecta-associated habitat"),exact(Metadata!F940,"mammalia-associated habitat"),exact(Metadata!F940,"human-associated habitat"),exact(Metadata!F940,"livestock-associated habitat"))))</f>
        <v>0</v>
      </c>
      <c r="AH940">
        <f>AND(IF(Metadata!G940="",FALSE,TRUE),exact(Metadata!G940,"host-associated"))</f>
        <v>0</v>
      </c>
      <c r="AI940">
        <f>OR(AND(IF(Metadata!H940="",FALSE,TRUE),OR(exact(Metadata!H940,"not collected"),exact(Metadata!H940,"not provided"))),AND(IF(Metadata!H940="",FALSE,ISNUMBER(VALUE(Metadata!H940))),Metadata!H940&gt;0))</f>
        <v>0</v>
      </c>
      <c r="AJ940">
        <f>AND(IF(Metadata!I940="",FALSE,TRUE),exact(Metadata!I940,"years"))</f>
        <v>0</v>
      </c>
      <c r="AK940">
        <f>IF(Metadata!J940="",FALSE,TRUE)</f>
        <v>0</v>
      </c>
      <c r="AL940">
        <f>OR(AND(IF(Metadata!K940="",FALSE,TRUE),OR(exact(Metadata!K940,"not collected"),exact(Metadata!K940,"not provided"))),AND(IF(Metadata!K940="",FALSE,ISNUMBER(VALUE(Metadata!K940))),Metadata!K940&gt;0))</f>
        <v>0</v>
      </c>
      <c r="AM940">
        <f>AND(IF(Metadata!L940="",FALSE,TRUE),exact(Metadata!L940,"cm"))</f>
        <v>0</v>
      </c>
      <c r="AN940">
        <f>IF(Metadata!M940="",FALSE,TRUE)</f>
        <v>0</v>
      </c>
      <c r="AO940">
        <f>OR(AND(IF(Metadata!N940="",FALSE,TRUE),OR(exact(Metadata!N940,"not applicable"),exact(Metadata!N940,"not collected"),exact(Metadata!N940,"not provided"))),AND(IF(Metadata!N940="",FALSE,IF(ISERROR(INT(Metadata!N940)),FALSE,INT(Metadata!N940)=Metadata!N940)),Metadata!N940&gt;0))</f>
        <v>0</v>
      </c>
      <c r="AP940">
        <f>OR(AND(IF(Metadata!O940="",FALSE,TRUE),OR(exact(Metadata!O940,"not collected"),exact(Metadata!O940,"not provided"))),AND(IF(Metadata!O940="",FALSE,ISNUMBER(VALUE(Metadata!O940))),Metadata!O940&gt;0))</f>
        <v>0</v>
      </c>
      <c r="AQ940">
        <f>AND(IF(Metadata!P940="",FALSE,TRUE),exact(Metadata!P940,"kg"))</f>
        <v>0</v>
      </c>
      <c r="AR940">
        <f>OR(AND(IF(Metadata!Q940="",FALSE,TRUE),OR(exact(Metadata!Q940,"not applicable"),exact(Metadata!Q940,"not collected"),exact(Metadata!Q940,"not provided"),exact(Metadata!Q940,"restricted access"))),IF(Metadata!Q940="",FALSE,IF(ISERROR(INT(Metadata!Q940)),FALSE,INT(Metadata!Q940)=Metadata!Q940)))</f>
        <v>0</v>
      </c>
      <c r="AS940">
        <f>AND(IF(Metadata!R940="",FALSE,TRUE),exact(Metadata!R940,"Not applicable"))</f>
        <v>0</v>
      </c>
    </row>
    <row r="941" spans="1:45">
      <c r="A941" s="4">
        <f>IF(B941=" "," ",HYPERLINK(CONCATENATE("#metadata!",ADDRESS(INDEX($X$2:$X$1001,MATCH(ROWS($V$2:V941),$V$2:$V$1001,0),0),2)),INDEX($AA$2:$AA$1001,MATCH(ROWS($V$2:V941),$V$2:$V$1001,0),0)))</f>
        <v>0</v>
      </c>
      <c r="B941" s="5">
        <f>IF(OR(INDEX($W$2:$W$1001,MATCH(ROWS($V$2:V941),$V$2:$V$1001,0),1)&gt;=100000,INDEX($AC$1005:$AS$1005,1,MATCH(COLUMNS($AC$1006:AC1006),$AC$1006:$AS$1006,0))&gt;=100000), " ",IF(INDEX($AC$2:$AS$1001,MATCH(ROWS($V$2:V941),$V$2:$V$1001,0),MATCH(COLUMNS($AC$1006:AC1006),$AC$1006:$AS$1006,0)), HYPERLINK("#",""), HYPERLINK(CONCATENATE("#Metadata!", ADDRESS(INDEX($X$2:$X$1001,MATCH(ROWS($V$2:V941),$V$2:$V$1001,0),0), INDEX($AC$1004:$AS$1004,1,MATCH(COLUMNS($AC$1006:AC1006),$AC$1006:$AS$1006,0)))),"Fix")))</f>
        <v>0</v>
      </c>
      <c r="C941" s="5">
        <f>IF(OR(INDEX($W$2:$W$1001,MATCH(ROWS($V$2:V941),$V$2:$V$1001,0),1)&gt;=100000,INDEX($AC$1005:$AS$1005,1,MATCH(COLUMNS($AC$1006:AD1006),$AC$1006:$AS$1006,0))&gt;=100000), " ",IF(INDEX($AC$2:$AS$1001,MATCH(ROWS($V$2:V941),$V$2:$V$1001,0),MATCH(COLUMNS($AC$1006:AD1006),$AC$1006:$AS$1006,0)), HYPERLINK("#",""), HYPERLINK(CONCATENATE("#Metadata!", ADDRESS(INDEX($X$2:$X$1001,MATCH(ROWS($V$2:V941),$V$2:$V$1001,0),0), INDEX($AC$1004:$AS$1004,1,MATCH(COLUMNS($AC$1006:AD1006),$AC$1006:$AS$1006,0)))),"Fix")))</f>
        <v>0</v>
      </c>
      <c r="D941" s="5">
        <f>IF(OR(INDEX($W$2:$W$1001,MATCH(ROWS($V$2:V941),$V$2:$V$1001,0),1)&gt;=100000,INDEX($AC$1005:$AS$1005,1,MATCH(COLUMNS($AC$1006:AE1006),$AC$1006:$AS$1006,0))&gt;=100000), " ",IF(INDEX($AC$2:$AS$1001,MATCH(ROWS($V$2:V941),$V$2:$V$1001,0),MATCH(COLUMNS($AC$1006:AE1006),$AC$1006:$AS$1006,0)), HYPERLINK("#",""), HYPERLINK(CONCATENATE("#Metadata!", ADDRESS(INDEX($X$2:$X$1001,MATCH(ROWS($V$2:V941),$V$2:$V$1001,0),0), INDEX($AC$1004:$AS$1004,1,MATCH(COLUMNS($AC$1006:AE1006),$AC$1006:$AS$1006,0)))),"Fix")))</f>
        <v>0</v>
      </c>
      <c r="E941" s="5">
        <f>IF(OR(INDEX($W$2:$W$1001,MATCH(ROWS($V$2:V941),$V$2:$V$1001,0),1)&gt;=100000,INDEX($AC$1005:$AS$1005,1,MATCH(COLUMNS($AC$1006:AF1006),$AC$1006:$AS$1006,0))&gt;=100000), " ",IF(INDEX($AC$2:$AS$1001,MATCH(ROWS($V$2:V941),$V$2:$V$1001,0),MATCH(COLUMNS($AC$1006:AF1006),$AC$1006:$AS$1006,0)), HYPERLINK("#",""), HYPERLINK(CONCATENATE("#Metadata!", ADDRESS(INDEX($X$2:$X$1001,MATCH(ROWS($V$2:V941),$V$2:$V$1001,0),0), INDEX($AC$1004:$AS$1004,1,MATCH(COLUMNS($AC$1006:AF1006),$AC$1006:$AS$1006,0)))),"Fix")))</f>
        <v>0</v>
      </c>
      <c r="F941" s="5">
        <f>IF(OR(INDEX($W$2:$W$1001,MATCH(ROWS($V$2:V941),$V$2:$V$1001,0),1)&gt;=100000,INDEX($AC$1005:$AS$1005,1,MATCH(COLUMNS($AC$1006:AG1006),$AC$1006:$AS$1006,0))&gt;=100000), " ",IF(INDEX($AC$2:$AS$1001,MATCH(ROWS($V$2:V941),$V$2:$V$1001,0),MATCH(COLUMNS($AC$1006:AG1006),$AC$1006:$AS$1006,0)), HYPERLINK("#",""), HYPERLINK(CONCATENATE("#Metadata!", ADDRESS(INDEX($X$2:$X$1001,MATCH(ROWS($V$2:V941),$V$2:$V$1001,0),0), INDEX($AC$1004:$AS$1004,1,MATCH(COLUMNS($AC$1006:AG1006),$AC$1006:$AS$1006,0)))),"Fix")))</f>
        <v>0</v>
      </c>
      <c r="G941" s="5">
        <f>IF(OR(INDEX($W$2:$W$1001,MATCH(ROWS($V$2:V941),$V$2:$V$1001,0),1)&gt;=100000,INDEX($AC$1005:$AS$1005,1,MATCH(COLUMNS($AC$1006:AH1006),$AC$1006:$AS$1006,0))&gt;=100000), " ",IF(INDEX($AC$2:$AS$1001,MATCH(ROWS($V$2:V941),$V$2:$V$1001,0),MATCH(COLUMNS($AC$1006:AH1006),$AC$1006:$AS$1006,0)), HYPERLINK("#",""), HYPERLINK(CONCATENATE("#Metadata!", ADDRESS(INDEX($X$2:$X$1001,MATCH(ROWS($V$2:V941),$V$2:$V$1001,0),0), INDEX($AC$1004:$AS$1004,1,MATCH(COLUMNS($AC$1006:AH1006),$AC$1006:$AS$1006,0)))),"Fix")))</f>
        <v>0</v>
      </c>
      <c r="H941" s="5">
        <f>IF(OR(INDEX($W$2:$W$1001,MATCH(ROWS($V$2:V941),$V$2:$V$1001,0),1)&gt;=100000,INDEX($AC$1005:$AS$1005,1,MATCH(COLUMNS($AC$1006:AI1006),$AC$1006:$AS$1006,0))&gt;=100000), " ",IF(INDEX($AC$2:$AS$1001,MATCH(ROWS($V$2:V941),$V$2:$V$1001,0),MATCH(COLUMNS($AC$1006:AI1006),$AC$1006:$AS$1006,0)), HYPERLINK("#",""), HYPERLINK(CONCATENATE("#Metadata!", ADDRESS(INDEX($X$2:$X$1001,MATCH(ROWS($V$2:V941),$V$2:$V$1001,0),0), INDEX($AC$1004:$AS$1004,1,MATCH(COLUMNS($AC$1006:AI1006),$AC$1006:$AS$1006,0)))),"Fix")))</f>
        <v>0</v>
      </c>
      <c r="I941" s="5">
        <f>IF(OR(INDEX($W$2:$W$1001,MATCH(ROWS($V$2:V941),$V$2:$V$1001,0),1)&gt;=100000,INDEX($AC$1005:$AS$1005,1,MATCH(COLUMNS($AC$1006:AJ1006),$AC$1006:$AS$1006,0))&gt;=100000), " ",IF(INDEX($AC$2:$AS$1001,MATCH(ROWS($V$2:V941),$V$2:$V$1001,0),MATCH(COLUMNS($AC$1006:AJ1006),$AC$1006:$AS$1006,0)), HYPERLINK("#",""), HYPERLINK(CONCATENATE("#Metadata!", ADDRESS(INDEX($X$2:$X$1001,MATCH(ROWS($V$2:V941),$V$2:$V$1001,0),0), INDEX($AC$1004:$AS$1004,1,MATCH(COLUMNS($AC$1006:AJ1006),$AC$1006:$AS$1006,0)))),"Fix")))</f>
        <v>0</v>
      </c>
      <c r="J941" s="5">
        <f>IF(OR(INDEX($W$2:$W$1001,MATCH(ROWS($V$2:V941),$V$2:$V$1001,0),1)&gt;=100000,INDEX($AC$1005:$AS$1005,1,MATCH(COLUMNS($AC$1006:AK1006),$AC$1006:$AS$1006,0))&gt;=100000), " ",IF(INDEX($AC$2:$AS$1001,MATCH(ROWS($V$2:V941),$V$2:$V$1001,0),MATCH(COLUMNS($AC$1006:AK1006),$AC$1006:$AS$1006,0)), HYPERLINK("#",""), HYPERLINK(CONCATENATE("#Metadata!", ADDRESS(INDEX($X$2:$X$1001,MATCH(ROWS($V$2:V941),$V$2:$V$1001,0),0), INDEX($AC$1004:$AS$1004,1,MATCH(COLUMNS($AC$1006:AK1006),$AC$1006:$AS$1006,0)))),"Fix")))</f>
        <v>0</v>
      </c>
      <c r="K941" s="5">
        <f>IF(OR(INDEX($W$2:$W$1001,MATCH(ROWS($V$2:V941),$V$2:$V$1001,0),1)&gt;=100000,INDEX($AC$1005:$AS$1005,1,MATCH(COLUMNS($AC$1006:AL1006),$AC$1006:$AS$1006,0))&gt;=100000), " ",IF(INDEX($AC$2:$AS$1001,MATCH(ROWS($V$2:V941),$V$2:$V$1001,0),MATCH(COLUMNS($AC$1006:AL1006),$AC$1006:$AS$1006,0)), HYPERLINK("#",""), HYPERLINK(CONCATENATE("#Metadata!", ADDRESS(INDEX($X$2:$X$1001,MATCH(ROWS($V$2:V941),$V$2:$V$1001,0),0), INDEX($AC$1004:$AS$1004,1,MATCH(COLUMNS($AC$1006:AL1006),$AC$1006:$AS$1006,0)))),"Fix")))</f>
        <v>0</v>
      </c>
      <c r="L941" s="5">
        <f>IF(OR(INDEX($W$2:$W$1001,MATCH(ROWS($V$2:V941),$V$2:$V$1001,0),1)&gt;=100000,INDEX($AC$1005:$AS$1005,1,MATCH(COLUMNS($AC$1006:AM1006),$AC$1006:$AS$1006,0))&gt;=100000), " ",IF(INDEX($AC$2:$AS$1001,MATCH(ROWS($V$2:V941),$V$2:$V$1001,0),MATCH(COLUMNS($AC$1006:AM1006),$AC$1006:$AS$1006,0)), HYPERLINK("#",""), HYPERLINK(CONCATENATE("#Metadata!", ADDRESS(INDEX($X$2:$X$1001,MATCH(ROWS($V$2:V941),$V$2:$V$1001,0),0), INDEX($AC$1004:$AS$1004,1,MATCH(COLUMNS($AC$1006:AM1006),$AC$1006:$AS$1006,0)))),"Fix")))</f>
        <v>0</v>
      </c>
      <c r="M941" s="5">
        <f>IF(OR(INDEX($W$2:$W$1001,MATCH(ROWS($V$2:V941),$V$2:$V$1001,0),1)&gt;=100000,INDEX($AC$1005:$AS$1005,1,MATCH(COLUMNS($AC$1006:AN1006),$AC$1006:$AS$1006,0))&gt;=100000), " ",IF(INDEX($AC$2:$AS$1001,MATCH(ROWS($V$2:V941),$V$2:$V$1001,0),MATCH(COLUMNS($AC$1006:AN1006),$AC$1006:$AS$1006,0)), HYPERLINK("#",""), HYPERLINK(CONCATENATE("#Metadata!", ADDRESS(INDEX($X$2:$X$1001,MATCH(ROWS($V$2:V941),$V$2:$V$1001,0),0), INDEX($AC$1004:$AS$1004,1,MATCH(COLUMNS($AC$1006:AN1006),$AC$1006:$AS$1006,0)))),"Fix")))</f>
        <v>0</v>
      </c>
      <c r="N941" s="5">
        <f>IF(OR(INDEX($W$2:$W$1001,MATCH(ROWS($V$2:V941),$V$2:$V$1001,0),1)&gt;=100000,INDEX($AC$1005:$AS$1005,1,MATCH(COLUMNS($AC$1006:AO1006),$AC$1006:$AS$1006,0))&gt;=100000), " ",IF(INDEX($AC$2:$AS$1001,MATCH(ROWS($V$2:V941),$V$2:$V$1001,0),MATCH(COLUMNS($AC$1006:AO1006),$AC$1006:$AS$1006,0)), HYPERLINK("#",""), HYPERLINK(CONCATENATE("#Metadata!", ADDRESS(INDEX($X$2:$X$1001,MATCH(ROWS($V$2:V941),$V$2:$V$1001,0),0), INDEX($AC$1004:$AS$1004,1,MATCH(COLUMNS($AC$1006:AO1006),$AC$1006:$AS$1006,0)))),"Fix")))</f>
        <v>0</v>
      </c>
      <c r="O941" s="5">
        <f>IF(OR(INDEX($W$2:$W$1001,MATCH(ROWS($V$2:V941),$V$2:$V$1001,0),1)&gt;=100000,INDEX($AC$1005:$AS$1005,1,MATCH(COLUMNS($AC$1006:AP1006),$AC$1006:$AS$1006,0))&gt;=100000), " ",IF(INDEX($AC$2:$AS$1001,MATCH(ROWS($V$2:V941),$V$2:$V$1001,0),MATCH(COLUMNS($AC$1006:AP1006),$AC$1006:$AS$1006,0)), HYPERLINK("#",""), HYPERLINK(CONCATENATE("#Metadata!", ADDRESS(INDEX($X$2:$X$1001,MATCH(ROWS($V$2:V941),$V$2:$V$1001,0),0), INDEX($AC$1004:$AS$1004,1,MATCH(COLUMNS($AC$1006:AP1006),$AC$1006:$AS$1006,0)))),"Fix")))</f>
        <v>0</v>
      </c>
      <c r="P941" s="5">
        <f>IF(OR(INDEX($W$2:$W$1001,MATCH(ROWS($V$2:V941),$V$2:$V$1001,0),1)&gt;=100000,INDEX($AC$1005:$AS$1005,1,MATCH(COLUMNS($AC$1006:AQ1006),$AC$1006:$AS$1006,0))&gt;=100000), " ",IF(INDEX($AC$2:$AS$1001,MATCH(ROWS($V$2:V941),$V$2:$V$1001,0),MATCH(COLUMNS($AC$1006:AQ1006),$AC$1006:$AS$1006,0)), HYPERLINK("#",""), HYPERLINK(CONCATENATE("#Metadata!", ADDRESS(INDEX($X$2:$X$1001,MATCH(ROWS($V$2:V941),$V$2:$V$1001,0),0), INDEX($AC$1004:$AS$1004,1,MATCH(COLUMNS($AC$1006:AQ1006),$AC$1006:$AS$1006,0)))),"Fix")))</f>
        <v>0</v>
      </c>
      <c r="Q941" s="5">
        <f>IF(OR(INDEX($W$2:$W$1001,MATCH(ROWS($V$2:V941),$V$2:$V$1001,0),1)&gt;=100000,INDEX($AC$1005:$AS$1005,1,MATCH(COLUMNS($AC$1006:AR1006),$AC$1006:$AS$1006,0))&gt;=100000), " ",IF(INDEX($AC$2:$AS$1001,MATCH(ROWS($V$2:V941),$V$2:$V$1001,0),MATCH(COLUMNS($AC$1006:AR1006),$AC$1006:$AS$1006,0)), HYPERLINK("#",""), HYPERLINK(CONCATENATE("#Metadata!", ADDRESS(INDEX($X$2:$X$1001,MATCH(ROWS($V$2:V941),$V$2:$V$1001,0),0), INDEX($AC$1004:$AS$1004,1,MATCH(COLUMNS($AC$1006:AR1006),$AC$1006:$AS$1006,0)))),"Fix")))</f>
        <v>0</v>
      </c>
      <c r="R941" s="5">
        <f>IF(OR(INDEX($W$2:$W$1001,MATCH(ROWS($V$2:V941),$V$2:$V$1001,0),1)&gt;=100000,INDEX($AC$1005:$AS$1005,1,MATCH(COLUMNS($AC$1006:AS1006),$AC$1006:$AS$1006,0))&gt;=100000), " ",IF(INDEX($AC$2:$AS$1001,MATCH(ROWS($V$2:V941),$V$2:$V$1001,0),MATCH(COLUMNS($AC$1006:AS1006),$AC$1006:$AS$1006,0)), HYPERLINK("#",""), HYPERLINK(CONCATENATE("#Metadata!", ADDRESS(INDEX($X$2:$X$1001,MATCH(ROWS($V$2:V941),$V$2:$V$1001,0),0), INDEX($AC$1004:$AS$1004,1,MATCH(COLUMNS($AC$1006:AS1006),$AC$1006:$AS$1006,0)))),"Fix")))</f>
        <v>0</v>
      </c>
      <c r="V941">
        <v>0</v>
      </c>
      <c r="W941">
        <v>0</v>
      </c>
      <c r="X941">
        <v>0</v>
      </c>
      <c r="Y941">
        <f>IF(Z941,TRUE,AND(AC941:AS941))</f>
        <v>0</v>
      </c>
      <c r="Z941">
        <f>COUNTBLANK(Metadata!B941:R941)=COLUMNS(Metadata!B941:R941)</f>
        <v>0</v>
      </c>
      <c r="AA941">
        <v>0</v>
      </c>
      <c r="AC941">
        <f>AND(IF(Metadata!B941="",FALSE,TRUE),COUNTIF(Metadata!B:B, Metadata!B941) = 1,NOT(ISERROR(SUMPRODUCT(SEARCH(MID(Metadata!B941,ROW(INDIRECT("1:"&amp;LEN(Metadata!B941))), 1),"0123456789abcdefghijklmnopqrstuvwxyzABCDEFGHIJKLMNOPQRSTUVWXYZ.")))))</f>
        <v>0</v>
      </c>
      <c r="AD941">
        <f>AND(IF(Metadata!C941="",FALSE,TRUE),exact(Metadata!C941,"Host-associated"))</f>
        <v>0</v>
      </c>
      <c r="AE941">
        <f>AND(IF(Metadata!D941="",FALSE,TRUE),OR(exact(Metadata!D941,"Animal"),exact(Metadata!D941,"Fungus"),exact(Metadata!D941,"Plant")))</f>
        <v>0</v>
      </c>
      <c r="AF941">
        <f>AND(IF(Metadata!E941="",FALSE,TRUE),OR(exact(Metadata!E941,"Plant secretion"),exact(Metadata!E941,"Plant rhizosphere"),exact(Metadata!E941,"Plant surface"),exact(Metadata!E941,"Plant corpus"),exact(Metadata!E941,"Fungus surface"),exact(Metadata!E941,"Fungus corpus"),exact(Metadata!E941,"Animal surface"),exact(Metadata!E941,"Animal proximal gut"),exact(Metadata!E941,"Animal corpus"),exact(Metadata!E941,"Animal distal gut"),exact(Metadata!E941,"Animal secretion")))</f>
        <v>0</v>
      </c>
      <c r="AG941">
        <f>OR(AND(IF(Metadata!F941="",FALSE,TRUE),OR(exact(Metadata!F941,"not collected"),exact(Metadata!F941,"not provided"),exact(Metadata!F941,"restricted access"))),AND(IF(Metadata!F941="",FALSE,TRUE),OR(exact(Metadata!F941,"organism-associated habitat"),exact(Metadata!F941,"plant-associated habitat"),exact(Metadata!F941,"animal-associated habitat"),exact(Metadata!F941,"insecta-associated habitat"),exact(Metadata!F941,"mammalia-associated habitat"),exact(Metadata!F941,"human-associated habitat"),exact(Metadata!F941,"livestock-associated habitat"))))</f>
        <v>0</v>
      </c>
      <c r="AH941">
        <f>AND(IF(Metadata!G941="",FALSE,TRUE),exact(Metadata!G941,"host-associated"))</f>
        <v>0</v>
      </c>
      <c r="AI941">
        <f>OR(AND(IF(Metadata!H941="",FALSE,TRUE),OR(exact(Metadata!H941,"not collected"),exact(Metadata!H941,"not provided"))),AND(IF(Metadata!H941="",FALSE,ISNUMBER(VALUE(Metadata!H941))),Metadata!H941&gt;0))</f>
        <v>0</v>
      </c>
      <c r="AJ941">
        <f>AND(IF(Metadata!I941="",FALSE,TRUE),exact(Metadata!I941,"years"))</f>
        <v>0</v>
      </c>
      <c r="AK941">
        <f>IF(Metadata!J941="",FALSE,TRUE)</f>
        <v>0</v>
      </c>
      <c r="AL941">
        <f>OR(AND(IF(Metadata!K941="",FALSE,TRUE),OR(exact(Metadata!K941,"not collected"),exact(Metadata!K941,"not provided"))),AND(IF(Metadata!K941="",FALSE,ISNUMBER(VALUE(Metadata!K941))),Metadata!K941&gt;0))</f>
        <v>0</v>
      </c>
      <c r="AM941">
        <f>AND(IF(Metadata!L941="",FALSE,TRUE),exact(Metadata!L941,"cm"))</f>
        <v>0</v>
      </c>
      <c r="AN941">
        <f>IF(Metadata!M941="",FALSE,TRUE)</f>
        <v>0</v>
      </c>
      <c r="AO941">
        <f>OR(AND(IF(Metadata!N941="",FALSE,TRUE),OR(exact(Metadata!N941,"not applicable"),exact(Metadata!N941,"not collected"),exact(Metadata!N941,"not provided"))),AND(IF(Metadata!N941="",FALSE,IF(ISERROR(INT(Metadata!N941)),FALSE,INT(Metadata!N941)=Metadata!N941)),Metadata!N941&gt;0))</f>
        <v>0</v>
      </c>
      <c r="AP941">
        <f>OR(AND(IF(Metadata!O941="",FALSE,TRUE),OR(exact(Metadata!O941,"not collected"),exact(Metadata!O941,"not provided"))),AND(IF(Metadata!O941="",FALSE,ISNUMBER(VALUE(Metadata!O941))),Metadata!O941&gt;0))</f>
        <v>0</v>
      </c>
      <c r="AQ941">
        <f>AND(IF(Metadata!P941="",FALSE,TRUE),exact(Metadata!P941,"kg"))</f>
        <v>0</v>
      </c>
      <c r="AR941">
        <f>OR(AND(IF(Metadata!Q941="",FALSE,TRUE),OR(exact(Metadata!Q941,"not applicable"),exact(Metadata!Q941,"not collected"),exact(Metadata!Q941,"not provided"),exact(Metadata!Q941,"restricted access"))),IF(Metadata!Q941="",FALSE,IF(ISERROR(INT(Metadata!Q941)),FALSE,INT(Metadata!Q941)=Metadata!Q941)))</f>
        <v>0</v>
      </c>
      <c r="AS941">
        <f>AND(IF(Metadata!R941="",FALSE,TRUE),exact(Metadata!R941,"Not applicable"))</f>
        <v>0</v>
      </c>
    </row>
    <row r="942" spans="1:45">
      <c r="A942" s="4">
        <f>IF(B942=" "," ",HYPERLINK(CONCATENATE("#metadata!",ADDRESS(INDEX($X$2:$X$1001,MATCH(ROWS($V$2:V942),$V$2:$V$1001,0),0),2)),INDEX($AA$2:$AA$1001,MATCH(ROWS($V$2:V942),$V$2:$V$1001,0),0)))</f>
        <v>0</v>
      </c>
      <c r="B942" s="5">
        <f>IF(OR(INDEX($W$2:$W$1001,MATCH(ROWS($V$2:V942),$V$2:$V$1001,0),1)&gt;=100000,INDEX($AC$1005:$AS$1005,1,MATCH(COLUMNS($AC$1006:AC1006),$AC$1006:$AS$1006,0))&gt;=100000), " ",IF(INDEX($AC$2:$AS$1001,MATCH(ROWS($V$2:V942),$V$2:$V$1001,0),MATCH(COLUMNS($AC$1006:AC1006),$AC$1006:$AS$1006,0)), HYPERLINK("#",""), HYPERLINK(CONCATENATE("#Metadata!", ADDRESS(INDEX($X$2:$X$1001,MATCH(ROWS($V$2:V942),$V$2:$V$1001,0),0), INDEX($AC$1004:$AS$1004,1,MATCH(COLUMNS($AC$1006:AC1006),$AC$1006:$AS$1006,0)))),"Fix")))</f>
        <v>0</v>
      </c>
      <c r="C942" s="5">
        <f>IF(OR(INDEX($W$2:$W$1001,MATCH(ROWS($V$2:V942),$V$2:$V$1001,0),1)&gt;=100000,INDEX($AC$1005:$AS$1005,1,MATCH(COLUMNS($AC$1006:AD1006),$AC$1006:$AS$1006,0))&gt;=100000), " ",IF(INDEX($AC$2:$AS$1001,MATCH(ROWS($V$2:V942),$V$2:$V$1001,0),MATCH(COLUMNS($AC$1006:AD1006),$AC$1006:$AS$1006,0)), HYPERLINK("#",""), HYPERLINK(CONCATENATE("#Metadata!", ADDRESS(INDEX($X$2:$X$1001,MATCH(ROWS($V$2:V942),$V$2:$V$1001,0),0), INDEX($AC$1004:$AS$1004,1,MATCH(COLUMNS($AC$1006:AD1006),$AC$1006:$AS$1006,0)))),"Fix")))</f>
        <v>0</v>
      </c>
      <c r="D942" s="5">
        <f>IF(OR(INDEX($W$2:$W$1001,MATCH(ROWS($V$2:V942),$V$2:$V$1001,0),1)&gt;=100000,INDEX($AC$1005:$AS$1005,1,MATCH(COLUMNS($AC$1006:AE1006),$AC$1006:$AS$1006,0))&gt;=100000), " ",IF(INDEX($AC$2:$AS$1001,MATCH(ROWS($V$2:V942),$V$2:$V$1001,0),MATCH(COLUMNS($AC$1006:AE1006),$AC$1006:$AS$1006,0)), HYPERLINK("#",""), HYPERLINK(CONCATENATE("#Metadata!", ADDRESS(INDEX($X$2:$X$1001,MATCH(ROWS($V$2:V942),$V$2:$V$1001,0),0), INDEX($AC$1004:$AS$1004,1,MATCH(COLUMNS($AC$1006:AE1006),$AC$1006:$AS$1006,0)))),"Fix")))</f>
        <v>0</v>
      </c>
      <c r="E942" s="5">
        <f>IF(OR(INDEX($W$2:$W$1001,MATCH(ROWS($V$2:V942),$V$2:$V$1001,0),1)&gt;=100000,INDEX($AC$1005:$AS$1005,1,MATCH(COLUMNS($AC$1006:AF1006),$AC$1006:$AS$1006,0))&gt;=100000), " ",IF(INDEX($AC$2:$AS$1001,MATCH(ROWS($V$2:V942),$V$2:$V$1001,0),MATCH(COLUMNS($AC$1006:AF1006),$AC$1006:$AS$1006,0)), HYPERLINK("#",""), HYPERLINK(CONCATENATE("#Metadata!", ADDRESS(INDEX($X$2:$X$1001,MATCH(ROWS($V$2:V942),$V$2:$V$1001,0),0), INDEX($AC$1004:$AS$1004,1,MATCH(COLUMNS($AC$1006:AF1006),$AC$1006:$AS$1006,0)))),"Fix")))</f>
        <v>0</v>
      </c>
      <c r="F942" s="5">
        <f>IF(OR(INDEX($W$2:$W$1001,MATCH(ROWS($V$2:V942),$V$2:$V$1001,0),1)&gt;=100000,INDEX($AC$1005:$AS$1005,1,MATCH(COLUMNS($AC$1006:AG1006),$AC$1006:$AS$1006,0))&gt;=100000), " ",IF(INDEX($AC$2:$AS$1001,MATCH(ROWS($V$2:V942),$V$2:$V$1001,0),MATCH(COLUMNS($AC$1006:AG1006),$AC$1006:$AS$1006,0)), HYPERLINK("#",""), HYPERLINK(CONCATENATE("#Metadata!", ADDRESS(INDEX($X$2:$X$1001,MATCH(ROWS($V$2:V942),$V$2:$V$1001,0),0), INDEX($AC$1004:$AS$1004,1,MATCH(COLUMNS($AC$1006:AG1006),$AC$1006:$AS$1006,0)))),"Fix")))</f>
        <v>0</v>
      </c>
      <c r="G942" s="5">
        <f>IF(OR(INDEX($W$2:$W$1001,MATCH(ROWS($V$2:V942),$V$2:$V$1001,0),1)&gt;=100000,INDEX($AC$1005:$AS$1005,1,MATCH(COLUMNS($AC$1006:AH1006),$AC$1006:$AS$1006,0))&gt;=100000), " ",IF(INDEX($AC$2:$AS$1001,MATCH(ROWS($V$2:V942),$V$2:$V$1001,0),MATCH(COLUMNS($AC$1006:AH1006),$AC$1006:$AS$1006,0)), HYPERLINK("#",""), HYPERLINK(CONCATENATE("#Metadata!", ADDRESS(INDEX($X$2:$X$1001,MATCH(ROWS($V$2:V942),$V$2:$V$1001,0),0), INDEX($AC$1004:$AS$1004,1,MATCH(COLUMNS($AC$1006:AH1006),$AC$1006:$AS$1006,0)))),"Fix")))</f>
        <v>0</v>
      </c>
      <c r="H942" s="5">
        <f>IF(OR(INDEX($W$2:$W$1001,MATCH(ROWS($V$2:V942),$V$2:$V$1001,0),1)&gt;=100000,INDEX($AC$1005:$AS$1005,1,MATCH(COLUMNS($AC$1006:AI1006),$AC$1006:$AS$1006,0))&gt;=100000), " ",IF(INDEX($AC$2:$AS$1001,MATCH(ROWS($V$2:V942),$V$2:$V$1001,0),MATCH(COLUMNS($AC$1006:AI1006),$AC$1006:$AS$1006,0)), HYPERLINK("#",""), HYPERLINK(CONCATENATE("#Metadata!", ADDRESS(INDEX($X$2:$X$1001,MATCH(ROWS($V$2:V942),$V$2:$V$1001,0),0), INDEX($AC$1004:$AS$1004,1,MATCH(COLUMNS($AC$1006:AI1006),$AC$1006:$AS$1006,0)))),"Fix")))</f>
        <v>0</v>
      </c>
      <c r="I942" s="5">
        <f>IF(OR(INDEX($W$2:$W$1001,MATCH(ROWS($V$2:V942),$V$2:$V$1001,0),1)&gt;=100000,INDEX($AC$1005:$AS$1005,1,MATCH(COLUMNS($AC$1006:AJ1006),$AC$1006:$AS$1006,0))&gt;=100000), " ",IF(INDEX($AC$2:$AS$1001,MATCH(ROWS($V$2:V942),$V$2:$V$1001,0),MATCH(COLUMNS($AC$1006:AJ1006),$AC$1006:$AS$1006,0)), HYPERLINK("#",""), HYPERLINK(CONCATENATE("#Metadata!", ADDRESS(INDEX($X$2:$X$1001,MATCH(ROWS($V$2:V942),$V$2:$V$1001,0),0), INDEX($AC$1004:$AS$1004,1,MATCH(COLUMNS($AC$1006:AJ1006),$AC$1006:$AS$1006,0)))),"Fix")))</f>
        <v>0</v>
      </c>
      <c r="J942" s="5">
        <f>IF(OR(INDEX($W$2:$W$1001,MATCH(ROWS($V$2:V942),$V$2:$V$1001,0),1)&gt;=100000,INDEX($AC$1005:$AS$1005,1,MATCH(COLUMNS($AC$1006:AK1006),$AC$1006:$AS$1006,0))&gt;=100000), " ",IF(INDEX($AC$2:$AS$1001,MATCH(ROWS($V$2:V942),$V$2:$V$1001,0),MATCH(COLUMNS($AC$1006:AK1006),$AC$1006:$AS$1006,0)), HYPERLINK("#",""), HYPERLINK(CONCATENATE("#Metadata!", ADDRESS(INDEX($X$2:$X$1001,MATCH(ROWS($V$2:V942),$V$2:$V$1001,0),0), INDEX($AC$1004:$AS$1004,1,MATCH(COLUMNS($AC$1006:AK1006),$AC$1006:$AS$1006,0)))),"Fix")))</f>
        <v>0</v>
      </c>
      <c r="K942" s="5">
        <f>IF(OR(INDEX($W$2:$W$1001,MATCH(ROWS($V$2:V942),$V$2:$V$1001,0),1)&gt;=100000,INDEX($AC$1005:$AS$1005,1,MATCH(COLUMNS($AC$1006:AL1006),$AC$1006:$AS$1006,0))&gt;=100000), " ",IF(INDEX($AC$2:$AS$1001,MATCH(ROWS($V$2:V942),$V$2:$V$1001,0),MATCH(COLUMNS($AC$1006:AL1006),$AC$1006:$AS$1006,0)), HYPERLINK("#",""), HYPERLINK(CONCATENATE("#Metadata!", ADDRESS(INDEX($X$2:$X$1001,MATCH(ROWS($V$2:V942),$V$2:$V$1001,0),0), INDEX($AC$1004:$AS$1004,1,MATCH(COLUMNS($AC$1006:AL1006),$AC$1006:$AS$1006,0)))),"Fix")))</f>
        <v>0</v>
      </c>
      <c r="L942" s="5">
        <f>IF(OR(INDEX($W$2:$W$1001,MATCH(ROWS($V$2:V942),$V$2:$V$1001,0),1)&gt;=100000,INDEX($AC$1005:$AS$1005,1,MATCH(COLUMNS($AC$1006:AM1006),$AC$1006:$AS$1006,0))&gt;=100000), " ",IF(INDEX($AC$2:$AS$1001,MATCH(ROWS($V$2:V942),$V$2:$V$1001,0),MATCH(COLUMNS($AC$1006:AM1006),$AC$1006:$AS$1006,0)), HYPERLINK("#",""), HYPERLINK(CONCATENATE("#Metadata!", ADDRESS(INDEX($X$2:$X$1001,MATCH(ROWS($V$2:V942),$V$2:$V$1001,0),0), INDEX($AC$1004:$AS$1004,1,MATCH(COLUMNS($AC$1006:AM1006),$AC$1006:$AS$1006,0)))),"Fix")))</f>
        <v>0</v>
      </c>
      <c r="M942" s="5">
        <f>IF(OR(INDEX($W$2:$W$1001,MATCH(ROWS($V$2:V942),$V$2:$V$1001,0),1)&gt;=100000,INDEX($AC$1005:$AS$1005,1,MATCH(COLUMNS($AC$1006:AN1006),$AC$1006:$AS$1006,0))&gt;=100000), " ",IF(INDEX($AC$2:$AS$1001,MATCH(ROWS($V$2:V942),$V$2:$V$1001,0),MATCH(COLUMNS($AC$1006:AN1006),$AC$1006:$AS$1006,0)), HYPERLINK("#",""), HYPERLINK(CONCATENATE("#Metadata!", ADDRESS(INDEX($X$2:$X$1001,MATCH(ROWS($V$2:V942),$V$2:$V$1001,0),0), INDEX($AC$1004:$AS$1004,1,MATCH(COLUMNS($AC$1006:AN1006),$AC$1006:$AS$1006,0)))),"Fix")))</f>
        <v>0</v>
      </c>
      <c r="N942" s="5">
        <f>IF(OR(INDEX($W$2:$W$1001,MATCH(ROWS($V$2:V942),$V$2:$V$1001,0),1)&gt;=100000,INDEX($AC$1005:$AS$1005,1,MATCH(COLUMNS($AC$1006:AO1006),$AC$1006:$AS$1006,0))&gt;=100000), " ",IF(INDEX($AC$2:$AS$1001,MATCH(ROWS($V$2:V942),$V$2:$V$1001,0),MATCH(COLUMNS($AC$1006:AO1006),$AC$1006:$AS$1006,0)), HYPERLINK("#",""), HYPERLINK(CONCATENATE("#Metadata!", ADDRESS(INDEX($X$2:$X$1001,MATCH(ROWS($V$2:V942),$V$2:$V$1001,0),0), INDEX($AC$1004:$AS$1004,1,MATCH(COLUMNS($AC$1006:AO1006),$AC$1006:$AS$1006,0)))),"Fix")))</f>
        <v>0</v>
      </c>
      <c r="O942" s="5">
        <f>IF(OR(INDEX($W$2:$W$1001,MATCH(ROWS($V$2:V942),$V$2:$V$1001,0),1)&gt;=100000,INDEX($AC$1005:$AS$1005,1,MATCH(COLUMNS($AC$1006:AP1006),$AC$1006:$AS$1006,0))&gt;=100000), " ",IF(INDEX($AC$2:$AS$1001,MATCH(ROWS($V$2:V942),$V$2:$V$1001,0),MATCH(COLUMNS($AC$1006:AP1006),$AC$1006:$AS$1006,0)), HYPERLINK("#",""), HYPERLINK(CONCATENATE("#Metadata!", ADDRESS(INDEX($X$2:$X$1001,MATCH(ROWS($V$2:V942),$V$2:$V$1001,0),0), INDEX($AC$1004:$AS$1004,1,MATCH(COLUMNS($AC$1006:AP1006),$AC$1006:$AS$1006,0)))),"Fix")))</f>
        <v>0</v>
      </c>
      <c r="P942" s="5">
        <f>IF(OR(INDEX($W$2:$W$1001,MATCH(ROWS($V$2:V942),$V$2:$V$1001,0),1)&gt;=100000,INDEX($AC$1005:$AS$1005,1,MATCH(COLUMNS($AC$1006:AQ1006),$AC$1006:$AS$1006,0))&gt;=100000), " ",IF(INDEX($AC$2:$AS$1001,MATCH(ROWS($V$2:V942),$V$2:$V$1001,0),MATCH(COLUMNS($AC$1006:AQ1006),$AC$1006:$AS$1006,0)), HYPERLINK("#",""), HYPERLINK(CONCATENATE("#Metadata!", ADDRESS(INDEX($X$2:$X$1001,MATCH(ROWS($V$2:V942),$V$2:$V$1001,0),0), INDEX($AC$1004:$AS$1004,1,MATCH(COLUMNS($AC$1006:AQ1006),$AC$1006:$AS$1006,0)))),"Fix")))</f>
        <v>0</v>
      </c>
      <c r="Q942" s="5">
        <f>IF(OR(INDEX($W$2:$W$1001,MATCH(ROWS($V$2:V942),$V$2:$V$1001,0),1)&gt;=100000,INDEX($AC$1005:$AS$1005,1,MATCH(COLUMNS($AC$1006:AR1006),$AC$1006:$AS$1006,0))&gt;=100000), " ",IF(INDEX($AC$2:$AS$1001,MATCH(ROWS($V$2:V942),$V$2:$V$1001,0),MATCH(COLUMNS($AC$1006:AR1006),$AC$1006:$AS$1006,0)), HYPERLINK("#",""), HYPERLINK(CONCATENATE("#Metadata!", ADDRESS(INDEX($X$2:$X$1001,MATCH(ROWS($V$2:V942),$V$2:$V$1001,0),0), INDEX($AC$1004:$AS$1004,1,MATCH(COLUMNS($AC$1006:AR1006),$AC$1006:$AS$1006,0)))),"Fix")))</f>
        <v>0</v>
      </c>
      <c r="R942" s="5">
        <f>IF(OR(INDEX($W$2:$W$1001,MATCH(ROWS($V$2:V942),$V$2:$V$1001,0),1)&gt;=100000,INDEX($AC$1005:$AS$1005,1,MATCH(COLUMNS($AC$1006:AS1006),$AC$1006:$AS$1006,0))&gt;=100000), " ",IF(INDEX($AC$2:$AS$1001,MATCH(ROWS($V$2:V942),$V$2:$V$1001,0),MATCH(COLUMNS($AC$1006:AS1006),$AC$1006:$AS$1006,0)), HYPERLINK("#",""), HYPERLINK(CONCATENATE("#Metadata!", ADDRESS(INDEX($X$2:$X$1001,MATCH(ROWS($V$2:V942),$V$2:$V$1001,0),0), INDEX($AC$1004:$AS$1004,1,MATCH(COLUMNS($AC$1006:AS1006),$AC$1006:$AS$1006,0)))),"Fix")))</f>
        <v>0</v>
      </c>
      <c r="V942">
        <v>0</v>
      </c>
      <c r="W942">
        <v>0</v>
      </c>
      <c r="X942">
        <v>0</v>
      </c>
      <c r="Y942">
        <f>IF(Z942,TRUE,AND(AC942:AS942))</f>
        <v>0</v>
      </c>
      <c r="Z942">
        <f>COUNTBLANK(Metadata!B942:R942)=COLUMNS(Metadata!B942:R942)</f>
        <v>0</v>
      </c>
      <c r="AA942">
        <v>0</v>
      </c>
      <c r="AC942">
        <f>AND(IF(Metadata!B942="",FALSE,TRUE),COUNTIF(Metadata!B:B, Metadata!B942) = 1,NOT(ISERROR(SUMPRODUCT(SEARCH(MID(Metadata!B942,ROW(INDIRECT("1:"&amp;LEN(Metadata!B942))), 1),"0123456789abcdefghijklmnopqrstuvwxyzABCDEFGHIJKLMNOPQRSTUVWXYZ.")))))</f>
        <v>0</v>
      </c>
      <c r="AD942">
        <f>AND(IF(Metadata!C942="",FALSE,TRUE),exact(Metadata!C942,"Host-associated"))</f>
        <v>0</v>
      </c>
      <c r="AE942">
        <f>AND(IF(Metadata!D942="",FALSE,TRUE),OR(exact(Metadata!D942,"Animal"),exact(Metadata!D942,"Fungus"),exact(Metadata!D942,"Plant")))</f>
        <v>0</v>
      </c>
      <c r="AF942">
        <f>AND(IF(Metadata!E942="",FALSE,TRUE),OR(exact(Metadata!E942,"Plant secretion"),exact(Metadata!E942,"Plant rhizosphere"),exact(Metadata!E942,"Plant surface"),exact(Metadata!E942,"Plant corpus"),exact(Metadata!E942,"Fungus surface"),exact(Metadata!E942,"Fungus corpus"),exact(Metadata!E942,"Animal surface"),exact(Metadata!E942,"Animal proximal gut"),exact(Metadata!E942,"Animal corpus"),exact(Metadata!E942,"Animal distal gut"),exact(Metadata!E942,"Animal secretion")))</f>
        <v>0</v>
      </c>
      <c r="AG942">
        <f>OR(AND(IF(Metadata!F942="",FALSE,TRUE),OR(exact(Metadata!F942,"not collected"),exact(Metadata!F942,"not provided"),exact(Metadata!F942,"restricted access"))),AND(IF(Metadata!F942="",FALSE,TRUE),OR(exact(Metadata!F942,"organism-associated habitat"),exact(Metadata!F942,"plant-associated habitat"),exact(Metadata!F942,"animal-associated habitat"),exact(Metadata!F942,"insecta-associated habitat"),exact(Metadata!F942,"mammalia-associated habitat"),exact(Metadata!F942,"human-associated habitat"),exact(Metadata!F942,"livestock-associated habitat"))))</f>
        <v>0</v>
      </c>
      <c r="AH942">
        <f>AND(IF(Metadata!G942="",FALSE,TRUE),exact(Metadata!G942,"host-associated"))</f>
        <v>0</v>
      </c>
      <c r="AI942">
        <f>OR(AND(IF(Metadata!H942="",FALSE,TRUE),OR(exact(Metadata!H942,"not collected"),exact(Metadata!H942,"not provided"))),AND(IF(Metadata!H942="",FALSE,ISNUMBER(VALUE(Metadata!H942))),Metadata!H942&gt;0))</f>
        <v>0</v>
      </c>
      <c r="AJ942">
        <f>AND(IF(Metadata!I942="",FALSE,TRUE),exact(Metadata!I942,"years"))</f>
        <v>0</v>
      </c>
      <c r="AK942">
        <f>IF(Metadata!J942="",FALSE,TRUE)</f>
        <v>0</v>
      </c>
      <c r="AL942">
        <f>OR(AND(IF(Metadata!K942="",FALSE,TRUE),OR(exact(Metadata!K942,"not collected"),exact(Metadata!K942,"not provided"))),AND(IF(Metadata!K942="",FALSE,ISNUMBER(VALUE(Metadata!K942))),Metadata!K942&gt;0))</f>
        <v>0</v>
      </c>
      <c r="AM942">
        <f>AND(IF(Metadata!L942="",FALSE,TRUE),exact(Metadata!L942,"cm"))</f>
        <v>0</v>
      </c>
      <c r="AN942">
        <f>IF(Metadata!M942="",FALSE,TRUE)</f>
        <v>0</v>
      </c>
      <c r="AO942">
        <f>OR(AND(IF(Metadata!N942="",FALSE,TRUE),OR(exact(Metadata!N942,"not applicable"),exact(Metadata!N942,"not collected"),exact(Metadata!N942,"not provided"))),AND(IF(Metadata!N942="",FALSE,IF(ISERROR(INT(Metadata!N942)),FALSE,INT(Metadata!N942)=Metadata!N942)),Metadata!N942&gt;0))</f>
        <v>0</v>
      </c>
      <c r="AP942">
        <f>OR(AND(IF(Metadata!O942="",FALSE,TRUE),OR(exact(Metadata!O942,"not collected"),exact(Metadata!O942,"not provided"))),AND(IF(Metadata!O942="",FALSE,ISNUMBER(VALUE(Metadata!O942))),Metadata!O942&gt;0))</f>
        <v>0</v>
      </c>
      <c r="AQ942">
        <f>AND(IF(Metadata!P942="",FALSE,TRUE),exact(Metadata!P942,"kg"))</f>
        <v>0</v>
      </c>
      <c r="AR942">
        <f>OR(AND(IF(Metadata!Q942="",FALSE,TRUE),OR(exact(Metadata!Q942,"not applicable"),exact(Metadata!Q942,"not collected"),exact(Metadata!Q942,"not provided"),exact(Metadata!Q942,"restricted access"))),IF(Metadata!Q942="",FALSE,IF(ISERROR(INT(Metadata!Q942)),FALSE,INT(Metadata!Q942)=Metadata!Q942)))</f>
        <v>0</v>
      </c>
      <c r="AS942">
        <f>AND(IF(Metadata!R942="",FALSE,TRUE),exact(Metadata!R942,"Not applicable"))</f>
        <v>0</v>
      </c>
    </row>
    <row r="943" spans="1:45">
      <c r="A943" s="4">
        <f>IF(B943=" "," ",HYPERLINK(CONCATENATE("#metadata!",ADDRESS(INDEX($X$2:$X$1001,MATCH(ROWS($V$2:V943),$V$2:$V$1001,0),0),2)),INDEX($AA$2:$AA$1001,MATCH(ROWS($V$2:V943),$V$2:$V$1001,0),0)))</f>
        <v>0</v>
      </c>
      <c r="B943" s="5">
        <f>IF(OR(INDEX($W$2:$W$1001,MATCH(ROWS($V$2:V943),$V$2:$V$1001,0),1)&gt;=100000,INDEX($AC$1005:$AS$1005,1,MATCH(COLUMNS($AC$1006:AC1006),$AC$1006:$AS$1006,0))&gt;=100000), " ",IF(INDEX($AC$2:$AS$1001,MATCH(ROWS($V$2:V943),$V$2:$V$1001,0),MATCH(COLUMNS($AC$1006:AC1006),$AC$1006:$AS$1006,0)), HYPERLINK("#",""), HYPERLINK(CONCATENATE("#Metadata!", ADDRESS(INDEX($X$2:$X$1001,MATCH(ROWS($V$2:V943),$V$2:$V$1001,0),0), INDEX($AC$1004:$AS$1004,1,MATCH(COLUMNS($AC$1006:AC1006),$AC$1006:$AS$1006,0)))),"Fix")))</f>
        <v>0</v>
      </c>
      <c r="C943" s="5">
        <f>IF(OR(INDEX($W$2:$W$1001,MATCH(ROWS($V$2:V943),$V$2:$V$1001,0),1)&gt;=100000,INDEX($AC$1005:$AS$1005,1,MATCH(COLUMNS($AC$1006:AD1006),$AC$1006:$AS$1006,0))&gt;=100000), " ",IF(INDEX($AC$2:$AS$1001,MATCH(ROWS($V$2:V943),$V$2:$V$1001,0),MATCH(COLUMNS($AC$1006:AD1006),$AC$1006:$AS$1006,0)), HYPERLINK("#",""), HYPERLINK(CONCATENATE("#Metadata!", ADDRESS(INDEX($X$2:$X$1001,MATCH(ROWS($V$2:V943),$V$2:$V$1001,0),0), INDEX($AC$1004:$AS$1004,1,MATCH(COLUMNS($AC$1006:AD1006),$AC$1006:$AS$1006,0)))),"Fix")))</f>
        <v>0</v>
      </c>
      <c r="D943" s="5">
        <f>IF(OR(INDEX($W$2:$W$1001,MATCH(ROWS($V$2:V943),$V$2:$V$1001,0),1)&gt;=100000,INDEX($AC$1005:$AS$1005,1,MATCH(COLUMNS($AC$1006:AE1006),$AC$1006:$AS$1006,0))&gt;=100000), " ",IF(INDEX($AC$2:$AS$1001,MATCH(ROWS($V$2:V943),$V$2:$V$1001,0),MATCH(COLUMNS($AC$1006:AE1006),$AC$1006:$AS$1006,0)), HYPERLINK("#",""), HYPERLINK(CONCATENATE("#Metadata!", ADDRESS(INDEX($X$2:$X$1001,MATCH(ROWS($V$2:V943),$V$2:$V$1001,0),0), INDEX($AC$1004:$AS$1004,1,MATCH(COLUMNS($AC$1006:AE1006),$AC$1006:$AS$1006,0)))),"Fix")))</f>
        <v>0</v>
      </c>
      <c r="E943" s="5">
        <f>IF(OR(INDEX($W$2:$W$1001,MATCH(ROWS($V$2:V943),$V$2:$V$1001,0),1)&gt;=100000,INDEX($AC$1005:$AS$1005,1,MATCH(COLUMNS($AC$1006:AF1006),$AC$1006:$AS$1006,0))&gt;=100000), " ",IF(INDEX($AC$2:$AS$1001,MATCH(ROWS($V$2:V943),$V$2:$V$1001,0),MATCH(COLUMNS($AC$1006:AF1006),$AC$1006:$AS$1006,0)), HYPERLINK("#",""), HYPERLINK(CONCATENATE("#Metadata!", ADDRESS(INDEX($X$2:$X$1001,MATCH(ROWS($V$2:V943),$V$2:$V$1001,0),0), INDEX($AC$1004:$AS$1004,1,MATCH(COLUMNS($AC$1006:AF1006),$AC$1006:$AS$1006,0)))),"Fix")))</f>
        <v>0</v>
      </c>
      <c r="F943" s="5">
        <f>IF(OR(INDEX($W$2:$W$1001,MATCH(ROWS($V$2:V943),$V$2:$V$1001,0),1)&gt;=100000,INDEX($AC$1005:$AS$1005,1,MATCH(COLUMNS($AC$1006:AG1006),$AC$1006:$AS$1006,0))&gt;=100000), " ",IF(INDEX($AC$2:$AS$1001,MATCH(ROWS($V$2:V943),$V$2:$V$1001,0),MATCH(COLUMNS($AC$1006:AG1006),$AC$1006:$AS$1006,0)), HYPERLINK("#",""), HYPERLINK(CONCATENATE("#Metadata!", ADDRESS(INDEX($X$2:$X$1001,MATCH(ROWS($V$2:V943),$V$2:$V$1001,0),0), INDEX($AC$1004:$AS$1004,1,MATCH(COLUMNS($AC$1006:AG1006),$AC$1006:$AS$1006,0)))),"Fix")))</f>
        <v>0</v>
      </c>
      <c r="G943" s="5">
        <f>IF(OR(INDEX($W$2:$W$1001,MATCH(ROWS($V$2:V943),$V$2:$V$1001,0),1)&gt;=100000,INDEX($AC$1005:$AS$1005,1,MATCH(COLUMNS($AC$1006:AH1006),$AC$1006:$AS$1006,0))&gt;=100000), " ",IF(INDEX($AC$2:$AS$1001,MATCH(ROWS($V$2:V943),$V$2:$V$1001,0),MATCH(COLUMNS($AC$1006:AH1006),$AC$1006:$AS$1006,0)), HYPERLINK("#",""), HYPERLINK(CONCATENATE("#Metadata!", ADDRESS(INDEX($X$2:$X$1001,MATCH(ROWS($V$2:V943),$V$2:$V$1001,0),0), INDEX($AC$1004:$AS$1004,1,MATCH(COLUMNS($AC$1006:AH1006),$AC$1006:$AS$1006,0)))),"Fix")))</f>
        <v>0</v>
      </c>
      <c r="H943" s="5">
        <f>IF(OR(INDEX($W$2:$W$1001,MATCH(ROWS($V$2:V943),$V$2:$V$1001,0),1)&gt;=100000,INDEX($AC$1005:$AS$1005,1,MATCH(COLUMNS($AC$1006:AI1006),$AC$1006:$AS$1006,0))&gt;=100000), " ",IF(INDEX($AC$2:$AS$1001,MATCH(ROWS($V$2:V943),$V$2:$V$1001,0),MATCH(COLUMNS($AC$1006:AI1006),$AC$1006:$AS$1006,0)), HYPERLINK("#",""), HYPERLINK(CONCATENATE("#Metadata!", ADDRESS(INDEX($X$2:$X$1001,MATCH(ROWS($V$2:V943),$V$2:$V$1001,0),0), INDEX($AC$1004:$AS$1004,1,MATCH(COLUMNS($AC$1006:AI1006),$AC$1006:$AS$1006,0)))),"Fix")))</f>
        <v>0</v>
      </c>
      <c r="I943" s="5">
        <f>IF(OR(INDEX($W$2:$W$1001,MATCH(ROWS($V$2:V943),$V$2:$V$1001,0),1)&gt;=100000,INDEX($AC$1005:$AS$1005,1,MATCH(COLUMNS($AC$1006:AJ1006),$AC$1006:$AS$1006,0))&gt;=100000), " ",IF(INDEX($AC$2:$AS$1001,MATCH(ROWS($V$2:V943),$V$2:$V$1001,0),MATCH(COLUMNS($AC$1006:AJ1006),$AC$1006:$AS$1006,0)), HYPERLINK("#",""), HYPERLINK(CONCATENATE("#Metadata!", ADDRESS(INDEX($X$2:$X$1001,MATCH(ROWS($V$2:V943),$V$2:$V$1001,0),0), INDEX($AC$1004:$AS$1004,1,MATCH(COLUMNS($AC$1006:AJ1006),$AC$1006:$AS$1006,0)))),"Fix")))</f>
        <v>0</v>
      </c>
      <c r="J943" s="5">
        <f>IF(OR(INDEX($W$2:$W$1001,MATCH(ROWS($V$2:V943),$V$2:$V$1001,0),1)&gt;=100000,INDEX($AC$1005:$AS$1005,1,MATCH(COLUMNS($AC$1006:AK1006),$AC$1006:$AS$1006,0))&gt;=100000), " ",IF(INDEX($AC$2:$AS$1001,MATCH(ROWS($V$2:V943),$V$2:$V$1001,0),MATCH(COLUMNS($AC$1006:AK1006),$AC$1006:$AS$1006,0)), HYPERLINK("#",""), HYPERLINK(CONCATENATE("#Metadata!", ADDRESS(INDEX($X$2:$X$1001,MATCH(ROWS($V$2:V943),$V$2:$V$1001,0),0), INDEX($AC$1004:$AS$1004,1,MATCH(COLUMNS($AC$1006:AK1006),$AC$1006:$AS$1006,0)))),"Fix")))</f>
        <v>0</v>
      </c>
      <c r="K943" s="5">
        <f>IF(OR(INDEX($W$2:$W$1001,MATCH(ROWS($V$2:V943),$V$2:$V$1001,0),1)&gt;=100000,INDEX($AC$1005:$AS$1005,1,MATCH(COLUMNS($AC$1006:AL1006),$AC$1006:$AS$1006,0))&gt;=100000), " ",IF(INDEX($AC$2:$AS$1001,MATCH(ROWS($V$2:V943),$V$2:$V$1001,0),MATCH(COLUMNS($AC$1006:AL1006),$AC$1006:$AS$1006,0)), HYPERLINK("#",""), HYPERLINK(CONCATENATE("#Metadata!", ADDRESS(INDEX($X$2:$X$1001,MATCH(ROWS($V$2:V943),$V$2:$V$1001,0),0), INDEX($AC$1004:$AS$1004,1,MATCH(COLUMNS($AC$1006:AL1006),$AC$1006:$AS$1006,0)))),"Fix")))</f>
        <v>0</v>
      </c>
      <c r="L943" s="5">
        <f>IF(OR(INDEX($W$2:$W$1001,MATCH(ROWS($V$2:V943),$V$2:$V$1001,0),1)&gt;=100000,INDEX($AC$1005:$AS$1005,1,MATCH(COLUMNS($AC$1006:AM1006),$AC$1006:$AS$1006,0))&gt;=100000), " ",IF(INDEX($AC$2:$AS$1001,MATCH(ROWS($V$2:V943),$V$2:$V$1001,0),MATCH(COLUMNS($AC$1006:AM1006),$AC$1006:$AS$1006,0)), HYPERLINK("#",""), HYPERLINK(CONCATENATE("#Metadata!", ADDRESS(INDEX($X$2:$X$1001,MATCH(ROWS($V$2:V943),$V$2:$V$1001,0),0), INDEX($AC$1004:$AS$1004,1,MATCH(COLUMNS($AC$1006:AM1006),$AC$1006:$AS$1006,0)))),"Fix")))</f>
        <v>0</v>
      </c>
      <c r="M943" s="5">
        <f>IF(OR(INDEX($W$2:$W$1001,MATCH(ROWS($V$2:V943),$V$2:$V$1001,0),1)&gt;=100000,INDEX($AC$1005:$AS$1005,1,MATCH(COLUMNS($AC$1006:AN1006),$AC$1006:$AS$1006,0))&gt;=100000), " ",IF(INDEX($AC$2:$AS$1001,MATCH(ROWS($V$2:V943),$V$2:$V$1001,0),MATCH(COLUMNS($AC$1006:AN1006),$AC$1006:$AS$1006,0)), HYPERLINK("#",""), HYPERLINK(CONCATENATE("#Metadata!", ADDRESS(INDEX($X$2:$X$1001,MATCH(ROWS($V$2:V943),$V$2:$V$1001,0),0), INDEX($AC$1004:$AS$1004,1,MATCH(COLUMNS($AC$1006:AN1006),$AC$1006:$AS$1006,0)))),"Fix")))</f>
        <v>0</v>
      </c>
      <c r="N943" s="5">
        <f>IF(OR(INDEX($W$2:$W$1001,MATCH(ROWS($V$2:V943),$V$2:$V$1001,0),1)&gt;=100000,INDEX($AC$1005:$AS$1005,1,MATCH(COLUMNS($AC$1006:AO1006),$AC$1006:$AS$1006,0))&gt;=100000), " ",IF(INDEX($AC$2:$AS$1001,MATCH(ROWS($V$2:V943),$V$2:$V$1001,0),MATCH(COLUMNS($AC$1006:AO1006),$AC$1006:$AS$1006,0)), HYPERLINK("#",""), HYPERLINK(CONCATENATE("#Metadata!", ADDRESS(INDEX($X$2:$X$1001,MATCH(ROWS($V$2:V943),$V$2:$V$1001,0),0), INDEX($AC$1004:$AS$1004,1,MATCH(COLUMNS($AC$1006:AO1006),$AC$1006:$AS$1006,0)))),"Fix")))</f>
        <v>0</v>
      </c>
      <c r="O943" s="5">
        <f>IF(OR(INDEX($W$2:$W$1001,MATCH(ROWS($V$2:V943),$V$2:$V$1001,0),1)&gt;=100000,INDEX($AC$1005:$AS$1005,1,MATCH(COLUMNS($AC$1006:AP1006),$AC$1006:$AS$1006,0))&gt;=100000), " ",IF(INDEX($AC$2:$AS$1001,MATCH(ROWS($V$2:V943),$V$2:$V$1001,0),MATCH(COLUMNS($AC$1006:AP1006),$AC$1006:$AS$1006,0)), HYPERLINK("#",""), HYPERLINK(CONCATENATE("#Metadata!", ADDRESS(INDEX($X$2:$X$1001,MATCH(ROWS($V$2:V943),$V$2:$V$1001,0),0), INDEX($AC$1004:$AS$1004,1,MATCH(COLUMNS($AC$1006:AP1006),$AC$1006:$AS$1006,0)))),"Fix")))</f>
        <v>0</v>
      </c>
      <c r="P943" s="5">
        <f>IF(OR(INDEX($W$2:$W$1001,MATCH(ROWS($V$2:V943),$V$2:$V$1001,0),1)&gt;=100000,INDEX($AC$1005:$AS$1005,1,MATCH(COLUMNS($AC$1006:AQ1006),$AC$1006:$AS$1006,0))&gt;=100000), " ",IF(INDEX($AC$2:$AS$1001,MATCH(ROWS($V$2:V943),$V$2:$V$1001,0),MATCH(COLUMNS($AC$1006:AQ1006),$AC$1006:$AS$1006,0)), HYPERLINK("#",""), HYPERLINK(CONCATENATE("#Metadata!", ADDRESS(INDEX($X$2:$X$1001,MATCH(ROWS($V$2:V943),$V$2:$V$1001,0),0), INDEX($AC$1004:$AS$1004,1,MATCH(COLUMNS($AC$1006:AQ1006),$AC$1006:$AS$1006,0)))),"Fix")))</f>
        <v>0</v>
      </c>
      <c r="Q943" s="5">
        <f>IF(OR(INDEX($W$2:$W$1001,MATCH(ROWS($V$2:V943),$V$2:$V$1001,0),1)&gt;=100000,INDEX($AC$1005:$AS$1005,1,MATCH(COLUMNS($AC$1006:AR1006),$AC$1006:$AS$1006,0))&gt;=100000), " ",IF(INDEX($AC$2:$AS$1001,MATCH(ROWS($V$2:V943),$V$2:$V$1001,0),MATCH(COLUMNS($AC$1006:AR1006),$AC$1006:$AS$1006,0)), HYPERLINK("#",""), HYPERLINK(CONCATENATE("#Metadata!", ADDRESS(INDEX($X$2:$X$1001,MATCH(ROWS($V$2:V943),$V$2:$V$1001,0),0), INDEX($AC$1004:$AS$1004,1,MATCH(COLUMNS($AC$1006:AR1006),$AC$1006:$AS$1006,0)))),"Fix")))</f>
        <v>0</v>
      </c>
      <c r="R943" s="5">
        <f>IF(OR(INDEX($W$2:$W$1001,MATCH(ROWS($V$2:V943),$V$2:$V$1001,0),1)&gt;=100000,INDEX($AC$1005:$AS$1005,1,MATCH(COLUMNS($AC$1006:AS1006),$AC$1006:$AS$1006,0))&gt;=100000), " ",IF(INDEX($AC$2:$AS$1001,MATCH(ROWS($V$2:V943),$V$2:$V$1001,0),MATCH(COLUMNS($AC$1006:AS1006),$AC$1006:$AS$1006,0)), HYPERLINK("#",""), HYPERLINK(CONCATENATE("#Metadata!", ADDRESS(INDEX($X$2:$X$1001,MATCH(ROWS($V$2:V943),$V$2:$V$1001,0),0), INDEX($AC$1004:$AS$1004,1,MATCH(COLUMNS($AC$1006:AS1006),$AC$1006:$AS$1006,0)))),"Fix")))</f>
        <v>0</v>
      </c>
      <c r="V943">
        <v>0</v>
      </c>
      <c r="W943">
        <v>0</v>
      </c>
      <c r="X943">
        <v>0</v>
      </c>
      <c r="Y943">
        <f>IF(Z943,TRUE,AND(AC943:AS943))</f>
        <v>0</v>
      </c>
      <c r="Z943">
        <f>COUNTBLANK(Metadata!B943:R943)=COLUMNS(Metadata!B943:R943)</f>
        <v>0</v>
      </c>
      <c r="AA943">
        <v>0</v>
      </c>
      <c r="AC943">
        <f>AND(IF(Metadata!B943="",FALSE,TRUE),COUNTIF(Metadata!B:B, Metadata!B943) = 1,NOT(ISERROR(SUMPRODUCT(SEARCH(MID(Metadata!B943,ROW(INDIRECT("1:"&amp;LEN(Metadata!B943))), 1),"0123456789abcdefghijklmnopqrstuvwxyzABCDEFGHIJKLMNOPQRSTUVWXYZ.")))))</f>
        <v>0</v>
      </c>
      <c r="AD943">
        <f>AND(IF(Metadata!C943="",FALSE,TRUE),exact(Metadata!C943,"Host-associated"))</f>
        <v>0</v>
      </c>
      <c r="AE943">
        <f>AND(IF(Metadata!D943="",FALSE,TRUE),OR(exact(Metadata!D943,"Animal"),exact(Metadata!D943,"Fungus"),exact(Metadata!D943,"Plant")))</f>
        <v>0</v>
      </c>
      <c r="AF943">
        <f>AND(IF(Metadata!E943="",FALSE,TRUE),OR(exact(Metadata!E943,"Plant secretion"),exact(Metadata!E943,"Plant rhizosphere"),exact(Metadata!E943,"Plant surface"),exact(Metadata!E943,"Plant corpus"),exact(Metadata!E943,"Fungus surface"),exact(Metadata!E943,"Fungus corpus"),exact(Metadata!E943,"Animal surface"),exact(Metadata!E943,"Animal proximal gut"),exact(Metadata!E943,"Animal corpus"),exact(Metadata!E943,"Animal distal gut"),exact(Metadata!E943,"Animal secretion")))</f>
        <v>0</v>
      </c>
      <c r="AG943">
        <f>OR(AND(IF(Metadata!F943="",FALSE,TRUE),OR(exact(Metadata!F943,"not collected"),exact(Metadata!F943,"not provided"),exact(Metadata!F943,"restricted access"))),AND(IF(Metadata!F943="",FALSE,TRUE),OR(exact(Metadata!F943,"organism-associated habitat"),exact(Metadata!F943,"plant-associated habitat"),exact(Metadata!F943,"animal-associated habitat"),exact(Metadata!F943,"insecta-associated habitat"),exact(Metadata!F943,"mammalia-associated habitat"),exact(Metadata!F943,"human-associated habitat"),exact(Metadata!F943,"livestock-associated habitat"))))</f>
        <v>0</v>
      </c>
      <c r="AH943">
        <f>AND(IF(Metadata!G943="",FALSE,TRUE),exact(Metadata!G943,"host-associated"))</f>
        <v>0</v>
      </c>
      <c r="AI943">
        <f>OR(AND(IF(Metadata!H943="",FALSE,TRUE),OR(exact(Metadata!H943,"not collected"),exact(Metadata!H943,"not provided"))),AND(IF(Metadata!H943="",FALSE,ISNUMBER(VALUE(Metadata!H943))),Metadata!H943&gt;0))</f>
        <v>0</v>
      </c>
      <c r="AJ943">
        <f>AND(IF(Metadata!I943="",FALSE,TRUE),exact(Metadata!I943,"years"))</f>
        <v>0</v>
      </c>
      <c r="AK943">
        <f>IF(Metadata!J943="",FALSE,TRUE)</f>
        <v>0</v>
      </c>
      <c r="AL943">
        <f>OR(AND(IF(Metadata!K943="",FALSE,TRUE),OR(exact(Metadata!K943,"not collected"),exact(Metadata!K943,"not provided"))),AND(IF(Metadata!K943="",FALSE,ISNUMBER(VALUE(Metadata!K943))),Metadata!K943&gt;0))</f>
        <v>0</v>
      </c>
      <c r="AM943">
        <f>AND(IF(Metadata!L943="",FALSE,TRUE),exact(Metadata!L943,"cm"))</f>
        <v>0</v>
      </c>
      <c r="AN943">
        <f>IF(Metadata!M943="",FALSE,TRUE)</f>
        <v>0</v>
      </c>
      <c r="AO943">
        <f>OR(AND(IF(Metadata!N943="",FALSE,TRUE),OR(exact(Metadata!N943,"not applicable"),exact(Metadata!N943,"not collected"),exact(Metadata!N943,"not provided"))),AND(IF(Metadata!N943="",FALSE,IF(ISERROR(INT(Metadata!N943)),FALSE,INT(Metadata!N943)=Metadata!N943)),Metadata!N943&gt;0))</f>
        <v>0</v>
      </c>
      <c r="AP943">
        <f>OR(AND(IF(Metadata!O943="",FALSE,TRUE),OR(exact(Metadata!O943,"not collected"),exact(Metadata!O943,"not provided"))),AND(IF(Metadata!O943="",FALSE,ISNUMBER(VALUE(Metadata!O943))),Metadata!O943&gt;0))</f>
        <v>0</v>
      </c>
      <c r="AQ943">
        <f>AND(IF(Metadata!P943="",FALSE,TRUE),exact(Metadata!P943,"kg"))</f>
        <v>0</v>
      </c>
      <c r="AR943">
        <f>OR(AND(IF(Metadata!Q943="",FALSE,TRUE),OR(exact(Metadata!Q943,"not applicable"),exact(Metadata!Q943,"not collected"),exact(Metadata!Q943,"not provided"),exact(Metadata!Q943,"restricted access"))),IF(Metadata!Q943="",FALSE,IF(ISERROR(INT(Metadata!Q943)),FALSE,INT(Metadata!Q943)=Metadata!Q943)))</f>
        <v>0</v>
      </c>
      <c r="AS943">
        <f>AND(IF(Metadata!R943="",FALSE,TRUE),exact(Metadata!R943,"Not applicable"))</f>
        <v>0</v>
      </c>
    </row>
    <row r="944" spans="1:45">
      <c r="A944" s="4">
        <f>IF(B944=" "," ",HYPERLINK(CONCATENATE("#metadata!",ADDRESS(INDEX($X$2:$X$1001,MATCH(ROWS($V$2:V944),$V$2:$V$1001,0),0),2)),INDEX($AA$2:$AA$1001,MATCH(ROWS($V$2:V944),$V$2:$V$1001,0),0)))</f>
        <v>0</v>
      </c>
      <c r="B944" s="5">
        <f>IF(OR(INDEX($W$2:$W$1001,MATCH(ROWS($V$2:V944),$V$2:$V$1001,0),1)&gt;=100000,INDEX($AC$1005:$AS$1005,1,MATCH(COLUMNS($AC$1006:AC1006),$AC$1006:$AS$1006,0))&gt;=100000), " ",IF(INDEX($AC$2:$AS$1001,MATCH(ROWS($V$2:V944),$V$2:$V$1001,0),MATCH(COLUMNS($AC$1006:AC1006),$AC$1006:$AS$1006,0)), HYPERLINK("#",""), HYPERLINK(CONCATENATE("#Metadata!", ADDRESS(INDEX($X$2:$X$1001,MATCH(ROWS($V$2:V944),$V$2:$V$1001,0),0), INDEX($AC$1004:$AS$1004,1,MATCH(COLUMNS($AC$1006:AC1006),$AC$1006:$AS$1006,0)))),"Fix")))</f>
        <v>0</v>
      </c>
      <c r="C944" s="5">
        <f>IF(OR(INDEX($W$2:$W$1001,MATCH(ROWS($V$2:V944),$V$2:$V$1001,0),1)&gt;=100000,INDEX($AC$1005:$AS$1005,1,MATCH(COLUMNS($AC$1006:AD1006),$AC$1006:$AS$1006,0))&gt;=100000), " ",IF(INDEX($AC$2:$AS$1001,MATCH(ROWS($V$2:V944),$V$2:$V$1001,0),MATCH(COLUMNS($AC$1006:AD1006),$AC$1006:$AS$1006,0)), HYPERLINK("#",""), HYPERLINK(CONCATENATE("#Metadata!", ADDRESS(INDEX($X$2:$X$1001,MATCH(ROWS($V$2:V944),$V$2:$V$1001,0),0), INDEX($AC$1004:$AS$1004,1,MATCH(COLUMNS($AC$1006:AD1006),$AC$1006:$AS$1006,0)))),"Fix")))</f>
        <v>0</v>
      </c>
      <c r="D944" s="5">
        <f>IF(OR(INDEX($W$2:$W$1001,MATCH(ROWS($V$2:V944),$V$2:$V$1001,0),1)&gt;=100000,INDEX($AC$1005:$AS$1005,1,MATCH(COLUMNS($AC$1006:AE1006),$AC$1006:$AS$1006,0))&gt;=100000), " ",IF(INDEX($AC$2:$AS$1001,MATCH(ROWS($V$2:V944),$V$2:$V$1001,0),MATCH(COLUMNS($AC$1006:AE1006),$AC$1006:$AS$1006,0)), HYPERLINK("#",""), HYPERLINK(CONCATENATE("#Metadata!", ADDRESS(INDEX($X$2:$X$1001,MATCH(ROWS($V$2:V944),$V$2:$V$1001,0),0), INDEX($AC$1004:$AS$1004,1,MATCH(COLUMNS($AC$1006:AE1006),$AC$1006:$AS$1006,0)))),"Fix")))</f>
        <v>0</v>
      </c>
      <c r="E944" s="5">
        <f>IF(OR(INDEX($W$2:$W$1001,MATCH(ROWS($V$2:V944),$V$2:$V$1001,0),1)&gt;=100000,INDEX($AC$1005:$AS$1005,1,MATCH(COLUMNS($AC$1006:AF1006),$AC$1006:$AS$1006,0))&gt;=100000), " ",IF(INDEX($AC$2:$AS$1001,MATCH(ROWS($V$2:V944),$V$2:$V$1001,0),MATCH(COLUMNS($AC$1006:AF1006),$AC$1006:$AS$1006,0)), HYPERLINK("#",""), HYPERLINK(CONCATENATE("#Metadata!", ADDRESS(INDEX($X$2:$X$1001,MATCH(ROWS($V$2:V944),$V$2:$V$1001,0),0), INDEX($AC$1004:$AS$1004,1,MATCH(COLUMNS($AC$1006:AF1006),$AC$1006:$AS$1006,0)))),"Fix")))</f>
        <v>0</v>
      </c>
      <c r="F944" s="5">
        <f>IF(OR(INDEX($W$2:$W$1001,MATCH(ROWS($V$2:V944),$V$2:$V$1001,0),1)&gt;=100000,INDEX($AC$1005:$AS$1005,1,MATCH(COLUMNS($AC$1006:AG1006),$AC$1006:$AS$1006,0))&gt;=100000), " ",IF(INDEX($AC$2:$AS$1001,MATCH(ROWS($V$2:V944),$V$2:$V$1001,0),MATCH(COLUMNS($AC$1006:AG1006),$AC$1006:$AS$1006,0)), HYPERLINK("#",""), HYPERLINK(CONCATENATE("#Metadata!", ADDRESS(INDEX($X$2:$X$1001,MATCH(ROWS($V$2:V944),$V$2:$V$1001,0),0), INDEX($AC$1004:$AS$1004,1,MATCH(COLUMNS($AC$1006:AG1006),$AC$1006:$AS$1006,0)))),"Fix")))</f>
        <v>0</v>
      </c>
      <c r="G944" s="5">
        <f>IF(OR(INDEX($W$2:$W$1001,MATCH(ROWS($V$2:V944),$V$2:$V$1001,0),1)&gt;=100000,INDEX($AC$1005:$AS$1005,1,MATCH(COLUMNS($AC$1006:AH1006),$AC$1006:$AS$1006,0))&gt;=100000), " ",IF(INDEX($AC$2:$AS$1001,MATCH(ROWS($V$2:V944),$V$2:$V$1001,0),MATCH(COLUMNS($AC$1006:AH1006),$AC$1006:$AS$1006,0)), HYPERLINK("#",""), HYPERLINK(CONCATENATE("#Metadata!", ADDRESS(INDEX($X$2:$X$1001,MATCH(ROWS($V$2:V944),$V$2:$V$1001,0),0), INDEX($AC$1004:$AS$1004,1,MATCH(COLUMNS($AC$1006:AH1006),$AC$1006:$AS$1006,0)))),"Fix")))</f>
        <v>0</v>
      </c>
      <c r="H944" s="5">
        <f>IF(OR(INDEX($W$2:$W$1001,MATCH(ROWS($V$2:V944),$V$2:$V$1001,0),1)&gt;=100000,INDEX($AC$1005:$AS$1005,1,MATCH(COLUMNS($AC$1006:AI1006),$AC$1006:$AS$1006,0))&gt;=100000), " ",IF(INDEX($AC$2:$AS$1001,MATCH(ROWS($V$2:V944),$V$2:$V$1001,0),MATCH(COLUMNS($AC$1006:AI1006),$AC$1006:$AS$1006,0)), HYPERLINK("#",""), HYPERLINK(CONCATENATE("#Metadata!", ADDRESS(INDEX($X$2:$X$1001,MATCH(ROWS($V$2:V944),$V$2:$V$1001,0),0), INDEX($AC$1004:$AS$1004,1,MATCH(COLUMNS($AC$1006:AI1006),$AC$1006:$AS$1006,0)))),"Fix")))</f>
        <v>0</v>
      </c>
      <c r="I944" s="5">
        <f>IF(OR(INDEX($W$2:$W$1001,MATCH(ROWS($V$2:V944),$V$2:$V$1001,0),1)&gt;=100000,INDEX($AC$1005:$AS$1005,1,MATCH(COLUMNS($AC$1006:AJ1006),$AC$1006:$AS$1006,0))&gt;=100000), " ",IF(INDEX($AC$2:$AS$1001,MATCH(ROWS($V$2:V944),$V$2:$V$1001,0),MATCH(COLUMNS($AC$1006:AJ1006),$AC$1006:$AS$1006,0)), HYPERLINK("#",""), HYPERLINK(CONCATENATE("#Metadata!", ADDRESS(INDEX($X$2:$X$1001,MATCH(ROWS($V$2:V944),$V$2:$V$1001,0),0), INDEX($AC$1004:$AS$1004,1,MATCH(COLUMNS($AC$1006:AJ1006),$AC$1006:$AS$1006,0)))),"Fix")))</f>
        <v>0</v>
      </c>
      <c r="J944" s="5">
        <f>IF(OR(INDEX($W$2:$W$1001,MATCH(ROWS($V$2:V944),$V$2:$V$1001,0),1)&gt;=100000,INDEX($AC$1005:$AS$1005,1,MATCH(COLUMNS($AC$1006:AK1006),$AC$1006:$AS$1006,0))&gt;=100000), " ",IF(INDEX($AC$2:$AS$1001,MATCH(ROWS($V$2:V944),$V$2:$V$1001,0),MATCH(COLUMNS($AC$1006:AK1006),$AC$1006:$AS$1006,0)), HYPERLINK("#",""), HYPERLINK(CONCATENATE("#Metadata!", ADDRESS(INDEX($X$2:$X$1001,MATCH(ROWS($V$2:V944),$V$2:$V$1001,0),0), INDEX($AC$1004:$AS$1004,1,MATCH(COLUMNS($AC$1006:AK1006),$AC$1006:$AS$1006,0)))),"Fix")))</f>
        <v>0</v>
      </c>
      <c r="K944" s="5">
        <f>IF(OR(INDEX($W$2:$W$1001,MATCH(ROWS($V$2:V944),$V$2:$V$1001,0),1)&gt;=100000,INDEX($AC$1005:$AS$1005,1,MATCH(COLUMNS($AC$1006:AL1006),$AC$1006:$AS$1006,0))&gt;=100000), " ",IF(INDEX($AC$2:$AS$1001,MATCH(ROWS($V$2:V944),$V$2:$V$1001,0),MATCH(COLUMNS($AC$1006:AL1006),$AC$1006:$AS$1006,0)), HYPERLINK("#",""), HYPERLINK(CONCATENATE("#Metadata!", ADDRESS(INDEX($X$2:$X$1001,MATCH(ROWS($V$2:V944),$V$2:$V$1001,0),0), INDEX($AC$1004:$AS$1004,1,MATCH(COLUMNS($AC$1006:AL1006),$AC$1006:$AS$1006,0)))),"Fix")))</f>
        <v>0</v>
      </c>
      <c r="L944" s="5">
        <f>IF(OR(INDEX($W$2:$W$1001,MATCH(ROWS($V$2:V944),$V$2:$V$1001,0),1)&gt;=100000,INDEX($AC$1005:$AS$1005,1,MATCH(COLUMNS($AC$1006:AM1006),$AC$1006:$AS$1006,0))&gt;=100000), " ",IF(INDEX($AC$2:$AS$1001,MATCH(ROWS($V$2:V944),$V$2:$V$1001,0),MATCH(COLUMNS($AC$1006:AM1006),$AC$1006:$AS$1006,0)), HYPERLINK("#",""), HYPERLINK(CONCATENATE("#Metadata!", ADDRESS(INDEX($X$2:$X$1001,MATCH(ROWS($V$2:V944),$V$2:$V$1001,0),0), INDEX($AC$1004:$AS$1004,1,MATCH(COLUMNS($AC$1006:AM1006),$AC$1006:$AS$1006,0)))),"Fix")))</f>
        <v>0</v>
      </c>
      <c r="M944" s="5">
        <f>IF(OR(INDEX($W$2:$W$1001,MATCH(ROWS($V$2:V944),$V$2:$V$1001,0),1)&gt;=100000,INDEX($AC$1005:$AS$1005,1,MATCH(COLUMNS($AC$1006:AN1006),$AC$1006:$AS$1006,0))&gt;=100000), " ",IF(INDEX($AC$2:$AS$1001,MATCH(ROWS($V$2:V944),$V$2:$V$1001,0),MATCH(COLUMNS($AC$1006:AN1006),$AC$1006:$AS$1006,0)), HYPERLINK("#",""), HYPERLINK(CONCATENATE("#Metadata!", ADDRESS(INDEX($X$2:$X$1001,MATCH(ROWS($V$2:V944),$V$2:$V$1001,0),0), INDEX($AC$1004:$AS$1004,1,MATCH(COLUMNS($AC$1006:AN1006),$AC$1006:$AS$1006,0)))),"Fix")))</f>
        <v>0</v>
      </c>
      <c r="N944" s="5">
        <f>IF(OR(INDEX($W$2:$W$1001,MATCH(ROWS($V$2:V944),$V$2:$V$1001,0),1)&gt;=100000,INDEX($AC$1005:$AS$1005,1,MATCH(COLUMNS($AC$1006:AO1006),$AC$1006:$AS$1006,0))&gt;=100000), " ",IF(INDEX($AC$2:$AS$1001,MATCH(ROWS($V$2:V944),$V$2:$V$1001,0),MATCH(COLUMNS($AC$1006:AO1006),$AC$1006:$AS$1006,0)), HYPERLINK("#",""), HYPERLINK(CONCATENATE("#Metadata!", ADDRESS(INDEX($X$2:$X$1001,MATCH(ROWS($V$2:V944),$V$2:$V$1001,0),0), INDEX($AC$1004:$AS$1004,1,MATCH(COLUMNS($AC$1006:AO1006),$AC$1006:$AS$1006,0)))),"Fix")))</f>
        <v>0</v>
      </c>
      <c r="O944" s="5">
        <f>IF(OR(INDEX($W$2:$W$1001,MATCH(ROWS($V$2:V944),$V$2:$V$1001,0),1)&gt;=100000,INDEX($AC$1005:$AS$1005,1,MATCH(COLUMNS($AC$1006:AP1006),$AC$1006:$AS$1006,0))&gt;=100000), " ",IF(INDEX($AC$2:$AS$1001,MATCH(ROWS($V$2:V944),$V$2:$V$1001,0),MATCH(COLUMNS($AC$1006:AP1006),$AC$1006:$AS$1006,0)), HYPERLINK("#",""), HYPERLINK(CONCATENATE("#Metadata!", ADDRESS(INDEX($X$2:$X$1001,MATCH(ROWS($V$2:V944),$V$2:$V$1001,0),0), INDEX($AC$1004:$AS$1004,1,MATCH(COLUMNS($AC$1006:AP1006),$AC$1006:$AS$1006,0)))),"Fix")))</f>
        <v>0</v>
      </c>
      <c r="P944" s="5">
        <f>IF(OR(INDEX($W$2:$W$1001,MATCH(ROWS($V$2:V944),$V$2:$V$1001,0),1)&gt;=100000,INDEX($AC$1005:$AS$1005,1,MATCH(COLUMNS($AC$1006:AQ1006),$AC$1006:$AS$1006,0))&gt;=100000), " ",IF(INDEX($AC$2:$AS$1001,MATCH(ROWS($V$2:V944),$V$2:$V$1001,0),MATCH(COLUMNS($AC$1006:AQ1006),$AC$1006:$AS$1006,0)), HYPERLINK("#",""), HYPERLINK(CONCATENATE("#Metadata!", ADDRESS(INDEX($X$2:$X$1001,MATCH(ROWS($V$2:V944),$V$2:$V$1001,0),0), INDEX($AC$1004:$AS$1004,1,MATCH(COLUMNS($AC$1006:AQ1006),$AC$1006:$AS$1006,0)))),"Fix")))</f>
        <v>0</v>
      </c>
      <c r="Q944" s="5">
        <f>IF(OR(INDEX($W$2:$W$1001,MATCH(ROWS($V$2:V944),$V$2:$V$1001,0),1)&gt;=100000,INDEX($AC$1005:$AS$1005,1,MATCH(COLUMNS($AC$1006:AR1006),$AC$1006:$AS$1006,0))&gt;=100000), " ",IF(INDEX($AC$2:$AS$1001,MATCH(ROWS($V$2:V944),$V$2:$V$1001,0),MATCH(COLUMNS($AC$1006:AR1006),$AC$1006:$AS$1006,0)), HYPERLINK("#",""), HYPERLINK(CONCATENATE("#Metadata!", ADDRESS(INDEX($X$2:$X$1001,MATCH(ROWS($V$2:V944),$V$2:$V$1001,0),0), INDEX($AC$1004:$AS$1004,1,MATCH(COLUMNS($AC$1006:AR1006),$AC$1006:$AS$1006,0)))),"Fix")))</f>
        <v>0</v>
      </c>
      <c r="R944" s="5">
        <f>IF(OR(INDEX($W$2:$W$1001,MATCH(ROWS($V$2:V944),$V$2:$V$1001,0),1)&gt;=100000,INDEX($AC$1005:$AS$1005,1,MATCH(COLUMNS($AC$1006:AS1006),$AC$1006:$AS$1006,0))&gt;=100000), " ",IF(INDEX($AC$2:$AS$1001,MATCH(ROWS($V$2:V944),$V$2:$V$1001,0),MATCH(COLUMNS($AC$1006:AS1006),$AC$1006:$AS$1006,0)), HYPERLINK("#",""), HYPERLINK(CONCATENATE("#Metadata!", ADDRESS(INDEX($X$2:$X$1001,MATCH(ROWS($V$2:V944),$V$2:$V$1001,0),0), INDEX($AC$1004:$AS$1004,1,MATCH(COLUMNS($AC$1006:AS1006),$AC$1006:$AS$1006,0)))),"Fix")))</f>
        <v>0</v>
      </c>
      <c r="V944">
        <v>0</v>
      </c>
      <c r="W944">
        <v>0</v>
      </c>
      <c r="X944">
        <v>0</v>
      </c>
      <c r="Y944">
        <f>IF(Z944,TRUE,AND(AC944:AS944))</f>
        <v>0</v>
      </c>
      <c r="Z944">
        <f>COUNTBLANK(Metadata!B944:R944)=COLUMNS(Metadata!B944:R944)</f>
        <v>0</v>
      </c>
      <c r="AA944">
        <v>0</v>
      </c>
      <c r="AC944">
        <f>AND(IF(Metadata!B944="",FALSE,TRUE),COUNTIF(Metadata!B:B, Metadata!B944) = 1,NOT(ISERROR(SUMPRODUCT(SEARCH(MID(Metadata!B944,ROW(INDIRECT("1:"&amp;LEN(Metadata!B944))), 1),"0123456789abcdefghijklmnopqrstuvwxyzABCDEFGHIJKLMNOPQRSTUVWXYZ.")))))</f>
        <v>0</v>
      </c>
      <c r="AD944">
        <f>AND(IF(Metadata!C944="",FALSE,TRUE),exact(Metadata!C944,"Host-associated"))</f>
        <v>0</v>
      </c>
      <c r="AE944">
        <f>AND(IF(Metadata!D944="",FALSE,TRUE),OR(exact(Metadata!D944,"Animal"),exact(Metadata!D944,"Fungus"),exact(Metadata!D944,"Plant")))</f>
        <v>0</v>
      </c>
      <c r="AF944">
        <f>AND(IF(Metadata!E944="",FALSE,TRUE),OR(exact(Metadata!E944,"Plant secretion"),exact(Metadata!E944,"Plant rhizosphere"),exact(Metadata!E944,"Plant surface"),exact(Metadata!E944,"Plant corpus"),exact(Metadata!E944,"Fungus surface"),exact(Metadata!E944,"Fungus corpus"),exact(Metadata!E944,"Animal surface"),exact(Metadata!E944,"Animal proximal gut"),exact(Metadata!E944,"Animal corpus"),exact(Metadata!E944,"Animal distal gut"),exact(Metadata!E944,"Animal secretion")))</f>
        <v>0</v>
      </c>
      <c r="AG944">
        <f>OR(AND(IF(Metadata!F944="",FALSE,TRUE),OR(exact(Metadata!F944,"not collected"),exact(Metadata!F944,"not provided"),exact(Metadata!F944,"restricted access"))),AND(IF(Metadata!F944="",FALSE,TRUE),OR(exact(Metadata!F944,"organism-associated habitat"),exact(Metadata!F944,"plant-associated habitat"),exact(Metadata!F944,"animal-associated habitat"),exact(Metadata!F944,"insecta-associated habitat"),exact(Metadata!F944,"mammalia-associated habitat"),exact(Metadata!F944,"human-associated habitat"),exact(Metadata!F944,"livestock-associated habitat"))))</f>
        <v>0</v>
      </c>
      <c r="AH944">
        <f>AND(IF(Metadata!G944="",FALSE,TRUE),exact(Metadata!G944,"host-associated"))</f>
        <v>0</v>
      </c>
      <c r="AI944">
        <f>OR(AND(IF(Metadata!H944="",FALSE,TRUE),OR(exact(Metadata!H944,"not collected"),exact(Metadata!H944,"not provided"))),AND(IF(Metadata!H944="",FALSE,ISNUMBER(VALUE(Metadata!H944))),Metadata!H944&gt;0))</f>
        <v>0</v>
      </c>
      <c r="AJ944">
        <f>AND(IF(Metadata!I944="",FALSE,TRUE),exact(Metadata!I944,"years"))</f>
        <v>0</v>
      </c>
      <c r="AK944">
        <f>IF(Metadata!J944="",FALSE,TRUE)</f>
        <v>0</v>
      </c>
      <c r="AL944">
        <f>OR(AND(IF(Metadata!K944="",FALSE,TRUE),OR(exact(Metadata!K944,"not collected"),exact(Metadata!K944,"not provided"))),AND(IF(Metadata!K944="",FALSE,ISNUMBER(VALUE(Metadata!K944))),Metadata!K944&gt;0))</f>
        <v>0</v>
      </c>
      <c r="AM944">
        <f>AND(IF(Metadata!L944="",FALSE,TRUE),exact(Metadata!L944,"cm"))</f>
        <v>0</v>
      </c>
      <c r="AN944">
        <f>IF(Metadata!M944="",FALSE,TRUE)</f>
        <v>0</v>
      </c>
      <c r="AO944">
        <f>OR(AND(IF(Metadata!N944="",FALSE,TRUE),OR(exact(Metadata!N944,"not applicable"),exact(Metadata!N944,"not collected"),exact(Metadata!N944,"not provided"))),AND(IF(Metadata!N944="",FALSE,IF(ISERROR(INT(Metadata!N944)),FALSE,INT(Metadata!N944)=Metadata!N944)),Metadata!N944&gt;0))</f>
        <v>0</v>
      </c>
      <c r="AP944">
        <f>OR(AND(IF(Metadata!O944="",FALSE,TRUE),OR(exact(Metadata!O944,"not collected"),exact(Metadata!O944,"not provided"))),AND(IF(Metadata!O944="",FALSE,ISNUMBER(VALUE(Metadata!O944))),Metadata!O944&gt;0))</f>
        <v>0</v>
      </c>
      <c r="AQ944">
        <f>AND(IF(Metadata!P944="",FALSE,TRUE),exact(Metadata!P944,"kg"))</f>
        <v>0</v>
      </c>
      <c r="AR944">
        <f>OR(AND(IF(Metadata!Q944="",FALSE,TRUE),OR(exact(Metadata!Q944,"not applicable"),exact(Metadata!Q944,"not collected"),exact(Metadata!Q944,"not provided"),exact(Metadata!Q944,"restricted access"))),IF(Metadata!Q944="",FALSE,IF(ISERROR(INT(Metadata!Q944)),FALSE,INT(Metadata!Q944)=Metadata!Q944)))</f>
        <v>0</v>
      </c>
      <c r="AS944">
        <f>AND(IF(Metadata!R944="",FALSE,TRUE),exact(Metadata!R944,"Not applicable"))</f>
        <v>0</v>
      </c>
    </row>
    <row r="945" spans="1:45">
      <c r="A945" s="4">
        <f>IF(B945=" "," ",HYPERLINK(CONCATENATE("#metadata!",ADDRESS(INDEX($X$2:$X$1001,MATCH(ROWS($V$2:V945),$V$2:$V$1001,0),0),2)),INDEX($AA$2:$AA$1001,MATCH(ROWS($V$2:V945),$V$2:$V$1001,0),0)))</f>
        <v>0</v>
      </c>
      <c r="B945" s="5">
        <f>IF(OR(INDEX($W$2:$W$1001,MATCH(ROWS($V$2:V945),$V$2:$V$1001,0),1)&gt;=100000,INDEX($AC$1005:$AS$1005,1,MATCH(COLUMNS($AC$1006:AC1006),$AC$1006:$AS$1006,0))&gt;=100000), " ",IF(INDEX($AC$2:$AS$1001,MATCH(ROWS($V$2:V945),$V$2:$V$1001,0),MATCH(COLUMNS($AC$1006:AC1006),$AC$1006:$AS$1006,0)), HYPERLINK("#",""), HYPERLINK(CONCATENATE("#Metadata!", ADDRESS(INDEX($X$2:$X$1001,MATCH(ROWS($V$2:V945),$V$2:$V$1001,0),0), INDEX($AC$1004:$AS$1004,1,MATCH(COLUMNS($AC$1006:AC1006),$AC$1006:$AS$1006,0)))),"Fix")))</f>
        <v>0</v>
      </c>
      <c r="C945" s="5">
        <f>IF(OR(INDEX($W$2:$W$1001,MATCH(ROWS($V$2:V945),$V$2:$V$1001,0),1)&gt;=100000,INDEX($AC$1005:$AS$1005,1,MATCH(COLUMNS($AC$1006:AD1006),$AC$1006:$AS$1006,0))&gt;=100000), " ",IF(INDEX($AC$2:$AS$1001,MATCH(ROWS($V$2:V945),$V$2:$V$1001,0),MATCH(COLUMNS($AC$1006:AD1006),$AC$1006:$AS$1006,0)), HYPERLINK("#",""), HYPERLINK(CONCATENATE("#Metadata!", ADDRESS(INDEX($X$2:$X$1001,MATCH(ROWS($V$2:V945),$V$2:$V$1001,0),0), INDEX($AC$1004:$AS$1004,1,MATCH(COLUMNS($AC$1006:AD1006),$AC$1006:$AS$1006,0)))),"Fix")))</f>
        <v>0</v>
      </c>
      <c r="D945" s="5">
        <f>IF(OR(INDEX($W$2:$W$1001,MATCH(ROWS($V$2:V945),$V$2:$V$1001,0),1)&gt;=100000,INDEX($AC$1005:$AS$1005,1,MATCH(COLUMNS($AC$1006:AE1006),$AC$1006:$AS$1006,0))&gt;=100000), " ",IF(INDEX($AC$2:$AS$1001,MATCH(ROWS($V$2:V945),$V$2:$V$1001,0),MATCH(COLUMNS($AC$1006:AE1006),$AC$1006:$AS$1006,0)), HYPERLINK("#",""), HYPERLINK(CONCATENATE("#Metadata!", ADDRESS(INDEX($X$2:$X$1001,MATCH(ROWS($V$2:V945),$V$2:$V$1001,0),0), INDEX($AC$1004:$AS$1004,1,MATCH(COLUMNS($AC$1006:AE1006),$AC$1006:$AS$1006,0)))),"Fix")))</f>
        <v>0</v>
      </c>
      <c r="E945" s="5">
        <f>IF(OR(INDEX($W$2:$W$1001,MATCH(ROWS($V$2:V945),$V$2:$V$1001,0),1)&gt;=100000,INDEX($AC$1005:$AS$1005,1,MATCH(COLUMNS($AC$1006:AF1006),$AC$1006:$AS$1006,0))&gt;=100000), " ",IF(INDEX($AC$2:$AS$1001,MATCH(ROWS($V$2:V945),$V$2:$V$1001,0),MATCH(COLUMNS($AC$1006:AF1006),$AC$1006:$AS$1006,0)), HYPERLINK("#",""), HYPERLINK(CONCATENATE("#Metadata!", ADDRESS(INDEX($X$2:$X$1001,MATCH(ROWS($V$2:V945),$V$2:$V$1001,0),0), INDEX($AC$1004:$AS$1004,1,MATCH(COLUMNS($AC$1006:AF1006),$AC$1006:$AS$1006,0)))),"Fix")))</f>
        <v>0</v>
      </c>
      <c r="F945" s="5">
        <f>IF(OR(INDEX($W$2:$W$1001,MATCH(ROWS($V$2:V945),$V$2:$V$1001,0),1)&gt;=100000,INDEX($AC$1005:$AS$1005,1,MATCH(COLUMNS($AC$1006:AG1006),$AC$1006:$AS$1006,0))&gt;=100000), " ",IF(INDEX($AC$2:$AS$1001,MATCH(ROWS($V$2:V945),$V$2:$V$1001,0),MATCH(COLUMNS($AC$1006:AG1006),$AC$1006:$AS$1006,0)), HYPERLINK("#",""), HYPERLINK(CONCATENATE("#Metadata!", ADDRESS(INDEX($X$2:$X$1001,MATCH(ROWS($V$2:V945),$V$2:$V$1001,0),0), INDEX($AC$1004:$AS$1004,1,MATCH(COLUMNS($AC$1006:AG1006),$AC$1006:$AS$1006,0)))),"Fix")))</f>
        <v>0</v>
      </c>
      <c r="G945" s="5">
        <f>IF(OR(INDEX($W$2:$W$1001,MATCH(ROWS($V$2:V945),$V$2:$V$1001,0),1)&gt;=100000,INDEX($AC$1005:$AS$1005,1,MATCH(COLUMNS($AC$1006:AH1006),$AC$1006:$AS$1006,0))&gt;=100000), " ",IF(INDEX($AC$2:$AS$1001,MATCH(ROWS($V$2:V945),$V$2:$V$1001,0),MATCH(COLUMNS($AC$1006:AH1006),$AC$1006:$AS$1006,0)), HYPERLINK("#",""), HYPERLINK(CONCATENATE("#Metadata!", ADDRESS(INDEX($X$2:$X$1001,MATCH(ROWS($V$2:V945),$V$2:$V$1001,0),0), INDEX($AC$1004:$AS$1004,1,MATCH(COLUMNS($AC$1006:AH1006),$AC$1006:$AS$1006,0)))),"Fix")))</f>
        <v>0</v>
      </c>
      <c r="H945" s="5">
        <f>IF(OR(INDEX($W$2:$W$1001,MATCH(ROWS($V$2:V945),$V$2:$V$1001,0),1)&gt;=100000,INDEX($AC$1005:$AS$1005,1,MATCH(COLUMNS($AC$1006:AI1006),$AC$1006:$AS$1006,0))&gt;=100000), " ",IF(INDEX($AC$2:$AS$1001,MATCH(ROWS($V$2:V945),$V$2:$V$1001,0),MATCH(COLUMNS($AC$1006:AI1006),$AC$1006:$AS$1006,0)), HYPERLINK("#",""), HYPERLINK(CONCATENATE("#Metadata!", ADDRESS(INDEX($X$2:$X$1001,MATCH(ROWS($V$2:V945),$V$2:$V$1001,0),0), INDEX($AC$1004:$AS$1004,1,MATCH(COLUMNS($AC$1006:AI1006),$AC$1006:$AS$1006,0)))),"Fix")))</f>
        <v>0</v>
      </c>
      <c r="I945" s="5">
        <f>IF(OR(INDEX($W$2:$W$1001,MATCH(ROWS($V$2:V945),$V$2:$V$1001,0),1)&gt;=100000,INDEX($AC$1005:$AS$1005,1,MATCH(COLUMNS($AC$1006:AJ1006),$AC$1006:$AS$1006,0))&gt;=100000), " ",IF(INDEX($AC$2:$AS$1001,MATCH(ROWS($V$2:V945),$V$2:$V$1001,0),MATCH(COLUMNS($AC$1006:AJ1006),$AC$1006:$AS$1006,0)), HYPERLINK("#",""), HYPERLINK(CONCATENATE("#Metadata!", ADDRESS(INDEX($X$2:$X$1001,MATCH(ROWS($V$2:V945),$V$2:$V$1001,0),0), INDEX($AC$1004:$AS$1004,1,MATCH(COLUMNS($AC$1006:AJ1006),$AC$1006:$AS$1006,0)))),"Fix")))</f>
        <v>0</v>
      </c>
      <c r="J945" s="5">
        <f>IF(OR(INDEX($W$2:$W$1001,MATCH(ROWS($V$2:V945),$V$2:$V$1001,0),1)&gt;=100000,INDEX($AC$1005:$AS$1005,1,MATCH(COLUMNS($AC$1006:AK1006),$AC$1006:$AS$1006,0))&gt;=100000), " ",IF(INDEX($AC$2:$AS$1001,MATCH(ROWS($V$2:V945),$V$2:$V$1001,0),MATCH(COLUMNS($AC$1006:AK1006),$AC$1006:$AS$1006,0)), HYPERLINK("#",""), HYPERLINK(CONCATENATE("#Metadata!", ADDRESS(INDEX($X$2:$X$1001,MATCH(ROWS($V$2:V945),$V$2:$V$1001,0),0), INDEX($AC$1004:$AS$1004,1,MATCH(COLUMNS($AC$1006:AK1006),$AC$1006:$AS$1006,0)))),"Fix")))</f>
        <v>0</v>
      </c>
      <c r="K945" s="5">
        <f>IF(OR(INDEX($W$2:$W$1001,MATCH(ROWS($V$2:V945),$V$2:$V$1001,0),1)&gt;=100000,INDEX($AC$1005:$AS$1005,1,MATCH(COLUMNS($AC$1006:AL1006),$AC$1006:$AS$1006,0))&gt;=100000), " ",IF(INDEX($AC$2:$AS$1001,MATCH(ROWS($V$2:V945),$V$2:$V$1001,0),MATCH(COLUMNS($AC$1006:AL1006),$AC$1006:$AS$1006,0)), HYPERLINK("#",""), HYPERLINK(CONCATENATE("#Metadata!", ADDRESS(INDEX($X$2:$X$1001,MATCH(ROWS($V$2:V945),$V$2:$V$1001,0),0), INDEX($AC$1004:$AS$1004,1,MATCH(COLUMNS($AC$1006:AL1006),$AC$1006:$AS$1006,0)))),"Fix")))</f>
        <v>0</v>
      </c>
      <c r="L945" s="5">
        <f>IF(OR(INDEX($W$2:$W$1001,MATCH(ROWS($V$2:V945),$V$2:$V$1001,0),1)&gt;=100000,INDEX($AC$1005:$AS$1005,1,MATCH(COLUMNS($AC$1006:AM1006),$AC$1006:$AS$1006,0))&gt;=100000), " ",IF(INDEX($AC$2:$AS$1001,MATCH(ROWS($V$2:V945),$V$2:$V$1001,0),MATCH(COLUMNS($AC$1006:AM1006),$AC$1006:$AS$1006,0)), HYPERLINK("#",""), HYPERLINK(CONCATENATE("#Metadata!", ADDRESS(INDEX($X$2:$X$1001,MATCH(ROWS($V$2:V945),$V$2:$V$1001,0),0), INDEX($AC$1004:$AS$1004,1,MATCH(COLUMNS($AC$1006:AM1006),$AC$1006:$AS$1006,0)))),"Fix")))</f>
        <v>0</v>
      </c>
      <c r="M945" s="5">
        <f>IF(OR(INDEX($W$2:$W$1001,MATCH(ROWS($V$2:V945),$V$2:$V$1001,0),1)&gt;=100000,INDEX($AC$1005:$AS$1005,1,MATCH(COLUMNS($AC$1006:AN1006),$AC$1006:$AS$1006,0))&gt;=100000), " ",IF(INDEX($AC$2:$AS$1001,MATCH(ROWS($V$2:V945),$V$2:$V$1001,0),MATCH(COLUMNS($AC$1006:AN1006),$AC$1006:$AS$1006,0)), HYPERLINK("#",""), HYPERLINK(CONCATENATE("#Metadata!", ADDRESS(INDEX($X$2:$X$1001,MATCH(ROWS($V$2:V945),$V$2:$V$1001,0),0), INDEX($AC$1004:$AS$1004,1,MATCH(COLUMNS($AC$1006:AN1006),$AC$1006:$AS$1006,0)))),"Fix")))</f>
        <v>0</v>
      </c>
      <c r="N945" s="5">
        <f>IF(OR(INDEX($W$2:$W$1001,MATCH(ROWS($V$2:V945),$V$2:$V$1001,0),1)&gt;=100000,INDEX($AC$1005:$AS$1005,1,MATCH(COLUMNS($AC$1006:AO1006),$AC$1006:$AS$1006,0))&gt;=100000), " ",IF(INDEX($AC$2:$AS$1001,MATCH(ROWS($V$2:V945),$V$2:$V$1001,0),MATCH(COLUMNS($AC$1006:AO1006),$AC$1006:$AS$1006,0)), HYPERLINK("#",""), HYPERLINK(CONCATENATE("#Metadata!", ADDRESS(INDEX($X$2:$X$1001,MATCH(ROWS($V$2:V945),$V$2:$V$1001,0),0), INDEX($AC$1004:$AS$1004,1,MATCH(COLUMNS($AC$1006:AO1006),$AC$1006:$AS$1006,0)))),"Fix")))</f>
        <v>0</v>
      </c>
      <c r="O945" s="5">
        <f>IF(OR(INDEX($W$2:$W$1001,MATCH(ROWS($V$2:V945),$V$2:$V$1001,0),1)&gt;=100000,INDEX($AC$1005:$AS$1005,1,MATCH(COLUMNS($AC$1006:AP1006),$AC$1006:$AS$1006,0))&gt;=100000), " ",IF(INDEX($AC$2:$AS$1001,MATCH(ROWS($V$2:V945),$V$2:$V$1001,0),MATCH(COLUMNS($AC$1006:AP1006),$AC$1006:$AS$1006,0)), HYPERLINK("#",""), HYPERLINK(CONCATENATE("#Metadata!", ADDRESS(INDEX($X$2:$X$1001,MATCH(ROWS($V$2:V945),$V$2:$V$1001,0),0), INDEX($AC$1004:$AS$1004,1,MATCH(COLUMNS($AC$1006:AP1006),$AC$1006:$AS$1006,0)))),"Fix")))</f>
        <v>0</v>
      </c>
      <c r="P945" s="5">
        <f>IF(OR(INDEX($W$2:$W$1001,MATCH(ROWS($V$2:V945),$V$2:$V$1001,0),1)&gt;=100000,INDEX($AC$1005:$AS$1005,1,MATCH(COLUMNS($AC$1006:AQ1006),$AC$1006:$AS$1006,0))&gt;=100000), " ",IF(INDEX($AC$2:$AS$1001,MATCH(ROWS($V$2:V945),$V$2:$V$1001,0),MATCH(COLUMNS($AC$1006:AQ1006),$AC$1006:$AS$1006,0)), HYPERLINK("#",""), HYPERLINK(CONCATENATE("#Metadata!", ADDRESS(INDEX($X$2:$X$1001,MATCH(ROWS($V$2:V945),$V$2:$V$1001,0),0), INDEX($AC$1004:$AS$1004,1,MATCH(COLUMNS($AC$1006:AQ1006),$AC$1006:$AS$1006,0)))),"Fix")))</f>
        <v>0</v>
      </c>
      <c r="Q945" s="5">
        <f>IF(OR(INDEX($W$2:$W$1001,MATCH(ROWS($V$2:V945),$V$2:$V$1001,0),1)&gt;=100000,INDEX($AC$1005:$AS$1005,1,MATCH(COLUMNS($AC$1006:AR1006),$AC$1006:$AS$1006,0))&gt;=100000), " ",IF(INDEX($AC$2:$AS$1001,MATCH(ROWS($V$2:V945),$V$2:$V$1001,0),MATCH(COLUMNS($AC$1006:AR1006),$AC$1006:$AS$1006,0)), HYPERLINK("#",""), HYPERLINK(CONCATENATE("#Metadata!", ADDRESS(INDEX($X$2:$X$1001,MATCH(ROWS($V$2:V945),$V$2:$V$1001,0),0), INDEX($AC$1004:$AS$1004,1,MATCH(COLUMNS($AC$1006:AR1006),$AC$1006:$AS$1006,0)))),"Fix")))</f>
        <v>0</v>
      </c>
      <c r="R945" s="5">
        <f>IF(OR(INDEX($W$2:$W$1001,MATCH(ROWS($V$2:V945),$V$2:$V$1001,0),1)&gt;=100000,INDEX($AC$1005:$AS$1005,1,MATCH(COLUMNS($AC$1006:AS1006),$AC$1006:$AS$1006,0))&gt;=100000), " ",IF(INDEX($AC$2:$AS$1001,MATCH(ROWS($V$2:V945),$V$2:$V$1001,0),MATCH(COLUMNS($AC$1006:AS1006),$AC$1006:$AS$1006,0)), HYPERLINK("#",""), HYPERLINK(CONCATENATE("#Metadata!", ADDRESS(INDEX($X$2:$X$1001,MATCH(ROWS($V$2:V945),$V$2:$V$1001,0),0), INDEX($AC$1004:$AS$1004,1,MATCH(COLUMNS($AC$1006:AS1006),$AC$1006:$AS$1006,0)))),"Fix")))</f>
        <v>0</v>
      </c>
      <c r="V945">
        <v>0</v>
      </c>
      <c r="W945">
        <v>0</v>
      </c>
      <c r="X945">
        <v>0</v>
      </c>
      <c r="Y945">
        <f>IF(Z945,TRUE,AND(AC945:AS945))</f>
        <v>0</v>
      </c>
      <c r="Z945">
        <f>COUNTBLANK(Metadata!B945:R945)=COLUMNS(Metadata!B945:R945)</f>
        <v>0</v>
      </c>
      <c r="AA945">
        <v>0</v>
      </c>
      <c r="AC945">
        <f>AND(IF(Metadata!B945="",FALSE,TRUE),COUNTIF(Metadata!B:B, Metadata!B945) = 1,NOT(ISERROR(SUMPRODUCT(SEARCH(MID(Metadata!B945,ROW(INDIRECT("1:"&amp;LEN(Metadata!B945))), 1),"0123456789abcdefghijklmnopqrstuvwxyzABCDEFGHIJKLMNOPQRSTUVWXYZ.")))))</f>
        <v>0</v>
      </c>
      <c r="AD945">
        <f>AND(IF(Metadata!C945="",FALSE,TRUE),exact(Metadata!C945,"Host-associated"))</f>
        <v>0</v>
      </c>
      <c r="AE945">
        <f>AND(IF(Metadata!D945="",FALSE,TRUE),OR(exact(Metadata!D945,"Animal"),exact(Metadata!D945,"Fungus"),exact(Metadata!D945,"Plant")))</f>
        <v>0</v>
      </c>
      <c r="AF945">
        <f>AND(IF(Metadata!E945="",FALSE,TRUE),OR(exact(Metadata!E945,"Plant secretion"),exact(Metadata!E945,"Plant rhizosphere"),exact(Metadata!E945,"Plant surface"),exact(Metadata!E945,"Plant corpus"),exact(Metadata!E945,"Fungus surface"),exact(Metadata!E945,"Fungus corpus"),exact(Metadata!E945,"Animal surface"),exact(Metadata!E945,"Animal proximal gut"),exact(Metadata!E945,"Animal corpus"),exact(Metadata!E945,"Animal distal gut"),exact(Metadata!E945,"Animal secretion")))</f>
        <v>0</v>
      </c>
      <c r="AG945">
        <f>OR(AND(IF(Metadata!F945="",FALSE,TRUE),OR(exact(Metadata!F945,"not collected"),exact(Metadata!F945,"not provided"),exact(Metadata!F945,"restricted access"))),AND(IF(Metadata!F945="",FALSE,TRUE),OR(exact(Metadata!F945,"organism-associated habitat"),exact(Metadata!F945,"plant-associated habitat"),exact(Metadata!F945,"animal-associated habitat"),exact(Metadata!F945,"insecta-associated habitat"),exact(Metadata!F945,"mammalia-associated habitat"),exact(Metadata!F945,"human-associated habitat"),exact(Metadata!F945,"livestock-associated habitat"))))</f>
        <v>0</v>
      </c>
      <c r="AH945">
        <f>AND(IF(Metadata!G945="",FALSE,TRUE),exact(Metadata!G945,"host-associated"))</f>
        <v>0</v>
      </c>
      <c r="AI945">
        <f>OR(AND(IF(Metadata!H945="",FALSE,TRUE),OR(exact(Metadata!H945,"not collected"),exact(Metadata!H945,"not provided"))),AND(IF(Metadata!H945="",FALSE,ISNUMBER(VALUE(Metadata!H945))),Metadata!H945&gt;0))</f>
        <v>0</v>
      </c>
      <c r="AJ945">
        <f>AND(IF(Metadata!I945="",FALSE,TRUE),exact(Metadata!I945,"years"))</f>
        <v>0</v>
      </c>
      <c r="AK945">
        <f>IF(Metadata!J945="",FALSE,TRUE)</f>
        <v>0</v>
      </c>
      <c r="AL945">
        <f>OR(AND(IF(Metadata!K945="",FALSE,TRUE),OR(exact(Metadata!K945,"not collected"),exact(Metadata!K945,"not provided"))),AND(IF(Metadata!K945="",FALSE,ISNUMBER(VALUE(Metadata!K945))),Metadata!K945&gt;0))</f>
        <v>0</v>
      </c>
      <c r="AM945">
        <f>AND(IF(Metadata!L945="",FALSE,TRUE),exact(Metadata!L945,"cm"))</f>
        <v>0</v>
      </c>
      <c r="AN945">
        <f>IF(Metadata!M945="",FALSE,TRUE)</f>
        <v>0</v>
      </c>
      <c r="AO945">
        <f>OR(AND(IF(Metadata!N945="",FALSE,TRUE),OR(exact(Metadata!N945,"not applicable"),exact(Metadata!N945,"not collected"),exact(Metadata!N945,"not provided"))),AND(IF(Metadata!N945="",FALSE,IF(ISERROR(INT(Metadata!N945)),FALSE,INT(Metadata!N945)=Metadata!N945)),Metadata!N945&gt;0))</f>
        <v>0</v>
      </c>
      <c r="AP945">
        <f>OR(AND(IF(Metadata!O945="",FALSE,TRUE),OR(exact(Metadata!O945,"not collected"),exact(Metadata!O945,"not provided"))),AND(IF(Metadata!O945="",FALSE,ISNUMBER(VALUE(Metadata!O945))),Metadata!O945&gt;0))</f>
        <v>0</v>
      </c>
      <c r="AQ945">
        <f>AND(IF(Metadata!P945="",FALSE,TRUE),exact(Metadata!P945,"kg"))</f>
        <v>0</v>
      </c>
      <c r="AR945">
        <f>OR(AND(IF(Metadata!Q945="",FALSE,TRUE),OR(exact(Metadata!Q945,"not applicable"),exact(Metadata!Q945,"not collected"),exact(Metadata!Q945,"not provided"),exact(Metadata!Q945,"restricted access"))),IF(Metadata!Q945="",FALSE,IF(ISERROR(INT(Metadata!Q945)),FALSE,INT(Metadata!Q945)=Metadata!Q945)))</f>
        <v>0</v>
      </c>
      <c r="AS945">
        <f>AND(IF(Metadata!R945="",FALSE,TRUE),exact(Metadata!R945,"Not applicable"))</f>
        <v>0</v>
      </c>
    </row>
    <row r="946" spans="1:45">
      <c r="A946" s="4">
        <f>IF(B946=" "," ",HYPERLINK(CONCATENATE("#metadata!",ADDRESS(INDEX($X$2:$X$1001,MATCH(ROWS($V$2:V946),$V$2:$V$1001,0),0),2)),INDEX($AA$2:$AA$1001,MATCH(ROWS($V$2:V946),$V$2:$V$1001,0),0)))</f>
        <v>0</v>
      </c>
      <c r="B946" s="5">
        <f>IF(OR(INDEX($W$2:$W$1001,MATCH(ROWS($V$2:V946),$V$2:$V$1001,0),1)&gt;=100000,INDEX($AC$1005:$AS$1005,1,MATCH(COLUMNS($AC$1006:AC1006),$AC$1006:$AS$1006,0))&gt;=100000), " ",IF(INDEX($AC$2:$AS$1001,MATCH(ROWS($V$2:V946),$V$2:$V$1001,0),MATCH(COLUMNS($AC$1006:AC1006),$AC$1006:$AS$1006,0)), HYPERLINK("#",""), HYPERLINK(CONCATENATE("#Metadata!", ADDRESS(INDEX($X$2:$X$1001,MATCH(ROWS($V$2:V946),$V$2:$V$1001,0),0), INDEX($AC$1004:$AS$1004,1,MATCH(COLUMNS($AC$1006:AC1006),$AC$1006:$AS$1006,0)))),"Fix")))</f>
        <v>0</v>
      </c>
      <c r="C946" s="5">
        <f>IF(OR(INDEX($W$2:$W$1001,MATCH(ROWS($V$2:V946),$V$2:$V$1001,0),1)&gt;=100000,INDEX($AC$1005:$AS$1005,1,MATCH(COLUMNS($AC$1006:AD1006),$AC$1006:$AS$1006,0))&gt;=100000), " ",IF(INDEX($AC$2:$AS$1001,MATCH(ROWS($V$2:V946),$V$2:$V$1001,0),MATCH(COLUMNS($AC$1006:AD1006),$AC$1006:$AS$1006,0)), HYPERLINK("#",""), HYPERLINK(CONCATENATE("#Metadata!", ADDRESS(INDEX($X$2:$X$1001,MATCH(ROWS($V$2:V946),$V$2:$V$1001,0),0), INDEX($AC$1004:$AS$1004,1,MATCH(COLUMNS($AC$1006:AD1006),$AC$1006:$AS$1006,0)))),"Fix")))</f>
        <v>0</v>
      </c>
      <c r="D946" s="5">
        <f>IF(OR(INDEX($W$2:$W$1001,MATCH(ROWS($V$2:V946),$V$2:$V$1001,0),1)&gt;=100000,INDEX($AC$1005:$AS$1005,1,MATCH(COLUMNS($AC$1006:AE1006),$AC$1006:$AS$1006,0))&gt;=100000), " ",IF(INDEX($AC$2:$AS$1001,MATCH(ROWS($V$2:V946),$V$2:$V$1001,0),MATCH(COLUMNS($AC$1006:AE1006),$AC$1006:$AS$1006,0)), HYPERLINK("#",""), HYPERLINK(CONCATENATE("#Metadata!", ADDRESS(INDEX($X$2:$X$1001,MATCH(ROWS($V$2:V946),$V$2:$V$1001,0),0), INDEX($AC$1004:$AS$1004,1,MATCH(COLUMNS($AC$1006:AE1006),$AC$1006:$AS$1006,0)))),"Fix")))</f>
        <v>0</v>
      </c>
      <c r="E946" s="5">
        <f>IF(OR(INDEX($W$2:$W$1001,MATCH(ROWS($V$2:V946),$V$2:$V$1001,0),1)&gt;=100000,INDEX($AC$1005:$AS$1005,1,MATCH(COLUMNS($AC$1006:AF1006),$AC$1006:$AS$1006,0))&gt;=100000), " ",IF(INDEX($AC$2:$AS$1001,MATCH(ROWS($V$2:V946),$V$2:$V$1001,0),MATCH(COLUMNS($AC$1006:AF1006),$AC$1006:$AS$1006,0)), HYPERLINK("#",""), HYPERLINK(CONCATENATE("#Metadata!", ADDRESS(INDEX($X$2:$X$1001,MATCH(ROWS($V$2:V946),$V$2:$V$1001,0),0), INDEX($AC$1004:$AS$1004,1,MATCH(COLUMNS($AC$1006:AF1006),$AC$1006:$AS$1006,0)))),"Fix")))</f>
        <v>0</v>
      </c>
      <c r="F946" s="5">
        <f>IF(OR(INDEX($W$2:$W$1001,MATCH(ROWS($V$2:V946),$V$2:$V$1001,0),1)&gt;=100000,INDEX($AC$1005:$AS$1005,1,MATCH(COLUMNS($AC$1006:AG1006),$AC$1006:$AS$1006,0))&gt;=100000), " ",IF(INDEX($AC$2:$AS$1001,MATCH(ROWS($V$2:V946),$V$2:$V$1001,0),MATCH(COLUMNS($AC$1006:AG1006),$AC$1006:$AS$1006,0)), HYPERLINK("#",""), HYPERLINK(CONCATENATE("#Metadata!", ADDRESS(INDEX($X$2:$X$1001,MATCH(ROWS($V$2:V946),$V$2:$V$1001,0),0), INDEX($AC$1004:$AS$1004,1,MATCH(COLUMNS($AC$1006:AG1006),$AC$1006:$AS$1006,0)))),"Fix")))</f>
        <v>0</v>
      </c>
      <c r="G946" s="5">
        <f>IF(OR(INDEX($W$2:$W$1001,MATCH(ROWS($V$2:V946),$V$2:$V$1001,0),1)&gt;=100000,INDEX($AC$1005:$AS$1005,1,MATCH(COLUMNS($AC$1006:AH1006),$AC$1006:$AS$1006,0))&gt;=100000), " ",IF(INDEX($AC$2:$AS$1001,MATCH(ROWS($V$2:V946),$V$2:$V$1001,0),MATCH(COLUMNS($AC$1006:AH1006),$AC$1006:$AS$1006,0)), HYPERLINK("#",""), HYPERLINK(CONCATENATE("#Metadata!", ADDRESS(INDEX($X$2:$X$1001,MATCH(ROWS($V$2:V946),$V$2:$V$1001,0),0), INDEX($AC$1004:$AS$1004,1,MATCH(COLUMNS($AC$1006:AH1006),$AC$1006:$AS$1006,0)))),"Fix")))</f>
        <v>0</v>
      </c>
      <c r="H946" s="5">
        <f>IF(OR(INDEX($W$2:$W$1001,MATCH(ROWS($V$2:V946),$V$2:$V$1001,0),1)&gt;=100000,INDEX($AC$1005:$AS$1005,1,MATCH(COLUMNS($AC$1006:AI1006),$AC$1006:$AS$1006,0))&gt;=100000), " ",IF(INDEX($AC$2:$AS$1001,MATCH(ROWS($V$2:V946),$V$2:$V$1001,0),MATCH(COLUMNS($AC$1006:AI1006),$AC$1006:$AS$1006,0)), HYPERLINK("#",""), HYPERLINK(CONCATENATE("#Metadata!", ADDRESS(INDEX($X$2:$X$1001,MATCH(ROWS($V$2:V946),$V$2:$V$1001,0),0), INDEX($AC$1004:$AS$1004,1,MATCH(COLUMNS($AC$1006:AI1006),$AC$1006:$AS$1006,0)))),"Fix")))</f>
        <v>0</v>
      </c>
      <c r="I946" s="5">
        <f>IF(OR(INDEX($W$2:$W$1001,MATCH(ROWS($V$2:V946),$V$2:$V$1001,0),1)&gt;=100000,INDEX($AC$1005:$AS$1005,1,MATCH(COLUMNS($AC$1006:AJ1006),$AC$1006:$AS$1006,0))&gt;=100000), " ",IF(INDEX($AC$2:$AS$1001,MATCH(ROWS($V$2:V946),$V$2:$V$1001,0),MATCH(COLUMNS($AC$1006:AJ1006),$AC$1006:$AS$1006,0)), HYPERLINK("#",""), HYPERLINK(CONCATENATE("#Metadata!", ADDRESS(INDEX($X$2:$X$1001,MATCH(ROWS($V$2:V946),$V$2:$V$1001,0),0), INDEX($AC$1004:$AS$1004,1,MATCH(COLUMNS($AC$1006:AJ1006),$AC$1006:$AS$1006,0)))),"Fix")))</f>
        <v>0</v>
      </c>
      <c r="J946" s="5">
        <f>IF(OR(INDEX($W$2:$W$1001,MATCH(ROWS($V$2:V946),$V$2:$V$1001,0),1)&gt;=100000,INDEX($AC$1005:$AS$1005,1,MATCH(COLUMNS($AC$1006:AK1006),$AC$1006:$AS$1006,0))&gt;=100000), " ",IF(INDEX($AC$2:$AS$1001,MATCH(ROWS($V$2:V946),$V$2:$V$1001,0),MATCH(COLUMNS($AC$1006:AK1006),$AC$1006:$AS$1006,0)), HYPERLINK("#",""), HYPERLINK(CONCATENATE("#Metadata!", ADDRESS(INDEX($X$2:$X$1001,MATCH(ROWS($V$2:V946),$V$2:$V$1001,0),0), INDEX($AC$1004:$AS$1004,1,MATCH(COLUMNS($AC$1006:AK1006),$AC$1006:$AS$1006,0)))),"Fix")))</f>
        <v>0</v>
      </c>
      <c r="K946" s="5">
        <f>IF(OR(INDEX($W$2:$W$1001,MATCH(ROWS($V$2:V946),$V$2:$V$1001,0),1)&gt;=100000,INDEX($AC$1005:$AS$1005,1,MATCH(COLUMNS($AC$1006:AL1006),$AC$1006:$AS$1006,0))&gt;=100000), " ",IF(INDEX($AC$2:$AS$1001,MATCH(ROWS($V$2:V946),$V$2:$V$1001,0),MATCH(COLUMNS($AC$1006:AL1006),$AC$1006:$AS$1006,0)), HYPERLINK("#",""), HYPERLINK(CONCATENATE("#Metadata!", ADDRESS(INDEX($X$2:$X$1001,MATCH(ROWS($V$2:V946),$V$2:$V$1001,0),0), INDEX($AC$1004:$AS$1004,1,MATCH(COLUMNS($AC$1006:AL1006),$AC$1006:$AS$1006,0)))),"Fix")))</f>
        <v>0</v>
      </c>
      <c r="L946" s="5">
        <f>IF(OR(INDEX($W$2:$W$1001,MATCH(ROWS($V$2:V946),$V$2:$V$1001,0),1)&gt;=100000,INDEX($AC$1005:$AS$1005,1,MATCH(COLUMNS($AC$1006:AM1006),$AC$1006:$AS$1006,0))&gt;=100000), " ",IF(INDEX($AC$2:$AS$1001,MATCH(ROWS($V$2:V946),$V$2:$V$1001,0),MATCH(COLUMNS($AC$1006:AM1006),$AC$1006:$AS$1006,0)), HYPERLINK("#",""), HYPERLINK(CONCATENATE("#Metadata!", ADDRESS(INDEX($X$2:$X$1001,MATCH(ROWS($V$2:V946),$V$2:$V$1001,0),0), INDEX($AC$1004:$AS$1004,1,MATCH(COLUMNS($AC$1006:AM1006),$AC$1006:$AS$1006,0)))),"Fix")))</f>
        <v>0</v>
      </c>
      <c r="M946" s="5">
        <f>IF(OR(INDEX($W$2:$W$1001,MATCH(ROWS($V$2:V946),$V$2:$V$1001,0),1)&gt;=100000,INDEX($AC$1005:$AS$1005,1,MATCH(COLUMNS($AC$1006:AN1006),$AC$1006:$AS$1006,0))&gt;=100000), " ",IF(INDEX($AC$2:$AS$1001,MATCH(ROWS($V$2:V946),$V$2:$V$1001,0),MATCH(COLUMNS($AC$1006:AN1006),$AC$1006:$AS$1006,0)), HYPERLINK("#",""), HYPERLINK(CONCATENATE("#Metadata!", ADDRESS(INDEX($X$2:$X$1001,MATCH(ROWS($V$2:V946),$V$2:$V$1001,0),0), INDEX($AC$1004:$AS$1004,1,MATCH(COLUMNS($AC$1006:AN1006),$AC$1006:$AS$1006,0)))),"Fix")))</f>
        <v>0</v>
      </c>
      <c r="N946" s="5">
        <f>IF(OR(INDEX($W$2:$W$1001,MATCH(ROWS($V$2:V946),$V$2:$V$1001,0),1)&gt;=100000,INDEX($AC$1005:$AS$1005,1,MATCH(COLUMNS($AC$1006:AO1006),$AC$1006:$AS$1006,0))&gt;=100000), " ",IF(INDEX($AC$2:$AS$1001,MATCH(ROWS($V$2:V946),$V$2:$V$1001,0),MATCH(COLUMNS($AC$1006:AO1006),$AC$1006:$AS$1006,0)), HYPERLINK("#",""), HYPERLINK(CONCATENATE("#Metadata!", ADDRESS(INDEX($X$2:$X$1001,MATCH(ROWS($V$2:V946),$V$2:$V$1001,0),0), INDEX($AC$1004:$AS$1004,1,MATCH(COLUMNS($AC$1006:AO1006),$AC$1006:$AS$1006,0)))),"Fix")))</f>
        <v>0</v>
      </c>
      <c r="O946" s="5">
        <f>IF(OR(INDEX($W$2:$W$1001,MATCH(ROWS($V$2:V946),$V$2:$V$1001,0),1)&gt;=100000,INDEX($AC$1005:$AS$1005,1,MATCH(COLUMNS($AC$1006:AP1006),$AC$1006:$AS$1006,0))&gt;=100000), " ",IF(INDEX($AC$2:$AS$1001,MATCH(ROWS($V$2:V946),$V$2:$V$1001,0),MATCH(COLUMNS($AC$1006:AP1006),$AC$1006:$AS$1006,0)), HYPERLINK("#",""), HYPERLINK(CONCATENATE("#Metadata!", ADDRESS(INDEX($X$2:$X$1001,MATCH(ROWS($V$2:V946),$V$2:$V$1001,0),0), INDEX($AC$1004:$AS$1004,1,MATCH(COLUMNS($AC$1006:AP1006),$AC$1006:$AS$1006,0)))),"Fix")))</f>
        <v>0</v>
      </c>
      <c r="P946" s="5">
        <f>IF(OR(INDEX($W$2:$W$1001,MATCH(ROWS($V$2:V946),$V$2:$V$1001,0),1)&gt;=100000,INDEX($AC$1005:$AS$1005,1,MATCH(COLUMNS($AC$1006:AQ1006),$AC$1006:$AS$1006,0))&gt;=100000), " ",IF(INDEX($AC$2:$AS$1001,MATCH(ROWS($V$2:V946),$V$2:$V$1001,0),MATCH(COLUMNS($AC$1006:AQ1006),$AC$1006:$AS$1006,0)), HYPERLINK("#",""), HYPERLINK(CONCATENATE("#Metadata!", ADDRESS(INDEX($X$2:$X$1001,MATCH(ROWS($V$2:V946),$V$2:$V$1001,0),0), INDEX($AC$1004:$AS$1004,1,MATCH(COLUMNS($AC$1006:AQ1006),$AC$1006:$AS$1006,0)))),"Fix")))</f>
        <v>0</v>
      </c>
      <c r="Q946" s="5">
        <f>IF(OR(INDEX($W$2:$W$1001,MATCH(ROWS($V$2:V946),$V$2:$V$1001,0),1)&gt;=100000,INDEX($AC$1005:$AS$1005,1,MATCH(COLUMNS($AC$1006:AR1006),$AC$1006:$AS$1006,0))&gt;=100000), " ",IF(INDEX($AC$2:$AS$1001,MATCH(ROWS($V$2:V946),$V$2:$V$1001,0),MATCH(COLUMNS($AC$1006:AR1006),$AC$1006:$AS$1006,0)), HYPERLINK("#",""), HYPERLINK(CONCATENATE("#Metadata!", ADDRESS(INDEX($X$2:$X$1001,MATCH(ROWS($V$2:V946),$V$2:$V$1001,0),0), INDEX($AC$1004:$AS$1004,1,MATCH(COLUMNS($AC$1006:AR1006),$AC$1006:$AS$1006,0)))),"Fix")))</f>
        <v>0</v>
      </c>
      <c r="R946" s="5">
        <f>IF(OR(INDEX($W$2:$W$1001,MATCH(ROWS($V$2:V946),$V$2:$V$1001,0),1)&gt;=100000,INDEX($AC$1005:$AS$1005,1,MATCH(COLUMNS($AC$1006:AS1006),$AC$1006:$AS$1006,0))&gt;=100000), " ",IF(INDEX($AC$2:$AS$1001,MATCH(ROWS($V$2:V946),$V$2:$V$1001,0),MATCH(COLUMNS($AC$1006:AS1006),$AC$1006:$AS$1006,0)), HYPERLINK("#",""), HYPERLINK(CONCATENATE("#Metadata!", ADDRESS(INDEX($X$2:$X$1001,MATCH(ROWS($V$2:V946),$V$2:$V$1001,0),0), INDEX($AC$1004:$AS$1004,1,MATCH(COLUMNS($AC$1006:AS1006),$AC$1006:$AS$1006,0)))),"Fix")))</f>
        <v>0</v>
      </c>
      <c r="V946">
        <v>0</v>
      </c>
      <c r="W946">
        <v>0</v>
      </c>
      <c r="X946">
        <v>0</v>
      </c>
      <c r="Y946">
        <f>IF(Z946,TRUE,AND(AC946:AS946))</f>
        <v>0</v>
      </c>
      <c r="Z946">
        <f>COUNTBLANK(Metadata!B946:R946)=COLUMNS(Metadata!B946:R946)</f>
        <v>0</v>
      </c>
      <c r="AA946">
        <v>0</v>
      </c>
      <c r="AC946">
        <f>AND(IF(Metadata!B946="",FALSE,TRUE),COUNTIF(Metadata!B:B, Metadata!B946) = 1,NOT(ISERROR(SUMPRODUCT(SEARCH(MID(Metadata!B946,ROW(INDIRECT("1:"&amp;LEN(Metadata!B946))), 1),"0123456789abcdefghijklmnopqrstuvwxyzABCDEFGHIJKLMNOPQRSTUVWXYZ.")))))</f>
        <v>0</v>
      </c>
      <c r="AD946">
        <f>AND(IF(Metadata!C946="",FALSE,TRUE),exact(Metadata!C946,"Host-associated"))</f>
        <v>0</v>
      </c>
      <c r="AE946">
        <f>AND(IF(Metadata!D946="",FALSE,TRUE),OR(exact(Metadata!D946,"Animal"),exact(Metadata!D946,"Fungus"),exact(Metadata!D946,"Plant")))</f>
        <v>0</v>
      </c>
      <c r="AF946">
        <f>AND(IF(Metadata!E946="",FALSE,TRUE),OR(exact(Metadata!E946,"Plant secretion"),exact(Metadata!E946,"Plant rhizosphere"),exact(Metadata!E946,"Plant surface"),exact(Metadata!E946,"Plant corpus"),exact(Metadata!E946,"Fungus surface"),exact(Metadata!E946,"Fungus corpus"),exact(Metadata!E946,"Animal surface"),exact(Metadata!E946,"Animal proximal gut"),exact(Metadata!E946,"Animal corpus"),exact(Metadata!E946,"Animal distal gut"),exact(Metadata!E946,"Animal secretion")))</f>
        <v>0</v>
      </c>
      <c r="AG946">
        <f>OR(AND(IF(Metadata!F946="",FALSE,TRUE),OR(exact(Metadata!F946,"not collected"),exact(Metadata!F946,"not provided"),exact(Metadata!F946,"restricted access"))),AND(IF(Metadata!F946="",FALSE,TRUE),OR(exact(Metadata!F946,"organism-associated habitat"),exact(Metadata!F946,"plant-associated habitat"),exact(Metadata!F946,"animal-associated habitat"),exact(Metadata!F946,"insecta-associated habitat"),exact(Metadata!F946,"mammalia-associated habitat"),exact(Metadata!F946,"human-associated habitat"),exact(Metadata!F946,"livestock-associated habitat"))))</f>
        <v>0</v>
      </c>
      <c r="AH946">
        <f>AND(IF(Metadata!G946="",FALSE,TRUE),exact(Metadata!G946,"host-associated"))</f>
        <v>0</v>
      </c>
      <c r="AI946">
        <f>OR(AND(IF(Metadata!H946="",FALSE,TRUE),OR(exact(Metadata!H946,"not collected"),exact(Metadata!H946,"not provided"))),AND(IF(Metadata!H946="",FALSE,ISNUMBER(VALUE(Metadata!H946))),Metadata!H946&gt;0))</f>
        <v>0</v>
      </c>
      <c r="AJ946">
        <f>AND(IF(Metadata!I946="",FALSE,TRUE),exact(Metadata!I946,"years"))</f>
        <v>0</v>
      </c>
      <c r="AK946">
        <f>IF(Metadata!J946="",FALSE,TRUE)</f>
        <v>0</v>
      </c>
      <c r="AL946">
        <f>OR(AND(IF(Metadata!K946="",FALSE,TRUE),OR(exact(Metadata!K946,"not collected"),exact(Metadata!K946,"not provided"))),AND(IF(Metadata!K946="",FALSE,ISNUMBER(VALUE(Metadata!K946))),Metadata!K946&gt;0))</f>
        <v>0</v>
      </c>
      <c r="AM946">
        <f>AND(IF(Metadata!L946="",FALSE,TRUE),exact(Metadata!L946,"cm"))</f>
        <v>0</v>
      </c>
      <c r="AN946">
        <f>IF(Metadata!M946="",FALSE,TRUE)</f>
        <v>0</v>
      </c>
      <c r="AO946">
        <f>OR(AND(IF(Metadata!N946="",FALSE,TRUE),OR(exact(Metadata!N946,"not applicable"),exact(Metadata!N946,"not collected"),exact(Metadata!N946,"not provided"))),AND(IF(Metadata!N946="",FALSE,IF(ISERROR(INT(Metadata!N946)),FALSE,INT(Metadata!N946)=Metadata!N946)),Metadata!N946&gt;0))</f>
        <v>0</v>
      </c>
      <c r="AP946">
        <f>OR(AND(IF(Metadata!O946="",FALSE,TRUE),OR(exact(Metadata!O946,"not collected"),exact(Metadata!O946,"not provided"))),AND(IF(Metadata!O946="",FALSE,ISNUMBER(VALUE(Metadata!O946))),Metadata!O946&gt;0))</f>
        <v>0</v>
      </c>
      <c r="AQ946">
        <f>AND(IF(Metadata!P946="",FALSE,TRUE),exact(Metadata!P946,"kg"))</f>
        <v>0</v>
      </c>
      <c r="AR946">
        <f>OR(AND(IF(Metadata!Q946="",FALSE,TRUE),OR(exact(Metadata!Q946,"not applicable"),exact(Metadata!Q946,"not collected"),exact(Metadata!Q946,"not provided"),exact(Metadata!Q946,"restricted access"))),IF(Metadata!Q946="",FALSE,IF(ISERROR(INT(Metadata!Q946)),FALSE,INT(Metadata!Q946)=Metadata!Q946)))</f>
        <v>0</v>
      </c>
      <c r="AS946">
        <f>AND(IF(Metadata!R946="",FALSE,TRUE),exact(Metadata!R946,"Not applicable"))</f>
        <v>0</v>
      </c>
    </row>
    <row r="947" spans="1:45">
      <c r="A947" s="4">
        <f>IF(B947=" "," ",HYPERLINK(CONCATENATE("#metadata!",ADDRESS(INDEX($X$2:$X$1001,MATCH(ROWS($V$2:V947),$V$2:$V$1001,0),0),2)),INDEX($AA$2:$AA$1001,MATCH(ROWS($V$2:V947),$V$2:$V$1001,0),0)))</f>
        <v>0</v>
      </c>
      <c r="B947" s="5">
        <f>IF(OR(INDEX($W$2:$W$1001,MATCH(ROWS($V$2:V947),$V$2:$V$1001,0),1)&gt;=100000,INDEX($AC$1005:$AS$1005,1,MATCH(COLUMNS($AC$1006:AC1006),$AC$1006:$AS$1006,0))&gt;=100000), " ",IF(INDEX($AC$2:$AS$1001,MATCH(ROWS($V$2:V947),$V$2:$V$1001,0),MATCH(COLUMNS($AC$1006:AC1006),$AC$1006:$AS$1006,0)), HYPERLINK("#",""), HYPERLINK(CONCATENATE("#Metadata!", ADDRESS(INDEX($X$2:$X$1001,MATCH(ROWS($V$2:V947),$V$2:$V$1001,0),0), INDEX($AC$1004:$AS$1004,1,MATCH(COLUMNS($AC$1006:AC1006),$AC$1006:$AS$1006,0)))),"Fix")))</f>
        <v>0</v>
      </c>
      <c r="C947" s="5">
        <f>IF(OR(INDEX($W$2:$W$1001,MATCH(ROWS($V$2:V947),$V$2:$V$1001,0),1)&gt;=100000,INDEX($AC$1005:$AS$1005,1,MATCH(COLUMNS($AC$1006:AD1006),$AC$1006:$AS$1006,0))&gt;=100000), " ",IF(INDEX($AC$2:$AS$1001,MATCH(ROWS($V$2:V947),$V$2:$V$1001,0),MATCH(COLUMNS($AC$1006:AD1006),$AC$1006:$AS$1006,0)), HYPERLINK("#",""), HYPERLINK(CONCATENATE("#Metadata!", ADDRESS(INDEX($X$2:$X$1001,MATCH(ROWS($V$2:V947),$V$2:$V$1001,0),0), INDEX($AC$1004:$AS$1004,1,MATCH(COLUMNS($AC$1006:AD1006),$AC$1006:$AS$1006,0)))),"Fix")))</f>
        <v>0</v>
      </c>
      <c r="D947" s="5">
        <f>IF(OR(INDEX($W$2:$W$1001,MATCH(ROWS($V$2:V947),$V$2:$V$1001,0),1)&gt;=100000,INDEX($AC$1005:$AS$1005,1,MATCH(COLUMNS($AC$1006:AE1006),$AC$1006:$AS$1006,0))&gt;=100000), " ",IF(INDEX($AC$2:$AS$1001,MATCH(ROWS($V$2:V947),$V$2:$V$1001,0),MATCH(COLUMNS($AC$1006:AE1006),$AC$1006:$AS$1006,0)), HYPERLINK("#",""), HYPERLINK(CONCATENATE("#Metadata!", ADDRESS(INDEX($X$2:$X$1001,MATCH(ROWS($V$2:V947),$V$2:$V$1001,0),0), INDEX($AC$1004:$AS$1004,1,MATCH(COLUMNS($AC$1006:AE1006),$AC$1006:$AS$1006,0)))),"Fix")))</f>
        <v>0</v>
      </c>
      <c r="E947" s="5">
        <f>IF(OR(INDEX($W$2:$W$1001,MATCH(ROWS($V$2:V947),$V$2:$V$1001,0),1)&gt;=100000,INDEX($AC$1005:$AS$1005,1,MATCH(COLUMNS($AC$1006:AF1006),$AC$1006:$AS$1006,0))&gt;=100000), " ",IF(INDEX($AC$2:$AS$1001,MATCH(ROWS($V$2:V947),$V$2:$V$1001,0),MATCH(COLUMNS($AC$1006:AF1006),$AC$1006:$AS$1006,0)), HYPERLINK("#",""), HYPERLINK(CONCATENATE("#Metadata!", ADDRESS(INDEX($X$2:$X$1001,MATCH(ROWS($V$2:V947),$V$2:$V$1001,0),0), INDEX($AC$1004:$AS$1004,1,MATCH(COLUMNS($AC$1006:AF1006),$AC$1006:$AS$1006,0)))),"Fix")))</f>
        <v>0</v>
      </c>
      <c r="F947" s="5">
        <f>IF(OR(INDEX($W$2:$W$1001,MATCH(ROWS($V$2:V947),$V$2:$V$1001,0),1)&gt;=100000,INDEX($AC$1005:$AS$1005,1,MATCH(COLUMNS($AC$1006:AG1006),$AC$1006:$AS$1006,0))&gt;=100000), " ",IF(INDEX($AC$2:$AS$1001,MATCH(ROWS($V$2:V947),$V$2:$V$1001,0),MATCH(COLUMNS($AC$1006:AG1006),$AC$1006:$AS$1006,0)), HYPERLINK("#",""), HYPERLINK(CONCATENATE("#Metadata!", ADDRESS(INDEX($X$2:$X$1001,MATCH(ROWS($V$2:V947),$V$2:$V$1001,0),0), INDEX($AC$1004:$AS$1004,1,MATCH(COLUMNS($AC$1006:AG1006),$AC$1006:$AS$1006,0)))),"Fix")))</f>
        <v>0</v>
      </c>
      <c r="G947" s="5">
        <f>IF(OR(INDEX($W$2:$W$1001,MATCH(ROWS($V$2:V947),$V$2:$V$1001,0),1)&gt;=100000,INDEX($AC$1005:$AS$1005,1,MATCH(COLUMNS($AC$1006:AH1006),$AC$1006:$AS$1006,0))&gt;=100000), " ",IF(INDEX($AC$2:$AS$1001,MATCH(ROWS($V$2:V947),$V$2:$V$1001,0),MATCH(COLUMNS($AC$1006:AH1006),$AC$1006:$AS$1006,0)), HYPERLINK("#",""), HYPERLINK(CONCATENATE("#Metadata!", ADDRESS(INDEX($X$2:$X$1001,MATCH(ROWS($V$2:V947),$V$2:$V$1001,0),0), INDEX($AC$1004:$AS$1004,1,MATCH(COLUMNS($AC$1006:AH1006),$AC$1006:$AS$1006,0)))),"Fix")))</f>
        <v>0</v>
      </c>
      <c r="H947" s="5">
        <f>IF(OR(INDEX($W$2:$W$1001,MATCH(ROWS($V$2:V947),$V$2:$V$1001,0),1)&gt;=100000,INDEX($AC$1005:$AS$1005,1,MATCH(COLUMNS($AC$1006:AI1006),$AC$1006:$AS$1006,0))&gt;=100000), " ",IF(INDEX($AC$2:$AS$1001,MATCH(ROWS($V$2:V947),$V$2:$V$1001,0),MATCH(COLUMNS($AC$1006:AI1006),$AC$1006:$AS$1006,0)), HYPERLINK("#",""), HYPERLINK(CONCATENATE("#Metadata!", ADDRESS(INDEX($X$2:$X$1001,MATCH(ROWS($V$2:V947),$V$2:$V$1001,0),0), INDEX($AC$1004:$AS$1004,1,MATCH(COLUMNS($AC$1006:AI1006),$AC$1006:$AS$1006,0)))),"Fix")))</f>
        <v>0</v>
      </c>
      <c r="I947" s="5">
        <f>IF(OR(INDEX($W$2:$W$1001,MATCH(ROWS($V$2:V947),$V$2:$V$1001,0),1)&gt;=100000,INDEX($AC$1005:$AS$1005,1,MATCH(COLUMNS($AC$1006:AJ1006),$AC$1006:$AS$1006,0))&gt;=100000), " ",IF(INDEX($AC$2:$AS$1001,MATCH(ROWS($V$2:V947),$V$2:$V$1001,0),MATCH(COLUMNS($AC$1006:AJ1006),$AC$1006:$AS$1006,0)), HYPERLINK("#",""), HYPERLINK(CONCATENATE("#Metadata!", ADDRESS(INDEX($X$2:$X$1001,MATCH(ROWS($V$2:V947),$V$2:$V$1001,0),0), INDEX($AC$1004:$AS$1004,1,MATCH(COLUMNS($AC$1006:AJ1006),$AC$1006:$AS$1006,0)))),"Fix")))</f>
        <v>0</v>
      </c>
      <c r="J947" s="5">
        <f>IF(OR(INDEX($W$2:$W$1001,MATCH(ROWS($V$2:V947),$V$2:$V$1001,0),1)&gt;=100000,INDEX($AC$1005:$AS$1005,1,MATCH(COLUMNS($AC$1006:AK1006),$AC$1006:$AS$1006,0))&gt;=100000), " ",IF(INDEX($AC$2:$AS$1001,MATCH(ROWS($V$2:V947),$V$2:$V$1001,0),MATCH(COLUMNS($AC$1006:AK1006),$AC$1006:$AS$1006,0)), HYPERLINK("#",""), HYPERLINK(CONCATENATE("#Metadata!", ADDRESS(INDEX($X$2:$X$1001,MATCH(ROWS($V$2:V947),$V$2:$V$1001,0),0), INDEX($AC$1004:$AS$1004,1,MATCH(COLUMNS($AC$1006:AK1006),$AC$1006:$AS$1006,0)))),"Fix")))</f>
        <v>0</v>
      </c>
      <c r="K947" s="5">
        <f>IF(OR(INDEX($W$2:$W$1001,MATCH(ROWS($V$2:V947),$V$2:$V$1001,0),1)&gt;=100000,INDEX($AC$1005:$AS$1005,1,MATCH(COLUMNS($AC$1006:AL1006),$AC$1006:$AS$1006,0))&gt;=100000), " ",IF(INDEX($AC$2:$AS$1001,MATCH(ROWS($V$2:V947),$V$2:$V$1001,0),MATCH(COLUMNS($AC$1006:AL1006),$AC$1006:$AS$1006,0)), HYPERLINK("#",""), HYPERLINK(CONCATENATE("#Metadata!", ADDRESS(INDEX($X$2:$X$1001,MATCH(ROWS($V$2:V947),$V$2:$V$1001,0),0), INDEX($AC$1004:$AS$1004,1,MATCH(COLUMNS($AC$1006:AL1006),$AC$1006:$AS$1006,0)))),"Fix")))</f>
        <v>0</v>
      </c>
      <c r="L947" s="5">
        <f>IF(OR(INDEX($W$2:$W$1001,MATCH(ROWS($V$2:V947),$V$2:$V$1001,0),1)&gt;=100000,INDEX($AC$1005:$AS$1005,1,MATCH(COLUMNS($AC$1006:AM1006),$AC$1006:$AS$1006,0))&gt;=100000), " ",IF(INDEX($AC$2:$AS$1001,MATCH(ROWS($V$2:V947),$V$2:$V$1001,0),MATCH(COLUMNS($AC$1006:AM1006),$AC$1006:$AS$1006,0)), HYPERLINK("#",""), HYPERLINK(CONCATENATE("#Metadata!", ADDRESS(INDEX($X$2:$X$1001,MATCH(ROWS($V$2:V947),$V$2:$V$1001,0),0), INDEX($AC$1004:$AS$1004,1,MATCH(COLUMNS($AC$1006:AM1006),$AC$1006:$AS$1006,0)))),"Fix")))</f>
        <v>0</v>
      </c>
      <c r="M947" s="5">
        <f>IF(OR(INDEX($W$2:$W$1001,MATCH(ROWS($V$2:V947),$V$2:$V$1001,0),1)&gt;=100000,INDEX($AC$1005:$AS$1005,1,MATCH(COLUMNS($AC$1006:AN1006),$AC$1006:$AS$1006,0))&gt;=100000), " ",IF(INDEX($AC$2:$AS$1001,MATCH(ROWS($V$2:V947),$V$2:$V$1001,0),MATCH(COLUMNS($AC$1006:AN1006),$AC$1006:$AS$1006,0)), HYPERLINK("#",""), HYPERLINK(CONCATENATE("#Metadata!", ADDRESS(INDEX($X$2:$X$1001,MATCH(ROWS($V$2:V947),$V$2:$V$1001,0),0), INDEX($AC$1004:$AS$1004,1,MATCH(COLUMNS($AC$1006:AN1006),$AC$1006:$AS$1006,0)))),"Fix")))</f>
        <v>0</v>
      </c>
      <c r="N947" s="5">
        <f>IF(OR(INDEX($W$2:$W$1001,MATCH(ROWS($V$2:V947),$V$2:$V$1001,0),1)&gt;=100000,INDEX($AC$1005:$AS$1005,1,MATCH(COLUMNS($AC$1006:AO1006),$AC$1006:$AS$1006,0))&gt;=100000), " ",IF(INDEX($AC$2:$AS$1001,MATCH(ROWS($V$2:V947),$V$2:$V$1001,0),MATCH(COLUMNS($AC$1006:AO1006),$AC$1006:$AS$1006,0)), HYPERLINK("#",""), HYPERLINK(CONCATENATE("#Metadata!", ADDRESS(INDEX($X$2:$X$1001,MATCH(ROWS($V$2:V947),$V$2:$V$1001,0),0), INDEX($AC$1004:$AS$1004,1,MATCH(COLUMNS($AC$1006:AO1006),$AC$1006:$AS$1006,0)))),"Fix")))</f>
        <v>0</v>
      </c>
      <c r="O947" s="5">
        <f>IF(OR(INDEX($W$2:$W$1001,MATCH(ROWS($V$2:V947),$V$2:$V$1001,0),1)&gt;=100000,INDEX($AC$1005:$AS$1005,1,MATCH(COLUMNS($AC$1006:AP1006),$AC$1006:$AS$1006,0))&gt;=100000), " ",IF(INDEX($AC$2:$AS$1001,MATCH(ROWS($V$2:V947),$V$2:$V$1001,0),MATCH(COLUMNS($AC$1006:AP1006),$AC$1006:$AS$1006,0)), HYPERLINK("#",""), HYPERLINK(CONCATENATE("#Metadata!", ADDRESS(INDEX($X$2:$X$1001,MATCH(ROWS($V$2:V947),$V$2:$V$1001,0),0), INDEX($AC$1004:$AS$1004,1,MATCH(COLUMNS($AC$1006:AP1006),$AC$1006:$AS$1006,0)))),"Fix")))</f>
        <v>0</v>
      </c>
      <c r="P947" s="5">
        <f>IF(OR(INDEX($W$2:$W$1001,MATCH(ROWS($V$2:V947),$V$2:$V$1001,0),1)&gt;=100000,INDEX($AC$1005:$AS$1005,1,MATCH(COLUMNS($AC$1006:AQ1006),$AC$1006:$AS$1006,0))&gt;=100000), " ",IF(INDEX($AC$2:$AS$1001,MATCH(ROWS($V$2:V947),$V$2:$V$1001,0),MATCH(COLUMNS($AC$1006:AQ1006),$AC$1006:$AS$1006,0)), HYPERLINK("#",""), HYPERLINK(CONCATENATE("#Metadata!", ADDRESS(INDEX($X$2:$X$1001,MATCH(ROWS($V$2:V947),$V$2:$V$1001,0),0), INDEX($AC$1004:$AS$1004,1,MATCH(COLUMNS($AC$1006:AQ1006),$AC$1006:$AS$1006,0)))),"Fix")))</f>
        <v>0</v>
      </c>
      <c r="Q947" s="5">
        <f>IF(OR(INDEX($W$2:$W$1001,MATCH(ROWS($V$2:V947),$V$2:$V$1001,0),1)&gt;=100000,INDEX($AC$1005:$AS$1005,1,MATCH(COLUMNS($AC$1006:AR1006),$AC$1006:$AS$1006,0))&gt;=100000), " ",IF(INDEX($AC$2:$AS$1001,MATCH(ROWS($V$2:V947),$V$2:$V$1001,0),MATCH(COLUMNS($AC$1006:AR1006),$AC$1006:$AS$1006,0)), HYPERLINK("#",""), HYPERLINK(CONCATENATE("#Metadata!", ADDRESS(INDEX($X$2:$X$1001,MATCH(ROWS($V$2:V947),$V$2:$V$1001,0),0), INDEX($AC$1004:$AS$1004,1,MATCH(COLUMNS($AC$1006:AR1006),$AC$1006:$AS$1006,0)))),"Fix")))</f>
        <v>0</v>
      </c>
      <c r="R947" s="5">
        <f>IF(OR(INDEX($W$2:$W$1001,MATCH(ROWS($V$2:V947),$V$2:$V$1001,0),1)&gt;=100000,INDEX($AC$1005:$AS$1005,1,MATCH(COLUMNS($AC$1006:AS1006),$AC$1006:$AS$1006,0))&gt;=100000), " ",IF(INDEX($AC$2:$AS$1001,MATCH(ROWS($V$2:V947),$V$2:$V$1001,0),MATCH(COLUMNS($AC$1006:AS1006),$AC$1006:$AS$1006,0)), HYPERLINK("#",""), HYPERLINK(CONCATENATE("#Metadata!", ADDRESS(INDEX($X$2:$X$1001,MATCH(ROWS($V$2:V947),$V$2:$V$1001,0),0), INDEX($AC$1004:$AS$1004,1,MATCH(COLUMNS($AC$1006:AS1006),$AC$1006:$AS$1006,0)))),"Fix")))</f>
        <v>0</v>
      </c>
      <c r="V947">
        <v>0</v>
      </c>
      <c r="W947">
        <v>0</v>
      </c>
      <c r="X947">
        <v>0</v>
      </c>
      <c r="Y947">
        <f>IF(Z947,TRUE,AND(AC947:AS947))</f>
        <v>0</v>
      </c>
      <c r="Z947">
        <f>COUNTBLANK(Metadata!B947:R947)=COLUMNS(Metadata!B947:R947)</f>
        <v>0</v>
      </c>
      <c r="AA947">
        <v>0</v>
      </c>
      <c r="AC947">
        <f>AND(IF(Metadata!B947="",FALSE,TRUE),COUNTIF(Metadata!B:B, Metadata!B947) = 1,NOT(ISERROR(SUMPRODUCT(SEARCH(MID(Metadata!B947,ROW(INDIRECT("1:"&amp;LEN(Metadata!B947))), 1),"0123456789abcdefghijklmnopqrstuvwxyzABCDEFGHIJKLMNOPQRSTUVWXYZ.")))))</f>
        <v>0</v>
      </c>
      <c r="AD947">
        <f>AND(IF(Metadata!C947="",FALSE,TRUE),exact(Metadata!C947,"Host-associated"))</f>
        <v>0</v>
      </c>
      <c r="AE947">
        <f>AND(IF(Metadata!D947="",FALSE,TRUE),OR(exact(Metadata!D947,"Animal"),exact(Metadata!D947,"Fungus"),exact(Metadata!D947,"Plant")))</f>
        <v>0</v>
      </c>
      <c r="AF947">
        <f>AND(IF(Metadata!E947="",FALSE,TRUE),OR(exact(Metadata!E947,"Plant secretion"),exact(Metadata!E947,"Plant rhizosphere"),exact(Metadata!E947,"Plant surface"),exact(Metadata!E947,"Plant corpus"),exact(Metadata!E947,"Fungus surface"),exact(Metadata!E947,"Fungus corpus"),exact(Metadata!E947,"Animal surface"),exact(Metadata!E947,"Animal proximal gut"),exact(Metadata!E947,"Animal corpus"),exact(Metadata!E947,"Animal distal gut"),exact(Metadata!E947,"Animal secretion")))</f>
        <v>0</v>
      </c>
      <c r="AG947">
        <f>OR(AND(IF(Metadata!F947="",FALSE,TRUE),OR(exact(Metadata!F947,"not collected"),exact(Metadata!F947,"not provided"),exact(Metadata!F947,"restricted access"))),AND(IF(Metadata!F947="",FALSE,TRUE),OR(exact(Metadata!F947,"organism-associated habitat"),exact(Metadata!F947,"plant-associated habitat"),exact(Metadata!F947,"animal-associated habitat"),exact(Metadata!F947,"insecta-associated habitat"),exact(Metadata!F947,"mammalia-associated habitat"),exact(Metadata!F947,"human-associated habitat"),exact(Metadata!F947,"livestock-associated habitat"))))</f>
        <v>0</v>
      </c>
      <c r="AH947">
        <f>AND(IF(Metadata!G947="",FALSE,TRUE),exact(Metadata!G947,"host-associated"))</f>
        <v>0</v>
      </c>
      <c r="AI947">
        <f>OR(AND(IF(Metadata!H947="",FALSE,TRUE),OR(exact(Metadata!H947,"not collected"),exact(Metadata!H947,"not provided"))),AND(IF(Metadata!H947="",FALSE,ISNUMBER(VALUE(Metadata!H947))),Metadata!H947&gt;0))</f>
        <v>0</v>
      </c>
      <c r="AJ947">
        <f>AND(IF(Metadata!I947="",FALSE,TRUE),exact(Metadata!I947,"years"))</f>
        <v>0</v>
      </c>
      <c r="AK947">
        <f>IF(Metadata!J947="",FALSE,TRUE)</f>
        <v>0</v>
      </c>
      <c r="AL947">
        <f>OR(AND(IF(Metadata!K947="",FALSE,TRUE),OR(exact(Metadata!K947,"not collected"),exact(Metadata!K947,"not provided"))),AND(IF(Metadata!K947="",FALSE,ISNUMBER(VALUE(Metadata!K947))),Metadata!K947&gt;0))</f>
        <v>0</v>
      </c>
      <c r="AM947">
        <f>AND(IF(Metadata!L947="",FALSE,TRUE),exact(Metadata!L947,"cm"))</f>
        <v>0</v>
      </c>
      <c r="AN947">
        <f>IF(Metadata!M947="",FALSE,TRUE)</f>
        <v>0</v>
      </c>
      <c r="AO947">
        <f>OR(AND(IF(Metadata!N947="",FALSE,TRUE),OR(exact(Metadata!N947,"not applicable"),exact(Metadata!N947,"not collected"),exact(Metadata!N947,"not provided"))),AND(IF(Metadata!N947="",FALSE,IF(ISERROR(INT(Metadata!N947)),FALSE,INT(Metadata!N947)=Metadata!N947)),Metadata!N947&gt;0))</f>
        <v>0</v>
      </c>
      <c r="AP947">
        <f>OR(AND(IF(Metadata!O947="",FALSE,TRUE),OR(exact(Metadata!O947,"not collected"),exact(Metadata!O947,"not provided"))),AND(IF(Metadata!O947="",FALSE,ISNUMBER(VALUE(Metadata!O947))),Metadata!O947&gt;0))</f>
        <v>0</v>
      </c>
      <c r="AQ947">
        <f>AND(IF(Metadata!P947="",FALSE,TRUE),exact(Metadata!P947,"kg"))</f>
        <v>0</v>
      </c>
      <c r="AR947">
        <f>OR(AND(IF(Metadata!Q947="",FALSE,TRUE),OR(exact(Metadata!Q947,"not applicable"),exact(Metadata!Q947,"not collected"),exact(Metadata!Q947,"not provided"),exact(Metadata!Q947,"restricted access"))),IF(Metadata!Q947="",FALSE,IF(ISERROR(INT(Metadata!Q947)),FALSE,INT(Metadata!Q947)=Metadata!Q947)))</f>
        <v>0</v>
      </c>
      <c r="AS947">
        <f>AND(IF(Metadata!R947="",FALSE,TRUE),exact(Metadata!R947,"Not applicable"))</f>
        <v>0</v>
      </c>
    </row>
    <row r="948" spans="1:45">
      <c r="A948" s="4">
        <f>IF(B948=" "," ",HYPERLINK(CONCATENATE("#metadata!",ADDRESS(INDEX($X$2:$X$1001,MATCH(ROWS($V$2:V948),$V$2:$V$1001,0),0),2)),INDEX($AA$2:$AA$1001,MATCH(ROWS($V$2:V948),$V$2:$V$1001,0),0)))</f>
        <v>0</v>
      </c>
      <c r="B948" s="5">
        <f>IF(OR(INDEX($W$2:$W$1001,MATCH(ROWS($V$2:V948),$V$2:$V$1001,0),1)&gt;=100000,INDEX($AC$1005:$AS$1005,1,MATCH(COLUMNS($AC$1006:AC1006),$AC$1006:$AS$1006,0))&gt;=100000), " ",IF(INDEX($AC$2:$AS$1001,MATCH(ROWS($V$2:V948),$V$2:$V$1001,0),MATCH(COLUMNS($AC$1006:AC1006),$AC$1006:$AS$1006,0)), HYPERLINK("#",""), HYPERLINK(CONCATENATE("#Metadata!", ADDRESS(INDEX($X$2:$X$1001,MATCH(ROWS($V$2:V948),$V$2:$V$1001,0),0), INDEX($AC$1004:$AS$1004,1,MATCH(COLUMNS($AC$1006:AC1006),$AC$1006:$AS$1006,0)))),"Fix")))</f>
        <v>0</v>
      </c>
      <c r="C948" s="5">
        <f>IF(OR(INDEX($W$2:$W$1001,MATCH(ROWS($V$2:V948),$V$2:$V$1001,0),1)&gt;=100000,INDEX($AC$1005:$AS$1005,1,MATCH(COLUMNS($AC$1006:AD1006),$AC$1006:$AS$1006,0))&gt;=100000), " ",IF(INDEX($AC$2:$AS$1001,MATCH(ROWS($V$2:V948),$V$2:$V$1001,0),MATCH(COLUMNS($AC$1006:AD1006),$AC$1006:$AS$1006,0)), HYPERLINK("#",""), HYPERLINK(CONCATENATE("#Metadata!", ADDRESS(INDEX($X$2:$X$1001,MATCH(ROWS($V$2:V948),$V$2:$V$1001,0),0), INDEX($AC$1004:$AS$1004,1,MATCH(COLUMNS($AC$1006:AD1006),$AC$1006:$AS$1006,0)))),"Fix")))</f>
        <v>0</v>
      </c>
      <c r="D948" s="5">
        <f>IF(OR(INDEX($W$2:$W$1001,MATCH(ROWS($V$2:V948),$V$2:$V$1001,0),1)&gt;=100000,INDEX($AC$1005:$AS$1005,1,MATCH(COLUMNS($AC$1006:AE1006),$AC$1006:$AS$1006,0))&gt;=100000), " ",IF(INDEX($AC$2:$AS$1001,MATCH(ROWS($V$2:V948),$V$2:$V$1001,0),MATCH(COLUMNS($AC$1006:AE1006),$AC$1006:$AS$1006,0)), HYPERLINK("#",""), HYPERLINK(CONCATENATE("#Metadata!", ADDRESS(INDEX($X$2:$X$1001,MATCH(ROWS($V$2:V948),$V$2:$V$1001,0),0), INDEX($AC$1004:$AS$1004,1,MATCH(COLUMNS($AC$1006:AE1006),$AC$1006:$AS$1006,0)))),"Fix")))</f>
        <v>0</v>
      </c>
      <c r="E948" s="5">
        <f>IF(OR(INDEX($W$2:$W$1001,MATCH(ROWS($V$2:V948),$V$2:$V$1001,0),1)&gt;=100000,INDEX($AC$1005:$AS$1005,1,MATCH(COLUMNS($AC$1006:AF1006),$AC$1006:$AS$1006,0))&gt;=100000), " ",IF(INDEX($AC$2:$AS$1001,MATCH(ROWS($V$2:V948),$V$2:$V$1001,0),MATCH(COLUMNS($AC$1006:AF1006),$AC$1006:$AS$1006,0)), HYPERLINK("#",""), HYPERLINK(CONCATENATE("#Metadata!", ADDRESS(INDEX($X$2:$X$1001,MATCH(ROWS($V$2:V948),$V$2:$V$1001,0),0), INDEX($AC$1004:$AS$1004,1,MATCH(COLUMNS($AC$1006:AF1006),$AC$1006:$AS$1006,0)))),"Fix")))</f>
        <v>0</v>
      </c>
      <c r="F948" s="5">
        <f>IF(OR(INDEX($W$2:$W$1001,MATCH(ROWS($V$2:V948),$V$2:$V$1001,0),1)&gt;=100000,INDEX($AC$1005:$AS$1005,1,MATCH(COLUMNS($AC$1006:AG1006),$AC$1006:$AS$1006,0))&gt;=100000), " ",IF(INDEX($AC$2:$AS$1001,MATCH(ROWS($V$2:V948),$V$2:$V$1001,0),MATCH(COLUMNS($AC$1006:AG1006),$AC$1006:$AS$1006,0)), HYPERLINK("#",""), HYPERLINK(CONCATENATE("#Metadata!", ADDRESS(INDEX($X$2:$X$1001,MATCH(ROWS($V$2:V948),$V$2:$V$1001,0),0), INDEX($AC$1004:$AS$1004,1,MATCH(COLUMNS($AC$1006:AG1006),$AC$1006:$AS$1006,0)))),"Fix")))</f>
        <v>0</v>
      </c>
      <c r="G948" s="5">
        <f>IF(OR(INDEX($W$2:$W$1001,MATCH(ROWS($V$2:V948),$V$2:$V$1001,0),1)&gt;=100000,INDEX($AC$1005:$AS$1005,1,MATCH(COLUMNS($AC$1006:AH1006),$AC$1006:$AS$1006,0))&gt;=100000), " ",IF(INDEX($AC$2:$AS$1001,MATCH(ROWS($V$2:V948),$V$2:$V$1001,0),MATCH(COLUMNS($AC$1006:AH1006),$AC$1006:$AS$1006,0)), HYPERLINK("#",""), HYPERLINK(CONCATENATE("#Metadata!", ADDRESS(INDEX($X$2:$X$1001,MATCH(ROWS($V$2:V948),$V$2:$V$1001,0),0), INDEX($AC$1004:$AS$1004,1,MATCH(COLUMNS($AC$1006:AH1006),$AC$1006:$AS$1006,0)))),"Fix")))</f>
        <v>0</v>
      </c>
      <c r="H948" s="5">
        <f>IF(OR(INDEX($W$2:$W$1001,MATCH(ROWS($V$2:V948),$V$2:$V$1001,0),1)&gt;=100000,INDEX($AC$1005:$AS$1005,1,MATCH(COLUMNS($AC$1006:AI1006),$AC$1006:$AS$1006,0))&gt;=100000), " ",IF(INDEX($AC$2:$AS$1001,MATCH(ROWS($V$2:V948),$V$2:$V$1001,0),MATCH(COLUMNS($AC$1006:AI1006),$AC$1006:$AS$1006,0)), HYPERLINK("#",""), HYPERLINK(CONCATENATE("#Metadata!", ADDRESS(INDEX($X$2:$X$1001,MATCH(ROWS($V$2:V948),$V$2:$V$1001,0),0), INDEX($AC$1004:$AS$1004,1,MATCH(COLUMNS($AC$1006:AI1006),$AC$1006:$AS$1006,0)))),"Fix")))</f>
        <v>0</v>
      </c>
      <c r="I948" s="5">
        <f>IF(OR(INDEX($W$2:$W$1001,MATCH(ROWS($V$2:V948),$V$2:$V$1001,0),1)&gt;=100000,INDEX($AC$1005:$AS$1005,1,MATCH(COLUMNS($AC$1006:AJ1006),$AC$1006:$AS$1006,0))&gt;=100000), " ",IF(INDEX($AC$2:$AS$1001,MATCH(ROWS($V$2:V948),$V$2:$V$1001,0),MATCH(COLUMNS($AC$1006:AJ1006),$AC$1006:$AS$1006,0)), HYPERLINK("#",""), HYPERLINK(CONCATENATE("#Metadata!", ADDRESS(INDEX($X$2:$X$1001,MATCH(ROWS($V$2:V948),$V$2:$V$1001,0),0), INDEX($AC$1004:$AS$1004,1,MATCH(COLUMNS($AC$1006:AJ1006),$AC$1006:$AS$1006,0)))),"Fix")))</f>
        <v>0</v>
      </c>
      <c r="J948" s="5">
        <f>IF(OR(INDEX($W$2:$W$1001,MATCH(ROWS($V$2:V948),$V$2:$V$1001,0),1)&gt;=100000,INDEX($AC$1005:$AS$1005,1,MATCH(COLUMNS($AC$1006:AK1006),$AC$1006:$AS$1006,0))&gt;=100000), " ",IF(INDEX($AC$2:$AS$1001,MATCH(ROWS($V$2:V948),$V$2:$V$1001,0),MATCH(COLUMNS($AC$1006:AK1006),$AC$1006:$AS$1006,0)), HYPERLINK("#",""), HYPERLINK(CONCATENATE("#Metadata!", ADDRESS(INDEX($X$2:$X$1001,MATCH(ROWS($V$2:V948),$V$2:$V$1001,0),0), INDEX($AC$1004:$AS$1004,1,MATCH(COLUMNS($AC$1006:AK1006),$AC$1006:$AS$1006,0)))),"Fix")))</f>
        <v>0</v>
      </c>
      <c r="K948" s="5">
        <f>IF(OR(INDEX($W$2:$W$1001,MATCH(ROWS($V$2:V948),$V$2:$V$1001,0),1)&gt;=100000,INDEX($AC$1005:$AS$1005,1,MATCH(COLUMNS($AC$1006:AL1006),$AC$1006:$AS$1006,0))&gt;=100000), " ",IF(INDEX($AC$2:$AS$1001,MATCH(ROWS($V$2:V948),$V$2:$V$1001,0),MATCH(COLUMNS($AC$1006:AL1006),$AC$1006:$AS$1006,0)), HYPERLINK("#",""), HYPERLINK(CONCATENATE("#Metadata!", ADDRESS(INDEX($X$2:$X$1001,MATCH(ROWS($V$2:V948),$V$2:$V$1001,0),0), INDEX($AC$1004:$AS$1004,1,MATCH(COLUMNS($AC$1006:AL1006),$AC$1006:$AS$1006,0)))),"Fix")))</f>
        <v>0</v>
      </c>
      <c r="L948" s="5">
        <f>IF(OR(INDEX($W$2:$W$1001,MATCH(ROWS($V$2:V948),$V$2:$V$1001,0),1)&gt;=100000,INDEX($AC$1005:$AS$1005,1,MATCH(COLUMNS($AC$1006:AM1006),$AC$1006:$AS$1006,0))&gt;=100000), " ",IF(INDEX($AC$2:$AS$1001,MATCH(ROWS($V$2:V948),$V$2:$V$1001,0),MATCH(COLUMNS($AC$1006:AM1006),$AC$1006:$AS$1006,0)), HYPERLINK("#",""), HYPERLINK(CONCATENATE("#Metadata!", ADDRESS(INDEX($X$2:$X$1001,MATCH(ROWS($V$2:V948),$V$2:$V$1001,0),0), INDEX($AC$1004:$AS$1004,1,MATCH(COLUMNS($AC$1006:AM1006),$AC$1006:$AS$1006,0)))),"Fix")))</f>
        <v>0</v>
      </c>
      <c r="M948" s="5">
        <f>IF(OR(INDEX($W$2:$W$1001,MATCH(ROWS($V$2:V948),$V$2:$V$1001,0),1)&gt;=100000,INDEX($AC$1005:$AS$1005,1,MATCH(COLUMNS($AC$1006:AN1006),$AC$1006:$AS$1006,0))&gt;=100000), " ",IF(INDEX($AC$2:$AS$1001,MATCH(ROWS($V$2:V948),$V$2:$V$1001,0),MATCH(COLUMNS($AC$1006:AN1006),$AC$1006:$AS$1006,0)), HYPERLINK("#",""), HYPERLINK(CONCATENATE("#Metadata!", ADDRESS(INDEX($X$2:$X$1001,MATCH(ROWS($V$2:V948),$V$2:$V$1001,0),0), INDEX($AC$1004:$AS$1004,1,MATCH(COLUMNS($AC$1006:AN1006),$AC$1006:$AS$1006,0)))),"Fix")))</f>
        <v>0</v>
      </c>
      <c r="N948" s="5">
        <f>IF(OR(INDEX($W$2:$W$1001,MATCH(ROWS($V$2:V948),$V$2:$V$1001,0),1)&gt;=100000,INDEX($AC$1005:$AS$1005,1,MATCH(COLUMNS($AC$1006:AO1006),$AC$1006:$AS$1006,0))&gt;=100000), " ",IF(INDEX($AC$2:$AS$1001,MATCH(ROWS($V$2:V948),$V$2:$V$1001,0),MATCH(COLUMNS($AC$1006:AO1006),$AC$1006:$AS$1006,0)), HYPERLINK("#",""), HYPERLINK(CONCATENATE("#Metadata!", ADDRESS(INDEX($X$2:$X$1001,MATCH(ROWS($V$2:V948),$V$2:$V$1001,0),0), INDEX($AC$1004:$AS$1004,1,MATCH(COLUMNS($AC$1006:AO1006),$AC$1006:$AS$1006,0)))),"Fix")))</f>
        <v>0</v>
      </c>
      <c r="O948" s="5">
        <f>IF(OR(INDEX($W$2:$W$1001,MATCH(ROWS($V$2:V948),$V$2:$V$1001,0),1)&gt;=100000,INDEX($AC$1005:$AS$1005,1,MATCH(COLUMNS($AC$1006:AP1006),$AC$1006:$AS$1006,0))&gt;=100000), " ",IF(INDEX($AC$2:$AS$1001,MATCH(ROWS($V$2:V948),$V$2:$V$1001,0),MATCH(COLUMNS($AC$1006:AP1006),$AC$1006:$AS$1006,0)), HYPERLINK("#",""), HYPERLINK(CONCATENATE("#Metadata!", ADDRESS(INDEX($X$2:$X$1001,MATCH(ROWS($V$2:V948),$V$2:$V$1001,0),0), INDEX($AC$1004:$AS$1004,1,MATCH(COLUMNS($AC$1006:AP1006),$AC$1006:$AS$1006,0)))),"Fix")))</f>
        <v>0</v>
      </c>
      <c r="P948" s="5">
        <f>IF(OR(INDEX($W$2:$W$1001,MATCH(ROWS($V$2:V948),$V$2:$V$1001,0),1)&gt;=100000,INDEX($AC$1005:$AS$1005,1,MATCH(COLUMNS($AC$1006:AQ1006),$AC$1006:$AS$1006,0))&gt;=100000), " ",IF(INDEX($AC$2:$AS$1001,MATCH(ROWS($V$2:V948),$V$2:$V$1001,0),MATCH(COLUMNS($AC$1006:AQ1006),$AC$1006:$AS$1006,0)), HYPERLINK("#",""), HYPERLINK(CONCATENATE("#Metadata!", ADDRESS(INDEX($X$2:$X$1001,MATCH(ROWS($V$2:V948),$V$2:$V$1001,0),0), INDEX($AC$1004:$AS$1004,1,MATCH(COLUMNS($AC$1006:AQ1006),$AC$1006:$AS$1006,0)))),"Fix")))</f>
        <v>0</v>
      </c>
      <c r="Q948" s="5">
        <f>IF(OR(INDEX($W$2:$W$1001,MATCH(ROWS($V$2:V948),$V$2:$V$1001,0),1)&gt;=100000,INDEX($AC$1005:$AS$1005,1,MATCH(COLUMNS($AC$1006:AR1006),$AC$1006:$AS$1006,0))&gt;=100000), " ",IF(INDEX($AC$2:$AS$1001,MATCH(ROWS($V$2:V948),$V$2:$V$1001,0),MATCH(COLUMNS($AC$1006:AR1006),$AC$1006:$AS$1006,0)), HYPERLINK("#",""), HYPERLINK(CONCATENATE("#Metadata!", ADDRESS(INDEX($X$2:$X$1001,MATCH(ROWS($V$2:V948),$V$2:$V$1001,0),0), INDEX($AC$1004:$AS$1004,1,MATCH(COLUMNS($AC$1006:AR1006),$AC$1006:$AS$1006,0)))),"Fix")))</f>
        <v>0</v>
      </c>
      <c r="R948" s="5">
        <f>IF(OR(INDEX($W$2:$W$1001,MATCH(ROWS($V$2:V948),$V$2:$V$1001,0),1)&gt;=100000,INDEX($AC$1005:$AS$1005,1,MATCH(COLUMNS($AC$1006:AS1006),$AC$1006:$AS$1006,0))&gt;=100000), " ",IF(INDEX($AC$2:$AS$1001,MATCH(ROWS($V$2:V948),$V$2:$V$1001,0),MATCH(COLUMNS($AC$1006:AS1006),$AC$1006:$AS$1006,0)), HYPERLINK("#",""), HYPERLINK(CONCATENATE("#Metadata!", ADDRESS(INDEX($X$2:$X$1001,MATCH(ROWS($V$2:V948),$V$2:$V$1001,0),0), INDEX($AC$1004:$AS$1004,1,MATCH(COLUMNS($AC$1006:AS1006),$AC$1006:$AS$1006,0)))),"Fix")))</f>
        <v>0</v>
      </c>
      <c r="V948">
        <v>0</v>
      </c>
      <c r="W948">
        <v>0</v>
      </c>
      <c r="X948">
        <v>0</v>
      </c>
      <c r="Y948">
        <f>IF(Z948,TRUE,AND(AC948:AS948))</f>
        <v>0</v>
      </c>
      <c r="Z948">
        <f>COUNTBLANK(Metadata!B948:R948)=COLUMNS(Metadata!B948:R948)</f>
        <v>0</v>
      </c>
      <c r="AA948">
        <v>0</v>
      </c>
      <c r="AC948">
        <f>AND(IF(Metadata!B948="",FALSE,TRUE),COUNTIF(Metadata!B:B, Metadata!B948) = 1,NOT(ISERROR(SUMPRODUCT(SEARCH(MID(Metadata!B948,ROW(INDIRECT("1:"&amp;LEN(Metadata!B948))), 1),"0123456789abcdefghijklmnopqrstuvwxyzABCDEFGHIJKLMNOPQRSTUVWXYZ.")))))</f>
        <v>0</v>
      </c>
      <c r="AD948">
        <f>AND(IF(Metadata!C948="",FALSE,TRUE),exact(Metadata!C948,"Host-associated"))</f>
        <v>0</v>
      </c>
      <c r="AE948">
        <f>AND(IF(Metadata!D948="",FALSE,TRUE),OR(exact(Metadata!D948,"Animal"),exact(Metadata!D948,"Fungus"),exact(Metadata!D948,"Plant")))</f>
        <v>0</v>
      </c>
      <c r="AF948">
        <f>AND(IF(Metadata!E948="",FALSE,TRUE),OR(exact(Metadata!E948,"Plant secretion"),exact(Metadata!E948,"Plant rhizosphere"),exact(Metadata!E948,"Plant surface"),exact(Metadata!E948,"Plant corpus"),exact(Metadata!E948,"Fungus surface"),exact(Metadata!E948,"Fungus corpus"),exact(Metadata!E948,"Animal surface"),exact(Metadata!E948,"Animal proximal gut"),exact(Metadata!E948,"Animal corpus"),exact(Metadata!E948,"Animal distal gut"),exact(Metadata!E948,"Animal secretion")))</f>
        <v>0</v>
      </c>
      <c r="AG948">
        <f>OR(AND(IF(Metadata!F948="",FALSE,TRUE),OR(exact(Metadata!F948,"not collected"),exact(Metadata!F948,"not provided"),exact(Metadata!F948,"restricted access"))),AND(IF(Metadata!F948="",FALSE,TRUE),OR(exact(Metadata!F948,"organism-associated habitat"),exact(Metadata!F948,"plant-associated habitat"),exact(Metadata!F948,"animal-associated habitat"),exact(Metadata!F948,"insecta-associated habitat"),exact(Metadata!F948,"mammalia-associated habitat"),exact(Metadata!F948,"human-associated habitat"),exact(Metadata!F948,"livestock-associated habitat"))))</f>
        <v>0</v>
      </c>
      <c r="AH948">
        <f>AND(IF(Metadata!G948="",FALSE,TRUE),exact(Metadata!G948,"host-associated"))</f>
        <v>0</v>
      </c>
      <c r="AI948">
        <f>OR(AND(IF(Metadata!H948="",FALSE,TRUE),OR(exact(Metadata!H948,"not collected"),exact(Metadata!H948,"not provided"))),AND(IF(Metadata!H948="",FALSE,ISNUMBER(VALUE(Metadata!H948))),Metadata!H948&gt;0))</f>
        <v>0</v>
      </c>
      <c r="AJ948">
        <f>AND(IF(Metadata!I948="",FALSE,TRUE),exact(Metadata!I948,"years"))</f>
        <v>0</v>
      </c>
      <c r="AK948">
        <f>IF(Metadata!J948="",FALSE,TRUE)</f>
        <v>0</v>
      </c>
      <c r="AL948">
        <f>OR(AND(IF(Metadata!K948="",FALSE,TRUE),OR(exact(Metadata!K948,"not collected"),exact(Metadata!K948,"not provided"))),AND(IF(Metadata!K948="",FALSE,ISNUMBER(VALUE(Metadata!K948))),Metadata!K948&gt;0))</f>
        <v>0</v>
      </c>
      <c r="AM948">
        <f>AND(IF(Metadata!L948="",FALSE,TRUE),exact(Metadata!L948,"cm"))</f>
        <v>0</v>
      </c>
      <c r="AN948">
        <f>IF(Metadata!M948="",FALSE,TRUE)</f>
        <v>0</v>
      </c>
      <c r="AO948">
        <f>OR(AND(IF(Metadata!N948="",FALSE,TRUE),OR(exact(Metadata!N948,"not applicable"),exact(Metadata!N948,"not collected"),exact(Metadata!N948,"not provided"))),AND(IF(Metadata!N948="",FALSE,IF(ISERROR(INT(Metadata!N948)),FALSE,INT(Metadata!N948)=Metadata!N948)),Metadata!N948&gt;0))</f>
        <v>0</v>
      </c>
      <c r="AP948">
        <f>OR(AND(IF(Metadata!O948="",FALSE,TRUE),OR(exact(Metadata!O948,"not collected"),exact(Metadata!O948,"not provided"))),AND(IF(Metadata!O948="",FALSE,ISNUMBER(VALUE(Metadata!O948))),Metadata!O948&gt;0))</f>
        <v>0</v>
      </c>
      <c r="AQ948">
        <f>AND(IF(Metadata!P948="",FALSE,TRUE),exact(Metadata!P948,"kg"))</f>
        <v>0</v>
      </c>
      <c r="AR948">
        <f>OR(AND(IF(Metadata!Q948="",FALSE,TRUE),OR(exact(Metadata!Q948,"not applicable"),exact(Metadata!Q948,"not collected"),exact(Metadata!Q948,"not provided"),exact(Metadata!Q948,"restricted access"))),IF(Metadata!Q948="",FALSE,IF(ISERROR(INT(Metadata!Q948)),FALSE,INT(Metadata!Q948)=Metadata!Q948)))</f>
        <v>0</v>
      </c>
      <c r="AS948">
        <f>AND(IF(Metadata!R948="",FALSE,TRUE),exact(Metadata!R948,"Not applicable"))</f>
        <v>0</v>
      </c>
    </row>
    <row r="949" spans="1:45">
      <c r="A949" s="4">
        <f>IF(B949=" "," ",HYPERLINK(CONCATENATE("#metadata!",ADDRESS(INDEX($X$2:$X$1001,MATCH(ROWS($V$2:V949),$V$2:$V$1001,0),0),2)),INDEX($AA$2:$AA$1001,MATCH(ROWS($V$2:V949),$V$2:$V$1001,0),0)))</f>
        <v>0</v>
      </c>
      <c r="B949" s="5">
        <f>IF(OR(INDEX($W$2:$W$1001,MATCH(ROWS($V$2:V949),$V$2:$V$1001,0),1)&gt;=100000,INDEX($AC$1005:$AS$1005,1,MATCH(COLUMNS($AC$1006:AC1006),$AC$1006:$AS$1006,0))&gt;=100000), " ",IF(INDEX($AC$2:$AS$1001,MATCH(ROWS($V$2:V949),$V$2:$V$1001,0),MATCH(COLUMNS($AC$1006:AC1006),$AC$1006:$AS$1006,0)), HYPERLINK("#",""), HYPERLINK(CONCATENATE("#Metadata!", ADDRESS(INDEX($X$2:$X$1001,MATCH(ROWS($V$2:V949),$V$2:$V$1001,0),0), INDEX($AC$1004:$AS$1004,1,MATCH(COLUMNS($AC$1006:AC1006),$AC$1006:$AS$1006,0)))),"Fix")))</f>
        <v>0</v>
      </c>
      <c r="C949" s="5">
        <f>IF(OR(INDEX($W$2:$W$1001,MATCH(ROWS($V$2:V949),$V$2:$V$1001,0),1)&gt;=100000,INDEX($AC$1005:$AS$1005,1,MATCH(COLUMNS($AC$1006:AD1006),$AC$1006:$AS$1006,0))&gt;=100000), " ",IF(INDEX($AC$2:$AS$1001,MATCH(ROWS($V$2:V949),$V$2:$V$1001,0),MATCH(COLUMNS($AC$1006:AD1006),$AC$1006:$AS$1006,0)), HYPERLINK("#",""), HYPERLINK(CONCATENATE("#Metadata!", ADDRESS(INDEX($X$2:$X$1001,MATCH(ROWS($V$2:V949),$V$2:$V$1001,0),0), INDEX($AC$1004:$AS$1004,1,MATCH(COLUMNS($AC$1006:AD1006),$AC$1006:$AS$1006,0)))),"Fix")))</f>
        <v>0</v>
      </c>
      <c r="D949" s="5">
        <f>IF(OR(INDEX($W$2:$W$1001,MATCH(ROWS($V$2:V949),$V$2:$V$1001,0),1)&gt;=100000,INDEX($AC$1005:$AS$1005,1,MATCH(COLUMNS($AC$1006:AE1006),$AC$1006:$AS$1006,0))&gt;=100000), " ",IF(INDEX($AC$2:$AS$1001,MATCH(ROWS($V$2:V949),$V$2:$V$1001,0),MATCH(COLUMNS($AC$1006:AE1006),$AC$1006:$AS$1006,0)), HYPERLINK("#",""), HYPERLINK(CONCATENATE("#Metadata!", ADDRESS(INDEX($X$2:$X$1001,MATCH(ROWS($V$2:V949),$V$2:$V$1001,0),0), INDEX($AC$1004:$AS$1004,1,MATCH(COLUMNS($AC$1006:AE1006),$AC$1006:$AS$1006,0)))),"Fix")))</f>
        <v>0</v>
      </c>
      <c r="E949" s="5">
        <f>IF(OR(INDEX($W$2:$W$1001,MATCH(ROWS($V$2:V949),$V$2:$V$1001,0),1)&gt;=100000,INDEX($AC$1005:$AS$1005,1,MATCH(COLUMNS($AC$1006:AF1006),$AC$1006:$AS$1006,0))&gt;=100000), " ",IF(INDEX($AC$2:$AS$1001,MATCH(ROWS($V$2:V949),$V$2:$V$1001,0),MATCH(COLUMNS($AC$1006:AF1006),$AC$1006:$AS$1006,0)), HYPERLINK("#",""), HYPERLINK(CONCATENATE("#Metadata!", ADDRESS(INDEX($X$2:$X$1001,MATCH(ROWS($V$2:V949),$V$2:$V$1001,0),0), INDEX($AC$1004:$AS$1004,1,MATCH(COLUMNS($AC$1006:AF1006),$AC$1006:$AS$1006,0)))),"Fix")))</f>
        <v>0</v>
      </c>
      <c r="F949" s="5">
        <f>IF(OR(INDEX($W$2:$W$1001,MATCH(ROWS($V$2:V949),$V$2:$V$1001,0),1)&gt;=100000,INDEX($AC$1005:$AS$1005,1,MATCH(COLUMNS($AC$1006:AG1006),$AC$1006:$AS$1006,0))&gt;=100000), " ",IF(INDEX($AC$2:$AS$1001,MATCH(ROWS($V$2:V949),$V$2:$V$1001,0),MATCH(COLUMNS($AC$1006:AG1006),$AC$1006:$AS$1006,0)), HYPERLINK("#",""), HYPERLINK(CONCATENATE("#Metadata!", ADDRESS(INDEX($X$2:$X$1001,MATCH(ROWS($V$2:V949),$V$2:$V$1001,0),0), INDEX($AC$1004:$AS$1004,1,MATCH(COLUMNS($AC$1006:AG1006),$AC$1006:$AS$1006,0)))),"Fix")))</f>
        <v>0</v>
      </c>
      <c r="G949" s="5">
        <f>IF(OR(INDEX($W$2:$W$1001,MATCH(ROWS($V$2:V949),$V$2:$V$1001,0),1)&gt;=100000,INDEX($AC$1005:$AS$1005,1,MATCH(COLUMNS($AC$1006:AH1006),$AC$1006:$AS$1006,0))&gt;=100000), " ",IF(INDEX($AC$2:$AS$1001,MATCH(ROWS($V$2:V949),$V$2:$V$1001,0),MATCH(COLUMNS($AC$1006:AH1006),$AC$1006:$AS$1006,0)), HYPERLINK("#",""), HYPERLINK(CONCATENATE("#Metadata!", ADDRESS(INDEX($X$2:$X$1001,MATCH(ROWS($V$2:V949),$V$2:$V$1001,0),0), INDEX($AC$1004:$AS$1004,1,MATCH(COLUMNS($AC$1006:AH1006),$AC$1006:$AS$1006,0)))),"Fix")))</f>
        <v>0</v>
      </c>
      <c r="H949" s="5">
        <f>IF(OR(INDEX($W$2:$W$1001,MATCH(ROWS($V$2:V949),$V$2:$V$1001,0),1)&gt;=100000,INDEX($AC$1005:$AS$1005,1,MATCH(COLUMNS($AC$1006:AI1006),$AC$1006:$AS$1006,0))&gt;=100000), " ",IF(INDEX($AC$2:$AS$1001,MATCH(ROWS($V$2:V949),$V$2:$V$1001,0),MATCH(COLUMNS($AC$1006:AI1006),$AC$1006:$AS$1006,0)), HYPERLINK("#",""), HYPERLINK(CONCATENATE("#Metadata!", ADDRESS(INDEX($X$2:$X$1001,MATCH(ROWS($V$2:V949),$V$2:$V$1001,0),0), INDEX($AC$1004:$AS$1004,1,MATCH(COLUMNS($AC$1006:AI1006),$AC$1006:$AS$1006,0)))),"Fix")))</f>
        <v>0</v>
      </c>
      <c r="I949" s="5">
        <f>IF(OR(INDEX($W$2:$W$1001,MATCH(ROWS($V$2:V949),$V$2:$V$1001,0),1)&gt;=100000,INDEX($AC$1005:$AS$1005,1,MATCH(COLUMNS($AC$1006:AJ1006),$AC$1006:$AS$1006,0))&gt;=100000), " ",IF(INDEX($AC$2:$AS$1001,MATCH(ROWS($V$2:V949),$V$2:$V$1001,0),MATCH(COLUMNS($AC$1006:AJ1006),$AC$1006:$AS$1006,0)), HYPERLINK("#",""), HYPERLINK(CONCATENATE("#Metadata!", ADDRESS(INDEX($X$2:$X$1001,MATCH(ROWS($V$2:V949),$V$2:$V$1001,0),0), INDEX($AC$1004:$AS$1004,1,MATCH(COLUMNS($AC$1006:AJ1006),$AC$1006:$AS$1006,0)))),"Fix")))</f>
        <v>0</v>
      </c>
      <c r="J949" s="5">
        <f>IF(OR(INDEX($W$2:$W$1001,MATCH(ROWS($V$2:V949),$V$2:$V$1001,0),1)&gt;=100000,INDEX($AC$1005:$AS$1005,1,MATCH(COLUMNS($AC$1006:AK1006),$AC$1006:$AS$1006,0))&gt;=100000), " ",IF(INDEX($AC$2:$AS$1001,MATCH(ROWS($V$2:V949),$V$2:$V$1001,0),MATCH(COLUMNS($AC$1006:AK1006),$AC$1006:$AS$1006,0)), HYPERLINK("#",""), HYPERLINK(CONCATENATE("#Metadata!", ADDRESS(INDEX($X$2:$X$1001,MATCH(ROWS($V$2:V949),$V$2:$V$1001,0),0), INDEX($AC$1004:$AS$1004,1,MATCH(COLUMNS($AC$1006:AK1006),$AC$1006:$AS$1006,0)))),"Fix")))</f>
        <v>0</v>
      </c>
      <c r="K949" s="5">
        <f>IF(OR(INDEX($W$2:$W$1001,MATCH(ROWS($V$2:V949),$V$2:$V$1001,0),1)&gt;=100000,INDEX($AC$1005:$AS$1005,1,MATCH(COLUMNS($AC$1006:AL1006),$AC$1006:$AS$1006,0))&gt;=100000), " ",IF(INDEX($AC$2:$AS$1001,MATCH(ROWS($V$2:V949),$V$2:$V$1001,0),MATCH(COLUMNS($AC$1006:AL1006),$AC$1006:$AS$1006,0)), HYPERLINK("#",""), HYPERLINK(CONCATENATE("#Metadata!", ADDRESS(INDEX($X$2:$X$1001,MATCH(ROWS($V$2:V949),$V$2:$V$1001,0),0), INDEX($AC$1004:$AS$1004,1,MATCH(COLUMNS($AC$1006:AL1006),$AC$1006:$AS$1006,0)))),"Fix")))</f>
        <v>0</v>
      </c>
      <c r="L949" s="5">
        <f>IF(OR(INDEX($W$2:$W$1001,MATCH(ROWS($V$2:V949),$V$2:$V$1001,0),1)&gt;=100000,INDEX($AC$1005:$AS$1005,1,MATCH(COLUMNS($AC$1006:AM1006),$AC$1006:$AS$1006,0))&gt;=100000), " ",IF(INDEX($AC$2:$AS$1001,MATCH(ROWS($V$2:V949),$V$2:$V$1001,0),MATCH(COLUMNS($AC$1006:AM1006),$AC$1006:$AS$1006,0)), HYPERLINK("#",""), HYPERLINK(CONCATENATE("#Metadata!", ADDRESS(INDEX($X$2:$X$1001,MATCH(ROWS($V$2:V949),$V$2:$V$1001,0),0), INDEX($AC$1004:$AS$1004,1,MATCH(COLUMNS($AC$1006:AM1006),$AC$1006:$AS$1006,0)))),"Fix")))</f>
        <v>0</v>
      </c>
      <c r="M949" s="5">
        <f>IF(OR(INDEX($W$2:$W$1001,MATCH(ROWS($V$2:V949),$V$2:$V$1001,0),1)&gt;=100000,INDEX($AC$1005:$AS$1005,1,MATCH(COLUMNS($AC$1006:AN1006),$AC$1006:$AS$1006,0))&gt;=100000), " ",IF(INDEX($AC$2:$AS$1001,MATCH(ROWS($V$2:V949),$V$2:$V$1001,0),MATCH(COLUMNS($AC$1006:AN1006),$AC$1006:$AS$1006,0)), HYPERLINK("#",""), HYPERLINK(CONCATENATE("#Metadata!", ADDRESS(INDEX($X$2:$X$1001,MATCH(ROWS($V$2:V949),$V$2:$V$1001,0),0), INDEX($AC$1004:$AS$1004,1,MATCH(COLUMNS($AC$1006:AN1006),$AC$1006:$AS$1006,0)))),"Fix")))</f>
        <v>0</v>
      </c>
      <c r="N949" s="5">
        <f>IF(OR(INDEX($W$2:$W$1001,MATCH(ROWS($V$2:V949),$V$2:$V$1001,0),1)&gt;=100000,INDEX($AC$1005:$AS$1005,1,MATCH(COLUMNS($AC$1006:AO1006),$AC$1006:$AS$1006,0))&gt;=100000), " ",IF(INDEX($AC$2:$AS$1001,MATCH(ROWS($V$2:V949),$V$2:$V$1001,0),MATCH(COLUMNS($AC$1006:AO1006),$AC$1006:$AS$1006,0)), HYPERLINK("#",""), HYPERLINK(CONCATENATE("#Metadata!", ADDRESS(INDEX($X$2:$X$1001,MATCH(ROWS($V$2:V949),$V$2:$V$1001,0),0), INDEX($AC$1004:$AS$1004,1,MATCH(COLUMNS($AC$1006:AO1006),$AC$1006:$AS$1006,0)))),"Fix")))</f>
        <v>0</v>
      </c>
      <c r="O949" s="5">
        <f>IF(OR(INDEX($W$2:$W$1001,MATCH(ROWS($V$2:V949),$V$2:$V$1001,0),1)&gt;=100000,INDEX($AC$1005:$AS$1005,1,MATCH(COLUMNS($AC$1006:AP1006),$AC$1006:$AS$1006,0))&gt;=100000), " ",IF(INDEX($AC$2:$AS$1001,MATCH(ROWS($V$2:V949),$V$2:$V$1001,0),MATCH(COLUMNS($AC$1006:AP1006),$AC$1006:$AS$1006,0)), HYPERLINK("#",""), HYPERLINK(CONCATENATE("#Metadata!", ADDRESS(INDEX($X$2:$X$1001,MATCH(ROWS($V$2:V949),$V$2:$V$1001,0),0), INDEX($AC$1004:$AS$1004,1,MATCH(COLUMNS($AC$1006:AP1006),$AC$1006:$AS$1006,0)))),"Fix")))</f>
        <v>0</v>
      </c>
      <c r="P949" s="5">
        <f>IF(OR(INDEX($W$2:$W$1001,MATCH(ROWS($V$2:V949),$V$2:$V$1001,0),1)&gt;=100000,INDEX($AC$1005:$AS$1005,1,MATCH(COLUMNS($AC$1006:AQ1006),$AC$1006:$AS$1006,0))&gt;=100000), " ",IF(INDEX($AC$2:$AS$1001,MATCH(ROWS($V$2:V949),$V$2:$V$1001,0),MATCH(COLUMNS($AC$1006:AQ1006),$AC$1006:$AS$1006,0)), HYPERLINK("#",""), HYPERLINK(CONCATENATE("#Metadata!", ADDRESS(INDEX($X$2:$X$1001,MATCH(ROWS($V$2:V949),$V$2:$V$1001,0),0), INDEX($AC$1004:$AS$1004,1,MATCH(COLUMNS($AC$1006:AQ1006),$AC$1006:$AS$1006,0)))),"Fix")))</f>
        <v>0</v>
      </c>
      <c r="Q949" s="5">
        <f>IF(OR(INDEX($W$2:$W$1001,MATCH(ROWS($V$2:V949),$V$2:$V$1001,0),1)&gt;=100000,INDEX($AC$1005:$AS$1005,1,MATCH(COLUMNS($AC$1006:AR1006),$AC$1006:$AS$1006,0))&gt;=100000), " ",IF(INDEX($AC$2:$AS$1001,MATCH(ROWS($V$2:V949),$V$2:$V$1001,0),MATCH(COLUMNS($AC$1006:AR1006),$AC$1006:$AS$1006,0)), HYPERLINK("#",""), HYPERLINK(CONCATENATE("#Metadata!", ADDRESS(INDEX($X$2:$X$1001,MATCH(ROWS($V$2:V949),$V$2:$V$1001,0),0), INDEX($AC$1004:$AS$1004,1,MATCH(COLUMNS($AC$1006:AR1006),$AC$1006:$AS$1006,0)))),"Fix")))</f>
        <v>0</v>
      </c>
      <c r="R949" s="5">
        <f>IF(OR(INDEX($W$2:$W$1001,MATCH(ROWS($V$2:V949),$V$2:$V$1001,0),1)&gt;=100000,INDEX($AC$1005:$AS$1005,1,MATCH(COLUMNS($AC$1006:AS1006),$AC$1006:$AS$1006,0))&gt;=100000), " ",IF(INDEX($AC$2:$AS$1001,MATCH(ROWS($V$2:V949),$V$2:$V$1001,0),MATCH(COLUMNS($AC$1006:AS1006),$AC$1006:$AS$1006,0)), HYPERLINK("#",""), HYPERLINK(CONCATENATE("#Metadata!", ADDRESS(INDEX($X$2:$X$1001,MATCH(ROWS($V$2:V949),$V$2:$V$1001,0),0), INDEX($AC$1004:$AS$1004,1,MATCH(COLUMNS($AC$1006:AS1006),$AC$1006:$AS$1006,0)))),"Fix")))</f>
        <v>0</v>
      </c>
      <c r="V949">
        <v>0</v>
      </c>
      <c r="W949">
        <v>0</v>
      </c>
      <c r="X949">
        <v>0</v>
      </c>
      <c r="Y949">
        <f>IF(Z949,TRUE,AND(AC949:AS949))</f>
        <v>0</v>
      </c>
      <c r="Z949">
        <f>COUNTBLANK(Metadata!B949:R949)=COLUMNS(Metadata!B949:R949)</f>
        <v>0</v>
      </c>
      <c r="AA949">
        <v>0</v>
      </c>
      <c r="AC949">
        <f>AND(IF(Metadata!B949="",FALSE,TRUE),COUNTIF(Metadata!B:B, Metadata!B949) = 1,NOT(ISERROR(SUMPRODUCT(SEARCH(MID(Metadata!B949,ROW(INDIRECT("1:"&amp;LEN(Metadata!B949))), 1),"0123456789abcdefghijklmnopqrstuvwxyzABCDEFGHIJKLMNOPQRSTUVWXYZ.")))))</f>
        <v>0</v>
      </c>
      <c r="AD949">
        <f>AND(IF(Metadata!C949="",FALSE,TRUE),exact(Metadata!C949,"Host-associated"))</f>
        <v>0</v>
      </c>
      <c r="AE949">
        <f>AND(IF(Metadata!D949="",FALSE,TRUE),OR(exact(Metadata!D949,"Animal"),exact(Metadata!D949,"Fungus"),exact(Metadata!D949,"Plant")))</f>
        <v>0</v>
      </c>
      <c r="AF949">
        <f>AND(IF(Metadata!E949="",FALSE,TRUE),OR(exact(Metadata!E949,"Plant secretion"),exact(Metadata!E949,"Plant rhizosphere"),exact(Metadata!E949,"Plant surface"),exact(Metadata!E949,"Plant corpus"),exact(Metadata!E949,"Fungus surface"),exact(Metadata!E949,"Fungus corpus"),exact(Metadata!E949,"Animal surface"),exact(Metadata!E949,"Animal proximal gut"),exact(Metadata!E949,"Animal corpus"),exact(Metadata!E949,"Animal distal gut"),exact(Metadata!E949,"Animal secretion")))</f>
        <v>0</v>
      </c>
      <c r="AG949">
        <f>OR(AND(IF(Metadata!F949="",FALSE,TRUE),OR(exact(Metadata!F949,"not collected"),exact(Metadata!F949,"not provided"),exact(Metadata!F949,"restricted access"))),AND(IF(Metadata!F949="",FALSE,TRUE),OR(exact(Metadata!F949,"organism-associated habitat"),exact(Metadata!F949,"plant-associated habitat"),exact(Metadata!F949,"animal-associated habitat"),exact(Metadata!F949,"insecta-associated habitat"),exact(Metadata!F949,"mammalia-associated habitat"),exact(Metadata!F949,"human-associated habitat"),exact(Metadata!F949,"livestock-associated habitat"))))</f>
        <v>0</v>
      </c>
      <c r="AH949">
        <f>AND(IF(Metadata!G949="",FALSE,TRUE),exact(Metadata!G949,"host-associated"))</f>
        <v>0</v>
      </c>
      <c r="AI949">
        <f>OR(AND(IF(Metadata!H949="",FALSE,TRUE),OR(exact(Metadata!H949,"not collected"),exact(Metadata!H949,"not provided"))),AND(IF(Metadata!H949="",FALSE,ISNUMBER(VALUE(Metadata!H949))),Metadata!H949&gt;0))</f>
        <v>0</v>
      </c>
      <c r="AJ949">
        <f>AND(IF(Metadata!I949="",FALSE,TRUE),exact(Metadata!I949,"years"))</f>
        <v>0</v>
      </c>
      <c r="AK949">
        <f>IF(Metadata!J949="",FALSE,TRUE)</f>
        <v>0</v>
      </c>
      <c r="AL949">
        <f>OR(AND(IF(Metadata!K949="",FALSE,TRUE),OR(exact(Metadata!K949,"not collected"),exact(Metadata!K949,"not provided"))),AND(IF(Metadata!K949="",FALSE,ISNUMBER(VALUE(Metadata!K949))),Metadata!K949&gt;0))</f>
        <v>0</v>
      </c>
      <c r="AM949">
        <f>AND(IF(Metadata!L949="",FALSE,TRUE),exact(Metadata!L949,"cm"))</f>
        <v>0</v>
      </c>
      <c r="AN949">
        <f>IF(Metadata!M949="",FALSE,TRUE)</f>
        <v>0</v>
      </c>
      <c r="AO949">
        <f>OR(AND(IF(Metadata!N949="",FALSE,TRUE),OR(exact(Metadata!N949,"not applicable"),exact(Metadata!N949,"not collected"),exact(Metadata!N949,"not provided"))),AND(IF(Metadata!N949="",FALSE,IF(ISERROR(INT(Metadata!N949)),FALSE,INT(Metadata!N949)=Metadata!N949)),Metadata!N949&gt;0))</f>
        <v>0</v>
      </c>
      <c r="AP949">
        <f>OR(AND(IF(Metadata!O949="",FALSE,TRUE),OR(exact(Metadata!O949,"not collected"),exact(Metadata!O949,"not provided"))),AND(IF(Metadata!O949="",FALSE,ISNUMBER(VALUE(Metadata!O949))),Metadata!O949&gt;0))</f>
        <v>0</v>
      </c>
      <c r="AQ949">
        <f>AND(IF(Metadata!P949="",FALSE,TRUE),exact(Metadata!P949,"kg"))</f>
        <v>0</v>
      </c>
      <c r="AR949">
        <f>OR(AND(IF(Metadata!Q949="",FALSE,TRUE),OR(exact(Metadata!Q949,"not applicable"),exact(Metadata!Q949,"not collected"),exact(Metadata!Q949,"not provided"),exact(Metadata!Q949,"restricted access"))),IF(Metadata!Q949="",FALSE,IF(ISERROR(INT(Metadata!Q949)),FALSE,INT(Metadata!Q949)=Metadata!Q949)))</f>
        <v>0</v>
      </c>
      <c r="AS949">
        <f>AND(IF(Metadata!R949="",FALSE,TRUE),exact(Metadata!R949,"Not applicable"))</f>
        <v>0</v>
      </c>
    </row>
    <row r="950" spans="1:45">
      <c r="A950" s="4">
        <f>IF(B950=" "," ",HYPERLINK(CONCATENATE("#metadata!",ADDRESS(INDEX($X$2:$X$1001,MATCH(ROWS($V$2:V950),$V$2:$V$1001,0),0),2)),INDEX($AA$2:$AA$1001,MATCH(ROWS($V$2:V950),$V$2:$V$1001,0),0)))</f>
        <v>0</v>
      </c>
      <c r="B950" s="5">
        <f>IF(OR(INDEX($W$2:$W$1001,MATCH(ROWS($V$2:V950),$V$2:$V$1001,0),1)&gt;=100000,INDEX($AC$1005:$AS$1005,1,MATCH(COLUMNS($AC$1006:AC1006),$AC$1006:$AS$1006,0))&gt;=100000), " ",IF(INDEX($AC$2:$AS$1001,MATCH(ROWS($V$2:V950),$V$2:$V$1001,0),MATCH(COLUMNS($AC$1006:AC1006),$AC$1006:$AS$1006,0)), HYPERLINK("#",""), HYPERLINK(CONCATENATE("#Metadata!", ADDRESS(INDEX($X$2:$X$1001,MATCH(ROWS($V$2:V950),$V$2:$V$1001,0),0), INDEX($AC$1004:$AS$1004,1,MATCH(COLUMNS($AC$1006:AC1006),$AC$1006:$AS$1006,0)))),"Fix")))</f>
        <v>0</v>
      </c>
      <c r="C950" s="5">
        <f>IF(OR(INDEX($W$2:$W$1001,MATCH(ROWS($V$2:V950),$V$2:$V$1001,0),1)&gt;=100000,INDEX($AC$1005:$AS$1005,1,MATCH(COLUMNS($AC$1006:AD1006),$AC$1006:$AS$1006,0))&gt;=100000), " ",IF(INDEX($AC$2:$AS$1001,MATCH(ROWS($V$2:V950),$V$2:$V$1001,0),MATCH(COLUMNS($AC$1006:AD1006),$AC$1006:$AS$1006,0)), HYPERLINK("#",""), HYPERLINK(CONCATENATE("#Metadata!", ADDRESS(INDEX($X$2:$X$1001,MATCH(ROWS($V$2:V950),$V$2:$V$1001,0),0), INDEX($AC$1004:$AS$1004,1,MATCH(COLUMNS($AC$1006:AD1006),$AC$1006:$AS$1006,0)))),"Fix")))</f>
        <v>0</v>
      </c>
      <c r="D950" s="5">
        <f>IF(OR(INDEX($W$2:$W$1001,MATCH(ROWS($V$2:V950),$V$2:$V$1001,0),1)&gt;=100000,INDEX($AC$1005:$AS$1005,1,MATCH(COLUMNS($AC$1006:AE1006),$AC$1006:$AS$1006,0))&gt;=100000), " ",IF(INDEX($AC$2:$AS$1001,MATCH(ROWS($V$2:V950),$V$2:$V$1001,0),MATCH(COLUMNS($AC$1006:AE1006),$AC$1006:$AS$1006,0)), HYPERLINK("#",""), HYPERLINK(CONCATENATE("#Metadata!", ADDRESS(INDEX($X$2:$X$1001,MATCH(ROWS($V$2:V950),$V$2:$V$1001,0),0), INDEX($AC$1004:$AS$1004,1,MATCH(COLUMNS($AC$1006:AE1006),$AC$1006:$AS$1006,0)))),"Fix")))</f>
        <v>0</v>
      </c>
      <c r="E950" s="5">
        <f>IF(OR(INDEX($W$2:$W$1001,MATCH(ROWS($V$2:V950),$V$2:$V$1001,0),1)&gt;=100000,INDEX($AC$1005:$AS$1005,1,MATCH(COLUMNS($AC$1006:AF1006),$AC$1006:$AS$1006,0))&gt;=100000), " ",IF(INDEX($AC$2:$AS$1001,MATCH(ROWS($V$2:V950),$V$2:$V$1001,0),MATCH(COLUMNS($AC$1006:AF1006),$AC$1006:$AS$1006,0)), HYPERLINK("#",""), HYPERLINK(CONCATENATE("#Metadata!", ADDRESS(INDEX($X$2:$X$1001,MATCH(ROWS($V$2:V950),$V$2:$V$1001,0),0), INDEX($AC$1004:$AS$1004,1,MATCH(COLUMNS($AC$1006:AF1006),$AC$1006:$AS$1006,0)))),"Fix")))</f>
        <v>0</v>
      </c>
      <c r="F950" s="5">
        <f>IF(OR(INDEX($W$2:$W$1001,MATCH(ROWS($V$2:V950),$V$2:$V$1001,0),1)&gt;=100000,INDEX($AC$1005:$AS$1005,1,MATCH(COLUMNS($AC$1006:AG1006),$AC$1006:$AS$1006,0))&gt;=100000), " ",IF(INDEX($AC$2:$AS$1001,MATCH(ROWS($V$2:V950),$V$2:$V$1001,0),MATCH(COLUMNS($AC$1006:AG1006),$AC$1006:$AS$1006,0)), HYPERLINK("#",""), HYPERLINK(CONCATENATE("#Metadata!", ADDRESS(INDEX($X$2:$X$1001,MATCH(ROWS($V$2:V950),$V$2:$V$1001,0),0), INDEX($AC$1004:$AS$1004,1,MATCH(COLUMNS($AC$1006:AG1006),$AC$1006:$AS$1006,0)))),"Fix")))</f>
        <v>0</v>
      </c>
      <c r="G950" s="5">
        <f>IF(OR(INDEX($W$2:$W$1001,MATCH(ROWS($V$2:V950),$V$2:$V$1001,0),1)&gt;=100000,INDEX($AC$1005:$AS$1005,1,MATCH(COLUMNS($AC$1006:AH1006),$AC$1006:$AS$1006,0))&gt;=100000), " ",IF(INDEX($AC$2:$AS$1001,MATCH(ROWS($V$2:V950),$V$2:$V$1001,0),MATCH(COLUMNS($AC$1006:AH1006),$AC$1006:$AS$1006,0)), HYPERLINK("#",""), HYPERLINK(CONCATENATE("#Metadata!", ADDRESS(INDEX($X$2:$X$1001,MATCH(ROWS($V$2:V950),$V$2:$V$1001,0),0), INDEX($AC$1004:$AS$1004,1,MATCH(COLUMNS($AC$1006:AH1006),$AC$1006:$AS$1006,0)))),"Fix")))</f>
        <v>0</v>
      </c>
      <c r="H950" s="5">
        <f>IF(OR(INDEX($W$2:$W$1001,MATCH(ROWS($V$2:V950),$V$2:$V$1001,0),1)&gt;=100000,INDEX($AC$1005:$AS$1005,1,MATCH(COLUMNS($AC$1006:AI1006),$AC$1006:$AS$1006,0))&gt;=100000), " ",IF(INDEX($AC$2:$AS$1001,MATCH(ROWS($V$2:V950),$V$2:$V$1001,0),MATCH(COLUMNS($AC$1006:AI1006),$AC$1006:$AS$1006,0)), HYPERLINK("#",""), HYPERLINK(CONCATENATE("#Metadata!", ADDRESS(INDEX($X$2:$X$1001,MATCH(ROWS($V$2:V950),$V$2:$V$1001,0),0), INDEX($AC$1004:$AS$1004,1,MATCH(COLUMNS($AC$1006:AI1006),$AC$1006:$AS$1006,0)))),"Fix")))</f>
        <v>0</v>
      </c>
      <c r="I950" s="5">
        <f>IF(OR(INDEX($W$2:$W$1001,MATCH(ROWS($V$2:V950),$V$2:$V$1001,0),1)&gt;=100000,INDEX($AC$1005:$AS$1005,1,MATCH(COLUMNS($AC$1006:AJ1006),$AC$1006:$AS$1006,0))&gt;=100000), " ",IF(INDEX($AC$2:$AS$1001,MATCH(ROWS($V$2:V950),$V$2:$V$1001,0),MATCH(COLUMNS($AC$1006:AJ1006),$AC$1006:$AS$1006,0)), HYPERLINK("#",""), HYPERLINK(CONCATENATE("#Metadata!", ADDRESS(INDEX($X$2:$X$1001,MATCH(ROWS($V$2:V950),$V$2:$V$1001,0),0), INDEX($AC$1004:$AS$1004,1,MATCH(COLUMNS($AC$1006:AJ1006),$AC$1006:$AS$1006,0)))),"Fix")))</f>
        <v>0</v>
      </c>
      <c r="J950" s="5">
        <f>IF(OR(INDEX($W$2:$W$1001,MATCH(ROWS($V$2:V950),$V$2:$V$1001,0),1)&gt;=100000,INDEX($AC$1005:$AS$1005,1,MATCH(COLUMNS($AC$1006:AK1006),$AC$1006:$AS$1006,0))&gt;=100000), " ",IF(INDEX($AC$2:$AS$1001,MATCH(ROWS($V$2:V950),$V$2:$V$1001,0),MATCH(COLUMNS($AC$1006:AK1006),$AC$1006:$AS$1006,0)), HYPERLINK("#",""), HYPERLINK(CONCATENATE("#Metadata!", ADDRESS(INDEX($X$2:$X$1001,MATCH(ROWS($V$2:V950),$V$2:$V$1001,0),0), INDEX($AC$1004:$AS$1004,1,MATCH(COLUMNS($AC$1006:AK1006),$AC$1006:$AS$1006,0)))),"Fix")))</f>
        <v>0</v>
      </c>
      <c r="K950" s="5">
        <f>IF(OR(INDEX($W$2:$W$1001,MATCH(ROWS($V$2:V950),$V$2:$V$1001,0),1)&gt;=100000,INDEX($AC$1005:$AS$1005,1,MATCH(COLUMNS($AC$1006:AL1006),$AC$1006:$AS$1006,0))&gt;=100000), " ",IF(INDEX($AC$2:$AS$1001,MATCH(ROWS($V$2:V950),$V$2:$V$1001,0),MATCH(COLUMNS($AC$1006:AL1006),$AC$1006:$AS$1006,0)), HYPERLINK("#",""), HYPERLINK(CONCATENATE("#Metadata!", ADDRESS(INDEX($X$2:$X$1001,MATCH(ROWS($V$2:V950),$V$2:$V$1001,0),0), INDEX($AC$1004:$AS$1004,1,MATCH(COLUMNS($AC$1006:AL1006),$AC$1006:$AS$1006,0)))),"Fix")))</f>
        <v>0</v>
      </c>
      <c r="L950" s="5">
        <f>IF(OR(INDEX($W$2:$W$1001,MATCH(ROWS($V$2:V950),$V$2:$V$1001,0),1)&gt;=100000,INDEX($AC$1005:$AS$1005,1,MATCH(COLUMNS($AC$1006:AM1006),$AC$1006:$AS$1006,0))&gt;=100000), " ",IF(INDEX($AC$2:$AS$1001,MATCH(ROWS($V$2:V950),$V$2:$V$1001,0),MATCH(COLUMNS($AC$1006:AM1006),$AC$1006:$AS$1006,0)), HYPERLINK("#",""), HYPERLINK(CONCATENATE("#Metadata!", ADDRESS(INDEX($X$2:$X$1001,MATCH(ROWS($V$2:V950),$V$2:$V$1001,0),0), INDEX($AC$1004:$AS$1004,1,MATCH(COLUMNS($AC$1006:AM1006),$AC$1006:$AS$1006,0)))),"Fix")))</f>
        <v>0</v>
      </c>
      <c r="M950" s="5">
        <f>IF(OR(INDEX($W$2:$W$1001,MATCH(ROWS($V$2:V950),$V$2:$V$1001,0),1)&gt;=100000,INDEX($AC$1005:$AS$1005,1,MATCH(COLUMNS($AC$1006:AN1006),$AC$1006:$AS$1006,0))&gt;=100000), " ",IF(INDEX($AC$2:$AS$1001,MATCH(ROWS($V$2:V950),$V$2:$V$1001,0),MATCH(COLUMNS($AC$1006:AN1006),$AC$1006:$AS$1006,0)), HYPERLINK("#",""), HYPERLINK(CONCATENATE("#Metadata!", ADDRESS(INDEX($X$2:$X$1001,MATCH(ROWS($V$2:V950),$V$2:$V$1001,0),0), INDEX($AC$1004:$AS$1004,1,MATCH(COLUMNS($AC$1006:AN1006),$AC$1006:$AS$1006,0)))),"Fix")))</f>
        <v>0</v>
      </c>
      <c r="N950" s="5">
        <f>IF(OR(INDEX($W$2:$W$1001,MATCH(ROWS($V$2:V950),$V$2:$V$1001,0),1)&gt;=100000,INDEX($AC$1005:$AS$1005,1,MATCH(COLUMNS($AC$1006:AO1006),$AC$1006:$AS$1006,0))&gt;=100000), " ",IF(INDEX($AC$2:$AS$1001,MATCH(ROWS($V$2:V950),$V$2:$V$1001,0),MATCH(COLUMNS($AC$1006:AO1006),$AC$1006:$AS$1006,0)), HYPERLINK("#",""), HYPERLINK(CONCATENATE("#Metadata!", ADDRESS(INDEX($X$2:$X$1001,MATCH(ROWS($V$2:V950),$V$2:$V$1001,0),0), INDEX($AC$1004:$AS$1004,1,MATCH(COLUMNS($AC$1006:AO1006),$AC$1006:$AS$1006,0)))),"Fix")))</f>
        <v>0</v>
      </c>
      <c r="O950" s="5">
        <f>IF(OR(INDEX($W$2:$W$1001,MATCH(ROWS($V$2:V950),$V$2:$V$1001,0),1)&gt;=100000,INDEX($AC$1005:$AS$1005,1,MATCH(COLUMNS($AC$1006:AP1006),$AC$1006:$AS$1006,0))&gt;=100000), " ",IF(INDEX($AC$2:$AS$1001,MATCH(ROWS($V$2:V950),$V$2:$V$1001,0),MATCH(COLUMNS($AC$1006:AP1006),$AC$1006:$AS$1006,0)), HYPERLINK("#",""), HYPERLINK(CONCATENATE("#Metadata!", ADDRESS(INDEX($X$2:$X$1001,MATCH(ROWS($V$2:V950),$V$2:$V$1001,0),0), INDEX($AC$1004:$AS$1004,1,MATCH(COLUMNS($AC$1006:AP1006),$AC$1006:$AS$1006,0)))),"Fix")))</f>
        <v>0</v>
      </c>
      <c r="P950" s="5">
        <f>IF(OR(INDEX($W$2:$W$1001,MATCH(ROWS($V$2:V950),$V$2:$V$1001,0),1)&gt;=100000,INDEX($AC$1005:$AS$1005,1,MATCH(COLUMNS($AC$1006:AQ1006),$AC$1006:$AS$1006,0))&gt;=100000), " ",IF(INDEX($AC$2:$AS$1001,MATCH(ROWS($V$2:V950),$V$2:$V$1001,0),MATCH(COLUMNS($AC$1006:AQ1006),$AC$1006:$AS$1006,0)), HYPERLINK("#",""), HYPERLINK(CONCATENATE("#Metadata!", ADDRESS(INDEX($X$2:$X$1001,MATCH(ROWS($V$2:V950),$V$2:$V$1001,0),0), INDEX($AC$1004:$AS$1004,1,MATCH(COLUMNS($AC$1006:AQ1006),$AC$1006:$AS$1006,0)))),"Fix")))</f>
        <v>0</v>
      </c>
      <c r="Q950" s="5">
        <f>IF(OR(INDEX($W$2:$W$1001,MATCH(ROWS($V$2:V950),$V$2:$V$1001,0),1)&gt;=100000,INDEX($AC$1005:$AS$1005,1,MATCH(COLUMNS($AC$1006:AR1006),$AC$1006:$AS$1006,0))&gt;=100000), " ",IF(INDEX($AC$2:$AS$1001,MATCH(ROWS($V$2:V950),$V$2:$V$1001,0),MATCH(COLUMNS($AC$1006:AR1006),$AC$1006:$AS$1006,0)), HYPERLINK("#",""), HYPERLINK(CONCATENATE("#Metadata!", ADDRESS(INDEX($X$2:$X$1001,MATCH(ROWS($V$2:V950),$V$2:$V$1001,0),0), INDEX($AC$1004:$AS$1004,1,MATCH(COLUMNS($AC$1006:AR1006),$AC$1006:$AS$1006,0)))),"Fix")))</f>
        <v>0</v>
      </c>
      <c r="R950" s="5">
        <f>IF(OR(INDEX($W$2:$W$1001,MATCH(ROWS($V$2:V950),$V$2:$V$1001,0),1)&gt;=100000,INDEX($AC$1005:$AS$1005,1,MATCH(COLUMNS($AC$1006:AS1006),$AC$1006:$AS$1006,0))&gt;=100000), " ",IF(INDEX($AC$2:$AS$1001,MATCH(ROWS($V$2:V950),$V$2:$V$1001,0),MATCH(COLUMNS($AC$1006:AS1006),$AC$1006:$AS$1006,0)), HYPERLINK("#",""), HYPERLINK(CONCATENATE("#Metadata!", ADDRESS(INDEX($X$2:$X$1001,MATCH(ROWS($V$2:V950),$V$2:$V$1001,0),0), INDEX($AC$1004:$AS$1004,1,MATCH(COLUMNS($AC$1006:AS1006),$AC$1006:$AS$1006,0)))),"Fix")))</f>
        <v>0</v>
      </c>
      <c r="V950">
        <v>0</v>
      </c>
      <c r="W950">
        <v>0</v>
      </c>
      <c r="X950">
        <v>0</v>
      </c>
      <c r="Y950">
        <f>IF(Z950,TRUE,AND(AC950:AS950))</f>
        <v>0</v>
      </c>
      <c r="Z950">
        <f>COUNTBLANK(Metadata!B950:R950)=COLUMNS(Metadata!B950:R950)</f>
        <v>0</v>
      </c>
      <c r="AA950">
        <v>0</v>
      </c>
      <c r="AC950">
        <f>AND(IF(Metadata!B950="",FALSE,TRUE),COUNTIF(Metadata!B:B, Metadata!B950) = 1,NOT(ISERROR(SUMPRODUCT(SEARCH(MID(Metadata!B950,ROW(INDIRECT("1:"&amp;LEN(Metadata!B950))), 1),"0123456789abcdefghijklmnopqrstuvwxyzABCDEFGHIJKLMNOPQRSTUVWXYZ.")))))</f>
        <v>0</v>
      </c>
      <c r="AD950">
        <f>AND(IF(Metadata!C950="",FALSE,TRUE),exact(Metadata!C950,"Host-associated"))</f>
        <v>0</v>
      </c>
      <c r="AE950">
        <f>AND(IF(Metadata!D950="",FALSE,TRUE),OR(exact(Metadata!D950,"Animal"),exact(Metadata!D950,"Fungus"),exact(Metadata!D950,"Plant")))</f>
        <v>0</v>
      </c>
      <c r="AF950">
        <f>AND(IF(Metadata!E950="",FALSE,TRUE),OR(exact(Metadata!E950,"Plant secretion"),exact(Metadata!E950,"Plant rhizosphere"),exact(Metadata!E950,"Plant surface"),exact(Metadata!E950,"Plant corpus"),exact(Metadata!E950,"Fungus surface"),exact(Metadata!E950,"Fungus corpus"),exact(Metadata!E950,"Animal surface"),exact(Metadata!E950,"Animal proximal gut"),exact(Metadata!E950,"Animal corpus"),exact(Metadata!E950,"Animal distal gut"),exact(Metadata!E950,"Animal secretion")))</f>
        <v>0</v>
      </c>
      <c r="AG950">
        <f>OR(AND(IF(Metadata!F950="",FALSE,TRUE),OR(exact(Metadata!F950,"not collected"),exact(Metadata!F950,"not provided"),exact(Metadata!F950,"restricted access"))),AND(IF(Metadata!F950="",FALSE,TRUE),OR(exact(Metadata!F950,"organism-associated habitat"),exact(Metadata!F950,"plant-associated habitat"),exact(Metadata!F950,"animal-associated habitat"),exact(Metadata!F950,"insecta-associated habitat"),exact(Metadata!F950,"mammalia-associated habitat"),exact(Metadata!F950,"human-associated habitat"),exact(Metadata!F950,"livestock-associated habitat"))))</f>
        <v>0</v>
      </c>
      <c r="AH950">
        <f>AND(IF(Metadata!G950="",FALSE,TRUE),exact(Metadata!G950,"host-associated"))</f>
        <v>0</v>
      </c>
      <c r="AI950">
        <f>OR(AND(IF(Metadata!H950="",FALSE,TRUE),OR(exact(Metadata!H950,"not collected"),exact(Metadata!H950,"not provided"))),AND(IF(Metadata!H950="",FALSE,ISNUMBER(VALUE(Metadata!H950))),Metadata!H950&gt;0))</f>
        <v>0</v>
      </c>
      <c r="AJ950">
        <f>AND(IF(Metadata!I950="",FALSE,TRUE),exact(Metadata!I950,"years"))</f>
        <v>0</v>
      </c>
      <c r="AK950">
        <f>IF(Metadata!J950="",FALSE,TRUE)</f>
        <v>0</v>
      </c>
      <c r="AL950">
        <f>OR(AND(IF(Metadata!K950="",FALSE,TRUE),OR(exact(Metadata!K950,"not collected"),exact(Metadata!K950,"not provided"))),AND(IF(Metadata!K950="",FALSE,ISNUMBER(VALUE(Metadata!K950))),Metadata!K950&gt;0))</f>
        <v>0</v>
      </c>
      <c r="AM950">
        <f>AND(IF(Metadata!L950="",FALSE,TRUE),exact(Metadata!L950,"cm"))</f>
        <v>0</v>
      </c>
      <c r="AN950">
        <f>IF(Metadata!M950="",FALSE,TRUE)</f>
        <v>0</v>
      </c>
      <c r="AO950">
        <f>OR(AND(IF(Metadata!N950="",FALSE,TRUE),OR(exact(Metadata!N950,"not applicable"),exact(Metadata!N950,"not collected"),exact(Metadata!N950,"not provided"))),AND(IF(Metadata!N950="",FALSE,IF(ISERROR(INT(Metadata!N950)),FALSE,INT(Metadata!N950)=Metadata!N950)),Metadata!N950&gt;0))</f>
        <v>0</v>
      </c>
      <c r="AP950">
        <f>OR(AND(IF(Metadata!O950="",FALSE,TRUE),OR(exact(Metadata!O950,"not collected"),exact(Metadata!O950,"not provided"))),AND(IF(Metadata!O950="",FALSE,ISNUMBER(VALUE(Metadata!O950))),Metadata!O950&gt;0))</f>
        <v>0</v>
      </c>
      <c r="AQ950">
        <f>AND(IF(Metadata!P950="",FALSE,TRUE),exact(Metadata!P950,"kg"))</f>
        <v>0</v>
      </c>
      <c r="AR950">
        <f>OR(AND(IF(Metadata!Q950="",FALSE,TRUE),OR(exact(Metadata!Q950,"not applicable"),exact(Metadata!Q950,"not collected"),exact(Metadata!Q950,"not provided"),exact(Metadata!Q950,"restricted access"))),IF(Metadata!Q950="",FALSE,IF(ISERROR(INT(Metadata!Q950)),FALSE,INT(Metadata!Q950)=Metadata!Q950)))</f>
        <v>0</v>
      </c>
      <c r="AS950">
        <f>AND(IF(Metadata!R950="",FALSE,TRUE),exact(Metadata!R950,"Not applicable"))</f>
        <v>0</v>
      </c>
    </row>
    <row r="951" spans="1:45">
      <c r="A951" s="4">
        <f>IF(B951=" "," ",HYPERLINK(CONCATENATE("#metadata!",ADDRESS(INDEX($X$2:$X$1001,MATCH(ROWS($V$2:V951),$V$2:$V$1001,0),0),2)),INDEX($AA$2:$AA$1001,MATCH(ROWS($V$2:V951),$V$2:$V$1001,0),0)))</f>
        <v>0</v>
      </c>
      <c r="B951" s="5">
        <f>IF(OR(INDEX($W$2:$W$1001,MATCH(ROWS($V$2:V951),$V$2:$V$1001,0),1)&gt;=100000,INDEX($AC$1005:$AS$1005,1,MATCH(COLUMNS($AC$1006:AC1006),$AC$1006:$AS$1006,0))&gt;=100000), " ",IF(INDEX($AC$2:$AS$1001,MATCH(ROWS($V$2:V951),$V$2:$V$1001,0),MATCH(COLUMNS($AC$1006:AC1006),$AC$1006:$AS$1006,0)), HYPERLINK("#",""), HYPERLINK(CONCATENATE("#Metadata!", ADDRESS(INDEX($X$2:$X$1001,MATCH(ROWS($V$2:V951),$V$2:$V$1001,0),0), INDEX($AC$1004:$AS$1004,1,MATCH(COLUMNS($AC$1006:AC1006),$AC$1006:$AS$1006,0)))),"Fix")))</f>
        <v>0</v>
      </c>
      <c r="C951" s="5">
        <f>IF(OR(INDEX($W$2:$W$1001,MATCH(ROWS($V$2:V951),$V$2:$V$1001,0),1)&gt;=100000,INDEX($AC$1005:$AS$1005,1,MATCH(COLUMNS($AC$1006:AD1006),$AC$1006:$AS$1006,0))&gt;=100000), " ",IF(INDEX($AC$2:$AS$1001,MATCH(ROWS($V$2:V951),$V$2:$V$1001,0),MATCH(COLUMNS($AC$1006:AD1006),$AC$1006:$AS$1006,0)), HYPERLINK("#",""), HYPERLINK(CONCATENATE("#Metadata!", ADDRESS(INDEX($X$2:$X$1001,MATCH(ROWS($V$2:V951),$V$2:$V$1001,0),0), INDEX($AC$1004:$AS$1004,1,MATCH(COLUMNS($AC$1006:AD1006),$AC$1006:$AS$1006,0)))),"Fix")))</f>
        <v>0</v>
      </c>
      <c r="D951" s="5">
        <f>IF(OR(INDEX($W$2:$W$1001,MATCH(ROWS($V$2:V951),$V$2:$V$1001,0),1)&gt;=100000,INDEX($AC$1005:$AS$1005,1,MATCH(COLUMNS($AC$1006:AE1006),$AC$1006:$AS$1006,0))&gt;=100000), " ",IF(INDEX($AC$2:$AS$1001,MATCH(ROWS($V$2:V951),$V$2:$V$1001,0),MATCH(COLUMNS($AC$1006:AE1006),$AC$1006:$AS$1006,0)), HYPERLINK("#",""), HYPERLINK(CONCATENATE("#Metadata!", ADDRESS(INDEX($X$2:$X$1001,MATCH(ROWS($V$2:V951),$V$2:$V$1001,0),0), INDEX($AC$1004:$AS$1004,1,MATCH(COLUMNS($AC$1006:AE1006),$AC$1006:$AS$1006,0)))),"Fix")))</f>
        <v>0</v>
      </c>
      <c r="E951" s="5">
        <f>IF(OR(INDEX($W$2:$W$1001,MATCH(ROWS($V$2:V951),$V$2:$V$1001,0),1)&gt;=100000,INDEX($AC$1005:$AS$1005,1,MATCH(COLUMNS($AC$1006:AF1006),$AC$1006:$AS$1006,0))&gt;=100000), " ",IF(INDEX($AC$2:$AS$1001,MATCH(ROWS($V$2:V951),$V$2:$V$1001,0),MATCH(COLUMNS($AC$1006:AF1006),$AC$1006:$AS$1006,0)), HYPERLINK("#",""), HYPERLINK(CONCATENATE("#Metadata!", ADDRESS(INDEX($X$2:$X$1001,MATCH(ROWS($V$2:V951),$V$2:$V$1001,0),0), INDEX($AC$1004:$AS$1004,1,MATCH(COLUMNS($AC$1006:AF1006),$AC$1006:$AS$1006,0)))),"Fix")))</f>
        <v>0</v>
      </c>
      <c r="F951" s="5">
        <f>IF(OR(INDEX($W$2:$W$1001,MATCH(ROWS($V$2:V951),$V$2:$V$1001,0),1)&gt;=100000,INDEX($AC$1005:$AS$1005,1,MATCH(COLUMNS($AC$1006:AG1006),$AC$1006:$AS$1006,0))&gt;=100000), " ",IF(INDEX($AC$2:$AS$1001,MATCH(ROWS($V$2:V951),$V$2:$V$1001,0),MATCH(COLUMNS($AC$1006:AG1006),$AC$1006:$AS$1006,0)), HYPERLINK("#",""), HYPERLINK(CONCATENATE("#Metadata!", ADDRESS(INDEX($X$2:$X$1001,MATCH(ROWS($V$2:V951),$V$2:$V$1001,0),0), INDEX($AC$1004:$AS$1004,1,MATCH(COLUMNS($AC$1006:AG1006),$AC$1006:$AS$1006,0)))),"Fix")))</f>
        <v>0</v>
      </c>
      <c r="G951" s="5">
        <f>IF(OR(INDEX($W$2:$W$1001,MATCH(ROWS($V$2:V951),$V$2:$V$1001,0),1)&gt;=100000,INDEX($AC$1005:$AS$1005,1,MATCH(COLUMNS($AC$1006:AH1006),$AC$1006:$AS$1006,0))&gt;=100000), " ",IF(INDEX($AC$2:$AS$1001,MATCH(ROWS($V$2:V951),$V$2:$V$1001,0),MATCH(COLUMNS($AC$1006:AH1006),$AC$1006:$AS$1006,0)), HYPERLINK("#",""), HYPERLINK(CONCATENATE("#Metadata!", ADDRESS(INDEX($X$2:$X$1001,MATCH(ROWS($V$2:V951),$V$2:$V$1001,0),0), INDEX($AC$1004:$AS$1004,1,MATCH(COLUMNS($AC$1006:AH1006),$AC$1006:$AS$1006,0)))),"Fix")))</f>
        <v>0</v>
      </c>
      <c r="H951" s="5">
        <f>IF(OR(INDEX($W$2:$W$1001,MATCH(ROWS($V$2:V951),$V$2:$V$1001,0),1)&gt;=100000,INDEX($AC$1005:$AS$1005,1,MATCH(COLUMNS($AC$1006:AI1006),$AC$1006:$AS$1006,0))&gt;=100000), " ",IF(INDEX($AC$2:$AS$1001,MATCH(ROWS($V$2:V951),$V$2:$V$1001,0),MATCH(COLUMNS($AC$1006:AI1006),$AC$1006:$AS$1006,0)), HYPERLINK("#",""), HYPERLINK(CONCATENATE("#Metadata!", ADDRESS(INDEX($X$2:$X$1001,MATCH(ROWS($V$2:V951),$V$2:$V$1001,0),0), INDEX($AC$1004:$AS$1004,1,MATCH(COLUMNS($AC$1006:AI1006),$AC$1006:$AS$1006,0)))),"Fix")))</f>
        <v>0</v>
      </c>
      <c r="I951" s="5">
        <f>IF(OR(INDEX($W$2:$W$1001,MATCH(ROWS($V$2:V951),$V$2:$V$1001,0),1)&gt;=100000,INDEX($AC$1005:$AS$1005,1,MATCH(COLUMNS($AC$1006:AJ1006),$AC$1006:$AS$1006,0))&gt;=100000), " ",IF(INDEX($AC$2:$AS$1001,MATCH(ROWS($V$2:V951),$V$2:$V$1001,0),MATCH(COLUMNS($AC$1006:AJ1006),$AC$1006:$AS$1006,0)), HYPERLINK("#",""), HYPERLINK(CONCATENATE("#Metadata!", ADDRESS(INDEX($X$2:$X$1001,MATCH(ROWS($V$2:V951),$V$2:$V$1001,0),0), INDEX($AC$1004:$AS$1004,1,MATCH(COLUMNS($AC$1006:AJ1006),$AC$1006:$AS$1006,0)))),"Fix")))</f>
        <v>0</v>
      </c>
      <c r="J951" s="5">
        <f>IF(OR(INDEX($W$2:$W$1001,MATCH(ROWS($V$2:V951),$V$2:$V$1001,0),1)&gt;=100000,INDEX($AC$1005:$AS$1005,1,MATCH(COLUMNS($AC$1006:AK1006),$AC$1006:$AS$1006,0))&gt;=100000), " ",IF(INDEX($AC$2:$AS$1001,MATCH(ROWS($V$2:V951),$V$2:$V$1001,0),MATCH(COLUMNS($AC$1006:AK1006),$AC$1006:$AS$1006,0)), HYPERLINK("#",""), HYPERLINK(CONCATENATE("#Metadata!", ADDRESS(INDEX($X$2:$X$1001,MATCH(ROWS($V$2:V951),$V$2:$V$1001,0),0), INDEX($AC$1004:$AS$1004,1,MATCH(COLUMNS($AC$1006:AK1006),$AC$1006:$AS$1006,0)))),"Fix")))</f>
        <v>0</v>
      </c>
      <c r="K951" s="5">
        <f>IF(OR(INDEX($W$2:$W$1001,MATCH(ROWS($V$2:V951),$V$2:$V$1001,0),1)&gt;=100000,INDEX($AC$1005:$AS$1005,1,MATCH(COLUMNS($AC$1006:AL1006),$AC$1006:$AS$1006,0))&gt;=100000), " ",IF(INDEX($AC$2:$AS$1001,MATCH(ROWS($V$2:V951),$V$2:$V$1001,0),MATCH(COLUMNS($AC$1006:AL1006),$AC$1006:$AS$1006,0)), HYPERLINK("#",""), HYPERLINK(CONCATENATE("#Metadata!", ADDRESS(INDEX($X$2:$X$1001,MATCH(ROWS($V$2:V951),$V$2:$V$1001,0),0), INDEX($AC$1004:$AS$1004,1,MATCH(COLUMNS($AC$1006:AL1006),$AC$1006:$AS$1006,0)))),"Fix")))</f>
        <v>0</v>
      </c>
      <c r="L951" s="5">
        <f>IF(OR(INDEX($W$2:$W$1001,MATCH(ROWS($V$2:V951),$V$2:$V$1001,0),1)&gt;=100000,INDEX($AC$1005:$AS$1005,1,MATCH(COLUMNS($AC$1006:AM1006),$AC$1006:$AS$1006,0))&gt;=100000), " ",IF(INDEX($AC$2:$AS$1001,MATCH(ROWS($V$2:V951),$V$2:$V$1001,0),MATCH(COLUMNS($AC$1006:AM1006),$AC$1006:$AS$1006,0)), HYPERLINK("#",""), HYPERLINK(CONCATENATE("#Metadata!", ADDRESS(INDEX($X$2:$X$1001,MATCH(ROWS($V$2:V951),$V$2:$V$1001,0),0), INDEX($AC$1004:$AS$1004,1,MATCH(COLUMNS($AC$1006:AM1006),$AC$1006:$AS$1006,0)))),"Fix")))</f>
        <v>0</v>
      </c>
      <c r="M951" s="5">
        <f>IF(OR(INDEX($W$2:$W$1001,MATCH(ROWS($V$2:V951),$V$2:$V$1001,0),1)&gt;=100000,INDEX($AC$1005:$AS$1005,1,MATCH(COLUMNS($AC$1006:AN1006),$AC$1006:$AS$1006,0))&gt;=100000), " ",IF(INDEX($AC$2:$AS$1001,MATCH(ROWS($V$2:V951),$V$2:$V$1001,0),MATCH(COLUMNS($AC$1006:AN1006),$AC$1006:$AS$1006,0)), HYPERLINK("#",""), HYPERLINK(CONCATENATE("#Metadata!", ADDRESS(INDEX($X$2:$X$1001,MATCH(ROWS($V$2:V951),$V$2:$V$1001,0),0), INDEX($AC$1004:$AS$1004,1,MATCH(COLUMNS($AC$1006:AN1006),$AC$1006:$AS$1006,0)))),"Fix")))</f>
        <v>0</v>
      </c>
      <c r="N951" s="5">
        <f>IF(OR(INDEX($W$2:$W$1001,MATCH(ROWS($V$2:V951),$V$2:$V$1001,0),1)&gt;=100000,INDEX($AC$1005:$AS$1005,1,MATCH(COLUMNS($AC$1006:AO1006),$AC$1006:$AS$1006,0))&gt;=100000), " ",IF(INDEX($AC$2:$AS$1001,MATCH(ROWS($V$2:V951),$V$2:$V$1001,0),MATCH(COLUMNS($AC$1006:AO1006),$AC$1006:$AS$1006,0)), HYPERLINK("#",""), HYPERLINK(CONCATENATE("#Metadata!", ADDRESS(INDEX($X$2:$X$1001,MATCH(ROWS($V$2:V951),$V$2:$V$1001,0),0), INDEX($AC$1004:$AS$1004,1,MATCH(COLUMNS($AC$1006:AO1006),$AC$1006:$AS$1006,0)))),"Fix")))</f>
        <v>0</v>
      </c>
      <c r="O951" s="5">
        <f>IF(OR(INDEX($W$2:$W$1001,MATCH(ROWS($V$2:V951),$V$2:$V$1001,0),1)&gt;=100000,INDEX($AC$1005:$AS$1005,1,MATCH(COLUMNS($AC$1006:AP1006),$AC$1006:$AS$1006,0))&gt;=100000), " ",IF(INDEX($AC$2:$AS$1001,MATCH(ROWS($V$2:V951),$V$2:$V$1001,0),MATCH(COLUMNS($AC$1006:AP1006),$AC$1006:$AS$1006,0)), HYPERLINK("#",""), HYPERLINK(CONCATENATE("#Metadata!", ADDRESS(INDEX($X$2:$X$1001,MATCH(ROWS($V$2:V951),$V$2:$V$1001,0),0), INDEX($AC$1004:$AS$1004,1,MATCH(COLUMNS($AC$1006:AP1006),$AC$1006:$AS$1006,0)))),"Fix")))</f>
        <v>0</v>
      </c>
      <c r="P951" s="5">
        <f>IF(OR(INDEX($W$2:$W$1001,MATCH(ROWS($V$2:V951),$V$2:$V$1001,0),1)&gt;=100000,INDEX($AC$1005:$AS$1005,1,MATCH(COLUMNS($AC$1006:AQ1006),$AC$1006:$AS$1006,0))&gt;=100000), " ",IF(INDEX($AC$2:$AS$1001,MATCH(ROWS($V$2:V951),$V$2:$V$1001,0),MATCH(COLUMNS($AC$1006:AQ1006),$AC$1006:$AS$1006,0)), HYPERLINK("#",""), HYPERLINK(CONCATENATE("#Metadata!", ADDRESS(INDEX($X$2:$X$1001,MATCH(ROWS($V$2:V951),$V$2:$V$1001,0),0), INDEX($AC$1004:$AS$1004,1,MATCH(COLUMNS($AC$1006:AQ1006),$AC$1006:$AS$1006,0)))),"Fix")))</f>
        <v>0</v>
      </c>
      <c r="Q951" s="5">
        <f>IF(OR(INDEX($W$2:$W$1001,MATCH(ROWS($V$2:V951),$V$2:$V$1001,0),1)&gt;=100000,INDEX($AC$1005:$AS$1005,1,MATCH(COLUMNS($AC$1006:AR1006),$AC$1006:$AS$1006,0))&gt;=100000), " ",IF(INDEX($AC$2:$AS$1001,MATCH(ROWS($V$2:V951),$V$2:$V$1001,0),MATCH(COLUMNS($AC$1006:AR1006),$AC$1006:$AS$1006,0)), HYPERLINK("#",""), HYPERLINK(CONCATENATE("#Metadata!", ADDRESS(INDEX($X$2:$X$1001,MATCH(ROWS($V$2:V951),$V$2:$V$1001,0),0), INDEX($AC$1004:$AS$1004,1,MATCH(COLUMNS($AC$1006:AR1006),$AC$1006:$AS$1006,0)))),"Fix")))</f>
        <v>0</v>
      </c>
      <c r="R951" s="5">
        <f>IF(OR(INDEX($W$2:$W$1001,MATCH(ROWS($V$2:V951),$V$2:$V$1001,0),1)&gt;=100000,INDEX($AC$1005:$AS$1005,1,MATCH(COLUMNS($AC$1006:AS1006),$AC$1006:$AS$1006,0))&gt;=100000), " ",IF(INDEX($AC$2:$AS$1001,MATCH(ROWS($V$2:V951),$V$2:$V$1001,0),MATCH(COLUMNS($AC$1006:AS1006),$AC$1006:$AS$1006,0)), HYPERLINK("#",""), HYPERLINK(CONCATENATE("#Metadata!", ADDRESS(INDEX($X$2:$X$1001,MATCH(ROWS($V$2:V951),$V$2:$V$1001,0),0), INDEX($AC$1004:$AS$1004,1,MATCH(COLUMNS($AC$1006:AS1006),$AC$1006:$AS$1006,0)))),"Fix")))</f>
        <v>0</v>
      </c>
      <c r="V951">
        <v>0</v>
      </c>
      <c r="W951">
        <v>0</v>
      </c>
      <c r="X951">
        <v>0</v>
      </c>
      <c r="Y951">
        <f>IF(Z951,TRUE,AND(AC951:AS951))</f>
        <v>0</v>
      </c>
      <c r="Z951">
        <f>COUNTBLANK(Metadata!B951:R951)=COLUMNS(Metadata!B951:R951)</f>
        <v>0</v>
      </c>
      <c r="AA951">
        <v>0</v>
      </c>
      <c r="AC951">
        <f>AND(IF(Metadata!B951="",FALSE,TRUE),COUNTIF(Metadata!B:B, Metadata!B951) = 1,NOT(ISERROR(SUMPRODUCT(SEARCH(MID(Metadata!B951,ROW(INDIRECT("1:"&amp;LEN(Metadata!B951))), 1),"0123456789abcdefghijklmnopqrstuvwxyzABCDEFGHIJKLMNOPQRSTUVWXYZ.")))))</f>
        <v>0</v>
      </c>
      <c r="AD951">
        <f>AND(IF(Metadata!C951="",FALSE,TRUE),exact(Metadata!C951,"Host-associated"))</f>
        <v>0</v>
      </c>
      <c r="AE951">
        <f>AND(IF(Metadata!D951="",FALSE,TRUE),OR(exact(Metadata!D951,"Animal"),exact(Metadata!D951,"Fungus"),exact(Metadata!D951,"Plant")))</f>
        <v>0</v>
      </c>
      <c r="AF951">
        <f>AND(IF(Metadata!E951="",FALSE,TRUE),OR(exact(Metadata!E951,"Plant secretion"),exact(Metadata!E951,"Plant rhizosphere"),exact(Metadata!E951,"Plant surface"),exact(Metadata!E951,"Plant corpus"),exact(Metadata!E951,"Fungus surface"),exact(Metadata!E951,"Fungus corpus"),exact(Metadata!E951,"Animal surface"),exact(Metadata!E951,"Animal proximal gut"),exact(Metadata!E951,"Animal corpus"),exact(Metadata!E951,"Animal distal gut"),exact(Metadata!E951,"Animal secretion")))</f>
        <v>0</v>
      </c>
      <c r="AG951">
        <f>OR(AND(IF(Metadata!F951="",FALSE,TRUE),OR(exact(Metadata!F951,"not collected"),exact(Metadata!F951,"not provided"),exact(Metadata!F951,"restricted access"))),AND(IF(Metadata!F951="",FALSE,TRUE),OR(exact(Metadata!F951,"organism-associated habitat"),exact(Metadata!F951,"plant-associated habitat"),exact(Metadata!F951,"animal-associated habitat"),exact(Metadata!F951,"insecta-associated habitat"),exact(Metadata!F951,"mammalia-associated habitat"),exact(Metadata!F951,"human-associated habitat"),exact(Metadata!F951,"livestock-associated habitat"))))</f>
        <v>0</v>
      </c>
      <c r="AH951">
        <f>AND(IF(Metadata!G951="",FALSE,TRUE),exact(Metadata!G951,"host-associated"))</f>
        <v>0</v>
      </c>
      <c r="AI951">
        <f>OR(AND(IF(Metadata!H951="",FALSE,TRUE),OR(exact(Metadata!H951,"not collected"),exact(Metadata!H951,"not provided"))),AND(IF(Metadata!H951="",FALSE,ISNUMBER(VALUE(Metadata!H951))),Metadata!H951&gt;0))</f>
        <v>0</v>
      </c>
      <c r="AJ951">
        <f>AND(IF(Metadata!I951="",FALSE,TRUE),exact(Metadata!I951,"years"))</f>
        <v>0</v>
      </c>
      <c r="AK951">
        <f>IF(Metadata!J951="",FALSE,TRUE)</f>
        <v>0</v>
      </c>
      <c r="AL951">
        <f>OR(AND(IF(Metadata!K951="",FALSE,TRUE),OR(exact(Metadata!K951,"not collected"),exact(Metadata!K951,"not provided"))),AND(IF(Metadata!K951="",FALSE,ISNUMBER(VALUE(Metadata!K951))),Metadata!K951&gt;0))</f>
        <v>0</v>
      </c>
      <c r="AM951">
        <f>AND(IF(Metadata!L951="",FALSE,TRUE),exact(Metadata!L951,"cm"))</f>
        <v>0</v>
      </c>
      <c r="AN951">
        <f>IF(Metadata!M951="",FALSE,TRUE)</f>
        <v>0</v>
      </c>
      <c r="AO951">
        <f>OR(AND(IF(Metadata!N951="",FALSE,TRUE),OR(exact(Metadata!N951,"not applicable"),exact(Metadata!N951,"not collected"),exact(Metadata!N951,"not provided"))),AND(IF(Metadata!N951="",FALSE,IF(ISERROR(INT(Metadata!N951)),FALSE,INT(Metadata!N951)=Metadata!N951)),Metadata!N951&gt;0))</f>
        <v>0</v>
      </c>
      <c r="AP951">
        <f>OR(AND(IF(Metadata!O951="",FALSE,TRUE),OR(exact(Metadata!O951,"not collected"),exact(Metadata!O951,"not provided"))),AND(IF(Metadata!O951="",FALSE,ISNUMBER(VALUE(Metadata!O951))),Metadata!O951&gt;0))</f>
        <v>0</v>
      </c>
      <c r="AQ951">
        <f>AND(IF(Metadata!P951="",FALSE,TRUE),exact(Metadata!P951,"kg"))</f>
        <v>0</v>
      </c>
      <c r="AR951">
        <f>OR(AND(IF(Metadata!Q951="",FALSE,TRUE),OR(exact(Metadata!Q951,"not applicable"),exact(Metadata!Q951,"not collected"),exact(Metadata!Q951,"not provided"),exact(Metadata!Q951,"restricted access"))),IF(Metadata!Q951="",FALSE,IF(ISERROR(INT(Metadata!Q951)),FALSE,INT(Metadata!Q951)=Metadata!Q951)))</f>
        <v>0</v>
      </c>
      <c r="AS951">
        <f>AND(IF(Metadata!R951="",FALSE,TRUE),exact(Metadata!R951,"Not applicable"))</f>
        <v>0</v>
      </c>
    </row>
    <row r="952" spans="1:45">
      <c r="A952" s="4">
        <f>IF(B952=" "," ",HYPERLINK(CONCATENATE("#metadata!",ADDRESS(INDEX($X$2:$X$1001,MATCH(ROWS($V$2:V952),$V$2:$V$1001,0),0),2)),INDEX($AA$2:$AA$1001,MATCH(ROWS($V$2:V952),$V$2:$V$1001,0),0)))</f>
        <v>0</v>
      </c>
      <c r="B952" s="5">
        <f>IF(OR(INDEX($W$2:$W$1001,MATCH(ROWS($V$2:V952),$V$2:$V$1001,0),1)&gt;=100000,INDEX($AC$1005:$AS$1005,1,MATCH(COLUMNS($AC$1006:AC1006),$AC$1006:$AS$1006,0))&gt;=100000), " ",IF(INDEX($AC$2:$AS$1001,MATCH(ROWS($V$2:V952),$V$2:$V$1001,0),MATCH(COLUMNS($AC$1006:AC1006),$AC$1006:$AS$1006,0)), HYPERLINK("#",""), HYPERLINK(CONCATENATE("#Metadata!", ADDRESS(INDEX($X$2:$X$1001,MATCH(ROWS($V$2:V952),$V$2:$V$1001,0),0), INDEX($AC$1004:$AS$1004,1,MATCH(COLUMNS($AC$1006:AC1006),$AC$1006:$AS$1006,0)))),"Fix")))</f>
        <v>0</v>
      </c>
      <c r="C952" s="5">
        <f>IF(OR(INDEX($W$2:$W$1001,MATCH(ROWS($V$2:V952),$V$2:$V$1001,0),1)&gt;=100000,INDEX($AC$1005:$AS$1005,1,MATCH(COLUMNS($AC$1006:AD1006),$AC$1006:$AS$1006,0))&gt;=100000), " ",IF(INDEX($AC$2:$AS$1001,MATCH(ROWS($V$2:V952),$V$2:$V$1001,0),MATCH(COLUMNS($AC$1006:AD1006),$AC$1006:$AS$1006,0)), HYPERLINK("#",""), HYPERLINK(CONCATENATE("#Metadata!", ADDRESS(INDEX($X$2:$X$1001,MATCH(ROWS($V$2:V952),$V$2:$V$1001,0),0), INDEX($AC$1004:$AS$1004,1,MATCH(COLUMNS($AC$1006:AD1006),$AC$1006:$AS$1006,0)))),"Fix")))</f>
        <v>0</v>
      </c>
      <c r="D952" s="5">
        <f>IF(OR(INDEX($W$2:$W$1001,MATCH(ROWS($V$2:V952),$V$2:$V$1001,0),1)&gt;=100000,INDEX($AC$1005:$AS$1005,1,MATCH(COLUMNS($AC$1006:AE1006),$AC$1006:$AS$1006,0))&gt;=100000), " ",IF(INDEX($AC$2:$AS$1001,MATCH(ROWS($V$2:V952),$V$2:$V$1001,0),MATCH(COLUMNS($AC$1006:AE1006),$AC$1006:$AS$1006,0)), HYPERLINK("#",""), HYPERLINK(CONCATENATE("#Metadata!", ADDRESS(INDEX($X$2:$X$1001,MATCH(ROWS($V$2:V952),$V$2:$V$1001,0),0), INDEX($AC$1004:$AS$1004,1,MATCH(COLUMNS($AC$1006:AE1006),$AC$1006:$AS$1006,0)))),"Fix")))</f>
        <v>0</v>
      </c>
      <c r="E952" s="5">
        <f>IF(OR(INDEX($W$2:$W$1001,MATCH(ROWS($V$2:V952),$V$2:$V$1001,0),1)&gt;=100000,INDEX($AC$1005:$AS$1005,1,MATCH(COLUMNS($AC$1006:AF1006),$AC$1006:$AS$1006,0))&gt;=100000), " ",IF(INDEX($AC$2:$AS$1001,MATCH(ROWS($V$2:V952),$V$2:$V$1001,0),MATCH(COLUMNS($AC$1006:AF1006),$AC$1006:$AS$1006,0)), HYPERLINK("#",""), HYPERLINK(CONCATENATE("#Metadata!", ADDRESS(INDEX($X$2:$X$1001,MATCH(ROWS($V$2:V952),$V$2:$V$1001,0),0), INDEX($AC$1004:$AS$1004,1,MATCH(COLUMNS($AC$1006:AF1006),$AC$1006:$AS$1006,0)))),"Fix")))</f>
        <v>0</v>
      </c>
      <c r="F952" s="5">
        <f>IF(OR(INDEX($W$2:$W$1001,MATCH(ROWS($V$2:V952),$V$2:$V$1001,0),1)&gt;=100000,INDEX($AC$1005:$AS$1005,1,MATCH(COLUMNS($AC$1006:AG1006),$AC$1006:$AS$1006,0))&gt;=100000), " ",IF(INDEX($AC$2:$AS$1001,MATCH(ROWS($V$2:V952),$V$2:$V$1001,0),MATCH(COLUMNS($AC$1006:AG1006),$AC$1006:$AS$1006,0)), HYPERLINK("#",""), HYPERLINK(CONCATENATE("#Metadata!", ADDRESS(INDEX($X$2:$X$1001,MATCH(ROWS($V$2:V952),$V$2:$V$1001,0),0), INDEX($AC$1004:$AS$1004,1,MATCH(COLUMNS($AC$1006:AG1006),$AC$1006:$AS$1006,0)))),"Fix")))</f>
        <v>0</v>
      </c>
      <c r="G952" s="5">
        <f>IF(OR(INDEX($W$2:$W$1001,MATCH(ROWS($V$2:V952),$V$2:$V$1001,0),1)&gt;=100000,INDEX($AC$1005:$AS$1005,1,MATCH(COLUMNS($AC$1006:AH1006),$AC$1006:$AS$1006,0))&gt;=100000), " ",IF(INDEX($AC$2:$AS$1001,MATCH(ROWS($V$2:V952),$V$2:$V$1001,0),MATCH(COLUMNS($AC$1006:AH1006),$AC$1006:$AS$1006,0)), HYPERLINK("#",""), HYPERLINK(CONCATENATE("#Metadata!", ADDRESS(INDEX($X$2:$X$1001,MATCH(ROWS($V$2:V952),$V$2:$V$1001,0),0), INDEX($AC$1004:$AS$1004,1,MATCH(COLUMNS($AC$1006:AH1006),$AC$1006:$AS$1006,0)))),"Fix")))</f>
        <v>0</v>
      </c>
      <c r="H952" s="5">
        <f>IF(OR(INDEX($W$2:$W$1001,MATCH(ROWS($V$2:V952),$V$2:$V$1001,0),1)&gt;=100000,INDEX($AC$1005:$AS$1005,1,MATCH(COLUMNS($AC$1006:AI1006),$AC$1006:$AS$1006,0))&gt;=100000), " ",IF(INDEX($AC$2:$AS$1001,MATCH(ROWS($V$2:V952),$V$2:$V$1001,0),MATCH(COLUMNS($AC$1006:AI1006),$AC$1006:$AS$1006,0)), HYPERLINK("#",""), HYPERLINK(CONCATENATE("#Metadata!", ADDRESS(INDEX($X$2:$X$1001,MATCH(ROWS($V$2:V952),$V$2:$V$1001,0),0), INDEX($AC$1004:$AS$1004,1,MATCH(COLUMNS($AC$1006:AI1006),$AC$1006:$AS$1006,0)))),"Fix")))</f>
        <v>0</v>
      </c>
      <c r="I952" s="5">
        <f>IF(OR(INDEX($W$2:$W$1001,MATCH(ROWS($V$2:V952),$V$2:$V$1001,0),1)&gt;=100000,INDEX($AC$1005:$AS$1005,1,MATCH(COLUMNS($AC$1006:AJ1006),$AC$1006:$AS$1006,0))&gt;=100000), " ",IF(INDEX($AC$2:$AS$1001,MATCH(ROWS($V$2:V952),$V$2:$V$1001,0),MATCH(COLUMNS($AC$1006:AJ1006),$AC$1006:$AS$1006,0)), HYPERLINK("#",""), HYPERLINK(CONCATENATE("#Metadata!", ADDRESS(INDEX($X$2:$X$1001,MATCH(ROWS($V$2:V952),$V$2:$V$1001,0),0), INDEX($AC$1004:$AS$1004,1,MATCH(COLUMNS($AC$1006:AJ1006),$AC$1006:$AS$1006,0)))),"Fix")))</f>
        <v>0</v>
      </c>
      <c r="J952" s="5">
        <f>IF(OR(INDEX($W$2:$W$1001,MATCH(ROWS($V$2:V952),$V$2:$V$1001,0),1)&gt;=100000,INDEX($AC$1005:$AS$1005,1,MATCH(COLUMNS($AC$1006:AK1006),$AC$1006:$AS$1006,0))&gt;=100000), " ",IF(INDEX($AC$2:$AS$1001,MATCH(ROWS($V$2:V952),$V$2:$V$1001,0),MATCH(COLUMNS($AC$1006:AK1006),$AC$1006:$AS$1006,0)), HYPERLINK("#",""), HYPERLINK(CONCATENATE("#Metadata!", ADDRESS(INDEX($X$2:$X$1001,MATCH(ROWS($V$2:V952),$V$2:$V$1001,0),0), INDEX($AC$1004:$AS$1004,1,MATCH(COLUMNS($AC$1006:AK1006),$AC$1006:$AS$1006,0)))),"Fix")))</f>
        <v>0</v>
      </c>
      <c r="K952" s="5">
        <f>IF(OR(INDEX($W$2:$W$1001,MATCH(ROWS($V$2:V952),$V$2:$V$1001,0),1)&gt;=100000,INDEX($AC$1005:$AS$1005,1,MATCH(COLUMNS($AC$1006:AL1006),$AC$1006:$AS$1006,0))&gt;=100000), " ",IF(INDEX($AC$2:$AS$1001,MATCH(ROWS($V$2:V952),$V$2:$V$1001,0),MATCH(COLUMNS($AC$1006:AL1006),$AC$1006:$AS$1006,0)), HYPERLINK("#",""), HYPERLINK(CONCATENATE("#Metadata!", ADDRESS(INDEX($X$2:$X$1001,MATCH(ROWS($V$2:V952),$V$2:$V$1001,0),0), INDEX($AC$1004:$AS$1004,1,MATCH(COLUMNS($AC$1006:AL1006),$AC$1006:$AS$1006,0)))),"Fix")))</f>
        <v>0</v>
      </c>
      <c r="L952" s="5">
        <f>IF(OR(INDEX($W$2:$W$1001,MATCH(ROWS($V$2:V952),$V$2:$V$1001,0),1)&gt;=100000,INDEX($AC$1005:$AS$1005,1,MATCH(COLUMNS($AC$1006:AM1006),$AC$1006:$AS$1006,0))&gt;=100000), " ",IF(INDEX($AC$2:$AS$1001,MATCH(ROWS($V$2:V952),$V$2:$V$1001,0),MATCH(COLUMNS($AC$1006:AM1006),$AC$1006:$AS$1006,0)), HYPERLINK("#",""), HYPERLINK(CONCATENATE("#Metadata!", ADDRESS(INDEX($X$2:$X$1001,MATCH(ROWS($V$2:V952),$V$2:$V$1001,0),0), INDEX($AC$1004:$AS$1004,1,MATCH(COLUMNS($AC$1006:AM1006),$AC$1006:$AS$1006,0)))),"Fix")))</f>
        <v>0</v>
      </c>
      <c r="M952" s="5">
        <f>IF(OR(INDEX($W$2:$W$1001,MATCH(ROWS($V$2:V952),$V$2:$V$1001,0),1)&gt;=100000,INDEX($AC$1005:$AS$1005,1,MATCH(COLUMNS($AC$1006:AN1006),$AC$1006:$AS$1006,0))&gt;=100000), " ",IF(INDEX($AC$2:$AS$1001,MATCH(ROWS($V$2:V952),$V$2:$V$1001,0),MATCH(COLUMNS($AC$1006:AN1006),$AC$1006:$AS$1006,0)), HYPERLINK("#",""), HYPERLINK(CONCATENATE("#Metadata!", ADDRESS(INDEX($X$2:$X$1001,MATCH(ROWS($V$2:V952),$V$2:$V$1001,0),0), INDEX($AC$1004:$AS$1004,1,MATCH(COLUMNS($AC$1006:AN1006),$AC$1006:$AS$1006,0)))),"Fix")))</f>
        <v>0</v>
      </c>
      <c r="N952" s="5">
        <f>IF(OR(INDEX($W$2:$W$1001,MATCH(ROWS($V$2:V952),$V$2:$V$1001,0),1)&gt;=100000,INDEX($AC$1005:$AS$1005,1,MATCH(COLUMNS($AC$1006:AO1006),$AC$1006:$AS$1006,0))&gt;=100000), " ",IF(INDEX($AC$2:$AS$1001,MATCH(ROWS($V$2:V952),$V$2:$V$1001,0),MATCH(COLUMNS($AC$1006:AO1006),$AC$1006:$AS$1006,0)), HYPERLINK("#",""), HYPERLINK(CONCATENATE("#Metadata!", ADDRESS(INDEX($X$2:$X$1001,MATCH(ROWS($V$2:V952),$V$2:$V$1001,0),0), INDEX($AC$1004:$AS$1004,1,MATCH(COLUMNS($AC$1006:AO1006),$AC$1006:$AS$1006,0)))),"Fix")))</f>
        <v>0</v>
      </c>
      <c r="O952" s="5">
        <f>IF(OR(INDEX($W$2:$W$1001,MATCH(ROWS($V$2:V952),$V$2:$V$1001,0),1)&gt;=100000,INDEX($AC$1005:$AS$1005,1,MATCH(COLUMNS($AC$1006:AP1006),$AC$1006:$AS$1006,0))&gt;=100000), " ",IF(INDEX($AC$2:$AS$1001,MATCH(ROWS($V$2:V952),$V$2:$V$1001,0),MATCH(COLUMNS($AC$1006:AP1006),$AC$1006:$AS$1006,0)), HYPERLINK("#",""), HYPERLINK(CONCATENATE("#Metadata!", ADDRESS(INDEX($X$2:$X$1001,MATCH(ROWS($V$2:V952),$V$2:$V$1001,0),0), INDEX($AC$1004:$AS$1004,1,MATCH(COLUMNS($AC$1006:AP1006),$AC$1006:$AS$1006,0)))),"Fix")))</f>
        <v>0</v>
      </c>
      <c r="P952" s="5">
        <f>IF(OR(INDEX($W$2:$W$1001,MATCH(ROWS($V$2:V952),$V$2:$V$1001,0),1)&gt;=100000,INDEX($AC$1005:$AS$1005,1,MATCH(COLUMNS($AC$1006:AQ1006),$AC$1006:$AS$1006,0))&gt;=100000), " ",IF(INDEX($AC$2:$AS$1001,MATCH(ROWS($V$2:V952),$V$2:$V$1001,0),MATCH(COLUMNS($AC$1006:AQ1006),$AC$1006:$AS$1006,0)), HYPERLINK("#",""), HYPERLINK(CONCATENATE("#Metadata!", ADDRESS(INDEX($X$2:$X$1001,MATCH(ROWS($V$2:V952),$V$2:$V$1001,0),0), INDEX($AC$1004:$AS$1004,1,MATCH(COLUMNS($AC$1006:AQ1006),$AC$1006:$AS$1006,0)))),"Fix")))</f>
        <v>0</v>
      </c>
      <c r="Q952" s="5">
        <f>IF(OR(INDEX($W$2:$W$1001,MATCH(ROWS($V$2:V952),$V$2:$V$1001,0),1)&gt;=100000,INDEX($AC$1005:$AS$1005,1,MATCH(COLUMNS($AC$1006:AR1006),$AC$1006:$AS$1006,0))&gt;=100000), " ",IF(INDEX($AC$2:$AS$1001,MATCH(ROWS($V$2:V952),$V$2:$V$1001,0),MATCH(COLUMNS($AC$1006:AR1006),$AC$1006:$AS$1006,0)), HYPERLINK("#",""), HYPERLINK(CONCATENATE("#Metadata!", ADDRESS(INDEX($X$2:$X$1001,MATCH(ROWS($V$2:V952),$V$2:$V$1001,0),0), INDEX($AC$1004:$AS$1004,1,MATCH(COLUMNS($AC$1006:AR1006),$AC$1006:$AS$1006,0)))),"Fix")))</f>
        <v>0</v>
      </c>
      <c r="R952" s="5">
        <f>IF(OR(INDEX($W$2:$W$1001,MATCH(ROWS($V$2:V952),$V$2:$V$1001,0),1)&gt;=100000,INDEX($AC$1005:$AS$1005,1,MATCH(COLUMNS($AC$1006:AS1006),$AC$1006:$AS$1006,0))&gt;=100000), " ",IF(INDEX($AC$2:$AS$1001,MATCH(ROWS($V$2:V952),$V$2:$V$1001,0),MATCH(COLUMNS($AC$1006:AS1006),$AC$1006:$AS$1006,0)), HYPERLINK("#",""), HYPERLINK(CONCATENATE("#Metadata!", ADDRESS(INDEX($X$2:$X$1001,MATCH(ROWS($V$2:V952),$V$2:$V$1001,0),0), INDEX($AC$1004:$AS$1004,1,MATCH(COLUMNS($AC$1006:AS1006),$AC$1006:$AS$1006,0)))),"Fix")))</f>
        <v>0</v>
      </c>
      <c r="V952">
        <v>0</v>
      </c>
      <c r="W952">
        <v>0</v>
      </c>
      <c r="X952">
        <v>0</v>
      </c>
      <c r="Y952">
        <f>IF(Z952,TRUE,AND(AC952:AS952))</f>
        <v>0</v>
      </c>
      <c r="Z952">
        <f>COUNTBLANK(Metadata!B952:R952)=COLUMNS(Metadata!B952:R952)</f>
        <v>0</v>
      </c>
      <c r="AA952">
        <v>0</v>
      </c>
      <c r="AC952">
        <f>AND(IF(Metadata!B952="",FALSE,TRUE),COUNTIF(Metadata!B:B, Metadata!B952) = 1,NOT(ISERROR(SUMPRODUCT(SEARCH(MID(Metadata!B952,ROW(INDIRECT("1:"&amp;LEN(Metadata!B952))), 1),"0123456789abcdefghijklmnopqrstuvwxyzABCDEFGHIJKLMNOPQRSTUVWXYZ.")))))</f>
        <v>0</v>
      </c>
      <c r="AD952">
        <f>AND(IF(Metadata!C952="",FALSE,TRUE),exact(Metadata!C952,"Host-associated"))</f>
        <v>0</v>
      </c>
      <c r="AE952">
        <f>AND(IF(Metadata!D952="",FALSE,TRUE),OR(exact(Metadata!D952,"Animal"),exact(Metadata!D952,"Fungus"),exact(Metadata!D952,"Plant")))</f>
        <v>0</v>
      </c>
      <c r="AF952">
        <f>AND(IF(Metadata!E952="",FALSE,TRUE),OR(exact(Metadata!E952,"Plant secretion"),exact(Metadata!E952,"Plant rhizosphere"),exact(Metadata!E952,"Plant surface"),exact(Metadata!E952,"Plant corpus"),exact(Metadata!E952,"Fungus surface"),exact(Metadata!E952,"Fungus corpus"),exact(Metadata!E952,"Animal surface"),exact(Metadata!E952,"Animal proximal gut"),exact(Metadata!E952,"Animal corpus"),exact(Metadata!E952,"Animal distal gut"),exact(Metadata!E952,"Animal secretion")))</f>
        <v>0</v>
      </c>
      <c r="AG952">
        <f>OR(AND(IF(Metadata!F952="",FALSE,TRUE),OR(exact(Metadata!F952,"not collected"),exact(Metadata!F952,"not provided"),exact(Metadata!F952,"restricted access"))),AND(IF(Metadata!F952="",FALSE,TRUE),OR(exact(Metadata!F952,"organism-associated habitat"),exact(Metadata!F952,"plant-associated habitat"),exact(Metadata!F952,"animal-associated habitat"),exact(Metadata!F952,"insecta-associated habitat"),exact(Metadata!F952,"mammalia-associated habitat"),exact(Metadata!F952,"human-associated habitat"),exact(Metadata!F952,"livestock-associated habitat"))))</f>
        <v>0</v>
      </c>
      <c r="AH952">
        <f>AND(IF(Metadata!G952="",FALSE,TRUE),exact(Metadata!G952,"host-associated"))</f>
        <v>0</v>
      </c>
      <c r="AI952">
        <f>OR(AND(IF(Metadata!H952="",FALSE,TRUE),OR(exact(Metadata!H952,"not collected"),exact(Metadata!H952,"not provided"))),AND(IF(Metadata!H952="",FALSE,ISNUMBER(VALUE(Metadata!H952))),Metadata!H952&gt;0))</f>
        <v>0</v>
      </c>
      <c r="AJ952">
        <f>AND(IF(Metadata!I952="",FALSE,TRUE),exact(Metadata!I952,"years"))</f>
        <v>0</v>
      </c>
      <c r="AK952">
        <f>IF(Metadata!J952="",FALSE,TRUE)</f>
        <v>0</v>
      </c>
      <c r="AL952">
        <f>OR(AND(IF(Metadata!K952="",FALSE,TRUE),OR(exact(Metadata!K952,"not collected"),exact(Metadata!K952,"not provided"))),AND(IF(Metadata!K952="",FALSE,ISNUMBER(VALUE(Metadata!K952))),Metadata!K952&gt;0))</f>
        <v>0</v>
      </c>
      <c r="AM952">
        <f>AND(IF(Metadata!L952="",FALSE,TRUE),exact(Metadata!L952,"cm"))</f>
        <v>0</v>
      </c>
      <c r="AN952">
        <f>IF(Metadata!M952="",FALSE,TRUE)</f>
        <v>0</v>
      </c>
      <c r="AO952">
        <f>OR(AND(IF(Metadata!N952="",FALSE,TRUE),OR(exact(Metadata!N952,"not applicable"),exact(Metadata!N952,"not collected"),exact(Metadata!N952,"not provided"))),AND(IF(Metadata!N952="",FALSE,IF(ISERROR(INT(Metadata!N952)),FALSE,INT(Metadata!N952)=Metadata!N952)),Metadata!N952&gt;0))</f>
        <v>0</v>
      </c>
      <c r="AP952">
        <f>OR(AND(IF(Metadata!O952="",FALSE,TRUE),OR(exact(Metadata!O952,"not collected"),exact(Metadata!O952,"not provided"))),AND(IF(Metadata!O952="",FALSE,ISNUMBER(VALUE(Metadata!O952))),Metadata!O952&gt;0))</f>
        <v>0</v>
      </c>
      <c r="AQ952">
        <f>AND(IF(Metadata!P952="",FALSE,TRUE),exact(Metadata!P952,"kg"))</f>
        <v>0</v>
      </c>
      <c r="AR952">
        <f>OR(AND(IF(Metadata!Q952="",FALSE,TRUE),OR(exact(Metadata!Q952,"not applicable"),exact(Metadata!Q952,"not collected"),exact(Metadata!Q952,"not provided"),exact(Metadata!Q952,"restricted access"))),IF(Metadata!Q952="",FALSE,IF(ISERROR(INT(Metadata!Q952)),FALSE,INT(Metadata!Q952)=Metadata!Q952)))</f>
        <v>0</v>
      </c>
      <c r="AS952">
        <f>AND(IF(Metadata!R952="",FALSE,TRUE),exact(Metadata!R952,"Not applicable"))</f>
        <v>0</v>
      </c>
    </row>
    <row r="953" spans="1:45">
      <c r="A953" s="4">
        <f>IF(B953=" "," ",HYPERLINK(CONCATENATE("#metadata!",ADDRESS(INDEX($X$2:$X$1001,MATCH(ROWS($V$2:V953),$V$2:$V$1001,0),0),2)),INDEX($AA$2:$AA$1001,MATCH(ROWS($V$2:V953),$V$2:$V$1001,0),0)))</f>
        <v>0</v>
      </c>
      <c r="B953" s="5">
        <f>IF(OR(INDEX($W$2:$W$1001,MATCH(ROWS($V$2:V953),$V$2:$V$1001,0),1)&gt;=100000,INDEX($AC$1005:$AS$1005,1,MATCH(COLUMNS($AC$1006:AC1006),$AC$1006:$AS$1006,0))&gt;=100000), " ",IF(INDEX($AC$2:$AS$1001,MATCH(ROWS($V$2:V953),$V$2:$V$1001,0),MATCH(COLUMNS($AC$1006:AC1006),$AC$1006:$AS$1006,0)), HYPERLINK("#",""), HYPERLINK(CONCATENATE("#Metadata!", ADDRESS(INDEX($X$2:$X$1001,MATCH(ROWS($V$2:V953),$V$2:$V$1001,0),0), INDEX($AC$1004:$AS$1004,1,MATCH(COLUMNS($AC$1006:AC1006),$AC$1006:$AS$1006,0)))),"Fix")))</f>
        <v>0</v>
      </c>
      <c r="C953" s="5">
        <f>IF(OR(INDEX($W$2:$W$1001,MATCH(ROWS($V$2:V953),$V$2:$V$1001,0),1)&gt;=100000,INDEX($AC$1005:$AS$1005,1,MATCH(COLUMNS($AC$1006:AD1006),$AC$1006:$AS$1006,0))&gt;=100000), " ",IF(INDEX($AC$2:$AS$1001,MATCH(ROWS($V$2:V953),$V$2:$V$1001,0),MATCH(COLUMNS($AC$1006:AD1006),$AC$1006:$AS$1006,0)), HYPERLINK("#",""), HYPERLINK(CONCATENATE("#Metadata!", ADDRESS(INDEX($X$2:$X$1001,MATCH(ROWS($V$2:V953),$V$2:$V$1001,0),0), INDEX($AC$1004:$AS$1004,1,MATCH(COLUMNS($AC$1006:AD1006),$AC$1006:$AS$1006,0)))),"Fix")))</f>
        <v>0</v>
      </c>
      <c r="D953" s="5">
        <f>IF(OR(INDEX($W$2:$W$1001,MATCH(ROWS($V$2:V953),$V$2:$V$1001,0),1)&gt;=100000,INDEX($AC$1005:$AS$1005,1,MATCH(COLUMNS($AC$1006:AE1006),$AC$1006:$AS$1006,0))&gt;=100000), " ",IF(INDEX($AC$2:$AS$1001,MATCH(ROWS($V$2:V953),$V$2:$V$1001,0),MATCH(COLUMNS($AC$1006:AE1006),$AC$1006:$AS$1006,0)), HYPERLINK("#",""), HYPERLINK(CONCATENATE("#Metadata!", ADDRESS(INDEX($X$2:$X$1001,MATCH(ROWS($V$2:V953),$V$2:$V$1001,0),0), INDEX($AC$1004:$AS$1004,1,MATCH(COLUMNS($AC$1006:AE1006),$AC$1006:$AS$1006,0)))),"Fix")))</f>
        <v>0</v>
      </c>
      <c r="E953" s="5">
        <f>IF(OR(INDEX($W$2:$W$1001,MATCH(ROWS($V$2:V953),$V$2:$V$1001,0),1)&gt;=100000,INDEX($AC$1005:$AS$1005,1,MATCH(COLUMNS($AC$1006:AF1006),$AC$1006:$AS$1006,0))&gt;=100000), " ",IF(INDEX($AC$2:$AS$1001,MATCH(ROWS($V$2:V953),$V$2:$V$1001,0),MATCH(COLUMNS($AC$1006:AF1006),$AC$1006:$AS$1006,0)), HYPERLINK("#",""), HYPERLINK(CONCATENATE("#Metadata!", ADDRESS(INDEX($X$2:$X$1001,MATCH(ROWS($V$2:V953),$V$2:$V$1001,0),0), INDEX($AC$1004:$AS$1004,1,MATCH(COLUMNS($AC$1006:AF1006),$AC$1006:$AS$1006,0)))),"Fix")))</f>
        <v>0</v>
      </c>
      <c r="F953" s="5">
        <f>IF(OR(INDEX($W$2:$W$1001,MATCH(ROWS($V$2:V953),$V$2:$V$1001,0),1)&gt;=100000,INDEX($AC$1005:$AS$1005,1,MATCH(COLUMNS($AC$1006:AG1006),$AC$1006:$AS$1006,0))&gt;=100000), " ",IF(INDEX($AC$2:$AS$1001,MATCH(ROWS($V$2:V953),$V$2:$V$1001,0),MATCH(COLUMNS($AC$1006:AG1006),$AC$1006:$AS$1006,0)), HYPERLINK("#",""), HYPERLINK(CONCATENATE("#Metadata!", ADDRESS(INDEX($X$2:$X$1001,MATCH(ROWS($V$2:V953),$V$2:$V$1001,0),0), INDEX($AC$1004:$AS$1004,1,MATCH(COLUMNS($AC$1006:AG1006),$AC$1006:$AS$1006,0)))),"Fix")))</f>
        <v>0</v>
      </c>
      <c r="G953" s="5">
        <f>IF(OR(INDEX($W$2:$W$1001,MATCH(ROWS($V$2:V953),$V$2:$V$1001,0),1)&gt;=100000,INDEX($AC$1005:$AS$1005,1,MATCH(COLUMNS($AC$1006:AH1006),$AC$1006:$AS$1006,0))&gt;=100000), " ",IF(INDEX($AC$2:$AS$1001,MATCH(ROWS($V$2:V953),$V$2:$V$1001,0),MATCH(COLUMNS($AC$1006:AH1006),$AC$1006:$AS$1006,0)), HYPERLINK("#",""), HYPERLINK(CONCATENATE("#Metadata!", ADDRESS(INDEX($X$2:$X$1001,MATCH(ROWS($V$2:V953),$V$2:$V$1001,0),0), INDEX($AC$1004:$AS$1004,1,MATCH(COLUMNS($AC$1006:AH1006),$AC$1006:$AS$1006,0)))),"Fix")))</f>
        <v>0</v>
      </c>
      <c r="H953" s="5">
        <f>IF(OR(INDEX($W$2:$W$1001,MATCH(ROWS($V$2:V953),$V$2:$V$1001,0),1)&gt;=100000,INDEX($AC$1005:$AS$1005,1,MATCH(COLUMNS($AC$1006:AI1006),$AC$1006:$AS$1006,0))&gt;=100000), " ",IF(INDEX($AC$2:$AS$1001,MATCH(ROWS($V$2:V953),$V$2:$V$1001,0),MATCH(COLUMNS($AC$1006:AI1006),$AC$1006:$AS$1006,0)), HYPERLINK("#",""), HYPERLINK(CONCATENATE("#Metadata!", ADDRESS(INDEX($X$2:$X$1001,MATCH(ROWS($V$2:V953),$V$2:$V$1001,0),0), INDEX($AC$1004:$AS$1004,1,MATCH(COLUMNS($AC$1006:AI1006),$AC$1006:$AS$1006,0)))),"Fix")))</f>
        <v>0</v>
      </c>
      <c r="I953" s="5">
        <f>IF(OR(INDEX($W$2:$W$1001,MATCH(ROWS($V$2:V953),$V$2:$V$1001,0),1)&gt;=100000,INDEX($AC$1005:$AS$1005,1,MATCH(COLUMNS($AC$1006:AJ1006),$AC$1006:$AS$1006,0))&gt;=100000), " ",IF(INDEX($AC$2:$AS$1001,MATCH(ROWS($V$2:V953),$V$2:$V$1001,0),MATCH(COLUMNS($AC$1006:AJ1006),$AC$1006:$AS$1006,0)), HYPERLINK("#",""), HYPERLINK(CONCATENATE("#Metadata!", ADDRESS(INDEX($X$2:$X$1001,MATCH(ROWS($V$2:V953),$V$2:$V$1001,0),0), INDEX($AC$1004:$AS$1004,1,MATCH(COLUMNS($AC$1006:AJ1006),$AC$1006:$AS$1006,0)))),"Fix")))</f>
        <v>0</v>
      </c>
      <c r="J953" s="5">
        <f>IF(OR(INDEX($W$2:$W$1001,MATCH(ROWS($V$2:V953),$V$2:$V$1001,0),1)&gt;=100000,INDEX($AC$1005:$AS$1005,1,MATCH(COLUMNS($AC$1006:AK1006),$AC$1006:$AS$1006,0))&gt;=100000), " ",IF(INDEX($AC$2:$AS$1001,MATCH(ROWS($V$2:V953),$V$2:$V$1001,0),MATCH(COLUMNS($AC$1006:AK1006),$AC$1006:$AS$1006,0)), HYPERLINK("#",""), HYPERLINK(CONCATENATE("#Metadata!", ADDRESS(INDEX($X$2:$X$1001,MATCH(ROWS($V$2:V953),$V$2:$V$1001,0),0), INDEX($AC$1004:$AS$1004,1,MATCH(COLUMNS($AC$1006:AK1006),$AC$1006:$AS$1006,0)))),"Fix")))</f>
        <v>0</v>
      </c>
      <c r="K953" s="5">
        <f>IF(OR(INDEX($W$2:$W$1001,MATCH(ROWS($V$2:V953),$V$2:$V$1001,0),1)&gt;=100000,INDEX($AC$1005:$AS$1005,1,MATCH(COLUMNS($AC$1006:AL1006),$AC$1006:$AS$1006,0))&gt;=100000), " ",IF(INDEX($AC$2:$AS$1001,MATCH(ROWS($V$2:V953),$V$2:$V$1001,0),MATCH(COLUMNS($AC$1006:AL1006),$AC$1006:$AS$1006,0)), HYPERLINK("#",""), HYPERLINK(CONCATENATE("#Metadata!", ADDRESS(INDEX($X$2:$X$1001,MATCH(ROWS($V$2:V953),$V$2:$V$1001,0),0), INDEX($AC$1004:$AS$1004,1,MATCH(COLUMNS($AC$1006:AL1006),$AC$1006:$AS$1006,0)))),"Fix")))</f>
        <v>0</v>
      </c>
      <c r="L953" s="5">
        <f>IF(OR(INDEX($W$2:$W$1001,MATCH(ROWS($V$2:V953),$V$2:$V$1001,0),1)&gt;=100000,INDEX($AC$1005:$AS$1005,1,MATCH(COLUMNS($AC$1006:AM1006),$AC$1006:$AS$1006,0))&gt;=100000), " ",IF(INDEX($AC$2:$AS$1001,MATCH(ROWS($V$2:V953),$V$2:$V$1001,0),MATCH(COLUMNS($AC$1006:AM1006),$AC$1006:$AS$1006,0)), HYPERLINK("#",""), HYPERLINK(CONCATENATE("#Metadata!", ADDRESS(INDEX($X$2:$X$1001,MATCH(ROWS($V$2:V953),$V$2:$V$1001,0),0), INDEX($AC$1004:$AS$1004,1,MATCH(COLUMNS($AC$1006:AM1006),$AC$1006:$AS$1006,0)))),"Fix")))</f>
        <v>0</v>
      </c>
      <c r="M953" s="5">
        <f>IF(OR(INDEX($W$2:$W$1001,MATCH(ROWS($V$2:V953),$V$2:$V$1001,0),1)&gt;=100000,INDEX($AC$1005:$AS$1005,1,MATCH(COLUMNS($AC$1006:AN1006),$AC$1006:$AS$1006,0))&gt;=100000), " ",IF(INDEX($AC$2:$AS$1001,MATCH(ROWS($V$2:V953),$V$2:$V$1001,0),MATCH(COLUMNS($AC$1006:AN1006),$AC$1006:$AS$1006,0)), HYPERLINK("#",""), HYPERLINK(CONCATENATE("#Metadata!", ADDRESS(INDEX($X$2:$X$1001,MATCH(ROWS($V$2:V953),$V$2:$V$1001,0),0), INDEX($AC$1004:$AS$1004,1,MATCH(COLUMNS($AC$1006:AN1006),$AC$1006:$AS$1006,0)))),"Fix")))</f>
        <v>0</v>
      </c>
      <c r="N953" s="5">
        <f>IF(OR(INDEX($W$2:$W$1001,MATCH(ROWS($V$2:V953),$V$2:$V$1001,0),1)&gt;=100000,INDEX($AC$1005:$AS$1005,1,MATCH(COLUMNS($AC$1006:AO1006),$AC$1006:$AS$1006,0))&gt;=100000), " ",IF(INDEX($AC$2:$AS$1001,MATCH(ROWS($V$2:V953),$V$2:$V$1001,0),MATCH(COLUMNS($AC$1006:AO1006),$AC$1006:$AS$1006,0)), HYPERLINK("#",""), HYPERLINK(CONCATENATE("#Metadata!", ADDRESS(INDEX($X$2:$X$1001,MATCH(ROWS($V$2:V953),$V$2:$V$1001,0),0), INDEX($AC$1004:$AS$1004,1,MATCH(COLUMNS($AC$1006:AO1006),$AC$1006:$AS$1006,0)))),"Fix")))</f>
        <v>0</v>
      </c>
      <c r="O953" s="5">
        <f>IF(OR(INDEX($W$2:$W$1001,MATCH(ROWS($V$2:V953),$V$2:$V$1001,0),1)&gt;=100000,INDEX($AC$1005:$AS$1005,1,MATCH(COLUMNS($AC$1006:AP1006),$AC$1006:$AS$1006,0))&gt;=100000), " ",IF(INDEX($AC$2:$AS$1001,MATCH(ROWS($V$2:V953),$V$2:$V$1001,0),MATCH(COLUMNS($AC$1006:AP1006),$AC$1006:$AS$1006,0)), HYPERLINK("#",""), HYPERLINK(CONCATENATE("#Metadata!", ADDRESS(INDEX($X$2:$X$1001,MATCH(ROWS($V$2:V953),$V$2:$V$1001,0),0), INDEX($AC$1004:$AS$1004,1,MATCH(COLUMNS($AC$1006:AP1006),$AC$1006:$AS$1006,0)))),"Fix")))</f>
        <v>0</v>
      </c>
      <c r="P953" s="5">
        <f>IF(OR(INDEX($W$2:$W$1001,MATCH(ROWS($V$2:V953),$V$2:$V$1001,0),1)&gt;=100000,INDEX($AC$1005:$AS$1005,1,MATCH(COLUMNS($AC$1006:AQ1006),$AC$1006:$AS$1006,0))&gt;=100000), " ",IF(INDEX($AC$2:$AS$1001,MATCH(ROWS($V$2:V953),$V$2:$V$1001,0),MATCH(COLUMNS($AC$1006:AQ1006),$AC$1006:$AS$1006,0)), HYPERLINK("#",""), HYPERLINK(CONCATENATE("#Metadata!", ADDRESS(INDEX($X$2:$X$1001,MATCH(ROWS($V$2:V953),$V$2:$V$1001,0),0), INDEX($AC$1004:$AS$1004,1,MATCH(COLUMNS($AC$1006:AQ1006),$AC$1006:$AS$1006,0)))),"Fix")))</f>
        <v>0</v>
      </c>
      <c r="Q953" s="5">
        <f>IF(OR(INDEX($W$2:$W$1001,MATCH(ROWS($V$2:V953),$V$2:$V$1001,0),1)&gt;=100000,INDEX($AC$1005:$AS$1005,1,MATCH(COLUMNS($AC$1006:AR1006),$AC$1006:$AS$1006,0))&gt;=100000), " ",IF(INDEX($AC$2:$AS$1001,MATCH(ROWS($V$2:V953),$V$2:$V$1001,0),MATCH(COLUMNS($AC$1006:AR1006),$AC$1006:$AS$1006,0)), HYPERLINK("#",""), HYPERLINK(CONCATENATE("#Metadata!", ADDRESS(INDEX($X$2:$X$1001,MATCH(ROWS($V$2:V953),$V$2:$V$1001,0),0), INDEX($AC$1004:$AS$1004,1,MATCH(COLUMNS($AC$1006:AR1006),$AC$1006:$AS$1006,0)))),"Fix")))</f>
        <v>0</v>
      </c>
      <c r="R953" s="5">
        <f>IF(OR(INDEX($W$2:$W$1001,MATCH(ROWS($V$2:V953),$V$2:$V$1001,0),1)&gt;=100000,INDEX($AC$1005:$AS$1005,1,MATCH(COLUMNS($AC$1006:AS1006),$AC$1006:$AS$1006,0))&gt;=100000), " ",IF(INDEX($AC$2:$AS$1001,MATCH(ROWS($V$2:V953),$V$2:$V$1001,0),MATCH(COLUMNS($AC$1006:AS1006),$AC$1006:$AS$1006,0)), HYPERLINK("#",""), HYPERLINK(CONCATENATE("#Metadata!", ADDRESS(INDEX($X$2:$X$1001,MATCH(ROWS($V$2:V953),$V$2:$V$1001,0),0), INDEX($AC$1004:$AS$1004,1,MATCH(COLUMNS($AC$1006:AS1006),$AC$1006:$AS$1006,0)))),"Fix")))</f>
        <v>0</v>
      </c>
      <c r="V953">
        <v>0</v>
      </c>
      <c r="W953">
        <v>0</v>
      </c>
      <c r="X953">
        <v>0</v>
      </c>
      <c r="Y953">
        <f>IF(Z953,TRUE,AND(AC953:AS953))</f>
        <v>0</v>
      </c>
      <c r="Z953">
        <f>COUNTBLANK(Metadata!B953:R953)=COLUMNS(Metadata!B953:R953)</f>
        <v>0</v>
      </c>
      <c r="AA953">
        <v>0</v>
      </c>
      <c r="AC953">
        <f>AND(IF(Metadata!B953="",FALSE,TRUE),COUNTIF(Metadata!B:B, Metadata!B953) = 1,NOT(ISERROR(SUMPRODUCT(SEARCH(MID(Metadata!B953,ROW(INDIRECT("1:"&amp;LEN(Metadata!B953))), 1),"0123456789abcdefghijklmnopqrstuvwxyzABCDEFGHIJKLMNOPQRSTUVWXYZ.")))))</f>
        <v>0</v>
      </c>
      <c r="AD953">
        <f>AND(IF(Metadata!C953="",FALSE,TRUE),exact(Metadata!C953,"Host-associated"))</f>
        <v>0</v>
      </c>
      <c r="AE953">
        <f>AND(IF(Metadata!D953="",FALSE,TRUE),OR(exact(Metadata!D953,"Animal"),exact(Metadata!D953,"Fungus"),exact(Metadata!D953,"Plant")))</f>
        <v>0</v>
      </c>
      <c r="AF953">
        <f>AND(IF(Metadata!E953="",FALSE,TRUE),OR(exact(Metadata!E953,"Plant secretion"),exact(Metadata!E953,"Plant rhizosphere"),exact(Metadata!E953,"Plant surface"),exact(Metadata!E953,"Plant corpus"),exact(Metadata!E953,"Fungus surface"),exact(Metadata!E953,"Fungus corpus"),exact(Metadata!E953,"Animal surface"),exact(Metadata!E953,"Animal proximal gut"),exact(Metadata!E953,"Animal corpus"),exact(Metadata!E953,"Animal distal gut"),exact(Metadata!E953,"Animal secretion")))</f>
        <v>0</v>
      </c>
      <c r="AG953">
        <f>OR(AND(IF(Metadata!F953="",FALSE,TRUE),OR(exact(Metadata!F953,"not collected"),exact(Metadata!F953,"not provided"),exact(Metadata!F953,"restricted access"))),AND(IF(Metadata!F953="",FALSE,TRUE),OR(exact(Metadata!F953,"organism-associated habitat"),exact(Metadata!F953,"plant-associated habitat"),exact(Metadata!F953,"animal-associated habitat"),exact(Metadata!F953,"insecta-associated habitat"),exact(Metadata!F953,"mammalia-associated habitat"),exact(Metadata!F953,"human-associated habitat"),exact(Metadata!F953,"livestock-associated habitat"))))</f>
        <v>0</v>
      </c>
      <c r="AH953">
        <f>AND(IF(Metadata!G953="",FALSE,TRUE),exact(Metadata!G953,"host-associated"))</f>
        <v>0</v>
      </c>
      <c r="AI953">
        <f>OR(AND(IF(Metadata!H953="",FALSE,TRUE),OR(exact(Metadata!H953,"not collected"),exact(Metadata!H953,"not provided"))),AND(IF(Metadata!H953="",FALSE,ISNUMBER(VALUE(Metadata!H953))),Metadata!H953&gt;0))</f>
        <v>0</v>
      </c>
      <c r="AJ953">
        <f>AND(IF(Metadata!I953="",FALSE,TRUE),exact(Metadata!I953,"years"))</f>
        <v>0</v>
      </c>
      <c r="AK953">
        <f>IF(Metadata!J953="",FALSE,TRUE)</f>
        <v>0</v>
      </c>
      <c r="AL953">
        <f>OR(AND(IF(Metadata!K953="",FALSE,TRUE),OR(exact(Metadata!K953,"not collected"),exact(Metadata!K953,"not provided"))),AND(IF(Metadata!K953="",FALSE,ISNUMBER(VALUE(Metadata!K953))),Metadata!K953&gt;0))</f>
        <v>0</v>
      </c>
      <c r="AM953">
        <f>AND(IF(Metadata!L953="",FALSE,TRUE),exact(Metadata!L953,"cm"))</f>
        <v>0</v>
      </c>
      <c r="AN953">
        <f>IF(Metadata!M953="",FALSE,TRUE)</f>
        <v>0</v>
      </c>
      <c r="AO953">
        <f>OR(AND(IF(Metadata!N953="",FALSE,TRUE),OR(exact(Metadata!N953,"not applicable"),exact(Metadata!N953,"not collected"),exact(Metadata!N953,"not provided"))),AND(IF(Metadata!N953="",FALSE,IF(ISERROR(INT(Metadata!N953)),FALSE,INT(Metadata!N953)=Metadata!N953)),Metadata!N953&gt;0))</f>
        <v>0</v>
      </c>
      <c r="AP953">
        <f>OR(AND(IF(Metadata!O953="",FALSE,TRUE),OR(exact(Metadata!O953,"not collected"),exact(Metadata!O953,"not provided"))),AND(IF(Metadata!O953="",FALSE,ISNUMBER(VALUE(Metadata!O953))),Metadata!O953&gt;0))</f>
        <v>0</v>
      </c>
      <c r="AQ953">
        <f>AND(IF(Metadata!P953="",FALSE,TRUE),exact(Metadata!P953,"kg"))</f>
        <v>0</v>
      </c>
      <c r="AR953">
        <f>OR(AND(IF(Metadata!Q953="",FALSE,TRUE),OR(exact(Metadata!Q953,"not applicable"),exact(Metadata!Q953,"not collected"),exact(Metadata!Q953,"not provided"),exact(Metadata!Q953,"restricted access"))),IF(Metadata!Q953="",FALSE,IF(ISERROR(INT(Metadata!Q953)),FALSE,INT(Metadata!Q953)=Metadata!Q953)))</f>
        <v>0</v>
      </c>
      <c r="AS953">
        <f>AND(IF(Metadata!R953="",FALSE,TRUE),exact(Metadata!R953,"Not applicable"))</f>
        <v>0</v>
      </c>
    </row>
    <row r="954" spans="1:45">
      <c r="A954" s="4">
        <f>IF(B954=" "," ",HYPERLINK(CONCATENATE("#metadata!",ADDRESS(INDEX($X$2:$X$1001,MATCH(ROWS($V$2:V954),$V$2:$V$1001,0),0),2)),INDEX($AA$2:$AA$1001,MATCH(ROWS($V$2:V954),$V$2:$V$1001,0),0)))</f>
        <v>0</v>
      </c>
      <c r="B954" s="5">
        <f>IF(OR(INDEX($W$2:$W$1001,MATCH(ROWS($V$2:V954),$V$2:$V$1001,0),1)&gt;=100000,INDEX($AC$1005:$AS$1005,1,MATCH(COLUMNS($AC$1006:AC1006),$AC$1006:$AS$1006,0))&gt;=100000), " ",IF(INDEX($AC$2:$AS$1001,MATCH(ROWS($V$2:V954),$V$2:$V$1001,0),MATCH(COLUMNS($AC$1006:AC1006),$AC$1006:$AS$1006,0)), HYPERLINK("#",""), HYPERLINK(CONCATENATE("#Metadata!", ADDRESS(INDEX($X$2:$X$1001,MATCH(ROWS($V$2:V954),$V$2:$V$1001,0),0), INDEX($AC$1004:$AS$1004,1,MATCH(COLUMNS($AC$1006:AC1006),$AC$1006:$AS$1006,0)))),"Fix")))</f>
        <v>0</v>
      </c>
      <c r="C954" s="5">
        <f>IF(OR(INDEX($W$2:$W$1001,MATCH(ROWS($V$2:V954),$V$2:$V$1001,0),1)&gt;=100000,INDEX($AC$1005:$AS$1005,1,MATCH(COLUMNS($AC$1006:AD1006),$AC$1006:$AS$1006,0))&gt;=100000), " ",IF(INDEX($AC$2:$AS$1001,MATCH(ROWS($V$2:V954),$V$2:$V$1001,0),MATCH(COLUMNS($AC$1006:AD1006),$AC$1006:$AS$1006,0)), HYPERLINK("#",""), HYPERLINK(CONCATENATE("#Metadata!", ADDRESS(INDEX($X$2:$X$1001,MATCH(ROWS($V$2:V954),$V$2:$V$1001,0),0), INDEX($AC$1004:$AS$1004,1,MATCH(COLUMNS($AC$1006:AD1006),$AC$1006:$AS$1006,0)))),"Fix")))</f>
        <v>0</v>
      </c>
      <c r="D954" s="5">
        <f>IF(OR(INDEX($W$2:$W$1001,MATCH(ROWS($V$2:V954),$V$2:$V$1001,0),1)&gt;=100000,INDEX($AC$1005:$AS$1005,1,MATCH(COLUMNS($AC$1006:AE1006),$AC$1006:$AS$1006,0))&gt;=100000), " ",IF(INDEX($AC$2:$AS$1001,MATCH(ROWS($V$2:V954),$V$2:$V$1001,0),MATCH(COLUMNS($AC$1006:AE1006),$AC$1006:$AS$1006,0)), HYPERLINK("#",""), HYPERLINK(CONCATENATE("#Metadata!", ADDRESS(INDEX($X$2:$X$1001,MATCH(ROWS($V$2:V954),$V$2:$V$1001,0),0), INDEX($AC$1004:$AS$1004,1,MATCH(COLUMNS($AC$1006:AE1006),$AC$1006:$AS$1006,0)))),"Fix")))</f>
        <v>0</v>
      </c>
      <c r="E954" s="5">
        <f>IF(OR(INDEX($W$2:$W$1001,MATCH(ROWS($V$2:V954),$V$2:$V$1001,0),1)&gt;=100000,INDEX($AC$1005:$AS$1005,1,MATCH(COLUMNS($AC$1006:AF1006),$AC$1006:$AS$1006,0))&gt;=100000), " ",IF(INDEX($AC$2:$AS$1001,MATCH(ROWS($V$2:V954),$V$2:$V$1001,0),MATCH(COLUMNS($AC$1006:AF1006),$AC$1006:$AS$1006,0)), HYPERLINK("#",""), HYPERLINK(CONCATENATE("#Metadata!", ADDRESS(INDEX($X$2:$X$1001,MATCH(ROWS($V$2:V954),$V$2:$V$1001,0),0), INDEX($AC$1004:$AS$1004,1,MATCH(COLUMNS($AC$1006:AF1006),$AC$1006:$AS$1006,0)))),"Fix")))</f>
        <v>0</v>
      </c>
      <c r="F954" s="5">
        <f>IF(OR(INDEX($W$2:$W$1001,MATCH(ROWS($V$2:V954),$V$2:$V$1001,0),1)&gt;=100000,INDEX($AC$1005:$AS$1005,1,MATCH(COLUMNS($AC$1006:AG1006),$AC$1006:$AS$1006,0))&gt;=100000), " ",IF(INDEX($AC$2:$AS$1001,MATCH(ROWS($V$2:V954),$V$2:$V$1001,0),MATCH(COLUMNS($AC$1006:AG1006),$AC$1006:$AS$1006,0)), HYPERLINK("#",""), HYPERLINK(CONCATENATE("#Metadata!", ADDRESS(INDEX($X$2:$X$1001,MATCH(ROWS($V$2:V954),$V$2:$V$1001,0),0), INDEX($AC$1004:$AS$1004,1,MATCH(COLUMNS($AC$1006:AG1006),$AC$1006:$AS$1006,0)))),"Fix")))</f>
        <v>0</v>
      </c>
      <c r="G954" s="5">
        <f>IF(OR(INDEX($W$2:$W$1001,MATCH(ROWS($V$2:V954),$V$2:$V$1001,0),1)&gt;=100000,INDEX($AC$1005:$AS$1005,1,MATCH(COLUMNS($AC$1006:AH1006),$AC$1006:$AS$1006,0))&gt;=100000), " ",IF(INDEX($AC$2:$AS$1001,MATCH(ROWS($V$2:V954),$V$2:$V$1001,0),MATCH(COLUMNS($AC$1006:AH1006),$AC$1006:$AS$1006,0)), HYPERLINK("#",""), HYPERLINK(CONCATENATE("#Metadata!", ADDRESS(INDEX($X$2:$X$1001,MATCH(ROWS($V$2:V954),$V$2:$V$1001,0),0), INDEX($AC$1004:$AS$1004,1,MATCH(COLUMNS($AC$1006:AH1006),$AC$1006:$AS$1006,0)))),"Fix")))</f>
        <v>0</v>
      </c>
      <c r="H954" s="5">
        <f>IF(OR(INDEX($W$2:$W$1001,MATCH(ROWS($V$2:V954),$V$2:$V$1001,0),1)&gt;=100000,INDEX($AC$1005:$AS$1005,1,MATCH(COLUMNS($AC$1006:AI1006),$AC$1006:$AS$1006,0))&gt;=100000), " ",IF(INDEX($AC$2:$AS$1001,MATCH(ROWS($V$2:V954),$V$2:$V$1001,0),MATCH(COLUMNS($AC$1006:AI1006),$AC$1006:$AS$1006,0)), HYPERLINK("#",""), HYPERLINK(CONCATENATE("#Metadata!", ADDRESS(INDEX($X$2:$X$1001,MATCH(ROWS($V$2:V954),$V$2:$V$1001,0),0), INDEX($AC$1004:$AS$1004,1,MATCH(COLUMNS($AC$1006:AI1006),$AC$1006:$AS$1006,0)))),"Fix")))</f>
        <v>0</v>
      </c>
      <c r="I954" s="5">
        <f>IF(OR(INDEX($W$2:$W$1001,MATCH(ROWS($V$2:V954),$V$2:$V$1001,0),1)&gt;=100000,INDEX($AC$1005:$AS$1005,1,MATCH(COLUMNS($AC$1006:AJ1006),$AC$1006:$AS$1006,0))&gt;=100000), " ",IF(INDEX($AC$2:$AS$1001,MATCH(ROWS($V$2:V954),$V$2:$V$1001,0),MATCH(COLUMNS($AC$1006:AJ1006),$AC$1006:$AS$1006,0)), HYPERLINK("#",""), HYPERLINK(CONCATENATE("#Metadata!", ADDRESS(INDEX($X$2:$X$1001,MATCH(ROWS($V$2:V954),$V$2:$V$1001,0),0), INDEX($AC$1004:$AS$1004,1,MATCH(COLUMNS($AC$1006:AJ1006),$AC$1006:$AS$1006,0)))),"Fix")))</f>
        <v>0</v>
      </c>
      <c r="J954" s="5">
        <f>IF(OR(INDEX($W$2:$W$1001,MATCH(ROWS($V$2:V954),$V$2:$V$1001,0),1)&gt;=100000,INDEX($AC$1005:$AS$1005,1,MATCH(COLUMNS($AC$1006:AK1006),$AC$1006:$AS$1006,0))&gt;=100000), " ",IF(INDEX($AC$2:$AS$1001,MATCH(ROWS($V$2:V954),$V$2:$V$1001,0),MATCH(COLUMNS($AC$1006:AK1006),$AC$1006:$AS$1006,0)), HYPERLINK("#",""), HYPERLINK(CONCATENATE("#Metadata!", ADDRESS(INDEX($X$2:$X$1001,MATCH(ROWS($V$2:V954),$V$2:$V$1001,0),0), INDEX($AC$1004:$AS$1004,1,MATCH(COLUMNS($AC$1006:AK1006),$AC$1006:$AS$1006,0)))),"Fix")))</f>
        <v>0</v>
      </c>
      <c r="K954" s="5">
        <f>IF(OR(INDEX($W$2:$W$1001,MATCH(ROWS($V$2:V954),$V$2:$V$1001,0),1)&gt;=100000,INDEX($AC$1005:$AS$1005,1,MATCH(COLUMNS($AC$1006:AL1006),$AC$1006:$AS$1006,0))&gt;=100000), " ",IF(INDEX($AC$2:$AS$1001,MATCH(ROWS($V$2:V954),$V$2:$V$1001,0),MATCH(COLUMNS($AC$1006:AL1006),$AC$1006:$AS$1006,0)), HYPERLINK("#",""), HYPERLINK(CONCATENATE("#Metadata!", ADDRESS(INDEX($X$2:$X$1001,MATCH(ROWS($V$2:V954),$V$2:$V$1001,0),0), INDEX($AC$1004:$AS$1004,1,MATCH(COLUMNS($AC$1006:AL1006),$AC$1006:$AS$1006,0)))),"Fix")))</f>
        <v>0</v>
      </c>
      <c r="L954" s="5">
        <f>IF(OR(INDEX($W$2:$W$1001,MATCH(ROWS($V$2:V954),$V$2:$V$1001,0),1)&gt;=100000,INDEX($AC$1005:$AS$1005,1,MATCH(COLUMNS($AC$1006:AM1006),$AC$1006:$AS$1006,0))&gt;=100000), " ",IF(INDEX($AC$2:$AS$1001,MATCH(ROWS($V$2:V954),$V$2:$V$1001,0),MATCH(COLUMNS($AC$1006:AM1006),$AC$1006:$AS$1006,0)), HYPERLINK("#",""), HYPERLINK(CONCATENATE("#Metadata!", ADDRESS(INDEX($X$2:$X$1001,MATCH(ROWS($V$2:V954),$V$2:$V$1001,0),0), INDEX($AC$1004:$AS$1004,1,MATCH(COLUMNS($AC$1006:AM1006),$AC$1006:$AS$1006,0)))),"Fix")))</f>
        <v>0</v>
      </c>
      <c r="M954" s="5">
        <f>IF(OR(INDEX($W$2:$W$1001,MATCH(ROWS($V$2:V954),$V$2:$V$1001,0),1)&gt;=100000,INDEX($AC$1005:$AS$1005,1,MATCH(COLUMNS($AC$1006:AN1006),$AC$1006:$AS$1006,0))&gt;=100000), " ",IF(INDEX($AC$2:$AS$1001,MATCH(ROWS($V$2:V954),$V$2:$V$1001,0),MATCH(COLUMNS($AC$1006:AN1006),$AC$1006:$AS$1006,0)), HYPERLINK("#",""), HYPERLINK(CONCATENATE("#Metadata!", ADDRESS(INDEX($X$2:$X$1001,MATCH(ROWS($V$2:V954),$V$2:$V$1001,0),0), INDEX($AC$1004:$AS$1004,1,MATCH(COLUMNS($AC$1006:AN1006),$AC$1006:$AS$1006,0)))),"Fix")))</f>
        <v>0</v>
      </c>
      <c r="N954" s="5">
        <f>IF(OR(INDEX($W$2:$W$1001,MATCH(ROWS($V$2:V954),$V$2:$V$1001,0),1)&gt;=100000,INDEX($AC$1005:$AS$1005,1,MATCH(COLUMNS($AC$1006:AO1006),$AC$1006:$AS$1006,0))&gt;=100000), " ",IF(INDEX($AC$2:$AS$1001,MATCH(ROWS($V$2:V954),$V$2:$V$1001,0),MATCH(COLUMNS($AC$1006:AO1006),$AC$1006:$AS$1006,0)), HYPERLINK("#",""), HYPERLINK(CONCATENATE("#Metadata!", ADDRESS(INDEX($X$2:$X$1001,MATCH(ROWS($V$2:V954),$V$2:$V$1001,0),0), INDEX($AC$1004:$AS$1004,1,MATCH(COLUMNS($AC$1006:AO1006),$AC$1006:$AS$1006,0)))),"Fix")))</f>
        <v>0</v>
      </c>
      <c r="O954" s="5">
        <f>IF(OR(INDEX($W$2:$W$1001,MATCH(ROWS($V$2:V954),$V$2:$V$1001,0),1)&gt;=100000,INDEX($AC$1005:$AS$1005,1,MATCH(COLUMNS($AC$1006:AP1006),$AC$1006:$AS$1006,0))&gt;=100000), " ",IF(INDEX($AC$2:$AS$1001,MATCH(ROWS($V$2:V954),$V$2:$V$1001,0),MATCH(COLUMNS($AC$1006:AP1006),$AC$1006:$AS$1006,0)), HYPERLINK("#",""), HYPERLINK(CONCATENATE("#Metadata!", ADDRESS(INDEX($X$2:$X$1001,MATCH(ROWS($V$2:V954),$V$2:$V$1001,0),0), INDEX($AC$1004:$AS$1004,1,MATCH(COLUMNS($AC$1006:AP1006),$AC$1006:$AS$1006,0)))),"Fix")))</f>
        <v>0</v>
      </c>
      <c r="P954" s="5">
        <f>IF(OR(INDEX($W$2:$W$1001,MATCH(ROWS($V$2:V954),$V$2:$V$1001,0),1)&gt;=100000,INDEX($AC$1005:$AS$1005,1,MATCH(COLUMNS($AC$1006:AQ1006),$AC$1006:$AS$1006,0))&gt;=100000), " ",IF(INDEX($AC$2:$AS$1001,MATCH(ROWS($V$2:V954),$V$2:$V$1001,0),MATCH(COLUMNS($AC$1006:AQ1006),$AC$1006:$AS$1006,0)), HYPERLINK("#",""), HYPERLINK(CONCATENATE("#Metadata!", ADDRESS(INDEX($X$2:$X$1001,MATCH(ROWS($V$2:V954),$V$2:$V$1001,0),0), INDEX($AC$1004:$AS$1004,1,MATCH(COLUMNS($AC$1006:AQ1006),$AC$1006:$AS$1006,0)))),"Fix")))</f>
        <v>0</v>
      </c>
      <c r="Q954" s="5">
        <f>IF(OR(INDEX($W$2:$W$1001,MATCH(ROWS($V$2:V954),$V$2:$V$1001,0),1)&gt;=100000,INDEX($AC$1005:$AS$1005,1,MATCH(COLUMNS($AC$1006:AR1006),$AC$1006:$AS$1006,0))&gt;=100000), " ",IF(INDEX($AC$2:$AS$1001,MATCH(ROWS($V$2:V954),$V$2:$V$1001,0),MATCH(COLUMNS($AC$1006:AR1006),$AC$1006:$AS$1006,0)), HYPERLINK("#",""), HYPERLINK(CONCATENATE("#Metadata!", ADDRESS(INDEX($X$2:$X$1001,MATCH(ROWS($V$2:V954),$V$2:$V$1001,0),0), INDEX($AC$1004:$AS$1004,1,MATCH(COLUMNS($AC$1006:AR1006),$AC$1006:$AS$1006,0)))),"Fix")))</f>
        <v>0</v>
      </c>
      <c r="R954" s="5">
        <f>IF(OR(INDEX($W$2:$W$1001,MATCH(ROWS($V$2:V954),$V$2:$V$1001,0),1)&gt;=100000,INDEX($AC$1005:$AS$1005,1,MATCH(COLUMNS($AC$1006:AS1006),$AC$1006:$AS$1006,0))&gt;=100000), " ",IF(INDEX($AC$2:$AS$1001,MATCH(ROWS($V$2:V954),$V$2:$V$1001,0),MATCH(COLUMNS($AC$1006:AS1006),$AC$1006:$AS$1006,0)), HYPERLINK("#",""), HYPERLINK(CONCATENATE("#Metadata!", ADDRESS(INDEX($X$2:$X$1001,MATCH(ROWS($V$2:V954),$V$2:$V$1001,0),0), INDEX($AC$1004:$AS$1004,1,MATCH(COLUMNS($AC$1006:AS1006),$AC$1006:$AS$1006,0)))),"Fix")))</f>
        <v>0</v>
      </c>
      <c r="V954">
        <v>0</v>
      </c>
      <c r="W954">
        <v>0</v>
      </c>
      <c r="X954">
        <v>0</v>
      </c>
      <c r="Y954">
        <f>IF(Z954,TRUE,AND(AC954:AS954))</f>
        <v>0</v>
      </c>
      <c r="Z954">
        <f>COUNTBLANK(Metadata!B954:R954)=COLUMNS(Metadata!B954:R954)</f>
        <v>0</v>
      </c>
      <c r="AA954">
        <v>0</v>
      </c>
      <c r="AC954">
        <f>AND(IF(Metadata!B954="",FALSE,TRUE),COUNTIF(Metadata!B:B, Metadata!B954) = 1,NOT(ISERROR(SUMPRODUCT(SEARCH(MID(Metadata!B954,ROW(INDIRECT("1:"&amp;LEN(Metadata!B954))), 1),"0123456789abcdefghijklmnopqrstuvwxyzABCDEFGHIJKLMNOPQRSTUVWXYZ.")))))</f>
        <v>0</v>
      </c>
      <c r="AD954">
        <f>AND(IF(Metadata!C954="",FALSE,TRUE),exact(Metadata!C954,"Host-associated"))</f>
        <v>0</v>
      </c>
      <c r="AE954">
        <f>AND(IF(Metadata!D954="",FALSE,TRUE),OR(exact(Metadata!D954,"Animal"),exact(Metadata!D954,"Fungus"),exact(Metadata!D954,"Plant")))</f>
        <v>0</v>
      </c>
      <c r="AF954">
        <f>AND(IF(Metadata!E954="",FALSE,TRUE),OR(exact(Metadata!E954,"Plant secretion"),exact(Metadata!E954,"Plant rhizosphere"),exact(Metadata!E954,"Plant surface"),exact(Metadata!E954,"Plant corpus"),exact(Metadata!E954,"Fungus surface"),exact(Metadata!E954,"Fungus corpus"),exact(Metadata!E954,"Animal surface"),exact(Metadata!E954,"Animal proximal gut"),exact(Metadata!E954,"Animal corpus"),exact(Metadata!E954,"Animal distal gut"),exact(Metadata!E954,"Animal secretion")))</f>
        <v>0</v>
      </c>
      <c r="AG954">
        <f>OR(AND(IF(Metadata!F954="",FALSE,TRUE),OR(exact(Metadata!F954,"not collected"),exact(Metadata!F954,"not provided"),exact(Metadata!F954,"restricted access"))),AND(IF(Metadata!F954="",FALSE,TRUE),OR(exact(Metadata!F954,"organism-associated habitat"),exact(Metadata!F954,"plant-associated habitat"),exact(Metadata!F954,"animal-associated habitat"),exact(Metadata!F954,"insecta-associated habitat"),exact(Metadata!F954,"mammalia-associated habitat"),exact(Metadata!F954,"human-associated habitat"),exact(Metadata!F954,"livestock-associated habitat"))))</f>
        <v>0</v>
      </c>
      <c r="AH954">
        <f>AND(IF(Metadata!G954="",FALSE,TRUE),exact(Metadata!G954,"host-associated"))</f>
        <v>0</v>
      </c>
      <c r="AI954">
        <f>OR(AND(IF(Metadata!H954="",FALSE,TRUE),OR(exact(Metadata!H954,"not collected"),exact(Metadata!H954,"not provided"))),AND(IF(Metadata!H954="",FALSE,ISNUMBER(VALUE(Metadata!H954))),Metadata!H954&gt;0))</f>
        <v>0</v>
      </c>
      <c r="AJ954">
        <f>AND(IF(Metadata!I954="",FALSE,TRUE),exact(Metadata!I954,"years"))</f>
        <v>0</v>
      </c>
      <c r="AK954">
        <f>IF(Metadata!J954="",FALSE,TRUE)</f>
        <v>0</v>
      </c>
      <c r="AL954">
        <f>OR(AND(IF(Metadata!K954="",FALSE,TRUE),OR(exact(Metadata!K954,"not collected"),exact(Metadata!K954,"not provided"))),AND(IF(Metadata!K954="",FALSE,ISNUMBER(VALUE(Metadata!K954))),Metadata!K954&gt;0))</f>
        <v>0</v>
      </c>
      <c r="AM954">
        <f>AND(IF(Metadata!L954="",FALSE,TRUE),exact(Metadata!L954,"cm"))</f>
        <v>0</v>
      </c>
      <c r="AN954">
        <f>IF(Metadata!M954="",FALSE,TRUE)</f>
        <v>0</v>
      </c>
      <c r="AO954">
        <f>OR(AND(IF(Metadata!N954="",FALSE,TRUE),OR(exact(Metadata!N954,"not applicable"),exact(Metadata!N954,"not collected"),exact(Metadata!N954,"not provided"))),AND(IF(Metadata!N954="",FALSE,IF(ISERROR(INT(Metadata!N954)),FALSE,INT(Metadata!N954)=Metadata!N954)),Metadata!N954&gt;0))</f>
        <v>0</v>
      </c>
      <c r="AP954">
        <f>OR(AND(IF(Metadata!O954="",FALSE,TRUE),OR(exact(Metadata!O954,"not collected"),exact(Metadata!O954,"not provided"))),AND(IF(Metadata!O954="",FALSE,ISNUMBER(VALUE(Metadata!O954))),Metadata!O954&gt;0))</f>
        <v>0</v>
      </c>
      <c r="AQ954">
        <f>AND(IF(Metadata!P954="",FALSE,TRUE),exact(Metadata!P954,"kg"))</f>
        <v>0</v>
      </c>
      <c r="AR954">
        <f>OR(AND(IF(Metadata!Q954="",FALSE,TRUE),OR(exact(Metadata!Q954,"not applicable"),exact(Metadata!Q954,"not collected"),exact(Metadata!Q954,"not provided"),exact(Metadata!Q954,"restricted access"))),IF(Metadata!Q954="",FALSE,IF(ISERROR(INT(Metadata!Q954)),FALSE,INT(Metadata!Q954)=Metadata!Q954)))</f>
        <v>0</v>
      </c>
      <c r="AS954">
        <f>AND(IF(Metadata!R954="",FALSE,TRUE),exact(Metadata!R954,"Not applicable"))</f>
        <v>0</v>
      </c>
    </row>
    <row r="955" spans="1:45">
      <c r="A955" s="4">
        <f>IF(B955=" "," ",HYPERLINK(CONCATENATE("#metadata!",ADDRESS(INDEX($X$2:$X$1001,MATCH(ROWS($V$2:V955),$V$2:$V$1001,0),0),2)),INDEX($AA$2:$AA$1001,MATCH(ROWS($V$2:V955),$V$2:$V$1001,0),0)))</f>
        <v>0</v>
      </c>
      <c r="B955" s="5">
        <f>IF(OR(INDEX($W$2:$W$1001,MATCH(ROWS($V$2:V955),$V$2:$V$1001,0),1)&gt;=100000,INDEX($AC$1005:$AS$1005,1,MATCH(COLUMNS($AC$1006:AC1006),$AC$1006:$AS$1006,0))&gt;=100000), " ",IF(INDEX($AC$2:$AS$1001,MATCH(ROWS($V$2:V955),$V$2:$V$1001,0),MATCH(COLUMNS($AC$1006:AC1006),$AC$1006:$AS$1006,0)), HYPERLINK("#",""), HYPERLINK(CONCATENATE("#Metadata!", ADDRESS(INDEX($X$2:$X$1001,MATCH(ROWS($V$2:V955),$V$2:$V$1001,0),0), INDEX($AC$1004:$AS$1004,1,MATCH(COLUMNS($AC$1006:AC1006),$AC$1006:$AS$1006,0)))),"Fix")))</f>
        <v>0</v>
      </c>
      <c r="C955" s="5">
        <f>IF(OR(INDEX($W$2:$W$1001,MATCH(ROWS($V$2:V955),$V$2:$V$1001,0),1)&gt;=100000,INDEX($AC$1005:$AS$1005,1,MATCH(COLUMNS($AC$1006:AD1006),$AC$1006:$AS$1006,0))&gt;=100000), " ",IF(INDEX($AC$2:$AS$1001,MATCH(ROWS($V$2:V955),$V$2:$V$1001,0),MATCH(COLUMNS($AC$1006:AD1006),$AC$1006:$AS$1006,0)), HYPERLINK("#",""), HYPERLINK(CONCATENATE("#Metadata!", ADDRESS(INDEX($X$2:$X$1001,MATCH(ROWS($V$2:V955),$V$2:$V$1001,0),0), INDEX($AC$1004:$AS$1004,1,MATCH(COLUMNS($AC$1006:AD1006),$AC$1006:$AS$1006,0)))),"Fix")))</f>
        <v>0</v>
      </c>
      <c r="D955" s="5">
        <f>IF(OR(INDEX($W$2:$W$1001,MATCH(ROWS($V$2:V955),$V$2:$V$1001,0),1)&gt;=100000,INDEX($AC$1005:$AS$1005,1,MATCH(COLUMNS($AC$1006:AE1006),$AC$1006:$AS$1006,0))&gt;=100000), " ",IF(INDEX($AC$2:$AS$1001,MATCH(ROWS($V$2:V955),$V$2:$V$1001,0),MATCH(COLUMNS($AC$1006:AE1006),$AC$1006:$AS$1006,0)), HYPERLINK("#",""), HYPERLINK(CONCATENATE("#Metadata!", ADDRESS(INDEX($X$2:$X$1001,MATCH(ROWS($V$2:V955),$V$2:$V$1001,0),0), INDEX($AC$1004:$AS$1004,1,MATCH(COLUMNS($AC$1006:AE1006),$AC$1006:$AS$1006,0)))),"Fix")))</f>
        <v>0</v>
      </c>
      <c r="E955" s="5">
        <f>IF(OR(INDEX($W$2:$W$1001,MATCH(ROWS($V$2:V955),$V$2:$V$1001,0),1)&gt;=100000,INDEX($AC$1005:$AS$1005,1,MATCH(COLUMNS($AC$1006:AF1006),$AC$1006:$AS$1006,0))&gt;=100000), " ",IF(INDEX($AC$2:$AS$1001,MATCH(ROWS($V$2:V955),$V$2:$V$1001,0),MATCH(COLUMNS($AC$1006:AF1006),$AC$1006:$AS$1006,0)), HYPERLINK("#",""), HYPERLINK(CONCATENATE("#Metadata!", ADDRESS(INDEX($X$2:$X$1001,MATCH(ROWS($V$2:V955),$V$2:$V$1001,0),0), INDEX($AC$1004:$AS$1004,1,MATCH(COLUMNS($AC$1006:AF1006),$AC$1006:$AS$1006,0)))),"Fix")))</f>
        <v>0</v>
      </c>
      <c r="F955" s="5">
        <f>IF(OR(INDEX($W$2:$W$1001,MATCH(ROWS($V$2:V955),$V$2:$V$1001,0),1)&gt;=100000,INDEX($AC$1005:$AS$1005,1,MATCH(COLUMNS($AC$1006:AG1006),$AC$1006:$AS$1006,0))&gt;=100000), " ",IF(INDEX($AC$2:$AS$1001,MATCH(ROWS($V$2:V955),$V$2:$V$1001,0),MATCH(COLUMNS($AC$1006:AG1006),$AC$1006:$AS$1006,0)), HYPERLINK("#",""), HYPERLINK(CONCATENATE("#Metadata!", ADDRESS(INDEX($X$2:$X$1001,MATCH(ROWS($V$2:V955),$V$2:$V$1001,0),0), INDEX($AC$1004:$AS$1004,1,MATCH(COLUMNS($AC$1006:AG1006),$AC$1006:$AS$1006,0)))),"Fix")))</f>
        <v>0</v>
      </c>
      <c r="G955" s="5">
        <f>IF(OR(INDEX($W$2:$W$1001,MATCH(ROWS($V$2:V955),$V$2:$V$1001,0),1)&gt;=100000,INDEX($AC$1005:$AS$1005,1,MATCH(COLUMNS($AC$1006:AH1006),$AC$1006:$AS$1006,0))&gt;=100000), " ",IF(INDEX($AC$2:$AS$1001,MATCH(ROWS($V$2:V955),$V$2:$V$1001,0),MATCH(COLUMNS($AC$1006:AH1006),$AC$1006:$AS$1006,0)), HYPERLINK("#",""), HYPERLINK(CONCATENATE("#Metadata!", ADDRESS(INDEX($X$2:$X$1001,MATCH(ROWS($V$2:V955),$V$2:$V$1001,0),0), INDEX($AC$1004:$AS$1004,1,MATCH(COLUMNS($AC$1006:AH1006),$AC$1006:$AS$1006,0)))),"Fix")))</f>
        <v>0</v>
      </c>
      <c r="H955" s="5">
        <f>IF(OR(INDEX($W$2:$W$1001,MATCH(ROWS($V$2:V955),$V$2:$V$1001,0),1)&gt;=100000,INDEX($AC$1005:$AS$1005,1,MATCH(COLUMNS($AC$1006:AI1006),$AC$1006:$AS$1006,0))&gt;=100000), " ",IF(INDEX($AC$2:$AS$1001,MATCH(ROWS($V$2:V955),$V$2:$V$1001,0),MATCH(COLUMNS($AC$1006:AI1006),$AC$1006:$AS$1006,0)), HYPERLINK("#",""), HYPERLINK(CONCATENATE("#Metadata!", ADDRESS(INDEX($X$2:$X$1001,MATCH(ROWS($V$2:V955),$V$2:$V$1001,0),0), INDEX($AC$1004:$AS$1004,1,MATCH(COLUMNS($AC$1006:AI1006),$AC$1006:$AS$1006,0)))),"Fix")))</f>
        <v>0</v>
      </c>
      <c r="I955" s="5">
        <f>IF(OR(INDEX($W$2:$W$1001,MATCH(ROWS($V$2:V955),$V$2:$V$1001,0),1)&gt;=100000,INDEX($AC$1005:$AS$1005,1,MATCH(COLUMNS($AC$1006:AJ1006),$AC$1006:$AS$1006,0))&gt;=100000), " ",IF(INDEX($AC$2:$AS$1001,MATCH(ROWS($V$2:V955),$V$2:$V$1001,0),MATCH(COLUMNS($AC$1006:AJ1006),$AC$1006:$AS$1006,0)), HYPERLINK("#",""), HYPERLINK(CONCATENATE("#Metadata!", ADDRESS(INDEX($X$2:$X$1001,MATCH(ROWS($V$2:V955),$V$2:$V$1001,0),0), INDEX($AC$1004:$AS$1004,1,MATCH(COLUMNS($AC$1006:AJ1006),$AC$1006:$AS$1006,0)))),"Fix")))</f>
        <v>0</v>
      </c>
      <c r="J955" s="5">
        <f>IF(OR(INDEX($W$2:$W$1001,MATCH(ROWS($V$2:V955),$V$2:$V$1001,0),1)&gt;=100000,INDEX($AC$1005:$AS$1005,1,MATCH(COLUMNS($AC$1006:AK1006),$AC$1006:$AS$1006,0))&gt;=100000), " ",IF(INDEX($AC$2:$AS$1001,MATCH(ROWS($V$2:V955),$V$2:$V$1001,0),MATCH(COLUMNS($AC$1006:AK1006),$AC$1006:$AS$1006,0)), HYPERLINK("#",""), HYPERLINK(CONCATENATE("#Metadata!", ADDRESS(INDEX($X$2:$X$1001,MATCH(ROWS($V$2:V955),$V$2:$V$1001,0),0), INDEX($AC$1004:$AS$1004,1,MATCH(COLUMNS($AC$1006:AK1006),$AC$1006:$AS$1006,0)))),"Fix")))</f>
        <v>0</v>
      </c>
      <c r="K955" s="5">
        <f>IF(OR(INDEX($W$2:$W$1001,MATCH(ROWS($V$2:V955),$V$2:$V$1001,0),1)&gt;=100000,INDEX($AC$1005:$AS$1005,1,MATCH(COLUMNS($AC$1006:AL1006),$AC$1006:$AS$1006,0))&gt;=100000), " ",IF(INDEX($AC$2:$AS$1001,MATCH(ROWS($V$2:V955),$V$2:$V$1001,0),MATCH(COLUMNS($AC$1006:AL1006),$AC$1006:$AS$1006,0)), HYPERLINK("#",""), HYPERLINK(CONCATENATE("#Metadata!", ADDRESS(INDEX($X$2:$X$1001,MATCH(ROWS($V$2:V955),$V$2:$V$1001,0),0), INDEX($AC$1004:$AS$1004,1,MATCH(COLUMNS($AC$1006:AL1006),$AC$1006:$AS$1006,0)))),"Fix")))</f>
        <v>0</v>
      </c>
      <c r="L955" s="5">
        <f>IF(OR(INDEX($W$2:$W$1001,MATCH(ROWS($V$2:V955),$V$2:$V$1001,0),1)&gt;=100000,INDEX($AC$1005:$AS$1005,1,MATCH(COLUMNS($AC$1006:AM1006),$AC$1006:$AS$1006,0))&gt;=100000), " ",IF(INDEX($AC$2:$AS$1001,MATCH(ROWS($V$2:V955),$V$2:$V$1001,0),MATCH(COLUMNS($AC$1006:AM1006),$AC$1006:$AS$1006,0)), HYPERLINK("#",""), HYPERLINK(CONCATENATE("#Metadata!", ADDRESS(INDEX($X$2:$X$1001,MATCH(ROWS($V$2:V955),$V$2:$V$1001,0),0), INDEX($AC$1004:$AS$1004,1,MATCH(COLUMNS($AC$1006:AM1006),$AC$1006:$AS$1006,0)))),"Fix")))</f>
        <v>0</v>
      </c>
      <c r="M955" s="5">
        <f>IF(OR(INDEX($W$2:$W$1001,MATCH(ROWS($V$2:V955),$V$2:$V$1001,0),1)&gt;=100000,INDEX($AC$1005:$AS$1005,1,MATCH(COLUMNS($AC$1006:AN1006),$AC$1006:$AS$1006,0))&gt;=100000), " ",IF(INDEX($AC$2:$AS$1001,MATCH(ROWS($V$2:V955),$V$2:$V$1001,0),MATCH(COLUMNS($AC$1006:AN1006),$AC$1006:$AS$1006,0)), HYPERLINK("#",""), HYPERLINK(CONCATENATE("#Metadata!", ADDRESS(INDEX($X$2:$X$1001,MATCH(ROWS($V$2:V955),$V$2:$V$1001,0),0), INDEX($AC$1004:$AS$1004,1,MATCH(COLUMNS($AC$1006:AN1006),$AC$1006:$AS$1006,0)))),"Fix")))</f>
        <v>0</v>
      </c>
      <c r="N955" s="5">
        <f>IF(OR(INDEX($W$2:$W$1001,MATCH(ROWS($V$2:V955),$V$2:$V$1001,0),1)&gt;=100000,INDEX($AC$1005:$AS$1005,1,MATCH(COLUMNS($AC$1006:AO1006),$AC$1006:$AS$1006,0))&gt;=100000), " ",IF(INDEX($AC$2:$AS$1001,MATCH(ROWS($V$2:V955),$V$2:$V$1001,0),MATCH(COLUMNS($AC$1006:AO1006),$AC$1006:$AS$1006,0)), HYPERLINK("#",""), HYPERLINK(CONCATENATE("#Metadata!", ADDRESS(INDEX($X$2:$X$1001,MATCH(ROWS($V$2:V955),$V$2:$V$1001,0),0), INDEX($AC$1004:$AS$1004,1,MATCH(COLUMNS($AC$1006:AO1006),$AC$1006:$AS$1006,0)))),"Fix")))</f>
        <v>0</v>
      </c>
      <c r="O955" s="5">
        <f>IF(OR(INDEX($W$2:$W$1001,MATCH(ROWS($V$2:V955),$V$2:$V$1001,0),1)&gt;=100000,INDEX($AC$1005:$AS$1005,1,MATCH(COLUMNS($AC$1006:AP1006),$AC$1006:$AS$1006,0))&gt;=100000), " ",IF(INDEX($AC$2:$AS$1001,MATCH(ROWS($V$2:V955),$V$2:$V$1001,0),MATCH(COLUMNS($AC$1006:AP1006),$AC$1006:$AS$1006,0)), HYPERLINK("#",""), HYPERLINK(CONCATENATE("#Metadata!", ADDRESS(INDEX($X$2:$X$1001,MATCH(ROWS($V$2:V955),$V$2:$V$1001,0),0), INDEX($AC$1004:$AS$1004,1,MATCH(COLUMNS($AC$1006:AP1006),$AC$1006:$AS$1006,0)))),"Fix")))</f>
        <v>0</v>
      </c>
      <c r="P955" s="5">
        <f>IF(OR(INDEX($W$2:$W$1001,MATCH(ROWS($V$2:V955),$V$2:$V$1001,0),1)&gt;=100000,INDEX($AC$1005:$AS$1005,1,MATCH(COLUMNS($AC$1006:AQ1006),$AC$1006:$AS$1006,0))&gt;=100000), " ",IF(INDEX($AC$2:$AS$1001,MATCH(ROWS($V$2:V955),$V$2:$V$1001,0),MATCH(COLUMNS($AC$1006:AQ1006),$AC$1006:$AS$1006,0)), HYPERLINK("#",""), HYPERLINK(CONCATENATE("#Metadata!", ADDRESS(INDEX($X$2:$X$1001,MATCH(ROWS($V$2:V955),$V$2:$V$1001,0),0), INDEX($AC$1004:$AS$1004,1,MATCH(COLUMNS($AC$1006:AQ1006),$AC$1006:$AS$1006,0)))),"Fix")))</f>
        <v>0</v>
      </c>
      <c r="Q955" s="5">
        <f>IF(OR(INDEX($W$2:$W$1001,MATCH(ROWS($V$2:V955),$V$2:$V$1001,0),1)&gt;=100000,INDEX($AC$1005:$AS$1005,1,MATCH(COLUMNS($AC$1006:AR1006),$AC$1006:$AS$1006,0))&gt;=100000), " ",IF(INDEX($AC$2:$AS$1001,MATCH(ROWS($V$2:V955),$V$2:$V$1001,0),MATCH(COLUMNS($AC$1006:AR1006),$AC$1006:$AS$1006,0)), HYPERLINK("#",""), HYPERLINK(CONCATENATE("#Metadata!", ADDRESS(INDEX($X$2:$X$1001,MATCH(ROWS($V$2:V955),$V$2:$V$1001,0),0), INDEX($AC$1004:$AS$1004,1,MATCH(COLUMNS($AC$1006:AR1006),$AC$1006:$AS$1006,0)))),"Fix")))</f>
        <v>0</v>
      </c>
      <c r="R955" s="5">
        <f>IF(OR(INDEX($W$2:$W$1001,MATCH(ROWS($V$2:V955),$V$2:$V$1001,0),1)&gt;=100000,INDEX($AC$1005:$AS$1005,1,MATCH(COLUMNS($AC$1006:AS1006),$AC$1006:$AS$1006,0))&gt;=100000), " ",IF(INDEX($AC$2:$AS$1001,MATCH(ROWS($V$2:V955),$V$2:$V$1001,0),MATCH(COLUMNS($AC$1006:AS1006),$AC$1006:$AS$1006,0)), HYPERLINK("#",""), HYPERLINK(CONCATENATE("#Metadata!", ADDRESS(INDEX($X$2:$X$1001,MATCH(ROWS($V$2:V955),$V$2:$V$1001,0),0), INDEX($AC$1004:$AS$1004,1,MATCH(COLUMNS($AC$1006:AS1006),$AC$1006:$AS$1006,0)))),"Fix")))</f>
        <v>0</v>
      </c>
      <c r="V955">
        <v>0</v>
      </c>
      <c r="W955">
        <v>0</v>
      </c>
      <c r="X955">
        <v>0</v>
      </c>
      <c r="Y955">
        <f>IF(Z955,TRUE,AND(AC955:AS955))</f>
        <v>0</v>
      </c>
      <c r="Z955">
        <f>COUNTBLANK(Metadata!B955:R955)=COLUMNS(Metadata!B955:R955)</f>
        <v>0</v>
      </c>
      <c r="AA955">
        <v>0</v>
      </c>
      <c r="AC955">
        <f>AND(IF(Metadata!B955="",FALSE,TRUE),COUNTIF(Metadata!B:B, Metadata!B955) = 1,NOT(ISERROR(SUMPRODUCT(SEARCH(MID(Metadata!B955,ROW(INDIRECT("1:"&amp;LEN(Metadata!B955))), 1),"0123456789abcdefghijklmnopqrstuvwxyzABCDEFGHIJKLMNOPQRSTUVWXYZ.")))))</f>
        <v>0</v>
      </c>
      <c r="AD955">
        <f>AND(IF(Metadata!C955="",FALSE,TRUE),exact(Metadata!C955,"Host-associated"))</f>
        <v>0</v>
      </c>
      <c r="AE955">
        <f>AND(IF(Metadata!D955="",FALSE,TRUE),OR(exact(Metadata!D955,"Animal"),exact(Metadata!D955,"Fungus"),exact(Metadata!D955,"Plant")))</f>
        <v>0</v>
      </c>
      <c r="AF955">
        <f>AND(IF(Metadata!E955="",FALSE,TRUE),OR(exact(Metadata!E955,"Plant secretion"),exact(Metadata!E955,"Plant rhizosphere"),exact(Metadata!E955,"Plant surface"),exact(Metadata!E955,"Plant corpus"),exact(Metadata!E955,"Fungus surface"),exact(Metadata!E955,"Fungus corpus"),exact(Metadata!E955,"Animal surface"),exact(Metadata!E955,"Animal proximal gut"),exact(Metadata!E955,"Animal corpus"),exact(Metadata!E955,"Animal distal gut"),exact(Metadata!E955,"Animal secretion")))</f>
        <v>0</v>
      </c>
      <c r="AG955">
        <f>OR(AND(IF(Metadata!F955="",FALSE,TRUE),OR(exact(Metadata!F955,"not collected"),exact(Metadata!F955,"not provided"),exact(Metadata!F955,"restricted access"))),AND(IF(Metadata!F955="",FALSE,TRUE),OR(exact(Metadata!F955,"organism-associated habitat"),exact(Metadata!F955,"plant-associated habitat"),exact(Metadata!F955,"animal-associated habitat"),exact(Metadata!F955,"insecta-associated habitat"),exact(Metadata!F955,"mammalia-associated habitat"),exact(Metadata!F955,"human-associated habitat"),exact(Metadata!F955,"livestock-associated habitat"))))</f>
        <v>0</v>
      </c>
      <c r="AH955">
        <f>AND(IF(Metadata!G955="",FALSE,TRUE),exact(Metadata!G955,"host-associated"))</f>
        <v>0</v>
      </c>
      <c r="AI955">
        <f>OR(AND(IF(Metadata!H955="",FALSE,TRUE),OR(exact(Metadata!H955,"not collected"),exact(Metadata!H955,"not provided"))),AND(IF(Metadata!H955="",FALSE,ISNUMBER(VALUE(Metadata!H955))),Metadata!H955&gt;0))</f>
        <v>0</v>
      </c>
      <c r="AJ955">
        <f>AND(IF(Metadata!I955="",FALSE,TRUE),exact(Metadata!I955,"years"))</f>
        <v>0</v>
      </c>
      <c r="AK955">
        <f>IF(Metadata!J955="",FALSE,TRUE)</f>
        <v>0</v>
      </c>
      <c r="AL955">
        <f>OR(AND(IF(Metadata!K955="",FALSE,TRUE),OR(exact(Metadata!K955,"not collected"),exact(Metadata!K955,"not provided"))),AND(IF(Metadata!K955="",FALSE,ISNUMBER(VALUE(Metadata!K955))),Metadata!K955&gt;0))</f>
        <v>0</v>
      </c>
      <c r="AM955">
        <f>AND(IF(Metadata!L955="",FALSE,TRUE),exact(Metadata!L955,"cm"))</f>
        <v>0</v>
      </c>
      <c r="AN955">
        <f>IF(Metadata!M955="",FALSE,TRUE)</f>
        <v>0</v>
      </c>
      <c r="AO955">
        <f>OR(AND(IF(Metadata!N955="",FALSE,TRUE),OR(exact(Metadata!N955,"not applicable"),exact(Metadata!N955,"not collected"),exact(Metadata!N955,"not provided"))),AND(IF(Metadata!N955="",FALSE,IF(ISERROR(INT(Metadata!N955)),FALSE,INT(Metadata!N955)=Metadata!N955)),Metadata!N955&gt;0))</f>
        <v>0</v>
      </c>
      <c r="AP955">
        <f>OR(AND(IF(Metadata!O955="",FALSE,TRUE),OR(exact(Metadata!O955,"not collected"),exact(Metadata!O955,"not provided"))),AND(IF(Metadata!O955="",FALSE,ISNUMBER(VALUE(Metadata!O955))),Metadata!O955&gt;0))</f>
        <v>0</v>
      </c>
      <c r="AQ955">
        <f>AND(IF(Metadata!P955="",FALSE,TRUE),exact(Metadata!P955,"kg"))</f>
        <v>0</v>
      </c>
      <c r="AR955">
        <f>OR(AND(IF(Metadata!Q955="",FALSE,TRUE),OR(exact(Metadata!Q955,"not applicable"),exact(Metadata!Q955,"not collected"),exact(Metadata!Q955,"not provided"),exact(Metadata!Q955,"restricted access"))),IF(Metadata!Q955="",FALSE,IF(ISERROR(INT(Metadata!Q955)),FALSE,INT(Metadata!Q955)=Metadata!Q955)))</f>
        <v>0</v>
      </c>
      <c r="AS955">
        <f>AND(IF(Metadata!R955="",FALSE,TRUE),exact(Metadata!R955,"Not applicable"))</f>
        <v>0</v>
      </c>
    </row>
    <row r="956" spans="1:45">
      <c r="A956" s="4">
        <f>IF(B956=" "," ",HYPERLINK(CONCATENATE("#metadata!",ADDRESS(INDEX($X$2:$X$1001,MATCH(ROWS($V$2:V956),$V$2:$V$1001,0),0),2)),INDEX($AA$2:$AA$1001,MATCH(ROWS($V$2:V956),$V$2:$V$1001,0),0)))</f>
        <v>0</v>
      </c>
      <c r="B956" s="5">
        <f>IF(OR(INDEX($W$2:$W$1001,MATCH(ROWS($V$2:V956),$V$2:$V$1001,0),1)&gt;=100000,INDEX($AC$1005:$AS$1005,1,MATCH(COLUMNS($AC$1006:AC1006),$AC$1006:$AS$1006,0))&gt;=100000), " ",IF(INDEX($AC$2:$AS$1001,MATCH(ROWS($V$2:V956),$V$2:$V$1001,0),MATCH(COLUMNS($AC$1006:AC1006),$AC$1006:$AS$1006,0)), HYPERLINK("#",""), HYPERLINK(CONCATENATE("#Metadata!", ADDRESS(INDEX($X$2:$X$1001,MATCH(ROWS($V$2:V956),$V$2:$V$1001,0),0), INDEX($AC$1004:$AS$1004,1,MATCH(COLUMNS($AC$1006:AC1006),$AC$1006:$AS$1006,0)))),"Fix")))</f>
        <v>0</v>
      </c>
      <c r="C956" s="5">
        <f>IF(OR(INDEX($W$2:$W$1001,MATCH(ROWS($V$2:V956),$V$2:$V$1001,0),1)&gt;=100000,INDEX($AC$1005:$AS$1005,1,MATCH(COLUMNS($AC$1006:AD1006),$AC$1006:$AS$1006,0))&gt;=100000), " ",IF(INDEX($AC$2:$AS$1001,MATCH(ROWS($V$2:V956),$V$2:$V$1001,0),MATCH(COLUMNS($AC$1006:AD1006),$AC$1006:$AS$1006,0)), HYPERLINK("#",""), HYPERLINK(CONCATENATE("#Metadata!", ADDRESS(INDEX($X$2:$X$1001,MATCH(ROWS($V$2:V956),$V$2:$V$1001,0),0), INDEX($AC$1004:$AS$1004,1,MATCH(COLUMNS($AC$1006:AD1006),$AC$1006:$AS$1006,0)))),"Fix")))</f>
        <v>0</v>
      </c>
      <c r="D956" s="5">
        <f>IF(OR(INDEX($W$2:$W$1001,MATCH(ROWS($V$2:V956),$V$2:$V$1001,0),1)&gt;=100000,INDEX($AC$1005:$AS$1005,1,MATCH(COLUMNS($AC$1006:AE1006),$AC$1006:$AS$1006,0))&gt;=100000), " ",IF(INDEX($AC$2:$AS$1001,MATCH(ROWS($V$2:V956),$V$2:$V$1001,0),MATCH(COLUMNS($AC$1006:AE1006),$AC$1006:$AS$1006,0)), HYPERLINK("#",""), HYPERLINK(CONCATENATE("#Metadata!", ADDRESS(INDEX($X$2:$X$1001,MATCH(ROWS($V$2:V956),$V$2:$V$1001,0),0), INDEX($AC$1004:$AS$1004,1,MATCH(COLUMNS($AC$1006:AE1006),$AC$1006:$AS$1006,0)))),"Fix")))</f>
        <v>0</v>
      </c>
      <c r="E956" s="5">
        <f>IF(OR(INDEX($W$2:$W$1001,MATCH(ROWS($V$2:V956),$V$2:$V$1001,0),1)&gt;=100000,INDEX($AC$1005:$AS$1005,1,MATCH(COLUMNS($AC$1006:AF1006),$AC$1006:$AS$1006,0))&gt;=100000), " ",IF(INDEX($AC$2:$AS$1001,MATCH(ROWS($V$2:V956),$V$2:$V$1001,0),MATCH(COLUMNS($AC$1006:AF1006),$AC$1006:$AS$1006,0)), HYPERLINK("#",""), HYPERLINK(CONCATENATE("#Metadata!", ADDRESS(INDEX($X$2:$X$1001,MATCH(ROWS($V$2:V956),$V$2:$V$1001,0),0), INDEX($AC$1004:$AS$1004,1,MATCH(COLUMNS($AC$1006:AF1006),$AC$1006:$AS$1006,0)))),"Fix")))</f>
        <v>0</v>
      </c>
      <c r="F956" s="5">
        <f>IF(OR(INDEX($W$2:$W$1001,MATCH(ROWS($V$2:V956),$V$2:$V$1001,0),1)&gt;=100000,INDEX($AC$1005:$AS$1005,1,MATCH(COLUMNS($AC$1006:AG1006),$AC$1006:$AS$1006,0))&gt;=100000), " ",IF(INDEX($AC$2:$AS$1001,MATCH(ROWS($V$2:V956),$V$2:$V$1001,0),MATCH(COLUMNS($AC$1006:AG1006),$AC$1006:$AS$1006,0)), HYPERLINK("#",""), HYPERLINK(CONCATENATE("#Metadata!", ADDRESS(INDEX($X$2:$X$1001,MATCH(ROWS($V$2:V956),$V$2:$V$1001,0),0), INDEX($AC$1004:$AS$1004,1,MATCH(COLUMNS($AC$1006:AG1006),$AC$1006:$AS$1006,0)))),"Fix")))</f>
        <v>0</v>
      </c>
      <c r="G956" s="5">
        <f>IF(OR(INDEX($W$2:$W$1001,MATCH(ROWS($V$2:V956),$V$2:$V$1001,0),1)&gt;=100000,INDEX($AC$1005:$AS$1005,1,MATCH(COLUMNS($AC$1006:AH1006),$AC$1006:$AS$1006,0))&gt;=100000), " ",IF(INDEX($AC$2:$AS$1001,MATCH(ROWS($V$2:V956),$V$2:$V$1001,0),MATCH(COLUMNS($AC$1006:AH1006),$AC$1006:$AS$1006,0)), HYPERLINK("#",""), HYPERLINK(CONCATENATE("#Metadata!", ADDRESS(INDEX($X$2:$X$1001,MATCH(ROWS($V$2:V956),$V$2:$V$1001,0),0), INDEX($AC$1004:$AS$1004,1,MATCH(COLUMNS($AC$1006:AH1006),$AC$1006:$AS$1006,0)))),"Fix")))</f>
        <v>0</v>
      </c>
      <c r="H956" s="5">
        <f>IF(OR(INDEX($W$2:$W$1001,MATCH(ROWS($V$2:V956),$V$2:$V$1001,0),1)&gt;=100000,INDEX($AC$1005:$AS$1005,1,MATCH(COLUMNS($AC$1006:AI1006),$AC$1006:$AS$1006,0))&gt;=100000), " ",IF(INDEX($AC$2:$AS$1001,MATCH(ROWS($V$2:V956),$V$2:$V$1001,0),MATCH(COLUMNS($AC$1006:AI1006),$AC$1006:$AS$1006,0)), HYPERLINK("#",""), HYPERLINK(CONCATENATE("#Metadata!", ADDRESS(INDEX($X$2:$X$1001,MATCH(ROWS($V$2:V956),$V$2:$V$1001,0),0), INDEX($AC$1004:$AS$1004,1,MATCH(COLUMNS($AC$1006:AI1006),$AC$1006:$AS$1006,0)))),"Fix")))</f>
        <v>0</v>
      </c>
      <c r="I956" s="5">
        <f>IF(OR(INDEX($W$2:$W$1001,MATCH(ROWS($V$2:V956),$V$2:$V$1001,0),1)&gt;=100000,INDEX($AC$1005:$AS$1005,1,MATCH(COLUMNS($AC$1006:AJ1006),$AC$1006:$AS$1006,0))&gt;=100000), " ",IF(INDEX($AC$2:$AS$1001,MATCH(ROWS($V$2:V956),$V$2:$V$1001,0),MATCH(COLUMNS($AC$1006:AJ1006),$AC$1006:$AS$1006,0)), HYPERLINK("#",""), HYPERLINK(CONCATENATE("#Metadata!", ADDRESS(INDEX($X$2:$X$1001,MATCH(ROWS($V$2:V956),$V$2:$V$1001,0),0), INDEX($AC$1004:$AS$1004,1,MATCH(COLUMNS($AC$1006:AJ1006),$AC$1006:$AS$1006,0)))),"Fix")))</f>
        <v>0</v>
      </c>
      <c r="J956" s="5">
        <f>IF(OR(INDEX($W$2:$W$1001,MATCH(ROWS($V$2:V956),$V$2:$V$1001,0),1)&gt;=100000,INDEX($AC$1005:$AS$1005,1,MATCH(COLUMNS($AC$1006:AK1006),$AC$1006:$AS$1006,0))&gt;=100000), " ",IF(INDEX($AC$2:$AS$1001,MATCH(ROWS($V$2:V956),$V$2:$V$1001,0),MATCH(COLUMNS($AC$1006:AK1006),$AC$1006:$AS$1006,0)), HYPERLINK("#",""), HYPERLINK(CONCATENATE("#Metadata!", ADDRESS(INDEX($X$2:$X$1001,MATCH(ROWS($V$2:V956),$V$2:$V$1001,0),0), INDEX($AC$1004:$AS$1004,1,MATCH(COLUMNS($AC$1006:AK1006),$AC$1006:$AS$1006,0)))),"Fix")))</f>
        <v>0</v>
      </c>
      <c r="K956" s="5">
        <f>IF(OR(INDEX($W$2:$W$1001,MATCH(ROWS($V$2:V956),$V$2:$V$1001,0),1)&gt;=100000,INDEX($AC$1005:$AS$1005,1,MATCH(COLUMNS($AC$1006:AL1006),$AC$1006:$AS$1006,0))&gt;=100000), " ",IF(INDEX($AC$2:$AS$1001,MATCH(ROWS($V$2:V956),$V$2:$V$1001,0),MATCH(COLUMNS($AC$1006:AL1006),$AC$1006:$AS$1006,0)), HYPERLINK("#",""), HYPERLINK(CONCATENATE("#Metadata!", ADDRESS(INDEX($X$2:$X$1001,MATCH(ROWS($V$2:V956),$V$2:$V$1001,0),0), INDEX($AC$1004:$AS$1004,1,MATCH(COLUMNS($AC$1006:AL1006),$AC$1006:$AS$1006,0)))),"Fix")))</f>
        <v>0</v>
      </c>
      <c r="L956" s="5">
        <f>IF(OR(INDEX($W$2:$W$1001,MATCH(ROWS($V$2:V956),$V$2:$V$1001,0),1)&gt;=100000,INDEX($AC$1005:$AS$1005,1,MATCH(COLUMNS($AC$1006:AM1006),$AC$1006:$AS$1006,0))&gt;=100000), " ",IF(INDEX($AC$2:$AS$1001,MATCH(ROWS($V$2:V956),$V$2:$V$1001,0),MATCH(COLUMNS($AC$1006:AM1006),$AC$1006:$AS$1006,0)), HYPERLINK("#",""), HYPERLINK(CONCATENATE("#Metadata!", ADDRESS(INDEX($X$2:$X$1001,MATCH(ROWS($V$2:V956),$V$2:$V$1001,0),0), INDEX($AC$1004:$AS$1004,1,MATCH(COLUMNS($AC$1006:AM1006),$AC$1006:$AS$1006,0)))),"Fix")))</f>
        <v>0</v>
      </c>
      <c r="M956" s="5">
        <f>IF(OR(INDEX($W$2:$W$1001,MATCH(ROWS($V$2:V956),$V$2:$V$1001,0),1)&gt;=100000,INDEX($AC$1005:$AS$1005,1,MATCH(COLUMNS($AC$1006:AN1006),$AC$1006:$AS$1006,0))&gt;=100000), " ",IF(INDEX($AC$2:$AS$1001,MATCH(ROWS($V$2:V956),$V$2:$V$1001,0),MATCH(COLUMNS($AC$1006:AN1006),$AC$1006:$AS$1006,0)), HYPERLINK("#",""), HYPERLINK(CONCATENATE("#Metadata!", ADDRESS(INDEX($X$2:$X$1001,MATCH(ROWS($V$2:V956),$V$2:$V$1001,0),0), INDEX($AC$1004:$AS$1004,1,MATCH(COLUMNS($AC$1006:AN1006),$AC$1006:$AS$1006,0)))),"Fix")))</f>
        <v>0</v>
      </c>
      <c r="N956" s="5">
        <f>IF(OR(INDEX($W$2:$W$1001,MATCH(ROWS($V$2:V956),$V$2:$V$1001,0),1)&gt;=100000,INDEX($AC$1005:$AS$1005,1,MATCH(COLUMNS($AC$1006:AO1006),$AC$1006:$AS$1006,0))&gt;=100000), " ",IF(INDEX($AC$2:$AS$1001,MATCH(ROWS($V$2:V956),$V$2:$V$1001,0),MATCH(COLUMNS($AC$1006:AO1006),$AC$1006:$AS$1006,0)), HYPERLINK("#",""), HYPERLINK(CONCATENATE("#Metadata!", ADDRESS(INDEX($X$2:$X$1001,MATCH(ROWS($V$2:V956),$V$2:$V$1001,0),0), INDEX($AC$1004:$AS$1004,1,MATCH(COLUMNS($AC$1006:AO1006),$AC$1006:$AS$1006,0)))),"Fix")))</f>
        <v>0</v>
      </c>
      <c r="O956" s="5">
        <f>IF(OR(INDEX($W$2:$W$1001,MATCH(ROWS($V$2:V956),$V$2:$V$1001,0),1)&gt;=100000,INDEX($AC$1005:$AS$1005,1,MATCH(COLUMNS($AC$1006:AP1006),$AC$1006:$AS$1006,0))&gt;=100000), " ",IF(INDEX($AC$2:$AS$1001,MATCH(ROWS($V$2:V956),$V$2:$V$1001,0),MATCH(COLUMNS($AC$1006:AP1006),$AC$1006:$AS$1006,0)), HYPERLINK("#",""), HYPERLINK(CONCATENATE("#Metadata!", ADDRESS(INDEX($X$2:$X$1001,MATCH(ROWS($V$2:V956),$V$2:$V$1001,0),0), INDEX($AC$1004:$AS$1004,1,MATCH(COLUMNS($AC$1006:AP1006),$AC$1006:$AS$1006,0)))),"Fix")))</f>
        <v>0</v>
      </c>
      <c r="P956" s="5">
        <f>IF(OR(INDEX($W$2:$W$1001,MATCH(ROWS($V$2:V956),$V$2:$V$1001,0),1)&gt;=100000,INDEX($AC$1005:$AS$1005,1,MATCH(COLUMNS($AC$1006:AQ1006),$AC$1006:$AS$1006,0))&gt;=100000), " ",IF(INDEX($AC$2:$AS$1001,MATCH(ROWS($V$2:V956),$V$2:$V$1001,0),MATCH(COLUMNS($AC$1006:AQ1006),$AC$1006:$AS$1006,0)), HYPERLINK("#",""), HYPERLINK(CONCATENATE("#Metadata!", ADDRESS(INDEX($X$2:$X$1001,MATCH(ROWS($V$2:V956),$V$2:$V$1001,0),0), INDEX($AC$1004:$AS$1004,1,MATCH(COLUMNS($AC$1006:AQ1006),$AC$1006:$AS$1006,0)))),"Fix")))</f>
        <v>0</v>
      </c>
      <c r="Q956" s="5">
        <f>IF(OR(INDEX($W$2:$W$1001,MATCH(ROWS($V$2:V956),$V$2:$V$1001,0),1)&gt;=100000,INDEX($AC$1005:$AS$1005,1,MATCH(COLUMNS($AC$1006:AR1006),$AC$1006:$AS$1006,0))&gt;=100000), " ",IF(INDEX($AC$2:$AS$1001,MATCH(ROWS($V$2:V956),$V$2:$V$1001,0),MATCH(COLUMNS($AC$1006:AR1006),$AC$1006:$AS$1006,0)), HYPERLINK("#",""), HYPERLINK(CONCATENATE("#Metadata!", ADDRESS(INDEX($X$2:$X$1001,MATCH(ROWS($V$2:V956),$V$2:$V$1001,0),0), INDEX($AC$1004:$AS$1004,1,MATCH(COLUMNS($AC$1006:AR1006),$AC$1006:$AS$1006,0)))),"Fix")))</f>
        <v>0</v>
      </c>
      <c r="R956" s="5">
        <f>IF(OR(INDEX($W$2:$W$1001,MATCH(ROWS($V$2:V956),$V$2:$V$1001,0),1)&gt;=100000,INDEX($AC$1005:$AS$1005,1,MATCH(COLUMNS($AC$1006:AS1006),$AC$1006:$AS$1006,0))&gt;=100000), " ",IF(INDEX($AC$2:$AS$1001,MATCH(ROWS($V$2:V956),$V$2:$V$1001,0),MATCH(COLUMNS($AC$1006:AS1006),$AC$1006:$AS$1006,0)), HYPERLINK("#",""), HYPERLINK(CONCATENATE("#Metadata!", ADDRESS(INDEX($X$2:$X$1001,MATCH(ROWS($V$2:V956),$V$2:$V$1001,0),0), INDEX($AC$1004:$AS$1004,1,MATCH(COLUMNS($AC$1006:AS1006),$AC$1006:$AS$1006,0)))),"Fix")))</f>
        <v>0</v>
      </c>
      <c r="V956">
        <v>0</v>
      </c>
      <c r="W956">
        <v>0</v>
      </c>
      <c r="X956">
        <v>0</v>
      </c>
      <c r="Y956">
        <f>IF(Z956,TRUE,AND(AC956:AS956))</f>
        <v>0</v>
      </c>
      <c r="Z956">
        <f>COUNTBLANK(Metadata!B956:R956)=COLUMNS(Metadata!B956:R956)</f>
        <v>0</v>
      </c>
      <c r="AA956">
        <v>0</v>
      </c>
      <c r="AC956">
        <f>AND(IF(Metadata!B956="",FALSE,TRUE),COUNTIF(Metadata!B:B, Metadata!B956) = 1,NOT(ISERROR(SUMPRODUCT(SEARCH(MID(Metadata!B956,ROW(INDIRECT("1:"&amp;LEN(Metadata!B956))), 1),"0123456789abcdefghijklmnopqrstuvwxyzABCDEFGHIJKLMNOPQRSTUVWXYZ.")))))</f>
        <v>0</v>
      </c>
      <c r="AD956">
        <f>AND(IF(Metadata!C956="",FALSE,TRUE),exact(Metadata!C956,"Host-associated"))</f>
        <v>0</v>
      </c>
      <c r="AE956">
        <f>AND(IF(Metadata!D956="",FALSE,TRUE),OR(exact(Metadata!D956,"Animal"),exact(Metadata!D956,"Fungus"),exact(Metadata!D956,"Plant")))</f>
        <v>0</v>
      </c>
      <c r="AF956">
        <f>AND(IF(Metadata!E956="",FALSE,TRUE),OR(exact(Metadata!E956,"Plant secretion"),exact(Metadata!E956,"Plant rhizosphere"),exact(Metadata!E956,"Plant surface"),exact(Metadata!E956,"Plant corpus"),exact(Metadata!E956,"Fungus surface"),exact(Metadata!E956,"Fungus corpus"),exact(Metadata!E956,"Animal surface"),exact(Metadata!E956,"Animal proximal gut"),exact(Metadata!E956,"Animal corpus"),exact(Metadata!E956,"Animal distal gut"),exact(Metadata!E956,"Animal secretion")))</f>
        <v>0</v>
      </c>
      <c r="AG956">
        <f>OR(AND(IF(Metadata!F956="",FALSE,TRUE),OR(exact(Metadata!F956,"not collected"),exact(Metadata!F956,"not provided"),exact(Metadata!F956,"restricted access"))),AND(IF(Metadata!F956="",FALSE,TRUE),OR(exact(Metadata!F956,"organism-associated habitat"),exact(Metadata!F956,"plant-associated habitat"),exact(Metadata!F956,"animal-associated habitat"),exact(Metadata!F956,"insecta-associated habitat"),exact(Metadata!F956,"mammalia-associated habitat"),exact(Metadata!F956,"human-associated habitat"),exact(Metadata!F956,"livestock-associated habitat"))))</f>
        <v>0</v>
      </c>
      <c r="AH956">
        <f>AND(IF(Metadata!G956="",FALSE,TRUE),exact(Metadata!G956,"host-associated"))</f>
        <v>0</v>
      </c>
      <c r="AI956">
        <f>OR(AND(IF(Metadata!H956="",FALSE,TRUE),OR(exact(Metadata!H956,"not collected"),exact(Metadata!H956,"not provided"))),AND(IF(Metadata!H956="",FALSE,ISNUMBER(VALUE(Metadata!H956))),Metadata!H956&gt;0))</f>
        <v>0</v>
      </c>
      <c r="AJ956">
        <f>AND(IF(Metadata!I956="",FALSE,TRUE),exact(Metadata!I956,"years"))</f>
        <v>0</v>
      </c>
      <c r="AK956">
        <f>IF(Metadata!J956="",FALSE,TRUE)</f>
        <v>0</v>
      </c>
      <c r="AL956">
        <f>OR(AND(IF(Metadata!K956="",FALSE,TRUE),OR(exact(Metadata!K956,"not collected"),exact(Metadata!K956,"not provided"))),AND(IF(Metadata!K956="",FALSE,ISNUMBER(VALUE(Metadata!K956))),Metadata!K956&gt;0))</f>
        <v>0</v>
      </c>
      <c r="AM956">
        <f>AND(IF(Metadata!L956="",FALSE,TRUE),exact(Metadata!L956,"cm"))</f>
        <v>0</v>
      </c>
      <c r="AN956">
        <f>IF(Metadata!M956="",FALSE,TRUE)</f>
        <v>0</v>
      </c>
      <c r="AO956">
        <f>OR(AND(IF(Metadata!N956="",FALSE,TRUE),OR(exact(Metadata!N956,"not applicable"),exact(Metadata!N956,"not collected"),exact(Metadata!N956,"not provided"))),AND(IF(Metadata!N956="",FALSE,IF(ISERROR(INT(Metadata!N956)),FALSE,INT(Metadata!N956)=Metadata!N956)),Metadata!N956&gt;0))</f>
        <v>0</v>
      </c>
      <c r="AP956">
        <f>OR(AND(IF(Metadata!O956="",FALSE,TRUE),OR(exact(Metadata!O956,"not collected"),exact(Metadata!O956,"not provided"))),AND(IF(Metadata!O956="",FALSE,ISNUMBER(VALUE(Metadata!O956))),Metadata!O956&gt;0))</f>
        <v>0</v>
      </c>
      <c r="AQ956">
        <f>AND(IF(Metadata!P956="",FALSE,TRUE),exact(Metadata!P956,"kg"))</f>
        <v>0</v>
      </c>
      <c r="AR956">
        <f>OR(AND(IF(Metadata!Q956="",FALSE,TRUE),OR(exact(Metadata!Q956,"not applicable"),exact(Metadata!Q956,"not collected"),exact(Metadata!Q956,"not provided"),exact(Metadata!Q956,"restricted access"))),IF(Metadata!Q956="",FALSE,IF(ISERROR(INT(Metadata!Q956)),FALSE,INT(Metadata!Q956)=Metadata!Q956)))</f>
        <v>0</v>
      </c>
      <c r="AS956">
        <f>AND(IF(Metadata!R956="",FALSE,TRUE),exact(Metadata!R956,"Not applicable"))</f>
        <v>0</v>
      </c>
    </row>
    <row r="957" spans="1:45">
      <c r="A957" s="4">
        <f>IF(B957=" "," ",HYPERLINK(CONCATENATE("#metadata!",ADDRESS(INDEX($X$2:$X$1001,MATCH(ROWS($V$2:V957),$V$2:$V$1001,0),0),2)),INDEX($AA$2:$AA$1001,MATCH(ROWS($V$2:V957),$V$2:$V$1001,0),0)))</f>
        <v>0</v>
      </c>
      <c r="B957" s="5">
        <f>IF(OR(INDEX($W$2:$W$1001,MATCH(ROWS($V$2:V957),$V$2:$V$1001,0),1)&gt;=100000,INDEX($AC$1005:$AS$1005,1,MATCH(COLUMNS($AC$1006:AC1006),$AC$1006:$AS$1006,0))&gt;=100000), " ",IF(INDEX($AC$2:$AS$1001,MATCH(ROWS($V$2:V957),$V$2:$V$1001,0),MATCH(COLUMNS($AC$1006:AC1006),$AC$1006:$AS$1006,0)), HYPERLINK("#",""), HYPERLINK(CONCATENATE("#Metadata!", ADDRESS(INDEX($X$2:$X$1001,MATCH(ROWS($V$2:V957),$V$2:$V$1001,0),0), INDEX($AC$1004:$AS$1004,1,MATCH(COLUMNS($AC$1006:AC1006),$AC$1006:$AS$1006,0)))),"Fix")))</f>
        <v>0</v>
      </c>
      <c r="C957" s="5">
        <f>IF(OR(INDEX($W$2:$W$1001,MATCH(ROWS($V$2:V957),$V$2:$V$1001,0),1)&gt;=100000,INDEX($AC$1005:$AS$1005,1,MATCH(COLUMNS($AC$1006:AD1006),$AC$1006:$AS$1006,0))&gt;=100000), " ",IF(INDEX($AC$2:$AS$1001,MATCH(ROWS($V$2:V957),$V$2:$V$1001,0),MATCH(COLUMNS($AC$1006:AD1006),$AC$1006:$AS$1006,0)), HYPERLINK("#",""), HYPERLINK(CONCATENATE("#Metadata!", ADDRESS(INDEX($X$2:$X$1001,MATCH(ROWS($V$2:V957),$V$2:$V$1001,0),0), INDEX($AC$1004:$AS$1004,1,MATCH(COLUMNS($AC$1006:AD1006),$AC$1006:$AS$1006,0)))),"Fix")))</f>
        <v>0</v>
      </c>
      <c r="D957" s="5">
        <f>IF(OR(INDEX($W$2:$W$1001,MATCH(ROWS($V$2:V957),$V$2:$V$1001,0),1)&gt;=100000,INDEX($AC$1005:$AS$1005,1,MATCH(COLUMNS($AC$1006:AE1006),$AC$1006:$AS$1006,0))&gt;=100000), " ",IF(INDEX($AC$2:$AS$1001,MATCH(ROWS($V$2:V957),$V$2:$V$1001,0),MATCH(COLUMNS($AC$1006:AE1006),$AC$1006:$AS$1006,0)), HYPERLINK("#",""), HYPERLINK(CONCATENATE("#Metadata!", ADDRESS(INDEX($X$2:$X$1001,MATCH(ROWS($V$2:V957),$V$2:$V$1001,0),0), INDEX($AC$1004:$AS$1004,1,MATCH(COLUMNS($AC$1006:AE1006),$AC$1006:$AS$1006,0)))),"Fix")))</f>
        <v>0</v>
      </c>
      <c r="E957" s="5">
        <f>IF(OR(INDEX($W$2:$W$1001,MATCH(ROWS($V$2:V957),$V$2:$V$1001,0),1)&gt;=100000,INDEX($AC$1005:$AS$1005,1,MATCH(COLUMNS($AC$1006:AF1006),$AC$1006:$AS$1006,0))&gt;=100000), " ",IF(INDEX($AC$2:$AS$1001,MATCH(ROWS($V$2:V957),$V$2:$V$1001,0),MATCH(COLUMNS($AC$1006:AF1006),$AC$1006:$AS$1006,0)), HYPERLINK("#",""), HYPERLINK(CONCATENATE("#Metadata!", ADDRESS(INDEX($X$2:$X$1001,MATCH(ROWS($V$2:V957),$V$2:$V$1001,0),0), INDEX($AC$1004:$AS$1004,1,MATCH(COLUMNS($AC$1006:AF1006),$AC$1006:$AS$1006,0)))),"Fix")))</f>
        <v>0</v>
      </c>
      <c r="F957" s="5">
        <f>IF(OR(INDEX($W$2:$W$1001,MATCH(ROWS($V$2:V957),$V$2:$V$1001,0),1)&gt;=100000,INDEX($AC$1005:$AS$1005,1,MATCH(COLUMNS($AC$1006:AG1006),$AC$1006:$AS$1006,0))&gt;=100000), " ",IF(INDEX($AC$2:$AS$1001,MATCH(ROWS($V$2:V957),$V$2:$V$1001,0),MATCH(COLUMNS($AC$1006:AG1006),$AC$1006:$AS$1006,0)), HYPERLINK("#",""), HYPERLINK(CONCATENATE("#Metadata!", ADDRESS(INDEX($X$2:$X$1001,MATCH(ROWS($V$2:V957),$V$2:$V$1001,0),0), INDEX($AC$1004:$AS$1004,1,MATCH(COLUMNS($AC$1006:AG1006),$AC$1006:$AS$1006,0)))),"Fix")))</f>
        <v>0</v>
      </c>
      <c r="G957" s="5">
        <f>IF(OR(INDEX($W$2:$W$1001,MATCH(ROWS($V$2:V957),$V$2:$V$1001,0),1)&gt;=100000,INDEX($AC$1005:$AS$1005,1,MATCH(COLUMNS($AC$1006:AH1006),$AC$1006:$AS$1006,0))&gt;=100000), " ",IF(INDEX($AC$2:$AS$1001,MATCH(ROWS($V$2:V957),$V$2:$V$1001,0),MATCH(COLUMNS($AC$1006:AH1006),$AC$1006:$AS$1006,0)), HYPERLINK("#",""), HYPERLINK(CONCATENATE("#Metadata!", ADDRESS(INDEX($X$2:$X$1001,MATCH(ROWS($V$2:V957),$V$2:$V$1001,0),0), INDEX($AC$1004:$AS$1004,1,MATCH(COLUMNS($AC$1006:AH1006),$AC$1006:$AS$1006,0)))),"Fix")))</f>
        <v>0</v>
      </c>
      <c r="H957" s="5">
        <f>IF(OR(INDEX($W$2:$W$1001,MATCH(ROWS($V$2:V957),$V$2:$V$1001,0),1)&gt;=100000,INDEX($AC$1005:$AS$1005,1,MATCH(COLUMNS($AC$1006:AI1006),$AC$1006:$AS$1006,0))&gt;=100000), " ",IF(INDEX($AC$2:$AS$1001,MATCH(ROWS($V$2:V957),$V$2:$V$1001,0),MATCH(COLUMNS($AC$1006:AI1006),$AC$1006:$AS$1006,0)), HYPERLINK("#",""), HYPERLINK(CONCATENATE("#Metadata!", ADDRESS(INDEX($X$2:$X$1001,MATCH(ROWS($V$2:V957),$V$2:$V$1001,0),0), INDEX($AC$1004:$AS$1004,1,MATCH(COLUMNS($AC$1006:AI1006),$AC$1006:$AS$1006,0)))),"Fix")))</f>
        <v>0</v>
      </c>
      <c r="I957" s="5">
        <f>IF(OR(INDEX($W$2:$W$1001,MATCH(ROWS($V$2:V957),$V$2:$V$1001,0),1)&gt;=100000,INDEX($AC$1005:$AS$1005,1,MATCH(COLUMNS($AC$1006:AJ1006),$AC$1006:$AS$1006,0))&gt;=100000), " ",IF(INDEX($AC$2:$AS$1001,MATCH(ROWS($V$2:V957),$V$2:$V$1001,0),MATCH(COLUMNS($AC$1006:AJ1006),$AC$1006:$AS$1006,0)), HYPERLINK("#",""), HYPERLINK(CONCATENATE("#Metadata!", ADDRESS(INDEX($X$2:$X$1001,MATCH(ROWS($V$2:V957),$V$2:$V$1001,0),0), INDEX($AC$1004:$AS$1004,1,MATCH(COLUMNS($AC$1006:AJ1006),$AC$1006:$AS$1006,0)))),"Fix")))</f>
        <v>0</v>
      </c>
      <c r="J957" s="5">
        <f>IF(OR(INDEX($W$2:$W$1001,MATCH(ROWS($V$2:V957),$V$2:$V$1001,0),1)&gt;=100000,INDEX($AC$1005:$AS$1005,1,MATCH(COLUMNS($AC$1006:AK1006),$AC$1006:$AS$1006,0))&gt;=100000), " ",IF(INDEX($AC$2:$AS$1001,MATCH(ROWS($V$2:V957),$V$2:$V$1001,0),MATCH(COLUMNS($AC$1006:AK1006),$AC$1006:$AS$1006,0)), HYPERLINK("#",""), HYPERLINK(CONCATENATE("#Metadata!", ADDRESS(INDEX($X$2:$X$1001,MATCH(ROWS($V$2:V957),$V$2:$V$1001,0),0), INDEX($AC$1004:$AS$1004,1,MATCH(COLUMNS($AC$1006:AK1006),$AC$1006:$AS$1006,0)))),"Fix")))</f>
        <v>0</v>
      </c>
      <c r="K957" s="5">
        <f>IF(OR(INDEX($W$2:$W$1001,MATCH(ROWS($V$2:V957),$V$2:$V$1001,0),1)&gt;=100000,INDEX($AC$1005:$AS$1005,1,MATCH(COLUMNS($AC$1006:AL1006),$AC$1006:$AS$1006,0))&gt;=100000), " ",IF(INDEX($AC$2:$AS$1001,MATCH(ROWS($V$2:V957),$V$2:$V$1001,0),MATCH(COLUMNS($AC$1006:AL1006),$AC$1006:$AS$1006,0)), HYPERLINK("#",""), HYPERLINK(CONCATENATE("#Metadata!", ADDRESS(INDEX($X$2:$X$1001,MATCH(ROWS($V$2:V957),$V$2:$V$1001,0),0), INDEX($AC$1004:$AS$1004,1,MATCH(COLUMNS($AC$1006:AL1006),$AC$1006:$AS$1006,0)))),"Fix")))</f>
        <v>0</v>
      </c>
      <c r="L957" s="5">
        <f>IF(OR(INDEX($W$2:$W$1001,MATCH(ROWS($V$2:V957),$V$2:$V$1001,0),1)&gt;=100000,INDEX($AC$1005:$AS$1005,1,MATCH(COLUMNS($AC$1006:AM1006),$AC$1006:$AS$1006,0))&gt;=100000), " ",IF(INDEX($AC$2:$AS$1001,MATCH(ROWS($V$2:V957),$V$2:$V$1001,0),MATCH(COLUMNS($AC$1006:AM1006),$AC$1006:$AS$1006,0)), HYPERLINK("#",""), HYPERLINK(CONCATENATE("#Metadata!", ADDRESS(INDEX($X$2:$X$1001,MATCH(ROWS($V$2:V957),$V$2:$V$1001,0),0), INDEX($AC$1004:$AS$1004,1,MATCH(COLUMNS($AC$1006:AM1006),$AC$1006:$AS$1006,0)))),"Fix")))</f>
        <v>0</v>
      </c>
      <c r="M957" s="5">
        <f>IF(OR(INDEX($W$2:$W$1001,MATCH(ROWS($V$2:V957),$V$2:$V$1001,0),1)&gt;=100000,INDEX($AC$1005:$AS$1005,1,MATCH(COLUMNS($AC$1006:AN1006),$AC$1006:$AS$1006,0))&gt;=100000), " ",IF(INDEX($AC$2:$AS$1001,MATCH(ROWS($V$2:V957),$V$2:$V$1001,0),MATCH(COLUMNS($AC$1006:AN1006),$AC$1006:$AS$1006,0)), HYPERLINK("#",""), HYPERLINK(CONCATENATE("#Metadata!", ADDRESS(INDEX($X$2:$X$1001,MATCH(ROWS($V$2:V957),$V$2:$V$1001,0),0), INDEX($AC$1004:$AS$1004,1,MATCH(COLUMNS($AC$1006:AN1006),$AC$1006:$AS$1006,0)))),"Fix")))</f>
        <v>0</v>
      </c>
      <c r="N957" s="5">
        <f>IF(OR(INDEX($W$2:$W$1001,MATCH(ROWS($V$2:V957),$V$2:$V$1001,0),1)&gt;=100000,INDEX($AC$1005:$AS$1005,1,MATCH(COLUMNS($AC$1006:AO1006),$AC$1006:$AS$1006,0))&gt;=100000), " ",IF(INDEX($AC$2:$AS$1001,MATCH(ROWS($V$2:V957),$V$2:$V$1001,0),MATCH(COLUMNS($AC$1006:AO1006),$AC$1006:$AS$1006,0)), HYPERLINK("#",""), HYPERLINK(CONCATENATE("#Metadata!", ADDRESS(INDEX($X$2:$X$1001,MATCH(ROWS($V$2:V957),$V$2:$V$1001,0),0), INDEX($AC$1004:$AS$1004,1,MATCH(COLUMNS($AC$1006:AO1006),$AC$1006:$AS$1006,0)))),"Fix")))</f>
        <v>0</v>
      </c>
      <c r="O957" s="5">
        <f>IF(OR(INDEX($W$2:$W$1001,MATCH(ROWS($V$2:V957),$V$2:$V$1001,0),1)&gt;=100000,INDEX($AC$1005:$AS$1005,1,MATCH(COLUMNS($AC$1006:AP1006),$AC$1006:$AS$1006,0))&gt;=100000), " ",IF(INDEX($AC$2:$AS$1001,MATCH(ROWS($V$2:V957),$V$2:$V$1001,0),MATCH(COLUMNS($AC$1006:AP1006),$AC$1006:$AS$1006,0)), HYPERLINK("#",""), HYPERLINK(CONCATENATE("#Metadata!", ADDRESS(INDEX($X$2:$X$1001,MATCH(ROWS($V$2:V957),$V$2:$V$1001,0),0), INDEX($AC$1004:$AS$1004,1,MATCH(COLUMNS($AC$1006:AP1006),$AC$1006:$AS$1006,0)))),"Fix")))</f>
        <v>0</v>
      </c>
      <c r="P957" s="5">
        <f>IF(OR(INDEX($W$2:$W$1001,MATCH(ROWS($V$2:V957),$V$2:$V$1001,0),1)&gt;=100000,INDEX($AC$1005:$AS$1005,1,MATCH(COLUMNS($AC$1006:AQ1006),$AC$1006:$AS$1006,0))&gt;=100000), " ",IF(INDEX($AC$2:$AS$1001,MATCH(ROWS($V$2:V957),$V$2:$V$1001,0),MATCH(COLUMNS($AC$1006:AQ1006),$AC$1006:$AS$1006,0)), HYPERLINK("#",""), HYPERLINK(CONCATENATE("#Metadata!", ADDRESS(INDEX($X$2:$X$1001,MATCH(ROWS($V$2:V957),$V$2:$V$1001,0),0), INDEX($AC$1004:$AS$1004,1,MATCH(COLUMNS($AC$1006:AQ1006),$AC$1006:$AS$1006,0)))),"Fix")))</f>
        <v>0</v>
      </c>
      <c r="Q957" s="5">
        <f>IF(OR(INDEX($W$2:$W$1001,MATCH(ROWS($V$2:V957),$V$2:$V$1001,0),1)&gt;=100000,INDEX($AC$1005:$AS$1005,1,MATCH(COLUMNS($AC$1006:AR1006),$AC$1006:$AS$1006,0))&gt;=100000), " ",IF(INDEX($AC$2:$AS$1001,MATCH(ROWS($V$2:V957),$V$2:$V$1001,0),MATCH(COLUMNS($AC$1006:AR1006),$AC$1006:$AS$1006,0)), HYPERLINK("#",""), HYPERLINK(CONCATENATE("#Metadata!", ADDRESS(INDEX($X$2:$X$1001,MATCH(ROWS($V$2:V957),$V$2:$V$1001,0),0), INDEX($AC$1004:$AS$1004,1,MATCH(COLUMNS($AC$1006:AR1006),$AC$1006:$AS$1006,0)))),"Fix")))</f>
        <v>0</v>
      </c>
      <c r="R957" s="5">
        <f>IF(OR(INDEX($W$2:$W$1001,MATCH(ROWS($V$2:V957),$V$2:$V$1001,0),1)&gt;=100000,INDEX($AC$1005:$AS$1005,1,MATCH(COLUMNS($AC$1006:AS1006),$AC$1006:$AS$1006,0))&gt;=100000), " ",IF(INDEX($AC$2:$AS$1001,MATCH(ROWS($V$2:V957),$V$2:$V$1001,0),MATCH(COLUMNS($AC$1006:AS1006),$AC$1006:$AS$1006,0)), HYPERLINK("#",""), HYPERLINK(CONCATENATE("#Metadata!", ADDRESS(INDEX($X$2:$X$1001,MATCH(ROWS($V$2:V957),$V$2:$V$1001,0),0), INDEX($AC$1004:$AS$1004,1,MATCH(COLUMNS($AC$1006:AS1006),$AC$1006:$AS$1006,0)))),"Fix")))</f>
        <v>0</v>
      </c>
      <c r="V957">
        <v>0</v>
      </c>
      <c r="W957">
        <v>0</v>
      </c>
      <c r="X957">
        <v>0</v>
      </c>
      <c r="Y957">
        <f>IF(Z957,TRUE,AND(AC957:AS957))</f>
        <v>0</v>
      </c>
      <c r="Z957">
        <f>COUNTBLANK(Metadata!B957:R957)=COLUMNS(Metadata!B957:R957)</f>
        <v>0</v>
      </c>
      <c r="AA957">
        <v>0</v>
      </c>
      <c r="AC957">
        <f>AND(IF(Metadata!B957="",FALSE,TRUE),COUNTIF(Metadata!B:B, Metadata!B957) = 1,NOT(ISERROR(SUMPRODUCT(SEARCH(MID(Metadata!B957,ROW(INDIRECT("1:"&amp;LEN(Metadata!B957))), 1),"0123456789abcdefghijklmnopqrstuvwxyzABCDEFGHIJKLMNOPQRSTUVWXYZ.")))))</f>
        <v>0</v>
      </c>
      <c r="AD957">
        <f>AND(IF(Metadata!C957="",FALSE,TRUE),exact(Metadata!C957,"Host-associated"))</f>
        <v>0</v>
      </c>
      <c r="AE957">
        <f>AND(IF(Metadata!D957="",FALSE,TRUE),OR(exact(Metadata!D957,"Animal"),exact(Metadata!D957,"Fungus"),exact(Metadata!D957,"Plant")))</f>
        <v>0</v>
      </c>
      <c r="AF957">
        <f>AND(IF(Metadata!E957="",FALSE,TRUE),OR(exact(Metadata!E957,"Plant secretion"),exact(Metadata!E957,"Plant rhizosphere"),exact(Metadata!E957,"Plant surface"),exact(Metadata!E957,"Plant corpus"),exact(Metadata!E957,"Fungus surface"),exact(Metadata!E957,"Fungus corpus"),exact(Metadata!E957,"Animal surface"),exact(Metadata!E957,"Animal proximal gut"),exact(Metadata!E957,"Animal corpus"),exact(Metadata!E957,"Animal distal gut"),exact(Metadata!E957,"Animal secretion")))</f>
        <v>0</v>
      </c>
      <c r="AG957">
        <f>OR(AND(IF(Metadata!F957="",FALSE,TRUE),OR(exact(Metadata!F957,"not collected"),exact(Metadata!F957,"not provided"),exact(Metadata!F957,"restricted access"))),AND(IF(Metadata!F957="",FALSE,TRUE),OR(exact(Metadata!F957,"organism-associated habitat"),exact(Metadata!F957,"plant-associated habitat"),exact(Metadata!F957,"animal-associated habitat"),exact(Metadata!F957,"insecta-associated habitat"),exact(Metadata!F957,"mammalia-associated habitat"),exact(Metadata!F957,"human-associated habitat"),exact(Metadata!F957,"livestock-associated habitat"))))</f>
        <v>0</v>
      </c>
      <c r="AH957">
        <f>AND(IF(Metadata!G957="",FALSE,TRUE),exact(Metadata!G957,"host-associated"))</f>
        <v>0</v>
      </c>
      <c r="AI957">
        <f>OR(AND(IF(Metadata!H957="",FALSE,TRUE),OR(exact(Metadata!H957,"not collected"),exact(Metadata!H957,"not provided"))),AND(IF(Metadata!H957="",FALSE,ISNUMBER(VALUE(Metadata!H957))),Metadata!H957&gt;0))</f>
        <v>0</v>
      </c>
      <c r="AJ957">
        <f>AND(IF(Metadata!I957="",FALSE,TRUE),exact(Metadata!I957,"years"))</f>
        <v>0</v>
      </c>
      <c r="AK957">
        <f>IF(Metadata!J957="",FALSE,TRUE)</f>
        <v>0</v>
      </c>
      <c r="AL957">
        <f>OR(AND(IF(Metadata!K957="",FALSE,TRUE),OR(exact(Metadata!K957,"not collected"),exact(Metadata!K957,"not provided"))),AND(IF(Metadata!K957="",FALSE,ISNUMBER(VALUE(Metadata!K957))),Metadata!K957&gt;0))</f>
        <v>0</v>
      </c>
      <c r="AM957">
        <f>AND(IF(Metadata!L957="",FALSE,TRUE),exact(Metadata!L957,"cm"))</f>
        <v>0</v>
      </c>
      <c r="AN957">
        <f>IF(Metadata!M957="",FALSE,TRUE)</f>
        <v>0</v>
      </c>
      <c r="AO957">
        <f>OR(AND(IF(Metadata!N957="",FALSE,TRUE),OR(exact(Metadata!N957,"not applicable"),exact(Metadata!N957,"not collected"),exact(Metadata!N957,"not provided"))),AND(IF(Metadata!N957="",FALSE,IF(ISERROR(INT(Metadata!N957)),FALSE,INT(Metadata!N957)=Metadata!N957)),Metadata!N957&gt;0))</f>
        <v>0</v>
      </c>
      <c r="AP957">
        <f>OR(AND(IF(Metadata!O957="",FALSE,TRUE),OR(exact(Metadata!O957,"not collected"),exact(Metadata!O957,"not provided"))),AND(IF(Metadata!O957="",FALSE,ISNUMBER(VALUE(Metadata!O957))),Metadata!O957&gt;0))</f>
        <v>0</v>
      </c>
      <c r="AQ957">
        <f>AND(IF(Metadata!P957="",FALSE,TRUE),exact(Metadata!P957,"kg"))</f>
        <v>0</v>
      </c>
      <c r="AR957">
        <f>OR(AND(IF(Metadata!Q957="",FALSE,TRUE),OR(exact(Metadata!Q957,"not applicable"),exact(Metadata!Q957,"not collected"),exact(Metadata!Q957,"not provided"),exact(Metadata!Q957,"restricted access"))),IF(Metadata!Q957="",FALSE,IF(ISERROR(INT(Metadata!Q957)),FALSE,INT(Metadata!Q957)=Metadata!Q957)))</f>
        <v>0</v>
      </c>
      <c r="AS957">
        <f>AND(IF(Metadata!R957="",FALSE,TRUE),exact(Metadata!R957,"Not applicable"))</f>
        <v>0</v>
      </c>
    </row>
    <row r="958" spans="1:45">
      <c r="A958" s="4">
        <f>IF(B958=" "," ",HYPERLINK(CONCATENATE("#metadata!",ADDRESS(INDEX($X$2:$X$1001,MATCH(ROWS($V$2:V958),$V$2:$V$1001,0),0),2)),INDEX($AA$2:$AA$1001,MATCH(ROWS($V$2:V958),$V$2:$V$1001,0),0)))</f>
        <v>0</v>
      </c>
      <c r="B958" s="5">
        <f>IF(OR(INDEX($W$2:$W$1001,MATCH(ROWS($V$2:V958),$V$2:$V$1001,0),1)&gt;=100000,INDEX($AC$1005:$AS$1005,1,MATCH(COLUMNS($AC$1006:AC1006),$AC$1006:$AS$1006,0))&gt;=100000), " ",IF(INDEX($AC$2:$AS$1001,MATCH(ROWS($V$2:V958),$V$2:$V$1001,0),MATCH(COLUMNS($AC$1006:AC1006),$AC$1006:$AS$1006,0)), HYPERLINK("#",""), HYPERLINK(CONCATENATE("#Metadata!", ADDRESS(INDEX($X$2:$X$1001,MATCH(ROWS($V$2:V958),$V$2:$V$1001,0),0), INDEX($AC$1004:$AS$1004,1,MATCH(COLUMNS($AC$1006:AC1006),$AC$1006:$AS$1006,0)))),"Fix")))</f>
        <v>0</v>
      </c>
      <c r="C958" s="5">
        <f>IF(OR(INDEX($W$2:$W$1001,MATCH(ROWS($V$2:V958),$V$2:$V$1001,0),1)&gt;=100000,INDEX($AC$1005:$AS$1005,1,MATCH(COLUMNS($AC$1006:AD1006),$AC$1006:$AS$1006,0))&gt;=100000), " ",IF(INDEX($AC$2:$AS$1001,MATCH(ROWS($V$2:V958),$V$2:$V$1001,0),MATCH(COLUMNS($AC$1006:AD1006),$AC$1006:$AS$1006,0)), HYPERLINK("#",""), HYPERLINK(CONCATENATE("#Metadata!", ADDRESS(INDEX($X$2:$X$1001,MATCH(ROWS($V$2:V958),$V$2:$V$1001,0),0), INDEX($AC$1004:$AS$1004,1,MATCH(COLUMNS($AC$1006:AD1006),$AC$1006:$AS$1006,0)))),"Fix")))</f>
        <v>0</v>
      </c>
      <c r="D958" s="5">
        <f>IF(OR(INDEX($W$2:$W$1001,MATCH(ROWS($V$2:V958),$V$2:$V$1001,0),1)&gt;=100000,INDEX($AC$1005:$AS$1005,1,MATCH(COLUMNS($AC$1006:AE1006),$AC$1006:$AS$1006,0))&gt;=100000), " ",IF(INDEX($AC$2:$AS$1001,MATCH(ROWS($V$2:V958),$V$2:$V$1001,0),MATCH(COLUMNS($AC$1006:AE1006),$AC$1006:$AS$1006,0)), HYPERLINK("#",""), HYPERLINK(CONCATENATE("#Metadata!", ADDRESS(INDEX($X$2:$X$1001,MATCH(ROWS($V$2:V958),$V$2:$V$1001,0),0), INDEX($AC$1004:$AS$1004,1,MATCH(COLUMNS($AC$1006:AE1006),$AC$1006:$AS$1006,0)))),"Fix")))</f>
        <v>0</v>
      </c>
      <c r="E958" s="5">
        <f>IF(OR(INDEX($W$2:$W$1001,MATCH(ROWS($V$2:V958),$V$2:$V$1001,0),1)&gt;=100000,INDEX($AC$1005:$AS$1005,1,MATCH(COLUMNS($AC$1006:AF1006),$AC$1006:$AS$1006,0))&gt;=100000), " ",IF(INDEX($AC$2:$AS$1001,MATCH(ROWS($V$2:V958),$V$2:$V$1001,0),MATCH(COLUMNS($AC$1006:AF1006),$AC$1006:$AS$1006,0)), HYPERLINK("#",""), HYPERLINK(CONCATENATE("#Metadata!", ADDRESS(INDEX($X$2:$X$1001,MATCH(ROWS($V$2:V958),$V$2:$V$1001,0),0), INDEX($AC$1004:$AS$1004,1,MATCH(COLUMNS($AC$1006:AF1006),$AC$1006:$AS$1006,0)))),"Fix")))</f>
        <v>0</v>
      </c>
      <c r="F958" s="5">
        <f>IF(OR(INDEX($W$2:$W$1001,MATCH(ROWS($V$2:V958),$V$2:$V$1001,0),1)&gt;=100000,INDEX($AC$1005:$AS$1005,1,MATCH(COLUMNS($AC$1006:AG1006),$AC$1006:$AS$1006,0))&gt;=100000), " ",IF(INDEX($AC$2:$AS$1001,MATCH(ROWS($V$2:V958),$V$2:$V$1001,0),MATCH(COLUMNS($AC$1006:AG1006),$AC$1006:$AS$1006,0)), HYPERLINK("#",""), HYPERLINK(CONCATENATE("#Metadata!", ADDRESS(INDEX($X$2:$X$1001,MATCH(ROWS($V$2:V958),$V$2:$V$1001,0),0), INDEX($AC$1004:$AS$1004,1,MATCH(COLUMNS($AC$1006:AG1006),$AC$1006:$AS$1006,0)))),"Fix")))</f>
        <v>0</v>
      </c>
      <c r="G958" s="5">
        <f>IF(OR(INDEX($W$2:$W$1001,MATCH(ROWS($V$2:V958),$V$2:$V$1001,0),1)&gt;=100000,INDEX($AC$1005:$AS$1005,1,MATCH(COLUMNS($AC$1006:AH1006),$AC$1006:$AS$1006,0))&gt;=100000), " ",IF(INDEX($AC$2:$AS$1001,MATCH(ROWS($V$2:V958),$V$2:$V$1001,0),MATCH(COLUMNS($AC$1006:AH1006),$AC$1006:$AS$1006,0)), HYPERLINK("#",""), HYPERLINK(CONCATENATE("#Metadata!", ADDRESS(INDEX($X$2:$X$1001,MATCH(ROWS($V$2:V958),$V$2:$V$1001,0),0), INDEX($AC$1004:$AS$1004,1,MATCH(COLUMNS($AC$1006:AH1006),$AC$1006:$AS$1006,0)))),"Fix")))</f>
        <v>0</v>
      </c>
      <c r="H958" s="5">
        <f>IF(OR(INDEX($W$2:$W$1001,MATCH(ROWS($V$2:V958),$V$2:$V$1001,0),1)&gt;=100000,INDEX($AC$1005:$AS$1005,1,MATCH(COLUMNS($AC$1006:AI1006),$AC$1006:$AS$1006,0))&gt;=100000), " ",IF(INDEX($AC$2:$AS$1001,MATCH(ROWS($V$2:V958),$V$2:$V$1001,0),MATCH(COLUMNS($AC$1006:AI1006),$AC$1006:$AS$1006,0)), HYPERLINK("#",""), HYPERLINK(CONCATENATE("#Metadata!", ADDRESS(INDEX($X$2:$X$1001,MATCH(ROWS($V$2:V958),$V$2:$V$1001,0),0), INDEX($AC$1004:$AS$1004,1,MATCH(COLUMNS($AC$1006:AI1006),$AC$1006:$AS$1006,0)))),"Fix")))</f>
        <v>0</v>
      </c>
      <c r="I958" s="5">
        <f>IF(OR(INDEX($W$2:$W$1001,MATCH(ROWS($V$2:V958),$V$2:$V$1001,0),1)&gt;=100000,INDEX($AC$1005:$AS$1005,1,MATCH(COLUMNS($AC$1006:AJ1006),$AC$1006:$AS$1006,0))&gt;=100000), " ",IF(INDEX($AC$2:$AS$1001,MATCH(ROWS($V$2:V958),$V$2:$V$1001,0),MATCH(COLUMNS($AC$1006:AJ1006),$AC$1006:$AS$1006,0)), HYPERLINK("#",""), HYPERLINK(CONCATENATE("#Metadata!", ADDRESS(INDEX($X$2:$X$1001,MATCH(ROWS($V$2:V958),$V$2:$V$1001,0),0), INDEX($AC$1004:$AS$1004,1,MATCH(COLUMNS($AC$1006:AJ1006),$AC$1006:$AS$1006,0)))),"Fix")))</f>
        <v>0</v>
      </c>
      <c r="J958" s="5">
        <f>IF(OR(INDEX($W$2:$W$1001,MATCH(ROWS($V$2:V958),$V$2:$V$1001,0),1)&gt;=100000,INDEX($AC$1005:$AS$1005,1,MATCH(COLUMNS($AC$1006:AK1006),$AC$1006:$AS$1006,0))&gt;=100000), " ",IF(INDEX($AC$2:$AS$1001,MATCH(ROWS($V$2:V958),$V$2:$V$1001,0),MATCH(COLUMNS($AC$1006:AK1006),$AC$1006:$AS$1006,0)), HYPERLINK("#",""), HYPERLINK(CONCATENATE("#Metadata!", ADDRESS(INDEX($X$2:$X$1001,MATCH(ROWS($V$2:V958),$V$2:$V$1001,0),0), INDEX($AC$1004:$AS$1004,1,MATCH(COLUMNS($AC$1006:AK1006),$AC$1006:$AS$1006,0)))),"Fix")))</f>
        <v>0</v>
      </c>
      <c r="K958" s="5">
        <f>IF(OR(INDEX($W$2:$W$1001,MATCH(ROWS($V$2:V958),$V$2:$V$1001,0),1)&gt;=100000,INDEX($AC$1005:$AS$1005,1,MATCH(COLUMNS($AC$1006:AL1006),$AC$1006:$AS$1006,0))&gt;=100000), " ",IF(INDEX($AC$2:$AS$1001,MATCH(ROWS($V$2:V958),$V$2:$V$1001,0),MATCH(COLUMNS($AC$1006:AL1006),$AC$1006:$AS$1006,0)), HYPERLINK("#",""), HYPERLINK(CONCATENATE("#Metadata!", ADDRESS(INDEX($X$2:$X$1001,MATCH(ROWS($V$2:V958),$V$2:$V$1001,0),0), INDEX($AC$1004:$AS$1004,1,MATCH(COLUMNS($AC$1006:AL1006),$AC$1006:$AS$1006,0)))),"Fix")))</f>
        <v>0</v>
      </c>
      <c r="L958" s="5">
        <f>IF(OR(INDEX($W$2:$W$1001,MATCH(ROWS($V$2:V958),$V$2:$V$1001,0),1)&gt;=100000,INDEX($AC$1005:$AS$1005,1,MATCH(COLUMNS($AC$1006:AM1006),$AC$1006:$AS$1006,0))&gt;=100000), " ",IF(INDEX($AC$2:$AS$1001,MATCH(ROWS($V$2:V958),$V$2:$V$1001,0),MATCH(COLUMNS($AC$1006:AM1006),$AC$1006:$AS$1006,0)), HYPERLINK("#",""), HYPERLINK(CONCATENATE("#Metadata!", ADDRESS(INDEX($X$2:$X$1001,MATCH(ROWS($V$2:V958),$V$2:$V$1001,0),0), INDEX($AC$1004:$AS$1004,1,MATCH(COLUMNS($AC$1006:AM1006),$AC$1006:$AS$1006,0)))),"Fix")))</f>
        <v>0</v>
      </c>
      <c r="M958" s="5">
        <f>IF(OR(INDEX($W$2:$W$1001,MATCH(ROWS($V$2:V958),$V$2:$V$1001,0),1)&gt;=100000,INDEX($AC$1005:$AS$1005,1,MATCH(COLUMNS($AC$1006:AN1006),$AC$1006:$AS$1006,0))&gt;=100000), " ",IF(INDEX($AC$2:$AS$1001,MATCH(ROWS($V$2:V958),$V$2:$V$1001,0),MATCH(COLUMNS($AC$1006:AN1006),$AC$1006:$AS$1006,0)), HYPERLINK("#",""), HYPERLINK(CONCATENATE("#Metadata!", ADDRESS(INDEX($X$2:$X$1001,MATCH(ROWS($V$2:V958),$V$2:$V$1001,0),0), INDEX($AC$1004:$AS$1004,1,MATCH(COLUMNS($AC$1006:AN1006),$AC$1006:$AS$1006,0)))),"Fix")))</f>
        <v>0</v>
      </c>
      <c r="N958" s="5">
        <f>IF(OR(INDEX($W$2:$W$1001,MATCH(ROWS($V$2:V958),$V$2:$V$1001,0),1)&gt;=100000,INDEX($AC$1005:$AS$1005,1,MATCH(COLUMNS($AC$1006:AO1006),$AC$1006:$AS$1006,0))&gt;=100000), " ",IF(INDEX($AC$2:$AS$1001,MATCH(ROWS($V$2:V958),$V$2:$V$1001,0),MATCH(COLUMNS($AC$1006:AO1006),$AC$1006:$AS$1006,0)), HYPERLINK("#",""), HYPERLINK(CONCATENATE("#Metadata!", ADDRESS(INDEX($X$2:$X$1001,MATCH(ROWS($V$2:V958),$V$2:$V$1001,0),0), INDEX($AC$1004:$AS$1004,1,MATCH(COLUMNS($AC$1006:AO1006),$AC$1006:$AS$1006,0)))),"Fix")))</f>
        <v>0</v>
      </c>
      <c r="O958" s="5">
        <f>IF(OR(INDEX($W$2:$W$1001,MATCH(ROWS($V$2:V958),$V$2:$V$1001,0),1)&gt;=100000,INDEX($AC$1005:$AS$1005,1,MATCH(COLUMNS($AC$1006:AP1006),$AC$1006:$AS$1006,0))&gt;=100000), " ",IF(INDEX($AC$2:$AS$1001,MATCH(ROWS($V$2:V958),$V$2:$V$1001,0),MATCH(COLUMNS($AC$1006:AP1006),$AC$1006:$AS$1006,0)), HYPERLINK("#",""), HYPERLINK(CONCATENATE("#Metadata!", ADDRESS(INDEX($X$2:$X$1001,MATCH(ROWS($V$2:V958),$V$2:$V$1001,0),0), INDEX($AC$1004:$AS$1004,1,MATCH(COLUMNS($AC$1006:AP1006),$AC$1006:$AS$1006,0)))),"Fix")))</f>
        <v>0</v>
      </c>
      <c r="P958" s="5">
        <f>IF(OR(INDEX($W$2:$W$1001,MATCH(ROWS($V$2:V958),$V$2:$V$1001,0),1)&gt;=100000,INDEX($AC$1005:$AS$1005,1,MATCH(COLUMNS($AC$1006:AQ1006),$AC$1006:$AS$1006,0))&gt;=100000), " ",IF(INDEX($AC$2:$AS$1001,MATCH(ROWS($V$2:V958),$V$2:$V$1001,0),MATCH(COLUMNS($AC$1006:AQ1006),$AC$1006:$AS$1006,0)), HYPERLINK("#",""), HYPERLINK(CONCATENATE("#Metadata!", ADDRESS(INDEX($X$2:$X$1001,MATCH(ROWS($V$2:V958),$V$2:$V$1001,0),0), INDEX($AC$1004:$AS$1004,1,MATCH(COLUMNS($AC$1006:AQ1006),$AC$1006:$AS$1006,0)))),"Fix")))</f>
        <v>0</v>
      </c>
      <c r="Q958" s="5">
        <f>IF(OR(INDEX($W$2:$W$1001,MATCH(ROWS($V$2:V958),$V$2:$V$1001,0),1)&gt;=100000,INDEX($AC$1005:$AS$1005,1,MATCH(COLUMNS($AC$1006:AR1006),$AC$1006:$AS$1006,0))&gt;=100000), " ",IF(INDEX($AC$2:$AS$1001,MATCH(ROWS($V$2:V958),$V$2:$V$1001,0),MATCH(COLUMNS($AC$1006:AR1006),$AC$1006:$AS$1006,0)), HYPERLINK("#",""), HYPERLINK(CONCATENATE("#Metadata!", ADDRESS(INDEX($X$2:$X$1001,MATCH(ROWS($V$2:V958),$V$2:$V$1001,0),0), INDEX($AC$1004:$AS$1004,1,MATCH(COLUMNS($AC$1006:AR1006),$AC$1006:$AS$1006,0)))),"Fix")))</f>
        <v>0</v>
      </c>
      <c r="R958" s="5">
        <f>IF(OR(INDEX($W$2:$W$1001,MATCH(ROWS($V$2:V958),$V$2:$V$1001,0),1)&gt;=100000,INDEX($AC$1005:$AS$1005,1,MATCH(COLUMNS($AC$1006:AS1006),$AC$1006:$AS$1006,0))&gt;=100000), " ",IF(INDEX($AC$2:$AS$1001,MATCH(ROWS($V$2:V958),$V$2:$V$1001,0),MATCH(COLUMNS($AC$1006:AS1006),$AC$1006:$AS$1006,0)), HYPERLINK("#",""), HYPERLINK(CONCATENATE("#Metadata!", ADDRESS(INDEX($X$2:$X$1001,MATCH(ROWS($V$2:V958),$V$2:$V$1001,0),0), INDEX($AC$1004:$AS$1004,1,MATCH(COLUMNS($AC$1006:AS1006),$AC$1006:$AS$1006,0)))),"Fix")))</f>
        <v>0</v>
      </c>
      <c r="V958">
        <v>0</v>
      </c>
      <c r="W958">
        <v>0</v>
      </c>
      <c r="X958">
        <v>0</v>
      </c>
      <c r="Y958">
        <f>IF(Z958,TRUE,AND(AC958:AS958))</f>
        <v>0</v>
      </c>
      <c r="Z958">
        <f>COUNTBLANK(Metadata!B958:R958)=COLUMNS(Metadata!B958:R958)</f>
        <v>0</v>
      </c>
      <c r="AA958">
        <v>0</v>
      </c>
      <c r="AC958">
        <f>AND(IF(Metadata!B958="",FALSE,TRUE),COUNTIF(Metadata!B:B, Metadata!B958) = 1,NOT(ISERROR(SUMPRODUCT(SEARCH(MID(Metadata!B958,ROW(INDIRECT("1:"&amp;LEN(Metadata!B958))), 1),"0123456789abcdefghijklmnopqrstuvwxyzABCDEFGHIJKLMNOPQRSTUVWXYZ.")))))</f>
        <v>0</v>
      </c>
      <c r="AD958">
        <f>AND(IF(Metadata!C958="",FALSE,TRUE),exact(Metadata!C958,"Host-associated"))</f>
        <v>0</v>
      </c>
      <c r="AE958">
        <f>AND(IF(Metadata!D958="",FALSE,TRUE),OR(exact(Metadata!D958,"Animal"),exact(Metadata!D958,"Fungus"),exact(Metadata!D958,"Plant")))</f>
        <v>0</v>
      </c>
      <c r="AF958">
        <f>AND(IF(Metadata!E958="",FALSE,TRUE),OR(exact(Metadata!E958,"Plant secretion"),exact(Metadata!E958,"Plant rhizosphere"),exact(Metadata!E958,"Plant surface"),exact(Metadata!E958,"Plant corpus"),exact(Metadata!E958,"Fungus surface"),exact(Metadata!E958,"Fungus corpus"),exact(Metadata!E958,"Animal surface"),exact(Metadata!E958,"Animal proximal gut"),exact(Metadata!E958,"Animal corpus"),exact(Metadata!E958,"Animal distal gut"),exact(Metadata!E958,"Animal secretion")))</f>
        <v>0</v>
      </c>
      <c r="AG958">
        <f>OR(AND(IF(Metadata!F958="",FALSE,TRUE),OR(exact(Metadata!F958,"not collected"),exact(Metadata!F958,"not provided"),exact(Metadata!F958,"restricted access"))),AND(IF(Metadata!F958="",FALSE,TRUE),OR(exact(Metadata!F958,"organism-associated habitat"),exact(Metadata!F958,"plant-associated habitat"),exact(Metadata!F958,"animal-associated habitat"),exact(Metadata!F958,"insecta-associated habitat"),exact(Metadata!F958,"mammalia-associated habitat"),exact(Metadata!F958,"human-associated habitat"),exact(Metadata!F958,"livestock-associated habitat"))))</f>
        <v>0</v>
      </c>
      <c r="AH958">
        <f>AND(IF(Metadata!G958="",FALSE,TRUE),exact(Metadata!G958,"host-associated"))</f>
        <v>0</v>
      </c>
      <c r="AI958">
        <f>OR(AND(IF(Metadata!H958="",FALSE,TRUE),OR(exact(Metadata!H958,"not collected"),exact(Metadata!H958,"not provided"))),AND(IF(Metadata!H958="",FALSE,ISNUMBER(VALUE(Metadata!H958))),Metadata!H958&gt;0))</f>
        <v>0</v>
      </c>
      <c r="AJ958">
        <f>AND(IF(Metadata!I958="",FALSE,TRUE),exact(Metadata!I958,"years"))</f>
        <v>0</v>
      </c>
      <c r="AK958">
        <f>IF(Metadata!J958="",FALSE,TRUE)</f>
        <v>0</v>
      </c>
      <c r="AL958">
        <f>OR(AND(IF(Metadata!K958="",FALSE,TRUE),OR(exact(Metadata!K958,"not collected"),exact(Metadata!K958,"not provided"))),AND(IF(Metadata!K958="",FALSE,ISNUMBER(VALUE(Metadata!K958))),Metadata!K958&gt;0))</f>
        <v>0</v>
      </c>
      <c r="AM958">
        <f>AND(IF(Metadata!L958="",FALSE,TRUE),exact(Metadata!L958,"cm"))</f>
        <v>0</v>
      </c>
      <c r="AN958">
        <f>IF(Metadata!M958="",FALSE,TRUE)</f>
        <v>0</v>
      </c>
      <c r="AO958">
        <f>OR(AND(IF(Metadata!N958="",FALSE,TRUE),OR(exact(Metadata!N958,"not applicable"),exact(Metadata!N958,"not collected"),exact(Metadata!N958,"not provided"))),AND(IF(Metadata!N958="",FALSE,IF(ISERROR(INT(Metadata!N958)),FALSE,INT(Metadata!N958)=Metadata!N958)),Metadata!N958&gt;0))</f>
        <v>0</v>
      </c>
      <c r="AP958">
        <f>OR(AND(IF(Metadata!O958="",FALSE,TRUE),OR(exact(Metadata!O958,"not collected"),exact(Metadata!O958,"not provided"))),AND(IF(Metadata!O958="",FALSE,ISNUMBER(VALUE(Metadata!O958))),Metadata!O958&gt;0))</f>
        <v>0</v>
      </c>
      <c r="AQ958">
        <f>AND(IF(Metadata!P958="",FALSE,TRUE),exact(Metadata!P958,"kg"))</f>
        <v>0</v>
      </c>
      <c r="AR958">
        <f>OR(AND(IF(Metadata!Q958="",FALSE,TRUE),OR(exact(Metadata!Q958,"not applicable"),exact(Metadata!Q958,"not collected"),exact(Metadata!Q958,"not provided"),exact(Metadata!Q958,"restricted access"))),IF(Metadata!Q958="",FALSE,IF(ISERROR(INT(Metadata!Q958)),FALSE,INT(Metadata!Q958)=Metadata!Q958)))</f>
        <v>0</v>
      </c>
      <c r="AS958">
        <f>AND(IF(Metadata!R958="",FALSE,TRUE),exact(Metadata!R958,"Not applicable"))</f>
        <v>0</v>
      </c>
    </row>
    <row r="959" spans="1:45">
      <c r="A959" s="4">
        <f>IF(B959=" "," ",HYPERLINK(CONCATENATE("#metadata!",ADDRESS(INDEX($X$2:$X$1001,MATCH(ROWS($V$2:V959),$V$2:$V$1001,0),0),2)),INDEX($AA$2:$AA$1001,MATCH(ROWS($V$2:V959),$V$2:$V$1001,0),0)))</f>
        <v>0</v>
      </c>
      <c r="B959" s="5">
        <f>IF(OR(INDEX($W$2:$W$1001,MATCH(ROWS($V$2:V959),$V$2:$V$1001,0),1)&gt;=100000,INDEX($AC$1005:$AS$1005,1,MATCH(COLUMNS($AC$1006:AC1006),$AC$1006:$AS$1006,0))&gt;=100000), " ",IF(INDEX($AC$2:$AS$1001,MATCH(ROWS($V$2:V959),$V$2:$V$1001,0),MATCH(COLUMNS($AC$1006:AC1006),$AC$1006:$AS$1006,0)), HYPERLINK("#",""), HYPERLINK(CONCATENATE("#Metadata!", ADDRESS(INDEX($X$2:$X$1001,MATCH(ROWS($V$2:V959),$V$2:$V$1001,0),0), INDEX($AC$1004:$AS$1004,1,MATCH(COLUMNS($AC$1006:AC1006),$AC$1006:$AS$1006,0)))),"Fix")))</f>
        <v>0</v>
      </c>
      <c r="C959" s="5">
        <f>IF(OR(INDEX($W$2:$W$1001,MATCH(ROWS($V$2:V959),$V$2:$V$1001,0),1)&gt;=100000,INDEX($AC$1005:$AS$1005,1,MATCH(COLUMNS($AC$1006:AD1006),$AC$1006:$AS$1006,0))&gt;=100000), " ",IF(INDEX($AC$2:$AS$1001,MATCH(ROWS($V$2:V959),$V$2:$V$1001,0),MATCH(COLUMNS($AC$1006:AD1006),$AC$1006:$AS$1006,0)), HYPERLINK("#",""), HYPERLINK(CONCATENATE("#Metadata!", ADDRESS(INDEX($X$2:$X$1001,MATCH(ROWS($V$2:V959),$V$2:$V$1001,0),0), INDEX($AC$1004:$AS$1004,1,MATCH(COLUMNS($AC$1006:AD1006),$AC$1006:$AS$1006,0)))),"Fix")))</f>
        <v>0</v>
      </c>
      <c r="D959" s="5">
        <f>IF(OR(INDEX($W$2:$W$1001,MATCH(ROWS($V$2:V959),$V$2:$V$1001,0),1)&gt;=100000,INDEX($AC$1005:$AS$1005,1,MATCH(COLUMNS($AC$1006:AE1006),$AC$1006:$AS$1006,0))&gt;=100000), " ",IF(INDEX($AC$2:$AS$1001,MATCH(ROWS($V$2:V959),$V$2:$V$1001,0),MATCH(COLUMNS($AC$1006:AE1006),$AC$1006:$AS$1006,0)), HYPERLINK("#",""), HYPERLINK(CONCATENATE("#Metadata!", ADDRESS(INDEX($X$2:$X$1001,MATCH(ROWS($V$2:V959),$V$2:$V$1001,0),0), INDEX($AC$1004:$AS$1004,1,MATCH(COLUMNS($AC$1006:AE1006),$AC$1006:$AS$1006,0)))),"Fix")))</f>
        <v>0</v>
      </c>
      <c r="E959" s="5">
        <f>IF(OR(INDEX($W$2:$W$1001,MATCH(ROWS($V$2:V959),$V$2:$V$1001,0),1)&gt;=100000,INDEX($AC$1005:$AS$1005,1,MATCH(COLUMNS($AC$1006:AF1006),$AC$1006:$AS$1006,0))&gt;=100000), " ",IF(INDEX($AC$2:$AS$1001,MATCH(ROWS($V$2:V959),$V$2:$V$1001,0),MATCH(COLUMNS($AC$1006:AF1006),$AC$1006:$AS$1006,0)), HYPERLINK("#",""), HYPERLINK(CONCATENATE("#Metadata!", ADDRESS(INDEX($X$2:$X$1001,MATCH(ROWS($V$2:V959),$V$2:$V$1001,0),0), INDEX($AC$1004:$AS$1004,1,MATCH(COLUMNS($AC$1006:AF1006),$AC$1006:$AS$1006,0)))),"Fix")))</f>
        <v>0</v>
      </c>
      <c r="F959" s="5">
        <f>IF(OR(INDEX($W$2:$W$1001,MATCH(ROWS($V$2:V959),$V$2:$V$1001,0),1)&gt;=100000,INDEX($AC$1005:$AS$1005,1,MATCH(COLUMNS($AC$1006:AG1006),$AC$1006:$AS$1006,0))&gt;=100000), " ",IF(INDEX($AC$2:$AS$1001,MATCH(ROWS($V$2:V959),$V$2:$V$1001,0),MATCH(COLUMNS($AC$1006:AG1006),$AC$1006:$AS$1006,0)), HYPERLINK("#",""), HYPERLINK(CONCATENATE("#Metadata!", ADDRESS(INDEX($X$2:$X$1001,MATCH(ROWS($V$2:V959),$V$2:$V$1001,0),0), INDEX($AC$1004:$AS$1004,1,MATCH(COLUMNS($AC$1006:AG1006),$AC$1006:$AS$1006,0)))),"Fix")))</f>
        <v>0</v>
      </c>
      <c r="G959" s="5">
        <f>IF(OR(INDEX($W$2:$W$1001,MATCH(ROWS($V$2:V959),$V$2:$V$1001,0),1)&gt;=100000,INDEX($AC$1005:$AS$1005,1,MATCH(COLUMNS($AC$1006:AH1006),$AC$1006:$AS$1006,0))&gt;=100000), " ",IF(INDEX($AC$2:$AS$1001,MATCH(ROWS($V$2:V959),$V$2:$V$1001,0),MATCH(COLUMNS($AC$1006:AH1006),$AC$1006:$AS$1006,0)), HYPERLINK("#",""), HYPERLINK(CONCATENATE("#Metadata!", ADDRESS(INDEX($X$2:$X$1001,MATCH(ROWS($V$2:V959),$V$2:$V$1001,0),0), INDEX($AC$1004:$AS$1004,1,MATCH(COLUMNS($AC$1006:AH1006),$AC$1006:$AS$1006,0)))),"Fix")))</f>
        <v>0</v>
      </c>
      <c r="H959" s="5">
        <f>IF(OR(INDEX($W$2:$W$1001,MATCH(ROWS($V$2:V959),$V$2:$V$1001,0),1)&gt;=100000,INDEX($AC$1005:$AS$1005,1,MATCH(COLUMNS($AC$1006:AI1006),$AC$1006:$AS$1006,0))&gt;=100000), " ",IF(INDEX($AC$2:$AS$1001,MATCH(ROWS($V$2:V959),$V$2:$V$1001,0),MATCH(COLUMNS($AC$1006:AI1006),$AC$1006:$AS$1006,0)), HYPERLINK("#",""), HYPERLINK(CONCATENATE("#Metadata!", ADDRESS(INDEX($X$2:$X$1001,MATCH(ROWS($V$2:V959),$V$2:$V$1001,0),0), INDEX($AC$1004:$AS$1004,1,MATCH(COLUMNS($AC$1006:AI1006),$AC$1006:$AS$1006,0)))),"Fix")))</f>
        <v>0</v>
      </c>
      <c r="I959" s="5">
        <f>IF(OR(INDEX($W$2:$W$1001,MATCH(ROWS($V$2:V959),$V$2:$V$1001,0),1)&gt;=100000,INDEX($AC$1005:$AS$1005,1,MATCH(COLUMNS($AC$1006:AJ1006),$AC$1006:$AS$1006,0))&gt;=100000), " ",IF(INDEX($AC$2:$AS$1001,MATCH(ROWS($V$2:V959),$V$2:$V$1001,0),MATCH(COLUMNS($AC$1006:AJ1006),$AC$1006:$AS$1006,0)), HYPERLINK("#",""), HYPERLINK(CONCATENATE("#Metadata!", ADDRESS(INDEX($X$2:$X$1001,MATCH(ROWS($V$2:V959),$V$2:$V$1001,0),0), INDEX($AC$1004:$AS$1004,1,MATCH(COLUMNS($AC$1006:AJ1006),$AC$1006:$AS$1006,0)))),"Fix")))</f>
        <v>0</v>
      </c>
      <c r="J959" s="5">
        <f>IF(OR(INDEX($W$2:$W$1001,MATCH(ROWS($V$2:V959),$V$2:$V$1001,0),1)&gt;=100000,INDEX($AC$1005:$AS$1005,1,MATCH(COLUMNS($AC$1006:AK1006),$AC$1006:$AS$1006,0))&gt;=100000), " ",IF(INDEX($AC$2:$AS$1001,MATCH(ROWS($V$2:V959),$V$2:$V$1001,0),MATCH(COLUMNS($AC$1006:AK1006),$AC$1006:$AS$1006,0)), HYPERLINK("#",""), HYPERLINK(CONCATENATE("#Metadata!", ADDRESS(INDEX($X$2:$X$1001,MATCH(ROWS($V$2:V959),$V$2:$V$1001,0),0), INDEX($AC$1004:$AS$1004,1,MATCH(COLUMNS($AC$1006:AK1006),$AC$1006:$AS$1006,0)))),"Fix")))</f>
        <v>0</v>
      </c>
      <c r="K959" s="5">
        <f>IF(OR(INDEX($W$2:$W$1001,MATCH(ROWS($V$2:V959),$V$2:$V$1001,0),1)&gt;=100000,INDEX($AC$1005:$AS$1005,1,MATCH(COLUMNS($AC$1006:AL1006),$AC$1006:$AS$1006,0))&gt;=100000), " ",IF(INDEX($AC$2:$AS$1001,MATCH(ROWS($V$2:V959),$V$2:$V$1001,0),MATCH(COLUMNS($AC$1006:AL1006),$AC$1006:$AS$1006,0)), HYPERLINK("#",""), HYPERLINK(CONCATENATE("#Metadata!", ADDRESS(INDEX($X$2:$X$1001,MATCH(ROWS($V$2:V959),$V$2:$V$1001,0),0), INDEX($AC$1004:$AS$1004,1,MATCH(COLUMNS($AC$1006:AL1006),$AC$1006:$AS$1006,0)))),"Fix")))</f>
        <v>0</v>
      </c>
      <c r="L959" s="5">
        <f>IF(OR(INDEX($W$2:$W$1001,MATCH(ROWS($V$2:V959),$V$2:$V$1001,0),1)&gt;=100000,INDEX($AC$1005:$AS$1005,1,MATCH(COLUMNS($AC$1006:AM1006),$AC$1006:$AS$1006,0))&gt;=100000), " ",IF(INDEX($AC$2:$AS$1001,MATCH(ROWS($V$2:V959),$V$2:$V$1001,0),MATCH(COLUMNS($AC$1006:AM1006),$AC$1006:$AS$1006,0)), HYPERLINK("#",""), HYPERLINK(CONCATENATE("#Metadata!", ADDRESS(INDEX($X$2:$X$1001,MATCH(ROWS($V$2:V959),$V$2:$V$1001,0),0), INDEX($AC$1004:$AS$1004,1,MATCH(COLUMNS($AC$1006:AM1006),$AC$1006:$AS$1006,0)))),"Fix")))</f>
        <v>0</v>
      </c>
      <c r="M959" s="5">
        <f>IF(OR(INDEX($W$2:$W$1001,MATCH(ROWS($V$2:V959),$V$2:$V$1001,0),1)&gt;=100000,INDEX($AC$1005:$AS$1005,1,MATCH(COLUMNS($AC$1006:AN1006),$AC$1006:$AS$1006,0))&gt;=100000), " ",IF(INDEX($AC$2:$AS$1001,MATCH(ROWS($V$2:V959),$V$2:$V$1001,0),MATCH(COLUMNS($AC$1006:AN1006),$AC$1006:$AS$1006,0)), HYPERLINK("#",""), HYPERLINK(CONCATENATE("#Metadata!", ADDRESS(INDEX($X$2:$X$1001,MATCH(ROWS($V$2:V959),$V$2:$V$1001,0),0), INDEX($AC$1004:$AS$1004,1,MATCH(COLUMNS($AC$1006:AN1006),$AC$1006:$AS$1006,0)))),"Fix")))</f>
        <v>0</v>
      </c>
      <c r="N959" s="5">
        <f>IF(OR(INDEX($W$2:$W$1001,MATCH(ROWS($V$2:V959),$V$2:$V$1001,0),1)&gt;=100000,INDEX($AC$1005:$AS$1005,1,MATCH(COLUMNS($AC$1006:AO1006),$AC$1006:$AS$1006,0))&gt;=100000), " ",IF(INDEX($AC$2:$AS$1001,MATCH(ROWS($V$2:V959),$V$2:$V$1001,0),MATCH(COLUMNS($AC$1006:AO1006),$AC$1006:$AS$1006,0)), HYPERLINK("#",""), HYPERLINK(CONCATENATE("#Metadata!", ADDRESS(INDEX($X$2:$X$1001,MATCH(ROWS($V$2:V959),$V$2:$V$1001,0),0), INDEX($AC$1004:$AS$1004,1,MATCH(COLUMNS($AC$1006:AO1006),$AC$1006:$AS$1006,0)))),"Fix")))</f>
        <v>0</v>
      </c>
      <c r="O959" s="5">
        <f>IF(OR(INDEX($W$2:$W$1001,MATCH(ROWS($V$2:V959),$V$2:$V$1001,0),1)&gt;=100000,INDEX($AC$1005:$AS$1005,1,MATCH(COLUMNS($AC$1006:AP1006),$AC$1006:$AS$1006,0))&gt;=100000), " ",IF(INDEX($AC$2:$AS$1001,MATCH(ROWS($V$2:V959),$V$2:$V$1001,0),MATCH(COLUMNS($AC$1006:AP1006),$AC$1006:$AS$1006,0)), HYPERLINK("#",""), HYPERLINK(CONCATENATE("#Metadata!", ADDRESS(INDEX($X$2:$X$1001,MATCH(ROWS($V$2:V959),$V$2:$V$1001,0),0), INDEX($AC$1004:$AS$1004,1,MATCH(COLUMNS($AC$1006:AP1006),$AC$1006:$AS$1006,0)))),"Fix")))</f>
        <v>0</v>
      </c>
      <c r="P959" s="5">
        <f>IF(OR(INDEX($W$2:$W$1001,MATCH(ROWS($V$2:V959),$V$2:$V$1001,0),1)&gt;=100000,INDEX($AC$1005:$AS$1005,1,MATCH(COLUMNS($AC$1006:AQ1006),$AC$1006:$AS$1006,0))&gt;=100000), " ",IF(INDEX($AC$2:$AS$1001,MATCH(ROWS($V$2:V959),$V$2:$V$1001,0),MATCH(COLUMNS($AC$1006:AQ1006),$AC$1006:$AS$1006,0)), HYPERLINK("#",""), HYPERLINK(CONCATENATE("#Metadata!", ADDRESS(INDEX($X$2:$X$1001,MATCH(ROWS($V$2:V959),$V$2:$V$1001,0),0), INDEX($AC$1004:$AS$1004,1,MATCH(COLUMNS($AC$1006:AQ1006),$AC$1006:$AS$1006,0)))),"Fix")))</f>
        <v>0</v>
      </c>
      <c r="Q959" s="5">
        <f>IF(OR(INDEX($W$2:$W$1001,MATCH(ROWS($V$2:V959),$V$2:$V$1001,0),1)&gt;=100000,INDEX($AC$1005:$AS$1005,1,MATCH(COLUMNS($AC$1006:AR1006),$AC$1006:$AS$1006,0))&gt;=100000), " ",IF(INDEX($AC$2:$AS$1001,MATCH(ROWS($V$2:V959),$V$2:$V$1001,0),MATCH(COLUMNS($AC$1006:AR1006),$AC$1006:$AS$1006,0)), HYPERLINK("#",""), HYPERLINK(CONCATENATE("#Metadata!", ADDRESS(INDEX($X$2:$X$1001,MATCH(ROWS($V$2:V959),$V$2:$V$1001,0),0), INDEX($AC$1004:$AS$1004,1,MATCH(COLUMNS($AC$1006:AR1006),$AC$1006:$AS$1006,0)))),"Fix")))</f>
        <v>0</v>
      </c>
      <c r="R959" s="5">
        <f>IF(OR(INDEX($W$2:$W$1001,MATCH(ROWS($V$2:V959),$V$2:$V$1001,0),1)&gt;=100000,INDEX($AC$1005:$AS$1005,1,MATCH(COLUMNS($AC$1006:AS1006),$AC$1006:$AS$1006,0))&gt;=100000), " ",IF(INDEX($AC$2:$AS$1001,MATCH(ROWS($V$2:V959),$V$2:$V$1001,0),MATCH(COLUMNS($AC$1006:AS1006),$AC$1006:$AS$1006,0)), HYPERLINK("#",""), HYPERLINK(CONCATENATE("#Metadata!", ADDRESS(INDEX($X$2:$X$1001,MATCH(ROWS($V$2:V959),$V$2:$V$1001,0),0), INDEX($AC$1004:$AS$1004,1,MATCH(COLUMNS($AC$1006:AS1006),$AC$1006:$AS$1006,0)))),"Fix")))</f>
        <v>0</v>
      </c>
      <c r="V959">
        <v>0</v>
      </c>
      <c r="W959">
        <v>0</v>
      </c>
      <c r="X959">
        <v>0</v>
      </c>
      <c r="Y959">
        <f>IF(Z959,TRUE,AND(AC959:AS959))</f>
        <v>0</v>
      </c>
      <c r="Z959">
        <f>COUNTBLANK(Metadata!B959:R959)=COLUMNS(Metadata!B959:R959)</f>
        <v>0</v>
      </c>
      <c r="AA959">
        <v>0</v>
      </c>
      <c r="AC959">
        <f>AND(IF(Metadata!B959="",FALSE,TRUE),COUNTIF(Metadata!B:B, Metadata!B959) = 1,NOT(ISERROR(SUMPRODUCT(SEARCH(MID(Metadata!B959,ROW(INDIRECT("1:"&amp;LEN(Metadata!B959))), 1),"0123456789abcdefghijklmnopqrstuvwxyzABCDEFGHIJKLMNOPQRSTUVWXYZ.")))))</f>
        <v>0</v>
      </c>
      <c r="AD959">
        <f>AND(IF(Metadata!C959="",FALSE,TRUE),exact(Metadata!C959,"Host-associated"))</f>
        <v>0</v>
      </c>
      <c r="AE959">
        <f>AND(IF(Metadata!D959="",FALSE,TRUE),OR(exact(Metadata!D959,"Animal"),exact(Metadata!D959,"Fungus"),exact(Metadata!D959,"Plant")))</f>
        <v>0</v>
      </c>
      <c r="AF959">
        <f>AND(IF(Metadata!E959="",FALSE,TRUE),OR(exact(Metadata!E959,"Plant secretion"),exact(Metadata!E959,"Plant rhizosphere"),exact(Metadata!E959,"Plant surface"),exact(Metadata!E959,"Plant corpus"),exact(Metadata!E959,"Fungus surface"),exact(Metadata!E959,"Fungus corpus"),exact(Metadata!E959,"Animal surface"),exact(Metadata!E959,"Animal proximal gut"),exact(Metadata!E959,"Animal corpus"),exact(Metadata!E959,"Animal distal gut"),exact(Metadata!E959,"Animal secretion")))</f>
        <v>0</v>
      </c>
      <c r="AG959">
        <f>OR(AND(IF(Metadata!F959="",FALSE,TRUE),OR(exact(Metadata!F959,"not collected"),exact(Metadata!F959,"not provided"),exact(Metadata!F959,"restricted access"))),AND(IF(Metadata!F959="",FALSE,TRUE),OR(exact(Metadata!F959,"organism-associated habitat"),exact(Metadata!F959,"plant-associated habitat"),exact(Metadata!F959,"animal-associated habitat"),exact(Metadata!F959,"insecta-associated habitat"),exact(Metadata!F959,"mammalia-associated habitat"),exact(Metadata!F959,"human-associated habitat"),exact(Metadata!F959,"livestock-associated habitat"))))</f>
        <v>0</v>
      </c>
      <c r="AH959">
        <f>AND(IF(Metadata!G959="",FALSE,TRUE),exact(Metadata!G959,"host-associated"))</f>
        <v>0</v>
      </c>
      <c r="AI959">
        <f>OR(AND(IF(Metadata!H959="",FALSE,TRUE),OR(exact(Metadata!H959,"not collected"),exact(Metadata!H959,"not provided"))),AND(IF(Metadata!H959="",FALSE,ISNUMBER(VALUE(Metadata!H959))),Metadata!H959&gt;0))</f>
        <v>0</v>
      </c>
      <c r="AJ959">
        <f>AND(IF(Metadata!I959="",FALSE,TRUE),exact(Metadata!I959,"years"))</f>
        <v>0</v>
      </c>
      <c r="AK959">
        <f>IF(Metadata!J959="",FALSE,TRUE)</f>
        <v>0</v>
      </c>
      <c r="AL959">
        <f>OR(AND(IF(Metadata!K959="",FALSE,TRUE),OR(exact(Metadata!K959,"not collected"),exact(Metadata!K959,"not provided"))),AND(IF(Metadata!K959="",FALSE,ISNUMBER(VALUE(Metadata!K959))),Metadata!K959&gt;0))</f>
        <v>0</v>
      </c>
      <c r="AM959">
        <f>AND(IF(Metadata!L959="",FALSE,TRUE),exact(Metadata!L959,"cm"))</f>
        <v>0</v>
      </c>
      <c r="AN959">
        <f>IF(Metadata!M959="",FALSE,TRUE)</f>
        <v>0</v>
      </c>
      <c r="AO959">
        <f>OR(AND(IF(Metadata!N959="",FALSE,TRUE),OR(exact(Metadata!N959,"not applicable"),exact(Metadata!N959,"not collected"),exact(Metadata!N959,"not provided"))),AND(IF(Metadata!N959="",FALSE,IF(ISERROR(INT(Metadata!N959)),FALSE,INT(Metadata!N959)=Metadata!N959)),Metadata!N959&gt;0))</f>
        <v>0</v>
      </c>
      <c r="AP959">
        <f>OR(AND(IF(Metadata!O959="",FALSE,TRUE),OR(exact(Metadata!O959,"not collected"),exact(Metadata!O959,"not provided"))),AND(IF(Metadata!O959="",FALSE,ISNUMBER(VALUE(Metadata!O959))),Metadata!O959&gt;0))</f>
        <v>0</v>
      </c>
      <c r="AQ959">
        <f>AND(IF(Metadata!P959="",FALSE,TRUE),exact(Metadata!P959,"kg"))</f>
        <v>0</v>
      </c>
      <c r="AR959">
        <f>OR(AND(IF(Metadata!Q959="",FALSE,TRUE),OR(exact(Metadata!Q959,"not applicable"),exact(Metadata!Q959,"not collected"),exact(Metadata!Q959,"not provided"),exact(Metadata!Q959,"restricted access"))),IF(Metadata!Q959="",FALSE,IF(ISERROR(INT(Metadata!Q959)),FALSE,INT(Metadata!Q959)=Metadata!Q959)))</f>
        <v>0</v>
      </c>
      <c r="AS959">
        <f>AND(IF(Metadata!R959="",FALSE,TRUE),exact(Metadata!R959,"Not applicable"))</f>
        <v>0</v>
      </c>
    </row>
    <row r="960" spans="1:45">
      <c r="A960" s="4">
        <f>IF(B960=" "," ",HYPERLINK(CONCATENATE("#metadata!",ADDRESS(INDEX($X$2:$X$1001,MATCH(ROWS($V$2:V960),$V$2:$V$1001,0),0),2)),INDEX($AA$2:$AA$1001,MATCH(ROWS($V$2:V960),$V$2:$V$1001,0),0)))</f>
        <v>0</v>
      </c>
      <c r="B960" s="5">
        <f>IF(OR(INDEX($W$2:$W$1001,MATCH(ROWS($V$2:V960),$V$2:$V$1001,0),1)&gt;=100000,INDEX($AC$1005:$AS$1005,1,MATCH(COLUMNS($AC$1006:AC1006),$AC$1006:$AS$1006,0))&gt;=100000), " ",IF(INDEX($AC$2:$AS$1001,MATCH(ROWS($V$2:V960),$V$2:$V$1001,0),MATCH(COLUMNS($AC$1006:AC1006),$AC$1006:$AS$1006,0)), HYPERLINK("#",""), HYPERLINK(CONCATENATE("#Metadata!", ADDRESS(INDEX($X$2:$X$1001,MATCH(ROWS($V$2:V960),$V$2:$V$1001,0),0), INDEX($AC$1004:$AS$1004,1,MATCH(COLUMNS($AC$1006:AC1006),$AC$1006:$AS$1006,0)))),"Fix")))</f>
        <v>0</v>
      </c>
      <c r="C960" s="5">
        <f>IF(OR(INDEX($W$2:$W$1001,MATCH(ROWS($V$2:V960),$V$2:$V$1001,0),1)&gt;=100000,INDEX($AC$1005:$AS$1005,1,MATCH(COLUMNS($AC$1006:AD1006),$AC$1006:$AS$1006,0))&gt;=100000), " ",IF(INDEX($AC$2:$AS$1001,MATCH(ROWS($V$2:V960),$V$2:$V$1001,0),MATCH(COLUMNS($AC$1006:AD1006),$AC$1006:$AS$1006,0)), HYPERLINK("#",""), HYPERLINK(CONCATENATE("#Metadata!", ADDRESS(INDEX($X$2:$X$1001,MATCH(ROWS($V$2:V960),$V$2:$V$1001,0),0), INDEX($AC$1004:$AS$1004,1,MATCH(COLUMNS($AC$1006:AD1006),$AC$1006:$AS$1006,0)))),"Fix")))</f>
        <v>0</v>
      </c>
      <c r="D960" s="5">
        <f>IF(OR(INDEX($W$2:$W$1001,MATCH(ROWS($V$2:V960),$V$2:$V$1001,0),1)&gt;=100000,INDEX($AC$1005:$AS$1005,1,MATCH(COLUMNS($AC$1006:AE1006),$AC$1006:$AS$1006,0))&gt;=100000), " ",IF(INDEX($AC$2:$AS$1001,MATCH(ROWS($V$2:V960),$V$2:$V$1001,0),MATCH(COLUMNS($AC$1006:AE1006),$AC$1006:$AS$1006,0)), HYPERLINK("#",""), HYPERLINK(CONCATENATE("#Metadata!", ADDRESS(INDEX($X$2:$X$1001,MATCH(ROWS($V$2:V960),$V$2:$V$1001,0),0), INDEX($AC$1004:$AS$1004,1,MATCH(COLUMNS($AC$1006:AE1006),$AC$1006:$AS$1006,0)))),"Fix")))</f>
        <v>0</v>
      </c>
      <c r="E960" s="5">
        <f>IF(OR(INDEX($W$2:$W$1001,MATCH(ROWS($V$2:V960),$V$2:$V$1001,0),1)&gt;=100000,INDEX($AC$1005:$AS$1005,1,MATCH(COLUMNS($AC$1006:AF1006),$AC$1006:$AS$1006,0))&gt;=100000), " ",IF(INDEX($AC$2:$AS$1001,MATCH(ROWS($V$2:V960),$V$2:$V$1001,0),MATCH(COLUMNS($AC$1006:AF1006),$AC$1006:$AS$1006,0)), HYPERLINK("#",""), HYPERLINK(CONCATENATE("#Metadata!", ADDRESS(INDEX($X$2:$X$1001,MATCH(ROWS($V$2:V960),$V$2:$V$1001,0),0), INDEX($AC$1004:$AS$1004,1,MATCH(COLUMNS($AC$1006:AF1006),$AC$1006:$AS$1006,0)))),"Fix")))</f>
        <v>0</v>
      </c>
      <c r="F960" s="5">
        <f>IF(OR(INDEX($W$2:$W$1001,MATCH(ROWS($V$2:V960),$V$2:$V$1001,0),1)&gt;=100000,INDEX($AC$1005:$AS$1005,1,MATCH(COLUMNS($AC$1006:AG1006),$AC$1006:$AS$1006,0))&gt;=100000), " ",IF(INDEX($AC$2:$AS$1001,MATCH(ROWS($V$2:V960),$V$2:$V$1001,0),MATCH(COLUMNS($AC$1006:AG1006),$AC$1006:$AS$1006,0)), HYPERLINK("#",""), HYPERLINK(CONCATENATE("#Metadata!", ADDRESS(INDEX($X$2:$X$1001,MATCH(ROWS($V$2:V960),$V$2:$V$1001,0),0), INDEX($AC$1004:$AS$1004,1,MATCH(COLUMNS($AC$1006:AG1006),$AC$1006:$AS$1006,0)))),"Fix")))</f>
        <v>0</v>
      </c>
      <c r="G960" s="5">
        <f>IF(OR(INDEX($W$2:$W$1001,MATCH(ROWS($V$2:V960),$V$2:$V$1001,0),1)&gt;=100000,INDEX($AC$1005:$AS$1005,1,MATCH(COLUMNS($AC$1006:AH1006),$AC$1006:$AS$1006,0))&gt;=100000), " ",IF(INDEX($AC$2:$AS$1001,MATCH(ROWS($V$2:V960),$V$2:$V$1001,0),MATCH(COLUMNS($AC$1006:AH1006),$AC$1006:$AS$1006,0)), HYPERLINK("#",""), HYPERLINK(CONCATENATE("#Metadata!", ADDRESS(INDEX($X$2:$X$1001,MATCH(ROWS($V$2:V960),$V$2:$V$1001,0),0), INDEX($AC$1004:$AS$1004,1,MATCH(COLUMNS($AC$1006:AH1006),$AC$1006:$AS$1006,0)))),"Fix")))</f>
        <v>0</v>
      </c>
      <c r="H960" s="5">
        <f>IF(OR(INDEX($W$2:$W$1001,MATCH(ROWS($V$2:V960),$V$2:$V$1001,0),1)&gt;=100000,INDEX($AC$1005:$AS$1005,1,MATCH(COLUMNS($AC$1006:AI1006),$AC$1006:$AS$1006,0))&gt;=100000), " ",IF(INDEX($AC$2:$AS$1001,MATCH(ROWS($V$2:V960),$V$2:$V$1001,0),MATCH(COLUMNS($AC$1006:AI1006),$AC$1006:$AS$1006,0)), HYPERLINK("#",""), HYPERLINK(CONCATENATE("#Metadata!", ADDRESS(INDEX($X$2:$X$1001,MATCH(ROWS($V$2:V960),$V$2:$V$1001,0),0), INDEX($AC$1004:$AS$1004,1,MATCH(COLUMNS($AC$1006:AI1006),$AC$1006:$AS$1006,0)))),"Fix")))</f>
        <v>0</v>
      </c>
      <c r="I960" s="5">
        <f>IF(OR(INDEX($W$2:$W$1001,MATCH(ROWS($V$2:V960),$V$2:$V$1001,0),1)&gt;=100000,INDEX($AC$1005:$AS$1005,1,MATCH(COLUMNS($AC$1006:AJ1006),$AC$1006:$AS$1006,0))&gt;=100000), " ",IF(INDEX($AC$2:$AS$1001,MATCH(ROWS($V$2:V960),$V$2:$V$1001,0),MATCH(COLUMNS($AC$1006:AJ1006),$AC$1006:$AS$1006,0)), HYPERLINK("#",""), HYPERLINK(CONCATENATE("#Metadata!", ADDRESS(INDEX($X$2:$X$1001,MATCH(ROWS($V$2:V960),$V$2:$V$1001,0),0), INDEX($AC$1004:$AS$1004,1,MATCH(COLUMNS($AC$1006:AJ1006),$AC$1006:$AS$1006,0)))),"Fix")))</f>
        <v>0</v>
      </c>
      <c r="J960" s="5">
        <f>IF(OR(INDEX($W$2:$W$1001,MATCH(ROWS($V$2:V960),$V$2:$V$1001,0),1)&gt;=100000,INDEX($AC$1005:$AS$1005,1,MATCH(COLUMNS($AC$1006:AK1006),$AC$1006:$AS$1006,0))&gt;=100000), " ",IF(INDEX($AC$2:$AS$1001,MATCH(ROWS($V$2:V960),$V$2:$V$1001,0),MATCH(COLUMNS($AC$1006:AK1006),$AC$1006:$AS$1006,0)), HYPERLINK("#",""), HYPERLINK(CONCATENATE("#Metadata!", ADDRESS(INDEX($X$2:$X$1001,MATCH(ROWS($V$2:V960),$V$2:$V$1001,0),0), INDEX($AC$1004:$AS$1004,1,MATCH(COLUMNS($AC$1006:AK1006),$AC$1006:$AS$1006,0)))),"Fix")))</f>
        <v>0</v>
      </c>
      <c r="K960" s="5">
        <f>IF(OR(INDEX($W$2:$W$1001,MATCH(ROWS($V$2:V960),$V$2:$V$1001,0),1)&gt;=100000,INDEX($AC$1005:$AS$1005,1,MATCH(COLUMNS($AC$1006:AL1006),$AC$1006:$AS$1006,0))&gt;=100000), " ",IF(INDEX($AC$2:$AS$1001,MATCH(ROWS($V$2:V960),$V$2:$V$1001,0),MATCH(COLUMNS($AC$1006:AL1006),$AC$1006:$AS$1006,0)), HYPERLINK("#",""), HYPERLINK(CONCATENATE("#Metadata!", ADDRESS(INDEX($X$2:$X$1001,MATCH(ROWS($V$2:V960),$V$2:$V$1001,0),0), INDEX($AC$1004:$AS$1004,1,MATCH(COLUMNS($AC$1006:AL1006),$AC$1006:$AS$1006,0)))),"Fix")))</f>
        <v>0</v>
      </c>
      <c r="L960" s="5">
        <f>IF(OR(INDEX($W$2:$W$1001,MATCH(ROWS($V$2:V960),$V$2:$V$1001,0),1)&gt;=100000,INDEX($AC$1005:$AS$1005,1,MATCH(COLUMNS($AC$1006:AM1006),$AC$1006:$AS$1006,0))&gt;=100000), " ",IF(INDEX($AC$2:$AS$1001,MATCH(ROWS($V$2:V960),$V$2:$V$1001,0),MATCH(COLUMNS($AC$1006:AM1006),$AC$1006:$AS$1006,0)), HYPERLINK("#",""), HYPERLINK(CONCATENATE("#Metadata!", ADDRESS(INDEX($X$2:$X$1001,MATCH(ROWS($V$2:V960),$V$2:$V$1001,0),0), INDEX($AC$1004:$AS$1004,1,MATCH(COLUMNS($AC$1006:AM1006),$AC$1006:$AS$1006,0)))),"Fix")))</f>
        <v>0</v>
      </c>
      <c r="M960" s="5">
        <f>IF(OR(INDEX($W$2:$W$1001,MATCH(ROWS($V$2:V960),$V$2:$V$1001,0),1)&gt;=100000,INDEX($AC$1005:$AS$1005,1,MATCH(COLUMNS($AC$1006:AN1006),$AC$1006:$AS$1006,0))&gt;=100000), " ",IF(INDEX($AC$2:$AS$1001,MATCH(ROWS($V$2:V960),$V$2:$V$1001,0),MATCH(COLUMNS($AC$1006:AN1006),$AC$1006:$AS$1006,0)), HYPERLINK("#",""), HYPERLINK(CONCATENATE("#Metadata!", ADDRESS(INDEX($X$2:$X$1001,MATCH(ROWS($V$2:V960),$V$2:$V$1001,0),0), INDEX($AC$1004:$AS$1004,1,MATCH(COLUMNS($AC$1006:AN1006),$AC$1006:$AS$1006,0)))),"Fix")))</f>
        <v>0</v>
      </c>
      <c r="N960" s="5">
        <f>IF(OR(INDEX($W$2:$W$1001,MATCH(ROWS($V$2:V960),$V$2:$V$1001,0),1)&gt;=100000,INDEX($AC$1005:$AS$1005,1,MATCH(COLUMNS($AC$1006:AO1006),$AC$1006:$AS$1006,0))&gt;=100000), " ",IF(INDEX($AC$2:$AS$1001,MATCH(ROWS($V$2:V960),$V$2:$V$1001,0),MATCH(COLUMNS($AC$1006:AO1006),$AC$1006:$AS$1006,0)), HYPERLINK("#",""), HYPERLINK(CONCATENATE("#Metadata!", ADDRESS(INDEX($X$2:$X$1001,MATCH(ROWS($V$2:V960),$V$2:$V$1001,0),0), INDEX($AC$1004:$AS$1004,1,MATCH(COLUMNS($AC$1006:AO1006),$AC$1006:$AS$1006,0)))),"Fix")))</f>
        <v>0</v>
      </c>
      <c r="O960" s="5">
        <f>IF(OR(INDEX($W$2:$W$1001,MATCH(ROWS($V$2:V960),$V$2:$V$1001,0),1)&gt;=100000,INDEX($AC$1005:$AS$1005,1,MATCH(COLUMNS($AC$1006:AP1006),$AC$1006:$AS$1006,0))&gt;=100000), " ",IF(INDEX($AC$2:$AS$1001,MATCH(ROWS($V$2:V960),$V$2:$V$1001,0),MATCH(COLUMNS($AC$1006:AP1006),$AC$1006:$AS$1006,0)), HYPERLINK("#",""), HYPERLINK(CONCATENATE("#Metadata!", ADDRESS(INDEX($X$2:$X$1001,MATCH(ROWS($V$2:V960),$V$2:$V$1001,0),0), INDEX($AC$1004:$AS$1004,1,MATCH(COLUMNS($AC$1006:AP1006),$AC$1006:$AS$1006,0)))),"Fix")))</f>
        <v>0</v>
      </c>
      <c r="P960" s="5">
        <f>IF(OR(INDEX($W$2:$W$1001,MATCH(ROWS($V$2:V960),$V$2:$V$1001,0),1)&gt;=100000,INDEX($AC$1005:$AS$1005,1,MATCH(COLUMNS($AC$1006:AQ1006),$AC$1006:$AS$1006,0))&gt;=100000), " ",IF(INDEX($AC$2:$AS$1001,MATCH(ROWS($V$2:V960),$V$2:$V$1001,0),MATCH(COLUMNS($AC$1006:AQ1006),$AC$1006:$AS$1006,0)), HYPERLINK("#",""), HYPERLINK(CONCATENATE("#Metadata!", ADDRESS(INDEX($X$2:$X$1001,MATCH(ROWS($V$2:V960),$V$2:$V$1001,0),0), INDEX($AC$1004:$AS$1004,1,MATCH(COLUMNS($AC$1006:AQ1006),$AC$1006:$AS$1006,0)))),"Fix")))</f>
        <v>0</v>
      </c>
      <c r="Q960" s="5">
        <f>IF(OR(INDEX($W$2:$W$1001,MATCH(ROWS($V$2:V960),$V$2:$V$1001,0),1)&gt;=100000,INDEX($AC$1005:$AS$1005,1,MATCH(COLUMNS($AC$1006:AR1006),$AC$1006:$AS$1006,0))&gt;=100000), " ",IF(INDEX($AC$2:$AS$1001,MATCH(ROWS($V$2:V960),$V$2:$V$1001,0),MATCH(COLUMNS($AC$1006:AR1006),$AC$1006:$AS$1006,0)), HYPERLINK("#",""), HYPERLINK(CONCATENATE("#Metadata!", ADDRESS(INDEX($X$2:$X$1001,MATCH(ROWS($V$2:V960),$V$2:$V$1001,0),0), INDEX($AC$1004:$AS$1004,1,MATCH(COLUMNS($AC$1006:AR1006),$AC$1006:$AS$1006,0)))),"Fix")))</f>
        <v>0</v>
      </c>
      <c r="R960" s="5">
        <f>IF(OR(INDEX($W$2:$W$1001,MATCH(ROWS($V$2:V960),$V$2:$V$1001,0),1)&gt;=100000,INDEX($AC$1005:$AS$1005,1,MATCH(COLUMNS($AC$1006:AS1006),$AC$1006:$AS$1006,0))&gt;=100000), " ",IF(INDEX($AC$2:$AS$1001,MATCH(ROWS($V$2:V960),$V$2:$V$1001,0),MATCH(COLUMNS($AC$1006:AS1006),$AC$1006:$AS$1006,0)), HYPERLINK("#",""), HYPERLINK(CONCATENATE("#Metadata!", ADDRESS(INDEX($X$2:$X$1001,MATCH(ROWS($V$2:V960),$V$2:$V$1001,0),0), INDEX($AC$1004:$AS$1004,1,MATCH(COLUMNS($AC$1006:AS1006),$AC$1006:$AS$1006,0)))),"Fix")))</f>
        <v>0</v>
      </c>
      <c r="V960">
        <v>0</v>
      </c>
      <c r="W960">
        <v>0</v>
      </c>
      <c r="X960">
        <v>0</v>
      </c>
      <c r="Y960">
        <f>IF(Z960,TRUE,AND(AC960:AS960))</f>
        <v>0</v>
      </c>
      <c r="Z960">
        <f>COUNTBLANK(Metadata!B960:R960)=COLUMNS(Metadata!B960:R960)</f>
        <v>0</v>
      </c>
      <c r="AA960">
        <v>0</v>
      </c>
      <c r="AC960">
        <f>AND(IF(Metadata!B960="",FALSE,TRUE),COUNTIF(Metadata!B:B, Metadata!B960) = 1,NOT(ISERROR(SUMPRODUCT(SEARCH(MID(Metadata!B960,ROW(INDIRECT("1:"&amp;LEN(Metadata!B960))), 1),"0123456789abcdefghijklmnopqrstuvwxyzABCDEFGHIJKLMNOPQRSTUVWXYZ.")))))</f>
        <v>0</v>
      </c>
      <c r="AD960">
        <f>AND(IF(Metadata!C960="",FALSE,TRUE),exact(Metadata!C960,"Host-associated"))</f>
        <v>0</v>
      </c>
      <c r="AE960">
        <f>AND(IF(Metadata!D960="",FALSE,TRUE),OR(exact(Metadata!D960,"Animal"),exact(Metadata!D960,"Fungus"),exact(Metadata!D960,"Plant")))</f>
        <v>0</v>
      </c>
      <c r="AF960">
        <f>AND(IF(Metadata!E960="",FALSE,TRUE),OR(exact(Metadata!E960,"Plant secretion"),exact(Metadata!E960,"Plant rhizosphere"),exact(Metadata!E960,"Plant surface"),exact(Metadata!E960,"Plant corpus"),exact(Metadata!E960,"Fungus surface"),exact(Metadata!E960,"Fungus corpus"),exact(Metadata!E960,"Animal surface"),exact(Metadata!E960,"Animal proximal gut"),exact(Metadata!E960,"Animal corpus"),exact(Metadata!E960,"Animal distal gut"),exact(Metadata!E960,"Animal secretion")))</f>
        <v>0</v>
      </c>
      <c r="AG960">
        <f>OR(AND(IF(Metadata!F960="",FALSE,TRUE),OR(exact(Metadata!F960,"not collected"),exact(Metadata!F960,"not provided"),exact(Metadata!F960,"restricted access"))),AND(IF(Metadata!F960="",FALSE,TRUE),OR(exact(Metadata!F960,"organism-associated habitat"),exact(Metadata!F960,"plant-associated habitat"),exact(Metadata!F960,"animal-associated habitat"),exact(Metadata!F960,"insecta-associated habitat"),exact(Metadata!F960,"mammalia-associated habitat"),exact(Metadata!F960,"human-associated habitat"),exact(Metadata!F960,"livestock-associated habitat"))))</f>
        <v>0</v>
      </c>
      <c r="AH960">
        <f>AND(IF(Metadata!G960="",FALSE,TRUE),exact(Metadata!G960,"host-associated"))</f>
        <v>0</v>
      </c>
      <c r="AI960">
        <f>OR(AND(IF(Metadata!H960="",FALSE,TRUE),OR(exact(Metadata!H960,"not collected"),exact(Metadata!H960,"not provided"))),AND(IF(Metadata!H960="",FALSE,ISNUMBER(VALUE(Metadata!H960))),Metadata!H960&gt;0))</f>
        <v>0</v>
      </c>
      <c r="AJ960">
        <f>AND(IF(Metadata!I960="",FALSE,TRUE),exact(Metadata!I960,"years"))</f>
        <v>0</v>
      </c>
      <c r="AK960">
        <f>IF(Metadata!J960="",FALSE,TRUE)</f>
        <v>0</v>
      </c>
      <c r="AL960">
        <f>OR(AND(IF(Metadata!K960="",FALSE,TRUE),OR(exact(Metadata!K960,"not collected"),exact(Metadata!K960,"not provided"))),AND(IF(Metadata!K960="",FALSE,ISNUMBER(VALUE(Metadata!K960))),Metadata!K960&gt;0))</f>
        <v>0</v>
      </c>
      <c r="AM960">
        <f>AND(IF(Metadata!L960="",FALSE,TRUE),exact(Metadata!L960,"cm"))</f>
        <v>0</v>
      </c>
      <c r="AN960">
        <f>IF(Metadata!M960="",FALSE,TRUE)</f>
        <v>0</v>
      </c>
      <c r="AO960">
        <f>OR(AND(IF(Metadata!N960="",FALSE,TRUE),OR(exact(Metadata!N960,"not applicable"),exact(Metadata!N960,"not collected"),exact(Metadata!N960,"not provided"))),AND(IF(Metadata!N960="",FALSE,IF(ISERROR(INT(Metadata!N960)),FALSE,INT(Metadata!N960)=Metadata!N960)),Metadata!N960&gt;0))</f>
        <v>0</v>
      </c>
      <c r="AP960">
        <f>OR(AND(IF(Metadata!O960="",FALSE,TRUE),OR(exact(Metadata!O960,"not collected"),exact(Metadata!O960,"not provided"))),AND(IF(Metadata!O960="",FALSE,ISNUMBER(VALUE(Metadata!O960))),Metadata!O960&gt;0))</f>
        <v>0</v>
      </c>
      <c r="AQ960">
        <f>AND(IF(Metadata!P960="",FALSE,TRUE),exact(Metadata!P960,"kg"))</f>
        <v>0</v>
      </c>
      <c r="AR960">
        <f>OR(AND(IF(Metadata!Q960="",FALSE,TRUE),OR(exact(Metadata!Q960,"not applicable"),exact(Metadata!Q960,"not collected"),exact(Metadata!Q960,"not provided"),exact(Metadata!Q960,"restricted access"))),IF(Metadata!Q960="",FALSE,IF(ISERROR(INT(Metadata!Q960)),FALSE,INT(Metadata!Q960)=Metadata!Q960)))</f>
        <v>0</v>
      </c>
      <c r="AS960">
        <f>AND(IF(Metadata!R960="",FALSE,TRUE),exact(Metadata!R960,"Not applicable"))</f>
        <v>0</v>
      </c>
    </row>
    <row r="961" spans="1:45">
      <c r="A961" s="4">
        <f>IF(B961=" "," ",HYPERLINK(CONCATENATE("#metadata!",ADDRESS(INDEX($X$2:$X$1001,MATCH(ROWS($V$2:V961),$V$2:$V$1001,0),0),2)),INDEX($AA$2:$AA$1001,MATCH(ROWS($V$2:V961),$V$2:$V$1001,0),0)))</f>
        <v>0</v>
      </c>
      <c r="B961" s="5">
        <f>IF(OR(INDEX($W$2:$W$1001,MATCH(ROWS($V$2:V961),$V$2:$V$1001,0),1)&gt;=100000,INDEX($AC$1005:$AS$1005,1,MATCH(COLUMNS($AC$1006:AC1006),$AC$1006:$AS$1006,0))&gt;=100000), " ",IF(INDEX($AC$2:$AS$1001,MATCH(ROWS($V$2:V961),$V$2:$V$1001,0),MATCH(COLUMNS($AC$1006:AC1006),$AC$1006:$AS$1006,0)), HYPERLINK("#",""), HYPERLINK(CONCATENATE("#Metadata!", ADDRESS(INDEX($X$2:$X$1001,MATCH(ROWS($V$2:V961),$V$2:$V$1001,0),0), INDEX($AC$1004:$AS$1004,1,MATCH(COLUMNS($AC$1006:AC1006),$AC$1006:$AS$1006,0)))),"Fix")))</f>
        <v>0</v>
      </c>
      <c r="C961" s="5">
        <f>IF(OR(INDEX($W$2:$W$1001,MATCH(ROWS($V$2:V961),$V$2:$V$1001,0),1)&gt;=100000,INDEX($AC$1005:$AS$1005,1,MATCH(COLUMNS($AC$1006:AD1006),$AC$1006:$AS$1006,0))&gt;=100000), " ",IF(INDEX($AC$2:$AS$1001,MATCH(ROWS($V$2:V961),$V$2:$V$1001,0),MATCH(COLUMNS($AC$1006:AD1006),$AC$1006:$AS$1006,0)), HYPERLINK("#",""), HYPERLINK(CONCATENATE("#Metadata!", ADDRESS(INDEX($X$2:$X$1001,MATCH(ROWS($V$2:V961),$V$2:$V$1001,0),0), INDEX($AC$1004:$AS$1004,1,MATCH(COLUMNS($AC$1006:AD1006),$AC$1006:$AS$1006,0)))),"Fix")))</f>
        <v>0</v>
      </c>
      <c r="D961" s="5">
        <f>IF(OR(INDEX($W$2:$W$1001,MATCH(ROWS($V$2:V961),$V$2:$V$1001,0),1)&gt;=100000,INDEX($AC$1005:$AS$1005,1,MATCH(COLUMNS($AC$1006:AE1006),$AC$1006:$AS$1006,0))&gt;=100000), " ",IF(INDEX($AC$2:$AS$1001,MATCH(ROWS($V$2:V961),$V$2:$V$1001,0),MATCH(COLUMNS($AC$1006:AE1006),$AC$1006:$AS$1006,0)), HYPERLINK("#",""), HYPERLINK(CONCATENATE("#Metadata!", ADDRESS(INDEX($X$2:$X$1001,MATCH(ROWS($V$2:V961),$V$2:$V$1001,0),0), INDEX($AC$1004:$AS$1004,1,MATCH(COLUMNS($AC$1006:AE1006),$AC$1006:$AS$1006,0)))),"Fix")))</f>
        <v>0</v>
      </c>
      <c r="E961" s="5">
        <f>IF(OR(INDEX($W$2:$W$1001,MATCH(ROWS($V$2:V961),$V$2:$V$1001,0),1)&gt;=100000,INDEX($AC$1005:$AS$1005,1,MATCH(COLUMNS($AC$1006:AF1006),$AC$1006:$AS$1006,0))&gt;=100000), " ",IF(INDEX($AC$2:$AS$1001,MATCH(ROWS($V$2:V961),$V$2:$V$1001,0),MATCH(COLUMNS($AC$1006:AF1006),$AC$1006:$AS$1006,0)), HYPERLINK("#",""), HYPERLINK(CONCATENATE("#Metadata!", ADDRESS(INDEX($X$2:$X$1001,MATCH(ROWS($V$2:V961),$V$2:$V$1001,0),0), INDEX($AC$1004:$AS$1004,1,MATCH(COLUMNS($AC$1006:AF1006),$AC$1006:$AS$1006,0)))),"Fix")))</f>
        <v>0</v>
      </c>
      <c r="F961" s="5">
        <f>IF(OR(INDEX($W$2:$W$1001,MATCH(ROWS($V$2:V961),$V$2:$V$1001,0),1)&gt;=100000,INDEX($AC$1005:$AS$1005,1,MATCH(COLUMNS($AC$1006:AG1006),$AC$1006:$AS$1006,0))&gt;=100000), " ",IF(INDEX($AC$2:$AS$1001,MATCH(ROWS($V$2:V961),$V$2:$V$1001,0),MATCH(COLUMNS($AC$1006:AG1006),$AC$1006:$AS$1006,0)), HYPERLINK("#",""), HYPERLINK(CONCATENATE("#Metadata!", ADDRESS(INDEX($X$2:$X$1001,MATCH(ROWS($V$2:V961),$V$2:$V$1001,0),0), INDEX($AC$1004:$AS$1004,1,MATCH(COLUMNS($AC$1006:AG1006),$AC$1006:$AS$1006,0)))),"Fix")))</f>
        <v>0</v>
      </c>
      <c r="G961" s="5">
        <f>IF(OR(INDEX($W$2:$W$1001,MATCH(ROWS($V$2:V961),$V$2:$V$1001,0),1)&gt;=100000,INDEX($AC$1005:$AS$1005,1,MATCH(COLUMNS($AC$1006:AH1006),$AC$1006:$AS$1006,0))&gt;=100000), " ",IF(INDEX($AC$2:$AS$1001,MATCH(ROWS($V$2:V961),$V$2:$V$1001,0),MATCH(COLUMNS($AC$1006:AH1006),$AC$1006:$AS$1006,0)), HYPERLINK("#",""), HYPERLINK(CONCATENATE("#Metadata!", ADDRESS(INDEX($X$2:$X$1001,MATCH(ROWS($V$2:V961),$V$2:$V$1001,0),0), INDEX($AC$1004:$AS$1004,1,MATCH(COLUMNS($AC$1006:AH1006),$AC$1006:$AS$1006,0)))),"Fix")))</f>
        <v>0</v>
      </c>
      <c r="H961" s="5">
        <f>IF(OR(INDEX($W$2:$W$1001,MATCH(ROWS($V$2:V961),$V$2:$V$1001,0),1)&gt;=100000,INDEX($AC$1005:$AS$1005,1,MATCH(COLUMNS($AC$1006:AI1006),$AC$1006:$AS$1006,0))&gt;=100000), " ",IF(INDEX($AC$2:$AS$1001,MATCH(ROWS($V$2:V961),$V$2:$V$1001,0),MATCH(COLUMNS($AC$1006:AI1006),$AC$1006:$AS$1006,0)), HYPERLINK("#",""), HYPERLINK(CONCATENATE("#Metadata!", ADDRESS(INDEX($X$2:$X$1001,MATCH(ROWS($V$2:V961),$V$2:$V$1001,0),0), INDEX($AC$1004:$AS$1004,1,MATCH(COLUMNS($AC$1006:AI1006),$AC$1006:$AS$1006,0)))),"Fix")))</f>
        <v>0</v>
      </c>
      <c r="I961" s="5">
        <f>IF(OR(INDEX($W$2:$W$1001,MATCH(ROWS($V$2:V961),$V$2:$V$1001,0),1)&gt;=100000,INDEX($AC$1005:$AS$1005,1,MATCH(COLUMNS($AC$1006:AJ1006),$AC$1006:$AS$1006,0))&gt;=100000), " ",IF(INDEX($AC$2:$AS$1001,MATCH(ROWS($V$2:V961),$V$2:$V$1001,0),MATCH(COLUMNS($AC$1006:AJ1006),$AC$1006:$AS$1006,0)), HYPERLINK("#",""), HYPERLINK(CONCATENATE("#Metadata!", ADDRESS(INDEX($X$2:$X$1001,MATCH(ROWS($V$2:V961),$V$2:$V$1001,0),0), INDEX($AC$1004:$AS$1004,1,MATCH(COLUMNS($AC$1006:AJ1006),$AC$1006:$AS$1006,0)))),"Fix")))</f>
        <v>0</v>
      </c>
      <c r="J961" s="5">
        <f>IF(OR(INDEX($W$2:$W$1001,MATCH(ROWS($V$2:V961),$V$2:$V$1001,0),1)&gt;=100000,INDEX($AC$1005:$AS$1005,1,MATCH(COLUMNS($AC$1006:AK1006),$AC$1006:$AS$1006,0))&gt;=100000), " ",IF(INDEX($AC$2:$AS$1001,MATCH(ROWS($V$2:V961),$V$2:$V$1001,0),MATCH(COLUMNS($AC$1006:AK1006),$AC$1006:$AS$1006,0)), HYPERLINK("#",""), HYPERLINK(CONCATENATE("#Metadata!", ADDRESS(INDEX($X$2:$X$1001,MATCH(ROWS($V$2:V961),$V$2:$V$1001,0),0), INDEX($AC$1004:$AS$1004,1,MATCH(COLUMNS($AC$1006:AK1006),$AC$1006:$AS$1006,0)))),"Fix")))</f>
        <v>0</v>
      </c>
      <c r="K961" s="5">
        <f>IF(OR(INDEX($W$2:$W$1001,MATCH(ROWS($V$2:V961),$V$2:$V$1001,0),1)&gt;=100000,INDEX($AC$1005:$AS$1005,1,MATCH(COLUMNS($AC$1006:AL1006),$AC$1006:$AS$1006,0))&gt;=100000), " ",IF(INDEX($AC$2:$AS$1001,MATCH(ROWS($V$2:V961),$V$2:$V$1001,0),MATCH(COLUMNS($AC$1006:AL1006),$AC$1006:$AS$1006,0)), HYPERLINK("#",""), HYPERLINK(CONCATENATE("#Metadata!", ADDRESS(INDEX($X$2:$X$1001,MATCH(ROWS($V$2:V961),$V$2:$V$1001,0),0), INDEX($AC$1004:$AS$1004,1,MATCH(COLUMNS($AC$1006:AL1006),$AC$1006:$AS$1006,0)))),"Fix")))</f>
        <v>0</v>
      </c>
      <c r="L961" s="5">
        <f>IF(OR(INDEX($W$2:$W$1001,MATCH(ROWS($V$2:V961),$V$2:$V$1001,0),1)&gt;=100000,INDEX($AC$1005:$AS$1005,1,MATCH(COLUMNS($AC$1006:AM1006),$AC$1006:$AS$1006,0))&gt;=100000), " ",IF(INDEX($AC$2:$AS$1001,MATCH(ROWS($V$2:V961),$V$2:$V$1001,0),MATCH(COLUMNS($AC$1006:AM1006),$AC$1006:$AS$1006,0)), HYPERLINK("#",""), HYPERLINK(CONCATENATE("#Metadata!", ADDRESS(INDEX($X$2:$X$1001,MATCH(ROWS($V$2:V961),$V$2:$V$1001,0),0), INDEX($AC$1004:$AS$1004,1,MATCH(COLUMNS($AC$1006:AM1006),$AC$1006:$AS$1006,0)))),"Fix")))</f>
        <v>0</v>
      </c>
      <c r="M961" s="5">
        <f>IF(OR(INDEX($W$2:$W$1001,MATCH(ROWS($V$2:V961),$V$2:$V$1001,0),1)&gt;=100000,INDEX($AC$1005:$AS$1005,1,MATCH(COLUMNS($AC$1006:AN1006),$AC$1006:$AS$1006,0))&gt;=100000), " ",IF(INDEX($AC$2:$AS$1001,MATCH(ROWS($V$2:V961),$V$2:$V$1001,0),MATCH(COLUMNS($AC$1006:AN1006),$AC$1006:$AS$1006,0)), HYPERLINK("#",""), HYPERLINK(CONCATENATE("#Metadata!", ADDRESS(INDEX($X$2:$X$1001,MATCH(ROWS($V$2:V961),$V$2:$V$1001,0),0), INDEX($AC$1004:$AS$1004,1,MATCH(COLUMNS($AC$1006:AN1006),$AC$1006:$AS$1006,0)))),"Fix")))</f>
        <v>0</v>
      </c>
      <c r="N961" s="5">
        <f>IF(OR(INDEX($W$2:$W$1001,MATCH(ROWS($V$2:V961),$V$2:$V$1001,0),1)&gt;=100000,INDEX($AC$1005:$AS$1005,1,MATCH(COLUMNS($AC$1006:AO1006),$AC$1006:$AS$1006,0))&gt;=100000), " ",IF(INDEX($AC$2:$AS$1001,MATCH(ROWS($V$2:V961),$V$2:$V$1001,0),MATCH(COLUMNS($AC$1006:AO1006),$AC$1006:$AS$1006,0)), HYPERLINK("#",""), HYPERLINK(CONCATENATE("#Metadata!", ADDRESS(INDEX($X$2:$X$1001,MATCH(ROWS($V$2:V961),$V$2:$V$1001,0),0), INDEX($AC$1004:$AS$1004,1,MATCH(COLUMNS($AC$1006:AO1006),$AC$1006:$AS$1006,0)))),"Fix")))</f>
        <v>0</v>
      </c>
      <c r="O961" s="5">
        <f>IF(OR(INDEX($W$2:$W$1001,MATCH(ROWS($V$2:V961),$V$2:$V$1001,0),1)&gt;=100000,INDEX($AC$1005:$AS$1005,1,MATCH(COLUMNS($AC$1006:AP1006),$AC$1006:$AS$1006,0))&gt;=100000), " ",IF(INDEX($AC$2:$AS$1001,MATCH(ROWS($V$2:V961),$V$2:$V$1001,0),MATCH(COLUMNS($AC$1006:AP1006),$AC$1006:$AS$1006,0)), HYPERLINK("#",""), HYPERLINK(CONCATENATE("#Metadata!", ADDRESS(INDEX($X$2:$X$1001,MATCH(ROWS($V$2:V961),$V$2:$V$1001,0),0), INDEX($AC$1004:$AS$1004,1,MATCH(COLUMNS($AC$1006:AP1006),$AC$1006:$AS$1006,0)))),"Fix")))</f>
        <v>0</v>
      </c>
      <c r="P961" s="5">
        <f>IF(OR(INDEX($W$2:$W$1001,MATCH(ROWS($V$2:V961),$V$2:$V$1001,0),1)&gt;=100000,INDEX($AC$1005:$AS$1005,1,MATCH(COLUMNS($AC$1006:AQ1006),$AC$1006:$AS$1006,0))&gt;=100000), " ",IF(INDEX($AC$2:$AS$1001,MATCH(ROWS($V$2:V961),$V$2:$V$1001,0),MATCH(COLUMNS($AC$1006:AQ1006),$AC$1006:$AS$1006,0)), HYPERLINK("#",""), HYPERLINK(CONCATENATE("#Metadata!", ADDRESS(INDEX($X$2:$X$1001,MATCH(ROWS($V$2:V961),$V$2:$V$1001,0),0), INDEX($AC$1004:$AS$1004,1,MATCH(COLUMNS($AC$1006:AQ1006),$AC$1006:$AS$1006,0)))),"Fix")))</f>
        <v>0</v>
      </c>
      <c r="Q961" s="5">
        <f>IF(OR(INDEX($W$2:$W$1001,MATCH(ROWS($V$2:V961),$V$2:$V$1001,0),1)&gt;=100000,INDEX($AC$1005:$AS$1005,1,MATCH(COLUMNS($AC$1006:AR1006),$AC$1006:$AS$1006,0))&gt;=100000), " ",IF(INDEX($AC$2:$AS$1001,MATCH(ROWS($V$2:V961),$V$2:$V$1001,0),MATCH(COLUMNS($AC$1006:AR1006),$AC$1006:$AS$1006,0)), HYPERLINK("#",""), HYPERLINK(CONCATENATE("#Metadata!", ADDRESS(INDEX($X$2:$X$1001,MATCH(ROWS($V$2:V961),$V$2:$V$1001,0),0), INDEX($AC$1004:$AS$1004,1,MATCH(COLUMNS($AC$1006:AR1006),$AC$1006:$AS$1006,0)))),"Fix")))</f>
        <v>0</v>
      </c>
      <c r="R961" s="5">
        <f>IF(OR(INDEX($W$2:$W$1001,MATCH(ROWS($V$2:V961),$V$2:$V$1001,0),1)&gt;=100000,INDEX($AC$1005:$AS$1005,1,MATCH(COLUMNS($AC$1006:AS1006),$AC$1006:$AS$1006,0))&gt;=100000), " ",IF(INDEX($AC$2:$AS$1001,MATCH(ROWS($V$2:V961),$V$2:$V$1001,0),MATCH(COLUMNS($AC$1006:AS1006),$AC$1006:$AS$1006,0)), HYPERLINK("#",""), HYPERLINK(CONCATENATE("#Metadata!", ADDRESS(INDEX($X$2:$X$1001,MATCH(ROWS($V$2:V961),$V$2:$V$1001,0),0), INDEX($AC$1004:$AS$1004,1,MATCH(COLUMNS($AC$1006:AS1006),$AC$1006:$AS$1006,0)))),"Fix")))</f>
        <v>0</v>
      </c>
      <c r="V961">
        <v>0</v>
      </c>
      <c r="W961">
        <v>0</v>
      </c>
      <c r="X961">
        <v>0</v>
      </c>
      <c r="Y961">
        <f>IF(Z961,TRUE,AND(AC961:AS961))</f>
        <v>0</v>
      </c>
      <c r="Z961">
        <f>COUNTBLANK(Metadata!B961:R961)=COLUMNS(Metadata!B961:R961)</f>
        <v>0</v>
      </c>
      <c r="AA961">
        <v>0</v>
      </c>
      <c r="AC961">
        <f>AND(IF(Metadata!B961="",FALSE,TRUE),COUNTIF(Metadata!B:B, Metadata!B961) = 1,NOT(ISERROR(SUMPRODUCT(SEARCH(MID(Metadata!B961,ROW(INDIRECT("1:"&amp;LEN(Metadata!B961))), 1),"0123456789abcdefghijklmnopqrstuvwxyzABCDEFGHIJKLMNOPQRSTUVWXYZ.")))))</f>
        <v>0</v>
      </c>
      <c r="AD961">
        <f>AND(IF(Metadata!C961="",FALSE,TRUE),exact(Metadata!C961,"Host-associated"))</f>
        <v>0</v>
      </c>
      <c r="AE961">
        <f>AND(IF(Metadata!D961="",FALSE,TRUE),OR(exact(Metadata!D961,"Animal"),exact(Metadata!D961,"Fungus"),exact(Metadata!D961,"Plant")))</f>
        <v>0</v>
      </c>
      <c r="AF961">
        <f>AND(IF(Metadata!E961="",FALSE,TRUE),OR(exact(Metadata!E961,"Plant secretion"),exact(Metadata!E961,"Plant rhizosphere"),exact(Metadata!E961,"Plant surface"),exact(Metadata!E961,"Plant corpus"),exact(Metadata!E961,"Fungus surface"),exact(Metadata!E961,"Fungus corpus"),exact(Metadata!E961,"Animal surface"),exact(Metadata!E961,"Animal proximal gut"),exact(Metadata!E961,"Animal corpus"),exact(Metadata!E961,"Animal distal gut"),exact(Metadata!E961,"Animal secretion")))</f>
        <v>0</v>
      </c>
      <c r="AG961">
        <f>OR(AND(IF(Metadata!F961="",FALSE,TRUE),OR(exact(Metadata!F961,"not collected"),exact(Metadata!F961,"not provided"),exact(Metadata!F961,"restricted access"))),AND(IF(Metadata!F961="",FALSE,TRUE),OR(exact(Metadata!F961,"organism-associated habitat"),exact(Metadata!F961,"plant-associated habitat"),exact(Metadata!F961,"animal-associated habitat"),exact(Metadata!F961,"insecta-associated habitat"),exact(Metadata!F961,"mammalia-associated habitat"),exact(Metadata!F961,"human-associated habitat"),exact(Metadata!F961,"livestock-associated habitat"))))</f>
        <v>0</v>
      </c>
      <c r="AH961">
        <f>AND(IF(Metadata!G961="",FALSE,TRUE),exact(Metadata!G961,"host-associated"))</f>
        <v>0</v>
      </c>
      <c r="AI961">
        <f>OR(AND(IF(Metadata!H961="",FALSE,TRUE),OR(exact(Metadata!H961,"not collected"),exact(Metadata!H961,"not provided"))),AND(IF(Metadata!H961="",FALSE,ISNUMBER(VALUE(Metadata!H961))),Metadata!H961&gt;0))</f>
        <v>0</v>
      </c>
      <c r="AJ961">
        <f>AND(IF(Metadata!I961="",FALSE,TRUE),exact(Metadata!I961,"years"))</f>
        <v>0</v>
      </c>
      <c r="AK961">
        <f>IF(Metadata!J961="",FALSE,TRUE)</f>
        <v>0</v>
      </c>
      <c r="AL961">
        <f>OR(AND(IF(Metadata!K961="",FALSE,TRUE),OR(exact(Metadata!K961,"not collected"),exact(Metadata!K961,"not provided"))),AND(IF(Metadata!K961="",FALSE,ISNUMBER(VALUE(Metadata!K961))),Metadata!K961&gt;0))</f>
        <v>0</v>
      </c>
      <c r="AM961">
        <f>AND(IF(Metadata!L961="",FALSE,TRUE),exact(Metadata!L961,"cm"))</f>
        <v>0</v>
      </c>
      <c r="AN961">
        <f>IF(Metadata!M961="",FALSE,TRUE)</f>
        <v>0</v>
      </c>
      <c r="AO961">
        <f>OR(AND(IF(Metadata!N961="",FALSE,TRUE),OR(exact(Metadata!N961,"not applicable"),exact(Metadata!N961,"not collected"),exact(Metadata!N961,"not provided"))),AND(IF(Metadata!N961="",FALSE,IF(ISERROR(INT(Metadata!N961)),FALSE,INT(Metadata!N961)=Metadata!N961)),Metadata!N961&gt;0))</f>
        <v>0</v>
      </c>
      <c r="AP961">
        <f>OR(AND(IF(Metadata!O961="",FALSE,TRUE),OR(exact(Metadata!O961,"not collected"),exact(Metadata!O961,"not provided"))),AND(IF(Metadata!O961="",FALSE,ISNUMBER(VALUE(Metadata!O961))),Metadata!O961&gt;0))</f>
        <v>0</v>
      </c>
      <c r="AQ961">
        <f>AND(IF(Metadata!P961="",FALSE,TRUE),exact(Metadata!P961,"kg"))</f>
        <v>0</v>
      </c>
      <c r="AR961">
        <f>OR(AND(IF(Metadata!Q961="",FALSE,TRUE),OR(exact(Metadata!Q961,"not applicable"),exact(Metadata!Q961,"not collected"),exact(Metadata!Q961,"not provided"),exact(Metadata!Q961,"restricted access"))),IF(Metadata!Q961="",FALSE,IF(ISERROR(INT(Metadata!Q961)),FALSE,INT(Metadata!Q961)=Metadata!Q961)))</f>
        <v>0</v>
      </c>
      <c r="AS961">
        <f>AND(IF(Metadata!R961="",FALSE,TRUE),exact(Metadata!R961,"Not applicable"))</f>
        <v>0</v>
      </c>
    </row>
    <row r="962" spans="1:45">
      <c r="A962" s="4">
        <f>IF(B962=" "," ",HYPERLINK(CONCATENATE("#metadata!",ADDRESS(INDEX($X$2:$X$1001,MATCH(ROWS($V$2:V962),$V$2:$V$1001,0),0),2)),INDEX($AA$2:$AA$1001,MATCH(ROWS($V$2:V962),$V$2:$V$1001,0),0)))</f>
        <v>0</v>
      </c>
      <c r="B962" s="5">
        <f>IF(OR(INDEX($W$2:$W$1001,MATCH(ROWS($V$2:V962),$V$2:$V$1001,0),1)&gt;=100000,INDEX($AC$1005:$AS$1005,1,MATCH(COLUMNS($AC$1006:AC1006),$AC$1006:$AS$1006,0))&gt;=100000), " ",IF(INDEX($AC$2:$AS$1001,MATCH(ROWS($V$2:V962),$V$2:$V$1001,0),MATCH(COLUMNS($AC$1006:AC1006),$AC$1006:$AS$1006,0)), HYPERLINK("#",""), HYPERLINK(CONCATENATE("#Metadata!", ADDRESS(INDEX($X$2:$X$1001,MATCH(ROWS($V$2:V962),$V$2:$V$1001,0),0), INDEX($AC$1004:$AS$1004,1,MATCH(COLUMNS($AC$1006:AC1006),$AC$1006:$AS$1006,0)))),"Fix")))</f>
        <v>0</v>
      </c>
      <c r="C962" s="5">
        <f>IF(OR(INDEX($W$2:$W$1001,MATCH(ROWS($V$2:V962),$V$2:$V$1001,0),1)&gt;=100000,INDEX($AC$1005:$AS$1005,1,MATCH(COLUMNS($AC$1006:AD1006),$AC$1006:$AS$1006,0))&gt;=100000), " ",IF(INDEX($AC$2:$AS$1001,MATCH(ROWS($V$2:V962),$V$2:$V$1001,0),MATCH(COLUMNS($AC$1006:AD1006),$AC$1006:$AS$1006,0)), HYPERLINK("#",""), HYPERLINK(CONCATENATE("#Metadata!", ADDRESS(INDEX($X$2:$X$1001,MATCH(ROWS($V$2:V962),$V$2:$V$1001,0),0), INDEX($AC$1004:$AS$1004,1,MATCH(COLUMNS($AC$1006:AD1006),$AC$1006:$AS$1006,0)))),"Fix")))</f>
        <v>0</v>
      </c>
      <c r="D962" s="5">
        <f>IF(OR(INDEX($W$2:$W$1001,MATCH(ROWS($V$2:V962),$V$2:$V$1001,0),1)&gt;=100000,INDEX($AC$1005:$AS$1005,1,MATCH(COLUMNS($AC$1006:AE1006),$AC$1006:$AS$1006,0))&gt;=100000), " ",IF(INDEX($AC$2:$AS$1001,MATCH(ROWS($V$2:V962),$V$2:$V$1001,0),MATCH(COLUMNS($AC$1006:AE1006),$AC$1006:$AS$1006,0)), HYPERLINK("#",""), HYPERLINK(CONCATENATE("#Metadata!", ADDRESS(INDEX($X$2:$X$1001,MATCH(ROWS($V$2:V962),$V$2:$V$1001,0),0), INDEX($AC$1004:$AS$1004,1,MATCH(COLUMNS($AC$1006:AE1006),$AC$1006:$AS$1006,0)))),"Fix")))</f>
        <v>0</v>
      </c>
      <c r="E962" s="5">
        <f>IF(OR(INDEX($W$2:$W$1001,MATCH(ROWS($V$2:V962),$V$2:$V$1001,0),1)&gt;=100000,INDEX($AC$1005:$AS$1005,1,MATCH(COLUMNS($AC$1006:AF1006),$AC$1006:$AS$1006,0))&gt;=100000), " ",IF(INDEX($AC$2:$AS$1001,MATCH(ROWS($V$2:V962),$V$2:$V$1001,0),MATCH(COLUMNS($AC$1006:AF1006),$AC$1006:$AS$1006,0)), HYPERLINK("#",""), HYPERLINK(CONCATENATE("#Metadata!", ADDRESS(INDEX($X$2:$X$1001,MATCH(ROWS($V$2:V962),$V$2:$V$1001,0),0), INDEX($AC$1004:$AS$1004,1,MATCH(COLUMNS($AC$1006:AF1006),$AC$1006:$AS$1006,0)))),"Fix")))</f>
        <v>0</v>
      </c>
      <c r="F962" s="5">
        <f>IF(OR(INDEX($W$2:$W$1001,MATCH(ROWS($V$2:V962),$V$2:$V$1001,0),1)&gt;=100000,INDEX($AC$1005:$AS$1005,1,MATCH(COLUMNS($AC$1006:AG1006),$AC$1006:$AS$1006,0))&gt;=100000), " ",IF(INDEX($AC$2:$AS$1001,MATCH(ROWS($V$2:V962),$V$2:$V$1001,0),MATCH(COLUMNS($AC$1006:AG1006),$AC$1006:$AS$1006,0)), HYPERLINK("#",""), HYPERLINK(CONCATENATE("#Metadata!", ADDRESS(INDEX($X$2:$X$1001,MATCH(ROWS($V$2:V962),$V$2:$V$1001,0),0), INDEX($AC$1004:$AS$1004,1,MATCH(COLUMNS($AC$1006:AG1006),$AC$1006:$AS$1006,0)))),"Fix")))</f>
        <v>0</v>
      </c>
      <c r="G962" s="5">
        <f>IF(OR(INDEX($W$2:$W$1001,MATCH(ROWS($V$2:V962),$V$2:$V$1001,0),1)&gt;=100000,INDEX($AC$1005:$AS$1005,1,MATCH(COLUMNS($AC$1006:AH1006),$AC$1006:$AS$1006,0))&gt;=100000), " ",IF(INDEX($AC$2:$AS$1001,MATCH(ROWS($V$2:V962),$V$2:$V$1001,0),MATCH(COLUMNS($AC$1006:AH1006),$AC$1006:$AS$1006,0)), HYPERLINK("#",""), HYPERLINK(CONCATENATE("#Metadata!", ADDRESS(INDEX($X$2:$X$1001,MATCH(ROWS($V$2:V962),$V$2:$V$1001,0),0), INDEX($AC$1004:$AS$1004,1,MATCH(COLUMNS($AC$1006:AH1006),$AC$1006:$AS$1006,0)))),"Fix")))</f>
        <v>0</v>
      </c>
      <c r="H962" s="5">
        <f>IF(OR(INDEX($W$2:$W$1001,MATCH(ROWS($V$2:V962),$V$2:$V$1001,0),1)&gt;=100000,INDEX($AC$1005:$AS$1005,1,MATCH(COLUMNS($AC$1006:AI1006),$AC$1006:$AS$1006,0))&gt;=100000), " ",IF(INDEX($AC$2:$AS$1001,MATCH(ROWS($V$2:V962),$V$2:$V$1001,0),MATCH(COLUMNS($AC$1006:AI1006),$AC$1006:$AS$1006,0)), HYPERLINK("#",""), HYPERLINK(CONCATENATE("#Metadata!", ADDRESS(INDEX($X$2:$X$1001,MATCH(ROWS($V$2:V962),$V$2:$V$1001,0),0), INDEX($AC$1004:$AS$1004,1,MATCH(COLUMNS($AC$1006:AI1006),$AC$1006:$AS$1006,0)))),"Fix")))</f>
        <v>0</v>
      </c>
      <c r="I962" s="5">
        <f>IF(OR(INDEX($W$2:$W$1001,MATCH(ROWS($V$2:V962),$V$2:$V$1001,0),1)&gt;=100000,INDEX($AC$1005:$AS$1005,1,MATCH(COLUMNS($AC$1006:AJ1006),$AC$1006:$AS$1006,0))&gt;=100000), " ",IF(INDEX($AC$2:$AS$1001,MATCH(ROWS($V$2:V962),$V$2:$V$1001,0),MATCH(COLUMNS($AC$1006:AJ1006),$AC$1006:$AS$1006,0)), HYPERLINK("#",""), HYPERLINK(CONCATENATE("#Metadata!", ADDRESS(INDEX($X$2:$X$1001,MATCH(ROWS($V$2:V962),$V$2:$V$1001,0),0), INDEX($AC$1004:$AS$1004,1,MATCH(COLUMNS($AC$1006:AJ1006),$AC$1006:$AS$1006,0)))),"Fix")))</f>
        <v>0</v>
      </c>
      <c r="J962" s="5">
        <f>IF(OR(INDEX($W$2:$W$1001,MATCH(ROWS($V$2:V962),$V$2:$V$1001,0),1)&gt;=100000,INDEX($AC$1005:$AS$1005,1,MATCH(COLUMNS($AC$1006:AK1006),$AC$1006:$AS$1006,0))&gt;=100000), " ",IF(INDEX($AC$2:$AS$1001,MATCH(ROWS($V$2:V962),$V$2:$V$1001,0),MATCH(COLUMNS($AC$1006:AK1006),$AC$1006:$AS$1006,0)), HYPERLINK("#",""), HYPERLINK(CONCATENATE("#Metadata!", ADDRESS(INDEX($X$2:$X$1001,MATCH(ROWS($V$2:V962),$V$2:$V$1001,0),0), INDEX($AC$1004:$AS$1004,1,MATCH(COLUMNS($AC$1006:AK1006),$AC$1006:$AS$1006,0)))),"Fix")))</f>
        <v>0</v>
      </c>
      <c r="K962" s="5">
        <f>IF(OR(INDEX($W$2:$W$1001,MATCH(ROWS($V$2:V962),$V$2:$V$1001,0),1)&gt;=100000,INDEX($AC$1005:$AS$1005,1,MATCH(COLUMNS($AC$1006:AL1006),$AC$1006:$AS$1006,0))&gt;=100000), " ",IF(INDEX($AC$2:$AS$1001,MATCH(ROWS($V$2:V962),$V$2:$V$1001,0),MATCH(COLUMNS($AC$1006:AL1006),$AC$1006:$AS$1006,0)), HYPERLINK("#",""), HYPERLINK(CONCATENATE("#Metadata!", ADDRESS(INDEX($X$2:$X$1001,MATCH(ROWS($V$2:V962),$V$2:$V$1001,0),0), INDEX($AC$1004:$AS$1004,1,MATCH(COLUMNS($AC$1006:AL1006),$AC$1006:$AS$1006,0)))),"Fix")))</f>
        <v>0</v>
      </c>
      <c r="L962" s="5">
        <f>IF(OR(INDEX($W$2:$W$1001,MATCH(ROWS($V$2:V962),$V$2:$V$1001,0),1)&gt;=100000,INDEX($AC$1005:$AS$1005,1,MATCH(COLUMNS($AC$1006:AM1006),$AC$1006:$AS$1006,0))&gt;=100000), " ",IF(INDEX($AC$2:$AS$1001,MATCH(ROWS($V$2:V962),$V$2:$V$1001,0),MATCH(COLUMNS($AC$1006:AM1006),$AC$1006:$AS$1006,0)), HYPERLINK("#",""), HYPERLINK(CONCATENATE("#Metadata!", ADDRESS(INDEX($X$2:$X$1001,MATCH(ROWS($V$2:V962),$V$2:$V$1001,0),0), INDEX($AC$1004:$AS$1004,1,MATCH(COLUMNS($AC$1006:AM1006),$AC$1006:$AS$1006,0)))),"Fix")))</f>
        <v>0</v>
      </c>
      <c r="M962" s="5">
        <f>IF(OR(INDEX($W$2:$W$1001,MATCH(ROWS($V$2:V962),$V$2:$V$1001,0),1)&gt;=100000,INDEX($AC$1005:$AS$1005,1,MATCH(COLUMNS($AC$1006:AN1006),$AC$1006:$AS$1006,0))&gt;=100000), " ",IF(INDEX($AC$2:$AS$1001,MATCH(ROWS($V$2:V962),$V$2:$V$1001,0),MATCH(COLUMNS($AC$1006:AN1006),$AC$1006:$AS$1006,0)), HYPERLINK("#",""), HYPERLINK(CONCATENATE("#Metadata!", ADDRESS(INDEX($X$2:$X$1001,MATCH(ROWS($V$2:V962),$V$2:$V$1001,0),0), INDEX($AC$1004:$AS$1004,1,MATCH(COLUMNS($AC$1006:AN1006),$AC$1006:$AS$1006,0)))),"Fix")))</f>
        <v>0</v>
      </c>
      <c r="N962" s="5">
        <f>IF(OR(INDEX($W$2:$W$1001,MATCH(ROWS($V$2:V962),$V$2:$V$1001,0),1)&gt;=100000,INDEX($AC$1005:$AS$1005,1,MATCH(COLUMNS($AC$1006:AO1006),$AC$1006:$AS$1006,0))&gt;=100000), " ",IF(INDEX($AC$2:$AS$1001,MATCH(ROWS($V$2:V962),$V$2:$V$1001,0),MATCH(COLUMNS($AC$1006:AO1006),$AC$1006:$AS$1006,0)), HYPERLINK("#",""), HYPERLINK(CONCATENATE("#Metadata!", ADDRESS(INDEX($X$2:$X$1001,MATCH(ROWS($V$2:V962),$V$2:$V$1001,0),0), INDEX($AC$1004:$AS$1004,1,MATCH(COLUMNS($AC$1006:AO1006),$AC$1006:$AS$1006,0)))),"Fix")))</f>
        <v>0</v>
      </c>
      <c r="O962" s="5">
        <f>IF(OR(INDEX($W$2:$W$1001,MATCH(ROWS($V$2:V962),$V$2:$V$1001,0),1)&gt;=100000,INDEX($AC$1005:$AS$1005,1,MATCH(COLUMNS($AC$1006:AP1006),$AC$1006:$AS$1006,0))&gt;=100000), " ",IF(INDEX($AC$2:$AS$1001,MATCH(ROWS($V$2:V962),$V$2:$V$1001,0),MATCH(COLUMNS($AC$1006:AP1006),$AC$1006:$AS$1006,0)), HYPERLINK("#",""), HYPERLINK(CONCATENATE("#Metadata!", ADDRESS(INDEX($X$2:$X$1001,MATCH(ROWS($V$2:V962),$V$2:$V$1001,0),0), INDEX($AC$1004:$AS$1004,1,MATCH(COLUMNS($AC$1006:AP1006),$AC$1006:$AS$1006,0)))),"Fix")))</f>
        <v>0</v>
      </c>
      <c r="P962" s="5">
        <f>IF(OR(INDEX($W$2:$W$1001,MATCH(ROWS($V$2:V962),$V$2:$V$1001,0),1)&gt;=100000,INDEX($AC$1005:$AS$1005,1,MATCH(COLUMNS($AC$1006:AQ1006),$AC$1006:$AS$1006,0))&gt;=100000), " ",IF(INDEX($AC$2:$AS$1001,MATCH(ROWS($V$2:V962),$V$2:$V$1001,0),MATCH(COLUMNS($AC$1006:AQ1006),$AC$1006:$AS$1006,0)), HYPERLINK("#",""), HYPERLINK(CONCATENATE("#Metadata!", ADDRESS(INDEX($X$2:$X$1001,MATCH(ROWS($V$2:V962),$V$2:$V$1001,0),0), INDEX($AC$1004:$AS$1004,1,MATCH(COLUMNS($AC$1006:AQ1006),$AC$1006:$AS$1006,0)))),"Fix")))</f>
        <v>0</v>
      </c>
      <c r="Q962" s="5">
        <f>IF(OR(INDEX($W$2:$W$1001,MATCH(ROWS($V$2:V962),$V$2:$V$1001,0),1)&gt;=100000,INDEX($AC$1005:$AS$1005,1,MATCH(COLUMNS($AC$1006:AR1006),$AC$1006:$AS$1006,0))&gt;=100000), " ",IF(INDEX($AC$2:$AS$1001,MATCH(ROWS($V$2:V962),$V$2:$V$1001,0),MATCH(COLUMNS($AC$1006:AR1006),$AC$1006:$AS$1006,0)), HYPERLINK("#",""), HYPERLINK(CONCATENATE("#Metadata!", ADDRESS(INDEX($X$2:$X$1001,MATCH(ROWS($V$2:V962),$V$2:$V$1001,0),0), INDEX($AC$1004:$AS$1004,1,MATCH(COLUMNS($AC$1006:AR1006),$AC$1006:$AS$1006,0)))),"Fix")))</f>
        <v>0</v>
      </c>
      <c r="R962" s="5">
        <f>IF(OR(INDEX($W$2:$W$1001,MATCH(ROWS($V$2:V962),$V$2:$V$1001,0),1)&gt;=100000,INDEX($AC$1005:$AS$1005,1,MATCH(COLUMNS($AC$1006:AS1006),$AC$1006:$AS$1006,0))&gt;=100000), " ",IF(INDEX($AC$2:$AS$1001,MATCH(ROWS($V$2:V962),$V$2:$V$1001,0),MATCH(COLUMNS($AC$1006:AS1006),$AC$1006:$AS$1006,0)), HYPERLINK("#",""), HYPERLINK(CONCATENATE("#Metadata!", ADDRESS(INDEX($X$2:$X$1001,MATCH(ROWS($V$2:V962),$V$2:$V$1001,0),0), INDEX($AC$1004:$AS$1004,1,MATCH(COLUMNS($AC$1006:AS1006),$AC$1006:$AS$1006,0)))),"Fix")))</f>
        <v>0</v>
      </c>
      <c r="V962">
        <v>0</v>
      </c>
      <c r="W962">
        <v>0</v>
      </c>
      <c r="X962">
        <v>0</v>
      </c>
      <c r="Y962">
        <f>IF(Z962,TRUE,AND(AC962:AS962))</f>
        <v>0</v>
      </c>
      <c r="Z962">
        <f>COUNTBLANK(Metadata!B962:R962)=COLUMNS(Metadata!B962:R962)</f>
        <v>0</v>
      </c>
      <c r="AA962">
        <v>0</v>
      </c>
      <c r="AC962">
        <f>AND(IF(Metadata!B962="",FALSE,TRUE),COUNTIF(Metadata!B:B, Metadata!B962) = 1,NOT(ISERROR(SUMPRODUCT(SEARCH(MID(Metadata!B962,ROW(INDIRECT("1:"&amp;LEN(Metadata!B962))), 1),"0123456789abcdefghijklmnopqrstuvwxyzABCDEFGHIJKLMNOPQRSTUVWXYZ.")))))</f>
        <v>0</v>
      </c>
      <c r="AD962">
        <f>AND(IF(Metadata!C962="",FALSE,TRUE),exact(Metadata!C962,"Host-associated"))</f>
        <v>0</v>
      </c>
      <c r="AE962">
        <f>AND(IF(Metadata!D962="",FALSE,TRUE),OR(exact(Metadata!D962,"Animal"),exact(Metadata!D962,"Fungus"),exact(Metadata!D962,"Plant")))</f>
        <v>0</v>
      </c>
      <c r="AF962">
        <f>AND(IF(Metadata!E962="",FALSE,TRUE),OR(exact(Metadata!E962,"Plant secretion"),exact(Metadata!E962,"Plant rhizosphere"),exact(Metadata!E962,"Plant surface"),exact(Metadata!E962,"Plant corpus"),exact(Metadata!E962,"Fungus surface"),exact(Metadata!E962,"Fungus corpus"),exact(Metadata!E962,"Animal surface"),exact(Metadata!E962,"Animal proximal gut"),exact(Metadata!E962,"Animal corpus"),exact(Metadata!E962,"Animal distal gut"),exact(Metadata!E962,"Animal secretion")))</f>
        <v>0</v>
      </c>
      <c r="AG962">
        <f>OR(AND(IF(Metadata!F962="",FALSE,TRUE),OR(exact(Metadata!F962,"not collected"),exact(Metadata!F962,"not provided"),exact(Metadata!F962,"restricted access"))),AND(IF(Metadata!F962="",FALSE,TRUE),OR(exact(Metadata!F962,"organism-associated habitat"),exact(Metadata!F962,"plant-associated habitat"),exact(Metadata!F962,"animal-associated habitat"),exact(Metadata!F962,"insecta-associated habitat"),exact(Metadata!F962,"mammalia-associated habitat"),exact(Metadata!F962,"human-associated habitat"),exact(Metadata!F962,"livestock-associated habitat"))))</f>
        <v>0</v>
      </c>
      <c r="AH962">
        <f>AND(IF(Metadata!G962="",FALSE,TRUE),exact(Metadata!G962,"host-associated"))</f>
        <v>0</v>
      </c>
      <c r="AI962">
        <f>OR(AND(IF(Metadata!H962="",FALSE,TRUE),OR(exact(Metadata!H962,"not collected"),exact(Metadata!H962,"not provided"))),AND(IF(Metadata!H962="",FALSE,ISNUMBER(VALUE(Metadata!H962))),Metadata!H962&gt;0))</f>
        <v>0</v>
      </c>
      <c r="AJ962">
        <f>AND(IF(Metadata!I962="",FALSE,TRUE),exact(Metadata!I962,"years"))</f>
        <v>0</v>
      </c>
      <c r="AK962">
        <f>IF(Metadata!J962="",FALSE,TRUE)</f>
        <v>0</v>
      </c>
      <c r="AL962">
        <f>OR(AND(IF(Metadata!K962="",FALSE,TRUE),OR(exact(Metadata!K962,"not collected"),exact(Metadata!K962,"not provided"))),AND(IF(Metadata!K962="",FALSE,ISNUMBER(VALUE(Metadata!K962))),Metadata!K962&gt;0))</f>
        <v>0</v>
      </c>
      <c r="AM962">
        <f>AND(IF(Metadata!L962="",FALSE,TRUE),exact(Metadata!L962,"cm"))</f>
        <v>0</v>
      </c>
      <c r="AN962">
        <f>IF(Metadata!M962="",FALSE,TRUE)</f>
        <v>0</v>
      </c>
      <c r="AO962">
        <f>OR(AND(IF(Metadata!N962="",FALSE,TRUE),OR(exact(Metadata!N962,"not applicable"),exact(Metadata!N962,"not collected"),exact(Metadata!N962,"not provided"))),AND(IF(Metadata!N962="",FALSE,IF(ISERROR(INT(Metadata!N962)),FALSE,INT(Metadata!N962)=Metadata!N962)),Metadata!N962&gt;0))</f>
        <v>0</v>
      </c>
      <c r="AP962">
        <f>OR(AND(IF(Metadata!O962="",FALSE,TRUE),OR(exact(Metadata!O962,"not collected"),exact(Metadata!O962,"not provided"))),AND(IF(Metadata!O962="",FALSE,ISNUMBER(VALUE(Metadata!O962))),Metadata!O962&gt;0))</f>
        <v>0</v>
      </c>
      <c r="AQ962">
        <f>AND(IF(Metadata!P962="",FALSE,TRUE),exact(Metadata!P962,"kg"))</f>
        <v>0</v>
      </c>
      <c r="AR962">
        <f>OR(AND(IF(Metadata!Q962="",FALSE,TRUE),OR(exact(Metadata!Q962,"not applicable"),exact(Metadata!Q962,"not collected"),exact(Metadata!Q962,"not provided"),exact(Metadata!Q962,"restricted access"))),IF(Metadata!Q962="",FALSE,IF(ISERROR(INT(Metadata!Q962)),FALSE,INT(Metadata!Q962)=Metadata!Q962)))</f>
        <v>0</v>
      </c>
      <c r="AS962">
        <f>AND(IF(Metadata!R962="",FALSE,TRUE),exact(Metadata!R962,"Not applicable"))</f>
        <v>0</v>
      </c>
    </row>
    <row r="963" spans="1:45">
      <c r="A963" s="4">
        <f>IF(B963=" "," ",HYPERLINK(CONCATENATE("#metadata!",ADDRESS(INDEX($X$2:$X$1001,MATCH(ROWS($V$2:V963),$V$2:$V$1001,0),0),2)),INDEX($AA$2:$AA$1001,MATCH(ROWS($V$2:V963),$V$2:$V$1001,0),0)))</f>
        <v>0</v>
      </c>
      <c r="B963" s="5">
        <f>IF(OR(INDEX($W$2:$W$1001,MATCH(ROWS($V$2:V963),$V$2:$V$1001,0),1)&gt;=100000,INDEX($AC$1005:$AS$1005,1,MATCH(COLUMNS($AC$1006:AC1006),$AC$1006:$AS$1006,0))&gt;=100000), " ",IF(INDEX($AC$2:$AS$1001,MATCH(ROWS($V$2:V963),$V$2:$V$1001,0),MATCH(COLUMNS($AC$1006:AC1006),$AC$1006:$AS$1006,0)), HYPERLINK("#",""), HYPERLINK(CONCATENATE("#Metadata!", ADDRESS(INDEX($X$2:$X$1001,MATCH(ROWS($V$2:V963),$V$2:$V$1001,0),0), INDEX($AC$1004:$AS$1004,1,MATCH(COLUMNS($AC$1006:AC1006),$AC$1006:$AS$1006,0)))),"Fix")))</f>
        <v>0</v>
      </c>
      <c r="C963" s="5">
        <f>IF(OR(INDEX($W$2:$W$1001,MATCH(ROWS($V$2:V963),$V$2:$V$1001,0),1)&gt;=100000,INDEX($AC$1005:$AS$1005,1,MATCH(COLUMNS($AC$1006:AD1006),$AC$1006:$AS$1006,0))&gt;=100000), " ",IF(INDEX($AC$2:$AS$1001,MATCH(ROWS($V$2:V963),$V$2:$V$1001,0),MATCH(COLUMNS($AC$1006:AD1006),$AC$1006:$AS$1006,0)), HYPERLINK("#",""), HYPERLINK(CONCATENATE("#Metadata!", ADDRESS(INDEX($X$2:$X$1001,MATCH(ROWS($V$2:V963),$V$2:$V$1001,0),0), INDEX($AC$1004:$AS$1004,1,MATCH(COLUMNS($AC$1006:AD1006),$AC$1006:$AS$1006,0)))),"Fix")))</f>
        <v>0</v>
      </c>
      <c r="D963" s="5">
        <f>IF(OR(INDEX($W$2:$W$1001,MATCH(ROWS($V$2:V963),$V$2:$V$1001,0),1)&gt;=100000,INDEX($AC$1005:$AS$1005,1,MATCH(COLUMNS($AC$1006:AE1006),$AC$1006:$AS$1006,0))&gt;=100000), " ",IF(INDEX($AC$2:$AS$1001,MATCH(ROWS($V$2:V963),$V$2:$V$1001,0),MATCH(COLUMNS($AC$1006:AE1006),$AC$1006:$AS$1006,0)), HYPERLINK("#",""), HYPERLINK(CONCATENATE("#Metadata!", ADDRESS(INDEX($X$2:$X$1001,MATCH(ROWS($V$2:V963),$V$2:$V$1001,0),0), INDEX($AC$1004:$AS$1004,1,MATCH(COLUMNS($AC$1006:AE1006),$AC$1006:$AS$1006,0)))),"Fix")))</f>
        <v>0</v>
      </c>
      <c r="E963" s="5">
        <f>IF(OR(INDEX($W$2:$W$1001,MATCH(ROWS($V$2:V963),$V$2:$V$1001,0),1)&gt;=100000,INDEX($AC$1005:$AS$1005,1,MATCH(COLUMNS($AC$1006:AF1006),$AC$1006:$AS$1006,0))&gt;=100000), " ",IF(INDEX($AC$2:$AS$1001,MATCH(ROWS($V$2:V963),$V$2:$V$1001,0),MATCH(COLUMNS($AC$1006:AF1006),$AC$1006:$AS$1006,0)), HYPERLINK("#",""), HYPERLINK(CONCATENATE("#Metadata!", ADDRESS(INDEX($X$2:$X$1001,MATCH(ROWS($V$2:V963),$V$2:$V$1001,0),0), INDEX($AC$1004:$AS$1004,1,MATCH(COLUMNS($AC$1006:AF1006),$AC$1006:$AS$1006,0)))),"Fix")))</f>
        <v>0</v>
      </c>
      <c r="F963" s="5">
        <f>IF(OR(INDEX($W$2:$W$1001,MATCH(ROWS($V$2:V963),$V$2:$V$1001,0),1)&gt;=100000,INDEX($AC$1005:$AS$1005,1,MATCH(COLUMNS($AC$1006:AG1006),$AC$1006:$AS$1006,0))&gt;=100000), " ",IF(INDEX($AC$2:$AS$1001,MATCH(ROWS($V$2:V963),$V$2:$V$1001,0),MATCH(COLUMNS($AC$1006:AG1006),$AC$1006:$AS$1006,0)), HYPERLINK("#",""), HYPERLINK(CONCATENATE("#Metadata!", ADDRESS(INDEX($X$2:$X$1001,MATCH(ROWS($V$2:V963),$V$2:$V$1001,0),0), INDEX($AC$1004:$AS$1004,1,MATCH(COLUMNS($AC$1006:AG1006),$AC$1006:$AS$1006,0)))),"Fix")))</f>
        <v>0</v>
      </c>
      <c r="G963" s="5">
        <f>IF(OR(INDEX($W$2:$W$1001,MATCH(ROWS($V$2:V963),$V$2:$V$1001,0),1)&gt;=100000,INDEX($AC$1005:$AS$1005,1,MATCH(COLUMNS($AC$1006:AH1006),$AC$1006:$AS$1006,0))&gt;=100000), " ",IF(INDEX($AC$2:$AS$1001,MATCH(ROWS($V$2:V963),$V$2:$V$1001,0),MATCH(COLUMNS($AC$1006:AH1006),$AC$1006:$AS$1006,0)), HYPERLINK("#",""), HYPERLINK(CONCATENATE("#Metadata!", ADDRESS(INDEX($X$2:$X$1001,MATCH(ROWS($V$2:V963),$V$2:$V$1001,0),0), INDEX($AC$1004:$AS$1004,1,MATCH(COLUMNS($AC$1006:AH1006),$AC$1006:$AS$1006,0)))),"Fix")))</f>
        <v>0</v>
      </c>
      <c r="H963" s="5">
        <f>IF(OR(INDEX($W$2:$W$1001,MATCH(ROWS($V$2:V963),$V$2:$V$1001,0),1)&gt;=100000,INDEX($AC$1005:$AS$1005,1,MATCH(COLUMNS($AC$1006:AI1006),$AC$1006:$AS$1006,0))&gt;=100000), " ",IF(INDEX($AC$2:$AS$1001,MATCH(ROWS($V$2:V963),$V$2:$V$1001,0),MATCH(COLUMNS($AC$1006:AI1006),$AC$1006:$AS$1006,0)), HYPERLINK("#",""), HYPERLINK(CONCATENATE("#Metadata!", ADDRESS(INDEX($X$2:$X$1001,MATCH(ROWS($V$2:V963),$V$2:$V$1001,0),0), INDEX($AC$1004:$AS$1004,1,MATCH(COLUMNS($AC$1006:AI1006),$AC$1006:$AS$1006,0)))),"Fix")))</f>
        <v>0</v>
      </c>
      <c r="I963" s="5">
        <f>IF(OR(INDEX($W$2:$W$1001,MATCH(ROWS($V$2:V963),$V$2:$V$1001,0),1)&gt;=100000,INDEX($AC$1005:$AS$1005,1,MATCH(COLUMNS($AC$1006:AJ1006),$AC$1006:$AS$1006,0))&gt;=100000), " ",IF(INDEX($AC$2:$AS$1001,MATCH(ROWS($V$2:V963),$V$2:$V$1001,0),MATCH(COLUMNS($AC$1006:AJ1006),$AC$1006:$AS$1006,0)), HYPERLINK("#",""), HYPERLINK(CONCATENATE("#Metadata!", ADDRESS(INDEX($X$2:$X$1001,MATCH(ROWS($V$2:V963),$V$2:$V$1001,0),0), INDEX($AC$1004:$AS$1004,1,MATCH(COLUMNS($AC$1006:AJ1006),$AC$1006:$AS$1006,0)))),"Fix")))</f>
        <v>0</v>
      </c>
      <c r="J963" s="5">
        <f>IF(OR(INDEX($W$2:$W$1001,MATCH(ROWS($V$2:V963),$V$2:$V$1001,0),1)&gt;=100000,INDEX($AC$1005:$AS$1005,1,MATCH(COLUMNS($AC$1006:AK1006),$AC$1006:$AS$1006,0))&gt;=100000), " ",IF(INDEX($AC$2:$AS$1001,MATCH(ROWS($V$2:V963),$V$2:$V$1001,0),MATCH(COLUMNS($AC$1006:AK1006),$AC$1006:$AS$1006,0)), HYPERLINK("#",""), HYPERLINK(CONCATENATE("#Metadata!", ADDRESS(INDEX($X$2:$X$1001,MATCH(ROWS($V$2:V963),$V$2:$V$1001,0),0), INDEX($AC$1004:$AS$1004,1,MATCH(COLUMNS($AC$1006:AK1006),$AC$1006:$AS$1006,0)))),"Fix")))</f>
        <v>0</v>
      </c>
      <c r="K963" s="5">
        <f>IF(OR(INDEX($W$2:$W$1001,MATCH(ROWS($V$2:V963),$V$2:$V$1001,0),1)&gt;=100000,INDEX($AC$1005:$AS$1005,1,MATCH(COLUMNS($AC$1006:AL1006),$AC$1006:$AS$1006,0))&gt;=100000), " ",IF(INDEX($AC$2:$AS$1001,MATCH(ROWS($V$2:V963),$V$2:$V$1001,0),MATCH(COLUMNS($AC$1006:AL1006),$AC$1006:$AS$1006,0)), HYPERLINK("#",""), HYPERLINK(CONCATENATE("#Metadata!", ADDRESS(INDEX($X$2:$X$1001,MATCH(ROWS($V$2:V963),$V$2:$V$1001,0),0), INDEX($AC$1004:$AS$1004,1,MATCH(COLUMNS($AC$1006:AL1006),$AC$1006:$AS$1006,0)))),"Fix")))</f>
        <v>0</v>
      </c>
      <c r="L963" s="5">
        <f>IF(OR(INDEX($W$2:$W$1001,MATCH(ROWS($V$2:V963),$V$2:$V$1001,0),1)&gt;=100000,INDEX($AC$1005:$AS$1005,1,MATCH(COLUMNS($AC$1006:AM1006),$AC$1006:$AS$1006,0))&gt;=100000), " ",IF(INDEX($AC$2:$AS$1001,MATCH(ROWS($V$2:V963),$V$2:$V$1001,0),MATCH(COLUMNS($AC$1006:AM1006),$AC$1006:$AS$1006,0)), HYPERLINK("#",""), HYPERLINK(CONCATENATE("#Metadata!", ADDRESS(INDEX($X$2:$X$1001,MATCH(ROWS($V$2:V963),$V$2:$V$1001,0),0), INDEX($AC$1004:$AS$1004,1,MATCH(COLUMNS($AC$1006:AM1006),$AC$1006:$AS$1006,0)))),"Fix")))</f>
        <v>0</v>
      </c>
      <c r="M963" s="5">
        <f>IF(OR(INDEX($W$2:$W$1001,MATCH(ROWS($V$2:V963),$V$2:$V$1001,0),1)&gt;=100000,INDEX($AC$1005:$AS$1005,1,MATCH(COLUMNS($AC$1006:AN1006),$AC$1006:$AS$1006,0))&gt;=100000), " ",IF(INDEX($AC$2:$AS$1001,MATCH(ROWS($V$2:V963),$V$2:$V$1001,0),MATCH(COLUMNS($AC$1006:AN1006),$AC$1006:$AS$1006,0)), HYPERLINK("#",""), HYPERLINK(CONCATENATE("#Metadata!", ADDRESS(INDEX($X$2:$X$1001,MATCH(ROWS($V$2:V963),$V$2:$V$1001,0),0), INDEX($AC$1004:$AS$1004,1,MATCH(COLUMNS($AC$1006:AN1006),$AC$1006:$AS$1006,0)))),"Fix")))</f>
        <v>0</v>
      </c>
      <c r="N963" s="5">
        <f>IF(OR(INDEX($W$2:$W$1001,MATCH(ROWS($V$2:V963),$V$2:$V$1001,0),1)&gt;=100000,INDEX($AC$1005:$AS$1005,1,MATCH(COLUMNS($AC$1006:AO1006),$AC$1006:$AS$1006,0))&gt;=100000), " ",IF(INDEX($AC$2:$AS$1001,MATCH(ROWS($V$2:V963),$V$2:$V$1001,0),MATCH(COLUMNS($AC$1006:AO1006),$AC$1006:$AS$1006,0)), HYPERLINK("#",""), HYPERLINK(CONCATENATE("#Metadata!", ADDRESS(INDEX($X$2:$X$1001,MATCH(ROWS($V$2:V963),$V$2:$V$1001,0),0), INDEX($AC$1004:$AS$1004,1,MATCH(COLUMNS($AC$1006:AO1006),$AC$1006:$AS$1006,0)))),"Fix")))</f>
        <v>0</v>
      </c>
      <c r="O963" s="5">
        <f>IF(OR(INDEX($W$2:$W$1001,MATCH(ROWS($V$2:V963),$V$2:$V$1001,0),1)&gt;=100000,INDEX($AC$1005:$AS$1005,1,MATCH(COLUMNS($AC$1006:AP1006),$AC$1006:$AS$1006,0))&gt;=100000), " ",IF(INDEX($AC$2:$AS$1001,MATCH(ROWS($V$2:V963),$V$2:$V$1001,0),MATCH(COLUMNS($AC$1006:AP1006),$AC$1006:$AS$1006,0)), HYPERLINK("#",""), HYPERLINK(CONCATENATE("#Metadata!", ADDRESS(INDEX($X$2:$X$1001,MATCH(ROWS($V$2:V963),$V$2:$V$1001,0),0), INDEX($AC$1004:$AS$1004,1,MATCH(COLUMNS($AC$1006:AP1006),$AC$1006:$AS$1006,0)))),"Fix")))</f>
        <v>0</v>
      </c>
      <c r="P963" s="5">
        <f>IF(OR(INDEX($W$2:$W$1001,MATCH(ROWS($V$2:V963),$V$2:$V$1001,0),1)&gt;=100000,INDEX($AC$1005:$AS$1005,1,MATCH(COLUMNS($AC$1006:AQ1006),$AC$1006:$AS$1006,0))&gt;=100000), " ",IF(INDEX($AC$2:$AS$1001,MATCH(ROWS($V$2:V963),$V$2:$V$1001,0),MATCH(COLUMNS($AC$1006:AQ1006),$AC$1006:$AS$1006,0)), HYPERLINK("#",""), HYPERLINK(CONCATENATE("#Metadata!", ADDRESS(INDEX($X$2:$X$1001,MATCH(ROWS($V$2:V963),$V$2:$V$1001,0),0), INDEX($AC$1004:$AS$1004,1,MATCH(COLUMNS($AC$1006:AQ1006),$AC$1006:$AS$1006,0)))),"Fix")))</f>
        <v>0</v>
      </c>
      <c r="Q963" s="5">
        <f>IF(OR(INDEX($W$2:$W$1001,MATCH(ROWS($V$2:V963),$V$2:$V$1001,0),1)&gt;=100000,INDEX($AC$1005:$AS$1005,1,MATCH(COLUMNS($AC$1006:AR1006),$AC$1006:$AS$1006,0))&gt;=100000), " ",IF(INDEX($AC$2:$AS$1001,MATCH(ROWS($V$2:V963),$V$2:$V$1001,0),MATCH(COLUMNS($AC$1006:AR1006),$AC$1006:$AS$1006,0)), HYPERLINK("#",""), HYPERLINK(CONCATENATE("#Metadata!", ADDRESS(INDEX($X$2:$X$1001,MATCH(ROWS($V$2:V963),$V$2:$V$1001,0),0), INDEX($AC$1004:$AS$1004,1,MATCH(COLUMNS($AC$1006:AR1006),$AC$1006:$AS$1006,0)))),"Fix")))</f>
        <v>0</v>
      </c>
      <c r="R963" s="5">
        <f>IF(OR(INDEX($W$2:$W$1001,MATCH(ROWS($V$2:V963),$V$2:$V$1001,0),1)&gt;=100000,INDEX($AC$1005:$AS$1005,1,MATCH(COLUMNS($AC$1006:AS1006),$AC$1006:$AS$1006,0))&gt;=100000), " ",IF(INDEX($AC$2:$AS$1001,MATCH(ROWS($V$2:V963),$V$2:$V$1001,0),MATCH(COLUMNS($AC$1006:AS1006),$AC$1006:$AS$1006,0)), HYPERLINK("#",""), HYPERLINK(CONCATENATE("#Metadata!", ADDRESS(INDEX($X$2:$X$1001,MATCH(ROWS($V$2:V963),$V$2:$V$1001,0),0), INDEX($AC$1004:$AS$1004,1,MATCH(COLUMNS($AC$1006:AS1006),$AC$1006:$AS$1006,0)))),"Fix")))</f>
        <v>0</v>
      </c>
      <c r="V963">
        <v>0</v>
      </c>
      <c r="W963">
        <v>0</v>
      </c>
      <c r="X963">
        <v>0</v>
      </c>
      <c r="Y963">
        <f>IF(Z963,TRUE,AND(AC963:AS963))</f>
        <v>0</v>
      </c>
      <c r="Z963">
        <f>COUNTBLANK(Metadata!B963:R963)=COLUMNS(Metadata!B963:R963)</f>
        <v>0</v>
      </c>
      <c r="AA963">
        <v>0</v>
      </c>
      <c r="AC963">
        <f>AND(IF(Metadata!B963="",FALSE,TRUE),COUNTIF(Metadata!B:B, Metadata!B963) = 1,NOT(ISERROR(SUMPRODUCT(SEARCH(MID(Metadata!B963,ROW(INDIRECT("1:"&amp;LEN(Metadata!B963))), 1),"0123456789abcdefghijklmnopqrstuvwxyzABCDEFGHIJKLMNOPQRSTUVWXYZ.")))))</f>
        <v>0</v>
      </c>
      <c r="AD963">
        <f>AND(IF(Metadata!C963="",FALSE,TRUE),exact(Metadata!C963,"Host-associated"))</f>
        <v>0</v>
      </c>
      <c r="AE963">
        <f>AND(IF(Metadata!D963="",FALSE,TRUE),OR(exact(Metadata!D963,"Animal"),exact(Metadata!D963,"Fungus"),exact(Metadata!D963,"Plant")))</f>
        <v>0</v>
      </c>
      <c r="AF963">
        <f>AND(IF(Metadata!E963="",FALSE,TRUE),OR(exact(Metadata!E963,"Plant secretion"),exact(Metadata!E963,"Plant rhizosphere"),exact(Metadata!E963,"Plant surface"),exact(Metadata!E963,"Plant corpus"),exact(Metadata!E963,"Fungus surface"),exact(Metadata!E963,"Fungus corpus"),exact(Metadata!E963,"Animal surface"),exact(Metadata!E963,"Animal proximal gut"),exact(Metadata!E963,"Animal corpus"),exact(Metadata!E963,"Animal distal gut"),exact(Metadata!E963,"Animal secretion")))</f>
        <v>0</v>
      </c>
      <c r="AG963">
        <f>OR(AND(IF(Metadata!F963="",FALSE,TRUE),OR(exact(Metadata!F963,"not collected"),exact(Metadata!F963,"not provided"),exact(Metadata!F963,"restricted access"))),AND(IF(Metadata!F963="",FALSE,TRUE),OR(exact(Metadata!F963,"organism-associated habitat"),exact(Metadata!F963,"plant-associated habitat"),exact(Metadata!F963,"animal-associated habitat"),exact(Metadata!F963,"insecta-associated habitat"),exact(Metadata!F963,"mammalia-associated habitat"),exact(Metadata!F963,"human-associated habitat"),exact(Metadata!F963,"livestock-associated habitat"))))</f>
        <v>0</v>
      </c>
      <c r="AH963">
        <f>AND(IF(Metadata!G963="",FALSE,TRUE),exact(Metadata!G963,"host-associated"))</f>
        <v>0</v>
      </c>
      <c r="AI963">
        <f>OR(AND(IF(Metadata!H963="",FALSE,TRUE),OR(exact(Metadata!H963,"not collected"),exact(Metadata!H963,"not provided"))),AND(IF(Metadata!H963="",FALSE,ISNUMBER(VALUE(Metadata!H963))),Metadata!H963&gt;0))</f>
        <v>0</v>
      </c>
      <c r="AJ963">
        <f>AND(IF(Metadata!I963="",FALSE,TRUE),exact(Metadata!I963,"years"))</f>
        <v>0</v>
      </c>
      <c r="AK963">
        <f>IF(Metadata!J963="",FALSE,TRUE)</f>
        <v>0</v>
      </c>
      <c r="AL963">
        <f>OR(AND(IF(Metadata!K963="",FALSE,TRUE),OR(exact(Metadata!K963,"not collected"),exact(Metadata!K963,"not provided"))),AND(IF(Metadata!K963="",FALSE,ISNUMBER(VALUE(Metadata!K963))),Metadata!K963&gt;0))</f>
        <v>0</v>
      </c>
      <c r="AM963">
        <f>AND(IF(Metadata!L963="",FALSE,TRUE),exact(Metadata!L963,"cm"))</f>
        <v>0</v>
      </c>
      <c r="AN963">
        <f>IF(Metadata!M963="",FALSE,TRUE)</f>
        <v>0</v>
      </c>
      <c r="AO963">
        <f>OR(AND(IF(Metadata!N963="",FALSE,TRUE),OR(exact(Metadata!N963,"not applicable"),exact(Metadata!N963,"not collected"),exact(Metadata!N963,"not provided"))),AND(IF(Metadata!N963="",FALSE,IF(ISERROR(INT(Metadata!N963)),FALSE,INT(Metadata!N963)=Metadata!N963)),Metadata!N963&gt;0))</f>
        <v>0</v>
      </c>
      <c r="AP963">
        <f>OR(AND(IF(Metadata!O963="",FALSE,TRUE),OR(exact(Metadata!O963,"not collected"),exact(Metadata!O963,"not provided"))),AND(IF(Metadata!O963="",FALSE,ISNUMBER(VALUE(Metadata!O963))),Metadata!O963&gt;0))</f>
        <v>0</v>
      </c>
      <c r="AQ963">
        <f>AND(IF(Metadata!P963="",FALSE,TRUE),exact(Metadata!P963,"kg"))</f>
        <v>0</v>
      </c>
      <c r="AR963">
        <f>OR(AND(IF(Metadata!Q963="",FALSE,TRUE),OR(exact(Metadata!Q963,"not applicable"),exact(Metadata!Q963,"not collected"),exact(Metadata!Q963,"not provided"),exact(Metadata!Q963,"restricted access"))),IF(Metadata!Q963="",FALSE,IF(ISERROR(INT(Metadata!Q963)),FALSE,INT(Metadata!Q963)=Metadata!Q963)))</f>
        <v>0</v>
      </c>
      <c r="AS963">
        <f>AND(IF(Metadata!R963="",FALSE,TRUE),exact(Metadata!R963,"Not applicable"))</f>
        <v>0</v>
      </c>
    </row>
    <row r="964" spans="1:45">
      <c r="A964" s="4">
        <f>IF(B964=" "," ",HYPERLINK(CONCATENATE("#metadata!",ADDRESS(INDEX($X$2:$X$1001,MATCH(ROWS($V$2:V964),$V$2:$V$1001,0),0),2)),INDEX($AA$2:$AA$1001,MATCH(ROWS($V$2:V964),$V$2:$V$1001,0),0)))</f>
        <v>0</v>
      </c>
      <c r="B964" s="5">
        <f>IF(OR(INDEX($W$2:$W$1001,MATCH(ROWS($V$2:V964),$V$2:$V$1001,0),1)&gt;=100000,INDEX($AC$1005:$AS$1005,1,MATCH(COLUMNS($AC$1006:AC1006),$AC$1006:$AS$1006,0))&gt;=100000), " ",IF(INDEX($AC$2:$AS$1001,MATCH(ROWS($V$2:V964),$V$2:$V$1001,0),MATCH(COLUMNS($AC$1006:AC1006),$AC$1006:$AS$1006,0)), HYPERLINK("#",""), HYPERLINK(CONCATENATE("#Metadata!", ADDRESS(INDEX($X$2:$X$1001,MATCH(ROWS($V$2:V964),$V$2:$V$1001,0),0), INDEX($AC$1004:$AS$1004,1,MATCH(COLUMNS($AC$1006:AC1006),$AC$1006:$AS$1006,0)))),"Fix")))</f>
        <v>0</v>
      </c>
      <c r="C964" s="5">
        <f>IF(OR(INDEX($W$2:$W$1001,MATCH(ROWS($V$2:V964),$V$2:$V$1001,0),1)&gt;=100000,INDEX($AC$1005:$AS$1005,1,MATCH(COLUMNS($AC$1006:AD1006),$AC$1006:$AS$1006,0))&gt;=100000), " ",IF(INDEX($AC$2:$AS$1001,MATCH(ROWS($V$2:V964),$V$2:$V$1001,0),MATCH(COLUMNS($AC$1006:AD1006),$AC$1006:$AS$1006,0)), HYPERLINK("#",""), HYPERLINK(CONCATENATE("#Metadata!", ADDRESS(INDEX($X$2:$X$1001,MATCH(ROWS($V$2:V964),$V$2:$V$1001,0),0), INDEX($AC$1004:$AS$1004,1,MATCH(COLUMNS($AC$1006:AD1006),$AC$1006:$AS$1006,0)))),"Fix")))</f>
        <v>0</v>
      </c>
      <c r="D964" s="5">
        <f>IF(OR(INDEX($W$2:$W$1001,MATCH(ROWS($V$2:V964),$V$2:$V$1001,0),1)&gt;=100000,INDEX($AC$1005:$AS$1005,1,MATCH(COLUMNS($AC$1006:AE1006),$AC$1006:$AS$1006,0))&gt;=100000), " ",IF(INDEX($AC$2:$AS$1001,MATCH(ROWS($V$2:V964),$V$2:$V$1001,0),MATCH(COLUMNS($AC$1006:AE1006),$AC$1006:$AS$1006,0)), HYPERLINK("#",""), HYPERLINK(CONCATENATE("#Metadata!", ADDRESS(INDEX($X$2:$X$1001,MATCH(ROWS($V$2:V964),$V$2:$V$1001,0),0), INDEX($AC$1004:$AS$1004,1,MATCH(COLUMNS($AC$1006:AE1006),$AC$1006:$AS$1006,0)))),"Fix")))</f>
        <v>0</v>
      </c>
      <c r="E964" s="5">
        <f>IF(OR(INDEX($W$2:$W$1001,MATCH(ROWS($V$2:V964),$V$2:$V$1001,0),1)&gt;=100000,INDEX($AC$1005:$AS$1005,1,MATCH(COLUMNS($AC$1006:AF1006),$AC$1006:$AS$1006,0))&gt;=100000), " ",IF(INDEX($AC$2:$AS$1001,MATCH(ROWS($V$2:V964),$V$2:$V$1001,0),MATCH(COLUMNS($AC$1006:AF1006),$AC$1006:$AS$1006,0)), HYPERLINK("#",""), HYPERLINK(CONCATENATE("#Metadata!", ADDRESS(INDEX($X$2:$X$1001,MATCH(ROWS($V$2:V964),$V$2:$V$1001,0),0), INDEX($AC$1004:$AS$1004,1,MATCH(COLUMNS($AC$1006:AF1006),$AC$1006:$AS$1006,0)))),"Fix")))</f>
        <v>0</v>
      </c>
      <c r="F964" s="5">
        <f>IF(OR(INDEX($W$2:$W$1001,MATCH(ROWS($V$2:V964),$V$2:$V$1001,0),1)&gt;=100000,INDEX($AC$1005:$AS$1005,1,MATCH(COLUMNS($AC$1006:AG1006),$AC$1006:$AS$1006,0))&gt;=100000), " ",IF(INDEX($AC$2:$AS$1001,MATCH(ROWS($V$2:V964),$V$2:$V$1001,0),MATCH(COLUMNS($AC$1006:AG1006),$AC$1006:$AS$1006,0)), HYPERLINK("#",""), HYPERLINK(CONCATENATE("#Metadata!", ADDRESS(INDEX($X$2:$X$1001,MATCH(ROWS($V$2:V964),$V$2:$V$1001,0),0), INDEX($AC$1004:$AS$1004,1,MATCH(COLUMNS($AC$1006:AG1006),$AC$1006:$AS$1006,0)))),"Fix")))</f>
        <v>0</v>
      </c>
      <c r="G964" s="5">
        <f>IF(OR(INDEX($W$2:$W$1001,MATCH(ROWS($V$2:V964),$V$2:$V$1001,0),1)&gt;=100000,INDEX($AC$1005:$AS$1005,1,MATCH(COLUMNS($AC$1006:AH1006),$AC$1006:$AS$1006,0))&gt;=100000), " ",IF(INDEX($AC$2:$AS$1001,MATCH(ROWS($V$2:V964),$V$2:$V$1001,0),MATCH(COLUMNS($AC$1006:AH1006),$AC$1006:$AS$1006,0)), HYPERLINK("#",""), HYPERLINK(CONCATENATE("#Metadata!", ADDRESS(INDEX($X$2:$X$1001,MATCH(ROWS($V$2:V964),$V$2:$V$1001,0),0), INDEX($AC$1004:$AS$1004,1,MATCH(COLUMNS($AC$1006:AH1006),$AC$1006:$AS$1006,0)))),"Fix")))</f>
        <v>0</v>
      </c>
      <c r="H964" s="5">
        <f>IF(OR(INDEX($W$2:$W$1001,MATCH(ROWS($V$2:V964),$V$2:$V$1001,0),1)&gt;=100000,INDEX($AC$1005:$AS$1005,1,MATCH(COLUMNS($AC$1006:AI1006),$AC$1006:$AS$1006,0))&gt;=100000), " ",IF(INDEX($AC$2:$AS$1001,MATCH(ROWS($V$2:V964),$V$2:$V$1001,0),MATCH(COLUMNS($AC$1006:AI1006),$AC$1006:$AS$1006,0)), HYPERLINK("#",""), HYPERLINK(CONCATENATE("#Metadata!", ADDRESS(INDEX($X$2:$X$1001,MATCH(ROWS($V$2:V964),$V$2:$V$1001,0),0), INDEX($AC$1004:$AS$1004,1,MATCH(COLUMNS($AC$1006:AI1006),$AC$1006:$AS$1006,0)))),"Fix")))</f>
        <v>0</v>
      </c>
      <c r="I964" s="5">
        <f>IF(OR(INDEX($W$2:$W$1001,MATCH(ROWS($V$2:V964),$V$2:$V$1001,0),1)&gt;=100000,INDEX($AC$1005:$AS$1005,1,MATCH(COLUMNS($AC$1006:AJ1006),$AC$1006:$AS$1006,0))&gt;=100000), " ",IF(INDEX($AC$2:$AS$1001,MATCH(ROWS($V$2:V964),$V$2:$V$1001,0),MATCH(COLUMNS($AC$1006:AJ1006),$AC$1006:$AS$1006,0)), HYPERLINK("#",""), HYPERLINK(CONCATENATE("#Metadata!", ADDRESS(INDEX($X$2:$X$1001,MATCH(ROWS($V$2:V964),$V$2:$V$1001,0),0), INDEX($AC$1004:$AS$1004,1,MATCH(COLUMNS($AC$1006:AJ1006),$AC$1006:$AS$1006,0)))),"Fix")))</f>
        <v>0</v>
      </c>
      <c r="J964" s="5">
        <f>IF(OR(INDEX($W$2:$W$1001,MATCH(ROWS($V$2:V964),$V$2:$V$1001,0),1)&gt;=100000,INDEX($AC$1005:$AS$1005,1,MATCH(COLUMNS($AC$1006:AK1006),$AC$1006:$AS$1006,0))&gt;=100000), " ",IF(INDEX($AC$2:$AS$1001,MATCH(ROWS($V$2:V964),$V$2:$V$1001,0),MATCH(COLUMNS($AC$1006:AK1006),$AC$1006:$AS$1006,0)), HYPERLINK("#",""), HYPERLINK(CONCATENATE("#Metadata!", ADDRESS(INDEX($X$2:$X$1001,MATCH(ROWS($V$2:V964),$V$2:$V$1001,0),0), INDEX($AC$1004:$AS$1004,1,MATCH(COLUMNS($AC$1006:AK1006),$AC$1006:$AS$1006,0)))),"Fix")))</f>
        <v>0</v>
      </c>
      <c r="K964" s="5">
        <f>IF(OR(INDEX($W$2:$W$1001,MATCH(ROWS($V$2:V964),$V$2:$V$1001,0),1)&gt;=100000,INDEX($AC$1005:$AS$1005,1,MATCH(COLUMNS($AC$1006:AL1006),$AC$1006:$AS$1006,0))&gt;=100000), " ",IF(INDEX($AC$2:$AS$1001,MATCH(ROWS($V$2:V964),$V$2:$V$1001,0),MATCH(COLUMNS($AC$1006:AL1006),$AC$1006:$AS$1006,0)), HYPERLINK("#",""), HYPERLINK(CONCATENATE("#Metadata!", ADDRESS(INDEX($X$2:$X$1001,MATCH(ROWS($V$2:V964),$V$2:$V$1001,0),0), INDEX($AC$1004:$AS$1004,1,MATCH(COLUMNS($AC$1006:AL1006),$AC$1006:$AS$1006,0)))),"Fix")))</f>
        <v>0</v>
      </c>
      <c r="L964" s="5">
        <f>IF(OR(INDEX($W$2:$W$1001,MATCH(ROWS($V$2:V964),$V$2:$V$1001,0),1)&gt;=100000,INDEX($AC$1005:$AS$1005,1,MATCH(COLUMNS($AC$1006:AM1006),$AC$1006:$AS$1006,0))&gt;=100000), " ",IF(INDEX($AC$2:$AS$1001,MATCH(ROWS($V$2:V964),$V$2:$V$1001,0),MATCH(COLUMNS($AC$1006:AM1006),$AC$1006:$AS$1006,0)), HYPERLINK("#",""), HYPERLINK(CONCATENATE("#Metadata!", ADDRESS(INDEX($X$2:$X$1001,MATCH(ROWS($V$2:V964),$V$2:$V$1001,0),0), INDEX($AC$1004:$AS$1004,1,MATCH(COLUMNS($AC$1006:AM1006),$AC$1006:$AS$1006,0)))),"Fix")))</f>
        <v>0</v>
      </c>
      <c r="M964" s="5">
        <f>IF(OR(INDEX($W$2:$W$1001,MATCH(ROWS($V$2:V964),$V$2:$V$1001,0),1)&gt;=100000,INDEX($AC$1005:$AS$1005,1,MATCH(COLUMNS($AC$1006:AN1006),$AC$1006:$AS$1006,0))&gt;=100000), " ",IF(INDEX($AC$2:$AS$1001,MATCH(ROWS($V$2:V964),$V$2:$V$1001,0),MATCH(COLUMNS($AC$1006:AN1006),$AC$1006:$AS$1006,0)), HYPERLINK("#",""), HYPERLINK(CONCATENATE("#Metadata!", ADDRESS(INDEX($X$2:$X$1001,MATCH(ROWS($V$2:V964),$V$2:$V$1001,0),0), INDEX($AC$1004:$AS$1004,1,MATCH(COLUMNS($AC$1006:AN1006),$AC$1006:$AS$1006,0)))),"Fix")))</f>
        <v>0</v>
      </c>
      <c r="N964" s="5">
        <f>IF(OR(INDEX($W$2:$W$1001,MATCH(ROWS($V$2:V964),$V$2:$V$1001,0),1)&gt;=100000,INDEX($AC$1005:$AS$1005,1,MATCH(COLUMNS($AC$1006:AO1006),$AC$1006:$AS$1006,0))&gt;=100000), " ",IF(INDEX($AC$2:$AS$1001,MATCH(ROWS($V$2:V964),$V$2:$V$1001,0),MATCH(COLUMNS($AC$1006:AO1006),$AC$1006:$AS$1006,0)), HYPERLINK("#",""), HYPERLINK(CONCATENATE("#Metadata!", ADDRESS(INDEX($X$2:$X$1001,MATCH(ROWS($V$2:V964),$V$2:$V$1001,0),0), INDEX($AC$1004:$AS$1004,1,MATCH(COLUMNS($AC$1006:AO1006),$AC$1006:$AS$1006,0)))),"Fix")))</f>
        <v>0</v>
      </c>
      <c r="O964" s="5">
        <f>IF(OR(INDEX($W$2:$W$1001,MATCH(ROWS($V$2:V964),$V$2:$V$1001,0),1)&gt;=100000,INDEX($AC$1005:$AS$1005,1,MATCH(COLUMNS($AC$1006:AP1006),$AC$1006:$AS$1006,0))&gt;=100000), " ",IF(INDEX($AC$2:$AS$1001,MATCH(ROWS($V$2:V964),$V$2:$V$1001,0),MATCH(COLUMNS($AC$1006:AP1006),$AC$1006:$AS$1006,0)), HYPERLINK("#",""), HYPERLINK(CONCATENATE("#Metadata!", ADDRESS(INDEX($X$2:$X$1001,MATCH(ROWS($V$2:V964),$V$2:$V$1001,0),0), INDEX($AC$1004:$AS$1004,1,MATCH(COLUMNS($AC$1006:AP1006),$AC$1006:$AS$1006,0)))),"Fix")))</f>
        <v>0</v>
      </c>
      <c r="P964" s="5">
        <f>IF(OR(INDEX($W$2:$W$1001,MATCH(ROWS($V$2:V964),$V$2:$V$1001,0),1)&gt;=100000,INDEX($AC$1005:$AS$1005,1,MATCH(COLUMNS($AC$1006:AQ1006),$AC$1006:$AS$1006,0))&gt;=100000), " ",IF(INDEX($AC$2:$AS$1001,MATCH(ROWS($V$2:V964),$V$2:$V$1001,0),MATCH(COLUMNS($AC$1006:AQ1006),$AC$1006:$AS$1006,0)), HYPERLINK("#",""), HYPERLINK(CONCATENATE("#Metadata!", ADDRESS(INDEX($X$2:$X$1001,MATCH(ROWS($V$2:V964),$V$2:$V$1001,0),0), INDEX($AC$1004:$AS$1004,1,MATCH(COLUMNS($AC$1006:AQ1006),$AC$1006:$AS$1006,0)))),"Fix")))</f>
        <v>0</v>
      </c>
      <c r="Q964" s="5">
        <f>IF(OR(INDEX($W$2:$W$1001,MATCH(ROWS($V$2:V964),$V$2:$V$1001,0),1)&gt;=100000,INDEX($AC$1005:$AS$1005,1,MATCH(COLUMNS($AC$1006:AR1006),$AC$1006:$AS$1006,0))&gt;=100000), " ",IF(INDEX($AC$2:$AS$1001,MATCH(ROWS($V$2:V964),$V$2:$V$1001,0),MATCH(COLUMNS($AC$1006:AR1006),$AC$1006:$AS$1006,0)), HYPERLINK("#",""), HYPERLINK(CONCATENATE("#Metadata!", ADDRESS(INDEX($X$2:$X$1001,MATCH(ROWS($V$2:V964),$V$2:$V$1001,0),0), INDEX($AC$1004:$AS$1004,1,MATCH(COLUMNS($AC$1006:AR1006),$AC$1006:$AS$1006,0)))),"Fix")))</f>
        <v>0</v>
      </c>
      <c r="R964" s="5">
        <f>IF(OR(INDEX($W$2:$W$1001,MATCH(ROWS($V$2:V964),$V$2:$V$1001,0),1)&gt;=100000,INDEX($AC$1005:$AS$1005,1,MATCH(COLUMNS($AC$1006:AS1006),$AC$1006:$AS$1006,0))&gt;=100000), " ",IF(INDEX($AC$2:$AS$1001,MATCH(ROWS($V$2:V964),$V$2:$V$1001,0),MATCH(COLUMNS($AC$1006:AS1006),$AC$1006:$AS$1006,0)), HYPERLINK("#",""), HYPERLINK(CONCATENATE("#Metadata!", ADDRESS(INDEX($X$2:$X$1001,MATCH(ROWS($V$2:V964),$V$2:$V$1001,0),0), INDEX($AC$1004:$AS$1004,1,MATCH(COLUMNS($AC$1006:AS1006),$AC$1006:$AS$1006,0)))),"Fix")))</f>
        <v>0</v>
      </c>
      <c r="V964">
        <v>0</v>
      </c>
      <c r="W964">
        <v>0</v>
      </c>
      <c r="X964">
        <v>0</v>
      </c>
      <c r="Y964">
        <f>IF(Z964,TRUE,AND(AC964:AS964))</f>
        <v>0</v>
      </c>
      <c r="Z964">
        <f>COUNTBLANK(Metadata!B964:R964)=COLUMNS(Metadata!B964:R964)</f>
        <v>0</v>
      </c>
      <c r="AA964">
        <v>0</v>
      </c>
      <c r="AC964">
        <f>AND(IF(Metadata!B964="",FALSE,TRUE),COUNTIF(Metadata!B:B, Metadata!B964) = 1,NOT(ISERROR(SUMPRODUCT(SEARCH(MID(Metadata!B964,ROW(INDIRECT("1:"&amp;LEN(Metadata!B964))), 1),"0123456789abcdefghijklmnopqrstuvwxyzABCDEFGHIJKLMNOPQRSTUVWXYZ.")))))</f>
        <v>0</v>
      </c>
      <c r="AD964">
        <f>AND(IF(Metadata!C964="",FALSE,TRUE),exact(Metadata!C964,"Host-associated"))</f>
        <v>0</v>
      </c>
      <c r="AE964">
        <f>AND(IF(Metadata!D964="",FALSE,TRUE),OR(exact(Metadata!D964,"Animal"),exact(Metadata!D964,"Fungus"),exact(Metadata!D964,"Plant")))</f>
        <v>0</v>
      </c>
      <c r="AF964">
        <f>AND(IF(Metadata!E964="",FALSE,TRUE),OR(exact(Metadata!E964,"Plant secretion"),exact(Metadata!E964,"Plant rhizosphere"),exact(Metadata!E964,"Plant surface"),exact(Metadata!E964,"Plant corpus"),exact(Metadata!E964,"Fungus surface"),exact(Metadata!E964,"Fungus corpus"),exact(Metadata!E964,"Animal surface"),exact(Metadata!E964,"Animal proximal gut"),exact(Metadata!E964,"Animal corpus"),exact(Metadata!E964,"Animal distal gut"),exact(Metadata!E964,"Animal secretion")))</f>
        <v>0</v>
      </c>
      <c r="AG964">
        <f>OR(AND(IF(Metadata!F964="",FALSE,TRUE),OR(exact(Metadata!F964,"not collected"),exact(Metadata!F964,"not provided"),exact(Metadata!F964,"restricted access"))),AND(IF(Metadata!F964="",FALSE,TRUE),OR(exact(Metadata!F964,"organism-associated habitat"),exact(Metadata!F964,"plant-associated habitat"),exact(Metadata!F964,"animal-associated habitat"),exact(Metadata!F964,"insecta-associated habitat"),exact(Metadata!F964,"mammalia-associated habitat"),exact(Metadata!F964,"human-associated habitat"),exact(Metadata!F964,"livestock-associated habitat"))))</f>
        <v>0</v>
      </c>
      <c r="AH964">
        <f>AND(IF(Metadata!G964="",FALSE,TRUE),exact(Metadata!G964,"host-associated"))</f>
        <v>0</v>
      </c>
      <c r="AI964">
        <f>OR(AND(IF(Metadata!H964="",FALSE,TRUE),OR(exact(Metadata!H964,"not collected"),exact(Metadata!H964,"not provided"))),AND(IF(Metadata!H964="",FALSE,ISNUMBER(VALUE(Metadata!H964))),Metadata!H964&gt;0))</f>
        <v>0</v>
      </c>
      <c r="AJ964">
        <f>AND(IF(Metadata!I964="",FALSE,TRUE),exact(Metadata!I964,"years"))</f>
        <v>0</v>
      </c>
      <c r="AK964">
        <f>IF(Metadata!J964="",FALSE,TRUE)</f>
        <v>0</v>
      </c>
      <c r="AL964">
        <f>OR(AND(IF(Metadata!K964="",FALSE,TRUE),OR(exact(Metadata!K964,"not collected"),exact(Metadata!K964,"not provided"))),AND(IF(Metadata!K964="",FALSE,ISNUMBER(VALUE(Metadata!K964))),Metadata!K964&gt;0))</f>
        <v>0</v>
      </c>
      <c r="AM964">
        <f>AND(IF(Metadata!L964="",FALSE,TRUE),exact(Metadata!L964,"cm"))</f>
        <v>0</v>
      </c>
      <c r="AN964">
        <f>IF(Metadata!M964="",FALSE,TRUE)</f>
        <v>0</v>
      </c>
      <c r="AO964">
        <f>OR(AND(IF(Metadata!N964="",FALSE,TRUE),OR(exact(Metadata!N964,"not applicable"),exact(Metadata!N964,"not collected"),exact(Metadata!N964,"not provided"))),AND(IF(Metadata!N964="",FALSE,IF(ISERROR(INT(Metadata!N964)),FALSE,INT(Metadata!N964)=Metadata!N964)),Metadata!N964&gt;0))</f>
        <v>0</v>
      </c>
      <c r="AP964">
        <f>OR(AND(IF(Metadata!O964="",FALSE,TRUE),OR(exact(Metadata!O964,"not collected"),exact(Metadata!O964,"not provided"))),AND(IF(Metadata!O964="",FALSE,ISNUMBER(VALUE(Metadata!O964))),Metadata!O964&gt;0))</f>
        <v>0</v>
      </c>
      <c r="AQ964">
        <f>AND(IF(Metadata!P964="",FALSE,TRUE),exact(Metadata!P964,"kg"))</f>
        <v>0</v>
      </c>
      <c r="AR964">
        <f>OR(AND(IF(Metadata!Q964="",FALSE,TRUE),OR(exact(Metadata!Q964,"not applicable"),exact(Metadata!Q964,"not collected"),exact(Metadata!Q964,"not provided"),exact(Metadata!Q964,"restricted access"))),IF(Metadata!Q964="",FALSE,IF(ISERROR(INT(Metadata!Q964)),FALSE,INT(Metadata!Q964)=Metadata!Q964)))</f>
        <v>0</v>
      </c>
      <c r="AS964">
        <f>AND(IF(Metadata!R964="",FALSE,TRUE),exact(Metadata!R964,"Not applicable"))</f>
        <v>0</v>
      </c>
    </row>
    <row r="965" spans="1:45">
      <c r="A965" s="4">
        <f>IF(B965=" "," ",HYPERLINK(CONCATENATE("#metadata!",ADDRESS(INDEX($X$2:$X$1001,MATCH(ROWS($V$2:V965),$V$2:$V$1001,0),0),2)),INDEX($AA$2:$AA$1001,MATCH(ROWS($V$2:V965),$V$2:$V$1001,0),0)))</f>
        <v>0</v>
      </c>
      <c r="B965" s="5">
        <f>IF(OR(INDEX($W$2:$W$1001,MATCH(ROWS($V$2:V965),$V$2:$V$1001,0),1)&gt;=100000,INDEX($AC$1005:$AS$1005,1,MATCH(COLUMNS($AC$1006:AC1006),$AC$1006:$AS$1006,0))&gt;=100000), " ",IF(INDEX($AC$2:$AS$1001,MATCH(ROWS($V$2:V965),$V$2:$V$1001,0),MATCH(COLUMNS($AC$1006:AC1006),$AC$1006:$AS$1006,0)), HYPERLINK("#",""), HYPERLINK(CONCATENATE("#Metadata!", ADDRESS(INDEX($X$2:$X$1001,MATCH(ROWS($V$2:V965),$V$2:$V$1001,0),0), INDEX($AC$1004:$AS$1004,1,MATCH(COLUMNS($AC$1006:AC1006),$AC$1006:$AS$1006,0)))),"Fix")))</f>
        <v>0</v>
      </c>
      <c r="C965" s="5">
        <f>IF(OR(INDEX($W$2:$W$1001,MATCH(ROWS($V$2:V965),$V$2:$V$1001,0),1)&gt;=100000,INDEX($AC$1005:$AS$1005,1,MATCH(COLUMNS($AC$1006:AD1006),$AC$1006:$AS$1006,0))&gt;=100000), " ",IF(INDEX($AC$2:$AS$1001,MATCH(ROWS($V$2:V965),$V$2:$V$1001,0),MATCH(COLUMNS($AC$1006:AD1006),$AC$1006:$AS$1006,0)), HYPERLINK("#",""), HYPERLINK(CONCATENATE("#Metadata!", ADDRESS(INDEX($X$2:$X$1001,MATCH(ROWS($V$2:V965),$V$2:$V$1001,0),0), INDEX($AC$1004:$AS$1004,1,MATCH(COLUMNS($AC$1006:AD1006),$AC$1006:$AS$1006,0)))),"Fix")))</f>
        <v>0</v>
      </c>
      <c r="D965" s="5">
        <f>IF(OR(INDEX($W$2:$W$1001,MATCH(ROWS($V$2:V965),$V$2:$V$1001,0),1)&gt;=100000,INDEX($AC$1005:$AS$1005,1,MATCH(COLUMNS($AC$1006:AE1006),$AC$1006:$AS$1006,0))&gt;=100000), " ",IF(INDEX($AC$2:$AS$1001,MATCH(ROWS($V$2:V965),$V$2:$V$1001,0),MATCH(COLUMNS($AC$1006:AE1006),$AC$1006:$AS$1006,0)), HYPERLINK("#",""), HYPERLINK(CONCATENATE("#Metadata!", ADDRESS(INDEX($X$2:$X$1001,MATCH(ROWS($V$2:V965),$V$2:$V$1001,0),0), INDEX($AC$1004:$AS$1004,1,MATCH(COLUMNS($AC$1006:AE1006),$AC$1006:$AS$1006,0)))),"Fix")))</f>
        <v>0</v>
      </c>
      <c r="E965" s="5">
        <f>IF(OR(INDEX($W$2:$W$1001,MATCH(ROWS($V$2:V965),$V$2:$V$1001,0),1)&gt;=100000,INDEX($AC$1005:$AS$1005,1,MATCH(COLUMNS($AC$1006:AF1006),$AC$1006:$AS$1006,0))&gt;=100000), " ",IF(INDEX($AC$2:$AS$1001,MATCH(ROWS($V$2:V965),$V$2:$V$1001,0),MATCH(COLUMNS($AC$1006:AF1006),$AC$1006:$AS$1006,0)), HYPERLINK("#",""), HYPERLINK(CONCATENATE("#Metadata!", ADDRESS(INDEX($X$2:$X$1001,MATCH(ROWS($V$2:V965),$V$2:$V$1001,0),0), INDEX($AC$1004:$AS$1004,1,MATCH(COLUMNS($AC$1006:AF1006),$AC$1006:$AS$1006,0)))),"Fix")))</f>
        <v>0</v>
      </c>
      <c r="F965" s="5">
        <f>IF(OR(INDEX($W$2:$W$1001,MATCH(ROWS($V$2:V965),$V$2:$V$1001,0),1)&gt;=100000,INDEX($AC$1005:$AS$1005,1,MATCH(COLUMNS($AC$1006:AG1006),$AC$1006:$AS$1006,0))&gt;=100000), " ",IF(INDEX($AC$2:$AS$1001,MATCH(ROWS($V$2:V965),$V$2:$V$1001,0),MATCH(COLUMNS($AC$1006:AG1006),$AC$1006:$AS$1006,0)), HYPERLINK("#",""), HYPERLINK(CONCATENATE("#Metadata!", ADDRESS(INDEX($X$2:$X$1001,MATCH(ROWS($V$2:V965),$V$2:$V$1001,0),0), INDEX($AC$1004:$AS$1004,1,MATCH(COLUMNS($AC$1006:AG1006),$AC$1006:$AS$1006,0)))),"Fix")))</f>
        <v>0</v>
      </c>
      <c r="G965" s="5">
        <f>IF(OR(INDEX($W$2:$W$1001,MATCH(ROWS($V$2:V965),$V$2:$V$1001,0),1)&gt;=100000,INDEX($AC$1005:$AS$1005,1,MATCH(COLUMNS($AC$1006:AH1006),$AC$1006:$AS$1006,0))&gt;=100000), " ",IF(INDEX($AC$2:$AS$1001,MATCH(ROWS($V$2:V965),$V$2:$V$1001,0),MATCH(COLUMNS($AC$1006:AH1006),$AC$1006:$AS$1006,0)), HYPERLINK("#",""), HYPERLINK(CONCATENATE("#Metadata!", ADDRESS(INDEX($X$2:$X$1001,MATCH(ROWS($V$2:V965),$V$2:$V$1001,0),0), INDEX($AC$1004:$AS$1004,1,MATCH(COLUMNS($AC$1006:AH1006),$AC$1006:$AS$1006,0)))),"Fix")))</f>
        <v>0</v>
      </c>
      <c r="H965" s="5">
        <f>IF(OR(INDEX($W$2:$W$1001,MATCH(ROWS($V$2:V965),$V$2:$V$1001,0),1)&gt;=100000,INDEX($AC$1005:$AS$1005,1,MATCH(COLUMNS($AC$1006:AI1006),$AC$1006:$AS$1006,0))&gt;=100000), " ",IF(INDEX($AC$2:$AS$1001,MATCH(ROWS($V$2:V965),$V$2:$V$1001,0),MATCH(COLUMNS($AC$1006:AI1006),$AC$1006:$AS$1006,0)), HYPERLINK("#",""), HYPERLINK(CONCATENATE("#Metadata!", ADDRESS(INDEX($X$2:$X$1001,MATCH(ROWS($V$2:V965),$V$2:$V$1001,0),0), INDEX($AC$1004:$AS$1004,1,MATCH(COLUMNS($AC$1006:AI1006),$AC$1006:$AS$1006,0)))),"Fix")))</f>
        <v>0</v>
      </c>
      <c r="I965" s="5">
        <f>IF(OR(INDEX($W$2:$W$1001,MATCH(ROWS($V$2:V965),$V$2:$V$1001,0),1)&gt;=100000,INDEX($AC$1005:$AS$1005,1,MATCH(COLUMNS($AC$1006:AJ1006),$AC$1006:$AS$1006,0))&gt;=100000), " ",IF(INDEX($AC$2:$AS$1001,MATCH(ROWS($V$2:V965),$V$2:$V$1001,0),MATCH(COLUMNS($AC$1006:AJ1006),$AC$1006:$AS$1006,0)), HYPERLINK("#",""), HYPERLINK(CONCATENATE("#Metadata!", ADDRESS(INDEX($X$2:$X$1001,MATCH(ROWS($V$2:V965),$V$2:$V$1001,0),0), INDEX($AC$1004:$AS$1004,1,MATCH(COLUMNS($AC$1006:AJ1006),$AC$1006:$AS$1006,0)))),"Fix")))</f>
        <v>0</v>
      </c>
      <c r="J965" s="5">
        <f>IF(OR(INDEX($W$2:$W$1001,MATCH(ROWS($V$2:V965),$V$2:$V$1001,0),1)&gt;=100000,INDEX($AC$1005:$AS$1005,1,MATCH(COLUMNS($AC$1006:AK1006),$AC$1006:$AS$1006,0))&gt;=100000), " ",IF(INDEX($AC$2:$AS$1001,MATCH(ROWS($V$2:V965),$V$2:$V$1001,0),MATCH(COLUMNS($AC$1006:AK1006),$AC$1006:$AS$1006,0)), HYPERLINK("#",""), HYPERLINK(CONCATENATE("#Metadata!", ADDRESS(INDEX($X$2:$X$1001,MATCH(ROWS($V$2:V965),$V$2:$V$1001,0),0), INDEX($AC$1004:$AS$1004,1,MATCH(COLUMNS($AC$1006:AK1006),$AC$1006:$AS$1006,0)))),"Fix")))</f>
        <v>0</v>
      </c>
      <c r="K965" s="5">
        <f>IF(OR(INDEX($W$2:$W$1001,MATCH(ROWS($V$2:V965),$V$2:$V$1001,0),1)&gt;=100000,INDEX($AC$1005:$AS$1005,1,MATCH(COLUMNS($AC$1006:AL1006),$AC$1006:$AS$1006,0))&gt;=100000), " ",IF(INDEX($AC$2:$AS$1001,MATCH(ROWS($V$2:V965),$V$2:$V$1001,0),MATCH(COLUMNS($AC$1006:AL1006),$AC$1006:$AS$1006,0)), HYPERLINK("#",""), HYPERLINK(CONCATENATE("#Metadata!", ADDRESS(INDEX($X$2:$X$1001,MATCH(ROWS($V$2:V965),$V$2:$V$1001,0),0), INDEX($AC$1004:$AS$1004,1,MATCH(COLUMNS($AC$1006:AL1006),$AC$1006:$AS$1006,0)))),"Fix")))</f>
        <v>0</v>
      </c>
      <c r="L965" s="5">
        <f>IF(OR(INDEX($W$2:$W$1001,MATCH(ROWS($V$2:V965),$V$2:$V$1001,0),1)&gt;=100000,INDEX($AC$1005:$AS$1005,1,MATCH(COLUMNS($AC$1006:AM1006),$AC$1006:$AS$1006,0))&gt;=100000), " ",IF(INDEX($AC$2:$AS$1001,MATCH(ROWS($V$2:V965),$V$2:$V$1001,0),MATCH(COLUMNS($AC$1006:AM1006),$AC$1006:$AS$1006,0)), HYPERLINK("#",""), HYPERLINK(CONCATENATE("#Metadata!", ADDRESS(INDEX($X$2:$X$1001,MATCH(ROWS($V$2:V965),$V$2:$V$1001,0),0), INDEX($AC$1004:$AS$1004,1,MATCH(COLUMNS($AC$1006:AM1006),$AC$1006:$AS$1006,0)))),"Fix")))</f>
        <v>0</v>
      </c>
      <c r="M965" s="5">
        <f>IF(OR(INDEX($W$2:$W$1001,MATCH(ROWS($V$2:V965),$V$2:$V$1001,0),1)&gt;=100000,INDEX($AC$1005:$AS$1005,1,MATCH(COLUMNS($AC$1006:AN1006),$AC$1006:$AS$1006,0))&gt;=100000), " ",IF(INDEX($AC$2:$AS$1001,MATCH(ROWS($V$2:V965),$V$2:$V$1001,0),MATCH(COLUMNS($AC$1006:AN1006),$AC$1006:$AS$1006,0)), HYPERLINK("#",""), HYPERLINK(CONCATENATE("#Metadata!", ADDRESS(INDEX($X$2:$X$1001,MATCH(ROWS($V$2:V965),$V$2:$V$1001,0),0), INDEX($AC$1004:$AS$1004,1,MATCH(COLUMNS($AC$1006:AN1006),$AC$1006:$AS$1006,0)))),"Fix")))</f>
        <v>0</v>
      </c>
      <c r="N965" s="5">
        <f>IF(OR(INDEX($W$2:$W$1001,MATCH(ROWS($V$2:V965),$V$2:$V$1001,0),1)&gt;=100000,INDEX($AC$1005:$AS$1005,1,MATCH(COLUMNS($AC$1006:AO1006),$AC$1006:$AS$1006,0))&gt;=100000), " ",IF(INDEX($AC$2:$AS$1001,MATCH(ROWS($V$2:V965),$V$2:$V$1001,0),MATCH(COLUMNS($AC$1006:AO1006),$AC$1006:$AS$1006,0)), HYPERLINK("#",""), HYPERLINK(CONCATENATE("#Metadata!", ADDRESS(INDEX($X$2:$X$1001,MATCH(ROWS($V$2:V965),$V$2:$V$1001,0),0), INDEX($AC$1004:$AS$1004,1,MATCH(COLUMNS($AC$1006:AO1006),$AC$1006:$AS$1006,0)))),"Fix")))</f>
        <v>0</v>
      </c>
      <c r="O965" s="5">
        <f>IF(OR(INDEX($W$2:$W$1001,MATCH(ROWS($V$2:V965),$V$2:$V$1001,0),1)&gt;=100000,INDEX($AC$1005:$AS$1005,1,MATCH(COLUMNS($AC$1006:AP1006),$AC$1006:$AS$1006,0))&gt;=100000), " ",IF(INDEX($AC$2:$AS$1001,MATCH(ROWS($V$2:V965),$V$2:$V$1001,0),MATCH(COLUMNS($AC$1006:AP1006),$AC$1006:$AS$1006,0)), HYPERLINK("#",""), HYPERLINK(CONCATENATE("#Metadata!", ADDRESS(INDEX($X$2:$X$1001,MATCH(ROWS($V$2:V965),$V$2:$V$1001,0),0), INDEX($AC$1004:$AS$1004,1,MATCH(COLUMNS($AC$1006:AP1006),$AC$1006:$AS$1006,0)))),"Fix")))</f>
        <v>0</v>
      </c>
      <c r="P965" s="5">
        <f>IF(OR(INDEX($W$2:$W$1001,MATCH(ROWS($V$2:V965),$V$2:$V$1001,0),1)&gt;=100000,INDEX($AC$1005:$AS$1005,1,MATCH(COLUMNS($AC$1006:AQ1006),$AC$1006:$AS$1006,0))&gt;=100000), " ",IF(INDEX($AC$2:$AS$1001,MATCH(ROWS($V$2:V965),$V$2:$V$1001,0),MATCH(COLUMNS($AC$1006:AQ1006),$AC$1006:$AS$1006,0)), HYPERLINK("#",""), HYPERLINK(CONCATENATE("#Metadata!", ADDRESS(INDEX($X$2:$X$1001,MATCH(ROWS($V$2:V965),$V$2:$V$1001,0),0), INDEX($AC$1004:$AS$1004,1,MATCH(COLUMNS($AC$1006:AQ1006),$AC$1006:$AS$1006,0)))),"Fix")))</f>
        <v>0</v>
      </c>
      <c r="Q965" s="5">
        <f>IF(OR(INDEX($W$2:$W$1001,MATCH(ROWS($V$2:V965),$V$2:$V$1001,0),1)&gt;=100000,INDEX($AC$1005:$AS$1005,1,MATCH(COLUMNS($AC$1006:AR1006),$AC$1006:$AS$1006,0))&gt;=100000), " ",IF(INDEX($AC$2:$AS$1001,MATCH(ROWS($V$2:V965),$V$2:$V$1001,0),MATCH(COLUMNS($AC$1006:AR1006),$AC$1006:$AS$1006,0)), HYPERLINK("#",""), HYPERLINK(CONCATENATE("#Metadata!", ADDRESS(INDEX($X$2:$X$1001,MATCH(ROWS($V$2:V965),$V$2:$V$1001,0),0), INDEX($AC$1004:$AS$1004,1,MATCH(COLUMNS($AC$1006:AR1006),$AC$1006:$AS$1006,0)))),"Fix")))</f>
        <v>0</v>
      </c>
      <c r="R965" s="5">
        <f>IF(OR(INDEX($W$2:$W$1001,MATCH(ROWS($V$2:V965),$V$2:$V$1001,0),1)&gt;=100000,INDEX($AC$1005:$AS$1005,1,MATCH(COLUMNS($AC$1006:AS1006),$AC$1006:$AS$1006,0))&gt;=100000), " ",IF(INDEX($AC$2:$AS$1001,MATCH(ROWS($V$2:V965),$V$2:$V$1001,0),MATCH(COLUMNS($AC$1006:AS1006),$AC$1006:$AS$1006,0)), HYPERLINK("#",""), HYPERLINK(CONCATENATE("#Metadata!", ADDRESS(INDEX($X$2:$X$1001,MATCH(ROWS($V$2:V965),$V$2:$V$1001,0),0), INDEX($AC$1004:$AS$1004,1,MATCH(COLUMNS($AC$1006:AS1006),$AC$1006:$AS$1006,0)))),"Fix")))</f>
        <v>0</v>
      </c>
      <c r="V965">
        <v>0</v>
      </c>
      <c r="W965">
        <v>0</v>
      </c>
      <c r="X965">
        <v>0</v>
      </c>
      <c r="Y965">
        <f>IF(Z965,TRUE,AND(AC965:AS965))</f>
        <v>0</v>
      </c>
      <c r="Z965">
        <f>COUNTBLANK(Metadata!B965:R965)=COLUMNS(Metadata!B965:R965)</f>
        <v>0</v>
      </c>
      <c r="AA965">
        <v>0</v>
      </c>
      <c r="AC965">
        <f>AND(IF(Metadata!B965="",FALSE,TRUE),COUNTIF(Metadata!B:B, Metadata!B965) = 1,NOT(ISERROR(SUMPRODUCT(SEARCH(MID(Metadata!B965,ROW(INDIRECT("1:"&amp;LEN(Metadata!B965))), 1),"0123456789abcdefghijklmnopqrstuvwxyzABCDEFGHIJKLMNOPQRSTUVWXYZ.")))))</f>
        <v>0</v>
      </c>
      <c r="AD965">
        <f>AND(IF(Metadata!C965="",FALSE,TRUE),exact(Metadata!C965,"Host-associated"))</f>
        <v>0</v>
      </c>
      <c r="AE965">
        <f>AND(IF(Metadata!D965="",FALSE,TRUE),OR(exact(Metadata!D965,"Animal"),exact(Metadata!D965,"Fungus"),exact(Metadata!D965,"Plant")))</f>
        <v>0</v>
      </c>
      <c r="AF965">
        <f>AND(IF(Metadata!E965="",FALSE,TRUE),OR(exact(Metadata!E965,"Plant secretion"),exact(Metadata!E965,"Plant rhizosphere"),exact(Metadata!E965,"Plant surface"),exact(Metadata!E965,"Plant corpus"),exact(Metadata!E965,"Fungus surface"),exact(Metadata!E965,"Fungus corpus"),exact(Metadata!E965,"Animal surface"),exact(Metadata!E965,"Animal proximal gut"),exact(Metadata!E965,"Animal corpus"),exact(Metadata!E965,"Animal distal gut"),exact(Metadata!E965,"Animal secretion")))</f>
        <v>0</v>
      </c>
      <c r="AG965">
        <f>OR(AND(IF(Metadata!F965="",FALSE,TRUE),OR(exact(Metadata!F965,"not collected"),exact(Metadata!F965,"not provided"),exact(Metadata!F965,"restricted access"))),AND(IF(Metadata!F965="",FALSE,TRUE),OR(exact(Metadata!F965,"organism-associated habitat"),exact(Metadata!F965,"plant-associated habitat"),exact(Metadata!F965,"animal-associated habitat"),exact(Metadata!F965,"insecta-associated habitat"),exact(Metadata!F965,"mammalia-associated habitat"),exact(Metadata!F965,"human-associated habitat"),exact(Metadata!F965,"livestock-associated habitat"))))</f>
        <v>0</v>
      </c>
      <c r="AH965">
        <f>AND(IF(Metadata!G965="",FALSE,TRUE),exact(Metadata!G965,"host-associated"))</f>
        <v>0</v>
      </c>
      <c r="AI965">
        <f>OR(AND(IF(Metadata!H965="",FALSE,TRUE),OR(exact(Metadata!H965,"not collected"),exact(Metadata!H965,"not provided"))),AND(IF(Metadata!H965="",FALSE,ISNUMBER(VALUE(Metadata!H965))),Metadata!H965&gt;0))</f>
        <v>0</v>
      </c>
      <c r="AJ965">
        <f>AND(IF(Metadata!I965="",FALSE,TRUE),exact(Metadata!I965,"years"))</f>
        <v>0</v>
      </c>
      <c r="AK965">
        <f>IF(Metadata!J965="",FALSE,TRUE)</f>
        <v>0</v>
      </c>
      <c r="AL965">
        <f>OR(AND(IF(Metadata!K965="",FALSE,TRUE),OR(exact(Metadata!K965,"not collected"),exact(Metadata!K965,"not provided"))),AND(IF(Metadata!K965="",FALSE,ISNUMBER(VALUE(Metadata!K965))),Metadata!K965&gt;0))</f>
        <v>0</v>
      </c>
      <c r="AM965">
        <f>AND(IF(Metadata!L965="",FALSE,TRUE),exact(Metadata!L965,"cm"))</f>
        <v>0</v>
      </c>
      <c r="AN965">
        <f>IF(Metadata!M965="",FALSE,TRUE)</f>
        <v>0</v>
      </c>
      <c r="AO965">
        <f>OR(AND(IF(Metadata!N965="",FALSE,TRUE),OR(exact(Metadata!N965,"not applicable"),exact(Metadata!N965,"not collected"),exact(Metadata!N965,"not provided"))),AND(IF(Metadata!N965="",FALSE,IF(ISERROR(INT(Metadata!N965)),FALSE,INT(Metadata!N965)=Metadata!N965)),Metadata!N965&gt;0))</f>
        <v>0</v>
      </c>
      <c r="AP965">
        <f>OR(AND(IF(Metadata!O965="",FALSE,TRUE),OR(exact(Metadata!O965,"not collected"),exact(Metadata!O965,"not provided"))),AND(IF(Metadata!O965="",FALSE,ISNUMBER(VALUE(Metadata!O965))),Metadata!O965&gt;0))</f>
        <v>0</v>
      </c>
      <c r="AQ965">
        <f>AND(IF(Metadata!P965="",FALSE,TRUE),exact(Metadata!P965,"kg"))</f>
        <v>0</v>
      </c>
      <c r="AR965">
        <f>OR(AND(IF(Metadata!Q965="",FALSE,TRUE),OR(exact(Metadata!Q965,"not applicable"),exact(Metadata!Q965,"not collected"),exact(Metadata!Q965,"not provided"),exact(Metadata!Q965,"restricted access"))),IF(Metadata!Q965="",FALSE,IF(ISERROR(INT(Metadata!Q965)),FALSE,INT(Metadata!Q965)=Metadata!Q965)))</f>
        <v>0</v>
      </c>
      <c r="AS965">
        <f>AND(IF(Metadata!R965="",FALSE,TRUE),exact(Metadata!R965,"Not applicable"))</f>
        <v>0</v>
      </c>
    </row>
    <row r="966" spans="1:45">
      <c r="A966" s="4">
        <f>IF(B966=" "," ",HYPERLINK(CONCATENATE("#metadata!",ADDRESS(INDEX($X$2:$X$1001,MATCH(ROWS($V$2:V966),$V$2:$V$1001,0),0),2)),INDEX($AA$2:$AA$1001,MATCH(ROWS($V$2:V966),$V$2:$V$1001,0),0)))</f>
        <v>0</v>
      </c>
      <c r="B966" s="5">
        <f>IF(OR(INDEX($W$2:$W$1001,MATCH(ROWS($V$2:V966),$V$2:$V$1001,0),1)&gt;=100000,INDEX($AC$1005:$AS$1005,1,MATCH(COLUMNS($AC$1006:AC1006),$AC$1006:$AS$1006,0))&gt;=100000), " ",IF(INDEX($AC$2:$AS$1001,MATCH(ROWS($V$2:V966),$V$2:$V$1001,0),MATCH(COLUMNS($AC$1006:AC1006),$AC$1006:$AS$1006,0)), HYPERLINK("#",""), HYPERLINK(CONCATENATE("#Metadata!", ADDRESS(INDEX($X$2:$X$1001,MATCH(ROWS($V$2:V966),$V$2:$V$1001,0),0), INDEX($AC$1004:$AS$1004,1,MATCH(COLUMNS($AC$1006:AC1006),$AC$1006:$AS$1006,0)))),"Fix")))</f>
        <v>0</v>
      </c>
      <c r="C966" s="5">
        <f>IF(OR(INDEX($W$2:$W$1001,MATCH(ROWS($V$2:V966),$V$2:$V$1001,0),1)&gt;=100000,INDEX($AC$1005:$AS$1005,1,MATCH(COLUMNS($AC$1006:AD1006),$AC$1006:$AS$1006,0))&gt;=100000), " ",IF(INDEX($AC$2:$AS$1001,MATCH(ROWS($V$2:V966),$V$2:$V$1001,0),MATCH(COLUMNS($AC$1006:AD1006),$AC$1006:$AS$1006,0)), HYPERLINK("#",""), HYPERLINK(CONCATENATE("#Metadata!", ADDRESS(INDEX($X$2:$X$1001,MATCH(ROWS($V$2:V966),$V$2:$V$1001,0),0), INDEX($AC$1004:$AS$1004,1,MATCH(COLUMNS($AC$1006:AD1006),$AC$1006:$AS$1006,0)))),"Fix")))</f>
        <v>0</v>
      </c>
      <c r="D966" s="5">
        <f>IF(OR(INDEX($W$2:$W$1001,MATCH(ROWS($V$2:V966),$V$2:$V$1001,0),1)&gt;=100000,INDEX($AC$1005:$AS$1005,1,MATCH(COLUMNS($AC$1006:AE1006),$AC$1006:$AS$1006,0))&gt;=100000), " ",IF(INDEX($AC$2:$AS$1001,MATCH(ROWS($V$2:V966),$V$2:$V$1001,0),MATCH(COLUMNS($AC$1006:AE1006),$AC$1006:$AS$1006,0)), HYPERLINK("#",""), HYPERLINK(CONCATENATE("#Metadata!", ADDRESS(INDEX($X$2:$X$1001,MATCH(ROWS($V$2:V966),$V$2:$V$1001,0),0), INDEX($AC$1004:$AS$1004,1,MATCH(COLUMNS($AC$1006:AE1006),$AC$1006:$AS$1006,0)))),"Fix")))</f>
        <v>0</v>
      </c>
      <c r="E966" s="5">
        <f>IF(OR(INDEX($W$2:$W$1001,MATCH(ROWS($V$2:V966),$V$2:$V$1001,0),1)&gt;=100000,INDEX($AC$1005:$AS$1005,1,MATCH(COLUMNS($AC$1006:AF1006),$AC$1006:$AS$1006,0))&gt;=100000), " ",IF(INDEX($AC$2:$AS$1001,MATCH(ROWS($V$2:V966),$V$2:$V$1001,0),MATCH(COLUMNS($AC$1006:AF1006),$AC$1006:$AS$1006,0)), HYPERLINK("#",""), HYPERLINK(CONCATENATE("#Metadata!", ADDRESS(INDEX($X$2:$X$1001,MATCH(ROWS($V$2:V966),$V$2:$V$1001,0),0), INDEX($AC$1004:$AS$1004,1,MATCH(COLUMNS($AC$1006:AF1006),$AC$1006:$AS$1006,0)))),"Fix")))</f>
        <v>0</v>
      </c>
      <c r="F966" s="5">
        <f>IF(OR(INDEX($W$2:$W$1001,MATCH(ROWS($V$2:V966),$V$2:$V$1001,0),1)&gt;=100000,INDEX($AC$1005:$AS$1005,1,MATCH(COLUMNS($AC$1006:AG1006),$AC$1006:$AS$1006,0))&gt;=100000), " ",IF(INDEX($AC$2:$AS$1001,MATCH(ROWS($V$2:V966),$V$2:$V$1001,0),MATCH(COLUMNS($AC$1006:AG1006),$AC$1006:$AS$1006,0)), HYPERLINK("#",""), HYPERLINK(CONCATENATE("#Metadata!", ADDRESS(INDEX($X$2:$X$1001,MATCH(ROWS($V$2:V966),$V$2:$V$1001,0),0), INDEX($AC$1004:$AS$1004,1,MATCH(COLUMNS($AC$1006:AG1006),$AC$1006:$AS$1006,0)))),"Fix")))</f>
        <v>0</v>
      </c>
      <c r="G966" s="5">
        <f>IF(OR(INDEX($W$2:$W$1001,MATCH(ROWS($V$2:V966),$V$2:$V$1001,0),1)&gt;=100000,INDEX($AC$1005:$AS$1005,1,MATCH(COLUMNS($AC$1006:AH1006),$AC$1006:$AS$1006,0))&gt;=100000), " ",IF(INDEX($AC$2:$AS$1001,MATCH(ROWS($V$2:V966),$V$2:$V$1001,0),MATCH(COLUMNS($AC$1006:AH1006),$AC$1006:$AS$1006,0)), HYPERLINK("#",""), HYPERLINK(CONCATENATE("#Metadata!", ADDRESS(INDEX($X$2:$X$1001,MATCH(ROWS($V$2:V966),$V$2:$V$1001,0),0), INDEX($AC$1004:$AS$1004,1,MATCH(COLUMNS($AC$1006:AH1006),$AC$1006:$AS$1006,0)))),"Fix")))</f>
        <v>0</v>
      </c>
      <c r="H966" s="5">
        <f>IF(OR(INDEX($W$2:$W$1001,MATCH(ROWS($V$2:V966),$V$2:$V$1001,0),1)&gt;=100000,INDEX($AC$1005:$AS$1005,1,MATCH(COLUMNS($AC$1006:AI1006),$AC$1006:$AS$1006,0))&gt;=100000), " ",IF(INDEX($AC$2:$AS$1001,MATCH(ROWS($V$2:V966),$V$2:$V$1001,0),MATCH(COLUMNS($AC$1006:AI1006),$AC$1006:$AS$1006,0)), HYPERLINK("#",""), HYPERLINK(CONCATENATE("#Metadata!", ADDRESS(INDEX($X$2:$X$1001,MATCH(ROWS($V$2:V966),$V$2:$V$1001,0),0), INDEX($AC$1004:$AS$1004,1,MATCH(COLUMNS($AC$1006:AI1006),$AC$1006:$AS$1006,0)))),"Fix")))</f>
        <v>0</v>
      </c>
      <c r="I966" s="5">
        <f>IF(OR(INDEX($W$2:$W$1001,MATCH(ROWS($V$2:V966),$V$2:$V$1001,0),1)&gt;=100000,INDEX($AC$1005:$AS$1005,1,MATCH(COLUMNS($AC$1006:AJ1006),$AC$1006:$AS$1006,0))&gt;=100000), " ",IF(INDEX($AC$2:$AS$1001,MATCH(ROWS($V$2:V966),$V$2:$V$1001,0),MATCH(COLUMNS($AC$1006:AJ1006),$AC$1006:$AS$1006,0)), HYPERLINK("#",""), HYPERLINK(CONCATENATE("#Metadata!", ADDRESS(INDEX($X$2:$X$1001,MATCH(ROWS($V$2:V966),$V$2:$V$1001,0),0), INDEX($AC$1004:$AS$1004,1,MATCH(COLUMNS($AC$1006:AJ1006),$AC$1006:$AS$1006,0)))),"Fix")))</f>
        <v>0</v>
      </c>
      <c r="J966" s="5">
        <f>IF(OR(INDEX($W$2:$W$1001,MATCH(ROWS($V$2:V966),$V$2:$V$1001,0),1)&gt;=100000,INDEX($AC$1005:$AS$1005,1,MATCH(COLUMNS($AC$1006:AK1006),$AC$1006:$AS$1006,0))&gt;=100000), " ",IF(INDEX($AC$2:$AS$1001,MATCH(ROWS($V$2:V966),$V$2:$V$1001,0),MATCH(COLUMNS($AC$1006:AK1006),$AC$1006:$AS$1006,0)), HYPERLINK("#",""), HYPERLINK(CONCATENATE("#Metadata!", ADDRESS(INDEX($X$2:$X$1001,MATCH(ROWS($V$2:V966),$V$2:$V$1001,0),0), INDEX($AC$1004:$AS$1004,1,MATCH(COLUMNS($AC$1006:AK1006),$AC$1006:$AS$1006,0)))),"Fix")))</f>
        <v>0</v>
      </c>
      <c r="K966" s="5">
        <f>IF(OR(INDEX($W$2:$W$1001,MATCH(ROWS($V$2:V966),$V$2:$V$1001,0),1)&gt;=100000,INDEX($AC$1005:$AS$1005,1,MATCH(COLUMNS($AC$1006:AL1006),$AC$1006:$AS$1006,0))&gt;=100000), " ",IF(INDEX($AC$2:$AS$1001,MATCH(ROWS($V$2:V966),$V$2:$V$1001,0),MATCH(COLUMNS($AC$1006:AL1006),$AC$1006:$AS$1006,0)), HYPERLINK("#",""), HYPERLINK(CONCATENATE("#Metadata!", ADDRESS(INDEX($X$2:$X$1001,MATCH(ROWS($V$2:V966),$V$2:$V$1001,0),0), INDEX($AC$1004:$AS$1004,1,MATCH(COLUMNS($AC$1006:AL1006),$AC$1006:$AS$1006,0)))),"Fix")))</f>
        <v>0</v>
      </c>
      <c r="L966" s="5">
        <f>IF(OR(INDEX($W$2:$W$1001,MATCH(ROWS($V$2:V966),$V$2:$V$1001,0),1)&gt;=100000,INDEX($AC$1005:$AS$1005,1,MATCH(COLUMNS($AC$1006:AM1006),$AC$1006:$AS$1006,0))&gt;=100000), " ",IF(INDEX($AC$2:$AS$1001,MATCH(ROWS($V$2:V966),$V$2:$V$1001,0),MATCH(COLUMNS($AC$1006:AM1006),$AC$1006:$AS$1006,0)), HYPERLINK("#",""), HYPERLINK(CONCATENATE("#Metadata!", ADDRESS(INDEX($X$2:$X$1001,MATCH(ROWS($V$2:V966),$V$2:$V$1001,0),0), INDEX($AC$1004:$AS$1004,1,MATCH(COLUMNS($AC$1006:AM1006),$AC$1006:$AS$1006,0)))),"Fix")))</f>
        <v>0</v>
      </c>
      <c r="M966" s="5">
        <f>IF(OR(INDEX($W$2:$W$1001,MATCH(ROWS($V$2:V966),$V$2:$V$1001,0),1)&gt;=100000,INDEX($AC$1005:$AS$1005,1,MATCH(COLUMNS($AC$1006:AN1006),$AC$1006:$AS$1006,0))&gt;=100000), " ",IF(INDEX($AC$2:$AS$1001,MATCH(ROWS($V$2:V966),$V$2:$V$1001,0),MATCH(COLUMNS($AC$1006:AN1006),$AC$1006:$AS$1006,0)), HYPERLINK("#",""), HYPERLINK(CONCATENATE("#Metadata!", ADDRESS(INDEX($X$2:$X$1001,MATCH(ROWS($V$2:V966),$V$2:$V$1001,0),0), INDEX($AC$1004:$AS$1004,1,MATCH(COLUMNS($AC$1006:AN1006),$AC$1006:$AS$1006,0)))),"Fix")))</f>
        <v>0</v>
      </c>
      <c r="N966" s="5">
        <f>IF(OR(INDEX($W$2:$W$1001,MATCH(ROWS($V$2:V966),$V$2:$V$1001,0),1)&gt;=100000,INDEX($AC$1005:$AS$1005,1,MATCH(COLUMNS($AC$1006:AO1006),$AC$1006:$AS$1006,0))&gt;=100000), " ",IF(INDEX($AC$2:$AS$1001,MATCH(ROWS($V$2:V966),$V$2:$V$1001,0),MATCH(COLUMNS($AC$1006:AO1006),$AC$1006:$AS$1006,0)), HYPERLINK("#",""), HYPERLINK(CONCATENATE("#Metadata!", ADDRESS(INDEX($X$2:$X$1001,MATCH(ROWS($V$2:V966),$V$2:$V$1001,0),0), INDEX($AC$1004:$AS$1004,1,MATCH(COLUMNS($AC$1006:AO1006),$AC$1006:$AS$1006,0)))),"Fix")))</f>
        <v>0</v>
      </c>
      <c r="O966" s="5">
        <f>IF(OR(INDEX($W$2:$W$1001,MATCH(ROWS($V$2:V966),$V$2:$V$1001,0),1)&gt;=100000,INDEX($AC$1005:$AS$1005,1,MATCH(COLUMNS($AC$1006:AP1006),$AC$1006:$AS$1006,0))&gt;=100000), " ",IF(INDEX($AC$2:$AS$1001,MATCH(ROWS($V$2:V966),$V$2:$V$1001,0),MATCH(COLUMNS($AC$1006:AP1006),$AC$1006:$AS$1006,0)), HYPERLINK("#",""), HYPERLINK(CONCATENATE("#Metadata!", ADDRESS(INDEX($X$2:$X$1001,MATCH(ROWS($V$2:V966),$V$2:$V$1001,0),0), INDEX($AC$1004:$AS$1004,1,MATCH(COLUMNS($AC$1006:AP1006),$AC$1006:$AS$1006,0)))),"Fix")))</f>
        <v>0</v>
      </c>
      <c r="P966" s="5">
        <f>IF(OR(INDEX($W$2:$W$1001,MATCH(ROWS($V$2:V966),$V$2:$V$1001,0),1)&gt;=100000,INDEX($AC$1005:$AS$1005,1,MATCH(COLUMNS($AC$1006:AQ1006),$AC$1006:$AS$1006,0))&gt;=100000), " ",IF(INDEX($AC$2:$AS$1001,MATCH(ROWS($V$2:V966),$V$2:$V$1001,0),MATCH(COLUMNS($AC$1006:AQ1006),$AC$1006:$AS$1006,0)), HYPERLINK("#",""), HYPERLINK(CONCATENATE("#Metadata!", ADDRESS(INDEX($X$2:$X$1001,MATCH(ROWS($V$2:V966),$V$2:$V$1001,0),0), INDEX($AC$1004:$AS$1004,1,MATCH(COLUMNS($AC$1006:AQ1006),$AC$1006:$AS$1006,0)))),"Fix")))</f>
        <v>0</v>
      </c>
      <c r="Q966" s="5">
        <f>IF(OR(INDEX($W$2:$W$1001,MATCH(ROWS($V$2:V966),$V$2:$V$1001,0),1)&gt;=100000,INDEX($AC$1005:$AS$1005,1,MATCH(COLUMNS($AC$1006:AR1006),$AC$1006:$AS$1006,0))&gt;=100000), " ",IF(INDEX($AC$2:$AS$1001,MATCH(ROWS($V$2:V966),$V$2:$V$1001,0),MATCH(COLUMNS($AC$1006:AR1006),$AC$1006:$AS$1006,0)), HYPERLINK("#",""), HYPERLINK(CONCATENATE("#Metadata!", ADDRESS(INDEX($X$2:$X$1001,MATCH(ROWS($V$2:V966),$V$2:$V$1001,0),0), INDEX($AC$1004:$AS$1004,1,MATCH(COLUMNS($AC$1006:AR1006),$AC$1006:$AS$1006,0)))),"Fix")))</f>
        <v>0</v>
      </c>
      <c r="R966" s="5">
        <f>IF(OR(INDEX($W$2:$W$1001,MATCH(ROWS($V$2:V966),$V$2:$V$1001,0),1)&gt;=100000,INDEX($AC$1005:$AS$1005,1,MATCH(COLUMNS($AC$1006:AS1006),$AC$1006:$AS$1006,0))&gt;=100000), " ",IF(INDEX($AC$2:$AS$1001,MATCH(ROWS($V$2:V966),$V$2:$V$1001,0),MATCH(COLUMNS($AC$1006:AS1006),$AC$1006:$AS$1006,0)), HYPERLINK("#",""), HYPERLINK(CONCATENATE("#Metadata!", ADDRESS(INDEX($X$2:$X$1001,MATCH(ROWS($V$2:V966),$V$2:$V$1001,0),0), INDEX($AC$1004:$AS$1004,1,MATCH(COLUMNS($AC$1006:AS1006),$AC$1006:$AS$1006,0)))),"Fix")))</f>
        <v>0</v>
      </c>
      <c r="V966">
        <v>0</v>
      </c>
      <c r="W966">
        <v>0</v>
      </c>
      <c r="X966">
        <v>0</v>
      </c>
      <c r="Y966">
        <f>IF(Z966,TRUE,AND(AC966:AS966))</f>
        <v>0</v>
      </c>
      <c r="Z966">
        <f>COUNTBLANK(Metadata!B966:R966)=COLUMNS(Metadata!B966:R966)</f>
        <v>0</v>
      </c>
      <c r="AA966">
        <v>0</v>
      </c>
      <c r="AC966">
        <f>AND(IF(Metadata!B966="",FALSE,TRUE),COUNTIF(Metadata!B:B, Metadata!B966) = 1,NOT(ISERROR(SUMPRODUCT(SEARCH(MID(Metadata!B966,ROW(INDIRECT("1:"&amp;LEN(Metadata!B966))), 1),"0123456789abcdefghijklmnopqrstuvwxyzABCDEFGHIJKLMNOPQRSTUVWXYZ.")))))</f>
        <v>0</v>
      </c>
      <c r="AD966">
        <f>AND(IF(Metadata!C966="",FALSE,TRUE),exact(Metadata!C966,"Host-associated"))</f>
        <v>0</v>
      </c>
      <c r="AE966">
        <f>AND(IF(Metadata!D966="",FALSE,TRUE),OR(exact(Metadata!D966,"Animal"),exact(Metadata!D966,"Fungus"),exact(Metadata!D966,"Plant")))</f>
        <v>0</v>
      </c>
      <c r="AF966">
        <f>AND(IF(Metadata!E966="",FALSE,TRUE),OR(exact(Metadata!E966,"Plant secretion"),exact(Metadata!E966,"Plant rhizosphere"),exact(Metadata!E966,"Plant surface"),exact(Metadata!E966,"Plant corpus"),exact(Metadata!E966,"Fungus surface"),exact(Metadata!E966,"Fungus corpus"),exact(Metadata!E966,"Animal surface"),exact(Metadata!E966,"Animal proximal gut"),exact(Metadata!E966,"Animal corpus"),exact(Metadata!E966,"Animal distal gut"),exact(Metadata!E966,"Animal secretion")))</f>
        <v>0</v>
      </c>
      <c r="AG966">
        <f>OR(AND(IF(Metadata!F966="",FALSE,TRUE),OR(exact(Metadata!F966,"not collected"),exact(Metadata!F966,"not provided"),exact(Metadata!F966,"restricted access"))),AND(IF(Metadata!F966="",FALSE,TRUE),OR(exact(Metadata!F966,"organism-associated habitat"),exact(Metadata!F966,"plant-associated habitat"),exact(Metadata!F966,"animal-associated habitat"),exact(Metadata!F966,"insecta-associated habitat"),exact(Metadata!F966,"mammalia-associated habitat"),exact(Metadata!F966,"human-associated habitat"),exact(Metadata!F966,"livestock-associated habitat"))))</f>
        <v>0</v>
      </c>
      <c r="AH966">
        <f>AND(IF(Metadata!G966="",FALSE,TRUE),exact(Metadata!G966,"host-associated"))</f>
        <v>0</v>
      </c>
      <c r="AI966">
        <f>OR(AND(IF(Metadata!H966="",FALSE,TRUE),OR(exact(Metadata!H966,"not collected"),exact(Metadata!H966,"not provided"))),AND(IF(Metadata!H966="",FALSE,ISNUMBER(VALUE(Metadata!H966))),Metadata!H966&gt;0))</f>
        <v>0</v>
      </c>
      <c r="AJ966">
        <f>AND(IF(Metadata!I966="",FALSE,TRUE),exact(Metadata!I966,"years"))</f>
        <v>0</v>
      </c>
      <c r="AK966">
        <f>IF(Metadata!J966="",FALSE,TRUE)</f>
        <v>0</v>
      </c>
      <c r="AL966">
        <f>OR(AND(IF(Metadata!K966="",FALSE,TRUE),OR(exact(Metadata!K966,"not collected"),exact(Metadata!K966,"not provided"))),AND(IF(Metadata!K966="",FALSE,ISNUMBER(VALUE(Metadata!K966))),Metadata!K966&gt;0))</f>
        <v>0</v>
      </c>
      <c r="AM966">
        <f>AND(IF(Metadata!L966="",FALSE,TRUE),exact(Metadata!L966,"cm"))</f>
        <v>0</v>
      </c>
      <c r="AN966">
        <f>IF(Metadata!M966="",FALSE,TRUE)</f>
        <v>0</v>
      </c>
      <c r="AO966">
        <f>OR(AND(IF(Metadata!N966="",FALSE,TRUE),OR(exact(Metadata!N966,"not applicable"),exact(Metadata!N966,"not collected"),exact(Metadata!N966,"not provided"))),AND(IF(Metadata!N966="",FALSE,IF(ISERROR(INT(Metadata!N966)),FALSE,INT(Metadata!N966)=Metadata!N966)),Metadata!N966&gt;0))</f>
        <v>0</v>
      </c>
      <c r="AP966">
        <f>OR(AND(IF(Metadata!O966="",FALSE,TRUE),OR(exact(Metadata!O966,"not collected"),exact(Metadata!O966,"not provided"))),AND(IF(Metadata!O966="",FALSE,ISNUMBER(VALUE(Metadata!O966))),Metadata!O966&gt;0))</f>
        <v>0</v>
      </c>
      <c r="AQ966">
        <f>AND(IF(Metadata!P966="",FALSE,TRUE),exact(Metadata!P966,"kg"))</f>
        <v>0</v>
      </c>
      <c r="AR966">
        <f>OR(AND(IF(Metadata!Q966="",FALSE,TRUE),OR(exact(Metadata!Q966,"not applicable"),exact(Metadata!Q966,"not collected"),exact(Metadata!Q966,"not provided"),exact(Metadata!Q966,"restricted access"))),IF(Metadata!Q966="",FALSE,IF(ISERROR(INT(Metadata!Q966)),FALSE,INT(Metadata!Q966)=Metadata!Q966)))</f>
        <v>0</v>
      </c>
      <c r="AS966">
        <f>AND(IF(Metadata!R966="",FALSE,TRUE),exact(Metadata!R966,"Not applicable"))</f>
        <v>0</v>
      </c>
    </row>
    <row r="967" spans="1:45">
      <c r="A967" s="4">
        <f>IF(B967=" "," ",HYPERLINK(CONCATENATE("#metadata!",ADDRESS(INDEX($X$2:$X$1001,MATCH(ROWS($V$2:V967),$V$2:$V$1001,0),0),2)),INDEX($AA$2:$AA$1001,MATCH(ROWS($V$2:V967),$V$2:$V$1001,0),0)))</f>
        <v>0</v>
      </c>
      <c r="B967" s="5">
        <f>IF(OR(INDEX($W$2:$W$1001,MATCH(ROWS($V$2:V967),$V$2:$V$1001,0),1)&gt;=100000,INDEX($AC$1005:$AS$1005,1,MATCH(COLUMNS($AC$1006:AC1006),$AC$1006:$AS$1006,0))&gt;=100000), " ",IF(INDEX($AC$2:$AS$1001,MATCH(ROWS($V$2:V967),$V$2:$V$1001,0),MATCH(COLUMNS($AC$1006:AC1006),$AC$1006:$AS$1006,0)), HYPERLINK("#",""), HYPERLINK(CONCATENATE("#Metadata!", ADDRESS(INDEX($X$2:$X$1001,MATCH(ROWS($V$2:V967),$V$2:$V$1001,0),0), INDEX($AC$1004:$AS$1004,1,MATCH(COLUMNS($AC$1006:AC1006),$AC$1006:$AS$1006,0)))),"Fix")))</f>
        <v>0</v>
      </c>
      <c r="C967" s="5">
        <f>IF(OR(INDEX($W$2:$W$1001,MATCH(ROWS($V$2:V967),$V$2:$V$1001,0),1)&gt;=100000,INDEX($AC$1005:$AS$1005,1,MATCH(COLUMNS($AC$1006:AD1006),$AC$1006:$AS$1006,0))&gt;=100000), " ",IF(INDEX($AC$2:$AS$1001,MATCH(ROWS($V$2:V967),$V$2:$V$1001,0),MATCH(COLUMNS($AC$1006:AD1006),$AC$1006:$AS$1006,0)), HYPERLINK("#",""), HYPERLINK(CONCATENATE("#Metadata!", ADDRESS(INDEX($X$2:$X$1001,MATCH(ROWS($V$2:V967),$V$2:$V$1001,0),0), INDEX($AC$1004:$AS$1004,1,MATCH(COLUMNS($AC$1006:AD1006),$AC$1006:$AS$1006,0)))),"Fix")))</f>
        <v>0</v>
      </c>
      <c r="D967" s="5">
        <f>IF(OR(INDEX($W$2:$W$1001,MATCH(ROWS($V$2:V967),$V$2:$V$1001,0),1)&gt;=100000,INDEX($AC$1005:$AS$1005,1,MATCH(COLUMNS($AC$1006:AE1006),$AC$1006:$AS$1006,0))&gt;=100000), " ",IF(INDEX($AC$2:$AS$1001,MATCH(ROWS($V$2:V967),$V$2:$V$1001,0),MATCH(COLUMNS($AC$1006:AE1006),$AC$1006:$AS$1006,0)), HYPERLINK("#",""), HYPERLINK(CONCATENATE("#Metadata!", ADDRESS(INDEX($X$2:$X$1001,MATCH(ROWS($V$2:V967),$V$2:$V$1001,0),0), INDEX($AC$1004:$AS$1004,1,MATCH(COLUMNS($AC$1006:AE1006),$AC$1006:$AS$1006,0)))),"Fix")))</f>
        <v>0</v>
      </c>
      <c r="E967" s="5">
        <f>IF(OR(INDEX($W$2:$W$1001,MATCH(ROWS($V$2:V967),$V$2:$V$1001,0),1)&gt;=100000,INDEX($AC$1005:$AS$1005,1,MATCH(COLUMNS($AC$1006:AF1006),$AC$1006:$AS$1006,0))&gt;=100000), " ",IF(INDEX($AC$2:$AS$1001,MATCH(ROWS($V$2:V967),$V$2:$V$1001,0),MATCH(COLUMNS($AC$1006:AF1006),$AC$1006:$AS$1006,0)), HYPERLINK("#",""), HYPERLINK(CONCATENATE("#Metadata!", ADDRESS(INDEX($X$2:$X$1001,MATCH(ROWS($V$2:V967),$V$2:$V$1001,0),0), INDEX($AC$1004:$AS$1004,1,MATCH(COLUMNS($AC$1006:AF1006),$AC$1006:$AS$1006,0)))),"Fix")))</f>
        <v>0</v>
      </c>
      <c r="F967" s="5">
        <f>IF(OR(INDEX($W$2:$W$1001,MATCH(ROWS($V$2:V967),$V$2:$V$1001,0),1)&gt;=100000,INDEX($AC$1005:$AS$1005,1,MATCH(COLUMNS($AC$1006:AG1006),$AC$1006:$AS$1006,0))&gt;=100000), " ",IF(INDEX($AC$2:$AS$1001,MATCH(ROWS($V$2:V967),$V$2:$V$1001,0),MATCH(COLUMNS($AC$1006:AG1006),$AC$1006:$AS$1006,0)), HYPERLINK("#",""), HYPERLINK(CONCATENATE("#Metadata!", ADDRESS(INDEX($X$2:$X$1001,MATCH(ROWS($V$2:V967),$V$2:$V$1001,0),0), INDEX($AC$1004:$AS$1004,1,MATCH(COLUMNS($AC$1006:AG1006),$AC$1006:$AS$1006,0)))),"Fix")))</f>
        <v>0</v>
      </c>
      <c r="G967" s="5">
        <f>IF(OR(INDEX($W$2:$W$1001,MATCH(ROWS($V$2:V967),$V$2:$V$1001,0),1)&gt;=100000,INDEX($AC$1005:$AS$1005,1,MATCH(COLUMNS($AC$1006:AH1006),$AC$1006:$AS$1006,0))&gt;=100000), " ",IF(INDEX($AC$2:$AS$1001,MATCH(ROWS($V$2:V967),$V$2:$V$1001,0),MATCH(COLUMNS($AC$1006:AH1006),$AC$1006:$AS$1006,0)), HYPERLINK("#",""), HYPERLINK(CONCATENATE("#Metadata!", ADDRESS(INDEX($X$2:$X$1001,MATCH(ROWS($V$2:V967),$V$2:$V$1001,0),0), INDEX($AC$1004:$AS$1004,1,MATCH(COLUMNS($AC$1006:AH1006),$AC$1006:$AS$1006,0)))),"Fix")))</f>
        <v>0</v>
      </c>
      <c r="H967" s="5">
        <f>IF(OR(INDEX($W$2:$W$1001,MATCH(ROWS($V$2:V967),$V$2:$V$1001,0),1)&gt;=100000,INDEX($AC$1005:$AS$1005,1,MATCH(COLUMNS($AC$1006:AI1006),$AC$1006:$AS$1006,0))&gt;=100000), " ",IF(INDEX($AC$2:$AS$1001,MATCH(ROWS($V$2:V967),$V$2:$V$1001,0),MATCH(COLUMNS($AC$1006:AI1006),$AC$1006:$AS$1006,0)), HYPERLINK("#",""), HYPERLINK(CONCATENATE("#Metadata!", ADDRESS(INDEX($X$2:$X$1001,MATCH(ROWS($V$2:V967),$V$2:$V$1001,0),0), INDEX($AC$1004:$AS$1004,1,MATCH(COLUMNS($AC$1006:AI1006),$AC$1006:$AS$1006,0)))),"Fix")))</f>
        <v>0</v>
      </c>
      <c r="I967" s="5">
        <f>IF(OR(INDEX($W$2:$W$1001,MATCH(ROWS($V$2:V967),$V$2:$V$1001,0),1)&gt;=100000,INDEX($AC$1005:$AS$1005,1,MATCH(COLUMNS($AC$1006:AJ1006),$AC$1006:$AS$1006,0))&gt;=100000), " ",IF(INDEX($AC$2:$AS$1001,MATCH(ROWS($V$2:V967),$V$2:$V$1001,0),MATCH(COLUMNS($AC$1006:AJ1006),$AC$1006:$AS$1006,0)), HYPERLINK("#",""), HYPERLINK(CONCATENATE("#Metadata!", ADDRESS(INDEX($X$2:$X$1001,MATCH(ROWS($V$2:V967),$V$2:$V$1001,0),0), INDEX($AC$1004:$AS$1004,1,MATCH(COLUMNS($AC$1006:AJ1006),$AC$1006:$AS$1006,0)))),"Fix")))</f>
        <v>0</v>
      </c>
      <c r="J967" s="5">
        <f>IF(OR(INDEX($W$2:$W$1001,MATCH(ROWS($V$2:V967),$V$2:$V$1001,0),1)&gt;=100000,INDEX($AC$1005:$AS$1005,1,MATCH(COLUMNS($AC$1006:AK1006),$AC$1006:$AS$1006,0))&gt;=100000), " ",IF(INDEX($AC$2:$AS$1001,MATCH(ROWS($V$2:V967),$V$2:$V$1001,0),MATCH(COLUMNS($AC$1006:AK1006),$AC$1006:$AS$1006,0)), HYPERLINK("#",""), HYPERLINK(CONCATENATE("#Metadata!", ADDRESS(INDEX($X$2:$X$1001,MATCH(ROWS($V$2:V967),$V$2:$V$1001,0),0), INDEX($AC$1004:$AS$1004,1,MATCH(COLUMNS($AC$1006:AK1006),$AC$1006:$AS$1006,0)))),"Fix")))</f>
        <v>0</v>
      </c>
      <c r="K967" s="5">
        <f>IF(OR(INDEX($W$2:$W$1001,MATCH(ROWS($V$2:V967),$V$2:$V$1001,0),1)&gt;=100000,INDEX($AC$1005:$AS$1005,1,MATCH(COLUMNS($AC$1006:AL1006),$AC$1006:$AS$1006,0))&gt;=100000), " ",IF(INDEX($AC$2:$AS$1001,MATCH(ROWS($V$2:V967),$V$2:$V$1001,0),MATCH(COLUMNS($AC$1006:AL1006),$AC$1006:$AS$1006,0)), HYPERLINK("#",""), HYPERLINK(CONCATENATE("#Metadata!", ADDRESS(INDEX($X$2:$X$1001,MATCH(ROWS($V$2:V967),$V$2:$V$1001,0),0), INDEX($AC$1004:$AS$1004,1,MATCH(COLUMNS($AC$1006:AL1006),$AC$1006:$AS$1006,0)))),"Fix")))</f>
        <v>0</v>
      </c>
      <c r="L967" s="5">
        <f>IF(OR(INDEX($W$2:$W$1001,MATCH(ROWS($V$2:V967),$V$2:$V$1001,0),1)&gt;=100000,INDEX($AC$1005:$AS$1005,1,MATCH(COLUMNS($AC$1006:AM1006),$AC$1006:$AS$1006,0))&gt;=100000), " ",IF(INDEX($AC$2:$AS$1001,MATCH(ROWS($V$2:V967),$V$2:$V$1001,0),MATCH(COLUMNS($AC$1006:AM1006),$AC$1006:$AS$1006,0)), HYPERLINK("#",""), HYPERLINK(CONCATENATE("#Metadata!", ADDRESS(INDEX($X$2:$X$1001,MATCH(ROWS($V$2:V967),$V$2:$V$1001,0),0), INDEX($AC$1004:$AS$1004,1,MATCH(COLUMNS($AC$1006:AM1006),$AC$1006:$AS$1006,0)))),"Fix")))</f>
        <v>0</v>
      </c>
      <c r="M967" s="5">
        <f>IF(OR(INDEX($W$2:$W$1001,MATCH(ROWS($V$2:V967),$V$2:$V$1001,0),1)&gt;=100000,INDEX($AC$1005:$AS$1005,1,MATCH(COLUMNS($AC$1006:AN1006),$AC$1006:$AS$1006,0))&gt;=100000), " ",IF(INDEX($AC$2:$AS$1001,MATCH(ROWS($V$2:V967),$V$2:$V$1001,0),MATCH(COLUMNS($AC$1006:AN1006),$AC$1006:$AS$1006,0)), HYPERLINK("#",""), HYPERLINK(CONCATENATE("#Metadata!", ADDRESS(INDEX($X$2:$X$1001,MATCH(ROWS($V$2:V967),$V$2:$V$1001,0),0), INDEX($AC$1004:$AS$1004,1,MATCH(COLUMNS($AC$1006:AN1006),$AC$1006:$AS$1006,0)))),"Fix")))</f>
        <v>0</v>
      </c>
      <c r="N967" s="5">
        <f>IF(OR(INDEX($W$2:$W$1001,MATCH(ROWS($V$2:V967),$V$2:$V$1001,0),1)&gt;=100000,INDEX($AC$1005:$AS$1005,1,MATCH(COLUMNS($AC$1006:AO1006),$AC$1006:$AS$1006,0))&gt;=100000), " ",IF(INDEX($AC$2:$AS$1001,MATCH(ROWS($V$2:V967),$V$2:$V$1001,0),MATCH(COLUMNS($AC$1006:AO1006),$AC$1006:$AS$1006,0)), HYPERLINK("#",""), HYPERLINK(CONCATENATE("#Metadata!", ADDRESS(INDEX($X$2:$X$1001,MATCH(ROWS($V$2:V967),$V$2:$V$1001,0),0), INDEX($AC$1004:$AS$1004,1,MATCH(COLUMNS($AC$1006:AO1006),$AC$1006:$AS$1006,0)))),"Fix")))</f>
        <v>0</v>
      </c>
      <c r="O967" s="5">
        <f>IF(OR(INDEX($W$2:$W$1001,MATCH(ROWS($V$2:V967),$V$2:$V$1001,0),1)&gt;=100000,INDEX($AC$1005:$AS$1005,1,MATCH(COLUMNS($AC$1006:AP1006),$AC$1006:$AS$1006,0))&gt;=100000), " ",IF(INDEX($AC$2:$AS$1001,MATCH(ROWS($V$2:V967),$V$2:$V$1001,0),MATCH(COLUMNS($AC$1006:AP1006),$AC$1006:$AS$1006,0)), HYPERLINK("#",""), HYPERLINK(CONCATENATE("#Metadata!", ADDRESS(INDEX($X$2:$X$1001,MATCH(ROWS($V$2:V967),$V$2:$V$1001,0),0), INDEX($AC$1004:$AS$1004,1,MATCH(COLUMNS($AC$1006:AP1006),$AC$1006:$AS$1006,0)))),"Fix")))</f>
        <v>0</v>
      </c>
      <c r="P967" s="5">
        <f>IF(OR(INDEX($W$2:$W$1001,MATCH(ROWS($V$2:V967),$V$2:$V$1001,0),1)&gt;=100000,INDEX($AC$1005:$AS$1005,1,MATCH(COLUMNS($AC$1006:AQ1006),$AC$1006:$AS$1006,0))&gt;=100000), " ",IF(INDEX($AC$2:$AS$1001,MATCH(ROWS($V$2:V967),$V$2:$V$1001,0),MATCH(COLUMNS($AC$1006:AQ1006),$AC$1006:$AS$1006,0)), HYPERLINK("#",""), HYPERLINK(CONCATENATE("#Metadata!", ADDRESS(INDEX($X$2:$X$1001,MATCH(ROWS($V$2:V967),$V$2:$V$1001,0),0), INDEX($AC$1004:$AS$1004,1,MATCH(COLUMNS($AC$1006:AQ1006),$AC$1006:$AS$1006,0)))),"Fix")))</f>
        <v>0</v>
      </c>
      <c r="Q967" s="5">
        <f>IF(OR(INDEX($W$2:$W$1001,MATCH(ROWS($V$2:V967),$V$2:$V$1001,0),1)&gt;=100000,INDEX($AC$1005:$AS$1005,1,MATCH(COLUMNS($AC$1006:AR1006),$AC$1006:$AS$1006,0))&gt;=100000), " ",IF(INDEX($AC$2:$AS$1001,MATCH(ROWS($V$2:V967),$V$2:$V$1001,0),MATCH(COLUMNS($AC$1006:AR1006),$AC$1006:$AS$1006,0)), HYPERLINK("#",""), HYPERLINK(CONCATENATE("#Metadata!", ADDRESS(INDEX($X$2:$X$1001,MATCH(ROWS($V$2:V967),$V$2:$V$1001,0),0), INDEX($AC$1004:$AS$1004,1,MATCH(COLUMNS($AC$1006:AR1006),$AC$1006:$AS$1006,0)))),"Fix")))</f>
        <v>0</v>
      </c>
      <c r="R967" s="5">
        <f>IF(OR(INDEX($W$2:$W$1001,MATCH(ROWS($V$2:V967),$V$2:$V$1001,0),1)&gt;=100000,INDEX($AC$1005:$AS$1005,1,MATCH(COLUMNS($AC$1006:AS1006),$AC$1006:$AS$1006,0))&gt;=100000), " ",IF(INDEX($AC$2:$AS$1001,MATCH(ROWS($V$2:V967),$V$2:$V$1001,0),MATCH(COLUMNS($AC$1006:AS1006),$AC$1006:$AS$1006,0)), HYPERLINK("#",""), HYPERLINK(CONCATENATE("#Metadata!", ADDRESS(INDEX($X$2:$X$1001,MATCH(ROWS($V$2:V967),$V$2:$V$1001,0),0), INDEX($AC$1004:$AS$1004,1,MATCH(COLUMNS($AC$1006:AS1006),$AC$1006:$AS$1006,0)))),"Fix")))</f>
        <v>0</v>
      </c>
      <c r="V967">
        <v>0</v>
      </c>
      <c r="W967">
        <v>0</v>
      </c>
      <c r="X967">
        <v>0</v>
      </c>
      <c r="Y967">
        <f>IF(Z967,TRUE,AND(AC967:AS967))</f>
        <v>0</v>
      </c>
      <c r="Z967">
        <f>COUNTBLANK(Metadata!B967:R967)=COLUMNS(Metadata!B967:R967)</f>
        <v>0</v>
      </c>
      <c r="AA967">
        <v>0</v>
      </c>
      <c r="AC967">
        <f>AND(IF(Metadata!B967="",FALSE,TRUE),COUNTIF(Metadata!B:B, Metadata!B967) = 1,NOT(ISERROR(SUMPRODUCT(SEARCH(MID(Metadata!B967,ROW(INDIRECT("1:"&amp;LEN(Metadata!B967))), 1),"0123456789abcdefghijklmnopqrstuvwxyzABCDEFGHIJKLMNOPQRSTUVWXYZ.")))))</f>
        <v>0</v>
      </c>
      <c r="AD967">
        <f>AND(IF(Metadata!C967="",FALSE,TRUE),exact(Metadata!C967,"Host-associated"))</f>
        <v>0</v>
      </c>
      <c r="AE967">
        <f>AND(IF(Metadata!D967="",FALSE,TRUE),OR(exact(Metadata!D967,"Animal"),exact(Metadata!D967,"Fungus"),exact(Metadata!D967,"Plant")))</f>
        <v>0</v>
      </c>
      <c r="AF967">
        <f>AND(IF(Metadata!E967="",FALSE,TRUE),OR(exact(Metadata!E967,"Plant secretion"),exact(Metadata!E967,"Plant rhizosphere"),exact(Metadata!E967,"Plant surface"),exact(Metadata!E967,"Plant corpus"),exact(Metadata!E967,"Fungus surface"),exact(Metadata!E967,"Fungus corpus"),exact(Metadata!E967,"Animal surface"),exact(Metadata!E967,"Animal proximal gut"),exact(Metadata!E967,"Animal corpus"),exact(Metadata!E967,"Animal distal gut"),exact(Metadata!E967,"Animal secretion")))</f>
        <v>0</v>
      </c>
      <c r="AG967">
        <f>OR(AND(IF(Metadata!F967="",FALSE,TRUE),OR(exact(Metadata!F967,"not collected"),exact(Metadata!F967,"not provided"),exact(Metadata!F967,"restricted access"))),AND(IF(Metadata!F967="",FALSE,TRUE),OR(exact(Metadata!F967,"organism-associated habitat"),exact(Metadata!F967,"plant-associated habitat"),exact(Metadata!F967,"animal-associated habitat"),exact(Metadata!F967,"insecta-associated habitat"),exact(Metadata!F967,"mammalia-associated habitat"),exact(Metadata!F967,"human-associated habitat"),exact(Metadata!F967,"livestock-associated habitat"))))</f>
        <v>0</v>
      </c>
      <c r="AH967">
        <f>AND(IF(Metadata!G967="",FALSE,TRUE),exact(Metadata!G967,"host-associated"))</f>
        <v>0</v>
      </c>
      <c r="AI967">
        <f>OR(AND(IF(Metadata!H967="",FALSE,TRUE),OR(exact(Metadata!H967,"not collected"),exact(Metadata!H967,"not provided"))),AND(IF(Metadata!H967="",FALSE,ISNUMBER(VALUE(Metadata!H967))),Metadata!H967&gt;0))</f>
        <v>0</v>
      </c>
      <c r="AJ967">
        <f>AND(IF(Metadata!I967="",FALSE,TRUE),exact(Metadata!I967,"years"))</f>
        <v>0</v>
      </c>
      <c r="AK967">
        <f>IF(Metadata!J967="",FALSE,TRUE)</f>
        <v>0</v>
      </c>
      <c r="AL967">
        <f>OR(AND(IF(Metadata!K967="",FALSE,TRUE),OR(exact(Metadata!K967,"not collected"),exact(Metadata!K967,"not provided"))),AND(IF(Metadata!K967="",FALSE,ISNUMBER(VALUE(Metadata!K967))),Metadata!K967&gt;0))</f>
        <v>0</v>
      </c>
      <c r="AM967">
        <f>AND(IF(Metadata!L967="",FALSE,TRUE),exact(Metadata!L967,"cm"))</f>
        <v>0</v>
      </c>
      <c r="AN967">
        <f>IF(Metadata!M967="",FALSE,TRUE)</f>
        <v>0</v>
      </c>
      <c r="AO967">
        <f>OR(AND(IF(Metadata!N967="",FALSE,TRUE),OR(exact(Metadata!N967,"not applicable"),exact(Metadata!N967,"not collected"),exact(Metadata!N967,"not provided"))),AND(IF(Metadata!N967="",FALSE,IF(ISERROR(INT(Metadata!N967)),FALSE,INT(Metadata!N967)=Metadata!N967)),Metadata!N967&gt;0))</f>
        <v>0</v>
      </c>
      <c r="AP967">
        <f>OR(AND(IF(Metadata!O967="",FALSE,TRUE),OR(exact(Metadata!O967,"not collected"),exact(Metadata!O967,"not provided"))),AND(IF(Metadata!O967="",FALSE,ISNUMBER(VALUE(Metadata!O967))),Metadata!O967&gt;0))</f>
        <v>0</v>
      </c>
      <c r="AQ967">
        <f>AND(IF(Metadata!P967="",FALSE,TRUE),exact(Metadata!P967,"kg"))</f>
        <v>0</v>
      </c>
      <c r="AR967">
        <f>OR(AND(IF(Metadata!Q967="",FALSE,TRUE),OR(exact(Metadata!Q967,"not applicable"),exact(Metadata!Q967,"not collected"),exact(Metadata!Q967,"not provided"),exact(Metadata!Q967,"restricted access"))),IF(Metadata!Q967="",FALSE,IF(ISERROR(INT(Metadata!Q967)),FALSE,INT(Metadata!Q967)=Metadata!Q967)))</f>
        <v>0</v>
      </c>
      <c r="AS967">
        <f>AND(IF(Metadata!R967="",FALSE,TRUE),exact(Metadata!R967,"Not applicable"))</f>
        <v>0</v>
      </c>
    </row>
    <row r="968" spans="1:45">
      <c r="A968" s="4">
        <f>IF(B968=" "," ",HYPERLINK(CONCATENATE("#metadata!",ADDRESS(INDEX($X$2:$X$1001,MATCH(ROWS($V$2:V968),$V$2:$V$1001,0),0),2)),INDEX($AA$2:$AA$1001,MATCH(ROWS($V$2:V968),$V$2:$V$1001,0),0)))</f>
        <v>0</v>
      </c>
      <c r="B968" s="5">
        <f>IF(OR(INDEX($W$2:$W$1001,MATCH(ROWS($V$2:V968),$V$2:$V$1001,0),1)&gt;=100000,INDEX($AC$1005:$AS$1005,1,MATCH(COLUMNS($AC$1006:AC1006),$AC$1006:$AS$1006,0))&gt;=100000), " ",IF(INDEX($AC$2:$AS$1001,MATCH(ROWS($V$2:V968),$V$2:$V$1001,0),MATCH(COLUMNS($AC$1006:AC1006),$AC$1006:$AS$1006,0)), HYPERLINK("#",""), HYPERLINK(CONCATENATE("#Metadata!", ADDRESS(INDEX($X$2:$X$1001,MATCH(ROWS($V$2:V968),$V$2:$V$1001,0),0), INDEX($AC$1004:$AS$1004,1,MATCH(COLUMNS($AC$1006:AC1006),$AC$1006:$AS$1006,0)))),"Fix")))</f>
        <v>0</v>
      </c>
      <c r="C968" s="5">
        <f>IF(OR(INDEX($W$2:$W$1001,MATCH(ROWS($V$2:V968),$V$2:$V$1001,0),1)&gt;=100000,INDEX($AC$1005:$AS$1005,1,MATCH(COLUMNS($AC$1006:AD1006),$AC$1006:$AS$1006,0))&gt;=100000), " ",IF(INDEX($AC$2:$AS$1001,MATCH(ROWS($V$2:V968),$V$2:$V$1001,0),MATCH(COLUMNS($AC$1006:AD1006),$AC$1006:$AS$1006,0)), HYPERLINK("#",""), HYPERLINK(CONCATENATE("#Metadata!", ADDRESS(INDEX($X$2:$X$1001,MATCH(ROWS($V$2:V968),$V$2:$V$1001,0),0), INDEX($AC$1004:$AS$1004,1,MATCH(COLUMNS($AC$1006:AD1006),$AC$1006:$AS$1006,0)))),"Fix")))</f>
        <v>0</v>
      </c>
      <c r="D968" s="5">
        <f>IF(OR(INDEX($W$2:$W$1001,MATCH(ROWS($V$2:V968),$V$2:$V$1001,0),1)&gt;=100000,INDEX($AC$1005:$AS$1005,1,MATCH(COLUMNS($AC$1006:AE1006),$AC$1006:$AS$1006,0))&gt;=100000), " ",IF(INDEX($AC$2:$AS$1001,MATCH(ROWS($V$2:V968),$V$2:$V$1001,0),MATCH(COLUMNS($AC$1006:AE1006),$AC$1006:$AS$1006,0)), HYPERLINK("#",""), HYPERLINK(CONCATENATE("#Metadata!", ADDRESS(INDEX($X$2:$X$1001,MATCH(ROWS($V$2:V968),$V$2:$V$1001,0),0), INDEX($AC$1004:$AS$1004,1,MATCH(COLUMNS($AC$1006:AE1006),$AC$1006:$AS$1006,0)))),"Fix")))</f>
        <v>0</v>
      </c>
      <c r="E968" s="5">
        <f>IF(OR(INDEX($W$2:$W$1001,MATCH(ROWS($V$2:V968),$V$2:$V$1001,0),1)&gt;=100000,INDEX($AC$1005:$AS$1005,1,MATCH(COLUMNS($AC$1006:AF1006),$AC$1006:$AS$1006,0))&gt;=100000), " ",IF(INDEX($AC$2:$AS$1001,MATCH(ROWS($V$2:V968),$V$2:$V$1001,0),MATCH(COLUMNS($AC$1006:AF1006),$AC$1006:$AS$1006,0)), HYPERLINK("#",""), HYPERLINK(CONCATENATE("#Metadata!", ADDRESS(INDEX($X$2:$X$1001,MATCH(ROWS($V$2:V968),$V$2:$V$1001,0),0), INDEX($AC$1004:$AS$1004,1,MATCH(COLUMNS($AC$1006:AF1006),$AC$1006:$AS$1006,0)))),"Fix")))</f>
        <v>0</v>
      </c>
      <c r="F968" s="5">
        <f>IF(OR(INDEX($W$2:$W$1001,MATCH(ROWS($V$2:V968),$V$2:$V$1001,0),1)&gt;=100000,INDEX($AC$1005:$AS$1005,1,MATCH(COLUMNS($AC$1006:AG1006),$AC$1006:$AS$1006,0))&gt;=100000), " ",IF(INDEX($AC$2:$AS$1001,MATCH(ROWS($V$2:V968),$V$2:$V$1001,0),MATCH(COLUMNS($AC$1006:AG1006),$AC$1006:$AS$1006,0)), HYPERLINK("#",""), HYPERLINK(CONCATENATE("#Metadata!", ADDRESS(INDEX($X$2:$X$1001,MATCH(ROWS($V$2:V968),$V$2:$V$1001,0),0), INDEX($AC$1004:$AS$1004,1,MATCH(COLUMNS($AC$1006:AG1006),$AC$1006:$AS$1006,0)))),"Fix")))</f>
        <v>0</v>
      </c>
      <c r="G968" s="5">
        <f>IF(OR(INDEX($W$2:$W$1001,MATCH(ROWS($V$2:V968),$V$2:$V$1001,0),1)&gt;=100000,INDEX($AC$1005:$AS$1005,1,MATCH(COLUMNS($AC$1006:AH1006),$AC$1006:$AS$1006,0))&gt;=100000), " ",IF(INDEX($AC$2:$AS$1001,MATCH(ROWS($V$2:V968),$V$2:$V$1001,0),MATCH(COLUMNS($AC$1006:AH1006),$AC$1006:$AS$1006,0)), HYPERLINK("#",""), HYPERLINK(CONCATENATE("#Metadata!", ADDRESS(INDEX($X$2:$X$1001,MATCH(ROWS($V$2:V968),$V$2:$V$1001,0),0), INDEX($AC$1004:$AS$1004,1,MATCH(COLUMNS($AC$1006:AH1006),$AC$1006:$AS$1006,0)))),"Fix")))</f>
        <v>0</v>
      </c>
      <c r="H968" s="5">
        <f>IF(OR(INDEX($W$2:$W$1001,MATCH(ROWS($V$2:V968),$V$2:$V$1001,0),1)&gt;=100000,INDEX($AC$1005:$AS$1005,1,MATCH(COLUMNS($AC$1006:AI1006),$AC$1006:$AS$1006,0))&gt;=100000), " ",IF(INDEX($AC$2:$AS$1001,MATCH(ROWS($V$2:V968),$V$2:$V$1001,0),MATCH(COLUMNS($AC$1006:AI1006),$AC$1006:$AS$1006,0)), HYPERLINK("#",""), HYPERLINK(CONCATENATE("#Metadata!", ADDRESS(INDEX($X$2:$X$1001,MATCH(ROWS($V$2:V968),$V$2:$V$1001,0),0), INDEX($AC$1004:$AS$1004,1,MATCH(COLUMNS($AC$1006:AI1006),$AC$1006:$AS$1006,0)))),"Fix")))</f>
        <v>0</v>
      </c>
      <c r="I968" s="5">
        <f>IF(OR(INDEX($W$2:$W$1001,MATCH(ROWS($V$2:V968),$V$2:$V$1001,0),1)&gt;=100000,INDEX($AC$1005:$AS$1005,1,MATCH(COLUMNS($AC$1006:AJ1006),$AC$1006:$AS$1006,0))&gt;=100000), " ",IF(INDEX($AC$2:$AS$1001,MATCH(ROWS($V$2:V968),$V$2:$V$1001,0),MATCH(COLUMNS($AC$1006:AJ1006),$AC$1006:$AS$1006,0)), HYPERLINK("#",""), HYPERLINK(CONCATENATE("#Metadata!", ADDRESS(INDEX($X$2:$X$1001,MATCH(ROWS($V$2:V968),$V$2:$V$1001,0),0), INDEX($AC$1004:$AS$1004,1,MATCH(COLUMNS($AC$1006:AJ1006),$AC$1006:$AS$1006,0)))),"Fix")))</f>
        <v>0</v>
      </c>
      <c r="J968" s="5">
        <f>IF(OR(INDEX($W$2:$W$1001,MATCH(ROWS($V$2:V968),$V$2:$V$1001,0),1)&gt;=100000,INDEX($AC$1005:$AS$1005,1,MATCH(COLUMNS($AC$1006:AK1006),$AC$1006:$AS$1006,0))&gt;=100000), " ",IF(INDEX($AC$2:$AS$1001,MATCH(ROWS($V$2:V968),$V$2:$V$1001,0),MATCH(COLUMNS($AC$1006:AK1006),$AC$1006:$AS$1006,0)), HYPERLINK("#",""), HYPERLINK(CONCATENATE("#Metadata!", ADDRESS(INDEX($X$2:$X$1001,MATCH(ROWS($V$2:V968),$V$2:$V$1001,0),0), INDEX($AC$1004:$AS$1004,1,MATCH(COLUMNS($AC$1006:AK1006),$AC$1006:$AS$1006,0)))),"Fix")))</f>
        <v>0</v>
      </c>
      <c r="K968" s="5">
        <f>IF(OR(INDEX($W$2:$W$1001,MATCH(ROWS($V$2:V968),$V$2:$V$1001,0),1)&gt;=100000,INDEX($AC$1005:$AS$1005,1,MATCH(COLUMNS($AC$1006:AL1006),$AC$1006:$AS$1006,0))&gt;=100000), " ",IF(INDEX($AC$2:$AS$1001,MATCH(ROWS($V$2:V968),$V$2:$V$1001,0),MATCH(COLUMNS($AC$1006:AL1006),$AC$1006:$AS$1006,0)), HYPERLINK("#",""), HYPERLINK(CONCATENATE("#Metadata!", ADDRESS(INDEX($X$2:$X$1001,MATCH(ROWS($V$2:V968),$V$2:$V$1001,0),0), INDEX($AC$1004:$AS$1004,1,MATCH(COLUMNS($AC$1006:AL1006),$AC$1006:$AS$1006,0)))),"Fix")))</f>
        <v>0</v>
      </c>
      <c r="L968" s="5">
        <f>IF(OR(INDEX($W$2:$W$1001,MATCH(ROWS($V$2:V968),$V$2:$V$1001,0),1)&gt;=100000,INDEX($AC$1005:$AS$1005,1,MATCH(COLUMNS($AC$1006:AM1006),$AC$1006:$AS$1006,0))&gt;=100000), " ",IF(INDEX($AC$2:$AS$1001,MATCH(ROWS($V$2:V968),$V$2:$V$1001,0),MATCH(COLUMNS($AC$1006:AM1006),$AC$1006:$AS$1006,0)), HYPERLINK("#",""), HYPERLINK(CONCATENATE("#Metadata!", ADDRESS(INDEX($X$2:$X$1001,MATCH(ROWS($V$2:V968),$V$2:$V$1001,0),0), INDEX($AC$1004:$AS$1004,1,MATCH(COLUMNS($AC$1006:AM1006),$AC$1006:$AS$1006,0)))),"Fix")))</f>
        <v>0</v>
      </c>
      <c r="M968" s="5">
        <f>IF(OR(INDEX($W$2:$W$1001,MATCH(ROWS($V$2:V968),$V$2:$V$1001,0),1)&gt;=100000,INDEX($AC$1005:$AS$1005,1,MATCH(COLUMNS($AC$1006:AN1006),$AC$1006:$AS$1006,0))&gt;=100000), " ",IF(INDEX($AC$2:$AS$1001,MATCH(ROWS($V$2:V968),$V$2:$V$1001,0),MATCH(COLUMNS($AC$1006:AN1006),$AC$1006:$AS$1006,0)), HYPERLINK("#",""), HYPERLINK(CONCATENATE("#Metadata!", ADDRESS(INDEX($X$2:$X$1001,MATCH(ROWS($V$2:V968),$V$2:$V$1001,0),0), INDEX($AC$1004:$AS$1004,1,MATCH(COLUMNS($AC$1006:AN1006),$AC$1006:$AS$1006,0)))),"Fix")))</f>
        <v>0</v>
      </c>
      <c r="N968" s="5">
        <f>IF(OR(INDEX($W$2:$W$1001,MATCH(ROWS($V$2:V968),$V$2:$V$1001,0),1)&gt;=100000,INDEX($AC$1005:$AS$1005,1,MATCH(COLUMNS($AC$1006:AO1006),$AC$1006:$AS$1006,0))&gt;=100000), " ",IF(INDEX($AC$2:$AS$1001,MATCH(ROWS($V$2:V968),$V$2:$V$1001,0),MATCH(COLUMNS($AC$1006:AO1006),$AC$1006:$AS$1006,0)), HYPERLINK("#",""), HYPERLINK(CONCATENATE("#Metadata!", ADDRESS(INDEX($X$2:$X$1001,MATCH(ROWS($V$2:V968),$V$2:$V$1001,0),0), INDEX($AC$1004:$AS$1004,1,MATCH(COLUMNS($AC$1006:AO1006),$AC$1006:$AS$1006,0)))),"Fix")))</f>
        <v>0</v>
      </c>
      <c r="O968" s="5">
        <f>IF(OR(INDEX($W$2:$W$1001,MATCH(ROWS($V$2:V968),$V$2:$V$1001,0),1)&gt;=100000,INDEX($AC$1005:$AS$1005,1,MATCH(COLUMNS($AC$1006:AP1006),$AC$1006:$AS$1006,0))&gt;=100000), " ",IF(INDEX($AC$2:$AS$1001,MATCH(ROWS($V$2:V968),$V$2:$V$1001,0),MATCH(COLUMNS($AC$1006:AP1006),$AC$1006:$AS$1006,0)), HYPERLINK("#",""), HYPERLINK(CONCATENATE("#Metadata!", ADDRESS(INDEX($X$2:$X$1001,MATCH(ROWS($V$2:V968),$V$2:$V$1001,0),0), INDEX($AC$1004:$AS$1004,1,MATCH(COLUMNS($AC$1006:AP1006),$AC$1006:$AS$1006,0)))),"Fix")))</f>
        <v>0</v>
      </c>
      <c r="P968" s="5">
        <f>IF(OR(INDEX($W$2:$W$1001,MATCH(ROWS($V$2:V968),$V$2:$V$1001,0),1)&gt;=100000,INDEX($AC$1005:$AS$1005,1,MATCH(COLUMNS($AC$1006:AQ1006),$AC$1006:$AS$1006,0))&gt;=100000), " ",IF(INDEX($AC$2:$AS$1001,MATCH(ROWS($V$2:V968),$V$2:$V$1001,0),MATCH(COLUMNS($AC$1006:AQ1006),$AC$1006:$AS$1006,0)), HYPERLINK("#",""), HYPERLINK(CONCATENATE("#Metadata!", ADDRESS(INDEX($X$2:$X$1001,MATCH(ROWS($V$2:V968),$V$2:$V$1001,0),0), INDEX($AC$1004:$AS$1004,1,MATCH(COLUMNS($AC$1006:AQ1006),$AC$1006:$AS$1006,0)))),"Fix")))</f>
        <v>0</v>
      </c>
      <c r="Q968" s="5">
        <f>IF(OR(INDEX($W$2:$W$1001,MATCH(ROWS($V$2:V968),$V$2:$V$1001,0),1)&gt;=100000,INDEX($AC$1005:$AS$1005,1,MATCH(COLUMNS($AC$1006:AR1006),$AC$1006:$AS$1006,0))&gt;=100000), " ",IF(INDEX($AC$2:$AS$1001,MATCH(ROWS($V$2:V968),$V$2:$V$1001,0),MATCH(COLUMNS($AC$1006:AR1006),$AC$1006:$AS$1006,0)), HYPERLINK("#",""), HYPERLINK(CONCATENATE("#Metadata!", ADDRESS(INDEX($X$2:$X$1001,MATCH(ROWS($V$2:V968),$V$2:$V$1001,0),0), INDEX($AC$1004:$AS$1004,1,MATCH(COLUMNS($AC$1006:AR1006),$AC$1006:$AS$1006,0)))),"Fix")))</f>
        <v>0</v>
      </c>
      <c r="R968" s="5">
        <f>IF(OR(INDEX($W$2:$W$1001,MATCH(ROWS($V$2:V968),$V$2:$V$1001,0),1)&gt;=100000,INDEX($AC$1005:$AS$1005,1,MATCH(COLUMNS($AC$1006:AS1006),$AC$1006:$AS$1006,0))&gt;=100000), " ",IF(INDEX($AC$2:$AS$1001,MATCH(ROWS($V$2:V968),$V$2:$V$1001,0),MATCH(COLUMNS($AC$1006:AS1006),$AC$1006:$AS$1006,0)), HYPERLINK("#",""), HYPERLINK(CONCATENATE("#Metadata!", ADDRESS(INDEX($X$2:$X$1001,MATCH(ROWS($V$2:V968),$V$2:$V$1001,0),0), INDEX($AC$1004:$AS$1004,1,MATCH(COLUMNS($AC$1006:AS1006),$AC$1006:$AS$1006,0)))),"Fix")))</f>
        <v>0</v>
      </c>
      <c r="V968">
        <v>0</v>
      </c>
      <c r="W968">
        <v>0</v>
      </c>
      <c r="X968">
        <v>0</v>
      </c>
      <c r="Y968">
        <f>IF(Z968,TRUE,AND(AC968:AS968))</f>
        <v>0</v>
      </c>
      <c r="Z968">
        <f>COUNTBLANK(Metadata!B968:R968)=COLUMNS(Metadata!B968:R968)</f>
        <v>0</v>
      </c>
      <c r="AA968">
        <v>0</v>
      </c>
      <c r="AC968">
        <f>AND(IF(Metadata!B968="",FALSE,TRUE),COUNTIF(Metadata!B:B, Metadata!B968) = 1,NOT(ISERROR(SUMPRODUCT(SEARCH(MID(Metadata!B968,ROW(INDIRECT("1:"&amp;LEN(Metadata!B968))), 1),"0123456789abcdefghijklmnopqrstuvwxyzABCDEFGHIJKLMNOPQRSTUVWXYZ.")))))</f>
        <v>0</v>
      </c>
      <c r="AD968">
        <f>AND(IF(Metadata!C968="",FALSE,TRUE),exact(Metadata!C968,"Host-associated"))</f>
        <v>0</v>
      </c>
      <c r="AE968">
        <f>AND(IF(Metadata!D968="",FALSE,TRUE),OR(exact(Metadata!D968,"Animal"),exact(Metadata!D968,"Fungus"),exact(Metadata!D968,"Plant")))</f>
        <v>0</v>
      </c>
      <c r="AF968">
        <f>AND(IF(Metadata!E968="",FALSE,TRUE),OR(exact(Metadata!E968,"Plant secretion"),exact(Metadata!E968,"Plant rhizosphere"),exact(Metadata!E968,"Plant surface"),exact(Metadata!E968,"Plant corpus"),exact(Metadata!E968,"Fungus surface"),exact(Metadata!E968,"Fungus corpus"),exact(Metadata!E968,"Animal surface"),exact(Metadata!E968,"Animal proximal gut"),exact(Metadata!E968,"Animal corpus"),exact(Metadata!E968,"Animal distal gut"),exact(Metadata!E968,"Animal secretion")))</f>
        <v>0</v>
      </c>
      <c r="AG968">
        <f>OR(AND(IF(Metadata!F968="",FALSE,TRUE),OR(exact(Metadata!F968,"not collected"),exact(Metadata!F968,"not provided"),exact(Metadata!F968,"restricted access"))),AND(IF(Metadata!F968="",FALSE,TRUE),OR(exact(Metadata!F968,"organism-associated habitat"),exact(Metadata!F968,"plant-associated habitat"),exact(Metadata!F968,"animal-associated habitat"),exact(Metadata!F968,"insecta-associated habitat"),exact(Metadata!F968,"mammalia-associated habitat"),exact(Metadata!F968,"human-associated habitat"),exact(Metadata!F968,"livestock-associated habitat"))))</f>
        <v>0</v>
      </c>
      <c r="AH968">
        <f>AND(IF(Metadata!G968="",FALSE,TRUE),exact(Metadata!G968,"host-associated"))</f>
        <v>0</v>
      </c>
      <c r="AI968">
        <f>OR(AND(IF(Metadata!H968="",FALSE,TRUE),OR(exact(Metadata!H968,"not collected"),exact(Metadata!H968,"not provided"))),AND(IF(Metadata!H968="",FALSE,ISNUMBER(VALUE(Metadata!H968))),Metadata!H968&gt;0))</f>
        <v>0</v>
      </c>
      <c r="AJ968">
        <f>AND(IF(Metadata!I968="",FALSE,TRUE),exact(Metadata!I968,"years"))</f>
        <v>0</v>
      </c>
      <c r="AK968">
        <f>IF(Metadata!J968="",FALSE,TRUE)</f>
        <v>0</v>
      </c>
      <c r="AL968">
        <f>OR(AND(IF(Metadata!K968="",FALSE,TRUE),OR(exact(Metadata!K968,"not collected"),exact(Metadata!K968,"not provided"))),AND(IF(Metadata!K968="",FALSE,ISNUMBER(VALUE(Metadata!K968))),Metadata!K968&gt;0))</f>
        <v>0</v>
      </c>
      <c r="AM968">
        <f>AND(IF(Metadata!L968="",FALSE,TRUE),exact(Metadata!L968,"cm"))</f>
        <v>0</v>
      </c>
      <c r="AN968">
        <f>IF(Metadata!M968="",FALSE,TRUE)</f>
        <v>0</v>
      </c>
      <c r="AO968">
        <f>OR(AND(IF(Metadata!N968="",FALSE,TRUE),OR(exact(Metadata!N968,"not applicable"),exact(Metadata!N968,"not collected"),exact(Metadata!N968,"not provided"))),AND(IF(Metadata!N968="",FALSE,IF(ISERROR(INT(Metadata!N968)),FALSE,INT(Metadata!N968)=Metadata!N968)),Metadata!N968&gt;0))</f>
        <v>0</v>
      </c>
      <c r="AP968">
        <f>OR(AND(IF(Metadata!O968="",FALSE,TRUE),OR(exact(Metadata!O968,"not collected"),exact(Metadata!O968,"not provided"))),AND(IF(Metadata!O968="",FALSE,ISNUMBER(VALUE(Metadata!O968))),Metadata!O968&gt;0))</f>
        <v>0</v>
      </c>
      <c r="AQ968">
        <f>AND(IF(Metadata!P968="",FALSE,TRUE),exact(Metadata!P968,"kg"))</f>
        <v>0</v>
      </c>
      <c r="AR968">
        <f>OR(AND(IF(Metadata!Q968="",FALSE,TRUE),OR(exact(Metadata!Q968,"not applicable"),exact(Metadata!Q968,"not collected"),exact(Metadata!Q968,"not provided"),exact(Metadata!Q968,"restricted access"))),IF(Metadata!Q968="",FALSE,IF(ISERROR(INT(Metadata!Q968)),FALSE,INT(Metadata!Q968)=Metadata!Q968)))</f>
        <v>0</v>
      </c>
      <c r="AS968">
        <f>AND(IF(Metadata!R968="",FALSE,TRUE),exact(Metadata!R968,"Not applicable"))</f>
        <v>0</v>
      </c>
    </row>
    <row r="969" spans="1:45">
      <c r="A969" s="4">
        <f>IF(B969=" "," ",HYPERLINK(CONCATENATE("#metadata!",ADDRESS(INDEX($X$2:$X$1001,MATCH(ROWS($V$2:V969),$V$2:$V$1001,0),0),2)),INDEX($AA$2:$AA$1001,MATCH(ROWS($V$2:V969),$V$2:$V$1001,0),0)))</f>
        <v>0</v>
      </c>
      <c r="B969" s="5">
        <f>IF(OR(INDEX($W$2:$W$1001,MATCH(ROWS($V$2:V969),$V$2:$V$1001,0),1)&gt;=100000,INDEX($AC$1005:$AS$1005,1,MATCH(COLUMNS($AC$1006:AC1006),$AC$1006:$AS$1006,0))&gt;=100000), " ",IF(INDEX($AC$2:$AS$1001,MATCH(ROWS($V$2:V969),$V$2:$V$1001,0),MATCH(COLUMNS($AC$1006:AC1006),$AC$1006:$AS$1006,0)), HYPERLINK("#",""), HYPERLINK(CONCATENATE("#Metadata!", ADDRESS(INDEX($X$2:$X$1001,MATCH(ROWS($V$2:V969),$V$2:$V$1001,0),0), INDEX($AC$1004:$AS$1004,1,MATCH(COLUMNS($AC$1006:AC1006),$AC$1006:$AS$1006,0)))),"Fix")))</f>
        <v>0</v>
      </c>
      <c r="C969" s="5">
        <f>IF(OR(INDEX($W$2:$W$1001,MATCH(ROWS($V$2:V969),$V$2:$V$1001,0),1)&gt;=100000,INDEX($AC$1005:$AS$1005,1,MATCH(COLUMNS($AC$1006:AD1006),$AC$1006:$AS$1006,0))&gt;=100000), " ",IF(INDEX($AC$2:$AS$1001,MATCH(ROWS($V$2:V969),$V$2:$V$1001,0),MATCH(COLUMNS($AC$1006:AD1006),$AC$1006:$AS$1006,0)), HYPERLINK("#",""), HYPERLINK(CONCATENATE("#Metadata!", ADDRESS(INDEX($X$2:$X$1001,MATCH(ROWS($V$2:V969),$V$2:$V$1001,0),0), INDEX($AC$1004:$AS$1004,1,MATCH(COLUMNS($AC$1006:AD1006),$AC$1006:$AS$1006,0)))),"Fix")))</f>
        <v>0</v>
      </c>
      <c r="D969" s="5">
        <f>IF(OR(INDEX($W$2:$W$1001,MATCH(ROWS($V$2:V969),$V$2:$V$1001,0),1)&gt;=100000,INDEX($AC$1005:$AS$1005,1,MATCH(COLUMNS($AC$1006:AE1006),$AC$1006:$AS$1006,0))&gt;=100000), " ",IF(INDEX($AC$2:$AS$1001,MATCH(ROWS($V$2:V969),$V$2:$V$1001,0),MATCH(COLUMNS($AC$1006:AE1006),$AC$1006:$AS$1006,0)), HYPERLINK("#",""), HYPERLINK(CONCATENATE("#Metadata!", ADDRESS(INDEX($X$2:$X$1001,MATCH(ROWS($V$2:V969),$V$2:$V$1001,0),0), INDEX($AC$1004:$AS$1004,1,MATCH(COLUMNS($AC$1006:AE1006),$AC$1006:$AS$1006,0)))),"Fix")))</f>
        <v>0</v>
      </c>
      <c r="E969" s="5">
        <f>IF(OR(INDEX($W$2:$W$1001,MATCH(ROWS($V$2:V969),$V$2:$V$1001,0),1)&gt;=100000,INDEX($AC$1005:$AS$1005,1,MATCH(COLUMNS($AC$1006:AF1006),$AC$1006:$AS$1006,0))&gt;=100000), " ",IF(INDEX($AC$2:$AS$1001,MATCH(ROWS($V$2:V969),$V$2:$V$1001,0),MATCH(COLUMNS($AC$1006:AF1006),$AC$1006:$AS$1006,0)), HYPERLINK("#",""), HYPERLINK(CONCATENATE("#Metadata!", ADDRESS(INDEX($X$2:$X$1001,MATCH(ROWS($V$2:V969),$V$2:$V$1001,0),0), INDEX($AC$1004:$AS$1004,1,MATCH(COLUMNS($AC$1006:AF1006),$AC$1006:$AS$1006,0)))),"Fix")))</f>
        <v>0</v>
      </c>
      <c r="F969" s="5">
        <f>IF(OR(INDEX($W$2:$W$1001,MATCH(ROWS($V$2:V969),$V$2:$V$1001,0),1)&gt;=100000,INDEX($AC$1005:$AS$1005,1,MATCH(COLUMNS($AC$1006:AG1006),$AC$1006:$AS$1006,0))&gt;=100000), " ",IF(INDEX($AC$2:$AS$1001,MATCH(ROWS($V$2:V969),$V$2:$V$1001,0),MATCH(COLUMNS($AC$1006:AG1006),$AC$1006:$AS$1006,0)), HYPERLINK("#",""), HYPERLINK(CONCATENATE("#Metadata!", ADDRESS(INDEX($X$2:$X$1001,MATCH(ROWS($V$2:V969),$V$2:$V$1001,0),0), INDEX($AC$1004:$AS$1004,1,MATCH(COLUMNS($AC$1006:AG1006),$AC$1006:$AS$1006,0)))),"Fix")))</f>
        <v>0</v>
      </c>
      <c r="G969" s="5">
        <f>IF(OR(INDEX($W$2:$W$1001,MATCH(ROWS($V$2:V969),$V$2:$V$1001,0),1)&gt;=100000,INDEX($AC$1005:$AS$1005,1,MATCH(COLUMNS($AC$1006:AH1006),$AC$1006:$AS$1006,0))&gt;=100000), " ",IF(INDEX($AC$2:$AS$1001,MATCH(ROWS($V$2:V969),$V$2:$V$1001,0),MATCH(COLUMNS($AC$1006:AH1006),$AC$1006:$AS$1006,0)), HYPERLINK("#",""), HYPERLINK(CONCATENATE("#Metadata!", ADDRESS(INDEX($X$2:$X$1001,MATCH(ROWS($V$2:V969),$V$2:$V$1001,0),0), INDEX($AC$1004:$AS$1004,1,MATCH(COLUMNS($AC$1006:AH1006),$AC$1006:$AS$1006,0)))),"Fix")))</f>
        <v>0</v>
      </c>
      <c r="H969" s="5">
        <f>IF(OR(INDEX($W$2:$W$1001,MATCH(ROWS($V$2:V969),$V$2:$V$1001,0),1)&gt;=100000,INDEX($AC$1005:$AS$1005,1,MATCH(COLUMNS($AC$1006:AI1006),$AC$1006:$AS$1006,0))&gt;=100000), " ",IF(INDEX($AC$2:$AS$1001,MATCH(ROWS($V$2:V969),$V$2:$V$1001,0),MATCH(COLUMNS($AC$1006:AI1006),$AC$1006:$AS$1006,0)), HYPERLINK("#",""), HYPERLINK(CONCATENATE("#Metadata!", ADDRESS(INDEX($X$2:$X$1001,MATCH(ROWS($V$2:V969),$V$2:$V$1001,0),0), INDEX($AC$1004:$AS$1004,1,MATCH(COLUMNS($AC$1006:AI1006),$AC$1006:$AS$1006,0)))),"Fix")))</f>
        <v>0</v>
      </c>
      <c r="I969" s="5">
        <f>IF(OR(INDEX($W$2:$W$1001,MATCH(ROWS($V$2:V969),$V$2:$V$1001,0),1)&gt;=100000,INDEX($AC$1005:$AS$1005,1,MATCH(COLUMNS($AC$1006:AJ1006),$AC$1006:$AS$1006,0))&gt;=100000), " ",IF(INDEX($AC$2:$AS$1001,MATCH(ROWS($V$2:V969),$V$2:$V$1001,0),MATCH(COLUMNS($AC$1006:AJ1006),$AC$1006:$AS$1006,0)), HYPERLINK("#",""), HYPERLINK(CONCATENATE("#Metadata!", ADDRESS(INDEX($X$2:$X$1001,MATCH(ROWS($V$2:V969),$V$2:$V$1001,0),0), INDEX($AC$1004:$AS$1004,1,MATCH(COLUMNS($AC$1006:AJ1006),$AC$1006:$AS$1006,0)))),"Fix")))</f>
        <v>0</v>
      </c>
      <c r="J969" s="5">
        <f>IF(OR(INDEX($W$2:$W$1001,MATCH(ROWS($V$2:V969),$V$2:$V$1001,0),1)&gt;=100000,INDEX($AC$1005:$AS$1005,1,MATCH(COLUMNS($AC$1006:AK1006),$AC$1006:$AS$1006,0))&gt;=100000), " ",IF(INDEX($AC$2:$AS$1001,MATCH(ROWS($V$2:V969),$V$2:$V$1001,0),MATCH(COLUMNS($AC$1006:AK1006),$AC$1006:$AS$1006,0)), HYPERLINK("#",""), HYPERLINK(CONCATENATE("#Metadata!", ADDRESS(INDEX($X$2:$X$1001,MATCH(ROWS($V$2:V969),$V$2:$V$1001,0),0), INDEX($AC$1004:$AS$1004,1,MATCH(COLUMNS($AC$1006:AK1006),$AC$1006:$AS$1006,0)))),"Fix")))</f>
        <v>0</v>
      </c>
      <c r="K969" s="5">
        <f>IF(OR(INDEX($W$2:$W$1001,MATCH(ROWS($V$2:V969),$V$2:$V$1001,0),1)&gt;=100000,INDEX($AC$1005:$AS$1005,1,MATCH(COLUMNS($AC$1006:AL1006),$AC$1006:$AS$1006,0))&gt;=100000), " ",IF(INDEX($AC$2:$AS$1001,MATCH(ROWS($V$2:V969),$V$2:$V$1001,0),MATCH(COLUMNS($AC$1006:AL1006),$AC$1006:$AS$1006,0)), HYPERLINK("#",""), HYPERLINK(CONCATENATE("#Metadata!", ADDRESS(INDEX($X$2:$X$1001,MATCH(ROWS($V$2:V969),$V$2:$V$1001,0),0), INDEX($AC$1004:$AS$1004,1,MATCH(COLUMNS($AC$1006:AL1006),$AC$1006:$AS$1006,0)))),"Fix")))</f>
        <v>0</v>
      </c>
      <c r="L969" s="5">
        <f>IF(OR(INDEX($W$2:$W$1001,MATCH(ROWS($V$2:V969),$V$2:$V$1001,0),1)&gt;=100000,INDEX($AC$1005:$AS$1005,1,MATCH(COLUMNS($AC$1006:AM1006),$AC$1006:$AS$1006,0))&gt;=100000), " ",IF(INDEX($AC$2:$AS$1001,MATCH(ROWS($V$2:V969),$V$2:$V$1001,0),MATCH(COLUMNS($AC$1006:AM1006),$AC$1006:$AS$1006,0)), HYPERLINK("#",""), HYPERLINK(CONCATENATE("#Metadata!", ADDRESS(INDEX($X$2:$X$1001,MATCH(ROWS($V$2:V969),$V$2:$V$1001,0),0), INDEX($AC$1004:$AS$1004,1,MATCH(COLUMNS($AC$1006:AM1006),$AC$1006:$AS$1006,0)))),"Fix")))</f>
        <v>0</v>
      </c>
      <c r="M969" s="5">
        <f>IF(OR(INDEX($W$2:$W$1001,MATCH(ROWS($V$2:V969),$V$2:$V$1001,0),1)&gt;=100000,INDEX($AC$1005:$AS$1005,1,MATCH(COLUMNS($AC$1006:AN1006),$AC$1006:$AS$1006,0))&gt;=100000), " ",IF(INDEX($AC$2:$AS$1001,MATCH(ROWS($V$2:V969),$V$2:$V$1001,0),MATCH(COLUMNS($AC$1006:AN1006),$AC$1006:$AS$1006,0)), HYPERLINK("#",""), HYPERLINK(CONCATENATE("#Metadata!", ADDRESS(INDEX($X$2:$X$1001,MATCH(ROWS($V$2:V969),$V$2:$V$1001,0),0), INDEX($AC$1004:$AS$1004,1,MATCH(COLUMNS($AC$1006:AN1006),$AC$1006:$AS$1006,0)))),"Fix")))</f>
        <v>0</v>
      </c>
      <c r="N969" s="5">
        <f>IF(OR(INDEX($W$2:$W$1001,MATCH(ROWS($V$2:V969),$V$2:$V$1001,0),1)&gt;=100000,INDEX($AC$1005:$AS$1005,1,MATCH(COLUMNS($AC$1006:AO1006),$AC$1006:$AS$1006,0))&gt;=100000), " ",IF(INDEX($AC$2:$AS$1001,MATCH(ROWS($V$2:V969),$V$2:$V$1001,0),MATCH(COLUMNS($AC$1006:AO1006),$AC$1006:$AS$1006,0)), HYPERLINK("#",""), HYPERLINK(CONCATENATE("#Metadata!", ADDRESS(INDEX($X$2:$X$1001,MATCH(ROWS($V$2:V969),$V$2:$V$1001,0),0), INDEX($AC$1004:$AS$1004,1,MATCH(COLUMNS($AC$1006:AO1006),$AC$1006:$AS$1006,0)))),"Fix")))</f>
        <v>0</v>
      </c>
      <c r="O969" s="5">
        <f>IF(OR(INDEX($W$2:$W$1001,MATCH(ROWS($V$2:V969),$V$2:$V$1001,0),1)&gt;=100000,INDEX($AC$1005:$AS$1005,1,MATCH(COLUMNS($AC$1006:AP1006),$AC$1006:$AS$1006,0))&gt;=100000), " ",IF(INDEX($AC$2:$AS$1001,MATCH(ROWS($V$2:V969),$V$2:$V$1001,0),MATCH(COLUMNS($AC$1006:AP1006),$AC$1006:$AS$1006,0)), HYPERLINK("#",""), HYPERLINK(CONCATENATE("#Metadata!", ADDRESS(INDEX($X$2:$X$1001,MATCH(ROWS($V$2:V969),$V$2:$V$1001,0),0), INDEX($AC$1004:$AS$1004,1,MATCH(COLUMNS($AC$1006:AP1006),$AC$1006:$AS$1006,0)))),"Fix")))</f>
        <v>0</v>
      </c>
      <c r="P969" s="5">
        <f>IF(OR(INDEX($W$2:$W$1001,MATCH(ROWS($V$2:V969),$V$2:$V$1001,0),1)&gt;=100000,INDEX($AC$1005:$AS$1005,1,MATCH(COLUMNS($AC$1006:AQ1006),$AC$1006:$AS$1006,0))&gt;=100000), " ",IF(INDEX($AC$2:$AS$1001,MATCH(ROWS($V$2:V969),$V$2:$V$1001,0),MATCH(COLUMNS($AC$1006:AQ1006),$AC$1006:$AS$1006,0)), HYPERLINK("#",""), HYPERLINK(CONCATENATE("#Metadata!", ADDRESS(INDEX($X$2:$X$1001,MATCH(ROWS($V$2:V969),$V$2:$V$1001,0),0), INDEX($AC$1004:$AS$1004,1,MATCH(COLUMNS($AC$1006:AQ1006),$AC$1006:$AS$1006,0)))),"Fix")))</f>
        <v>0</v>
      </c>
      <c r="Q969" s="5">
        <f>IF(OR(INDEX($W$2:$W$1001,MATCH(ROWS($V$2:V969),$V$2:$V$1001,0),1)&gt;=100000,INDEX($AC$1005:$AS$1005,1,MATCH(COLUMNS($AC$1006:AR1006),$AC$1006:$AS$1006,0))&gt;=100000), " ",IF(INDEX($AC$2:$AS$1001,MATCH(ROWS($V$2:V969),$V$2:$V$1001,0),MATCH(COLUMNS($AC$1006:AR1006),$AC$1006:$AS$1006,0)), HYPERLINK("#",""), HYPERLINK(CONCATENATE("#Metadata!", ADDRESS(INDEX($X$2:$X$1001,MATCH(ROWS($V$2:V969),$V$2:$V$1001,0),0), INDEX($AC$1004:$AS$1004,1,MATCH(COLUMNS($AC$1006:AR1006),$AC$1006:$AS$1006,0)))),"Fix")))</f>
        <v>0</v>
      </c>
      <c r="R969" s="5">
        <f>IF(OR(INDEX($W$2:$W$1001,MATCH(ROWS($V$2:V969),$V$2:$V$1001,0),1)&gt;=100000,INDEX($AC$1005:$AS$1005,1,MATCH(COLUMNS($AC$1006:AS1006),$AC$1006:$AS$1006,0))&gt;=100000), " ",IF(INDEX($AC$2:$AS$1001,MATCH(ROWS($V$2:V969),$V$2:$V$1001,0),MATCH(COLUMNS($AC$1006:AS1006),$AC$1006:$AS$1006,0)), HYPERLINK("#",""), HYPERLINK(CONCATENATE("#Metadata!", ADDRESS(INDEX($X$2:$X$1001,MATCH(ROWS($V$2:V969),$V$2:$V$1001,0),0), INDEX($AC$1004:$AS$1004,1,MATCH(COLUMNS($AC$1006:AS1006),$AC$1006:$AS$1006,0)))),"Fix")))</f>
        <v>0</v>
      </c>
      <c r="V969">
        <v>0</v>
      </c>
      <c r="W969">
        <v>0</v>
      </c>
      <c r="X969">
        <v>0</v>
      </c>
      <c r="Y969">
        <f>IF(Z969,TRUE,AND(AC969:AS969))</f>
        <v>0</v>
      </c>
      <c r="Z969">
        <f>COUNTBLANK(Metadata!B969:R969)=COLUMNS(Metadata!B969:R969)</f>
        <v>0</v>
      </c>
      <c r="AA969">
        <v>0</v>
      </c>
      <c r="AC969">
        <f>AND(IF(Metadata!B969="",FALSE,TRUE),COUNTIF(Metadata!B:B, Metadata!B969) = 1,NOT(ISERROR(SUMPRODUCT(SEARCH(MID(Metadata!B969,ROW(INDIRECT("1:"&amp;LEN(Metadata!B969))), 1),"0123456789abcdefghijklmnopqrstuvwxyzABCDEFGHIJKLMNOPQRSTUVWXYZ.")))))</f>
        <v>0</v>
      </c>
      <c r="AD969">
        <f>AND(IF(Metadata!C969="",FALSE,TRUE),exact(Metadata!C969,"Host-associated"))</f>
        <v>0</v>
      </c>
      <c r="AE969">
        <f>AND(IF(Metadata!D969="",FALSE,TRUE),OR(exact(Metadata!D969,"Animal"),exact(Metadata!D969,"Fungus"),exact(Metadata!D969,"Plant")))</f>
        <v>0</v>
      </c>
      <c r="AF969">
        <f>AND(IF(Metadata!E969="",FALSE,TRUE),OR(exact(Metadata!E969,"Plant secretion"),exact(Metadata!E969,"Plant rhizosphere"),exact(Metadata!E969,"Plant surface"),exact(Metadata!E969,"Plant corpus"),exact(Metadata!E969,"Fungus surface"),exact(Metadata!E969,"Fungus corpus"),exact(Metadata!E969,"Animal surface"),exact(Metadata!E969,"Animal proximal gut"),exact(Metadata!E969,"Animal corpus"),exact(Metadata!E969,"Animal distal gut"),exact(Metadata!E969,"Animal secretion")))</f>
        <v>0</v>
      </c>
      <c r="AG969">
        <f>OR(AND(IF(Metadata!F969="",FALSE,TRUE),OR(exact(Metadata!F969,"not collected"),exact(Metadata!F969,"not provided"),exact(Metadata!F969,"restricted access"))),AND(IF(Metadata!F969="",FALSE,TRUE),OR(exact(Metadata!F969,"organism-associated habitat"),exact(Metadata!F969,"plant-associated habitat"),exact(Metadata!F969,"animal-associated habitat"),exact(Metadata!F969,"insecta-associated habitat"),exact(Metadata!F969,"mammalia-associated habitat"),exact(Metadata!F969,"human-associated habitat"),exact(Metadata!F969,"livestock-associated habitat"))))</f>
        <v>0</v>
      </c>
      <c r="AH969">
        <f>AND(IF(Metadata!G969="",FALSE,TRUE),exact(Metadata!G969,"host-associated"))</f>
        <v>0</v>
      </c>
      <c r="AI969">
        <f>OR(AND(IF(Metadata!H969="",FALSE,TRUE),OR(exact(Metadata!H969,"not collected"),exact(Metadata!H969,"not provided"))),AND(IF(Metadata!H969="",FALSE,ISNUMBER(VALUE(Metadata!H969))),Metadata!H969&gt;0))</f>
        <v>0</v>
      </c>
      <c r="AJ969">
        <f>AND(IF(Metadata!I969="",FALSE,TRUE),exact(Metadata!I969,"years"))</f>
        <v>0</v>
      </c>
      <c r="AK969">
        <f>IF(Metadata!J969="",FALSE,TRUE)</f>
        <v>0</v>
      </c>
      <c r="AL969">
        <f>OR(AND(IF(Metadata!K969="",FALSE,TRUE),OR(exact(Metadata!K969,"not collected"),exact(Metadata!K969,"not provided"))),AND(IF(Metadata!K969="",FALSE,ISNUMBER(VALUE(Metadata!K969))),Metadata!K969&gt;0))</f>
        <v>0</v>
      </c>
      <c r="AM969">
        <f>AND(IF(Metadata!L969="",FALSE,TRUE),exact(Metadata!L969,"cm"))</f>
        <v>0</v>
      </c>
      <c r="AN969">
        <f>IF(Metadata!M969="",FALSE,TRUE)</f>
        <v>0</v>
      </c>
      <c r="AO969">
        <f>OR(AND(IF(Metadata!N969="",FALSE,TRUE),OR(exact(Metadata!N969,"not applicable"),exact(Metadata!N969,"not collected"),exact(Metadata!N969,"not provided"))),AND(IF(Metadata!N969="",FALSE,IF(ISERROR(INT(Metadata!N969)),FALSE,INT(Metadata!N969)=Metadata!N969)),Metadata!N969&gt;0))</f>
        <v>0</v>
      </c>
      <c r="AP969">
        <f>OR(AND(IF(Metadata!O969="",FALSE,TRUE),OR(exact(Metadata!O969,"not collected"),exact(Metadata!O969,"not provided"))),AND(IF(Metadata!O969="",FALSE,ISNUMBER(VALUE(Metadata!O969))),Metadata!O969&gt;0))</f>
        <v>0</v>
      </c>
      <c r="AQ969">
        <f>AND(IF(Metadata!P969="",FALSE,TRUE),exact(Metadata!P969,"kg"))</f>
        <v>0</v>
      </c>
      <c r="AR969">
        <f>OR(AND(IF(Metadata!Q969="",FALSE,TRUE),OR(exact(Metadata!Q969,"not applicable"),exact(Metadata!Q969,"not collected"),exact(Metadata!Q969,"not provided"),exact(Metadata!Q969,"restricted access"))),IF(Metadata!Q969="",FALSE,IF(ISERROR(INT(Metadata!Q969)),FALSE,INT(Metadata!Q969)=Metadata!Q969)))</f>
        <v>0</v>
      </c>
      <c r="AS969">
        <f>AND(IF(Metadata!R969="",FALSE,TRUE),exact(Metadata!R969,"Not applicable"))</f>
        <v>0</v>
      </c>
    </row>
    <row r="970" spans="1:45">
      <c r="A970" s="4">
        <f>IF(B970=" "," ",HYPERLINK(CONCATENATE("#metadata!",ADDRESS(INDEX($X$2:$X$1001,MATCH(ROWS($V$2:V970),$V$2:$V$1001,0),0),2)),INDEX($AA$2:$AA$1001,MATCH(ROWS($V$2:V970),$V$2:$V$1001,0),0)))</f>
        <v>0</v>
      </c>
      <c r="B970" s="5">
        <f>IF(OR(INDEX($W$2:$W$1001,MATCH(ROWS($V$2:V970),$V$2:$V$1001,0),1)&gt;=100000,INDEX($AC$1005:$AS$1005,1,MATCH(COLUMNS($AC$1006:AC1006),$AC$1006:$AS$1006,0))&gt;=100000), " ",IF(INDEX($AC$2:$AS$1001,MATCH(ROWS($V$2:V970),$V$2:$V$1001,0),MATCH(COLUMNS($AC$1006:AC1006),$AC$1006:$AS$1006,0)), HYPERLINK("#",""), HYPERLINK(CONCATENATE("#Metadata!", ADDRESS(INDEX($X$2:$X$1001,MATCH(ROWS($V$2:V970),$V$2:$V$1001,0),0), INDEX($AC$1004:$AS$1004,1,MATCH(COLUMNS($AC$1006:AC1006),$AC$1006:$AS$1006,0)))),"Fix")))</f>
        <v>0</v>
      </c>
      <c r="C970" s="5">
        <f>IF(OR(INDEX($W$2:$W$1001,MATCH(ROWS($V$2:V970),$V$2:$V$1001,0),1)&gt;=100000,INDEX($AC$1005:$AS$1005,1,MATCH(COLUMNS($AC$1006:AD1006),$AC$1006:$AS$1006,0))&gt;=100000), " ",IF(INDEX($AC$2:$AS$1001,MATCH(ROWS($V$2:V970),$V$2:$V$1001,0),MATCH(COLUMNS($AC$1006:AD1006),$AC$1006:$AS$1006,0)), HYPERLINK("#",""), HYPERLINK(CONCATENATE("#Metadata!", ADDRESS(INDEX($X$2:$X$1001,MATCH(ROWS($V$2:V970),$V$2:$V$1001,0),0), INDEX($AC$1004:$AS$1004,1,MATCH(COLUMNS($AC$1006:AD1006),$AC$1006:$AS$1006,0)))),"Fix")))</f>
        <v>0</v>
      </c>
      <c r="D970" s="5">
        <f>IF(OR(INDEX($W$2:$W$1001,MATCH(ROWS($V$2:V970),$V$2:$V$1001,0),1)&gt;=100000,INDEX($AC$1005:$AS$1005,1,MATCH(COLUMNS($AC$1006:AE1006),$AC$1006:$AS$1006,0))&gt;=100000), " ",IF(INDEX($AC$2:$AS$1001,MATCH(ROWS($V$2:V970),$V$2:$V$1001,0),MATCH(COLUMNS($AC$1006:AE1006),$AC$1006:$AS$1006,0)), HYPERLINK("#",""), HYPERLINK(CONCATENATE("#Metadata!", ADDRESS(INDEX($X$2:$X$1001,MATCH(ROWS($V$2:V970),$V$2:$V$1001,0),0), INDEX($AC$1004:$AS$1004,1,MATCH(COLUMNS($AC$1006:AE1006),$AC$1006:$AS$1006,0)))),"Fix")))</f>
        <v>0</v>
      </c>
      <c r="E970" s="5">
        <f>IF(OR(INDEX($W$2:$W$1001,MATCH(ROWS($V$2:V970),$V$2:$V$1001,0),1)&gt;=100000,INDEX($AC$1005:$AS$1005,1,MATCH(COLUMNS($AC$1006:AF1006),$AC$1006:$AS$1006,0))&gt;=100000), " ",IF(INDEX($AC$2:$AS$1001,MATCH(ROWS($V$2:V970),$V$2:$V$1001,0),MATCH(COLUMNS($AC$1006:AF1006),$AC$1006:$AS$1006,0)), HYPERLINK("#",""), HYPERLINK(CONCATENATE("#Metadata!", ADDRESS(INDEX($X$2:$X$1001,MATCH(ROWS($V$2:V970),$V$2:$V$1001,0),0), INDEX($AC$1004:$AS$1004,1,MATCH(COLUMNS($AC$1006:AF1006),$AC$1006:$AS$1006,0)))),"Fix")))</f>
        <v>0</v>
      </c>
      <c r="F970" s="5">
        <f>IF(OR(INDEX($W$2:$W$1001,MATCH(ROWS($V$2:V970),$V$2:$V$1001,0),1)&gt;=100000,INDEX($AC$1005:$AS$1005,1,MATCH(COLUMNS($AC$1006:AG1006),$AC$1006:$AS$1006,0))&gt;=100000), " ",IF(INDEX($AC$2:$AS$1001,MATCH(ROWS($V$2:V970),$V$2:$V$1001,0),MATCH(COLUMNS($AC$1006:AG1006),$AC$1006:$AS$1006,0)), HYPERLINK("#",""), HYPERLINK(CONCATENATE("#Metadata!", ADDRESS(INDEX($X$2:$X$1001,MATCH(ROWS($V$2:V970),$V$2:$V$1001,0),0), INDEX($AC$1004:$AS$1004,1,MATCH(COLUMNS($AC$1006:AG1006),$AC$1006:$AS$1006,0)))),"Fix")))</f>
        <v>0</v>
      </c>
      <c r="G970" s="5">
        <f>IF(OR(INDEX($W$2:$W$1001,MATCH(ROWS($V$2:V970),$V$2:$V$1001,0),1)&gt;=100000,INDEX($AC$1005:$AS$1005,1,MATCH(COLUMNS($AC$1006:AH1006),$AC$1006:$AS$1006,0))&gt;=100000), " ",IF(INDEX($AC$2:$AS$1001,MATCH(ROWS($V$2:V970),$V$2:$V$1001,0),MATCH(COLUMNS($AC$1006:AH1006),$AC$1006:$AS$1006,0)), HYPERLINK("#",""), HYPERLINK(CONCATENATE("#Metadata!", ADDRESS(INDEX($X$2:$X$1001,MATCH(ROWS($V$2:V970),$V$2:$V$1001,0),0), INDEX($AC$1004:$AS$1004,1,MATCH(COLUMNS($AC$1006:AH1006),$AC$1006:$AS$1006,0)))),"Fix")))</f>
        <v>0</v>
      </c>
      <c r="H970" s="5">
        <f>IF(OR(INDEX($W$2:$W$1001,MATCH(ROWS($V$2:V970),$V$2:$V$1001,0),1)&gt;=100000,INDEX($AC$1005:$AS$1005,1,MATCH(COLUMNS($AC$1006:AI1006),$AC$1006:$AS$1006,0))&gt;=100000), " ",IF(INDEX($AC$2:$AS$1001,MATCH(ROWS($V$2:V970),$V$2:$V$1001,0),MATCH(COLUMNS($AC$1006:AI1006),$AC$1006:$AS$1006,0)), HYPERLINK("#",""), HYPERLINK(CONCATENATE("#Metadata!", ADDRESS(INDEX($X$2:$X$1001,MATCH(ROWS($V$2:V970),$V$2:$V$1001,0),0), INDEX($AC$1004:$AS$1004,1,MATCH(COLUMNS($AC$1006:AI1006),$AC$1006:$AS$1006,0)))),"Fix")))</f>
        <v>0</v>
      </c>
      <c r="I970" s="5">
        <f>IF(OR(INDEX($W$2:$W$1001,MATCH(ROWS($V$2:V970),$V$2:$V$1001,0),1)&gt;=100000,INDEX($AC$1005:$AS$1005,1,MATCH(COLUMNS($AC$1006:AJ1006),$AC$1006:$AS$1006,0))&gt;=100000), " ",IF(INDEX($AC$2:$AS$1001,MATCH(ROWS($V$2:V970),$V$2:$V$1001,0),MATCH(COLUMNS($AC$1006:AJ1006),$AC$1006:$AS$1006,0)), HYPERLINK("#",""), HYPERLINK(CONCATENATE("#Metadata!", ADDRESS(INDEX($X$2:$X$1001,MATCH(ROWS($V$2:V970),$V$2:$V$1001,0),0), INDEX($AC$1004:$AS$1004,1,MATCH(COLUMNS($AC$1006:AJ1006),$AC$1006:$AS$1006,0)))),"Fix")))</f>
        <v>0</v>
      </c>
      <c r="J970" s="5">
        <f>IF(OR(INDEX($W$2:$W$1001,MATCH(ROWS($V$2:V970),$V$2:$V$1001,0),1)&gt;=100000,INDEX($AC$1005:$AS$1005,1,MATCH(COLUMNS($AC$1006:AK1006),$AC$1006:$AS$1006,0))&gt;=100000), " ",IF(INDEX($AC$2:$AS$1001,MATCH(ROWS($V$2:V970),$V$2:$V$1001,0),MATCH(COLUMNS($AC$1006:AK1006),$AC$1006:$AS$1006,0)), HYPERLINK("#",""), HYPERLINK(CONCATENATE("#Metadata!", ADDRESS(INDEX($X$2:$X$1001,MATCH(ROWS($V$2:V970),$V$2:$V$1001,0),0), INDEX($AC$1004:$AS$1004,1,MATCH(COLUMNS($AC$1006:AK1006),$AC$1006:$AS$1006,0)))),"Fix")))</f>
        <v>0</v>
      </c>
      <c r="K970" s="5">
        <f>IF(OR(INDEX($W$2:$W$1001,MATCH(ROWS($V$2:V970),$V$2:$V$1001,0),1)&gt;=100000,INDEX($AC$1005:$AS$1005,1,MATCH(COLUMNS($AC$1006:AL1006),$AC$1006:$AS$1006,0))&gt;=100000), " ",IF(INDEX($AC$2:$AS$1001,MATCH(ROWS($V$2:V970),$V$2:$V$1001,0),MATCH(COLUMNS($AC$1006:AL1006),$AC$1006:$AS$1006,0)), HYPERLINK("#",""), HYPERLINK(CONCATENATE("#Metadata!", ADDRESS(INDEX($X$2:$X$1001,MATCH(ROWS($V$2:V970),$V$2:$V$1001,0),0), INDEX($AC$1004:$AS$1004,1,MATCH(COLUMNS($AC$1006:AL1006),$AC$1006:$AS$1006,0)))),"Fix")))</f>
        <v>0</v>
      </c>
      <c r="L970" s="5">
        <f>IF(OR(INDEX($W$2:$W$1001,MATCH(ROWS($V$2:V970),$V$2:$V$1001,0),1)&gt;=100000,INDEX($AC$1005:$AS$1005,1,MATCH(COLUMNS($AC$1006:AM1006),$AC$1006:$AS$1006,0))&gt;=100000), " ",IF(INDEX($AC$2:$AS$1001,MATCH(ROWS($V$2:V970),$V$2:$V$1001,0),MATCH(COLUMNS($AC$1006:AM1006),$AC$1006:$AS$1006,0)), HYPERLINK("#",""), HYPERLINK(CONCATENATE("#Metadata!", ADDRESS(INDEX($X$2:$X$1001,MATCH(ROWS($V$2:V970),$V$2:$V$1001,0),0), INDEX($AC$1004:$AS$1004,1,MATCH(COLUMNS($AC$1006:AM1006),$AC$1006:$AS$1006,0)))),"Fix")))</f>
        <v>0</v>
      </c>
      <c r="M970" s="5">
        <f>IF(OR(INDEX($W$2:$W$1001,MATCH(ROWS($V$2:V970),$V$2:$V$1001,0),1)&gt;=100000,INDEX($AC$1005:$AS$1005,1,MATCH(COLUMNS($AC$1006:AN1006),$AC$1006:$AS$1006,0))&gt;=100000), " ",IF(INDEX($AC$2:$AS$1001,MATCH(ROWS($V$2:V970),$V$2:$V$1001,0),MATCH(COLUMNS($AC$1006:AN1006),$AC$1006:$AS$1006,0)), HYPERLINK("#",""), HYPERLINK(CONCATENATE("#Metadata!", ADDRESS(INDEX($X$2:$X$1001,MATCH(ROWS($V$2:V970),$V$2:$V$1001,0),0), INDEX($AC$1004:$AS$1004,1,MATCH(COLUMNS($AC$1006:AN1006),$AC$1006:$AS$1006,0)))),"Fix")))</f>
        <v>0</v>
      </c>
      <c r="N970" s="5">
        <f>IF(OR(INDEX($W$2:$W$1001,MATCH(ROWS($V$2:V970),$V$2:$V$1001,0),1)&gt;=100000,INDEX($AC$1005:$AS$1005,1,MATCH(COLUMNS($AC$1006:AO1006),$AC$1006:$AS$1006,0))&gt;=100000), " ",IF(INDEX($AC$2:$AS$1001,MATCH(ROWS($V$2:V970),$V$2:$V$1001,0),MATCH(COLUMNS($AC$1006:AO1006),$AC$1006:$AS$1006,0)), HYPERLINK("#",""), HYPERLINK(CONCATENATE("#Metadata!", ADDRESS(INDEX($X$2:$X$1001,MATCH(ROWS($V$2:V970),$V$2:$V$1001,0),0), INDEX($AC$1004:$AS$1004,1,MATCH(COLUMNS($AC$1006:AO1006),$AC$1006:$AS$1006,0)))),"Fix")))</f>
        <v>0</v>
      </c>
      <c r="O970" s="5">
        <f>IF(OR(INDEX($W$2:$W$1001,MATCH(ROWS($V$2:V970),$V$2:$V$1001,0),1)&gt;=100000,INDEX($AC$1005:$AS$1005,1,MATCH(COLUMNS($AC$1006:AP1006),$AC$1006:$AS$1006,0))&gt;=100000), " ",IF(INDEX($AC$2:$AS$1001,MATCH(ROWS($V$2:V970),$V$2:$V$1001,0),MATCH(COLUMNS($AC$1006:AP1006),$AC$1006:$AS$1006,0)), HYPERLINK("#",""), HYPERLINK(CONCATENATE("#Metadata!", ADDRESS(INDEX($X$2:$X$1001,MATCH(ROWS($V$2:V970),$V$2:$V$1001,0),0), INDEX($AC$1004:$AS$1004,1,MATCH(COLUMNS($AC$1006:AP1006),$AC$1006:$AS$1006,0)))),"Fix")))</f>
        <v>0</v>
      </c>
      <c r="P970" s="5">
        <f>IF(OR(INDEX($W$2:$W$1001,MATCH(ROWS($V$2:V970),$V$2:$V$1001,0),1)&gt;=100000,INDEX($AC$1005:$AS$1005,1,MATCH(COLUMNS($AC$1006:AQ1006),$AC$1006:$AS$1006,0))&gt;=100000), " ",IF(INDEX($AC$2:$AS$1001,MATCH(ROWS($V$2:V970),$V$2:$V$1001,0),MATCH(COLUMNS($AC$1006:AQ1006),$AC$1006:$AS$1006,0)), HYPERLINK("#",""), HYPERLINK(CONCATENATE("#Metadata!", ADDRESS(INDEX($X$2:$X$1001,MATCH(ROWS($V$2:V970),$V$2:$V$1001,0),0), INDEX($AC$1004:$AS$1004,1,MATCH(COLUMNS($AC$1006:AQ1006),$AC$1006:$AS$1006,0)))),"Fix")))</f>
        <v>0</v>
      </c>
      <c r="Q970" s="5">
        <f>IF(OR(INDEX($W$2:$W$1001,MATCH(ROWS($V$2:V970),$V$2:$V$1001,0),1)&gt;=100000,INDEX($AC$1005:$AS$1005,1,MATCH(COLUMNS($AC$1006:AR1006),$AC$1006:$AS$1006,0))&gt;=100000), " ",IF(INDEX($AC$2:$AS$1001,MATCH(ROWS($V$2:V970),$V$2:$V$1001,0),MATCH(COLUMNS($AC$1006:AR1006),$AC$1006:$AS$1006,0)), HYPERLINK("#",""), HYPERLINK(CONCATENATE("#Metadata!", ADDRESS(INDEX($X$2:$X$1001,MATCH(ROWS($V$2:V970),$V$2:$V$1001,0),0), INDEX($AC$1004:$AS$1004,1,MATCH(COLUMNS($AC$1006:AR1006),$AC$1006:$AS$1006,0)))),"Fix")))</f>
        <v>0</v>
      </c>
      <c r="R970" s="5">
        <f>IF(OR(INDEX($W$2:$W$1001,MATCH(ROWS($V$2:V970),$V$2:$V$1001,0),1)&gt;=100000,INDEX($AC$1005:$AS$1005,1,MATCH(COLUMNS($AC$1006:AS1006),$AC$1006:$AS$1006,0))&gt;=100000), " ",IF(INDEX($AC$2:$AS$1001,MATCH(ROWS($V$2:V970),$V$2:$V$1001,0),MATCH(COLUMNS($AC$1006:AS1006),$AC$1006:$AS$1006,0)), HYPERLINK("#",""), HYPERLINK(CONCATENATE("#Metadata!", ADDRESS(INDEX($X$2:$X$1001,MATCH(ROWS($V$2:V970),$V$2:$V$1001,0),0), INDEX($AC$1004:$AS$1004,1,MATCH(COLUMNS($AC$1006:AS1006),$AC$1006:$AS$1006,0)))),"Fix")))</f>
        <v>0</v>
      </c>
      <c r="V970">
        <v>0</v>
      </c>
      <c r="W970">
        <v>0</v>
      </c>
      <c r="X970">
        <v>0</v>
      </c>
      <c r="Y970">
        <f>IF(Z970,TRUE,AND(AC970:AS970))</f>
        <v>0</v>
      </c>
      <c r="Z970">
        <f>COUNTBLANK(Metadata!B970:R970)=COLUMNS(Metadata!B970:R970)</f>
        <v>0</v>
      </c>
      <c r="AA970">
        <v>0</v>
      </c>
      <c r="AC970">
        <f>AND(IF(Metadata!B970="",FALSE,TRUE),COUNTIF(Metadata!B:B, Metadata!B970) = 1,NOT(ISERROR(SUMPRODUCT(SEARCH(MID(Metadata!B970,ROW(INDIRECT("1:"&amp;LEN(Metadata!B970))), 1),"0123456789abcdefghijklmnopqrstuvwxyzABCDEFGHIJKLMNOPQRSTUVWXYZ.")))))</f>
        <v>0</v>
      </c>
      <c r="AD970">
        <f>AND(IF(Metadata!C970="",FALSE,TRUE),exact(Metadata!C970,"Host-associated"))</f>
        <v>0</v>
      </c>
      <c r="AE970">
        <f>AND(IF(Metadata!D970="",FALSE,TRUE),OR(exact(Metadata!D970,"Animal"),exact(Metadata!D970,"Fungus"),exact(Metadata!D970,"Plant")))</f>
        <v>0</v>
      </c>
      <c r="AF970">
        <f>AND(IF(Metadata!E970="",FALSE,TRUE),OR(exact(Metadata!E970,"Plant secretion"),exact(Metadata!E970,"Plant rhizosphere"),exact(Metadata!E970,"Plant surface"),exact(Metadata!E970,"Plant corpus"),exact(Metadata!E970,"Fungus surface"),exact(Metadata!E970,"Fungus corpus"),exact(Metadata!E970,"Animal surface"),exact(Metadata!E970,"Animal proximal gut"),exact(Metadata!E970,"Animal corpus"),exact(Metadata!E970,"Animal distal gut"),exact(Metadata!E970,"Animal secretion")))</f>
        <v>0</v>
      </c>
      <c r="AG970">
        <f>OR(AND(IF(Metadata!F970="",FALSE,TRUE),OR(exact(Metadata!F970,"not collected"),exact(Metadata!F970,"not provided"),exact(Metadata!F970,"restricted access"))),AND(IF(Metadata!F970="",FALSE,TRUE),OR(exact(Metadata!F970,"organism-associated habitat"),exact(Metadata!F970,"plant-associated habitat"),exact(Metadata!F970,"animal-associated habitat"),exact(Metadata!F970,"insecta-associated habitat"),exact(Metadata!F970,"mammalia-associated habitat"),exact(Metadata!F970,"human-associated habitat"),exact(Metadata!F970,"livestock-associated habitat"))))</f>
        <v>0</v>
      </c>
      <c r="AH970">
        <f>AND(IF(Metadata!G970="",FALSE,TRUE),exact(Metadata!G970,"host-associated"))</f>
        <v>0</v>
      </c>
      <c r="AI970">
        <f>OR(AND(IF(Metadata!H970="",FALSE,TRUE),OR(exact(Metadata!H970,"not collected"),exact(Metadata!H970,"not provided"))),AND(IF(Metadata!H970="",FALSE,ISNUMBER(VALUE(Metadata!H970))),Metadata!H970&gt;0))</f>
        <v>0</v>
      </c>
      <c r="AJ970">
        <f>AND(IF(Metadata!I970="",FALSE,TRUE),exact(Metadata!I970,"years"))</f>
        <v>0</v>
      </c>
      <c r="AK970">
        <f>IF(Metadata!J970="",FALSE,TRUE)</f>
        <v>0</v>
      </c>
      <c r="AL970">
        <f>OR(AND(IF(Metadata!K970="",FALSE,TRUE),OR(exact(Metadata!K970,"not collected"),exact(Metadata!K970,"not provided"))),AND(IF(Metadata!K970="",FALSE,ISNUMBER(VALUE(Metadata!K970))),Metadata!K970&gt;0))</f>
        <v>0</v>
      </c>
      <c r="AM970">
        <f>AND(IF(Metadata!L970="",FALSE,TRUE),exact(Metadata!L970,"cm"))</f>
        <v>0</v>
      </c>
      <c r="AN970">
        <f>IF(Metadata!M970="",FALSE,TRUE)</f>
        <v>0</v>
      </c>
      <c r="AO970">
        <f>OR(AND(IF(Metadata!N970="",FALSE,TRUE),OR(exact(Metadata!N970,"not applicable"),exact(Metadata!N970,"not collected"),exact(Metadata!N970,"not provided"))),AND(IF(Metadata!N970="",FALSE,IF(ISERROR(INT(Metadata!N970)),FALSE,INT(Metadata!N970)=Metadata!N970)),Metadata!N970&gt;0))</f>
        <v>0</v>
      </c>
      <c r="AP970">
        <f>OR(AND(IF(Metadata!O970="",FALSE,TRUE),OR(exact(Metadata!O970,"not collected"),exact(Metadata!O970,"not provided"))),AND(IF(Metadata!O970="",FALSE,ISNUMBER(VALUE(Metadata!O970))),Metadata!O970&gt;0))</f>
        <v>0</v>
      </c>
      <c r="AQ970">
        <f>AND(IF(Metadata!P970="",FALSE,TRUE),exact(Metadata!P970,"kg"))</f>
        <v>0</v>
      </c>
      <c r="AR970">
        <f>OR(AND(IF(Metadata!Q970="",FALSE,TRUE),OR(exact(Metadata!Q970,"not applicable"),exact(Metadata!Q970,"not collected"),exact(Metadata!Q970,"not provided"),exact(Metadata!Q970,"restricted access"))),IF(Metadata!Q970="",FALSE,IF(ISERROR(INT(Metadata!Q970)),FALSE,INT(Metadata!Q970)=Metadata!Q970)))</f>
        <v>0</v>
      </c>
      <c r="AS970">
        <f>AND(IF(Metadata!R970="",FALSE,TRUE),exact(Metadata!R970,"Not applicable"))</f>
        <v>0</v>
      </c>
    </row>
    <row r="971" spans="1:45">
      <c r="A971" s="4">
        <f>IF(B971=" "," ",HYPERLINK(CONCATENATE("#metadata!",ADDRESS(INDEX($X$2:$X$1001,MATCH(ROWS($V$2:V971),$V$2:$V$1001,0),0),2)),INDEX($AA$2:$AA$1001,MATCH(ROWS($V$2:V971),$V$2:$V$1001,0),0)))</f>
        <v>0</v>
      </c>
      <c r="B971" s="5">
        <f>IF(OR(INDEX($W$2:$W$1001,MATCH(ROWS($V$2:V971),$V$2:$V$1001,0),1)&gt;=100000,INDEX($AC$1005:$AS$1005,1,MATCH(COLUMNS($AC$1006:AC1006),$AC$1006:$AS$1006,0))&gt;=100000), " ",IF(INDEX($AC$2:$AS$1001,MATCH(ROWS($V$2:V971),$V$2:$V$1001,0),MATCH(COLUMNS($AC$1006:AC1006),$AC$1006:$AS$1006,0)), HYPERLINK("#",""), HYPERLINK(CONCATENATE("#Metadata!", ADDRESS(INDEX($X$2:$X$1001,MATCH(ROWS($V$2:V971),$V$2:$V$1001,0),0), INDEX($AC$1004:$AS$1004,1,MATCH(COLUMNS($AC$1006:AC1006),$AC$1006:$AS$1006,0)))),"Fix")))</f>
        <v>0</v>
      </c>
      <c r="C971" s="5">
        <f>IF(OR(INDEX($W$2:$W$1001,MATCH(ROWS($V$2:V971),$V$2:$V$1001,0),1)&gt;=100000,INDEX($AC$1005:$AS$1005,1,MATCH(COLUMNS($AC$1006:AD1006),$AC$1006:$AS$1006,0))&gt;=100000), " ",IF(INDEX($AC$2:$AS$1001,MATCH(ROWS($V$2:V971),$V$2:$V$1001,0),MATCH(COLUMNS($AC$1006:AD1006),$AC$1006:$AS$1006,0)), HYPERLINK("#",""), HYPERLINK(CONCATENATE("#Metadata!", ADDRESS(INDEX($X$2:$X$1001,MATCH(ROWS($V$2:V971),$V$2:$V$1001,0),0), INDEX($AC$1004:$AS$1004,1,MATCH(COLUMNS($AC$1006:AD1006),$AC$1006:$AS$1006,0)))),"Fix")))</f>
        <v>0</v>
      </c>
      <c r="D971" s="5">
        <f>IF(OR(INDEX($W$2:$W$1001,MATCH(ROWS($V$2:V971),$V$2:$V$1001,0),1)&gt;=100000,INDEX($AC$1005:$AS$1005,1,MATCH(COLUMNS($AC$1006:AE1006),$AC$1006:$AS$1006,0))&gt;=100000), " ",IF(INDEX($AC$2:$AS$1001,MATCH(ROWS($V$2:V971),$V$2:$V$1001,0),MATCH(COLUMNS($AC$1006:AE1006),$AC$1006:$AS$1006,0)), HYPERLINK("#",""), HYPERLINK(CONCATENATE("#Metadata!", ADDRESS(INDEX($X$2:$X$1001,MATCH(ROWS($V$2:V971),$V$2:$V$1001,0),0), INDEX($AC$1004:$AS$1004,1,MATCH(COLUMNS($AC$1006:AE1006),$AC$1006:$AS$1006,0)))),"Fix")))</f>
        <v>0</v>
      </c>
      <c r="E971" s="5">
        <f>IF(OR(INDEX($W$2:$W$1001,MATCH(ROWS($V$2:V971),$V$2:$V$1001,0),1)&gt;=100000,INDEX($AC$1005:$AS$1005,1,MATCH(COLUMNS($AC$1006:AF1006),$AC$1006:$AS$1006,0))&gt;=100000), " ",IF(INDEX($AC$2:$AS$1001,MATCH(ROWS($V$2:V971),$V$2:$V$1001,0),MATCH(COLUMNS($AC$1006:AF1006),$AC$1006:$AS$1006,0)), HYPERLINK("#",""), HYPERLINK(CONCATENATE("#Metadata!", ADDRESS(INDEX($X$2:$X$1001,MATCH(ROWS($V$2:V971),$V$2:$V$1001,0),0), INDEX($AC$1004:$AS$1004,1,MATCH(COLUMNS($AC$1006:AF1006),$AC$1006:$AS$1006,0)))),"Fix")))</f>
        <v>0</v>
      </c>
      <c r="F971" s="5">
        <f>IF(OR(INDEX($W$2:$W$1001,MATCH(ROWS($V$2:V971),$V$2:$V$1001,0),1)&gt;=100000,INDEX($AC$1005:$AS$1005,1,MATCH(COLUMNS($AC$1006:AG1006),$AC$1006:$AS$1006,0))&gt;=100000), " ",IF(INDEX($AC$2:$AS$1001,MATCH(ROWS($V$2:V971),$V$2:$V$1001,0),MATCH(COLUMNS($AC$1006:AG1006),$AC$1006:$AS$1006,0)), HYPERLINK("#",""), HYPERLINK(CONCATENATE("#Metadata!", ADDRESS(INDEX($X$2:$X$1001,MATCH(ROWS($V$2:V971),$V$2:$V$1001,0),0), INDEX($AC$1004:$AS$1004,1,MATCH(COLUMNS($AC$1006:AG1006),$AC$1006:$AS$1006,0)))),"Fix")))</f>
        <v>0</v>
      </c>
      <c r="G971" s="5">
        <f>IF(OR(INDEX($W$2:$W$1001,MATCH(ROWS($V$2:V971),$V$2:$V$1001,0),1)&gt;=100000,INDEX($AC$1005:$AS$1005,1,MATCH(COLUMNS($AC$1006:AH1006),$AC$1006:$AS$1006,0))&gt;=100000), " ",IF(INDEX($AC$2:$AS$1001,MATCH(ROWS($V$2:V971),$V$2:$V$1001,0),MATCH(COLUMNS($AC$1006:AH1006),$AC$1006:$AS$1006,0)), HYPERLINK("#",""), HYPERLINK(CONCATENATE("#Metadata!", ADDRESS(INDEX($X$2:$X$1001,MATCH(ROWS($V$2:V971),$V$2:$V$1001,0),0), INDEX($AC$1004:$AS$1004,1,MATCH(COLUMNS($AC$1006:AH1006),$AC$1006:$AS$1006,0)))),"Fix")))</f>
        <v>0</v>
      </c>
      <c r="H971" s="5">
        <f>IF(OR(INDEX($W$2:$W$1001,MATCH(ROWS($V$2:V971),$V$2:$V$1001,0),1)&gt;=100000,INDEX($AC$1005:$AS$1005,1,MATCH(COLUMNS($AC$1006:AI1006),$AC$1006:$AS$1006,0))&gt;=100000), " ",IF(INDEX($AC$2:$AS$1001,MATCH(ROWS($V$2:V971),$V$2:$V$1001,0),MATCH(COLUMNS($AC$1006:AI1006),$AC$1006:$AS$1006,0)), HYPERLINK("#",""), HYPERLINK(CONCATENATE("#Metadata!", ADDRESS(INDEX($X$2:$X$1001,MATCH(ROWS($V$2:V971),$V$2:$V$1001,0),0), INDEX($AC$1004:$AS$1004,1,MATCH(COLUMNS($AC$1006:AI1006),$AC$1006:$AS$1006,0)))),"Fix")))</f>
        <v>0</v>
      </c>
      <c r="I971" s="5">
        <f>IF(OR(INDEX($W$2:$W$1001,MATCH(ROWS($V$2:V971),$V$2:$V$1001,0),1)&gt;=100000,INDEX($AC$1005:$AS$1005,1,MATCH(COLUMNS($AC$1006:AJ1006),$AC$1006:$AS$1006,0))&gt;=100000), " ",IF(INDEX($AC$2:$AS$1001,MATCH(ROWS($V$2:V971),$V$2:$V$1001,0),MATCH(COLUMNS($AC$1006:AJ1006),$AC$1006:$AS$1006,0)), HYPERLINK("#",""), HYPERLINK(CONCATENATE("#Metadata!", ADDRESS(INDEX($X$2:$X$1001,MATCH(ROWS($V$2:V971),$V$2:$V$1001,0),0), INDEX($AC$1004:$AS$1004,1,MATCH(COLUMNS($AC$1006:AJ1006),$AC$1006:$AS$1006,0)))),"Fix")))</f>
        <v>0</v>
      </c>
      <c r="J971" s="5">
        <f>IF(OR(INDEX($W$2:$W$1001,MATCH(ROWS($V$2:V971),$V$2:$V$1001,0),1)&gt;=100000,INDEX($AC$1005:$AS$1005,1,MATCH(COLUMNS($AC$1006:AK1006),$AC$1006:$AS$1006,0))&gt;=100000), " ",IF(INDEX($AC$2:$AS$1001,MATCH(ROWS($V$2:V971),$V$2:$V$1001,0),MATCH(COLUMNS($AC$1006:AK1006),$AC$1006:$AS$1006,0)), HYPERLINK("#",""), HYPERLINK(CONCATENATE("#Metadata!", ADDRESS(INDEX($X$2:$X$1001,MATCH(ROWS($V$2:V971),$V$2:$V$1001,0),0), INDEX($AC$1004:$AS$1004,1,MATCH(COLUMNS($AC$1006:AK1006),$AC$1006:$AS$1006,0)))),"Fix")))</f>
        <v>0</v>
      </c>
      <c r="K971" s="5">
        <f>IF(OR(INDEX($W$2:$W$1001,MATCH(ROWS($V$2:V971),$V$2:$V$1001,0),1)&gt;=100000,INDEX($AC$1005:$AS$1005,1,MATCH(COLUMNS($AC$1006:AL1006),$AC$1006:$AS$1006,0))&gt;=100000), " ",IF(INDEX($AC$2:$AS$1001,MATCH(ROWS($V$2:V971),$V$2:$V$1001,0),MATCH(COLUMNS($AC$1006:AL1006),$AC$1006:$AS$1006,0)), HYPERLINK("#",""), HYPERLINK(CONCATENATE("#Metadata!", ADDRESS(INDEX($X$2:$X$1001,MATCH(ROWS($V$2:V971),$V$2:$V$1001,0),0), INDEX($AC$1004:$AS$1004,1,MATCH(COLUMNS($AC$1006:AL1006),$AC$1006:$AS$1006,0)))),"Fix")))</f>
        <v>0</v>
      </c>
      <c r="L971" s="5">
        <f>IF(OR(INDEX($W$2:$W$1001,MATCH(ROWS($V$2:V971),$V$2:$V$1001,0),1)&gt;=100000,INDEX($AC$1005:$AS$1005,1,MATCH(COLUMNS($AC$1006:AM1006),$AC$1006:$AS$1006,0))&gt;=100000), " ",IF(INDEX($AC$2:$AS$1001,MATCH(ROWS($V$2:V971),$V$2:$V$1001,0),MATCH(COLUMNS($AC$1006:AM1006),$AC$1006:$AS$1006,0)), HYPERLINK("#",""), HYPERLINK(CONCATENATE("#Metadata!", ADDRESS(INDEX($X$2:$X$1001,MATCH(ROWS($V$2:V971),$V$2:$V$1001,0),0), INDEX($AC$1004:$AS$1004,1,MATCH(COLUMNS($AC$1006:AM1006),$AC$1006:$AS$1006,0)))),"Fix")))</f>
        <v>0</v>
      </c>
      <c r="M971" s="5">
        <f>IF(OR(INDEX($W$2:$W$1001,MATCH(ROWS($V$2:V971),$V$2:$V$1001,0),1)&gt;=100000,INDEX($AC$1005:$AS$1005,1,MATCH(COLUMNS($AC$1006:AN1006),$AC$1006:$AS$1006,0))&gt;=100000), " ",IF(INDEX($AC$2:$AS$1001,MATCH(ROWS($V$2:V971),$V$2:$V$1001,0),MATCH(COLUMNS($AC$1006:AN1006),$AC$1006:$AS$1006,0)), HYPERLINK("#",""), HYPERLINK(CONCATENATE("#Metadata!", ADDRESS(INDEX($X$2:$X$1001,MATCH(ROWS($V$2:V971),$V$2:$V$1001,0),0), INDEX($AC$1004:$AS$1004,1,MATCH(COLUMNS($AC$1006:AN1006),$AC$1006:$AS$1006,0)))),"Fix")))</f>
        <v>0</v>
      </c>
      <c r="N971" s="5">
        <f>IF(OR(INDEX($W$2:$W$1001,MATCH(ROWS($V$2:V971),$V$2:$V$1001,0),1)&gt;=100000,INDEX($AC$1005:$AS$1005,1,MATCH(COLUMNS($AC$1006:AO1006),$AC$1006:$AS$1006,0))&gt;=100000), " ",IF(INDEX($AC$2:$AS$1001,MATCH(ROWS($V$2:V971),$V$2:$V$1001,0),MATCH(COLUMNS($AC$1006:AO1006),$AC$1006:$AS$1006,0)), HYPERLINK("#",""), HYPERLINK(CONCATENATE("#Metadata!", ADDRESS(INDEX($X$2:$X$1001,MATCH(ROWS($V$2:V971),$V$2:$V$1001,0),0), INDEX($AC$1004:$AS$1004,1,MATCH(COLUMNS($AC$1006:AO1006),$AC$1006:$AS$1006,0)))),"Fix")))</f>
        <v>0</v>
      </c>
      <c r="O971" s="5">
        <f>IF(OR(INDEX($W$2:$W$1001,MATCH(ROWS($V$2:V971),$V$2:$V$1001,0),1)&gt;=100000,INDEX($AC$1005:$AS$1005,1,MATCH(COLUMNS($AC$1006:AP1006),$AC$1006:$AS$1006,0))&gt;=100000), " ",IF(INDEX($AC$2:$AS$1001,MATCH(ROWS($V$2:V971),$V$2:$V$1001,0),MATCH(COLUMNS($AC$1006:AP1006),$AC$1006:$AS$1006,0)), HYPERLINK("#",""), HYPERLINK(CONCATENATE("#Metadata!", ADDRESS(INDEX($X$2:$X$1001,MATCH(ROWS($V$2:V971),$V$2:$V$1001,0),0), INDEX($AC$1004:$AS$1004,1,MATCH(COLUMNS($AC$1006:AP1006),$AC$1006:$AS$1006,0)))),"Fix")))</f>
        <v>0</v>
      </c>
      <c r="P971" s="5">
        <f>IF(OR(INDEX($W$2:$W$1001,MATCH(ROWS($V$2:V971),$V$2:$V$1001,0),1)&gt;=100000,INDEX($AC$1005:$AS$1005,1,MATCH(COLUMNS($AC$1006:AQ1006),$AC$1006:$AS$1006,0))&gt;=100000), " ",IF(INDEX($AC$2:$AS$1001,MATCH(ROWS($V$2:V971),$V$2:$V$1001,0),MATCH(COLUMNS($AC$1006:AQ1006),$AC$1006:$AS$1006,0)), HYPERLINK("#",""), HYPERLINK(CONCATENATE("#Metadata!", ADDRESS(INDEX($X$2:$X$1001,MATCH(ROWS($V$2:V971),$V$2:$V$1001,0),0), INDEX($AC$1004:$AS$1004,1,MATCH(COLUMNS($AC$1006:AQ1006),$AC$1006:$AS$1006,0)))),"Fix")))</f>
        <v>0</v>
      </c>
      <c r="Q971" s="5">
        <f>IF(OR(INDEX($W$2:$W$1001,MATCH(ROWS($V$2:V971),$V$2:$V$1001,0),1)&gt;=100000,INDEX($AC$1005:$AS$1005,1,MATCH(COLUMNS($AC$1006:AR1006),$AC$1006:$AS$1006,0))&gt;=100000), " ",IF(INDEX($AC$2:$AS$1001,MATCH(ROWS($V$2:V971),$V$2:$V$1001,0),MATCH(COLUMNS($AC$1006:AR1006),$AC$1006:$AS$1006,0)), HYPERLINK("#",""), HYPERLINK(CONCATENATE("#Metadata!", ADDRESS(INDEX($X$2:$X$1001,MATCH(ROWS($V$2:V971),$V$2:$V$1001,0),0), INDEX($AC$1004:$AS$1004,1,MATCH(COLUMNS($AC$1006:AR1006),$AC$1006:$AS$1006,0)))),"Fix")))</f>
        <v>0</v>
      </c>
      <c r="R971" s="5">
        <f>IF(OR(INDEX($W$2:$W$1001,MATCH(ROWS($V$2:V971),$V$2:$V$1001,0),1)&gt;=100000,INDEX($AC$1005:$AS$1005,1,MATCH(COLUMNS($AC$1006:AS1006),$AC$1006:$AS$1006,0))&gt;=100000), " ",IF(INDEX($AC$2:$AS$1001,MATCH(ROWS($V$2:V971),$V$2:$V$1001,0),MATCH(COLUMNS($AC$1006:AS1006),$AC$1006:$AS$1006,0)), HYPERLINK("#",""), HYPERLINK(CONCATENATE("#Metadata!", ADDRESS(INDEX($X$2:$X$1001,MATCH(ROWS($V$2:V971),$V$2:$V$1001,0),0), INDEX($AC$1004:$AS$1004,1,MATCH(COLUMNS($AC$1006:AS1006),$AC$1006:$AS$1006,0)))),"Fix")))</f>
        <v>0</v>
      </c>
      <c r="V971">
        <v>0</v>
      </c>
      <c r="W971">
        <v>0</v>
      </c>
      <c r="X971">
        <v>0</v>
      </c>
      <c r="Y971">
        <f>IF(Z971,TRUE,AND(AC971:AS971))</f>
        <v>0</v>
      </c>
      <c r="Z971">
        <f>COUNTBLANK(Metadata!B971:R971)=COLUMNS(Metadata!B971:R971)</f>
        <v>0</v>
      </c>
      <c r="AA971">
        <v>0</v>
      </c>
      <c r="AC971">
        <f>AND(IF(Metadata!B971="",FALSE,TRUE),COUNTIF(Metadata!B:B, Metadata!B971) = 1,NOT(ISERROR(SUMPRODUCT(SEARCH(MID(Metadata!B971,ROW(INDIRECT("1:"&amp;LEN(Metadata!B971))), 1),"0123456789abcdefghijklmnopqrstuvwxyzABCDEFGHIJKLMNOPQRSTUVWXYZ.")))))</f>
        <v>0</v>
      </c>
      <c r="AD971">
        <f>AND(IF(Metadata!C971="",FALSE,TRUE),exact(Metadata!C971,"Host-associated"))</f>
        <v>0</v>
      </c>
      <c r="AE971">
        <f>AND(IF(Metadata!D971="",FALSE,TRUE),OR(exact(Metadata!D971,"Animal"),exact(Metadata!D971,"Fungus"),exact(Metadata!D971,"Plant")))</f>
        <v>0</v>
      </c>
      <c r="AF971">
        <f>AND(IF(Metadata!E971="",FALSE,TRUE),OR(exact(Metadata!E971,"Plant secretion"),exact(Metadata!E971,"Plant rhizosphere"),exact(Metadata!E971,"Plant surface"),exact(Metadata!E971,"Plant corpus"),exact(Metadata!E971,"Fungus surface"),exact(Metadata!E971,"Fungus corpus"),exact(Metadata!E971,"Animal surface"),exact(Metadata!E971,"Animal proximal gut"),exact(Metadata!E971,"Animal corpus"),exact(Metadata!E971,"Animal distal gut"),exact(Metadata!E971,"Animal secretion")))</f>
        <v>0</v>
      </c>
      <c r="AG971">
        <f>OR(AND(IF(Metadata!F971="",FALSE,TRUE),OR(exact(Metadata!F971,"not collected"),exact(Metadata!F971,"not provided"),exact(Metadata!F971,"restricted access"))),AND(IF(Metadata!F971="",FALSE,TRUE),OR(exact(Metadata!F971,"organism-associated habitat"),exact(Metadata!F971,"plant-associated habitat"),exact(Metadata!F971,"animal-associated habitat"),exact(Metadata!F971,"insecta-associated habitat"),exact(Metadata!F971,"mammalia-associated habitat"),exact(Metadata!F971,"human-associated habitat"),exact(Metadata!F971,"livestock-associated habitat"))))</f>
        <v>0</v>
      </c>
      <c r="AH971">
        <f>AND(IF(Metadata!G971="",FALSE,TRUE),exact(Metadata!G971,"host-associated"))</f>
        <v>0</v>
      </c>
      <c r="AI971">
        <f>OR(AND(IF(Metadata!H971="",FALSE,TRUE),OR(exact(Metadata!H971,"not collected"),exact(Metadata!H971,"not provided"))),AND(IF(Metadata!H971="",FALSE,ISNUMBER(VALUE(Metadata!H971))),Metadata!H971&gt;0))</f>
        <v>0</v>
      </c>
      <c r="AJ971">
        <f>AND(IF(Metadata!I971="",FALSE,TRUE),exact(Metadata!I971,"years"))</f>
        <v>0</v>
      </c>
      <c r="AK971">
        <f>IF(Metadata!J971="",FALSE,TRUE)</f>
        <v>0</v>
      </c>
      <c r="AL971">
        <f>OR(AND(IF(Metadata!K971="",FALSE,TRUE),OR(exact(Metadata!K971,"not collected"),exact(Metadata!K971,"not provided"))),AND(IF(Metadata!K971="",FALSE,ISNUMBER(VALUE(Metadata!K971))),Metadata!K971&gt;0))</f>
        <v>0</v>
      </c>
      <c r="AM971">
        <f>AND(IF(Metadata!L971="",FALSE,TRUE),exact(Metadata!L971,"cm"))</f>
        <v>0</v>
      </c>
      <c r="AN971">
        <f>IF(Metadata!M971="",FALSE,TRUE)</f>
        <v>0</v>
      </c>
      <c r="AO971">
        <f>OR(AND(IF(Metadata!N971="",FALSE,TRUE),OR(exact(Metadata!N971,"not applicable"),exact(Metadata!N971,"not collected"),exact(Metadata!N971,"not provided"))),AND(IF(Metadata!N971="",FALSE,IF(ISERROR(INT(Metadata!N971)),FALSE,INT(Metadata!N971)=Metadata!N971)),Metadata!N971&gt;0))</f>
        <v>0</v>
      </c>
      <c r="AP971">
        <f>OR(AND(IF(Metadata!O971="",FALSE,TRUE),OR(exact(Metadata!O971,"not collected"),exact(Metadata!O971,"not provided"))),AND(IF(Metadata!O971="",FALSE,ISNUMBER(VALUE(Metadata!O971))),Metadata!O971&gt;0))</f>
        <v>0</v>
      </c>
      <c r="AQ971">
        <f>AND(IF(Metadata!P971="",FALSE,TRUE),exact(Metadata!P971,"kg"))</f>
        <v>0</v>
      </c>
      <c r="AR971">
        <f>OR(AND(IF(Metadata!Q971="",FALSE,TRUE),OR(exact(Metadata!Q971,"not applicable"),exact(Metadata!Q971,"not collected"),exact(Metadata!Q971,"not provided"),exact(Metadata!Q971,"restricted access"))),IF(Metadata!Q971="",FALSE,IF(ISERROR(INT(Metadata!Q971)),FALSE,INT(Metadata!Q971)=Metadata!Q971)))</f>
        <v>0</v>
      </c>
      <c r="AS971">
        <f>AND(IF(Metadata!R971="",FALSE,TRUE),exact(Metadata!R971,"Not applicable"))</f>
        <v>0</v>
      </c>
    </row>
    <row r="972" spans="1:45">
      <c r="A972" s="4">
        <f>IF(B972=" "," ",HYPERLINK(CONCATENATE("#metadata!",ADDRESS(INDEX($X$2:$X$1001,MATCH(ROWS($V$2:V972),$V$2:$V$1001,0),0),2)),INDEX($AA$2:$AA$1001,MATCH(ROWS($V$2:V972),$V$2:$V$1001,0),0)))</f>
        <v>0</v>
      </c>
      <c r="B972" s="5">
        <f>IF(OR(INDEX($W$2:$W$1001,MATCH(ROWS($V$2:V972),$V$2:$V$1001,0),1)&gt;=100000,INDEX($AC$1005:$AS$1005,1,MATCH(COLUMNS($AC$1006:AC1006),$AC$1006:$AS$1006,0))&gt;=100000), " ",IF(INDEX($AC$2:$AS$1001,MATCH(ROWS($V$2:V972),$V$2:$V$1001,0),MATCH(COLUMNS($AC$1006:AC1006),$AC$1006:$AS$1006,0)), HYPERLINK("#",""), HYPERLINK(CONCATENATE("#Metadata!", ADDRESS(INDEX($X$2:$X$1001,MATCH(ROWS($V$2:V972),$V$2:$V$1001,0),0), INDEX($AC$1004:$AS$1004,1,MATCH(COLUMNS($AC$1006:AC1006),$AC$1006:$AS$1006,0)))),"Fix")))</f>
        <v>0</v>
      </c>
      <c r="C972" s="5">
        <f>IF(OR(INDEX($W$2:$W$1001,MATCH(ROWS($V$2:V972),$V$2:$V$1001,0),1)&gt;=100000,INDEX($AC$1005:$AS$1005,1,MATCH(COLUMNS($AC$1006:AD1006),$AC$1006:$AS$1006,0))&gt;=100000), " ",IF(INDEX($AC$2:$AS$1001,MATCH(ROWS($V$2:V972),$V$2:$V$1001,0),MATCH(COLUMNS($AC$1006:AD1006),$AC$1006:$AS$1006,0)), HYPERLINK("#",""), HYPERLINK(CONCATENATE("#Metadata!", ADDRESS(INDEX($X$2:$X$1001,MATCH(ROWS($V$2:V972),$V$2:$V$1001,0),0), INDEX($AC$1004:$AS$1004,1,MATCH(COLUMNS($AC$1006:AD1006),$AC$1006:$AS$1006,0)))),"Fix")))</f>
        <v>0</v>
      </c>
      <c r="D972" s="5">
        <f>IF(OR(INDEX($W$2:$W$1001,MATCH(ROWS($V$2:V972),$V$2:$V$1001,0),1)&gt;=100000,INDEX($AC$1005:$AS$1005,1,MATCH(COLUMNS($AC$1006:AE1006),$AC$1006:$AS$1006,0))&gt;=100000), " ",IF(INDEX($AC$2:$AS$1001,MATCH(ROWS($V$2:V972),$V$2:$V$1001,0),MATCH(COLUMNS($AC$1006:AE1006),$AC$1006:$AS$1006,0)), HYPERLINK("#",""), HYPERLINK(CONCATENATE("#Metadata!", ADDRESS(INDEX($X$2:$X$1001,MATCH(ROWS($V$2:V972),$V$2:$V$1001,0),0), INDEX($AC$1004:$AS$1004,1,MATCH(COLUMNS($AC$1006:AE1006),$AC$1006:$AS$1006,0)))),"Fix")))</f>
        <v>0</v>
      </c>
      <c r="E972" s="5">
        <f>IF(OR(INDEX($W$2:$W$1001,MATCH(ROWS($V$2:V972),$V$2:$V$1001,0),1)&gt;=100000,INDEX($AC$1005:$AS$1005,1,MATCH(COLUMNS($AC$1006:AF1006),$AC$1006:$AS$1006,0))&gt;=100000), " ",IF(INDEX($AC$2:$AS$1001,MATCH(ROWS($V$2:V972),$V$2:$V$1001,0),MATCH(COLUMNS($AC$1006:AF1006),$AC$1006:$AS$1006,0)), HYPERLINK("#",""), HYPERLINK(CONCATENATE("#Metadata!", ADDRESS(INDEX($X$2:$X$1001,MATCH(ROWS($V$2:V972),$V$2:$V$1001,0),0), INDEX($AC$1004:$AS$1004,1,MATCH(COLUMNS($AC$1006:AF1006),$AC$1006:$AS$1006,0)))),"Fix")))</f>
        <v>0</v>
      </c>
      <c r="F972" s="5">
        <f>IF(OR(INDEX($W$2:$W$1001,MATCH(ROWS($V$2:V972),$V$2:$V$1001,0),1)&gt;=100000,INDEX($AC$1005:$AS$1005,1,MATCH(COLUMNS($AC$1006:AG1006),$AC$1006:$AS$1006,0))&gt;=100000), " ",IF(INDEX($AC$2:$AS$1001,MATCH(ROWS($V$2:V972),$V$2:$V$1001,0),MATCH(COLUMNS($AC$1006:AG1006),$AC$1006:$AS$1006,0)), HYPERLINK("#",""), HYPERLINK(CONCATENATE("#Metadata!", ADDRESS(INDEX($X$2:$X$1001,MATCH(ROWS($V$2:V972),$V$2:$V$1001,0),0), INDEX($AC$1004:$AS$1004,1,MATCH(COLUMNS($AC$1006:AG1006),$AC$1006:$AS$1006,0)))),"Fix")))</f>
        <v>0</v>
      </c>
      <c r="G972" s="5">
        <f>IF(OR(INDEX($W$2:$W$1001,MATCH(ROWS($V$2:V972),$V$2:$V$1001,0),1)&gt;=100000,INDEX($AC$1005:$AS$1005,1,MATCH(COLUMNS($AC$1006:AH1006),$AC$1006:$AS$1006,0))&gt;=100000), " ",IF(INDEX($AC$2:$AS$1001,MATCH(ROWS($V$2:V972),$V$2:$V$1001,0),MATCH(COLUMNS($AC$1006:AH1006),$AC$1006:$AS$1006,0)), HYPERLINK("#",""), HYPERLINK(CONCATENATE("#Metadata!", ADDRESS(INDEX($X$2:$X$1001,MATCH(ROWS($V$2:V972),$V$2:$V$1001,0),0), INDEX($AC$1004:$AS$1004,1,MATCH(COLUMNS($AC$1006:AH1006),$AC$1006:$AS$1006,0)))),"Fix")))</f>
        <v>0</v>
      </c>
      <c r="H972" s="5">
        <f>IF(OR(INDEX($W$2:$W$1001,MATCH(ROWS($V$2:V972),$V$2:$V$1001,0),1)&gt;=100000,INDEX($AC$1005:$AS$1005,1,MATCH(COLUMNS($AC$1006:AI1006),$AC$1006:$AS$1006,0))&gt;=100000), " ",IF(INDEX($AC$2:$AS$1001,MATCH(ROWS($V$2:V972),$V$2:$V$1001,0),MATCH(COLUMNS($AC$1006:AI1006),$AC$1006:$AS$1006,0)), HYPERLINK("#",""), HYPERLINK(CONCATENATE("#Metadata!", ADDRESS(INDEX($X$2:$X$1001,MATCH(ROWS($V$2:V972),$V$2:$V$1001,0),0), INDEX($AC$1004:$AS$1004,1,MATCH(COLUMNS($AC$1006:AI1006),$AC$1006:$AS$1006,0)))),"Fix")))</f>
        <v>0</v>
      </c>
      <c r="I972" s="5">
        <f>IF(OR(INDEX($W$2:$W$1001,MATCH(ROWS($V$2:V972),$V$2:$V$1001,0),1)&gt;=100000,INDEX($AC$1005:$AS$1005,1,MATCH(COLUMNS($AC$1006:AJ1006),$AC$1006:$AS$1006,0))&gt;=100000), " ",IF(INDEX($AC$2:$AS$1001,MATCH(ROWS($V$2:V972),$V$2:$V$1001,0),MATCH(COLUMNS($AC$1006:AJ1006),$AC$1006:$AS$1006,0)), HYPERLINK("#",""), HYPERLINK(CONCATENATE("#Metadata!", ADDRESS(INDEX($X$2:$X$1001,MATCH(ROWS($V$2:V972),$V$2:$V$1001,0),0), INDEX($AC$1004:$AS$1004,1,MATCH(COLUMNS($AC$1006:AJ1006),$AC$1006:$AS$1006,0)))),"Fix")))</f>
        <v>0</v>
      </c>
      <c r="J972" s="5">
        <f>IF(OR(INDEX($W$2:$W$1001,MATCH(ROWS($V$2:V972),$V$2:$V$1001,0),1)&gt;=100000,INDEX($AC$1005:$AS$1005,1,MATCH(COLUMNS($AC$1006:AK1006),$AC$1006:$AS$1006,0))&gt;=100000), " ",IF(INDEX($AC$2:$AS$1001,MATCH(ROWS($V$2:V972),$V$2:$V$1001,0),MATCH(COLUMNS($AC$1006:AK1006),$AC$1006:$AS$1006,0)), HYPERLINK("#",""), HYPERLINK(CONCATENATE("#Metadata!", ADDRESS(INDEX($X$2:$X$1001,MATCH(ROWS($V$2:V972),$V$2:$V$1001,0),0), INDEX($AC$1004:$AS$1004,1,MATCH(COLUMNS($AC$1006:AK1006),$AC$1006:$AS$1006,0)))),"Fix")))</f>
        <v>0</v>
      </c>
      <c r="K972" s="5">
        <f>IF(OR(INDEX($W$2:$W$1001,MATCH(ROWS($V$2:V972),$V$2:$V$1001,0),1)&gt;=100000,INDEX($AC$1005:$AS$1005,1,MATCH(COLUMNS($AC$1006:AL1006),$AC$1006:$AS$1006,0))&gt;=100000), " ",IF(INDEX($AC$2:$AS$1001,MATCH(ROWS($V$2:V972),$V$2:$V$1001,0),MATCH(COLUMNS($AC$1006:AL1006),$AC$1006:$AS$1006,0)), HYPERLINK("#",""), HYPERLINK(CONCATENATE("#Metadata!", ADDRESS(INDEX($X$2:$X$1001,MATCH(ROWS($V$2:V972),$V$2:$V$1001,0),0), INDEX($AC$1004:$AS$1004,1,MATCH(COLUMNS($AC$1006:AL1006),$AC$1006:$AS$1006,0)))),"Fix")))</f>
        <v>0</v>
      </c>
      <c r="L972" s="5">
        <f>IF(OR(INDEX($W$2:$W$1001,MATCH(ROWS($V$2:V972),$V$2:$V$1001,0),1)&gt;=100000,INDEX($AC$1005:$AS$1005,1,MATCH(COLUMNS($AC$1006:AM1006),$AC$1006:$AS$1006,0))&gt;=100000), " ",IF(INDEX($AC$2:$AS$1001,MATCH(ROWS($V$2:V972),$V$2:$V$1001,0),MATCH(COLUMNS($AC$1006:AM1006),$AC$1006:$AS$1006,0)), HYPERLINK("#",""), HYPERLINK(CONCATENATE("#Metadata!", ADDRESS(INDEX($X$2:$X$1001,MATCH(ROWS($V$2:V972),$V$2:$V$1001,0),0), INDEX($AC$1004:$AS$1004,1,MATCH(COLUMNS($AC$1006:AM1006),$AC$1006:$AS$1006,0)))),"Fix")))</f>
        <v>0</v>
      </c>
      <c r="M972" s="5">
        <f>IF(OR(INDEX($W$2:$W$1001,MATCH(ROWS($V$2:V972),$V$2:$V$1001,0),1)&gt;=100000,INDEX($AC$1005:$AS$1005,1,MATCH(COLUMNS($AC$1006:AN1006),$AC$1006:$AS$1006,0))&gt;=100000), " ",IF(INDEX($AC$2:$AS$1001,MATCH(ROWS($V$2:V972),$V$2:$V$1001,0),MATCH(COLUMNS($AC$1006:AN1006),$AC$1006:$AS$1006,0)), HYPERLINK("#",""), HYPERLINK(CONCATENATE("#Metadata!", ADDRESS(INDEX($X$2:$X$1001,MATCH(ROWS($V$2:V972),$V$2:$V$1001,0),0), INDEX($AC$1004:$AS$1004,1,MATCH(COLUMNS($AC$1006:AN1006),$AC$1006:$AS$1006,0)))),"Fix")))</f>
        <v>0</v>
      </c>
      <c r="N972" s="5">
        <f>IF(OR(INDEX($W$2:$W$1001,MATCH(ROWS($V$2:V972),$V$2:$V$1001,0),1)&gt;=100000,INDEX($AC$1005:$AS$1005,1,MATCH(COLUMNS($AC$1006:AO1006),$AC$1006:$AS$1006,0))&gt;=100000), " ",IF(INDEX($AC$2:$AS$1001,MATCH(ROWS($V$2:V972),$V$2:$V$1001,0),MATCH(COLUMNS($AC$1006:AO1006),$AC$1006:$AS$1006,0)), HYPERLINK("#",""), HYPERLINK(CONCATENATE("#Metadata!", ADDRESS(INDEX($X$2:$X$1001,MATCH(ROWS($V$2:V972),$V$2:$V$1001,0),0), INDEX($AC$1004:$AS$1004,1,MATCH(COLUMNS($AC$1006:AO1006),$AC$1006:$AS$1006,0)))),"Fix")))</f>
        <v>0</v>
      </c>
      <c r="O972" s="5">
        <f>IF(OR(INDEX($W$2:$W$1001,MATCH(ROWS($V$2:V972),$V$2:$V$1001,0),1)&gt;=100000,INDEX($AC$1005:$AS$1005,1,MATCH(COLUMNS($AC$1006:AP1006),$AC$1006:$AS$1006,0))&gt;=100000), " ",IF(INDEX($AC$2:$AS$1001,MATCH(ROWS($V$2:V972),$V$2:$V$1001,0),MATCH(COLUMNS($AC$1006:AP1006),$AC$1006:$AS$1006,0)), HYPERLINK("#",""), HYPERLINK(CONCATENATE("#Metadata!", ADDRESS(INDEX($X$2:$X$1001,MATCH(ROWS($V$2:V972),$V$2:$V$1001,0),0), INDEX($AC$1004:$AS$1004,1,MATCH(COLUMNS($AC$1006:AP1006),$AC$1006:$AS$1006,0)))),"Fix")))</f>
        <v>0</v>
      </c>
      <c r="P972" s="5">
        <f>IF(OR(INDEX($W$2:$W$1001,MATCH(ROWS($V$2:V972),$V$2:$V$1001,0),1)&gt;=100000,INDEX($AC$1005:$AS$1005,1,MATCH(COLUMNS($AC$1006:AQ1006),$AC$1006:$AS$1006,0))&gt;=100000), " ",IF(INDEX($AC$2:$AS$1001,MATCH(ROWS($V$2:V972),$V$2:$V$1001,0),MATCH(COLUMNS($AC$1006:AQ1006),$AC$1006:$AS$1006,0)), HYPERLINK("#",""), HYPERLINK(CONCATENATE("#Metadata!", ADDRESS(INDEX($X$2:$X$1001,MATCH(ROWS($V$2:V972),$V$2:$V$1001,0),0), INDEX($AC$1004:$AS$1004,1,MATCH(COLUMNS($AC$1006:AQ1006),$AC$1006:$AS$1006,0)))),"Fix")))</f>
        <v>0</v>
      </c>
      <c r="Q972" s="5">
        <f>IF(OR(INDEX($W$2:$W$1001,MATCH(ROWS($V$2:V972),$V$2:$V$1001,0),1)&gt;=100000,INDEX($AC$1005:$AS$1005,1,MATCH(COLUMNS($AC$1006:AR1006),$AC$1006:$AS$1006,0))&gt;=100000), " ",IF(INDEX($AC$2:$AS$1001,MATCH(ROWS($V$2:V972),$V$2:$V$1001,0),MATCH(COLUMNS($AC$1006:AR1006),$AC$1006:$AS$1006,0)), HYPERLINK("#",""), HYPERLINK(CONCATENATE("#Metadata!", ADDRESS(INDEX($X$2:$X$1001,MATCH(ROWS($V$2:V972),$V$2:$V$1001,0),0), INDEX($AC$1004:$AS$1004,1,MATCH(COLUMNS($AC$1006:AR1006),$AC$1006:$AS$1006,0)))),"Fix")))</f>
        <v>0</v>
      </c>
      <c r="R972" s="5">
        <f>IF(OR(INDEX($W$2:$W$1001,MATCH(ROWS($V$2:V972),$V$2:$V$1001,0),1)&gt;=100000,INDEX($AC$1005:$AS$1005,1,MATCH(COLUMNS($AC$1006:AS1006),$AC$1006:$AS$1006,0))&gt;=100000), " ",IF(INDEX($AC$2:$AS$1001,MATCH(ROWS($V$2:V972),$V$2:$V$1001,0),MATCH(COLUMNS($AC$1006:AS1006),$AC$1006:$AS$1006,0)), HYPERLINK("#",""), HYPERLINK(CONCATENATE("#Metadata!", ADDRESS(INDEX($X$2:$X$1001,MATCH(ROWS($V$2:V972),$V$2:$V$1001,0),0), INDEX($AC$1004:$AS$1004,1,MATCH(COLUMNS($AC$1006:AS1006),$AC$1006:$AS$1006,0)))),"Fix")))</f>
        <v>0</v>
      </c>
      <c r="V972">
        <v>0</v>
      </c>
      <c r="W972">
        <v>0</v>
      </c>
      <c r="X972">
        <v>0</v>
      </c>
      <c r="Y972">
        <f>IF(Z972,TRUE,AND(AC972:AS972))</f>
        <v>0</v>
      </c>
      <c r="Z972">
        <f>COUNTBLANK(Metadata!B972:R972)=COLUMNS(Metadata!B972:R972)</f>
        <v>0</v>
      </c>
      <c r="AA972">
        <v>0</v>
      </c>
      <c r="AC972">
        <f>AND(IF(Metadata!B972="",FALSE,TRUE),COUNTIF(Metadata!B:B, Metadata!B972) = 1,NOT(ISERROR(SUMPRODUCT(SEARCH(MID(Metadata!B972,ROW(INDIRECT("1:"&amp;LEN(Metadata!B972))), 1),"0123456789abcdefghijklmnopqrstuvwxyzABCDEFGHIJKLMNOPQRSTUVWXYZ.")))))</f>
        <v>0</v>
      </c>
      <c r="AD972">
        <f>AND(IF(Metadata!C972="",FALSE,TRUE),exact(Metadata!C972,"Host-associated"))</f>
        <v>0</v>
      </c>
      <c r="AE972">
        <f>AND(IF(Metadata!D972="",FALSE,TRUE),OR(exact(Metadata!D972,"Animal"),exact(Metadata!D972,"Fungus"),exact(Metadata!D972,"Plant")))</f>
        <v>0</v>
      </c>
      <c r="AF972">
        <f>AND(IF(Metadata!E972="",FALSE,TRUE),OR(exact(Metadata!E972,"Plant secretion"),exact(Metadata!E972,"Plant rhizosphere"),exact(Metadata!E972,"Plant surface"),exact(Metadata!E972,"Plant corpus"),exact(Metadata!E972,"Fungus surface"),exact(Metadata!E972,"Fungus corpus"),exact(Metadata!E972,"Animal surface"),exact(Metadata!E972,"Animal proximal gut"),exact(Metadata!E972,"Animal corpus"),exact(Metadata!E972,"Animal distal gut"),exact(Metadata!E972,"Animal secretion")))</f>
        <v>0</v>
      </c>
      <c r="AG972">
        <f>OR(AND(IF(Metadata!F972="",FALSE,TRUE),OR(exact(Metadata!F972,"not collected"),exact(Metadata!F972,"not provided"),exact(Metadata!F972,"restricted access"))),AND(IF(Metadata!F972="",FALSE,TRUE),OR(exact(Metadata!F972,"organism-associated habitat"),exact(Metadata!F972,"plant-associated habitat"),exact(Metadata!F972,"animal-associated habitat"),exact(Metadata!F972,"insecta-associated habitat"),exact(Metadata!F972,"mammalia-associated habitat"),exact(Metadata!F972,"human-associated habitat"),exact(Metadata!F972,"livestock-associated habitat"))))</f>
        <v>0</v>
      </c>
      <c r="AH972">
        <f>AND(IF(Metadata!G972="",FALSE,TRUE),exact(Metadata!G972,"host-associated"))</f>
        <v>0</v>
      </c>
      <c r="AI972">
        <f>OR(AND(IF(Metadata!H972="",FALSE,TRUE),OR(exact(Metadata!H972,"not collected"),exact(Metadata!H972,"not provided"))),AND(IF(Metadata!H972="",FALSE,ISNUMBER(VALUE(Metadata!H972))),Metadata!H972&gt;0))</f>
        <v>0</v>
      </c>
      <c r="AJ972">
        <f>AND(IF(Metadata!I972="",FALSE,TRUE),exact(Metadata!I972,"years"))</f>
        <v>0</v>
      </c>
      <c r="AK972">
        <f>IF(Metadata!J972="",FALSE,TRUE)</f>
        <v>0</v>
      </c>
      <c r="AL972">
        <f>OR(AND(IF(Metadata!K972="",FALSE,TRUE),OR(exact(Metadata!K972,"not collected"),exact(Metadata!K972,"not provided"))),AND(IF(Metadata!K972="",FALSE,ISNUMBER(VALUE(Metadata!K972))),Metadata!K972&gt;0))</f>
        <v>0</v>
      </c>
      <c r="AM972">
        <f>AND(IF(Metadata!L972="",FALSE,TRUE),exact(Metadata!L972,"cm"))</f>
        <v>0</v>
      </c>
      <c r="AN972">
        <f>IF(Metadata!M972="",FALSE,TRUE)</f>
        <v>0</v>
      </c>
      <c r="AO972">
        <f>OR(AND(IF(Metadata!N972="",FALSE,TRUE),OR(exact(Metadata!N972,"not applicable"),exact(Metadata!N972,"not collected"),exact(Metadata!N972,"not provided"))),AND(IF(Metadata!N972="",FALSE,IF(ISERROR(INT(Metadata!N972)),FALSE,INT(Metadata!N972)=Metadata!N972)),Metadata!N972&gt;0))</f>
        <v>0</v>
      </c>
      <c r="AP972">
        <f>OR(AND(IF(Metadata!O972="",FALSE,TRUE),OR(exact(Metadata!O972,"not collected"),exact(Metadata!O972,"not provided"))),AND(IF(Metadata!O972="",FALSE,ISNUMBER(VALUE(Metadata!O972))),Metadata!O972&gt;0))</f>
        <v>0</v>
      </c>
      <c r="AQ972">
        <f>AND(IF(Metadata!P972="",FALSE,TRUE),exact(Metadata!P972,"kg"))</f>
        <v>0</v>
      </c>
      <c r="AR972">
        <f>OR(AND(IF(Metadata!Q972="",FALSE,TRUE),OR(exact(Metadata!Q972,"not applicable"),exact(Metadata!Q972,"not collected"),exact(Metadata!Q972,"not provided"),exact(Metadata!Q972,"restricted access"))),IF(Metadata!Q972="",FALSE,IF(ISERROR(INT(Metadata!Q972)),FALSE,INT(Metadata!Q972)=Metadata!Q972)))</f>
        <v>0</v>
      </c>
      <c r="AS972">
        <f>AND(IF(Metadata!R972="",FALSE,TRUE),exact(Metadata!R972,"Not applicable"))</f>
        <v>0</v>
      </c>
    </row>
    <row r="973" spans="1:45">
      <c r="A973" s="4">
        <f>IF(B973=" "," ",HYPERLINK(CONCATENATE("#metadata!",ADDRESS(INDEX($X$2:$X$1001,MATCH(ROWS($V$2:V973),$V$2:$V$1001,0),0),2)),INDEX($AA$2:$AA$1001,MATCH(ROWS($V$2:V973),$V$2:$V$1001,0),0)))</f>
        <v>0</v>
      </c>
      <c r="B973" s="5">
        <f>IF(OR(INDEX($W$2:$W$1001,MATCH(ROWS($V$2:V973),$V$2:$V$1001,0),1)&gt;=100000,INDEX($AC$1005:$AS$1005,1,MATCH(COLUMNS($AC$1006:AC1006),$AC$1006:$AS$1006,0))&gt;=100000), " ",IF(INDEX($AC$2:$AS$1001,MATCH(ROWS($V$2:V973),$V$2:$V$1001,0),MATCH(COLUMNS($AC$1006:AC1006),$AC$1006:$AS$1006,0)), HYPERLINK("#",""), HYPERLINK(CONCATENATE("#Metadata!", ADDRESS(INDEX($X$2:$X$1001,MATCH(ROWS($V$2:V973),$V$2:$V$1001,0),0), INDEX($AC$1004:$AS$1004,1,MATCH(COLUMNS($AC$1006:AC1006),$AC$1006:$AS$1006,0)))),"Fix")))</f>
        <v>0</v>
      </c>
      <c r="C973" s="5">
        <f>IF(OR(INDEX($W$2:$W$1001,MATCH(ROWS($V$2:V973),$V$2:$V$1001,0),1)&gt;=100000,INDEX($AC$1005:$AS$1005,1,MATCH(COLUMNS($AC$1006:AD1006),$AC$1006:$AS$1006,0))&gt;=100000), " ",IF(INDEX($AC$2:$AS$1001,MATCH(ROWS($V$2:V973),$V$2:$V$1001,0),MATCH(COLUMNS($AC$1006:AD1006),$AC$1006:$AS$1006,0)), HYPERLINK("#",""), HYPERLINK(CONCATENATE("#Metadata!", ADDRESS(INDEX($X$2:$X$1001,MATCH(ROWS($V$2:V973),$V$2:$V$1001,0),0), INDEX($AC$1004:$AS$1004,1,MATCH(COLUMNS($AC$1006:AD1006),$AC$1006:$AS$1006,0)))),"Fix")))</f>
        <v>0</v>
      </c>
      <c r="D973" s="5">
        <f>IF(OR(INDEX($W$2:$W$1001,MATCH(ROWS($V$2:V973),$V$2:$V$1001,0),1)&gt;=100000,INDEX($AC$1005:$AS$1005,1,MATCH(COLUMNS($AC$1006:AE1006),$AC$1006:$AS$1006,0))&gt;=100000), " ",IF(INDEX($AC$2:$AS$1001,MATCH(ROWS($V$2:V973),$V$2:$V$1001,0),MATCH(COLUMNS($AC$1006:AE1006),$AC$1006:$AS$1006,0)), HYPERLINK("#",""), HYPERLINK(CONCATENATE("#Metadata!", ADDRESS(INDEX($X$2:$X$1001,MATCH(ROWS($V$2:V973),$V$2:$V$1001,0),0), INDEX($AC$1004:$AS$1004,1,MATCH(COLUMNS($AC$1006:AE1006),$AC$1006:$AS$1006,0)))),"Fix")))</f>
        <v>0</v>
      </c>
      <c r="E973" s="5">
        <f>IF(OR(INDEX($W$2:$W$1001,MATCH(ROWS($V$2:V973),$V$2:$V$1001,0),1)&gt;=100000,INDEX($AC$1005:$AS$1005,1,MATCH(COLUMNS($AC$1006:AF1006),$AC$1006:$AS$1006,0))&gt;=100000), " ",IF(INDEX($AC$2:$AS$1001,MATCH(ROWS($V$2:V973),$V$2:$V$1001,0),MATCH(COLUMNS($AC$1006:AF1006),$AC$1006:$AS$1006,0)), HYPERLINK("#",""), HYPERLINK(CONCATENATE("#Metadata!", ADDRESS(INDEX($X$2:$X$1001,MATCH(ROWS($V$2:V973),$V$2:$V$1001,0),0), INDEX($AC$1004:$AS$1004,1,MATCH(COLUMNS($AC$1006:AF1006),$AC$1006:$AS$1006,0)))),"Fix")))</f>
        <v>0</v>
      </c>
      <c r="F973" s="5">
        <f>IF(OR(INDEX($W$2:$W$1001,MATCH(ROWS($V$2:V973),$V$2:$V$1001,0),1)&gt;=100000,INDEX($AC$1005:$AS$1005,1,MATCH(COLUMNS($AC$1006:AG1006),$AC$1006:$AS$1006,0))&gt;=100000), " ",IF(INDEX($AC$2:$AS$1001,MATCH(ROWS($V$2:V973),$V$2:$V$1001,0),MATCH(COLUMNS($AC$1006:AG1006),$AC$1006:$AS$1006,0)), HYPERLINK("#",""), HYPERLINK(CONCATENATE("#Metadata!", ADDRESS(INDEX($X$2:$X$1001,MATCH(ROWS($V$2:V973),$V$2:$V$1001,0),0), INDEX($AC$1004:$AS$1004,1,MATCH(COLUMNS($AC$1006:AG1006),$AC$1006:$AS$1006,0)))),"Fix")))</f>
        <v>0</v>
      </c>
      <c r="G973" s="5">
        <f>IF(OR(INDEX($W$2:$W$1001,MATCH(ROWS($V$2:V973),$V$2:$V$1001,0),1)&gt;=100000,INDEX($AC$1005:$AS$1005,1,MATCH(COLUMNS($AC$1006:AH1006),$AC$1006:$AS$1006,0))&gt;=100000), " ",IF(INDEX($AC$2:$AS$1001,MATCH(ROWS($V$2:V973),$V$2:$V$1001,0),MATCH(COLUMNS($AC$1006:AH1006),$AC$1006:$AS$1006,0)), HYPERLINK("#",""), HYPERLINK(CONCATENATE("#Metadata!", ADDRESS(INDEX($X$2:$X$1001,MATCH(ROWS($V$2:V973),$V$2:$V$1001,0),0), INDEX($AC$1004:$AS$1004,1,MATCH(COLUMNS($AC$1006:AH1006),$AC$1006:$AS$1006,0)))),"Fix")))</f>
        <v>0</v>
      </c>
      <c r="H973" s="5">
        <f>IF(OR(INDEX($W$2:$W$1001,MATCH(ROWS($V$2:V973),$V$2:$V$1001,0),1)&gt;=100000,INDEX($AC$1005:$AS$1005,1,MATCH(COLUMNS($AC$1006:AI1006),$AC$1006:$AS$1006,0))&gt;=100000), " ",IF(INDEX($AC$2:$AS$1001,MATCH(ROWS($V$2:V973),$V$2:$V$1001,0),MATCH(COLUMNS($AC$1006:AI1006),$AC$1006:$AS$1006,0)), HYPERLINK("#",""), HYPERLINK(CONCATENATE("#Metadata!", ADDRESS(INDEX($X$2:$X$1001,MATCH(ROWS($V$2:V973),$V$2:$V$1001,0),0), INDEX($AC$1004:$AS$1004,1,MATCH(COLUMNS($AC$1006:AI1006),$AC$1006:$AS$1006,0)))),"Fix")))</f>
        <v>0</v>
      </c>
      <c r="I973" s="5">
        <f>IF(OR(INDEX($W$2:$W$1001,MATCH(ROWS($V$2:V973),$V$2:$V$1001,0),1)&gt;=100000,INDEX($AC$1005:$AS$1005,1,MATCH(COLUMNS($AC$1006:AJ1006),$AC$1006:$AS$1006,0))&gt;=100000), " ",IF(INDEX($AC$2:$AS$1001,MATCH(ROWS($V$2:V973),$V$2:$V$1001,0),MATCH(COLUMNS($AC$1006:AJ1006),$AC$1006:$AS$1006,0)), HYPERLINK("#",""), HYPERLINK(CONCATENATE("#Metadata!", ADDRESS(INDEX($X$2:$X$1001,MATCH(ROWS($V$2:V973),$V$2:$V$1001,0),0), INDEX($AC$1004:$AS$1004,1,MATCH(COLUMNS($AC$1006:AJ1006),$AC$1006:$AS$1006,0)))),"Fix")))</f>
        <v>0</v>
      </c>
      <c r="J973" s="5">
        <f>IF(OR(INDEX($W$2:$W$1001,MATCH(ROWS($V$2:V973),$V$2:$V$1001,0),1)&gt;=100000,INDEX($AC$1005:$AS$1005,1,MATCH(COLUMNS($AC$1006:AK1006),$AC$1006:$AS$1006,0))&gt;=100000), " ",IF(INDEX($AC$2:$AS$1001,MATCH(ROWS($V$2:V973),$V$2:$V$1001,0),MATCH(COLUMNS($AC$1006:AK1006),$AC$1006:$AS$1006,0)), HYPERLINK("#",""), HYPERLINK(CONCATENATE("#Metadata!", ADDRESS(INDEX($X$2:$X$1001,MATCH(ROWS($V$2:V973),$V$2:$V$1001,0),0), INDEX($AC$1004:$AS$1004,1,MATCH(COLUMNS($AC$1006:AK1006),$AC$1006:$AS$1006,0)))),"Fix")))</f>
        <v>0</v>
      </c>
      <c r="K973" s="5">
        <f>IF(OR(INDEX($W$2:$W$1001,MATCH(ROWS($V$2:V973),$V$2:$V$1001,0),1)&gt;=100000,INDEX($AC$1005:$AS$1005,1,MATCH(COLUMNS($AC$1006:AL1006),$AC$1006:$AS$1006,0))&gt;=100000), " ",IF(INDEX($AC$2:$AS$1001,MATCH(ROWS($V$2:V973),$V$2:$V$1001,0),MATCH(COLUMNS($AC$1006:AL1006),$AC$1006:$AS$1006,0)), HYPERLINK("#",""), HYPERLINK(CONCATENATE("#Metadata!", ADDRESS(INDEX($X$2:$X$1001,MATCH(ROWS($V$2:V973),$V$2:$V$1001,0),0), INDEX($AC$1004:$AS$1004,1,MATCH(COLUMNS($AC$1006:AL1006),$AC$1006:$AS$1006,0)))),"Fix")))</f>
        <v>0</v>
      </c>
      <c r="L973" s="5">
        <f>IF(OR(INDEX($W$2:$W$1001,MATCH(ROWS($V$2:V973),$V$2:$V$1001,0),1)&gt;=100000,INDEX($AC$1005:$AS$1005,1,MATCH(COLUMNS($AC$1006:AM1006),$AC$1006:$AS$1006,0))&gt;=100000), " ",IF(INDEX($AC$2:$AS$1001,MATCH(ROWS($V$2:V973),$V$2:$V$1001,0),MATCH(COLUMNS($AC$1006:AM1006),$AC$1006:$AS$1006,0)), HYPERLINK("#",""), HYPERLINK(CONCATENATE("#Metadata!", ADDRESS(INDEX($X$2:$X$1001,MATCH(ROWS($V$2:V973),$V$2:$V$1001,0),0), INDEX($AC$1004:$AS$1004,1,MATCH(COLUMNS($AC$1006:AM1006),$AC$1006:$AS$1006,0)))),"Fix")))</f>
        <v>0</v>
      </c>
      <c r="M973" s="5">
        <f>IF(OR(INDEX($W$2:$W$1001,MATCH(ROWS($V$2:V973),$V$2:$V$1001,0),1)&gt;=100000,INDEX($AC$1005:$AS$1005,1,MATCH(COLUMNS($AC$1006:AN1006),$AC$1006:$AS$1006,0))&gt;=100000), " ",IF(INDEX($AC$2:$AS$1001,MATCH(ROWS($V$2:V973),$V$2:$V$1001,0),MATCH(COLUMNS($AC$1006:AN1006),$AC$1006:$AS$1006,0)), HYPERLINK("#",""), HYPERLINK(CONCATENATE("#Metadata!", ADDRESS(INDEX($X$2:$X$1001,MATCH(ROWS($V$2:V973),$V$2:$V$1001,0),0), INDEX($AC$1004:$AS$1004,1,MATCH(COLUMNS($AC$1006:AN1006),$AC$1006:$AS$1006,0)))),"Fix")))</f>
        <v>0</v>
      </c>
      <c r="N973" s="5">
        <f>IF(OR(INDEX($W$2:$W$1001,MATCH(ROWS($V$2:V973),$V$2:$V$1001,0),1)&gt;=100000,INDEX($AC$1005:$AS$1005,1,MATCH(COLUMNS($AC$1006:AO1006),$AC$1006:$AS$1006,0))&gt;=100000), " ",IF(INDEX($AC$2:$AS$1001,MATCH(ROWS($V$2:V973),$V$2:$V$1001,0),MATCH(COLUMNS($AC$1006:AO1006),$AC$1006:$AS$1006,0)), HYPERLINK("#",""), HYPERLINK(CONCATENATE("#Metadata!", ADDRESS(INDEX($X$2:$X$1001,MATCH(ROWS($V$2:V973),$V$2:$V$1001,0),0), INDEX($AC$1004:$AS$1004,1,MATCH(COLUMNS($AC$1006:AO1006),$AC$1006:$AS$1006,0)))),"Fix")))</f>
        <v>0</v>
      </c>
      <c r="O973" s="5">
        <f>IF(OR(INDEX($W$2:$W$1001,MATCH(ROWS($V$2:V973),$V$2:$V$1001,0),1)&gt;=100000,INDEX($AC$1005:$AS$1005,1,MATCH(COLUMNS($AC$1006:AP1006),$AC$1006:$AS$1006,0))&gt;=100000), " ",IF(INDEX($AC$2:$AS$1001,MATCH(ROWS($V$2:V973),$V$2:$V$1001,0),MATCH(COLUMNS($AC$1006:AP1006),$AC$1006:$AS$1006,0)), HYPERLINK("#",""), HYPERLINK(CONCATENATE("#Metadata!", ADDRESS(INDEX($X$2:$X$1001,MATCH(ROWS($V$2:V973),$V$2:$V$1001,0),0), INDEX($AC$1004:$AS$1004,1,MATCH(COLUMNS($AC$1006:AP1006),$AC$1006:$AS$1006,0)))),"Fix")))</f>
        <v>0</v>
      </c>
      <c r="P973" s="5">
        <f>IF(OR(INDEX($W$2:$W$1001,MATCH(ROWS($V$2:V973),$V$2:$V$1001,0),1)&gt;=100000,INDEX($AC$1005:$AS$1005,1,MATCH(COLUMNS($AC$1006:AQ1006),$AC$1006:$AS$1006,0))&gt;=100000), " ",IF(INDEX($AC$2:$AS$1001,MATCH(ROWS($V$2:V973),$V$2:$V$1001,0),MATCH(COLUMNS($AC$1006:AQ1006),$AC$1006:$AS$1006,0)), HYPERLINK("#",""), HYPERLINK(CONCATENATE("#Metadata!", ADDRESS(INDEX($X$2:$X$1001,MATCH(ROWS($V$2:V973),$V$2:$V$1001,0),0), INDEX($AC$1004:$AS$1004,1,MATCH(COLUMNS($AC$1006:AQ1006),$AC$1006:$AS$1006,0)))),"Fix")))</f>
        <v>0</v>
      </c>
      <c r="Q973" s="5">
        <f>IF(OR(INDEX($W$2:$W$1001,MATCH(ROWS($V$2:V973),$V$2:$V$1001,0),1)&gt;=100000,INDEX($AC$1005:$AS$1005,1,MATCH(COLUMNS($AC$1006:AR1006),$AC$1006:$AS$1006,0))&gt;=100000), " ",IF(INDEX($AC$2:$AS$1001,MATCH(ROWS($V$2:V973),$V$2:$V$1001,0),MATCH(COLUMNS($AC$1006:AR1006),$AC$1006:$AS$1006,0)), HYPERLINK("#",""), HYPERLINK(CONCATENATE("#Metadata!", ADDRESS(INDEX($X$2:$X$1001,MATCH(ROWS($V$2:V973),$V$2:$V$1001,0),0), INDEX($AC$1004:$AS$1004,1,MATCH(COLUMNS($AC$1006:AR1006),$AC$1006:$AS$1006,0)))),"Fix")))</f>
        <v>0</v>
      </c>
      <c r="R973" s="5">
        <f>IF(OR(INDEX($W$2:$W$1001,MATCH(ROWS($V$2:V973),$V$2:$V$1001,0),1)&gt;=100000,INDEX($AC$1005:$AS$1005,1,MATCH(COLUMNS($AC$1006:AS1006),$AC$1006:$AS$1006,0))&gt;=100000), " ",IF(INDEX($AC$2:$AS$1001,MATCH(ROWS($V$2:V973),$V$2:$V$1001,0),MATCH(COLUMNS($AC$1006:AS1006),$AC$1006:$AS$1006,0)), HYPERLINK("#",""), HYPERLINK(CONCATENATE("#Metadata!", ADDRESS(INDEX($X$2:$X$1001,MATCH(ROWS($V$2:V973),$V$2:$V$1001,0),0), INDEX($AC$1004:$AS$1004,1,MATCH(COLUMNS($AC$1006:AS1006),$AC$1006:$AS$1006,0)))),"Fix")))</f>
        <v>0</v>
      </c>
      <c r="V973">
        <v>0</v>
      </c>
      <c r="W973">
        <v>0</v>
      </c>
      <c r="X973">
        <v>0</v>
      </c>
      <c r="Y973">
        <f>IF(Z973,TRUE,AND(AC973:AS973))</f>
        <v>0</v>
      </c>
      <c r="Z973">
        <f>COUNTBLANK(Metadata!B973:R973)=COLUMNS(Metadata!B973:R973)</f>
        <v>0</v>
      </c>
      <c r="AA973">
        <v>0</v>
      </c>
      <c r="AC973">
        <f>AND(IF(Metadata!B973="",FALSE,TRUE),COUNTIF(Metadata!B:B, Metadata!B973) = 1,NOT(ISERROR(SUMPRODUCT(SEARCH(MID(Metadata!B973,ROW(INDIRECT("1:"&amp;LEN(Metadata!B973))), 1),"0123456789abcdefghijklmnopqrstuvwxyzABCDEFGHIJKLMNOPQRSTUVWXYZ.")))))</f>
        <v>0</v>
      </c>
      <c r="AD973">
        <f>AND(IF(Metadata!C973="",FALSE,TRUE),exact(Metadata!C973,"Host-associated"))</f>
        <v>0</v>
      </c>
      <c r="AE973">
        <f>AND(IF(Metadata!D973="",FALSE,TRUE),OR(exact(Metadata!D973,"Animal"),exact(Metadata!D973,"Fungus"),exact(Metadata!D973,"Plant")))</f>
        <v>0</v>
      </c>
      <c r="AF973">
        <f>AND(IF(Metadata!E973="",FALSE,TRUE),OR(exact(Metadata!E973,"Plant secretion"),exact(Metadata!E973,"Plant rhizosphere"),exact(Metadata!E973,"Plant surface"),exact(Metadata!E973,"Plant corpus"),exact(Metadata!E973,"Fungus surface"),exact(Metadata!E973,"Fungus corpus"),exact(Metadata!E973,"Animal surface"),exact(Metadata!E973,"Animal proximal gut"),exact(Metadata!E973,"Animal corpus"),exact(Metadata!E973,"Animal distal gut"),exact(Metadata!E973,"Animal secretion")))</f>
        <v>0</v>
      </c>
      <c r="AG973">
        <f>OR(AND(IF(Metadata!F973="",FALSE,TRUE),OR(exact(Metadata!F973,"not collected"),exact(Metadata!F973,"not provided"),exact(Metadata!F973,"restricted access"))),AND(IF(Metadata!F973="",FALSE,TRUE),OR(exact(Metadata!F973,"organism-associated habitat"),exact(Metadata!F973,"plant-associated habitat"),exact(Metadata!F973,"animal-associated habitat"),exact(Metadata!F973,"insecta-associated habitat"),exact(Metadata!F973,"mammalia-associated habitat"),exact(Metadata!F973,"human-associated habitat"),exact(Metadata!F973,"livestock-associated habitat"))))</f>
        <v>0</v>
      </c>
      <c r="AH973">
        <f>AND(IF(Metadata!G973="",FALSE,TRUE),exact(Metadata!G973,"host-associated"))</f>
        <v>0</v>
      </c>
      <c r="AI973">
        <f>OR(AND(IF(Metadata!H973="",FALSE,TRUE),OR(exact(Metadata!H973,"not collected"),exact(Metadata!H973,"not provided"))),AND(IF(Metadata!H973="",FALSE,ISNUMBER(VALUE(Metadata!H973))),Metadata!H973&gt;0))</f>
        <v>0</v>
      </c>
      <c r="AJ973">
        <f>AND(IF(Metadata!I973="",FALSE,TRUE),exact(Metadata!I973,"years"))</f>
        <v>0</v>
      </c>
      <c r="AK973">
        <f>IF(Metadata!J973="",FALSE,TRUE)</f>
        <v>0</v>
      </c>
      <c r="AL973">
        <f>OR(AND(IF(Metadata!K973="",FALSE,TRUE),OR(exact(Metadata!K973,"not collected"),exact(Metadata!K973,"not provided"))),AND(IF(Metadata!K973="",FALSE,ISNUMBER(VALUE(Metadata!K973))),Metadata!K973&gt;0))</f>
        <v>0</v>
      </c>
      <c r="AM973">
        <f>AND(IF(Metadata!L973="",FALSE,TRUE),exact(Metadata!L973,"cm"))</f>
        <v>0</v>
      </c>
      <c r="AN973">
        <f>IF(Metadata!M973="",FALSE,TRUE)</f>
        <v>0</v>
      </c>
      <c r="AO973">
        <f>OR(AND(IF(Metadata!N973="",FALSE,TRUE),OR(exact(Metadata!N973,"not applicable"),exact(Metadata!N973,"not collected"),exact(Metadata!N973,"not provided"))),AND(IF(Metadata!N973="",FALSE,IF(ISERROR(INT(Metadata!N973)),FALSE,INT(Metadata!N973)=Metadata!N973)),Metadata!N973&gt;0))</f>
        <v>0</v>
      </c>
      <c r="AP973">
        <f>OR(AND(IF(Metadata!O973="",FALSE,TRUE),OR(exact(Metadata!O973,"not collected"),exact(Metadata!O973,"not provided"))),AND(IF(Metadata!O973="",FALSE,ISNUMBER(VALUE(Metadata!O973))),Metadata!O973&gt;0))</f>
        <v>0</v>
      </c>
      <c r="AQ973">
        <f>AND(IF(Metadata!P973="",FALSE,TRUE),exact(Metadata!P973,"kg"))</f>
        <v>0</v>
      </c>
      <c r="AR973">
        <f>OR(AND(IF(Metadata!Q973="",FALSE,TRUE),OR(exact(Metadata!Q973,"not applicable"),exact(Metadata!Q973,"not collected"),exact(Metadata!Q973,"not provided"),exact(Metadata!Q973,"restricted access"))),IF(Metadata!Q973="",FALSE,IF(ISERROR(INT(Metadata!Q973)),FALSE,INT(Metadata!Q973)=Metadata!Q973)))</f>
        <v>0</v>
      </c>
      <c r="AS973">
        <f>AND(IF(Metadata!R973="",FALSE,TRUE),exact(Metadata!R973,"Not applicable"))</f>
        <v>0</v>
      </c>
    </row>
    <row r="974" spans="1:45">
      <c r="A974" s="4">
        <f>IF(B974=" "," ",HYPERLINK(CONCATENATE("#metadata!",ADDRESS(INDEX($X$2:$X$1001,MATCH(ROWS($V$2:V974),$V$2:$V$1001,0),0),2)),INDEX($AA$2:$AA$1001,MATCH(ROWS($V$2:V974),$V$2:$V$1001,0),0)))</f>
        <v>0</v>
      </c>
      <c r="B974" s="5">
        <f>IF(OR(INDEX($W$2:$W$1001,MATCH(ROWS($V$2:V974),$V$2:$V$1001,0),1)&gt;=100000,INDEX($AC$1005:$AS$1005,1,MATCH(COLUMNS($AC$1006:AC1006),$AC$1006:$AS$1006,0))&gt;=100000), " ",IF(INDEX($AC$2:$AS$1001,MATCH(ROWS($V$2:V974),$V$2:$V$1001,0),MATCH(COLUMNS($AC$1006:AC1006),$AC$1006:$AS$1006,0)), HYPERLINK("#",""), HYPERLINK(CONCATENATE("#Metadata!", ADDRESS(INDEX($X$2:$X$1001,MATCH(ROWS($V$2:V974),$V$2:$V$1001,0),0), INDEX($AC$1004:$AS$1004,1,MATCH(COLUMNS($AC$1006:AC1006),$AC$1006:$AS$1006,0)))),"Fix")))</f>
        <v>0</v>
      </c>
      <c r="C974" s="5">
        <f>IF(OR(INDEX($W$2:$W$1001,MATCH(ROWS($V$2:V974),$V$2:$V$1001,0),1)&gt;=100000,INDEX($AC$1005:$AS$1005,1,MATCH(COLUMNS($AC$1006:AD1006),$AC$1006:$AS$1006,0))&gt;=100000), " ",IF(INDEX($AC$2:$AS$1001,MATCH(ROWS($V$2:V974),$V$2:$V$1001,0),MATCH(COLUMNS($AC$1006:AD1006),$AC$1006:$AS$1006,0)), HYPERLINK("#",""), HYPERLINK(CONCATENATE("#Metadata!", ADDRESS(INDEX($X$2:$X$1001,MATCH(ROWS($V$2:V974),$V$2:$V$1001,0),0), INDEX($AC$1004:$AS$1004,1,MATCH(COLUMNS($AC$1006:AD1006),$AC$1006:$AS$1006,0)))),"Fix")))</f>
        <v>0</v>
      </c>
      <c r="D974" s="5">
        <f>IF(OR(INDEX($W$2:$W$1001,MATCH(ROWS($V$2:V974),$V$2:$V$1001,0),1)&gt;=100000,INDEX($AC$1005:$AS$1005,1,MATCH(COLUMNS($AC$1006:AE1006),$AC$1006:$AS$1006,0))&gt;=100000), " ",IF(INDEX($AC$2:$AS$1001,MATCH(ROWS($V$2:V974),$V$2:$V$1001,0),MATCH(COLUMNS($AC$1006:AE1006),$AC$1006:$AS$1006,0)), HYPERLINK("#",""), HYPERLINK(CONCATENATE("#Metadata!", ADDRESS(INDEX($X$2:$X$1001,MATCH(ROWS($V$2:V974),$V$2:$V$1001,0),0), INDEX($AC$1004:$AS$1004,1,MATCH(COLUMNS($AC$1006:AE1006),$AC$1006:$AS$1006,0)))),"Fix")))</f>
        <v>0</v>
      </c>
      <c r="E974" s="5">
        <f>IF(OR(INDEX($W$2:$W$1001,MATCH(ROWS($V$2:V974),$V$2:$V$1001,0),1)&gt;=100000,INDEX($AC$1005:$AS$1005,1,MATCH(COLUMNS($AC$1006:AF1006),$AC$1006:$AS$1006,0))&gt;=100000), " ",IF(INDEX($AC$2:$AS$1001,MATCH(ROWS($V$2:V974),$V$2:$V$1001,0),MATCH(COLUMNS($AC$1006:AF1006),$AC$1006:$AS$1006,0)), HYPERLINK("#",""), HYPERLINK(CONCATENATE("#Metadata!", ADDRESS(INDEX($X$2:$X$1001,MATCH(ROWS($V$2:V974),$V$2:$V$1001,0),0), INDEX($AC$1004:$AS$1004,1,MATCH(COLUMNS($AC$1006:AF1006),$AC$1006:$AS$1006,0)))),"Fix")))</f>
        <v>0</v>
      </c>
      <c r="F974" s="5">
        <f>IF(OR(INDEX($W$2:$W$1001,MATCH(ROWS($V$2:V974),$V$2:$V$1001,0),1)&gt;=100000,INDEX($AC$1005:$AS$1005,1,MATCH(COLUMNS($AC$1006:AG1006),$AC$1006:$AS$1006,0))&gt;=100000), " ",IF(INDEX($AC$2:$AS$1001,MATCH(ROWS($V$2:V974),$V$2:$V$1001,0),MATCH(COLUMNS($AC$1006:AG1006),$AC$1006:$AS$1006,0)), HYPERLINK("#",""), HYPERLINK(CONCATENATE("#Metadata!", ADDRESS(INDEX($X$2:$X$1001,MATCH(ROWS($V$2:V974),$V$2:$V$1001,0),0), INDEX($AC$1004:$AS$1004,1,MATCH(COLUMNS($AC$1006:AG1006),$AC$1006:$AS$1006,0)))),"Fix")))</f>
        <v>0</v>
      </c>
      <c r="G974" s="5">
        <f>IF(OR(INDEX($W$2:$W$1001,MATCH(ROWS($V$2:V974),$V$2:$V$1001,0),1)&gt;=100000,INDEX($AC$1005:$AS$1005,1,MATCH(COLUMNS($AC$1006:AH1006),$AC$1006:$AS$1006,0))&gt;=100000), " ",IF(INDEX($AC$2:$AS$1001,MATCH(ROWS($V$2:V974),$V$2:$V$1001,0),MATCH(COLUMNS($AC$1006:AH1006),$AC$1006:$AS$1006,0)), HYPERLINK("#",""), HYPERLINK(CONCATENATE("#Metadata!", ADDRESS(INDEX($X$2:$X$1001,MATCH(ROWS($V$2:V974),$V$2:$V$1001,0),0), INDEX($AC$1004:$AS$1004,1,MATCH(COLUMNS($AC$1006:AH1006),$AC$1006:$AS$1006,0)))),"Fix")))</f>
        <v>0</v>
      </c>
      <c r="H974" s="5">
        <f>IF(OR(INDEX($W$2:$W$1001,MATCH(ROWS($V$2:V974),$V$2:$V$1001,0),1)&gt;=100000,INDEX($AC$1005:$AS$1005,1,MATCH(COLUMNS($AC$1006:AI1006),$AC$1006:$AS$1006,0))&gt;=100000), " ",IF(INDEX($AC$2:$AS$1001,MATCH(ROWS($V$2:V974),$V$2:$V$1001,0),MATCH(COLUMNS($AC$1006:AI1006),$AC$1006:$AS$1006,0)), HYPERLINK("#",""), HYPERLINK(CONCATENATE("#Metadata!", ADDRESS(INDEX($X$2:$X$1001,MATCH(ROWS($V$2:V974),$V$2:$V$1001,0),0), INDEX($AC$1004:$AS$1004,1,MATCH(COLUMNS($AC$1006:AI1006),$AC$1006:$AS$1006,0)))),"Fix")))</f>
        <v>0</v>
      </c>
      <c r="I974" s="5">
        <f>IF(OR(INDEX($W$2:$W$1001,MATCH(ROWS($V$2:V974),$V$2:$V$1001,0),1)&gt;=100000,INDEX($AC$1005:$AS$1005,1,MATCH(COLUMNS($AC$1006:AJ1006),$AC$1006:$AS$1006,0))&gt;=100000), " ",IF(INDEX($AC$2:$AS$1001,MATCH(ROWS($V$2:V974),$V$2:$V$1001,0),MATCH(COLUMNS($AC$1006:AJ1006),$AC$1006:$AS$1006,0)), HYPERLINK("#",""), HYPERLINK(CONCATENATE("#Metadata!", ADDRESS(INDEX($X$2:$X$1001,MATCH(ROWS($V$2:V974),$V$2:$V$1001,0),0), INDEX($AC$1004:$AS$1004,1,MATCH(COLUMNS($AC$1006:AJ1006),$AC$1006:$AS$1006,0)))),"Fix")))</f>
        <v>0</v>
      </c>
      <c r="J974" s="5">
        <f>IF(OR(INDEX($W$2:$W$1001,MATCH(ROWS($V$2:V974),$V$2:$V$1001,0),1)&gt;=100000,INDEX($AC$1005:$AS$1005,1,MATCH(COLUMNS($AC$1006:AK1006),$AC$1006:$AS$1006,0))&gt;=100000), " ",IF(INDEX($AC$2:$AS$1001,MATCH(ROWS($V$2:V974),$V$2:$V$1001,0),MATCH(COLUMNS($AC$1006:AK1006),$AC$1006:$AS$1006,0)), HYPERLINK("#",""), HYPERLINK(CONCATENATE("#Metadata!", ADDRESS(INDEX($X$2:$X$1001,MATCH(ROWS($V$2:V974),$V$2:$V$1001,0),0), INDEX($AC$1004:$AS$1004,1,MATCH(COLUMNS($AC$1006:AK1006),$AC$1006:$AS$1006,0)))),"Fix")))</f>
        <v>0</v>
      </c>
      <c r="K974" s="5">
        <f>IF(OR(INDEX($W$2:$W$1001,MATCH(ROWS($V$2:V974),$V$2:$V$1001,0),1)&gt;=100000,INDEX($AC$1005:$AS$1005,1,MATCH(COLUMNS($AC$1006:AL1006),$AC$1006:$AS$1006,0))&gt;=100000), " ",IF(INDEX($AC$2:$AS$1001,MATCH(ROWS($V$2:V974),$V$2:$V$1001,0),MATCH(COLUMNS($AC$1006:AL1006),$AC$1006:$AS$1006,0)), HYPERLINK("#",""), HYPERLINK(CONCATENATE("#Metadata!", ADDRESS(INDEX($X$2:$X$1001,MATCH(ROWS($V$2:V974),$V$2:$V$1001,0),0), INDEX($AC$1004:$AS$1004,1,MATCH(COLUMNS($AC$1006:AL1006),$AC$1006:$AS$1006,0)))),"Fix")))</f>
        <v>0</v>
      </c>
      <c r="L974" s="5">
        <f>IF(OR(INDEX($W$2:$W$1001,MATCH(ROWS($V$2:V974),$V$2:$V$1001,0),1)&gt;=100000,INDEX($AC$1005:$AS$1005,1,MATCH(COLUMNS($AC$1006:AM1006),$AC$1006:$AS$1006,0))&gt;=100000), " ",IF(INDEX($AC$2:$AS$1001,MATCH(ROWS($V$2:V974),$V$2:$V$1001,0),MATCH(COLUMNS($AC$1006:AM1006),$AC$1006:$AS$1006,0)), HYPERLINK("#",""), HYPERLINK(CONCATENATE("#Metadata!", ADDRESS(INDEX($X$2:$X$1001,MATCH(ROWS($V$2:V974),$V$2:$V$1001,0),0), INDEX($AC$1004:$AS$1004,1,MATCH(COLUMNS($AC$1006:AM1006),$AC$1006:$AS$1006,0)))),"Fix")))</f>
        <v>0</v>
      </c>
      <c r="M974" s="5">
        <f>IF(OR(INDEX($W$2:$W$1001,MATCH(ROWS($V$2:V974),$V$2:$V$1001,0),1)&gt;=100000,INDEX($AC$1005:$AS$1005,1,MATCH(COLUMNS($AC$1006:AN1006),$AC$1006:$AS$1006,0))&gt;=100000), " ",IF(INDEX($AC$2:$AS$1001,MATCH(ROWS($V$2:V974),$V$2:$V$1001,0),MATCH(COLUMNS($AC$1006:AN1006),$AC$1006:$AS$1006,0)), HYPERLINK("#",""), HYPERLINK(CONCATENATE("#Metadata!", ADDRESS(INDEX($X$2:$X$1001,MATCH(ROWS($V$2:V974),$V$2:$V$1001,0),0), INDEX($AC$1004:$AS$1004,1,MATCH(COLUMNS($AC$1006:AN1006),$AC$1006:$AS$1006,0)))),"Fix")))</f>
        <v>0</v>
      </c>
      <c r="N974" s="5">
        <f>IF(OR(INDEX($W$2:$W$1001,MATCH(ROWS($V$2:V974),$V$2:$V$1001,0),1)&gt;=100000,INDEX($AC$1005:$AS$1005,1,MATCH(COLUMNS($AC$1006:AO1006),$AC$1006:$AS$1006,0))&gt;=100000), " ",IF(INDEX($AC$2:$AS$1001,MATCH(ROWS($V$2:V974),$V$2:$V$1001,0),MATCH(COLUMNS($AC$1006:AO1006),$AC$1006:$AS$1006,0)), HYPERLINK("#",""), HYPERLINK(CONCATENATE("#Metadata!", ADDRESS(INDEX($X$2:$X$1001,MATCH(ROWS($V$2:V974),$V$2:$V$1001,0),0), INDEX($AC$1004:$AS$1004,1,MATCH(COLUMNS($AC$1006:AO1006),$AC$1006:$AS$1006,0)))),"Fix")))</f>
        <v>0</v>
      </c>
      <c r="O974" s="5">
        <f>IF(OR(INDEX($W$2:$W$1001,MATCH(ROWS($V$2:V974),$V$2:$V$1001,0),1)&gt;=100000,INDEX($AC$1005:$AS$1005,1,MATCH(COLUMNS($AC$1006:AP1006),$AC$1006:$AS$1006,0))&gt;=100000), " ",IF(INDEX($AC$2:$AS$1001,MATCH(ROWS($V$2:V974),$V$2:$V$1001,0),MATCH(COLUMNS($AC$1006:AP1006),$AC$1006:$AS$1006,0)), HYPERLINK("#",""), HYPERLINK(CONCATENATE("#Metadata!", ADDRESS(INDEX($X$2:$X$1001,MATCH(ROWS($V$2:V974),$V$2:$V$1001,0),0), INDEX($AC$1004:$AS$1004,1,MATCH(COLUMNS($AC$1006:AP1006),$AC$1006:$AS$1006,0)))),"Fix")))</f>
        <v>0</v>
      </c>
      <c r="P974" s="5">
        <f>IF(OR(INDEX($W$2:$W$1001,MATCH(ROWS($V$2:V974),$V$2:$V$1001,0),1)&gt;=100000,INDEX($AC$1005:$AS$1005,1,MATCH(COLUMNS($AC$1006:AQ1006),$AC$1006:$AS$1006,0))&gt;=100000), " ",IF(INDEX($AC$2:$AS$1001,MATCH(ROWS($V$2:V974),$V$2:$V$1001,0),MATCH(COLUMNS($AC$1006:AQ1006),$AC$1006:$AS$1006,0)), HYPERLINK("#",""), HYPERLINK(CONCATENATE("#Metadata!", ADDRESS(INDEX($X$2:$X$1001,MATCH(ROWS($V$2:V974),$V$2:$V$1001,0),0), INDEX($AC$1004:$AS$1004,1,MATCH(COLUMNS($AC$1006:AQ1006),$AC$1006:$AS$1006,0)))),"Fix")))</f>
        <v>0</v>
      </c>
      <c r="Q974" s="5">
        <f>IF(OR(INDEX($W$2:$W$1001,MATCH(ROWS($V$2:V974),$V$2:$V$1001,0),1)&gt;=100000,INDEX($AC$1005:$AS$1005,1,MATCH(COLUMNS($AC$1006:AR1006),$AC$1006:$AS$1006,0))&gt;=100000), " ",IF(INDEX($AC$2:$AS$1001,MATCH(ROWS($V$2:V974),$V$2:$V$1001,0),MATCH(COLUMNS($AC$1006:AR1006),$AC$1006:$AS$1006,0)), HYPERLINK("#",""), HYPERLINK(CONCATENATE("#Metadata!", ADDRESS(INDEX($X$2:$X$1001,MATCH(ROWS($V$2:V974),$V$2:$V$1001,0),0), INDEX($AC$1004:$AS$1004,1,MATCH(COLUMNS($AC$1006:AR1006),$AC$1006:$AS$1006,0)))),"Fix")))</f>
        <v>0</v>
      </c>
      <c r="R974" s="5">
        <f>IF(OR(INDEX($W$2:$W$1001,MATCH(ROWS($V$2:V974),$V$2:$V$1001,0),1)&gt;=100000,INDEX($AC$1005:$AS$1005,1,MATCH(COLUMNS($AC$1006:AS1006),$AC$1006:$AS$1006,0))&gt;=100000), " ",IF(INDEX($AC$2:$AS$1001,MATCH(ROWS($V$2:V974),$V$2:$V$1001,0),MATCH(COLUMNS($AC$1006:AS1006),$AC$1006:$AS$1006,0)), HYPERLINK("#",""), HYPERLINK(CONCATENATE("#Metadata!", ADDRESS(INDEX($X$2:$X$1001,MATCH(ROWS($V$2:V974),$V$2:$V$1001,0),0), INDEX($AC$1004:$AS$1004,1,MATCH(COLUMNS($AC$1006:AS1006),$AC$1006:$AS$1006,0)))),"Fix")))</f>
        <v>0</v>
      </c>
      <c r="V974">
        <v>0</v>
      </c>
      <c r="W974">
        <v>0</v>
      </c>
      <c r="X974">
        <v>0</v>
      </c>
      <c r="Y974">
        <f>IF(Z974,TRUE,AND(AC974:AS974))</f>
        <v>0</v>
      </c>
      <c r="Z974">
        <f>COUNTBLANK(Metadata!B974:R974)=COLUMNS(Metadata!B974:R974)</f>
        <v>0</v>
      </c>
      <c r="AA974">
        <v>0</v>
      </c>
      <c r="AC974">
        <f>AND(IF(Metadata!B974="",FALSE,TRUE),COUNTIF(Metadata!B:B, Metadata!B974) = 1,NOT(ISERROR(SUMPRODUCT(SEARCH(MID(Metadata!B974,ROW(INDIRECT("1:"&amp;LEN(Metadata!B974))), 1),"0123456789abcdefghijklmnopqrstuvwxyzABCDEFGHIJKLMNOPQRSTUVWXYZ.")))))</f>
        <v>0</v>
      </c>
      <c r="AD974">
        <f>AND(IF(Metadata!C974="",FALSE,TRUE),exact(Metadata!C974,"Host-associated"))</f>
        <v>0</v>
      </c>
      <c r="AE974">
        <f>AND(IF(Metadata!D974="",FALSE,TRUE),OR(exact(Metadata!D974,"Animal"),exact(Metadata!D974,"Fungus"),exact(Metadata!D974,"Plant")))</f>
        <v>0</v>
      </c>
      <c r="AF974">
        <f>AND(IF(Metadata!E974="",FALSE,TRUE),OR(exact(Metadata!E974,"Plant secretion"),exact(Metadata!E974,"Plant rhizosphere"),exact(Metadata!E974,"Plant surface"),exact(Metadata!E974,"Plant corpus"),exact(Metadata!E974,"Fungus surface"),exact(Metadata!E974,"Fungus corpus"),exact(Metadata!E974,"Animal surface"),exact(Metadata!E974,"Animal proximal gut"),exact(Metadata!E974,"Animal corpus"),exact(Metadata!E974,"Animal distal gut"),exact(Metadata!E974,"Animal secretion")))</f>
        <v>0</v>
      </c>
      <c r="AG974">
        <f>OR(AND(IF(Metadata!F974="",FALSE,TRUE),OR(exact(Metadata!F974,"not collected"),exact(Metadata!F974,"not provided"),exact(Metadata!F974,"restricted access"))),AND(IF(Metadata!F974="",FALSE,TRUE),OR(exact(Metadata!F974,"organism-associated habitat"),exact(Metadata!F974,"plant-associated habitat"),exact(Metadata!F974,"animal-associated habitat"),exact(Metadata!F974,"insecta-associated habitat"),exact(Metadata!F974,"mammalia-associated habitat"),exact(Metadata!F974,"human-associated habitat"),exact(Metadata!F974,"livestock-associated habitat"))))</f>
        <v>0</v>
      </c>
      <c r="AH974">
        <f>AND(IF(Metadata!G974="",FALSE,TRUE),exact(Metadata!G974,"host-associated"))</f>
        <v>0</v>
      </c>
      <c r="AI974">
        <f>OR(AND(IF(Metadata!H974="",FALSE,TRUE),OR(exact(Metadata!H974,"not collected"),exact(Metadata!H974,"not provided"))),AND(IF(Metadata!H974="",FALSE,ISNUMBER(VALUE(Metadata!H974))),Metadata!H974&gt;0))</f>
        <v>0</v>
      </c>
      <c r="AJ974">
        <f>AND(IF(Metadata!I974="",FALSE,TRUE),exact(Metadata!I974,"years"))</f>
        <v>0</v>
      </c>
      <c r="AK974">
        <f>IF(Metadata!J974="",FALSE,TRUE)</f>
        <v>0</v>
      </c>
      <c r="AL974">
        <f>OR(AND(IF(Metadata!K974="",FALSE,TRUE),OR(exact(Metadata!K974,"not collected"),exact(Metadata!K974,"not provided"))),AND(IF(Metadata!K974="",FALSE,ISNUMBER(VALUE(Metadata!K974))),Metadata!K974&gt;0))</f>
        <v>0</v>
      </c>
      <c r="AM974">
        <f>AND(IF(Metadata!L974="",FALSE,TRUE),exact(Metadata!L974,"cm"))</f>
        <v>0</v>
      </c>
      <c r="AN974">
        <f>IF(Metadata!M974="",FALSE,TRUE)</f>
        <v>0</v>
      </c>
      <c r="AO974">
        <f>OR(AND(IF(Metadata!N974="",FALSE,TRUE),OR(exact(Metadata!N974,"not applicable"),exact(Metadata!N974,"not collected"),exact(Metadata!N974,"not provided"))),AND(IF(Metadata!N974="",FALSE,IF(ISERROR(INT(Metadata!N974)),FALSE,INT(Metadata!N974)=Metadata!N974)),Metadata!N974&gt;0))</f>
        <v>0</v>
      </c>
      <c r="AP974">
        <f>OR(AND(IF(Metadata!O974="",FALSE,TRUE),OR(exact(Metadata!O974,"not collected"),exact(Metadata!O974,"not provided"))),AND(IF(Metadata!O974="",FALSE,ISNUMBER(VALUE(Metadata!O974))),Metadata!O974&gt;0))</f>
        <v>0</v>
      </c>
      <c r="AQ974">
        <f>AND(IF(Metadata!P974="",FALSE,TRUE),exact(Metadata!P974,"kg"))</f>
        <v>0</v>
      </c>
      <c r="AR974">
        <f>OR(AND(IF(Metadata!Q974="",FALSE,TRUE),OR(exact(Metadata!Q974,"not applicable"),exact(Metadata!Q974,"not collected"),exact(Metadata!Q974,"not provided"),exact(Metadata!Q974,"restricted access"))),IF(Metadata!Q974="",FALSE,IF(ISERROR(INT(Metadata!Q974)),FALSE,INT(Metadata!Q974)=Metadata!Q974)))</f>
        <v>0</v>
      </c>
      <c r="AS974">
        <f>AND(IF(Metadata!R974="",FALSE,TRUE),exact(Metadata!R974,"Not applicable"))</f>
        <v>0</v>
      </c>
    </row>
    <row r="975" spans="1:45">
      <c r="A975" s="4">
        <f>IF(B975=" "," ",HYPERLINK(CONCATENATE("#metadata!",ADDRESS(INDEX($X$2:$X$1001,MATCH(ROWS($V$2:V975),$V$2:$V$1001,0),0),2)),INDEX($AA$2:$AA$1001,MATCH(ROWS($V$2:V975),$V$2:$V$1001,0),0)))</f>
        <v>0</v>
      </c>
      <c r="B975" s="5">
        <f>IF(OR(INDEX($W$2:$W$1001,MATCH(ROWS($V$2:V975),$V$2:$V$1001,0),1)&gt;=100000,INDEX($AC$1005:$AS$1005,1,MATCH(COLUMNS($AC$1006:AC1006),$AC$1006:$AS$1006,0))&gt;=100000), " ",IF(INDEX($AC$2:$AS$1001,MATCH(ROWS($V$2:V975),$V$2:$V$1001,0),MATCH(COLUMNS($AC$1006:AC1006),$AC$1006:$AS$1006,0)), HYPERLINK("#",""), HYPERLINK(CONCATENATE("#Metadata!", ADDRESS(INDEX($X$2:$X$1001,MATCH(ROWS($V$2:V975),$V$2:$V$1001,0),0), INDEX($AC$1004:$AS$1004,1,MATCH(COLUMNS($AC$1006:AC1006),$AC$1006:$AS$1006,0)))),"Fix")))</f>
        <v>0</v>
      </c>
      <c r="C975" s="5">
        <f>IF(OR(INDEX($W$2:$W$1001,MATCH(ROWS($V$2:V975),$V$2:$V$1001,0),1)&gt;=100000,INDEX($AC$1005:$AS$1005,1,MATCH(COLUMNS($AC$1006:AD1006),$AC$1006:$AS$1006,0))&gt;=100000), " ",IF(INDEX($AC$2:$AS$1001,MATCH(ROWS($V$2:V975),$V$2:$V$1001,0),MATCH(COLUMNS($AC$1006:AD1006),$AC$1006:$AS$1006,0)), HYPERLINK("#",""), HYPERLINK(CONCATENATE("#Metadata!", ADDRESS(INDEX($X$2:$X$1001,MATCH(ROWS($V$2:V975),$V$2:$V$1001,0),0), INDEX($AC$1004:$AS$1004,1,MATCH(COLUMNS($AC$1006:AD1006),$AC$1006:$AS$1006,0)))),"Fix")))</f>
        <v>0</v>
      </c>
      <c r="D975" s="5">
        <f>IF(OR(INDEX($W$2:$W$1001,MATCH(ROWS($V$2:V975),$V$2:$V$1001,0),1)&gt;=100000,INDEX($AC$1005:$AS$1005,1,MATCH(COLUMNS($AC$1006:AE1006),$AC$1006:$AS$1006,0))&gt;=100000), " ",IF(INDEX($AC$2:$AS$1001,MATCH(ROWS($V$2:V975),$V$2:$V$1001,0),MATCH(COLUMNS($AC$1006:AE1006),$AC$1006:$AS$1006,0)), HYPERLINK("#",""), HYPERLINK(CONCATENATE("#Metadata!", ADDRESS(INDEX($X$2:$X$1001,MATCH(ROWS($V$2:V975),$V$2:$V$1001,0),0), INDEX($AC$1004:$AS$1004,1,MATCH(COLUMNS($AC$1006:AE1006),$AC$1006:$AS$1006,0)))),"Fix")))</f>
        <v>0</v>
      </c>
      <c r="E975" s="5">
        <f>IF(OR(INDEX($W$2:$W$1001,MATCH(ROWS($V$2:V975),$V$2:$V$1001,0),1)&gt;=100000,INDEX($AC$1005:$AS$1005,1,MATCH(COLUMNS($AC$1006:AF1006),$AC$1006:$AS$1006,0))&gt;=100000), " ",IF(INDEX($AC$2:$AS$1001,MATCH(ROWS($V$2:V975),$V$2:$V$1001,0),MATCH(COLUMNS($AC$1006:AF1006),$AC$1006:$AS$1006,0)), HYPERLINK("#",""), HYPERLINK(CONCATENATE("#Metadata!", ADDRESS(INDEX($X$2:$X$1001,MATCH(ROWS($V$2:V975),$V$2:$V$1001,0),0), INDEX($AC$1004:$AS$1004,1,MATCH(COLUMNS($AC$1006:AF1006),$AC$1006:$AS$1006,0)))),"Fix")))</f>
        <v>0</v>
      </c>
      <c r="F975" s="5">
        <f>IF(OR(INDEX($W$2:$W$1001,MATCH(ROWS($V$2:V975),$V$2:$V$1001,0),1)&gt;=100000,INDEX($AC$1005:$AS$1005,1,MATCH(COLUMNS($AC$1006:AG1006),$AC$1006:$AS$1006,0))&gt;=100000), " ",IF(INDEX($AC$2:$AS$1001,MATCH(ROWS($V$2:V975),$V$2:$V$1001,0),MATCH(COLUMNS($AC$1006:AG1006),$AC$1006:$AS$1006,0)), HYPERLINK("#",""), HYPERLINK(CONCATENATE("#Metadata!", ADDRESS(INDEX($X$2:$X$1001,MATCH(ROWS($V$2:V975),$V$2:$V$1001,0),0), INDEX($AC$1004:$AS$1004,1,MATCH(COLUMNS($AC$1006:AG1006),$AC$1006:$AS$1006,0)))),"Fix")))</f>
        <v>0</v>
      </c>
      <c r="G975" s="5">
        <f>IF(OR(INDEX($W$2:$W$1001,MATCH(ROWS($V$2:V975),$V$2:$V$1001,0),1)&gt;=100000,INDEX($AC$1005:$AS$1005,1,MATCH(COLUMNS($AC$1006:AH1006),$AC$1006:$AS$1006,0))&gt;=100000), " ",IF(INDEX($AC$2:$AS$1001,MATCH(ROWS($V$2:V975),$V$2:$V$1001,0),MATCH(COLUMNS($AC$1006:AH1006),$AC$1006:$AS$1006,0)), HYPERLINK("#",""), HYPERLINK(CONCATENATE("#Metadata!", ADDRESS(INDEX($X$2:$X$1001,MATCH(ROWS($V$2:V975),$V$2:$V$1001,0),0), INDEX($AC$1004:$AS$1004,1,MATCH(COLUMNS($AC$1006:AH1006),$AC$1006:$AS$1006,0)))),"Fix")))</f>
        <v>0</v>
      </c>
      <c r="H975" s="5">
        <f>IF(OR(INDEX($W$2:$W$1001,MATCH(ROWS($V$2:V975),$V$2:$V$1001,0),1)&gt;=100000,INDEX($AC$1005:$AS$1005,1,MATCH(COLUMNS($AC$1006:AI1006),$AC$1006:$AS$1006,0))&gt;=100000), " ",IF(INDEX($AC$2:$AS$1001,MATCH(ROWS($V$2:V975),$V$2:$V$1001,0),MATCH(COLUMNS($AC$1006:AI1006),$AC$1006:$AS$1006,0)), HYPERLINK("#",""), HYPERLINK(CONCATENATE("#Metadata!", ADDRESS(INDEX($X$2:$X$1001,MATCH(ROWS($V$2:V975),$V$2:$V$1001,0),0), INDEX($AC$1004:$AS$1004,1,MATCH(COLUMNS($AC$1006:AI1006),$AC$1006:$AS$1006,0)))),"Fix")))</f>
        <v>0</v>
      </c>
      <c r="I975" s="5">
        <f>IF(OR(INDEX($W$2:$W$1001,MATCH(ROWS($V$2:V975),$V$2:$V$1001,0),1)&gt;=100000,INDEX($AC$1005:$AS$1005,1,MATCH(COLUMNS($AC$1006:AJ1006),$AC$1006:$AS$1006,0))&gt;=100000), " ",IF(INDEX($AC$2:$AS$1001,MATCH(ROWS($V$2:V975),$V$2:$V$1001,0),MATCH(COLUMNS($AC$1006:AJ1006),$AC$1006:$AS$1006,0)), HYPERLINK("#",""), HYPERLINK(CONCATENATE("#Metadata!", ADDRESS(INDEX($X$2:$X$1001,MATCH(ROWS($V$2:V975),$V$2:$V$1001,0),0), INDEX($AC$1004:$AS$1004,1,MATCH(COLUMNS($AC$1006:AJ1006),$AC$1006:$AS$1006,0)))),"Fix")))</f>
        <v>0</v>
      </c>
      <c r="J975" s="5">
        <f>IF(OR(INDEX($W$2:$W$1001,MATCH(ROWS($V$2:V975),$V$2:$V$1001,0),1)&gt;=100000,INDEX($AC$1005:$AS$1005,1,MATCH(COLUMNS($AC$1006:AK1006),$AC$1006:$AS$1006,0))&gt;=100000), " ",IF(INDEX($AC$2:$AS$1001,MATCH(ROWS($V$2:V975),$V$2:$V$1001,0),MATCH(COLUMNS($AC$1006:AK1006),$AC$1006:$AS$1006,0)), HYPERLINK("#",""), HYPERLINK(CONCATENATE("#Metadata!", ADDRESS(INDEX($X$2:$X$1001,MATCH(ROWS($V$2:V975),$V$2:$V$1001,0),0), INDEX($AC$1004:$AS$1004,1,MATCH(COLUMNS($AC$1006:AK1006),$AC$1006:$AS$1006,0)))),"Fix")))</f>
        <v>0</v>
      </c>
      <c r="K975" s="5">
        <f>IF(OR(INDEX($W$2:$W$1001,MATCH(ROWS($V$2:V975),$V$2:$V$1001,0),1)&gt;=100000,INDEX($AC$1005:$AS$1005,1,MATCH(COLUMNS($AC$1006:AL1006),$AC$1006:$AS$1006,0))&gt;=100000), " ",IF(INDEX($AC$2:$AS$1001,MATCH(ROWS($V$2:V975),$V$2:$V$1001,0),MATCH(COLUMNS($AC$1006:AL1006),$AC$1006:$AS$1006,0)), HYPERLINK("#",""), HYPERLINK(CONCATENATE("#Metadata!", ADDRESS(INDEX($X$2:$X$1001,MATCH(ROWS($V$2:V975),$V$2:$V$1001,0),0), INDEX($AC$1004:$AS$1004,1,MATCH(COLUMNS($AC$1006:AL1006),$AC$1006:$AS$1006,0)))),"Fix")))</f>
        <v>0</v>
      </c>
      <c r="L975" s="5">
        <f>IF(OR(INDEX($W$2:$W$1001,MATCH(ROWS($V$2:V975),$V$2:$V$1001,0),1)&gt;=100000,INDEX($AC$1005:$AS$1005,1,MATCH(COLUMNS($AC$1006:AM1006),$AC$1006:$AS$1006,0))&gt;=100000), " ",IF(INDEX($AC$2:$AS$1001,MATCH(ROWS($V$2:V975),$V$2:$V$1001,0),MATCH(COLUMNS($AC$1006:AM1006),$AC$1006:$AS$1006,0)), HYPERLINK("#",""), HYPERLINK(CONCATENATE("#Metadata!", ADDRESS(INDEX($X$2:$X$1001,MATCH(ROWS($V$2:V975),$V$2:$V$1001,0),0), INDEX($AC$1004:$AS$1004,1,MATCH(COLUMNS($AC$1006:AM1006),$AC$1006:$AS$1006,0)))),"Fix")))</f>
        <v>0</v>
      </c>
      <c r="M975" s="5">
        <f>IF(OR(INDEX($W$2:$W$1001,MATCH(ROWS($V$2:V975),$V$2:$V$1001,0),1)&gt;=100000,INDEX($AC$1005:$AS$1005,1,MATCH(COLUMNS($AC$1006:AN1006),$AC$1006:$AS$1006,0))&gt;=100000), " ",IF(INDEX($AC$2:$AS$1001,MATCH(ROWS($V$2:V975),$V$2:$V$1001,0),MATCH(COLUMNS($AC$1006:AN1006),$AC$1006:$AS$1006,0)), HYPERLINK("#",""), HYPERLINK(CONCATENATE("#Metadata!", ADDRESS(INDEX($X$2:$X$1001,MATCH(ROWS($V$2:V975),$V$2:$V$1001,0),0), INDEX($AC$1004:$AS$1004,1,MATCH(COLUMNS($AC$1006:AN1006),$AC$1006:$AS$1006,0)))),"Fix")))</f>
        <v>0</v>
      </c>
      <c r="N975" s="5">
        <f>IF(OR(INDEX($W$2:$W$1001,MATCH(ROWS($V$2:V975),$V$2:$V$1001,0),1)&gt;=100000,INDEX($AC$1005:$AS$1005,1,MATCH(COLUMNS($AC$1006:AO1006),$AC$1006:$AS$1006,0))&gt;=100000), " ",IF(INDEX($AC$2:$AS$1001,MATCH(ROWS($V$2:V975),$V$2:$V$1001,0),MATCH(COLUMNS($AC$1006:AO1006),$AC$1006:$AS$1006,0)), HYPERLINK("#",""), HYPERLINK(CONCATENATE("#Metadata!", ADDRESS(INDEX($X$2:$X$1001,MATCH(ROWS($V$2:V975),$V$2:$V$1001,0),0), INDEX($AC$1004:$AS$1004,1,MATCH(COLUMNS($AC$1006:AO1006),$AC$1006:$AS$1006,0)))),"Fix")))</f>
        <v>0</v>
      </c>
      <c r="O975" s="5">
        <f>IF(OR(INDEX($W$2:$W$1001,MATCH(ROWS($V$2:V975),$V$2:$V$1001,0),1)&gt;=100000,INDEX($AC$1005:$AS$1005,1,MATCH(COLUMNS($AC$1006:AP1006),$AC$1006:$AS$1006,0))&gt;=100000), " ",IF(INDEX($AC$2:$AS$1001,MATCH(ROWS($V$2:V975),$V$2:$V$1001,0),MATCH(COLUMNS($AC$1006:AP1006),$AC$1006:$AS$1006,0)), HYPERLINK("#",""), HYPERLINK(CONCATENATE("#Metadata!", ADDRESS(INDEX($X$2:$X$1001,MATCH(ROWS($V$2:V975),$V$2:$V$1001,0),0), INDEX($AC$1004:$AS$1004,1,MATCH(COLUMNS($AC$1006:AP1006),$AC$1006:$AS$1006,0)))),"Fix")))</f>
        <v>0</v>
      </c>
      <c r="P975" s="5">
        <f>IF(OR(INDEX($W$2:$W$1001,MATCH(ROWS($V$2:V975),$V$2:$V$1001,0),1)&gt;=100000,INDEX($AC$1005:$AS$1005,1,MATCH(COLUMNS($AC$1006:AQ1006),$AC$1006:$AS$1006,0))&gt;=100000), " ",IF(INDEX($AC$2:$AS$1001,MATCH(ROWS($V$2:V975),$V$2:$V$1001,0),MATCH(COLUMNS($AC$1006:AQ1006),$AC$1006:$AS$1006,0)), HYPERLINK("#",""), HYPERLINK(CONCATENATE("#Metadata!", ADDRESS(INDEX($X$2:$X$1001,MATCH(ROWS($V$2:V975),$V$2:$V$1001,0),0), INDEX($AC$1004:$AS$1004,1,MATCH(COLUMNS($AC$1006:AQ1006),$AC$1006:$AS$1006,0)))),"Fix")))</f>
        <v>0</v>
      </c>
      <c r="Q975" s="5">
        <f>IF(OR(INDEX($W$2:$W$1001,MATCH(ROWS($V$2:V975),$V$2:$V$1001,0),1)&gt;=100000,INDEX($AC$1005:$AS$1005,1,MATCH(COLUMNS($AC$1006:AR1006),$AC$1006:$AS$1006,0))&gt;=100000), " ",IF(INDEX($AC$2:$AS$1001,MATCH(ROWS($V$2:V975),$V$2:$V$1001,0),MATCH(COLUMNS($AC$1006:AR1006),$AC$1006:$AS$1006,0)), HYPERLINK("#",""), HYPERLINK(CONCATENATE("#Metadata!", ADDRESS(INDEX($X$2:$X$1001,MATCH(ROWS($V$2:V975),$V$2:$V$1001,0),0), INDEX($AC$1004:$AS$1004,1,MATCH(COLUMNS($AC$1006:AR1006),$AC$1006:$AS$1006,0)))),"Fix")))</f>
        <v>0</v>
      </c>
      <c r="R975" s="5">
        <f>IF(OR(INDEX($W$2:$W$1001,MATCH(ROWS($V$2:V975),$V$2:$V$1001,0),1)&gt;=100000,INDEX($AC$1005:$AS$1005,1,MATCH(COLUMNS($AC$1006:AS1006),$AC$1006:$AS$1006,0))&gt;=100000), " ",IF(INDEX($AC$2:$AS$1001,MATCH(ROWS($V$2:V975),$V$2:$V$1001,0),MATCH(COLUMNS($AC$1006:AS1006),$AC$1006:$AS$1006,0)), HYPERLINK("#",""), HYPERLINK(CONCATENATE("#Metadata!", ADDRESS(INDEX($X$2:$X$1001,MATCH(ROWS($V$2:V975),$V$2:$V$1001,0),0), INDEX($AC$1004:$AS$1004,1,MATCH(COLUMNS($AC$1006:AS1006),$AC$1006:$AS$1006,0)))),"Fix")))</f>
        <v>0</v>
      </c>
      <c r="V975">
        <v>0</v>
      </c>
      <c r="W975">
        <v>0</v>
      </c>
      <c r="X975">
        <v>0</v>
      </c>
      <c r="Y975">
        <f>IF(Z975,TRUE,AND(AC975:AS975))</f>
        <v>0</v>
      </c>
      <c r="Z975">
        <f>COUNTBLANK(Metadata!B975:R975)=COLUMNS(Metadata!B975:R975)</f>
        <v>0</v>
      </c>
      <c r="AA975">
        <v>0</v>
      </c>
      <c r="AC975">
        <f>AND(IF(Metadata!B975="",FALSE,TRUE),COUNTIF(Metadata!B:B, Metadata!B975) = 1,NOT(ISERROR(SUMPRODUCT(SEARCH(MID(Metadata!B975,ROW(INDIRECT("1:"&amp;LEN(Metadata!B975))), 1),"0123456789abcdefghijklmnopqrstuvwxyzABCDEFGHIJKLMNOPQRSTUVWXYZ.")))))</f>
        <v>0</v>
      </c>
      <c r="AD975">
        <f>AND(IF(Metadata!C975="",FALSE,TRUE),exact(Metadata!C975,"Host-associated"))</f>
        <v>0</v>
      </c>
      <c r="AE975">
        <f>AND(IF(Metadata!D975="",FALSE,TRUE),OR(exact(Metadata!D975,"Animal"),exact(Metadata!D975,"Fungus"),exact(Metadata!D975,"Plant")))</f>
        <v>0</v>
      </c>
      <c r="AF975">
        <f>AND(IF(Metadata!E975="",FALSE,TRUE),OR(exact(Metadata!E975,"Plant secretion"),exact(Metadata!E975,"Plant rhizosphere"),exact(Metadata!E975,"Plant surface"),exact(Metadata!E975,"Plant corpus"),exact(Metadata!E975,"Fungus surface"),exact(Metadata!E975,"Fungus corpus"),exact(Metadata!E975,"Animal surface"),exact(Metadata!E975,"Animal proximal gut"),exact(Metadata!E975,"Animal corpus"),exact(Metadata!E975,"Animal distal gut"),exact(Metadata!E975,"Animal secretion")))</f>
        <v>0</v>
      </c>
      <c r="AG975">
        <f>OR(AND(IF(Metadata!F975="",FALSE,TRUE),OR(exact(Metadata!F975,"not collected"),exact(Metadata!F975,"not provided"),exact(Metadata!F975,"restricted access"))),AND(IF(Metadata!F975="",FALSE,TRUE),OR(exact(Metadata!F975,"organism-associated habitat"),exact(Metadata!F975,"plant-associated habitat"),exact(Metadata!F975,"animal-associated habitat"),exact(Metadata!F975,"insecta-associated habitat"),exact(Metadata!F975,"mammalia-associated habitat"),exact(Metadata!F975,"human-associated habitat"),exact(Metadata!F975,"livestock-associated habitat"))))</f>
        <v>0</v>
      </c>
      <c r="AH975">
        <f>AND(IF(Metadata!G975="",FALSE,TRUE),exact(Metadata!G975,"host-associated"))</f>
        <v>0</v>
      </c>
      <c r="AI975">
        <f>OR(AND(IF(Metadata!H975="",FALSE,TRUE),OR(exact(Metadata!H975,"not collected"),exact(Metadata!H975,"not provided"))),AND(IF(Metadata!H975="",FALSE,ISNUMBER(VALUE(Metadata!H975))),Metadata!H975&gt;0))</f>
        <v>0</v>
      </c>
      <c r="AJ975">
        <f>AND(IF(Metadata!I975="",FALSE,TRUE),exact(Metadata!I975,"years"))</f>
        <v>0</v>
      </c>
      <c r="AK975">
        <f>IF(Metadata!J975="",FALSE,TRUE)</f>
        <v>0</v>
      </c>
      <c r="AL975">
        <f>OR(AND(IF(Metadata!K975="",FALSE,TRUE),OR(exact(Metadata!K975,"not collected"),exact(Metadata!K975,"not provided"))),AND(IF(Metadata!K975="",FALSE,ISNUMBER(VALUE(Metadata!K975))),Metadata!K975&gt;0))</f>
        <v>0</v>
      </c>
      <c r="AM975">
        <f>AND(IF(Metadata!L975="",FALSE,TRUE),exact(Metadata!L975,"cm"))</f>
        <v>0</v>
      </c>
      <c r="AN975">
        <f>IF(Metadata!M975="",FALSE,TRUE)</f>
        <v>0</v>
      </c>
      <c r="AO975">
        <f>OR(AND(IF(Metadata!N975="",FALSE,TRUE),OR(exact(Metadata!N975,"not applicable"),exact(Metadata!N975,"not collected"),exact(Metadata!N975,"not provided"))),AND(IF(Metadata!N975="",FALSE,IF(ISERROR(INT(Metadata!N975)),FALSE,INT(Metadata!N975)=Metadata!N975)),Metadata!N975&gt;0))</f>
        <v>0</v>
      </c>
      <c r="AP975">
        <f>OR(AND(IF(Metadata!O975="",FALSE,TRUE),OR(exact(Metadata!O975,"not collected"),exact(Metadata!O975,"not provided"))),AND(IF(Metadata!O975="",FALSE,ISNUMBER(VALUE(Metadata!O975))),Metadata!O975&gt;0))</f>
        <v>0</v>
      </c>
      <c r="AQ975">
        <f>AND(IF(Metadata!P975="",FALSE,TRUE),exact(Metadata!P975,"kg"))</f>
        <v>0</v>
      </c>
      <c r="AR975">
        <f>OR(AND(IF(Metadata!Q975="",FALSE,TRUE),OR(exact(Metadata!Q975,"not applicable"),exact(Metadata!Q975,"not collected"),exact(Metadata!Q975,"not provided"),exact(Metadata!Q975,"restricted access"))),IF(Metadata!Q975="",FALSE,IF(ISERROR(INT(Metadata!Q975)),FALSE,INT(Metadata!Q975)=Metadata!Q975)))</f>
        <v>0</v>
      </c>
      <c r="AS975">
        <f>AND(IF(Metadata!R975="",FALSE,TRUE),exact(Metadata!R975,"Not applicable"))</f>
        <v>0</v>
      </c>
    </row>
    <row r="976" spans="1:45">
      <c r="A976" s="4">
        <f>IF(B976=" "," ",HYPERLINK(CONCATENATE("#metadata!",ADDRESS(INDEX($X$2:$X$1001,MATCH(ROWS($V$2:V976),$V$2:$V$1001,0),0),2)),INDEX($AA$2:$AA$1001,MATCH(ROWS($V$2:V976),$V$2:$V$1001,0),0)))</f>
        <v>0</v>
      </c>
      <c r="B976" s="5">
        <f>IF(OR(INDEX($W$2:$W$1001,MATCH(ROWS($V$2:V976),$V$2:$V$1001,0),1)&gt;=100000,INDEX($AC$1005:$AS$1005,1,MATCH(COLUMNS($AC$1006:AC1006),$AC$1006:$AS$1006,0))&gt;=100000), " ",IF(INDEX($AC$2:$AS$1001,MATCH(ROWS($V$2:V976),$V$2:$V$1001,0),MATCH(COLUMNS($AC$1006:AC1006),$AC$1006:$AS$1006,0)), HYPERLINK("#",""), HYPERLINK(CONCATENATE("#Metadata!", ADDRESS(INDEX($X$2:$X$1001,MATCH(ROWS($V$2:V976),$V$2:$V$1001,0),0), INDEX($AC$1004:$AS$1004,1,MATCH(COLUMNS($AC$1006:AC1006),$AC$1006:$AS$1006,0)))),"Fix")))</f>
        <v>0</v>
      </c>
      <c r="C976" s="5">
        <f>IF(OR(INDEX($W$2:$W$1001,MATCH(ROWS($V$2:V976),$V$2:$V$1001,0),1)&gt;=100000,INDEX($AC$1005:$AS$1005,1,MATCH(COLUMNS($AC$1006:AD1006),$AC$1006:$AS$1006,0))&gt;=100000), " ",IF(INDEX($AC$2:$AS$1001,MATCH(ROWS($V$2:V976),$V$2:$V$1001,0),MATCH(COLUMNS($AC$1006:AD1006),$AC$1006:$AS$1006,0)), HYPERLINK("#",""), HYPERLINK(CONCATENATE("#Metadata!", ADDRESS(INDEX($X$2:$X$1001,MATCH(ROWS($V$2:V976),$V$2:$V$1001,0),0), INDEX($AC$1004:$AS$1004,1,MATCH(COLUMNS($AC$1006:AD1006),$AC$1006:$AS$1006,0)))),"Fix")))</f>
        <v>0</v>
      </c>
      <c r="D976" s="5">
        <f>IF(OR(INDEX($W$2:$W$1001,MATCH(ROWS($V$2:V976),$V$2:$V$1001,0),1)&gt;=100000,INDEX($AC$1005:$AS$1005,1,MATCH(COLUMNS($AC$1006:AE1006),$AC$1006:$AS$1006,0))&gt;=100000), " ",IF(INDEX($AC$2:$AS$1001,MATCH(ROWS($V$2:V976),$V$2:$V$1001,0),MATCH(COLUMNS($AC$1006:AE1006),$AC$1006:$AS$1006,0)), HYPERLINK("#",""), HYPERLINK(CONCATENATE("#Metadata!", ADDRESS(INDEX($X$2:$X$1001,MATCH(ROWS($V$2:V976),$V$2:$V$1001,0),0), INDEX($AC$1004:$AS$1004,1,MATCH(COLUMNS($AC$1006:AE1006),$AC$1006:$AS$1006,0)))),"Fix")))</f>
        <v>0</v>
      </c>
      <c r="E976" s="5">
        <f>IF(OR(INDEX($W$2:$W$1001,MATCH(ROWS($V$2:V976),$V$2:$V$1001,0),1)&gt;=100000,INDEX($AC$1005:$AS$1005,1,MATCH(COLUMNS($AC$1006:AF1006),$AC$1006:$AS$1006,0))&gt;=100000), " ",IF(INDEX($AC$2:$AS$1001,MATCH(ROWS($V$2:V976),$V$2:$V$1001,0),MATCH(COLUMNS($AC$1006:AF1006),$AC$1006:$AS$1006,0)), HYPERLINK("#",""), HYPERLINK(CONCATENATE("#Metadata!", ADDRESS(INDEX($X$2:$X$1001,MATCH(ROWS($V$2:V976),$V$2:$V$1001,0),0), INDEX($AC$1004:$AS$1004,1,MATCH(COLUMNS($AC$1006:AF1006),$AC$1006:$AS$1006,0)))),"Fix")))</f>
        <v>0</v>
      </c>
      <c r="F976" s="5">
        <f>IF(OR(INDEX($W$2:$W$1001,MATCH(ROWS($V$2:V976),$V$2:$V$1001,0),1)&gt;=100000,INDEX($AC$1005:$AS$1005,1,MATCH(COLUMNS($AC$1006:AG1006),$AC$1006:$AS$1006,0))&gt;=100000), " ",IF(INDEX($AC$2:$AS$1001,MATCH(ROWS($V$2:V976),$V$2:$V$1001,0),MATCH(COLUMNS($AC$1006:AG1006),$AC$1006:$AS$1006,0)), HYPERLINK("#",""), HYPERLINK(CONCATENATE("#Metadata!", ADDRESS(INDEX($X$2:$X$1001,MATCH(ROWS($V$2:V976),$V$2:$V$1001,0),0), INDEX($AC$1004:$AS$1004,1,MATCH(COLUMNS($AC$1006:AG1006),$AC$1006:$AS$1006,0)))),"Fix")))</f>
        <v>0</v>
      </c>
      <c r="G976" s="5">
        <f>IF(OR(INDEX($W$2:$W$1001,MATCH(ROWS($V$2:V976),$V$2:$V$1001,0),1)&gt;=100000,INDEX($AC$1005:$AS$1005,1,MATCH(COLUMNS($AC$1006:AH1006),$AC$1006:$AS$1006,0))&gt;=100000), " ",IF(INDEX($AC$2:$AS$1001,MATCH(ROWS($V$2:V976),$V$2:$V$1001,0),MATCH(COLUMNS($AC$1006:AH1006),$AC$1006:$AS$1006,0)), HYPERLINK("#",""), HYPERLINK(CONCATENATE("#Metadata!", ADDRESS(INDEX($X$2:$X$1001,MATCH(ROWS($V$2:V976),$V$2:$V$1001,0),0), INDEX($AC$1004:$AS$1004,1,MATCH(COLUMNS($AC$1006:AH1006),$AC$1006:$AS$1006,0)))),"Fix")))</f>
        <v>0</v>
      </c>
      <c r="H976" s="5">
        <f>IF(OR(INDEX($W$2:$W$1001,MATCH(ROWS($V$2:V976),$V$2:$V$1001,0),1)&gt;=100000,INDEX($AC$1005:$AS$1005,1,MATCH(COLUMNS($AC$1006:AI1006),$AC$1006:$AS$1006,0))&gt;=100000), " ",IF(INDEX($AC$2:$AS$1001,MATCH(ROWS($V$2:V976),$V$2:$V$1001,0),MATCH(COLUMNS($AC$1006:AI1006),$AC$1006:$AS$1006,0)), HYPERLINK("#",""), HYPERLINK(CONCATENATE("#Metadata!", ADDRESS(INDEX($X$2:$X$1001,MATCH(ROWS($V$2:V976),$V$2:$V$1001,0),0), INDEX($AC$1004:$AS$1004,1,MATCH(COLUMNS($AC$1006:AI1006),$AC$1006:$AS$1006,0)))),"Fix")))</f>
        <v>0</v>
      </c>
      <c r="I976" s="5">
        <f>IF(OR(INDEX($W$2:$W$1001,MATCH(ROWS($V$2:V976),$V$2:$V$1001,0),1)&gt;=100000,INDEX($AC$1005:$AS$1005,1,MATCH(COLUMNS($AC$1006:AJ1006),$AC$1006:$AS$1006,0))&gt;=100000), " ",IF(INDEX($AC$2:$AS$1001,MATCH(ROWS($V$2:V976),$V$2:$V$1001,0),MATCH(COLUMNS($AC$1006:AJ1006),$AC$1006:$AS$1006,0)), HYPERLINK("#",""), HYPERLINK(CONCATENATE("#Metadata!", ADDRESS(INDEX($X$2:$X$1001,MATCH(ROWS($V$2:V976),$V$2:$V$1001,0),0), INDEX($AC$1004:$AS$1004,1,MATCH(COLUMNS($AC$1006:AJ1006),$AC$1006:$AS$1006,0)))),"Fix")))</f>
        <v>0</v>
      </c>
      <c r="J976" s="5">
        <f>IF(OR(INDEX($W$2:$W$1001,MATCH(ROWS($V$2:V976),$V$2:$V$1001,0),1)&gt;=100000,INDEX($AC$1005:$AS$1005,1,MATCH(COLUMNS($AC$1006:AK1006),$AC$1006:$AS$1006,0))&gt;=100000), " ",IF(INDEX($AC$2:$AS$1001,MATCH(ROWS($V$2:V976),$V$2:$V$1001,0),MATCH(COLUMNS($AC$1006:AK1006),$AC$1006:$AS$1006,0)), HYPERLINK("#",""), HYPERLINK(CONCATENATE("#Metadata!", ADDRESS(INDEX($X$2:$X$1001,MATCH(ROWS($V$2:V976),$V$2:$V$1001,0),0), INDEX($AC$1004:$AS$1004,1,MATCH(COLUMNS($AC$1006:AK1006),$AC$1006:$AS$1006,0)))),"Fix")))</f>
        <v>0</v>
      </c>
      <c r="K976" s="5">
        <f>IF(OR(INDEX($W$2:$W$1001,MATCH(ROWS($V$2:V976),$V$2:$V$1001,0),1)&gt;=100000,INDEX($AC$1005:$AS$1005,1,MATCH(COLUMNS($AC$1006:AL1006),$AC$1006:$AS$1006,0))&gt;=100000), " ",IF(INDEX($AC$2:$AS$1001,MATCH(ROWS($V$2:V976),$V$2:$V$1001,0),MATCH(COLUMNS($AC$1006:AL1006),$AC$1006:$AS$1006,0)), HYPERLINK("#",""), HYPERLINK(CONCATENATE("#Metadata!", ADDRESS(INDEX($X$2:$X$1001,MATCH(ROWS($V$2:V976),$V$2:$V$1001,0),0), INDEX($AC$1004:$AS$1004,1,MATCH(COLUMNS($AC$1006:AL1006),$AC$1006:$AS$1006,0)))),"Fix")))</f>
        <v>0</v>
      </c>
      <c r="L976" s="5">
        <f>IF(OR(INDEX($W$2:$W$1001,MATCH(ROWS($V$2:V976),$V$2:$V$1001,0),1)&gt;=100000,INDEX($AC$1005:$AS$1005,1,MATCH(COLUMNS($AC$1006:AM1006),$AC$1006:$AS$1006,0))&gt;=100000), " ",IF(INDEX($AC$2:$AS$1001,MATCH(ROWS($V$2:V976),$V$2:$V$1001,0),MATCH(COLUMNS($AC$1006:AM1006),$AC$1006:$AS$1006,0)), HYPERLINK("#",""), HYPERLINK(CONCATENATE("#Metadata!", ADDRESS(INDEX($X$2:$X$1001,MATCH(ROWS($V$2:V976),$V$2:$V$1001,0),0), INDEX($AC$1004:$AS$1004,1,MATCH(COLUMNS($AC$1006:AM1006),$AC$1006:$AS$1006,0)))),"Fix")))</f>
        <v>0</v>
      </c>
      <c r="M976" s="5">
        <f>IF(OR(INDEX($W$2:$W$1001,MATCH(ROWS($V$2:V976),$V$2:$V$1001,0),1)&gt;=100000,INDEX($AC$1005:$AS$1005,1,MATCH(COLUMNS($AC$1006:AN1006),$AC$1006:$AS$1006,0))&gt;=100000), " ",IF(INDEX($AC$2:$AS$1001,MATCH(ROWS($V$2:V976),$V$2:$V$1001,0),MATCH(COLUMNS($AC$1006:AN1006),$AC$1006:$AS$1006,0)), HYPERLINK("#",""), HYPERLINK(CONCATENATE("#Metadata!", ADDRESS(INDEX($X$2:$X$1001,MATCH(ROWS($V$2:V976),$V$2:$V$1001,0),0), INDEX($AC$1004:$AS$1004,1,MATCH(COLUMNS($AC$1006:AN1006),$AC$1006:$AS$1006,0)))),"Fix")))</f>
        <v>0</v>
      </c>
      <c r="N976" s="5">
        <f>IF(OR(INDEX($W$2:$W$1001,MATCH(ROWS($V$2:V976),$V$2:$V$1001,0),1)&gt;=100000,INDEX($AC$1005:$AS$1005,1,MATCH(COLUMNS($AC$1006:AO1006),$AC$1006:$AS$1006,0))&gt;=100000), " ",IF(INDEX($AC$2:$AS$1001,MATCH(ROWS($V$2:V976),$V$2:$V$1001,0),MATCH(COLUMNS($AC$1006:AO1006),$AC$1006:$AS$1006,0)), HYPERLINK("#",""), HYPERLINK(CONCATENATE("#Metadata!", ADDRESS(INDEX($X$2:$X$1001,MATCH(ROWS($V$2:V976),$V$2:$V$1001,0),0), INDEX($AC$1004:$AS$1004,1,MATCH(COLUMNS($AC$1006:AO1006),$AC$1006:$AS$1006,0)))),"Fix")))</f>
        <v>0</v>
      </c>
      <c r="O976" s="5">
        <f>IF(OR(INDEX($W$2:$W$1001,MATCH(ROWS($V$2:V976),$V$2:$V$1001,0),1)&gt;=100000,INDEX($AC$1005:$AS$1005,1,MATCH(COLUMNS($AC$1006:AP1006),$AC$1006:$AS$1006,0))&gt;=100000), " ",IF(INDEX($AC$2:$AS$1001,MATCH(ROWS($V$2:V976),$V$2:$V$1001,0),MATCH(COLUMNS($AC$1006:AP1006),$AC$1006:$AS$1006,0)), HYPERLINK("#",""), HYPERLINK(CONCATENATE("#Metadata!", ADDRESS(INDEX($X$2:$X$1001,MATCH(ROWS($V$2:V976),$V$2:$V$1001,0),0), INDEX($AC$1004:$AS$1004,1,MATCH(COLUMNS($AC$1006:AP1006),$AC$1006:$AS$1006,0)))),"Fix")))</f>
        <v>0</v>
      </c>
      <c r="P976" s="5">
        <f>IF(OR(INDEX($W$2:$W$1001,MATCH(ROWS($V$2:V976),$V$2:$V$1001,0),1)&gt;=100000,INDEX($AC$1005:$AS$1005,1,MATCH(COLUMNS($AC$1006:AQ1006),$AC$1006:$AS$1006,0))&gt;=100000), " ",IF(INDEX($AC$2:$AS$1001,MATCH(ROWS($V$2:V976),$V$2:$V$1001,0),MATCH(COLUMNS($AC$1006:AQ1006),$AC$1006:$AS$1006,0)), HYPERLINK("#",""), HYPERLINK(CONCATENATE("#Metadata!", ADDRESS(INDEX($X$2:$X$1001,MATCH(ROWS($V$2:V976),$V$2:$V$1001,0),0), INDEX($AC$1004:$AS$1004,1,MATCH(COLUMNS($AC$1006:AQ1006),$AC$1006:$AS$1006,0)))),"Fix")))</f>
        <v>0</v>
      </c>
      <c r="Q976" s="5">
        <f>IF(OR(INDEX($W$2:$W$1001,MATCH(ROWS($V$2:V976),$V$2:$V$1001,0),1)&gt;=100000,INDEX($AC$1005:$AS$1005,1,MATCH(COLUMNS($AC$1006:AR1006),$AC$1006:$AS$1006,0))&gt;=100000), " ",IF(INDEX($AC$2:$AS$1001,MATCH(ROWS($V$2:V976),$V$2:$V$1001,0),MATCH(COLUMNS($AC$1006:AR1006),$AC$1006:$AS$1006,0)), HYPERLINK("#",""), HYPERLINK(CONCATENATE("#Metadata!", ADDRESS(INDEX($X$2:$X$1001,MATCH(ROWS($V$2:V976),$V$2:$V$1001,0),0), INDEX($AC$1004:$AS$1004,1,MATCH(COLUMNS($AC$1006:AR1006),$AC$1006:$AS$1006,0)))),"Fix")))</f>
        <v>0</v>
      </c>
      <c r="R976" s="5">
        <f>IF(OR(INDEX($W$2:$W$1001,MATCH(ROWS($V$2:V976),$V$2:$V$1001,0),1)&gt;=100000,INDEX($AC$1005:$AS$1005,1,MATCH(COLUMNS($AC$1006:AS1006),$AC$1006:$AS$1006,0))&gt;=100000), " ",IF(INDEX($AC$2:$AS$1001,MATCH(ROWS($V$2:V976),$V$2:$V$1001,0),MATCH(COLUMNS($AC$1006:AS1006),$AC$1006:$AS$1006,0)), HYPERLINK("#",""), HYPERLINK(CONCATENATE("#Metadata!", ADDRESS(INDEX($X$2:$X$1001,MATCH(ROWS($V$2:V976),$V$2:$V$1001,0),0), INDEX($AC$1004:$AS$1004,1,MATCH(COLUMNS($AC$1006:AS1006),$AC$1006:$AS$1006,0)))),"Fix")))</f>
        <v>0</v>
      </c>
      <c r="V976">
        <v>0</v>
      </c>
      <c r="W976">
        <v>0</v>
      </c>
      <c r="X976">
        <v>0</v>
      </c>
      <c r="Y976">
        <f>IF(Z976,TRUE,AND(AC976:AS976))</f>
        <v>0</v>
      </c>
      <c r="Z976">
        <f>COUNTBLANK(Metadata!B976:R976)=COLUMNS(Metadata!B976:R976)</f>
        <v>0</v>
      </c>
      <c r="AA976">
        <v>0</v>
      </c>
      <c r="AC976">
        <f>AND(IF(Metadata!B976="",FALSE,TRUE),COUNTIF(Metadata!B:B, Metadata!B976) = 1,NOT(ISERROR(SUMPRODUCT(SEARCH(MID(Metadata!B976,ROW(INDIRECT("1:"&amp;LEN(Metadata!B976))), 1),"0123456789abcdefghijklmnopqrstuvwxyzABCDEFGHIJKLMNOPQRSTUVWXYZ.")))))</f>
        <v>0</v>
      </c>
      <c r="AD976">
        <f>AND(IF(Metadata!C976="",FALSE,TRUE),exact(Metadata!C976,"Host-associated"))</f>
        <v>0</v>
      </c>
      <c r="AE976">
        <f>AND(IF(Metadata!D976="",FALSE,TRUE),OR(exact(Metadata!D976,"Animal"),exact(Metadata!D976,"Fungus"),exact(Metadata!D976,"Plant")))</f>
        <v>0</v>
      </c>
      <c r="AF976">
        <f>AND(IF(Metadata!E976="",FALSE,TRUE),OR(exact(Metadata!E976,"Plant secretion"),exact(Metadata!E976,"Plant rhizosphere"),exact(Metadata!E976,"Plant surface"),exact(Metadata!E976,"Plant corpus"),exact(Metadata!E976,"Fungus surface"),exact(Metadata!E976,"Fungus corpus"),exact(Metadata!E976,"Animal surface"),exact(Metadata!E976,"Animal proximal gut"),exact(Metadata!E976,"Animal corpus"),exact(Metadata!E976,"Animal distal gut"),exact(Metadata!E976,"Animal secretion")))</f>
        <v>0</v>
      </c>
      <c r="AG976">
        <f>OR(AND(IF(Metadata!F976="",FALSE,TRUE),OR(exact(Metadata!F976,"not collected"),exact(Metadata!F976,"not provided"),exact(Metadata!F976,"restricted access"))),AND(IF(Metadata!F976="",FALSE,TRUE),OR(exact(Metadata!F976,"organism-associated habitat"),exact(Metadata!F976,"plant-associated habitat"),exact(Metadata!F976,"animal-associated habitat"),exact(Metadata!F976,"insecta-associated habitat"),exact(Metadata!F976,"mammalia-associated habitat"),exact(Metadata!F976,"human-associated habitat"),exact(Metadata!F976,"livestock-associated habitat"))))</f>
        <v>0</v>
      </c>
      <c r="AH976">
        <f>AND(IF(Metadata!G976="",FALSE,TRUE),exact(Metadata!G976,"host-associated"))</f>
        <v>0</v>
      </c>
      <c r="AI976">
        <f>OR(AND(IF(Metadata!H976="",FALSE,TRUE),OR(exact(Metadata!H976,"not collected"),exact(Metadata!H976,"not provided"))),AND(IF(Metadata!H976="",FALSE,ISNUMBER(VALUE(Metadata!H976))),Metadata!H976&gt;0))</f>
        <v>0</v>
      </c>
      <c r="AJ976">
        <f>AND(IF(Metadata!I976="",FALSE,TRUE),exact(Metadata!I976,"years"))</f>
        <v>0</v>
      </c>
      <c r="AK976">
        <f>IF(Metadata!J976="",FALSE,TRUE)</f>
        <v>0</v>
      </c>
      <c r="AL976">
        <f>OR(AND(IF(Metadata!K976="",FALSE,TRUE),OR(exact(Metadata!K976,"not collected"),exact(Metadata!K976,"not provided"))),AND(IF(Metadata!K976="",FALSE,ISNUMBER(VALUE(Metadata!K976))),Metadata!K976&gt;0))</f>
        <v>0</v>
      </c>
      <c r="AM976">
        <f>AND(IF(Metadata!L976="",FALSE,TRUE),exact(Metadata!L976,"cm"))</f>
        <v>0</v>
      </c>
      <c r="AN976">
        <f>IF(Metadata!M976="",FALSE,TRUE)</f>
        <v>0</v>
      </c>
      <c r="AO976">
        <f>OR(AND(IF(Metadata!N976="",FALSE,TRUE),OR(exact(Metadata!N976,"not applicable"),exact(Metadata!N976,"not collected"),exact(Metadata!N976,"not provided"))),AND(IF(Metadata!N976="",FALSE,IF(ISERROR(INT(Metadata!N976)),FALSE,INT(Metadata!N976)=Metadata!N976)),Metadata!N976&gt;0))</f>
        <v>0</v>
      </c>
      <c r="AP976">
        <f>OR(AND(IF(Metadata!O976="",FALSE,TRUE),OR(exact(Metadata!O976,"not collected"),exact(Metadata!O976,"not provided"))),AND(IF(Metadata!O976="",FALSE,ISNUMBER(VALUE(Metadata!O976))),Metadata!O976&gt;0))</f>
        <v>0</v>
      </c>
      <c r="AQ976">
        <f>AND(IF(Metadata!P976="",FALSE,TRUE),exact(Metadata!P976,"kg"))</f>
        <v>0</v>
      </c>
      <c r="AR976">
        <f>OR(AND(IF(Metadata!Q976="",FALSE,TRUE),OR(exact(Metadata!Q976,"not applicable"),exact(Metadata!Q976,"not collected"),exact(Metadata!Q976,"not provided"),exact(Metadata!Q976,"restricted access"))),IF(Metadata!Q976="",FALSE,IF(ISERROR(INT(Metadata!Q976)),FALSE,INT(Metadata!Q976)=Metadata!Q976)))</f>
        <v>0</v>
      </c>
      <c r="AS976">
        <f>AND(IF(Metadata!R976="",FALSE,TRUE),exact(Metadata!R976,"Not applicable"))</f>
        <v>0</v>
      </c>
    </row>
    <row r="977" spans="1:45">
      <c r="A977" s="4">
        <f>IF(B977=" "," ",HYPERLINK(CONCATENATE("#metadata!",ADDRESS(INDEX($X$2:$X$1001,MATCH(ROWS($V$2:V977),$V$2:$V$1001,0),0),2)),INDEX($AA$2:$AA$1001,MATCH(ROWS($V$2:V977),$V$2:$V$1001,0),0)))</f>
        <v>0</v>
      </c>
      <c r="B977" s="5">
        <f>IF(OR(INDEX($W$2:$W$1001,MATCH(ROWS($V$2:V977),$V$2:$V$1001,0),1)&gt;=100000,INDEX($AC$1005:$AS$1005,1,MATCH(COLUMNS($AC$1006:AC1006),$AC$1006:$AS$1006,0))&gt;=100000), " ",IF(INDEX($AC$2:$AS$1001,MATCH(ROWS($V$2:V977),$V$2:$V$1001,0),MATCH(COLUMNS($AC$1006:AC1006),$AC$1006:$AS$1006,0)), HYPERLINK("#",""), HYPERLINK(CONCATENATE("#Metadata!", ADDRESS(INDEX($X$2:$X$1001,MATCH(ROWS($V$2:V977),$V$2:$V$1001,0),0), INDEX($AC$1004:$AS$1004,1,MATCH(COLUMNS($AC$1006:AC1006),$AC$1006:$AS$1006,0)))),"Fix")))</f>
        <v>0</v>
      </c>
      <c r="C977" s="5">
        <f>IF(OR(INDEX($W$2:$W$1001,MATCH(ROWS($V$2:V977),$V$2:$V$1001,0),1)&gt;=100000,INDEX($AC$1005:$AS$1005,1,MATCH(COLUMNS($AC$1006:AD1006),$AC$1006:$AS$1006,0))&gt;=100000), " ",IF(INDEX($AC$2:$AS$1001,MATCH(ROWS($V$2:V977),$V$2:$V$1001,0),MATCH(COLUMNS($AC$1006:AD1006),$AC$1006:$AS$1006,0)), HYPERLINK("#",""), HYPERLINK(CONCATENATE("#Metadata!", ADDRESS(INDEX($X$2:$X$1001,MATCH(ROWS($V$2:V977),$V$2:$V$1001,0),0), INDEX($AC$1004:$AS$1004,1,MATCH(COLUMNS($AC$1006:AD1006),$AC$1006:$AS$1006,0)))),"Fix")))</f>
        <v>0</v>
      </c>
      <c r="D977" s="5">
        <f>IF(OR(INDEX($W$2:$W$1001,MATCH(ROWS($V$2:V977),$V$2:$V$1001,0),1)&gt;=100000,INDEX($AC$1005:$AS$1005,1,MATCH(COLUMNS($AC$1006:AE1006),$AC$1006:$AS$1006,0))&gt;=100000), " ",IF(INDEX($AC$2:$AS$1001,MATCH(ROWS($V$2:V977),$V$2:$V$1001,0),MATCH(COLUMNS($AC$1006:AE1006),$AC$1006:$AS$1006,0)), HYPERLINK("#",""), HYPERLINK(CONCATENATE("#Metadata!", ADDRESS(INDEX($X$2:$X$1001,MATCH(ROWS($V$2:V977),$V$2:$V$1001,0),0), INDEX($AC$1004:$AS$1004,1,MATCH(COLUMNS($AC$1006:AE1006),$AC$1006:$AS$1006,0)))),"Fix")))</f>
        <v>0</v>
      </c>
      <c r="E977" s="5">
        <f>IF(OR(INDEX($W$2:$W$1001,MATCH(ROWS($V$2:V977),$V$2:$V$1001,0),1)&gt;=100000,INDEX($AC$1005:$AS$1005,1,MATCH(COLUMNS($AC$1006:AF1006),$AC$1006:$AS$1006,0))&gt;=100000), " ",IF(INDEX($AC$2:$AS$1001,MATCH(ROWS($V$2:V977),$V$2:$V$1001,0),MATCH(COLUMNS($AC$1006:AF1006),$AC$1006:$AS$1006,0)), HYPERLINK("#",""), HYPERLINK(CONCATENATE("#Metadata!", ADDRESS(INDEX($X$2:$X$1001,MATCH(ROWS($V$2:V977),$V$2:$V$1001,0),0), INDEX($AC$1004:$AS$1004,1,MATCH(COLUMNS($AC$1006:AF1006),$AC$1006:$AS$1006,0)))),"Fix")))</f>
        <v>0</v>
      </c>
      <c r="F977" s="5">
        <f>IF(OR(INDEX($W$2:$W$1001,MATCH(ROWS($V$2:V977),$V$2:$V$1001,0),1)&gt;=100000,INDEX($AC$1005:$AS$1005,1,MATCH(COLUMNS($AC$1006:AG1006),$AC$1006:$AS$1006,0))&gt;=100000), " ",IF(INDEX($AC$2:$AS$1001,MATCH(ROWS($V$2:V977),$V$2:$V$1001,0),MATCH(COLUMNS($AC$1006:AG1006),$AC$1006:$AS$1006,0)), HYPERLINK("#",""), HYPERLINK(CONCATENATE("#Metadata!", ADDRESS(INDEX($X$2:$X$1001,MATCH(ROWS($V$2:V977),$V$2:$V$1001,0),0), INDEX($AC$1004:$AS$1004,1,MATCH(COLUMNS($AC$1006:AG1006),$AC$1006:$AS$1006,0)))),"Fix")))</f>
        <v>0</v>
      </c>
      <c r="G977" s="5">
        <f>IF(OR(INDEX($W$2:$W$1001,MATCH(ROWS($V$2:V977),$V$2:$V$1001,0),1)&gt;=100000,INDEX($AC$1005:$AS$1005,1,MATCH(COLUMNS($AC$1006:AH1006),$AC$1006:$AS$1006,0))&gt;=100000), " ",IF(INDEX($AC$2:$AS$1001,MATCH(ROWS($V$2:V977),$V$2:$V$1001,0),MATCH(COLUMNS($AC$1006:AH1006),$AC$1006:$AS$1006,0)), HYPERLINK("#",""), HYPERLINK(CONCATENATE("#Metadata!", ADDRESS(INDEX($X$2:$X$1001,MATCH(ROWS($V$2:V977),$V$2:$V$1001,0),0), INDEX($AC$1004:$AS$1004,1,MATCH(COLUMNS($AC$1006:AH1006),$AC$1006:$AS$1006,0)))),"Fix")))</f>
        <v>0</v>
      </c>
      <c r="H977" s="5">
        <f>IF(OR(INDEX($W$2:$W$1001,MATCH(ROWS($V$2:V977),$V$2:$V$1001,0),1)&gt;=100000,INDEX($AC$1005:$AS$1005,1,MATCH(COLUMNS($AC$1006:AI1006),$AC$1006:$AS$1006,0))&gt;=100000), " ",IF(INDEX($AC$2:$AS$1001,MATCH(ROWS($V$2:V977),$V$2:$V$1001,0),MATCH(COLUMNS($AC$1006:AI1006),$AC$1006:$AS$1006,0)), HYPERLINK("#",""), HYPERLINK(CONCATENATE("#Metadata!", ADDRESS(INDEX($X$2:$X$1001,MATCH(ROWS($V$2:V977),$V$2:$V$1001,0),0), INDEX($AC$1004:$AS$1004,1,MATCH(COLUMNS($AC$1006:AI1006),$AC$1006:$AS$1006,0)))),"Fix")))</f>
        <v>0</v>
      </c>
      <c r="I977" s="5">
        <f>IF(OR(INDEX($W$2:$W$1001,MATCH(ROWS($V$2:V977),$V$2:$V$1001,0),1)&gt;=100000,INDEX($AC$1005:$AS$1005,1,MATCH(COLUMNS($AC$1006:AJ1006),$AC$1006:$AS$1006,0))&gt;=100000), " ",IF(INDEX($AC$2:$AS$1001,MATCH(ROWS($V$2:V977),$V$2:$V$1001,0),MATCH(COLUMNS($AC$1006:AJ1006),$AC$1006:$AS$1006,0)), HYPERLINK("#",""), HYPERLINK(CONCATENATE("#Metadata!", ADDRESS(INDEX($X$2:$X$1001,MATCH(ROWS($V$2:V977),$V$2:$V$1001,0),0), INDEX($AC$1004:$AS$1004,1,MATCH(COLUMNS($AC$1006:AJ1006),$AC$1006:$AS$1006,0)))),"Fix")))</f>
        <v>0</v>
      </c>
      <c r="J977" s="5">
        <f>IF(OR(INDEX($W$2:$W$1001,MATCH(ROWS($V$2:V977),$V$2:$V$1001,0),1)&gt;=100000,INDEX($AC$1005:$AS$1005,1,MATCH(COLUMNS($AC$1006:AK1006),$AC$1006:$AS$1006,0))&gt;=100000), " ",IF(INDEX($AC$2:$AS$1001,MATCH(ROWS($V$2:V977),$V$2:$V$1001,0),MATCH(COLUMNS($AC$1006:AK1006),$AC$1006:$AS$1006,0)), HYPERLINK("#",""), HYPERLINK(CONCATENATE("#Metadata!", ADDRESS(INDEX($X$2:$X$1001,MATCH(ROWS($V$2:V977),$V$2:$V$1001,0),0), INDEX($AC$1004:$AS$1004,1,MATCH(COLUMNS($AC$1006:AK1006),$AC$1006:$AS$1006,0)))),"Fix")))</f>
        <v>0</v>
      </c>
      <c r="K977" s="5">
        <f>IF(OR(INDEX($W$2:$W$1001,MATCH(ROWS($V$2:V977),$V$2:$V$1001,0),1)&gt;=100000,INDEX($AC$1005:$AS$1005,1,MATCH(COLUMNS($AC$1006:AL1006),$AC$1006:$AS$1006,0))&gt;=100000), " ",IF(INDEX($AC$2:$AS$1001,MATCH(ROWS($V$2:V977),$V$2:$V$1001,0),MATCH(COLUMNS($AC$1006:AL1006),$AC$1006:$AS$1006,0)), HYPERLINK("#",""), HYPERLINK(CONCATENATE("#Metadata!", ADDRESS(INDEX($X$2:$X$1001,MATCH(ROWS($V$2:V977),$V$2:$V$1001,0),0), INDEX($AC$1004:$AS$1004,1,MATCH(COLUMNS($AC$1006:AL1006),$AC$1006:$AS$1006,0)))),"Fix")))</f>
        <v>0</v>
      </c>
      <c r="L977" s="5">
        <f>IF(OR(INDEX($W$2:$W$1001,MATCH(ROWS($V$2:V977),$V$2:$V$1001,0),1)&gt;=100000,INDEX($AC$1005:$AS$1005,1,MATCH(COLUMNS($AC$1006:AM1006),$AC$1006:$AS$1006,0))&gt;=100000), " ",IF(INDEX($AC$2:$AS$1001,MATCH(ROWS($V$2:V977),$V$2:$V$1001,0),MATCH(COLUMNS($AC$1006:AM1006),$AC$1006:$AS$1006,0)), HYPERLINK("#",""), HYPERLINK(CONCATENATE("#Metadata!", ADDRESS(INDEX($X$2:$X$1001,MATCH(ROWS($V$2:V977),$V$2:$V$1001,0),0), INDEX($AC$1004:$AS$1004,1,MATCH(COLUMNS($AC$1006:AM1006),$AC$1006:$AS$1006,0)))),"Fix")))</f>
        <v>0</v>
      </c>
      <c r="M977" s="5">
        <f>IF(OR(INDEX($W$2:$W$1001,MATCH(ROWS($V$2:V977),$V$2:$V$1001,0),1)&gt;=100000,INDEX($AC$1005:$AS$1005,1,MATCH(COLUMNS($AC$1006:AN1006),$AC$1006:$AS$1006,0))&gt;=100000), " ",IF(INDEX($AC$2:$AS$1001,MATCH(ROWS($V$2:V977),$V$2:$V$1001,0),MATCH(COLUMNS($AC$1006:AN1006),$AC$1006:$AS$1006,0)), HYPERLINK("#",""), HYPERLINK(CONCATENATE("#Metadata!", ADDRESS(INDEX($X$2:$X$1001,MATCH(ROWS($V$2:V977),$V$2:$V$1001,0),0), INDEX($AC$1004:$AS$1004,1,MATCH(COLUMNS($AC$1006:AN1006),$AC$1006:$AS$1006,0)))),"Fix")))</f>
        <v>0</v>
      </c>
      <c r="N977" s="5">
        <f>IF(OR(INDEX($W$2:$W$1001,MATCH(ROWS($V$2:V977),$V$2:$V$1001,0),1)&gt;=100000,INDEX($AC$1005:$AS$1005,1,MATCH(COLUMNS($AC$1006:AO1006),$AC$1006:$AS$1006,0))&gt;=100000), " ",IF(INDEX($AC$2:$AS$1001,MATCH(ROWS($V$2:V977),$V$2:$V$1001,0),MATCH(COLUMNS($AC$1006:AO1006),$AC$1006:$AS$1006,0)), HYPERLINK("#",""), HYPERLINK(CONCATENATE("#Metadata!", ADDRESS(INDEX($X$2:$X$1001,MATCH(ROWS($V$2:V977),$V$2:$V$1001,0),0), INDEX($AC$1004:$AS$1004,1,MATCH(COLUMNS($AC$1006:AO1006),$AC$1006:$AS$1006,0)))),"Fix")))</f>
        <v>0</v>
      </c>
      <c r="O977" s="5">
        <f>IF(OR(INDEX($W$2:$W$1001,MATCH(ROWS($V$2:V977),$V$2:$V$1001,0),1)&gt;=100000,INDEX($AC$1005:$AS$1005,1,MATCH(COLUMNS($AC$1006:AP1006),$AC$1006:$AS$1006,0))&gt;=100000), " ",IF(INDEX($AC$2:$AS$1001,MATCH(ROWS($V$2:V977),$V$2:$V$1001,0),MATCH(COLUMNS($AC$1006:AP1006),$AC$1006:$AS$1006,0)), HYPERLINK("#",""), HYPERLINK(CONCATENATE("#Metadata!", ADDRESS(INDEX($X$2:$X$1001,MATCH(ROWS($V$2:V977),$V$2:$V$1001,0),0), INDEX($AC$1004:$AS$1004,1,MATCH(COLUMNS($AC$1006:AP1006),$AC$1006:$AS$1006,0)))),"Fix")))</f>
        <v>0</v>
      </c>
      <c r="P977" s="5">
        <f>IF(OR(INDEX($W$2:$W$1001,MATCH(ROWS($V$2:V977),$V$2:$V$1001,0),1)&gt;=100000,INDEX($AC$1005:$AS$1005,1,MATCH(COLUMNS($AC$1006:AQ1006),$AC$1006:$AS$1006,0))&gt;=100000), " ",IF(INDEX($AC$2:$AS$1001,MATCH(ROWS($V$2:V977),$V$2:$V$1001,0),MATCH(COLUMNS($AC$1006:AQ1006),$AC$1006:$AS$1006,0)), HYPERLINK("#",""), HYPERLINK(CONCATENATE("#Metadata!", ADDRESS(INDEX($X$2:$X$1001,MATCH(ROWS($V$2:V977),$V$2:$V$1001,0),0), INDEX($AC$1004:$AS$1004,1,MATCH(COLUMNS($AC$1006:AQ1006),$AC$1006:$AS$1006,0)))),"Fix")))</f>
        <v>0</v>
      </c>
      <c r="Q977" s="5">
        <f>IF(OR(INDEX($W$2:$W$1001,MATCH(ROWS($V$2:V977),$V$2:$V$1001,0),1)&gt;=100000,INDEX($AC$1005:$AS$1005,1,MATCH(COLUMNS($AC$1006:AR1006),$AC$1006:$AS$1006,0))&gt;=100000), " ",IF(INDEX($AC$2:$AS$1001,MATCH(ROWS($V$2:V977),$V$2:$V$1001,0),MATCH(COLUMNS($AC$1006:AR1006),$AC$1006:$AS$1006,0)), HYPERLINK("#",""), HYPERLINK(CONCATENATE("#Metadata!", ADDRESS(INDEX($X$2:$X$1001,MATCH(ROWS($V$2:V977),$V$2:$V$1001,0),0), INDEX($AC$1004:$AS$1004,1,MATCH(COLUMNS($AC$1006:AR1006),$AC$1006:$AS$1006,0)))),"Fix")))</f>
        <v>0</v>
      </c>
      <c r="R977" s="5">
        <f>IF(OR(INDEX($W$2:$W$1001,MATCH(ROWS($V$2:V977),$V$2:$V$1001,0),1)&gt;=100000,INDEX($AC$1005:$AS$1005,1,MATCH(COLUMNS($AC$1006:AS1006),$AC$1006:$AS$1006,0))&gt;=100000), " ",IF(INDEX($AC$2:$AS$1001,MATCH(ROWS($V$2:V977),$V$2:$V$1001,0),MATCH(COLUMNS($AC$1006:AS1006),$AC$1006:$AS$1006,0)), HYPERLINK("#",""), HYPERLINK(CONCATENATE("#Metadata!", ADDRESS(INDEX($X$2:$X$1001,MATCH(ROWS($V$2:V977),$V$2:$V$1001,0),0), INDEX($AC$1004:$AS$1004,1,MATCH(COLUMNS($AC$1006:AS1006),$AC$1006:$AS$1006,0)))),"Fix")))</f>
        <v>0</v>
      </c>
      <c r="V977">
        <v>0</v>
      </c>
      <c r="W977">
        <v>0</v>
      </c>
      <c r="X977">
        <v>0</v>
      </c>
      <c r="Y977">
        <f>IF(Z977,TRUE,AND(AC977:AS977))</f>
        <v>0</v>
      </c>
      <c r="Z977">
        <f>COUNTBLANK(Metadata!B977:R977)=COLUMNS(Metadata!B977:R977)</f>
        <v>0</v>
      </c>
      <c r="AA977">
        <v>0</v>
      </c>
      <c r="AC977">
        <f>AND(IF(Metadata!B977="",FALSE,TRUE),COUNTIF(Metadata!B:B, Metadata!B977) = 1,NOT(ISERROR(SUMPRODUCT(SEARCH(MID(Metadata!B977,ROW(INDIRECT("1:"&amp;LEN(Metadata!B977))), 1),"0123456789abcdefghijklmnopqrstuvwxyzABCDEFGHIJKLMNOPQRSTUVWXYZ.")))))</f>
        <v>0</v>
      </c>
      <c r="AD977">
        <f>AND(IF(Metadata!C977="",FALSE,TRUE),exact(Metadata!C977,"Host-associated"))</f>
        <v>0</v>
      </c>
      <c r="AE977">
        <f>AND(IF(Metadata!D977="",FALSE,TRUE),OR(exact(Metadata!D977,"Animal"),exact(Metadata!D977,"Fungus"),exact(Metadata!D977,"Plant")))</f>
        <v>0</v>
      </c>
      <c r="AF977">
        <f>AND(IF(Metadata!E977="",FALSE,TRUE),OR(exact(Metadata!E977,"Plant secretion"),exact(Metadata!E977,"Plant rhizosphere"),exact(Metadata!E977,"Plant surface"),exact(Metadata!E977,"Plant corpus"),exact(Metadata!E977,"Fungus surface"),exact(Metadata!E977,"Fungus corpus"),exact(Metadata!E977,"Animal surface"),exact(Metadata!E977,"Animal proximal gut"),exact(Metadata!E977,"Animal corpus"),exact(Metadata!E977,"Animal distal gut"),exact(Metadata!E977,"Animal secretion")))</f>
        <v>0</v>
      </c>
      <c r="AG977">
        <f>OR(AND(IF(Metadata!F977="",FALSE,TRUE),OR(exact(Metadata!F977,"not collected"),exact(Metadata!F977,"not provided"),exact(Metadata!F977,"restricted access"))),AND(IF(Metadata!F977="",FALSE,TRUE),OR(exact(Metadata!F977,"organism-associated habitat"),exact(Metadata!F977,"plant-associated habitat"),exact(Metadata!F977,"animal-associated habitat"),exact(Metadata!F977,"insecta-associated habitat"),exact(Metadata!F977,"mammalia-associated habitat"),exact(Metadata!F977,"human-associated habitat"),exact(Metadata!F977,"livestock-associated habitat"))))</f>
        <v>0</v>
      </c>
      <c r="AH977">
        <f>AND(IF(Metadata!G977="",FALSE,TRUE),exact(Metadata!G977,"host-associated"))</f>
        <v>0</v>
      </c>
      <c r="AI977">
        <f>OR(AND(IF(Metadata!H977="",FALSE,TRUE),OR(exact(Metadata!H977,"not collected"),exact(Metadata!H977,"not provided"))),AND(IF(Metadata!H977="",FALSE,ISNUMBER(VALUE(Metadata!H977))),Metadata!H977&gt;0))</f>
        <v>0</v>
      </c>
      <c r="AJ977">
        <f>AND(IF(Metadata!I977="",FALSE,TRUE),exact(Metadata!I977,"years"))</f>
        <v>0</v>
      </c>
      <c r="AK977">
        <f>IF(Metadata!J977="",FALSE,TRUE)</f>
        <v>0</v>
      </c>
      <c r="AL977">
        <f>OR(AND(IF(Metadata!K977="",FALSE,TRUE),OR(exact(Metadata!K977,"not collected"),exact(Metadata!K977,"not provided"))),AND(IF(Metadata!K977="",FALSE,ISNUMBER(VALUE(Metadata!K977))),Metadata!K977&gt;0))</f>
        <v>0</v>
      </c>
      <c r="AM977">
        <f>AND(IF(Metadata!L977="",FALSE,TRUE),exact(Metadata!L977,"cm"))</f>
        <v>0</v>
      </c>
      <c r="AN977">
        <f>IF(Metadata!M977="",FALSE,TRUE)</f>
        <v>0</v>
      </c>
      <c r="AO977">
        <f>OR(AND(IF(Metadata!N977="",FALSE,TRUE),OR(exact(Metadata!N977,"not applicable"),exact(Metadata!N977,"not collected"),exact(Metadata!N977,"not provided"))),AND(IF(Metadata!N977="",FALSE,IF(ISERROR(INT(Metadata!N977)),FALSE,INT(Metadata!N977)=Metadata!N977)),Metadata!N977&gt;0))</f>
        <v>0</v>
      </c>
      <c r="AP977">
        <f>OR(AND(IF(Metadata!O977="",FALSE,TRUE),OR(exact(Metadata!O977,"not collected"),exact(Metadata!O977,"not provided"))),AND(IF(Metadata!O977="",FALSE,ISNUMBER(VALUE(Metadata!O977))),Metadata!O977&gt;0))</f>
        <v>0</v>
      </c>
      <c r="AQ977">
        <f>AND(IF(Metadata!P977="",FALSE,TRUE),exact(Metadata!P977,"kg"))</f>
        <v>0</v>
      </c>
      <c r="AR977">
        <f>OR(AND(IF(Metadata!Q977="",FALSE,TRUE),OR(exact(Metadata!Q977,"not applicable"),exact(Metadata!Q977,"not collected"),exact(Metadata!Q977,"not provided"),exact(Metadata!Q977,"restricted access"))),IF(Metadata!Q977="",FALSE,IF(ISERROR(INT(Metadata!Q977)),FALSE,INT(Metadata!Q977)=Metadata!Q977)))</f>
        <v>0</v>
      </c>
      <c r="AS977">
        <f>AND(IF(Metadata!R977="",FALSE,TRUE),exact(Metadata!R977,"Not applicable"))</f>
        <v>0</v>
      </c>
    </row>
    <row r="978" spans="1:45">
      <c r="A978" s="4">
        <f>IF(B978=" "," ",HYPERLINK(CONCATENATE("#metadata!",ADDRESS(INDEX($X$2:$X$1001,MATCH(ROWS($V$2:V978),$V$2:$V$1001,0),0),2)),INDEX($AA$2:$AA$1001,MATCH(ROWS($V$2:V978),$V$2:$V$1001,0),0)))</f>
        <v>0</v>
      </c>
      <c r="B978" s="5">
        <f>IF(OR(INDEX($W$2:$W$1001,MATCH(ROWS($V$2:V978),$V$2:$V$1001,0),1)&gt;=100000,INDEX($AC$1005:$AS$1005,1,MATCH(COLUMNS($AC$1006:AC1006),$AC$1006:$AS$1006,0))&gt;=100000), " ",IF(INDEX($AC$2:$AS$1001,MATCH(ROWS($V$2:V978),$V$2:$V$1001,0),MATCH(COLUMNS($AC$1006:AC1006),$AC$1006:$AS$1006,0)), HYPERLINK("#",""), HYPERLINK(CONCATENATE("#Metadata!", ADDRESS(INDEX($X$2:$X$1001,MATCH(ROWS($V$2:V978),$V$2:$V$1001,0),0), INDEX($AC$1004:$AS$1004,1,MATCH(COLUMNS($AC$1006:AC1006),$AC$1006:$AS$1006,0)))),"Fix")))</f>
        <v>0</v>
      </c>
      <c r="C978" s="5">
        <f>IF(OR(INDEX($W$2:$W$1001,MATCH(ROWS($V$2:V978),$V$2:$V$1001,0),1)&gt;=100000,INDEX($AC$1005:$AS$1005,1,MATCH(COLUMNS($AC$1006:AD1006),$AC$1006:$AS$1006,0))&gt;=100000), " ",IF(INDEX($AC$2:$AS$1001,MATCH(ROWS($V$2:V978),$V$2:$V$1001,0),MATCH(COLUMNS($AC$1006:AD1006),$AC$1006:$AS$1006,0)), HYPERLINK("#",""), HYPERLINK(CONCATENATE("#Metadata!", ADDRESS(INDEX($X$2:$X$1001,MATCH(ROWS($V$2:V978),$V$2:$V$1001,0),0), INDEX($AC$1004:$AS$1004,1,MATCH(COLUMNS($AC$1006:AD1006),$AC$1006:$AS$1006,0)))),"Fix")))</f>
        <v>0</v>
      </c>
      <c r="D978" s="5">
        <f>IF(OR(INDEX($W$2:$W$1001,MATCH(ROWS($V$2:V978),$V$2:$V$1001,0),1)&gt;=100000,INDEX($AC$1005:$AS$1005,1,MATCH(COLUMNS($AC$1006:AE1006),$AC$1006:$AS$1006,0))&gt;=100000), " ",IF(INDEX($AC$2:$AS$1001,MATCH(ROWS($V$2:V978),$V$2:$V$1001,0),MATCH(COLUMNS($AC$1006:AE1006),$AC$1006:$AS$1006,0)), HYPERLINK("#",""), HYPERLINK(CONCATENATE("#Metadata!", ADDRESS(INDEX($X$2:$X$1001,MATCH(ROWS($V$2:V978),$V$2:$V$1001,0),0), INDEX($AC$1004:$AS$1004,1,MATCH(COLUMNS($AC$1006:AE1006),$AC$1006:$AS$1006,0)))),"Fix")))</f>
        <v>0</v>
      </c>
      <c r="E978" s="5">
        <f>IF(OR(INDEX($W$2:$W$1001,MATCH(ROWS($V$2:V978),$V$2:$V$1001,0),1)&gt;=100000,INDEX($AC$1005:$AS$1005,1,MATCH(COLUMNS($AC$1006:AF1006),$AC$1006:$AS$1006,0))&gt;=100000), " ",IF(INDEX($AC$2:$AS$1001,MATCH(ROWS($V$2:V978),$V$2:$V$1001,0),MATCH(COLUMNS($AC$1006:AF1006),$AC$1006:$AS$1006,0)), HYPERLINK("#",""), HYPERLINK(CONCATENATE("#Metadata!", ADDRESS(INDEX($X$2:$X$1001,MATCH(ROWS($V$2:V978),$V$2:$V$1001,0),0), INDEX($AC$1004:$AS$1004,1,MATCH(COLUMNS($AC$1006:AF1006),$AC$1006:$AS$1006,0)))),"Fix")))</f>
        <v>0</v>
      </c>
      <c r="F978" s="5">
        <f>IF(OR(INDEX($W$2:$W$1001,MATCH(ROWS($V$2:V978),$V$2:$V$1001,0),1)&gt;=100000,INDEX($AC$1005:$AS$1005,1,MATCH(COLUMNS($AC$1006:AG1006),$AC$1006:$AS$1006,0))&gt;=100000), " ",IF(INDEX($AC$2:$AS$1001,MATCH(ROWS($V$2:V978),$V$2:$V$1001,0),MATCH(COLUMNS($AC$1006:AG1006),$AC$1006:$AS$1006,0)), HYPERLINK("#",""), HYPERLINK(CONCATENATE("#Metadata!", ADDRESS(INDEX($X$2:$X$1001,MATCH(ROWS($V$2:V978),$V$2:$V$1001,0),0), INDEX($AC$1004:$AS$1004,1,MATCH(COLUMNS($AC$1006:AG1006),$AC$1006:$AS$1006,0)))),"Fix")))</f>
        <v>0</v>
      </c>
      <c r="G978" s="5">
        <f>IF(OR(INDEX($W$2:$W$1001,MATCH(ROWS($V$2:V978),$V$2:$V$1001,0),1)&gt;=100000,INDEX($AC$1005:$AS$1005,1,MATCH(COLUMNS($AC$1006:AH1006),$AC$1006:$AS$1006,0))&gt;=100000), " ",IF(INDEX($AC$2:$AS$1001,MATCH(ROWS($V$2:V978),$V$2:$V$1001,0),MATCH(COLUMNS($AC$1006:AH1006),$AC$1006:$AS$1006,0)), HYPERLINK("#",""), HYPERLINK(CONCATENATE("#Metadata!", ADDRESS(INDEX($X$2:$X$1001,MATCH(ROWS($V$2:V978),$V$2:$V$1001,0),0), INDEX($AC$1004:$AS$1004,1,MATCH(COLUMNS($AC$1006:AH1006),$AC$1006:$AS$1006,0)))),"Fix")))</f>
        <v>0</v>
      </c>
      <c r="H978" s="5">
        <f>IF(OR(INDEX($W$2:$W$1001,MATCH(ROWS($V$2:V978),$V$2:$V$1001,0),1)&gt;=100000,INDEX($AC$1005:$AS$1005,1,MATCH(COLUMNS($AC$1006:AI1006),$AC$1006:$AS$1006,0))&gt;=100000), " ",IF(INDEX($AC$2:$AS$1001,MATCH(ROWS($V$2:V978),$V$2:$V$1001,0),MATCH(COLUMNS($AC$1006:AI1006),$AC$1006:$AS$1006,0)), HYPERLINK("#",""), HYPERLINK(CONCATENATE("#Metadata!", ADDRESS(INDEX($X$2:$X$1001,MATCH(ROWS($V$2:V978),$V$2:$V$1001,0),0), INDEX($AC$1004:$AS$1004,1,MATCH(COLUMNS($AC$1006:AI1006),$AC$1006:$AS$1006,0)))),"Fix")))</f>
        <v>0</v>
      </c>
      <c r="I978" s="5">
        <f>IF(OR(INDEX($W$2:$W$1001,MATCH(ROWS($V$2:V978),$V$2:$V$1001,0),1)&gt;=100000,INDEX($AC$1005:$AS$1005,1,MATCH(COLUMNS($AC$1006:AJ1006),$AC$1006:$AS$1006,0))&gt;=100000), " ",IF(INDEX($AC$2:$AS$1001,MATCH(ROWS($V$2:V978),$V$2:$V$1001,0),MATCH(COLUMNS($AC$1006:AJ1006),$AC$1006:$AS$1006,0)), HYPERLINK("#",""), HYPERLINK(CONCATENATE("#Metadata!", ADDRESS(INDEX($X$2:$X$1001,MATCH(ROWS($V$2:V978),$V$2:$V$1001,0),0), INDEX($AC$1004:$AS$1004,1,MATCH(COLUMNS($AC$1006:AJ1006),$AC$1006:$AS$1006,0)))),"Fix")))</f>
        <v>0</v>
      </c>
      <c r="J978" s="5">
        <f>IF(OR(INDEX($W$2:$W$1001,MATCH(ROWS($V$2:V978),$V$2:$V$1001,0),1)&gt;=100000,INDEX($AC$1005:$AS$1005,1,MATCH(COLUMNS($AC$1006:AK1006),$AC$1006:$AS$1006,0))&gt;=100000), " ",IF(INDEX($AC$2:$AS$1001,MATCH(ROWS($V$2:V978),$V$2:$V$1001,0),MATCH(COLUMNS($AC$1006:AK1006),$AC$1006:$AS$1006,0)), HYPERLINK("#",""), HYPERLINK(CONCATENATE("#Metadata!", ADDRESS(INDEX($X$2:$X$1001,MATCH(ROWS($V$2:V978),$V$2:$V$1001,0),0), INDEX($AC$1004:$AS$1004,1,MATCH(COLUMNS($AC$1006:AK1006),$AC$1006:$AS$1006,0)))),"Fix")))</f>
        <v>0</v>
      </c>
      <c r="K978" s="5">
        <f>IF(OR(INDEX($W$2:$W$1001,MATCH(ROWS($V$2:V978),$V$2:$V$1001,0),1)&gt;=100000,INDEX($AC$1005:$AS$1005,1,MATCH(COLUMNS($AC$1006:AL1006),$AC$1006:$AS$1006,0))&gt;=100000), " ",IF(INDEX($AC$2:$AS$1001,MATCH(ROWS($V$2:V978),$V$2:$V$1001,0),MATCH(COLUMNS($AC$1006:AL1006),$AC$1006:$AS$1006,0)), HYPERLINK("#",""), HYPERLINK(CONCATENATE("#Metadata!", ADDRESS(INDEX($X$2:$X$1001,MATCH(ROWS($V$2:V978),$V$2:$V$1001,0),0), INDEX($AC$1004:$AS$1004,1,MATCH(COLUMNS($AC$1006:AL1006),$AC$1006:$AS$1006,0)))),"Fix")))</f>
        <v>0</v>
      </c>
      <c r="L978" s="5">
        <f>IF(OR(INDEX($W$2:$W$1001,MATCH(ROWS($V$2:V978),$V$2:$V$1001,0),1)&gt;=100000,INDEX($AC$1005:$AS$1005,1,MATCH(COLUMNS($AC$1006:AM1006),$AC$1006:$AS$1006,0))&gt;=100000), " ",IF(INDEX($AC$2:$AS$1001,MATCH(ROWS($V$2:V978),$V$2:$V$1001,0),MATCH(COLUMNS($AC$1006:AM1006),$AC$1006:$AS$1006,0)), HYPERLINK("#",""), HYPERLINK(CONCATENATE("#Metadata!", ADDRESS(INDEX($X$2:$X$1001,MATCH(ROWS($V$2:V978),$V$2:$V$1001,0),0), INDEX($AC$1004:$AS$1004,1,MATCH(COLUMNS($AC$1006:AM1006),$AC$1006:$AS$1006,0)))),"Fix")))</f>
        <v>0</v>
      </c>
      <c r="M978" s="5">
        <f>IF(OR(INDEX($W$2:$W$1001,MATCH(ROWS($V$2:V978),$V$2:$V$1001,0),1)&gt;=100000,INDEX($AC$1005:$AS$1005,1,MATCH(COLUMNS($AC$1006:AN1006),$AC$1006:$AS$1006,0))&gt;=100000), " ",IF(INDEX($AC$2:$AS$1001,MATCH(ROWS($V$2:V978),$V$2:$V$1001,0),MATCH(COLUMNS($AC$1006:AN1006),$AC$1006:$AS$1006,0)), HYPERLINK("#",""), HYPERLINK(CONCATENATE("#Metadata!", ADDRESS(INDEX($X$2:$X$1001,MATCH(ROWS($V$2:V978),$V$2:$V$1001,0),0), INDEX($AC$1004:$AS$1004,1,MATCH(COLUMNS($AC$1006:AN1006),$AC$1006:$AS$1006,0)))),"Fix")))</f>
        <v>0</v>
      </c>
      <c r="N978" s="5">
        <f>IF(OR(INDEX($W$2:$W$1001,MATCH(ROWS($V$2:V978),$V$2:$V$1001,0),1)&gt;=100000,INDEX($AC$1005:$AS$1005,1,MATCH(COLUMNS($AC$1006:AO1006),$AC$1006:$AS$1006,0))&gt;=100000), " ",IF(INDEX($AC$2:$AS$1001,MATCH(ROWS($V$2:V978),$V$2:$V$1001,0),MATCH(COLUMNS($AC$1006:AO1006),$AC$1006:$AS$1006,0)), HYPERLINK("#",""), HYPERLINK(CONCATENATE("#Metadata!", ADDRESS(INDEX($X$2:$X$1001,MATCH(ROWS($V$2:V978),$V$2:$V$1001,0),0), INDEX($AC$1004:$AS$1004,1,MATCH(COLUMNS($AC$1006:AO1006),$AC$1006:$AS$1006,0)))),"Fix")))</f>
        <v>0</v>
      </c>
      <c r="O978" s="5">
        <f>IF(OR(INDEX($W$2:$W$1001,MATCH(ROWS($V$2:V978),$V$2:$V$1001,0),1)&gt;=100000,INDEX($AC$1005:$AS$1005,1,MATCH(COLUMNS($AC$1006:AP1006),$AC$1006:$AS$1006,0))&gt;=100000), " ",IF(INDEX($AC$2:$AS$1001,MATCH(ROWS($V$2:V978),$V$2:$V$1001,0),MATCH(COLUMNS($AC$1006:AP1006),$AC$1006:$AS$1006,0)), HYPERLINK("#",""), HYPERLINK(CONCATENATE("#Metadata!", ADDRESS(INDEX($X$2:$X$1001,MATCH(ROWS($V$2:V978),$V$2:$V$1001,0),0), INDEX($AC$1004:$AS$1004,1,MATCH(COLUMNS($AC$1006:AP1006),$AC$1006:$AS$1006,0)))),"Fix")))</f>
        <v>0</v>
      </c>
      <c r="P978" s="5">
        <f>IF(OR(INDEX($W$2:$W$1001,MATCH(ROWS($V$2:V978),$V$2:$V$1001,0),1)&gt;=100000,INDEX($AC$1005:$AS$1005,1,MATCH(COLUMNS($AC$1006:AQ1006),$AC$1006:$AS$1006,0))&gt;=100000), " ",IF(INDEX($AC$2:$AS$1001,MATCH(ROWS($V$2:V978),$V$2:$V$1001,0),MATCH(COLUMNS($AC$1006:AQ1006),$AC$1006:$AS$1006,0)), HYPERLINK("#",""), HYPERLINK(CONCATENATE("#Metadata!", ADDRESS(INDEX($X$2:$X$1001,MATCH(ROWS($V$2:V978),$V$2:$V$1001,0),0), INDEX($AC$1004:$AS$1004,1,MATCH(COLUMNS($AC$1006:AQ1006),$AC$1006:$AS$1006,0)))),"Fix")))</f>
        <v>0</v>
      </c>
      <c r="Q978" s="5">
        <f>IF(OR(INDEX($W$2:$W$1001,MATCH(ROWS($V$2:V978),$V$2:$V$1001,0),1)&gt;=100000,INDEX($AC$1005:$AS$1005,1,MATCH(COLUMNS($AC$1006:AR1006),$AC$1006:$AS$1006,0))&gt;=100000), " ",IF(INDEX($AC$2:$AS$1001,MATCH(ROWS($V$2:V978),$V$2:$V$1001,0),MATCH(COLUMNS($AC$1006:AR1006),$AC$1006:$AS$1006,0)), HYPERLINK("#",""), HYPERLINK(CONCATENATE("#Metadata!", ADDRESS(INDEX($X$2:$X$1001,MATCH(ROWS($V$2:V978),$V$2:$V$1001,0),0), INDEX($AC$1004:$AS$1004,1,MATCH(COLUMNS($AC$1006:AR1006),$AC$1006:$AS$1006,0)))),"Fix")))</f>
        <v>0</v>
      </c>
      <c r="R978" s="5">
        <f>IF(OR(INDEX($W$2:$W$1001,MATCH(ROWS($V$2:V978),$V$2:$V$1001,0),1)&gt;=100000,INDEX($AC$1005:$AS$1005,1,MATCH(COLUMNS($AC$1006:AS1006),$AC$1006:$AS$1006,0))&gt;=100000), " ",IF(INDEX($AC$2:$AS$1001,MATCH(ROWS($V$2:V978),$V$2:$V$1001,0),MATCH(COLUMNS($AC$1006:AS1006),$AC$1006:$AS$1006,0)), HYPERLINK("#",""), HYPERLINK(CONCATENATE("#Metadata!", ADDRESS(INDEX($X$2:$X$1001,MATCH(ROWS($V$2:V978),$V$2:$V$1001,0),0), INDEX($AC$1004:$AS$1004,1,MATCH(COLUMNS($AC$1006:AS1006),$AC$1006:$AS$1006,0)))),"Fix")))</f>
        <v>0</v>
      </c>
      <c r="V978">
        <v>0</v>
      </c>
      <c r="W978">
        <v>0</v>
      </c>
      <c r="X978">
        <v>0</v>
      </c>
      <c r="Y978">
        <f>IF(Z978,TRUE,AND(AC978:AS978))</f>
        <v>0</v>
      </c>
      <c r="Z978">
        <f>COUNTBLANK(Metadata!B978:R978)=COLUMNS(Metadata!B978:R978)</f>
        <v>0</v>
      </c>
      <c r="AA978">
        <v>0</v>
      </c>
      <c r="AC978">
        <f>AND(IF(Metadata!B978="",FALSE,TRUE),COUNTIF(Metadata!B:B, Metadata!B978) = 1,NOT(ISERROR(SUMPRODUCT(SEARCH(MID(Metadata!B978,ROW(INDIRECT("1:"&amp;LEN(Metadata!B978))), 1),"0123456789abcdefghijklmnopqrstuvwxyzABCDEFGHIJKLMNOPQRSTUVWXYZ.")))))</f>
        <v>0</v>
      </c>
      <c r="AD978">
        <f>AND(IF(Metadata!C978="",FALSE,TRUE),exact(Metadata!C978,"Host-associated"))</f>
        <v>0</v>
      </c>
      <c r="AE978">
        <f>AND(IF(Metadata!D978="",FALSE,TRUE),OR(exact(Metadata!D978,"Animal"),exact(Metadata!D978,"Fungus"),exact(Metadata!D978,"Plant")))</f>
        <v>0</v>
      </c>
      <c r="AF978">
        <f>AND(IF(Metadata!E978="",FALSE,TRUE),OR(exact(Metadata!E978,"Plant secretion"),exact(Metadata!E978,"Plant rhizosphere"),exact(Metadata!E978,"Plant surface"),exact(Metadata!E978,"Plant corpus"),exact(Metadata!E978,"Fungus surface"),exact(Metadata!E978,"Fungus corpus"),exact(Metadata!E978,"Animal surface"),exact(Metadata!E978,"Animal proximal gut"),exact(Metadata!E978,"Animal corpus"),exact(Metadata!E978,"Animal distal gut"),exact(Metadata!E978,"Animal secretion")))</f>
        <v>0</v>
      </c>
      <c r="AG978">
        <f>OR(AND(IF(Metadata!F978="",FALSE,TRUE),OR(exact(Metadata!F978,"not collected"),exact(Metadata!F978,"not provided"),exact(Metadata!F978,"restricted access"))),AND(IF(Metadata!F978="",FALSE,TRUE),OR(exact(Metadata!F978,"organism-associated habitat"),exact(Metadata!F978,"plant-associated habitat"),exact(Metadata!F978,"animal-associated habitat"),exact(Metadata!F978,"insecta-associated habitat"),exact(Metadata!F978,"mammalia-associated habitat"),exact(Metadata!F978,"human-associated habitat"),exact(Metadata!F978,"livestock-associated habitat"))))</f>
        <v>0</v>
      </c>
      <c r="AH978">
        <f>AND(IF(Metadata!G978="",FALSE,TRUE),exact(Metadata!G978,"host-associated"))</f>
        <v>0</v>
      </c>
      <c r="AI978">
        <f>OR(AND(IF(Metadata!H978="",FALSE,TRUE),OR(exact(Metadata!H978,"not collected"),exact(Metadata!H978,"not provided"))),AND(IF(Metadata!H978="",FALSE,ISNUMBER(VALUE(Metadata!H978))),Metadata!H978&gt;0))</f>
        <v>0</v>
      </c>
      <c r="AJ978">
        <f>AND(IF(Metadata!I978="",FALSE,TRUE),exact(Metadata!I978,"years"))</f>
        <v>0</v>
      </c>
      <c r="AK978">
        <f>IF(Metadata!J978="",FALSE,TRUE)</f>
        <v>0</v>
      </c>
      <c r="AL978">
        <f>OR(AND(IF(Metadata!K978="",FALSE,TRUE),OR(exact(Metadata!K978,"not collected"),exact(Metadata!K978,"not provided"))),AND(IF(Metadata!K978="",FALSE,ISNUMBER(VALUE(Metadata!K978))),Metadata!K978&gt;0))</f>
        <v>0</v>
      </c>
      <c r="AM978">
        <f>AND(IF(Metadata!L978="",FALSE,TRUE),exact(Metadata!L978,"cm"))</f>
        <v>0</v>
      </c>
      <c r="AN978">
        <f>IF(Metadata!M978="",FALSE,TRUE)</f>
        <v>0</v>
      </c>
      <c r="AO978">
        <f>OR(AND(IF(Metadata!N978="",FALSE,TRUE),OR(exact(Metadata!N978,"not applicable"),exact(Metadata!N978,"not collected"),exact(Metadata!N978,"not provided"))),AND(IF(Metadata!N978="",FALSE,IF(ISERROR(INT(Metadata!N978)),FALSE,INT(Metadata!N978)=Metadata!N978)),Metadata!N978&gt;0))</f>
        <v>0</v>
      </c>
      <c r="AP978">
        <f>OR(AND(IF(Metadata!O978="",FALSE,TRUE),OR(exact(Metadata!O978,"not collected"),exact(Metadata!O978,"not provided"))),AND(IF(Metadata!O978="",FALSE,ISNUMBER(VALUE(Metadata!O978))),Metadata!O978&gt;0))</f>
        <v>0</v>
      </c>
      <c r="AQ978">
        <f>AND(IF(Metadata!P978="",FALSE,TRUE),exact(Metadata!P978,"kg"))</f>
        <v>0</v>
      </c>
      <c r="AR978">
        <f>OR(AND(IF(Metadata!Q978="",FALSE,TRUE),OR(exact(Metadata!Q978,"not applicable"),exact(Metadata!Q978,"not collected"),exact(Metadata!Q978,"not provided"),exact(Metadata!Q978,"restricted access"))),IF(Metadata!Q978="",FALSE,IF(ISERROR(INT(Metadata!Q978)),FALSE,INT(Metadata!Q978)=Metadata!Q978)))</f>
        <v>0</v>
      </c>
      <c r="AS978">
        <f>AND(IF(Metadata!R978="",FALSE,TRUE),exact(Metadata!R978,"Not applicable"))</f>
        <v>0</v>
      </c>
    </row>
    <row r="979" spans="1:45">
      <c r="A979" s="4">
        <f>IF(B979=" "," ",HYPERLINK(CONCATENATE("#metadata!",ADDRESS(INDEX($X$2:$X$1001,MATCH(ROWS($V$2:V979),$V$2:$V$1001,0),0),2)),INDEX($AA$2:$AA$1001,MATCH(ROWS($V$2:V979),$V$2:$V$1001,0),0)))</f>
        <v>0</v>
      </c>
      <c r="B979" s="5">
        <f>IF(OR(INDEX($W$2:$W$1001,MATCH(ROWS($V$2:V979),$V$2:$V$1001,0),1)&gt;=100000,INDEX($AC$1005:$AS$1005,1,MATCH(COLUMNS($AC$1006:AC1006),$AC$1006:$AS$1006,0))&gt;=100000), " ",IF(INDEX($AC$2:$AS$1001,MATCH(ROWS($V$2:V979),$V$2:$V$1001,0),MATCH(COLUMNS($AC$1006:AC1006),$AC$1006:$AS$1006,0)), HYPERLINK("#",""), HYPERLINK(CONCATENATE("#Metadata!", ADDRESS(INDEX($X$2:$X$1001,MATCH(ROWS($V$2:V979),$V$2:$V$1001,0),0), INDEX($AC$1004:$AS$1004,1,MATCH(COLUMNS($AC$1006:AC1006),$AC$1006:$AS$1006,0)))),"Fix")))</f>
        <v>0</v>
      </c>
      <c r="C979" s="5">
        <f>IF(OR(INDEX($W$2:$W$1001,MATCH(ROWS($V$2:V979),$V$2:$V$1001,0),1)&gt;=100000,INDEX($AC$1005:$AS$1005,1,MATCH(COLUMNS($AC$1006:AD1006),$AC$1006:$AS$1006,0))&gt;=100000), " ",IF(INDEX($AC$2:$AS$1001,MATCH(ROWS($V$2:V979),$V$2:$V$1001,0),MATCH(COLUMNS($AC$1006:AD1006),$AC$1006:$AS$1006,0)), HYPERLINK("#",""), HYPERLINK(CONCATENATE("#Metadata!", ADDRESS(INDEX($X$2:$X$1001,MATCH(ROWS($V$2:V979),$V$2:$V$1001,0),0), INDEX($AC$1004:$AS$1004,1,MATCH(COLUMNS($AC$1006:AD1006),$AC$1006:$AS$1006,0)))),"Fix")))</f>
        <v>0</v>
      </c>
      <c r="D979" s="5">
        <f>IF(OR(INDEX($W$2:$W$1001,MATCH(ROWS($V$2:V979),$V$2:$V$1001,0),1)&gt;=100000,INDEX($AC$1005:$AS$1005,1,MATCH(COLUMNS($AC$1006:AE1006),$AC$1006:$AS$1006,0))&gt;=100000), " ",IF(INDEX($AC$2:$AS$1001,MATCH(ROWS($V$2:V979),$V$2:$V$1001,0),MATCH(COLUMNS($AC$1006:AE1006),$AC$1006:$AS$1006,0)), HYPERLINK("#",""), HYPERLINK(CONCATENATE("#Metadata!", ADDRESS(INDEX($X$2:$X$1001,MATCH(ROWS($V$2:V979),$V$2:$V$1001,0),0), INDEX($AC$1004:$AS$1004,1,MATCH(COLUMNS($AC$1006:AE1006),$AC$1006:$AS$1006,0)))),"Fix")))</f>
        <v>0</v>
      </c>
      <c r="E979" s="5">
        <f>IF(OR(INDEX($W$2:$W$1001,MATCH(ROWS($V$2:V979),$V$2:$V$1001,0),1)&gt;=100000,INDEX($AC$1005:$AS$1005,1,MATCH(COLUMNS($AC$1006:AF1006),$AC$1006:$AS$1006,0))&gt;=100000), " ",IF(INDEX($AC$2:$AS$1001,MATCH(ROWS($V$2:V979),$V$2:$V$1001,0),MATCH(COLUMNS($AC$1006:AF1006),$AC$1006:$AS$1006,0)), HYPERLINK("#",""), HYPERLINK(CONCATENATE("#Metadata!", ADDRESS(INDEX($X$2:$X$1001,MATCH(ROWS($V$2:V979),$V$2:$V$1001,0),0), INDEX($AC$1004:$AS$1004,1,MATCH(COLUMNS($AC$1006:AF1006),$AC$1006:$AS$1006,0)))),"Fix")))</f>
        <v>0</v>
      </c>
      <c r="F979" s="5">
        <f>IF(OR(INDEX($W$2:$W$1001,MATCH(ROWS($V$2:V979),$V$2:$V$1001,0),1)&gt;=100000,INDEX($AC$1005:$AS$1005,1,MATCH(COLUMNS($AC$1006:AG1006),$AC$1006:$AS$1006,0))&gt;=100000), " ",IF(INDEX($AC$2:$AS$1001,MATCH(ROWS($V$2:V979),$V$2:$V$1001,0),MATCH(COLUMNS($AC$1006:AG1006),$AC$1006:$AS$1006,0)), HYPERLINK("#",""), HYPERLINK(CONCATENATE("#Metadata!", ADDRESS(INDEX($X$2:$X$1001,MATCH(ROWS($V$2:V979),$V$2:$V$1001,0),0), INDEX($AC$1004:$AS$1004,1,MATCH(COLUMNS($AC$1006:AG1006),$AC$1006:$AS$1006,0)))),"Fix")))</f>
        <v>0</v>
      </c>
      <c r="G979" s="5">
        <f>IF(OR(INDEX($W$2:$W$1001,MATCH(ROWS($V$2:V979),$V$2:$V$1001,0),1)&gt;=100000,INDEX($AC$1005:$AS$1005,1,MATCH(COLUMNS($AC$1006:AH1006),$AC$1006:$AS$1006,0))&gt;=100000), " ",IF(INDEX($AC$2:$AS$1001,MATCH(ROWS($V$2:V979),$V$2:$V$1001,0),MATCH(COLUMNS($AC$1006:AH1006),$AC$1006:$AS$1006,0)), HYPERLINK("#",""), HYPERLINK(CONCATENATE("#Metadata!", ADDRESS(INDEX($X$2:$X$1001,MATCH(ROWS($V$2:V979),$V$2:$V$1001,0),0), INDEX($AC$1004:$AS$1004,1,MATCH(COLUMNS($AC$1006:AH1006),$AC$1006:$AS$1006,0)))),"Fix")))</f>
        <v>0</v>
      </c>
      <c r="H979" s="5">
        <f>IF(OR(INDEX($W$2:$W$1001,MATCH(ROWS($V$2:V979),$V$2:$V$1001,0),1)&gt;=100000,INDEX($AC$1005:$AS$1005,1,MATCH(COLUMNS($AC$1006:AI1006),$AC$1006:$AS$1006,0))&gt;=100000), " ",IF(INDEX($AC$2:$AS$1001,MATCH(ROWS($V$2:V979),$V$2:$V$1001,0),MATCH(COLUMNS($AC$1006:AI1006),$AC$1006:$AS$1006,0)), HYPERLINK("#",""), HYPERLINK(CONCATENATE("#Metadata!", ADDRESS(INDEX($X$2:$X$1001,MATCH(ROWS($V$2:V979),$V$2:$V$1001,0),0), INDEX($AC$1004:$AS$1004,1,MATCH(COLUMNS($AC$1006:AI1006),$AC$1006:$AS$1006,0)))),"Fix")))</f>
        <v>0</v>
      </c>
      <c r="I979" s="5">
        <f>IF(OR(INDEX($W$2:$W$1001,MATCH(ROWS($V$2:V979),$V$2:$V$1001,0),1)&gt;=100000,INDEX($AC$1005:$AS$1005,1,MATCH(COLUMNS($AC$1006:AJ1006),$AC$1006:$AS$1006,0))&gt;=100000), " ",IF(INDEX($AC$2:$AS$1001,MATCH(ROWS($V$2:V979),$V$2:$V$1001,0),MATCH(COLUMNS($AC$1006:AJ1006),$AC$1006:$AS$1006,0)), HYPERLINK("#",""), HYPERLINK(CONCATENATE("#Metadata!", ADDRESS(INDEX($X$2:$X$1001,MATCH(ROWS($V$2:V979),$V$2:$V$1001,0),0), INDEX($AC$1004:$AS$1004,1,MATCH(COLUMNS($AC$1006:AJ1006),$AC$1006:$AS$1006,0)))),"Fix")))</f>
        <v>0</v>
      </c>
      <c r="J979" s="5">
        <f>IF(OR(INDEX($W$2:$W$1001,MATCH(ROWS($V$2:V979),$V$2:$V$1001,0),1)&gt;=100000,INDEX($AC$1005:$AS$1005,1,MATCH(COLUMNS($AC$1006:AK1006),$AC$1006:$AS$1006,0))&gt;=100000), " ",IF(INDEX($AC$2:$AS$1001,MATCH(ROWS($V$2:V979),$V$2:$V$1001,0),MATCH(COLUMNS($AC$1006:AK1006),$AC$1006:$AS$1006,0)), HYPERLINK("#",""), HYPERLINK(CONCATENATE("#Metadata!", ADDRESS(INDEX($X$2:$X$1001,MATCH(ROWS($V$2:V979),$V$2:$V$1001,0),0), INDEX($AC$1004:$AS$1004,1,MATCH(COLUMNS($AC$1006:AK1006),$AC$1006:$AS$1006,0)))),"Fix")))</f>
        <v>0</v>
      </c>
      <c r="K979" s="5">
        <f>IF(OR(INDEX($W$2:$W$1001,MATCH(ROWS($V$2:V979),$V$2:$V$1001,0),1)&gt;=100000,INDEX($AC$1005:$AS$1005,1,MATCH(COLUMNS($AC$1006:AL1006),$AC$1006:$AS$1006,0))&gt;=100000), " ",IF(INDEX($AC$2:$AS$1001,MATCH(ROWS($V$2:V979),$V$2:$V$1001,0),MATCH(COLUMNS($AC$1006:AL1006),$AC$1006:$AS$1006,0)), HYPERLINK("#",""), HYPERLINK(CONCATENATE("#Metadata!", ADDRESS(INDEX($X$2:$X$1001,MATCH(ROWS($V$2:V979),$V$2:$V$1001,0),0), INDEX($AC$1004:$AS$1004,1,MATCH(COLUMNS($AC$1006:AL1006),$AC$1006:$AS$1006,0)))),"Fix")))</f>
        <v>0</v>
      </c>
      <c r="L979" s="5">
        <f>IF(OR(INDEX($W$2:$W$1001,MATCH(ROWS($V$2:V979),$V$2:$V$1001,0),1)&gt;=100000,INDEX($AC$1005:$AS$1005,1,MATCH(COLUMNS($AC$1006:AM1006),$AC$1006:$AS$1006,0))&gt;=100000), " ",IF(INDEX($AC$2:$AS$1001,MATCH(ROWS($V$2:V979),$V$2:$V$1001,0),MATCH(COLUMNS($AC$1006:AM1006),$AC$1006:$AS$1006,0)), HYPERLINK("#",""), HYPERLINK(CONCATENATE("#Metadata!", ADDRESS(INDEX($X$2:$X$1001,MATCH(ROWS($V$2:V979),$V$2:$V$1001,0),0), INDEX($AC$1004:$AS$1004,1,MATCH(COLUMNS($AC$1006:AM1006),$AC$1006:$AS$1006,0)))),"Fix")))</f>
        <v>0</v>
      </c>
      <c r="M979" s="5">
        <f>IF(OR(INDEX($W$2:$W$1001,MATCH(ROWS($V$2:V979),$V$2:$V$1001,0),1)&gt;=100000,INDEX($AC$1005:$AS$1005,1,MATCH(COLUMNS($AC$1006:AN1006),$AC$1006:$AS$1006,0))&gt;=100000), " ",IF(INDEX($AC$2:$AS$1001,MATCH(ROWS($V$2:V979),$V$2:$V$1001,0),MATCH(COLUMNS($AC$1006:AN1006),$AC$1006:$AS$1006,0)), HYPERLINK("#",""), HYPERLINK(CONCATENATE("#Metadata!", ADDRESS(INDEX($X$2:$X$1001,MATCH(ROWS($V$2:V979),$V$2:$V$1001,0),0), INDEX($AC$1004:$AS$1004,1,MATCH(COLUMNS($AC$1006:AN1006),$AC$1006:$AS$1006,0)))),"Fix")))</f>
        <v>0</v>
      </c>
      <c r="N979" s="5">
        <f>IF(OR(INDEX($W$2:$W$1001,MATCH(ROWS($V$2:V979),$V$2:$V$1001,0),1)&gt;=100000,INDEX($AC$1005:$AS$1005,1,MATCH(COLUMNS($AC$1006:AO1006),$AC$1006:$AS$1006,0))&gt;=100000), " ",IF(INDEX($AC$2:$AS$1001,MATCH(ROWS($V$2:V979),$V$2:$V$1001,0),MATCH(COLUMNS($AC$1006:AO1006),$AC$1006:$AS$1006,0)), HYPERLINK("#",""), HYPERLINK(CONCATENATE("#Metadata!", ADDRESS(INDEX($X$2:$X$1001,MATCH(ROWS($V$2:V979),$V$2:$V$1001,0),0), INDEX($AC$1004:$AS$1004,1,MATCH(COLUMNS($AC$1006:AO1006),$AC$1006:$AS$1006,0)))),"Fix")))</f>
        <v>0</v>
      </c>
      <c r="O979" s="5">
        <f>IF(OR(INDEX($W$2:$W$1001,MATCH(ROWS($V$2:V979),$V$2:$V$1001,0),1)&gt;=100000,INDEX($AC$1005:$AS$1005,1,MATCH(COLUMNS($AC$1006:AP1006),$AC$1006:$AS$1006,0))&gt;=100000), " ",IF(INDEX($AC$2:$AS$1001,MATCH(ROWS($V$2:V979),$V$2:$V$1001,0),MATCH(COLUMNS($AC$1006:AP1006),$AC$1006:$AS$1006,0)), HYPERLINK("#",""), HYPERLINK(CONCATENATE("#Metadata!", ADDRESS(INDEX($X$2:$X$1001,MATCH(ROWS($V$2:V979),$V$2:$V$1001,0),0), INDEX($AC$1004:$AS$1004,1,MATCH(COLUMNS($AC$1006:AP1006),$AC$1006:$AS$1006,0)))),"Fix")))</f>
        <v>0</v>
      </c>
      <c r="P979" s="5">
        <f>IF(OR(INDEX($W$2:$W$1001,MATCH(ROWS($V$2:V979),$V$2:$V$1001,0),1)&gt;=100000,INDEX($AC$1005:$AS$1005,1,MATCH(COLUMNS($AC$1006:AQ1006),$AC$1006:$AS$1006,0))&gt;=100000), " ",IF(INDEX($AC$2:$AS$1001,MATCH(ROWS($V$2:V979),$V$2:$V$1001,0),MATCH(COLUMNS($AC$1006:AQ1006),$AC$1006:$AS$1006,0)), HYPERLINK("#",""), HYPERLINK(CONCATENATE("#Metadata!", ADDRESS(INDEX($X$2:$X$1001,MATCH(ROWS($V$2:V979),$V$2:$V$1001,0),0), INDEX($AC$1004:$AS$1004,1,MATCH(COLUMNS($AC$1006:AQ1006),$AC$1006:$AS$1006,0)))),"Fix")))</f>
        <v>0</v>
      </c>
      <c r="Q979" s="5">
        <f>IF(OR(INDEX($W$2:$W$1001,MATCH(ROWS($V$2:V979),$V$2:$V$1001,0),1)&gt;=100000,INDEX($AC$1005:$AS$1005,1,MATCH(COLUMNS($AC$1006:AR1006),$AC$1006:$AS$1006,0))&gt;=100000), " ",IF(INDEX($AC$2:$AS$1001,MATCH(ROWS($V$2:V979),$V$2:$V$1001,0),MATCH(COLUMNS($AC$1006:AR1006),$AC$1006:$AS$1006,0)), HYPERLINK("#",""), HYPERLINK(CONCATENATE("#Metadata!", ADDRESS(INDEX($X$2:$X$1001,MATCH(ROWS($V$2:V979),$V$2:$V$1001,0),0), INDEX($AC$1004:$AS$1004,1,MATCH(COLUMNS($AC$1006:AR1006),$AC$1006:$AS$1006,0)))),"Fix")))</f>
        <v>0</v>
      </c>
      <c r="R979" s="5">
        <f>IF(OR(INDEX($W$2:$W$1001,MATCH(ROWS($V$2:V979),$V$2:$V$1001,0),1)&gt;=100000,INDEX($AC$1005:$AS$1005,1,MATCH(COLUMNS($AC$1006:AS1006),$AC$1006:$AS$1006,0))&gt;=100000), " ",IF(INDEX($AC$2:$AS$1001,MATCH(ROWS($V$2:V979),$V$2:$V$1001,0),MATCH(COLUMNS($AC$1006:AS1006),$AC$1006:$AS$1006,0)), HYPERLINK("#",""), HYPERLINK(CONCATENATE("#Metadata!", ADDRESS(INDEX($X$2:$X$1001,MATCH(ROWS($V$2:V979),$V$2:$V$1001,0),0), INDEX($AC$1004:$AS$1004,1,MATCH(COLUMNS($AC$1006:AS1006),$AC$1006:$AS$1006,0)))),"Fix")))</f>
        <v>0</v>
      </c>
      <c r="V979">
        <v>0</v>
      </c>
      <c r="W979">
        <v>0</v>
      </c>
      <c r="X979">
        <v>0</v>
      </c>
      <c r="Y979">
        <f>IF(Z979,TRUE,AND(AC979:AS979))</f>
        <v>0</v>
      </c>
      <c r="Z979">
        <f>COUNTBLANK(Metadata!B979:R979)=COLUMNS(Metadata!B979:R979)</f>
        <v>0</v>
      </c>
      <c r="AA979">
        <v>0</v>
      </c>
      <c r="AC979">
        <f>AND(IF(Metadata!B979="",FALSE,TRUE),COUNTIF(Metadata!B:B, Metadata!B979) = 1,NOT(ISERROR(SUMPRODUCT(SEARCH(MID(Metadata!B979,ROW(INDIRECT("1:"&amp;LEN(Metadata!B979))), 1),"0123456789abcdefghijklmnopqrstuvwxyzABCDEFGHIJKLMNOPQRSTUVWXYZ.")))))</f>
        <v>0</v>
      </c>
      <c r="AD979">
        <f>AND(IF(Metadata!C979="",FALSE,TRUE),exact(Metadata!C979,"Host-associated"))</f>
        <v>0</v>
      </c>
      <c r="AE979">
        <f>AND(IF(Metadata!D979="",FALSE,TRUE),OR(exact(Metadata!D979,"Animal"),exact(Metadata!D979,"Fungus"),exact(Metadata!D979,"Plant")))</f>
        <v>0</v>
      </c>
      <c r="AF979">
        <f>AND(IF(Metadata!E979="",FALSE,TRUE),OR(exact(Metadata!E979,"Plant secretion"),exact(Metadata!E979,"Plant rhizosphere"),exact(Metadata!E979,"Plant surface"),exact(Metadata!E979,"Plant corpus"),exact(Metadata!E979,"Fungus surface"),exact(Metadata!E979,"Fungus corpus"),exact(Metadata!E979,"Animal surface"),exact(Metadata!E979,"Animal proximal gut"),exact(Metadata!E979,"Animal corpus"),exact(Metadata!E979,"Animal distal gut"),exact(Metadata!E979,"Animal secretion")))</f>
        <v>0</v>
      </c>
      <c r="AG979">
        <f>OR(AND(IF(Metadata!F979="",FALSE,TRUE),OR(exact(Metadata!F979,"not collected"),exact(Metadata!F979,"not provided"),exact(Metadata!F979,"restricted access"))),AND(IF(Metadata!F979="",FALSE,TRUE),OR(exact(Metadata!F979,"organism-associated habitat"),exact(Metadata!F979,"plant-associated habitat"),exact(Metadata!F979,"animal-associated habitat"),exact(Metadata!F979,"insecta-associated habitat"),exact(Metadata!F979,"mammalia-associated habitat"),exact(Metadata!F979,"human-associated habitat"),exact(Metadata!F979,"livestock-associated habitat"))))</f>
        <v>0</v>
      </c>
      <c r="AH979">
        <f>AND(IF(Metadata!G979="",FALSE,TRUE),exact(Metadata!G979,"host-associated"))</f>
        <v>0</v>
      </c>
      <c r="AI979">
        <f>OR(AND(IF(Metadata!H979="",FALSE,TRUE),OR(exact(Metadata!H979,"not collected"),exact(Metadata!H979,"not provided"))),AND(IF(Metadata!H979="",FALSE,ISNUMBER(VALUE(Metadata!H979))),Metadata!H979&gt;0))</f>
        <v>0</v>
      </c>
      <c r="AJ979">
        <f>AND(IF(Metadata!I979="",FALSE,TRUE),exact(Metadata!I979,"years"))</f>
        <v>0</v>
      </c>
      <c r="AK979">
        <f>IF(Metadata!J979="",FALSE,TRUE)</f>
        <v>0</v>
      </c>
      <c r="AL979">
        <f>OR(AND(IF(Metadata!K979="",FALSE,TRUE),OR(exact(Metadata!K979,"not collected"),exact(Metadata!K979,"not provided"))),AND(IF(Metadata!K979="",FALSE,ISNUMBER(VALUE(Metadata!K979))),Metadata!K979&gt;0))</f>
        <v>0</v>
      </c>
      <c r="AM979">
        <f>AND(IF(Metadata!L979="",FALSE,TRUE),exact(Metadata!L979,"cm"))</f>
        <v>0</v>
      </c>
      <c r="AN979">
        <f>IF(Metadata!M979="",FALSE,TRUE)</f>
        <v>0</v>
      </c>
      <c r="AO979">
        <f>OR(AND(IF(Metadata!N979="",FALSE,TRUE),OR(exact(Metadata!N979,"not applicable"),exact(Metadata!N979,"not collected"),exact(Metadata!N979,"not provided"))),AND(IF(Metadata!N979="",FALSE,IF(ISERROR(INT(Metadata!N979)),FALSE,INT(Metadata!N979)=Metadata!N979)),Metadata!N979&gt;0))</f>
        <v>0</v>
      </c>
      <c r="AP979">
        <f>OR(AND(IF(Metadata!O979="",FALSE,TRUE),OR(exact(Metadata!O979,"not collected"),exact(Metadata!O979,"not provided"))),AND(IF(Metadata!O979="",FALSE,ISNUMBER(VALUE(Metadata!O979))),Metadata!O979&gt;0))</f>
        <v>0</v>
      </c>
      <c r="AQ979">
        <f>AND(IF(Metadata!P979="",FALSE,TRUE),exact(Metadata!P979,"kg"))</f>
        <v>0</v>
      </c>
      <c r="AR979">
        <f>OR(AND(IF(Metadata!Q979="",FALSE,TRUE),OR(exact(Metadata!Q979,"not applicable"),exact(Metadata!Q979,"not collected"),exact(Metadata!Q979,"not provided"),exact(Metadata!Q979,"restricted access"))),IF(Metadata!Q979="",FALSE,IF(ISERROR(INT(Metadata!Q979)),FALSE,INT(Metadata!Q979)=Metadata!Q979)))</f>
        <v>0</v>
      </c>
      <c r="AS979">
        <f>AND(IF(Metadata!R979="",FALSE,TRUE),exact(Metadata!R979,"Not applicable"))</f>
        <v>0</v>
      </c>
    </row>
    <row r="980" spans="1:45">
      <c r="A980" s="4">
        <f>IF(B980=" "," ",HYPERLINK(CONCATENATE("#metadata!",ADDRESS(INDEX($X$2:$X$1001,MATCH(ROWS($V$2:V980),$V$2:$V$1001,0),0),2)),INDEX($AA$2:$AA$1001,MATCH(ROWS($V$2:V980),$V$2:$V$1001,0),0)))</f>
        <v>0</v>
      </c>
      <c r="B980" s="5">
        <f>IF(OR(INDEX($W$2:$W$1001,MATCH(ROWS($V$2:V980),$V$2:$V$1001,0),1)&gt;=100000,INDEX($AC$1005:$AS$1005,1,MATCH(COLUMNS($AC$1006:AC1006),$AC$1006:$AS$1006,0))&gt;=100000), " ",IF(INDEX($AC$2:$AS$1001,MATCH(ROWS($V$2:V980),$V$2:$V$1001,0),MATCH(COLUMNS($AC$1006:AC1006),$AC$1006:$AS$1006,0)), HYPERLINK("#",""), HYPERLINK(CONCATENATE("#Metadata!", ADDRESS(INDEX($X$2:$X$1001,MATCH(ROWS($V$2:V980),$V$2:$V$1001,0),0), INDEX($AC$1004:$AS$1004,1,MATCH(COLUMNS($AC$1006:AC1006),$AC$1006:$AS$1006,0)))),"Fix")))</f>
        <v>0</v>
      </c>
      <c r="C980" s="5">
        <f>IF(OR(INDEX($W$2:$W$1001,MATCH(ROWS($V$2:V980),$V$2:$V$1001,0),1)&gt;=100000,INDEX($AC$1005:$AS$1005,1,MATCH(COLUMNS($AC$1006:AD1006),$AC$1006:$AS$1006,0))&gt;=100000), " ",IF(INDEX($AC$2:$AS$1001,MATCH(ROWS($V$2:V980),$V$2:$V$1001,0),MATCH(COLUMNS($AC$1006:AD1006),$AC$1006:$AS$1006,0)), HYPERLINK("#",""), HYPERLINK(CONCATENATE("#Metadata!", ADDRESS(INDEX($X$2:$X$1001,MATCH(ROWS($V$2:V980),$V$2:$V$1001,0),0), INDEX($AC$1004:$AS$1004,1,MATCH(COLUMNS($AC$1006:AD1006),$AC$1006:$AS$1006,0)))),"Fix")))</f>
        <v>0</v>
      </c>
      <c r="D980" s="5">
        <f>IF(OR(INDEX($W$2:$W$1001,MATCH(ROWS($V$2:V980),$V$2:$V$1001,0),1)&gt;=100000,INDEX($AC$1005:$AS$1005,1,MATCH(COLUMNS($AC$1006:AE1006),$AC$1006:$AS$1006,0))&gt;=100000), " ",IF(INDEX($AC$2:$AS$1001,MATCH(ROWS($V$2:V980),$V$2:$V$1001,0),MATCH(COLUMNS($AC$1006:AE1006),$AC$1006:$AS$1006,0)), HYPERLINK("#",""), HYPERLINK(CONCATENATE("#Metadata!", ADDRESS(INDEX($X$2:$X$1001,MATCH(ROWS($V$2:V980),$V$2:$V$1001,0),0), INDEX($AC$1004:$AS$1004,1,MATCH(COLUMNS($AC$1006:AE1006),$AC$1006:$AS$1006,0)))),"Fix")))</f>
        <v>0</v>
      </c>
      <c r="E980" s="5">
        <f>IF(OR(INDEX($W$2:$W$1001,MATCH(ROWS($V$2:V980),$V$2:$V$1001,0),1)&gt;=100000,INDEX($AC$1005:$AS$1005,1,MATCH(COLUMNS($AC$1006:AF1006),$AC$1006:$AS$1006,0))&gt;=100000), " ",IF(INDEX($AC$2:$AS$1001,MATCH(ROWS($V$2:V980),$V$2:$V$1001,0),MATCH(COLUMNS($AC$1006:AF1006),$AC$1006:$AS$1006,0)), HYPERLINK("#",""), HYPERLINK(CONCATENATE("#Metadata!", ADDRESS(INDEX($X$2:$X$1001,MATCH(ROWS($V$2:V980),$V$2:$V$1001,0),0), INDEX($AC$1004:$AS$1004,1,MATCH(COLUMNS($AC$1006:AF1006),$AC$1006:$AS$1006,0)))),"Fix")))</f>
        <v>0</v>
      </c>
      <c r="F980" s="5">
        <f>IF(OR(INDEX($W$2:$W$1001,MATCH(ROWS($V$2:V980),$V$2:$V$1001,0),1)&gt;=100000,INDEX($AC$1005:$AS$1005,1,MATCH(COLUMNS($AC$1006:AG1006),$AC$1006:$AS$1006,0))&gt;=100000), " ",IF(INDEX($AC$2:$AS$1001,MATCH(ROWS($V$2:V980),$V$2:$V$1001,0),MATCH(COLUMNS($AC$1006:AG1006),$AC$1006:$AS$1006,0)), HYPERLINK("#",""), HYPERLINK(CONCATENATE("#Metadata!", ADDRESS(INDEX($X$2:$X$1001,MATCH(ROWS($V$2:V980),$V$2:$V$1001,0),0), INDEX($AC$1004:$AS$1004,1,MATCH(COLUMNS($AC$1006:AG1006),$AC$1006:$AS$1006,0)))),"Fix")))</f>
        <v>0</v>
      </c>
      <c r="G980" s="5">
        <f>IF(OR(INDEX($W$2:$W$1001,MATCH(ROWS($V$2:V980),$V$2:$V$1001,0),1)&gt;=100000,INDEX($AC$1005:$AS$1005,1,MATCH(COLUMNS($AC$1006:AH1006),$AC$1006:$AS$1006,0))&gt;=100000), " ",IF(INDEX($AC$2:$AS$1001,MATCH(ROWS($V$2:V980),$V$2:$V$1001,0),MATCH(COLUMNS($AC$1006:AH1006),$AC$1006:$AS$1006,0)), HYPERLINK("#",""), HYPERLINK(CONCATENATE("#Metadata!", ADDRESS(INDEX($X$2:$X$1001,MATCH(ROWS($V$2:V980),$V$2:$V$1001,0),0), INDEX($AC$1004:$AS$1004,1,MATCH(COLUMNS($AC$1006:AH1006),$AC$1006:$AS$1006,0)))),"Fix")))</f>
        <v>0</v>
      </c>
      <c r="H980" s="5">
        <f>IF(OR(INDEX($W$2:$W$1001,MATCH(ROWS($V$2:V980),$V$2:$V$1001,0),1)&gt;=100000,INDEX($AC$1005:$AS$1005,1,MATCH(COLUMNS($AC$1006:AI1006),$AC$1006:$AS$1006,0))&gt;=100000), " ",IF(INDEX($AC$2:$AS$1001,MATCH(ROWS($V$2:V980),$V$2:$V$1001,0),MATCH(COLUMNS($AC$1006:AI1006),$AC$1006:$AS$1006,0)), HYPERLINK("#",""), HYPERLINK(CONCATENATE("#Metadata!", ADDRESS(INDEX($X$2:$X$1001,MATCH(ROWS($V$2:V980),$V$2:$V$1001,0),0), INDEX($AC$1004:$AS$1004,1,MATCH(COLUMNS($AC$1006:AI1006),$AC$1006:$AS$1006,0)))),"Fix")))</f>
        <v>0</v>
      </c>
      <c r="I980" s="5">
        <f>IF(OR(INDEX($W$2:$W$1001,MATCH(ROWS($V$2:V980),$V$2:$V$1001,0),1)&gt;=100000,INDEX($AC$1005:$AS$1005,1,MATCH(COLUMNS($AC$1006:AJ1006),$AC$1006:$AS$1006,0))&gt;=100000), " ",IF(INDEX($AC$2:$AS$1001,MATCH(ROWS($V$2:V980),$V$2:$V$1001,0),MATCH(COLUMNS($AC$1006:AJ1006),$AC$1006:$AS$1006,0)), HYPERLINK("#",""), HYPERLINK(CONCATENATE("#Metadata!", ADDRESS(INDEX($X$2:$X$1001,MATCH(ROWS($V$2:V980),$V$2:$V$1001,0),0), INDEX($AC$1004:$AS$1004,1,MATCH(COLUMNS($AC$1006:AJ1006),$AC$1006:$AS$1006,0)))),"Fix")))</f>
        <v>0</v>
      </c>
      <c r="J980" s="5">
        <f>IF(OR(INDEX($W$2:$W$1001,MATCH(ROWS($V$2:V980),$V$2:$V$1001,0),1)&gt;=100000,INDEX($AC$1005:$AS$1005,1,MATCH(COLUMNS($AC$1006:AK1006),$AC$1006:$AS$1006,0))&gt;=100000), " ",IF(INDEX($AC$2:$AS$1001,MATCH(ROWS($V$2:V980),$V$2:$V$1001,0),MATCH(COLUMNS($AC$1006:AK1006),$AC$1006:$AS$1006,0)), HYPERLINK("#",""), HYPERLINK(CONCATENATE("#Metadata!", ADDRESS(INDEX($X$2:$X$1001,MATCH(ROWS($V$2:V980),$V$2:$V$1001,0),0), INDEX($AC$1004:$AS$1004,1,MATCH(COLUMNS($AC$1006:AK1006),$AC$1006:$AS$1006,0)))),"Fix")))</f>
        <v>0</v>
      </c>
      <c r="K980" s="5">
        <f>IF(OR(INDEX($W$2:$W$1001,MATCH(ROWS($V$2:V980),$V$2:$V$1001,0),1)&gt;=100000,INDEX($AC$1005:$AS$1005,1,MATCH(COLUMNS($AC$1006:AL1006),$AC$1006:$AS$1006,0))&gt;=100000), " ",IF(INDEX($AC$2:$AS$1001,MATCH(ROWS($V$2:V980),$V$2:$V$1001,0),MATCH(COLUMNS($AC$1006:AL1006),$AC$1006:$AS$1006,0)), HYPERLINK("#",""), HYPERLINK(CONCATENATE("#Metadata!", ADDRESS(INDEX($X$2:$X$1001,MATCH(ROWS($V$2:V980),$V$2:$V$1001,0),0), INDEX($AC$1004:$AS$1004,1,MATCH(COLUMNS($AC$1006:AL1006),$AC$1006:$AS$1006,0)))),"Fix")))</f>
        <v>0</v>
      </c>
      <c r="L980" s="5">
        <f>IF(OR(INDEX($W$2:$W$1001,MATCH(ROWS($V$2:V980),$V$2:$V$1001,0),1)&gt;=100000,INDEX($AC$1005:$AS$1005,1,MATCH(COLUMNS($AC$1006:AM1006),$AC$1006:$AS$1006,0))&gt;=100000), " ",IF(INDEX($AC$2:$AS$1001,MATCH(ROWS($V$2:V980),$V$2:$V$1001,0),MATCH(COLUMNS($AC$1006:AM1006),$AC$1006:$AS$1006,0)), HYPERLINK("#",""), HYPERLINK(CONCATENATE("#Metadata!", ADDRESS(INDEX($X$2:$X$1001,MATCH(ROWS($V$2:V980),$V$2:$V$1001,0),0), INDEX($AC$1004:$AS$1004,1,MATCH(COLUMNS($AC$1006:AM1006),$AC$1006:$AS$1006,0)))),"Fix")))</f>
        <v>0</v>
      </c>
      <c r="M980" s="5">
        <f>IF(OR(INDEX($W$2:$W$1001,MATCH(ROWS($V$2:V980),$V$2:$V$1001,0),1)&gt;=100000,INDEX($AC$1005:$AS$1005,1,MATCH(COLUMNS($AC$1006:AN1006),$AC$1006:$AS$1006,0))&gt;=100000), " ",IF(INDEX($AC$2:$AS$1001,MATCH(ROWS($V$2:V980),$V$2:$V$1001,0),MATCH(COLUMNS($AC$1006:AN1006),$AC$1006:$AS$1006,0)), HYPERLINK("#",""), HYPERLINK(CONCATENATE("#Metadata!", ADDRESS(INDEX($X$2:$X$1001,MATCH(ROWS($V$2:V980),$V$2:$V$1001,0),0), INDEX($AC$1004:$AS$1004,1,MATCH(COLUMNS($AC$1006:AN1006),$AC$1006:$AS$1006,0)))),"Fix")))</f>
        <v>0</v>
      </c>
      <c r="N980" s="5">
        <f>IF(OR(INDEX($W$2:$W$1001,MATCH(ROWS($V$2:V980),$V$2:$V$1001,0),1)&gt;=100000,INDEX($AC$1005:$AS$1005,1,MATCH(COLUMNS($AC$1006:AO1006),$AC$1006:$AS$1006,0))&gt;=100000), " ",IF(INDEX($AC$2:$AS$1001,MATCH(ROWS($V$2:V980),$V$2:$V$1001,0),MATCH(COLUMNS($AC$1006:AO1006),$AC$1006:$AS$1006,0)), HYPERLINK("#",""), HYPERLINK(CONCATENATE("#Metadata!", ADDRESS(INDEX($X$2:$X$1001,MATCH(ROWS($V$2:V980),$V$2:$V$1001,0),0), INDEX($AC$1004:$AS$1004,1,MATCH(COLUMNS($AC$1006:AO1006),$AC$1006:$AS$1006,0)))),"Fix")))</f>
        <v>0</v>
      </c>
      <c r="O980" s="5">
        <f>IF(OR(INDEX($W$2:$W$1001,MATCH(ROWS($V$2:V980),$V$2:$V$1001,0),1)&gt;=100000,INDEX($AC$1005:$AS$1005,1,MATCH(COLUMNS($AC$1006:AP1006),$AC$1006:$AS$1006,0))&gt;=100000), " ",IF(INDEX($AC$2:$AS$1001,MATCH(ROWS($V$2:V980),$V$2:$V$1001,0),MATCH(COLUMNS($AC$1006:AP1006),$AC$1006:$AS$1006,0)), HYPERLINK("#",""), HYPERLINK(CONCATENATE("#Metadata!", ADDRESS(INDEX($X$2:$X$1001,MATCH(ROWS($V$2:V980),$V$2:$V$1001,0),0), INDEX($AC$1004:$AS$1004,1,MATCH(COLUMNS($AC$1006:AP1006),$AC$1006:$AS$1006,0)))),"Fix")))</f>
        <v>0</v>
      </c>
      <c r="P980" s="5">
        <f>IF(OR(INDEX($W$2:$W$1001,MATCH(ROWS($V$2:V980),$V$2:$V$1001,0),1)&gt;=100000,INDEX($AC$1005:$AS$1005,1,MATCH(COLUMNS($AC$1006:AQ1006),$AC$1006:$AS$1006,0))&gt;=100000), " ",IF(INDEX($AC$2:$AS$1001,MATCH(ROWS($V$2:V980),$V$2:$V$1001,0),MATCH(COLUMNS($AC$1006:AQ1006),$AC$1006:$AS$1006,0)), HYPERLINK("#",""), HYPERLINK(CONCATENATE("#Metadata!", ADDRESS(INDEX($X$2:$X$1001,MATCH(ROWS($V$2:V980),$V$2:$V$1001,0),0), INDEX($AC$1004:$AS$1004,1,MATCH(COLUMNS($AC$1006:AQ1006),$AC$1006:$AS$1006,0)))),"Fix")))</f>
        <v>0</v>
      </c>
      <c r="Q980" s="5">
        <f>IF(OR(INDEX($W$2:$W$1001,MATCH(ROWS($V$2:V980),$V$2:$V$1001,0),1)&gt;=100000,INDEX($AC$1005:$AS$1005,1,MATCH(COLUMNS($AC$1006:AR1006),$AC$1006:$AS$1006,0))&gt;=100000), " ",IF(INDEX($AC$2:$AS$1001,MATCH(ROWS($V$2:V980),$V$2:$V$1001,0),MATCH(COLUMNS($AC$1006:AR1006),$AC$1006:$AS$1006,0)), HYPERLINK("#",""), HYPERLINK(CONCATENATE("#Metadata!", ADDRESS(INDEX($X$2:$X$1001,MATCH(ROWS($V$2:V980),$V$2:$V$1001,0),0), INDEX($AC$1004:$AS$1004,1,MATCH(COLUMNS($AC$1006:AR1006),$AC$1006:$AS$1006,0)))),"Fix")))</f>
        <v>0</v>
      </c>
      <c r="R980" s="5">
        <f>IF(OR(INDEX($W$2:$W$1001,MATCH(ROWS($V$2:V980),$V$2:$V$1001,0),1)&gt;=100000,INDEX($AC$1005:$AS$1005,1,MATCH(COLUMNS($AC$1006:AS1006),$AC$1006:$AS$1006,0))&gt;=100000), " ",IF(INDEX($AC$2:$AS$1001,MATCH(ROWS($V$2:V980),$V$2:$V$1001,0),MATCH(COLUMNS($AC$1006:AS1006),$AC$1006:$AS$1006,0)), HYPERLINK("#",""), HYPERLINK(CONCATENATE("#Metadata!", ADDRESS(INDEX($X$2:$X$1001,MATCH(ROWS($V$2:V980),$V$2:$V$1001,0),0), INDEX($AC$1004:$AS$1004,1,MATCH(COLUMNS($AC$1006:AS1006),$AC$1006:$AS$1006,0)))),"Fix")))</f>
        <v>0</v>
      </c>
      <c r="V980">
        <v>0</v>
      </c>
      <c r="W980">
        <v>0</v>
      </c>
      <c r="X980">
        <v>0</v>
      </c>
      <c r="Y980">
        <f>IF(Z980,TRUE,AND(AC980:AS980))</f>
        <v>0</v>
      </c>
      <c r="Z980">
        <f>COUNTBLANK(Metadata!B980:R980)=COLUMNS(Metadata!B980:R980)</f>
        <v>0</v>
      </c>
      <c r="AA980">
        <v>0</v>
      </c>
      <c r="AC980">
        <f>AND(IF(Metadata!B980="",FALSE,TRUE),COUNTIF(Metadata!B:B, Metadata!B980) = 1,NOT(ISERROR(SUMPRODUCT(SEARCH(MID(Metadata!B980,ROW(INDIRECT("1:"&amp;LEN(Metadata!B980))), 1),"0123456789abcdefghijklmnopqrstuvwxyzABCDEFGHIJKLMNOPQRSTUVWXYZ.")))))</f>
        <v>0</v>
      </c>
      <c r="AD980">
        <f>AND(IF(Metadata!C980="",FALSE,TRUE),exact(Metadata!C980,"Host-associated"))</f>
        <v>0</v>
      </c>
      <c r="AE980">
        <f>AND(IF(Metadata!D980="",FALSE,TRUE),OR(exact(Metadata!D980,"Animal"),exact(Metadata!D980,"Fungus"),exact(Metadata!D980,"Plant")))</f>
        <v>0</v>
      </c>
      <c r="AF980">
        <f>AND(IF(Metadata!E980="",FALSE,TRUE),OR(exact(Metadata!E980,"Plant secretion"),exact(Metadata!E980,"Plant rhizosphere"),exact(Metadata!E980,"Plant surface"),exact(Metadata!E980,"Plant corpus"),exact(Metadata!E980,"Fungus surface"),exact(Metadata!E980,"Fungus corpus"),exact(Metadata!E980,"Animal surface"),exact(Metadata!E980,"Animal proximal gut"),exact(Metadata!E980,"Animal corpus"),exact(Metadata!E980,"Animal distal gut"),exact(Metadata!E980,"Animal secretion")))</f>
        <v>0</v>
      </c>
      <c r="AG980">
        <f>OR(AND(IF(Metadata!F980="",FALSE,TRUE),OR(exact(Metadata!F980,"not collected"),exact(Metadata!F980,"not provided"),exact(Metadata!F980,"restricted access"))),AND(IF(Metadata!F980="",FALSE,TRUE),OR(exact(Metadata!F980,"organism-associated habitat"),exact(Metadata!F980,"plant-associated habitat"),exact(Metadata!F980,"animal-associated habitat"),exact(Metadata!F980,"insecta-associated habitat"),exact(Metadata!F980,"mammalia-associated habitat"),exact(Metadata!F980,"human-associated habitat"),exact(Metadata!F980,"livestock-associated habitat"))))</f>
        <v>0</v>
      </c>
      <c r="AH980">
        <f>AND(IF(Metadata!G980="",FALSE,TRUE),exact(Metadata!G980,"host-associated"))</f>
        <v>0</v>
      </c>
      <c r="AI980">
        <f>OR(AND(IF(Metadata!H980="",FALSE,TRUE),OR(exact(Metadata!H980,"not collected"),exact(Metadata!H980,"not provided"))),AND(IF(Metadata!H980="",FALSE,ISNUMBER(VALUE(Metadata!H980))),Metadata!H980&gt;0))</f>
        <v>0</v>
      </c>
      <c r="AJ980">
        <f>AND(IF(Metadata!I980="",FALSE,TRUE),exact(Metadata!I980,"years"))</f>
        <v>0</v>
      </c>
      <c r="AK980">
        <f>IF(Metadata!J980="",FALSE,TRUE)</f>
        <v>0</v>
      </c>
      <c r="AL980">
        <f>OR(AND(IF(Metadata!K980="",FALSE,TRUE),OR(exact(Metadata!K980,"not collected"),exact(Metadata!K980,"not provided"))),AND(IF(Metadata!K980="",FALSE,ISNUMBER(VALUE(Metadata!K980))),Metadata!K980&gt;0))</f>
        <v>0</v>
      </c>
      <c r="AM980">
        <f>AND(IF(Metadata!L980="",FALSE,TRUE),exact(Metadata!L980,"cm"))</f>
        <v>0</v>
      </c>
      <c r="AN980">
        <f>IF(Metadata!M980="",FALSE,TRUE)</f>
        <v>0</v>
      </c>
      <c r="AO980">
        <f>OR(AND(IF(Metadata!N980="",FALSE,TRUE),OR(exact(Metadata!N980,"not applicable"),exact(Metadata!N980,"not collected"),exact(Metadata!N980,"not provided"))),AND(IF(Metadata!N980="",FALSE,IF(ISERROR(INT(Metadata!N980)),FALSE,INT(Metadata!N980)=Metadata!N980)),Metadata!N980&gt;0))</f>
        <v>0</v>
      </c>
      <c r="AP980">
        <f>OR(AND(IF(Metadata!O980="",FALSE,TRUE),OR(exact(Metadata!O980,"not collected"),exact(Metadata!O980,"not provided"))),AND(IF(Metadata!O980="",FALSE,ISNUMBER(VALUE(Metadata!O980))),Metadata!O980&gt;0))</f>
        <v>0</v>
      </c>
      <c r="AQ980">
        <f>AND(IF(Metadata!P980="",FALSE,TRUE),exact(Metadata!P980,"kg"))</f>
        <v>0</v>
      </c>
      <c r="AR980">
        <f>OR(AND(IF(Metadata!Q980="",FALSE,TRUE),OR(exact(Metadata!Q980,"not applicable"),exact(Metadata!Q980,"not collected"),exact(Metadata!Q980,"not provided"),exact(Metadata!Q980,"restricted access"))),IF(Metadata!Q980="",FALSE,IF(ISERROR(INT(Metadata!Q980)),FALSE,INT(Metadata!Q980)=Metadata!Q980)))</f>
        <v>0</v>
      </c>
      <c r="AS980">
        <f>AND(IF(Metadata!R980="",FALSE,TRUE),exact(Metadata!R980,"Not applicable"))</f>
        <v>0</v>
      </c>
    </row>
    <row r="981" spans="1:45">
      <c r="A981" s="4">
        <f>IF(B981=" "," ",HYPERLINK(CONCATENATE("#metadata!",ADDRESS(INDEX($X$2:$X$1001,MATCH(ROWS($V$2:V981),$V$2:$V$1001,0),0),2)),INDEX($AA$2:$AA$1001,MATCH(ROWS($V$2:V981),$V$2:$V$1001,0),0)))</f>
        <v>0</v>
      </c>
      <c r="B981" s="5">
        <f>IF(OR(INDEX($W$2:$W$1001,MATCH(ROWS($V$2:V981),$V$2:$V$1001,0),1)&gt;=100000,INDEX($AC$1005:$AS$1005,1,MATCH(COLUMNS($AC$1006:AC1006),$AC$1006:$AS$1006,0))&gt;=100000), " ",IF(INDEX($AC$2:$AS$1001,MATCH(ROWS($V$2:V981),$V$2:$V$1001,0),MATCH(COLUMNS($AC$1006:AC1006),$AC$1006:$AS$1006,0)), HYPERLINK("#",""), HYPERLINK(CONCATENATE("#Metadata!", ADDRESS(INDEX($X$2:$X$1001,MATCH(ROWS($V$2:V981),$V$2:$V$1001,0),0), INDEX($AC$1004:$AS$1004,1,MATCH(COLUMNS($AC$1006:AC1006),$AC$1006:$AS$1006,0)))),"Fix")))</f>
        <v>0</v>
      </c>
      <c r="C981" s="5">
        <f>IF(OR(INDEX($W$2:$W$1001,MATCH(ROWS($V$2:V981),$V$2:$V$1001,0),1)&gt;=100000,INDEX($AC$1005:$AS$1005,1,MATCH(COLUMNS($AC$1006:AD1006),$AC$1006:$AS$1006,0))&gt;=100000), " ",IF(INDEX($AC$2:$AS$1001,MATCH(ROWS($V$2:V981),$V$2:$V$1001,0),MATCH(COLUMNS($AC$1006:AD1006),$AC$1006:$AS$1006,0)), HYPERLINK("#",""), HYPERLINK(CONCATENATE("#Metadata!", ADDRESS(INDEX($X$2:$X$1001,MATCH(ROWS($V$2:V981),$V$2:$V$1001,0),0), INDEX($AC$1004:$AS$1004,1,MATCH(COLUMNS($AC$1006:AD1006),$AC$1006:$AS$1006,0)))),"Fix")))</f>
        <v>0</v>
      </c>
      <c r="D981" s="5">
        <f>IF(OR(INDEX($W$2:$W$1001,MATCH(ROWS($V$2:V981),$V$2:$V$1001,0),1)&gt;=100000,INDEX($AC$1005:$AS$1005,1,MATCH(COLUMNS($AC$1006:AE1006),$AC$1006:$AS$1006,0))&gt;=100000), " ",IF(INDEX($AC$2:$AS$1001,MATCH(ROWS($V$2:V981),$V$2:$V$1001,0),MATCH(COLUMNS($AC$1006:AE1006),$AC$1006:$AS$1006,0)), HYPERLINK("#",""), HYPERLINK(CONCATENATE("#Metadata!", ADDRESS(INDEX($X$2:$X$1001,MATCH(ROWS($V$2:V981),$V$2:$V$1001,0),0), INDEX($AC$1004:$AS$1004,1,MATCH(COLUMNS($AC$1006:AE1006),$AC$1006:$AS$1006,0)))),"Fix")))</f>
        <v>0</v>
      </c>
      <c r="E981" s="5">
        <f>IF(OR(INDEX($W$2:$W$1001,MATCH(ROWS($V$2:V981),$V$2:$V$1001,0),1)&gt;=100000,INDEX($AC$1005:$AS$1005,1,MATCH(COLUMNS($AC$1006:AF1006),$AC$1006:$AS$1006,0))&gt;=100000), " ",IF(INDEX($AC$2:$AS$1001,MATCH(ROWS($V$2:V981),$V$2:$V$1001,0),MATCH(COLUMNS($AC$1006:AF1006),$AC$1006:$AS$1006,0)), HYPERLINK("#",""), HYPERLINK(CONCATENATE("#Metadata!", ADDRESS(INDEX($X$2:$X$1001,MATCH(ROWS($V$2:V981),$V$2:$V$1001,0),0), INDEX($AC$1004:$AS$1004,1,MATCH(COLUMNS($AC$1006:AF1006),$AC$1006:$AS$1006,0)))),"Fix")))</f>
        <v>0</v>
      </c>
      <c r="F981" s="5">
        <f>IF(OR(INDEX($W$2:$W$1001,MATCH(ROWS($V$2:V981),$V$2:$V$1001,0),1)&gt;=100000,INDEX($AC$1005:$AS$1005,1,MATCH(COLUMNS($AC$1006:AG1006),$AC$1006:$AS$1006,0))&gt;=100000), " ",IF(INDEX($AC$2:$AS$1001,MATCH(ROWS($V$2:V981),$V$2:$V$1001,0),MATCH(COLUMNS($AC$1006:AG1006),$AC$1006:$AS$1006,0)), HYPERLINK("#",""), HYPERLINK(CONCATENATE("#Metadata!", ADDRESS(INDEX($X$2:$X$1001,MATCH(ROWS($V$2:V981),$V$2:$V$1001,0),0), INDEX($AC$1004:$AS$1004,1,MATCH(COLUMNS($AC$1006:AG1006),$AC$1006:$AS$1006,0)))),"Fix")))</f>
        <v>0</v>
      </c>
      <c r="G981" s="5">
        <f>IF(OR(INDEX($W$2:$W$1001,MATCH(ROWS($V$2:V981),$V$2:$V$1001,0),1)&gt;=100000,INDEX($AC$1005:$AS$1005,1,MATCH(COLUMNS($AC$1006:AH1006),$AC$1006:$AS$1006,0))&gt;=100000), " ",IF(INDEX($AC$2:$AS$1001,MATCH(ROWS($V$2:V981),$V$2:$V$1001,0),MATCH(COLUMNS($AC$1006:AH1006),$AC$1006:$AS$1006,0)), HYPERLINK("#",""), HYPERLINK(CONCATENATE("#Metadata!", ADDRESS(INDEX($X$2:$X$1001,MATCH(ROWS($V$2:V981),$V$2:$V$1001,0),0), INDEX($AC$1004:$AS$1004,1,MATCH(COLUMNS($AC$1006:AH1006),$AC$1006:$AS$1006,0)))),"Fix")))</f>
        <v>0</v>
      </c>
      <c r="H981" s="5">
        <f>IF(OR(INDEX($W$2:$W$1001,MATCH(ROWS($V$2:V981),$V$2:$V$1001,0),1)&gt;=100000,INDEX($AC$1005:$AS$1005,1,MATCH(COLUMNS($AC$1006:AI1006),$AC$1006:$AS$1006,0))&gt;=100000), " ",IF(INDEX($AC$2:$AS$1001,MATCH(ROWS($V$2:V981),$V$2:$V$1001,0),MATCH(COLUMNS($AC$1006:AI1006),$AC$1006:$AS$1006,0)), HYPERLINK("#",""), HYPERLINK(CONCATENATE("#Metadata!", ADDRESS(INDEX($X$2:$X$1001,MATCH(ROWS($V$2:V981),$V$2:$V$1001,0),0), INDEX($AC$1004:$AS$1004,1,MATCH(COLUMNS($AC$1006:AI1006),$AC$1006:$AS$1006,0)))),"Fix")))</f>
        <v>0</v>
      </c>
      <c r="I981" s="5">
        <f>IF(OR(INDEX($W$2:$W$1001,MATCH(ROWS($V$2:V981),$V$2:$V$1001,0),1)&gt;=100000,INDEX($AC$1005:$AS$1005,1,MATCH(COLUMNS($AC$1006:AJ1006),$AC$1006:$AS$1006,0))&gt;=100000), " ",IF(INDEX($AC$2:$AS$1001,MATCH(ROWS($V$2:V981),$V$2:$V$1001,0),MATCH(COLUMNS($AC$1006:AJ1006),$AC$1006:$AS$1006,0)), HYPERLINK("#",""), HYPERLINK(CONCATENATE("#Metadata!", ADDRESS(INDEX($X$2:$X$1001,MATCH(ROWS($V$2:V981),$V$2:$V$1001,0),0), INDEX($AC$1004:$AS$1004,1,MATCH(COLUMNS($AC$1006:AJ1006),$AC$1006:$AS$1006,0)))),"Fix")))</f>
        <v>0</v>
      </c>
      <c r="J981" s="5">
        <f>IF(OR(INDEX($W$2:$W$1001,MATCH(ROWS($V$2:V981),$V$2:$V$1001,0),1)&gt;=100000,INDEX($AC$1005:$AS$1005,1,MATCH(COLUMNS($AC$1006:AK1006),$AC$1006:$AS$1006,0))&gt;=100000), " ",IF(INDEX($AC$2:$AS$1001,MATCH(ROWS($V$2:V981),$V$2:$V$1001,0),MATCH(COLUMNS($AC$1006:AK1006),$AC$1006:$AS$1006,0)), HYPERLINK("#",""), HYPERLINK(CONCATENATE("#Metadata!", ADDRESS(INDEX($X$2:$X$1001,MATCH(ROWS($V$2:V981),$V$2:$V$1001,0),0), INDEX($AC$1004:$AS$1004,1,MATCH(COLUMNS($AC$1006:AK1006),$AC$1006:$AS$1006,0)))),"Fix")))</f>
        <v>0</v>
      </c>
      <c r="K981" s="5">
        <f>IF(OR(INDEX($W$2:$W$1001,MATCH(ROWS($V$2:V981),$V$2:$V$1001,0),1)&gt;=100000,INDEX($AC$1005:$AS$1005,1,MATCH(COLUMNS($AC$1006:AL1006),$AC$1006:$AS$1006,0))&gt;=100000), " ",IF(INDEX($AC$2:$AS$1001,MATCH(ROWS($V$2:V981),$V$2:$V$1001,0),MATCH(COLUMNS($AC$1006:AL1006),$AC$1006:$AS$1006,0)), HYPERLINK("#",""), HYPERLINK(CONCATENATE("#Metadata!", ADDRESS(INDEX($X$2:$X$1001,MATCH(ROWS($V$2:V981),$V$2:$V$1001,0),0), INDEX($AC$1004:$AS$1004,1,MATCH(COLUMNS($AC$1006:AL1006),$AC$1006:$AS$1006,0)))),"Fix")))</f>
        <v>0</v>
      </c>
      <c r="L981" s="5">
        <f>IF(OR(INDEX($W$2:$W$1001,MATCH(ROWS($V$2:V981),$V$2:$V$1001,0),1)&gt;=100000,INDEX($AC$1005:$AS$1005,1,MATCH(COLUMNS($AC$1006:AM1006),$AC$1006:$AS$1006,0))&gt;=100000), " ",IF(INDEX($AC$2:$AS$1001,MATCH(ROWS($V$2:V981),$V$2:$V$1001,0),MATCH(COLUMNS($AC$1006:AM1006),$AC$1006:$AS$1006,0)), HYPERLINK("#",""), HYPERLINK(CONCATENATE("#Metadata!", ADDRESS(INDEX($X$2:$X$1001,MATCH(ROWS($V$2:V981),$V$2:$V$1001,0),0), INDEX($AC$1004:$AS$1004,1,MATCH(COLUMNS($AC$1006:AM1006),$AC$1006:$AS$1006,0)))),"Fix")))</f>
        <v>0</v>
      </c>
      <c r="M981" s="5">
        <f>IF(OR(INDEX($W$2:$W$1001,MATCH(ROWS($V$2:V981),$V$2:$V$1001,0),1)&gt;=100000,INDEX($AC$1005:$AS$1005,1,MATCH(COLUMNS($AC$1006:AN1006),$AC$1006:$AS$1006,0))&gt;=100000), " ",IF(INDEX($AC$2:$AS$1001,MATCH(ROWS($V$2:V981),$V$2:$V$1001,0),MATCH(COLUMNS($AC$1006:AN1006),$AC$1006:$AS$1006,0)), HYPERLINK("#",""), HYPERLINK(CONCATENATE("#Metadata!", ADDRESS(INDEX($X$2:$X$1001,MATCH(ROWS($V$2:V981),$V$2:$V$1001,0),0), INDEX($AC$1004:$AS$1004,1,MATCH(COLUMNS($AC$1006:AN1006),$AC$1006:$AS$1006,0)))),"Fix")))</f>
        <v>0</v>
      </c>
      <c r="N981" s="5">
        <f>IF(OR(INDEX($W$2:$W$1001,MATCH(ROWS($V$2:V981),$V$2:$V$1001,0),1)&gt;=100000,INDEX($AC$1005:$AS$1005,1,MATCH(COLUMNS($AC$1006:AO1006),$AC$1006:$AS$1006,0))&gt;=100000), " ",IF(INDEX($AC$2:$AS$1001,MATCH(ROWS($V$2:V981),$V$2:$V$1001,0),MATCH(COLUMNS($AC$1006:AO1006),$AC$1006:$AS$1006,0)), HYPERLINK("#",""), HYPERLINK(CONCATENATE("#Metadata!", ADDRESS(INDEX($X$2:$X$1001,MATCH(ROWS($V$2:V981),$V$2:$V$1001,0),0), INDEX($AC$1004:$AS$1004,1,MATCH(COLUMNS($AC$1006:AO1006),$AC$1006:$AS$1006,0)))),"Fix")))</f>
        <v>0</v>
      </c>
      <c r="O981" s="5">
        <f>IF(OR(INDEX($W$2:$W$1001,MATCH(ROWS($V$2:V981),$V$2:$V$1001,0),1)&gt;=100000,INDEX($AC$1005:$AS$1005,1,MATCH(COLUMNS($AC$1006:AP1006),$AC$1006:$AS$1006,0))&gt;=100000), " ",IF(INDEX($AC$2:$AS$1001,MATCH(ROWS($V$2:V981),$V$2:$V$1001,0),MATCH(COLUMNS($AC$1006:AP1006),$AC$1006:$AS$1006,0)), HYPERLINK("#",""), HYPERLINK(CONCATENATE("#Metadata!", ADDRESS(INDEX($X$2:$X$1001,MATCH(ROWS($V$2:V981),$V$2:$V$1001,0),0), INDEX($AC$1004:$AS$1004,1,MATCH(COLUMNS($AC$1006:AP1006),$AC$1006:$AS$1006,0)))),"Fix")))</f>
        <v>0</v>
      </c>
      <c r="P981" s="5">
        <f>IF(OR(INDEX($W$2:$W$1001,MATCH(ROWS($V$2:V981),$V$2:$V$1001,0),1)&gt;=100000,INDEX($AC$1005:$AS$1005,1,MATCH(COLUMNS($AC$1006:AQ1006),$AC$1006:$AS$1006,0))&gt;=100000), " ",IF(INDEX($AC$2:$AS$1001,MATCH(ROWS($V$2:V981),$V$2:$V$1001,0),MATCH(COLUMNS($AC$1006:AQ1006),$AC$1006:$AS$1006,0)), HYPERLINK("#",""), HYPERLINK(CONCATENATE("#Metadata!", ADDRESS(INDEX($X$2:$X$1001,MATCH(ROWS($V$2:V981),$V$2:$V$1001,0),0), INDEX($AC$1004:$AS$1004,1,MATCH(COLUMNS($AC$1006:AQ1006),$AC$1006:$AS$1006,0)))),"Fix")))</f>
        <v>0</v>
      </c>
      <c r="Q981" s="5">
        <f>IF(OR(INDEX($W$2:$W$1001,MATCH(ROWS($V$2:V981),$V$2:$V$1001,0),1)&gt;=100000,INDEX($AC$1005:$AS$1005,1,MATCH(COLUMNS($AC$1006:AR1006),$AC$1006:$AS$1006,0))&gt;=100000), " ",IF(INDEX($AC$2:$AS$1001,MATCH(ROWS($V$2:V981),$V$2:$V$1001,0),MATCH(COLUMNS($AC$1006:AR1006),$AC$1006:$AS$1006,0)), HYPERLINK("#",""), HYPERLINK(CONCATENATE("#Metadata!", ADDRESS(INDEX($X$2:$X$1001,MATCH(ROWS($V$2:V981),$V$2:$V$1001,0),0), INDEX($AC$1004:$AS$1004,1,MATCH(COLUMNS($AC$1006:AR1006),$AC$1006:$AS$1006,0)))),"Fix")))</f>
        <v>0</v>
      </c>
      <c r="R981" s="5">
        <f>IF(OR(INDEX($W$2:$W$1001,MATCH(ROWS($V$2:V981),$V$2:$V$1001,0),1)&gt;=100000,INDEX($AC$1005:$AS$1005,1,MATCH(COLUMNS($AC$1006:AS1006),$AC$1006:$AS$1006,0))&gt;=100000), " ",IF(INDEX($AC$2:$AS$1001,MATCH(ROWS($V$2:V981),$V$2:$V$1001,0),MATCH(COLUMNS($AC$1006:AS1006),$AC$1006:$AS$1006,0)), HYPERLINK("#",""), HYPERLINK(CONCATENATE("#Metadata!", ADDRESS(INDEX($X$2:$X$1001,MATCH(ROWS($V$2:V981),$V$2:$V$1001,0),0), INDEX($AC$1004:$AS$1004,1,MATCH(COLUMNS($AC$1006:AS1006),$AC$1006:$AS$1006,0)))),"Fix")))</f>
        <v>0</v>
      </c>
      <c r="V981">
        <v>0</v>
      </c>
      <c r="W981">
        <v>0</v>
      </c>
      <c r="X981">
        <v>0</v>
      </c>
      <c r="Y981">
        <f>IF(Z981,TRUE,AND(AC981:AS981))</f>
        <v>0</v>
      </c>
      <c r="Z981">
        <f>COUNTBLANK(Metadata!B981:R981)=COLUMNS(Metadata!B981:R981)</f>
        <v>0</v>
      </c>
      <c r="AA981">
        <v>0</v>
      </c>
      <c r="AC981">
        <f>AND(IF(Metadata!B981="",FALSE,TRUE),COUNTIF(Metadata!B:B, Metadata!B981) = 1,NOT(ISERROR(SUMPRODUCT(SEARCH(MID(Metadata!B981,ROW(INDIRECT("1:"&amp;LEN(Metadata!B981))), 1),"0123456789abcdefghijklmnopqrstuvwxyzABCDEFGHIJKLMNOPQRSTUVWXYZ.")))))</f>
        <v>0</v>
      </c>
      <c r="AD981">
        <f>AND(IF(Metadata!C981="",FALSE,TRUE),exact(Metadata!C981,"Host-associated"))</f>
        <v>0</v>
      </c>
      <c r="AE981">
        <f>AND(IF(Metadata!D981="",FALSE,TRUE),OR(exact(Metadata!D981,"Animal"),exact(Metadata!D981,"Fungus"),exact(Metadata!D981,"Plant")))</f>
        <v>0</v>
      </c>
      <c r="AF981">
        <f>AND(IF(Metadata!E981="",FALSE,TRUE),OR(exact(Metadata!E981,"Plant secretion"),exact(Metadata!E981,"Plant rhizosphere"),exact(Metadata!E981,"Plant surface"),exact(Metadata!E981,"Plant corpus"),exact(Metadata!E981,"Fungus surface"),exact(Metadata!E981,"Fungus corpus"),exact(Metadata!E981,"Animal surface"),exact(Metadata!E981,"Animal proximal gut"),exact(Metadata!E981,"Animal corpus"),exact(Metadata!E981,"Animal distal gut"),exact(Metadata!E981,"Animal secretion")))</f>
        <v>0</v>
      </c>
      <c r="AG981">
        <f>OR(AND(IF(Metadata!F981="",FALSE,TRUE),OR(exact(Metadata!F981,"not collected"),exact(Metadata!F981,"not provided"),exact(Metadata!F981,"restricted access"))),AND(IF(Metadata!F981="",FALSE,TRUE),OR(exact(Metadata!F981,"organism-associated habitat"),exact(Metadata!F981,"plant-associated habitat"),exact(Metadata!F981,"animal-associated habitat"),exact(Metadata!F981,"insecta-associated habitat"),exact(Metadata!F981,"mammalia-associated habitat"),exact(Metadata!F981,"human-associated habitat"),exact(Metadata!F981,"livestock-associated habitat"))))</f>
        <v>0</v>
      </c>
      <c r="AH981">
        <f>AND(IF(Metadata!G981="",FALSE,TRUE),exact(Metadata!G981,"host-associated"))</f>
        <v>0</v>
      </c>
      <c r="AI981">
        <f>OR(AND(IF(Metadata!H981="",FALSE,TRUE),OR(exact(Metadata!H981,"not collected"),exact(Metadata!H981,"not provided"))),AND(IF(Metadata!H981="",FALSE,ISNUMBER(VALUE(Metadata!H981))),Metadata!H981&gt;0))</f>
        <v>0</v>
      </c>
      <c r="AJ981">
        <f>AND(IF(Metadata!I981="",FALSE,TRUE),exact(Metadata!I981,"years"))</f>
        <v>0</v>
      </c>
      <c r="AK981">
        <f>IF(Metadata!J981="",FALSE,TRUE)</f>
        <v>0</v>
      </c>
      <c r="AL981">
        <f>OR(AND(IF(Metadata!K981="",FALSE,TRUE),OR(exact(Metadata!K981,"not collected"),exact(Metadata!K981,"not provided"))),AND(IF(Metadata!K981="",FALSE,ISNUMBER(VALUE(Metadata!K981))),Metadata!K981&gt;0))</f>
        <v>0</v>
      </c>
      <c r="AM981">
        <f>AND(IF(Metadata!L981="",FALSE,TRUE),exact(Metadata!L981,"cm"))</f>
        <v>0</v>
      </c>
      <c r="AN981">
        <f>IF(Metadata!M981="",FALSE,TRUE)</f>
        <v>0</v>
      </c>
      <c r="AO981">
        <f>OR(AND(IF(Metadata!N981="",FALSE,TRUE),OR(exact(Metadata!N981,"not applicable"),exact(Metadata!N981,"not collected"),exact(Metadata!N981,"not provided"))),AND(IF(Metadata!N981="",FALSE,IF(ISERROR(INT(Metadata!N981)),FALSE,INT(Metadata!N981)=Metadata!N981)),Metadata!N981&gt;0))</f>
        <v>0</v>
      </c>
      <c r="AP981">
        <f>OR(AND(IF(Metadata!O981="",FALSE,TRUE),OR(exact(Metadata!O981,"not collected"),exact(Metadata!O981,"not provided"))),AND(IF(Metadata!O981="",FALSE,ISNUMBER(VALUE(Metadata!O981))),Metadata!O981&gt;0))</f>
        <v>0</v>
      </c>
      <c r="AQ981">
        <f>AND(IF(Metadata!P981="",FALSE,TRUE),exact(Metadata!P981,"kg"))</f>
        <v>0</v>
      </c>
      <c r="AR981">
        <f>OR(AND(IF(Metadata!Q981="",FALSE,TRUE),OR(exact(Metadata!Q981,"not applicable"),exact(Metadata!Q981,"not collected"),exact(Metadata!Q981,"not provided"),exact(Metadata!Q981,"restricted access"))),IF(Metadata!Q981="",FALSE,IF(ISERROR(INT(Metadata!Q981)),FALSE,INT(Metadata!Q981)=Metadata!Q981)))</f>
        <v>0</v>
      </c>
      <c r="AS981">
        <f>AND(IF(Metadata!R981="",FALSE,TRUE),exact(Metadata!R981,"Not applicable"))</f>
        <v>0</v>
      </c>
    </row>
    <row r="982" spans="1:45">
      <c r="A982" s="4">
        <f>IF(B982=" "," ",HYPERLINK(CONCATENATE("#metadata!",ADDRESS(INDEX($X$2:$X$1001,MATCH(ROWS($V$2:V982),$V$2:$V$1001,0),0),2)),INDEX($AA$2:$AA$1001,MATCH(ROWS($V$2:V982),$V$2:$V$1001,0),0)))</f>
        <v>0</v>
      </c>
      <c r="B982" s="5">
        <f>IF(OR(INDEX($W$2:$W$1001,MATCH(ROWS($V$2:V982),$V$2:$V$1001,0),1)&gt;=100000,INDEX($AC$1005:$AS$1005,1,MATCH(COLUMNS($AC$1006:AC1006),$AC$1006:$AS$1006,0))&gt;=100000), " ",IF(INDEX($AC$2:$AS$1001,MATCH(ROWS($V$2:V982),$V$2:$V$1001,0),MATCH(COLUMNS($AC$1006:AC1006),$AC$1006:$AS$1006,0)), HYPERLINK("#",""), HYPERLINK(CONCATENATE("#Metadata!", ADDRESS(INDEX($X$2:$X$1001,MATCH(ROWS($V$2:V982),$V$2:$V$1001,0),0), INDEX($AC$1004:$AS$1004,1,MATCH(COLUMNS($AC$1006:AC1006),$AC$1006:$AS$1006,0)))),"Fix")))</f>
        <v>0</v>
      </c>
      <c r="C982" s="5">
        <f>IF(OR(INDEX($W$2:$W$1001,MATCH(ROWS($V$2:V982),$V$2:$V$1001,0),1)&gt;=100000,INDEX($AC$1005:$AS$1005,1,MATCH(COLUMNS($AC$1006:AD1006),$AC$1006:$AS$1006,0))&gt;=100000), " ",IF(INDEX($AC$2:$AS$1001,MATCH(ROWS($V$2:V982),$V$2:$V$1001,0),MATCH(COLUMNS($AC$1006:AD1006),$AC$1006:$AS$1006,0)), HYPERLINK("#",""), HYPERLINK(CONCATENATE("#Metadata!", ADDRESS(INDEX($X$2:$X$1001,MATCH(ROWS($V$2:V982),$V$2:$V$1001,0),0), INDEX($AC$1004:$AS$1004,1,MATCH(COLUMNS($AC$1006:AD1006),$AC$1006:$AS$1006,0)))),"Fix")))</f>
        <v>0</v>
      </c>
      <c r="D982" s="5">
        <f>IF(OR(INDEX($W$2:$W$1001,MATCH(ROWS($V$2:V982),$V$2:$V$1001,0),1)&gt;=100000,INDEX($AC$1005:$AS$1005,1,MATCH(COLUMNS($AC$1006:AE1006),$AC$1006:$AS$1006,0))&gt;=100000), " ",IF(INDEX($AC$2:$AS$1001,MATCH(ROWS($V$2:V982),$V$2:$V$1001,0),MATCH(COLUMNS($AC$1006:AE1006),$AC$1006:$AS$1006,0)), HYPERLINK("#",""), HYPERLINK(CONCATENATE("#Metadata!", ADDRESS(INDEX($X$2:$X$1001,MATCH(ROWS($V$2:V982),$V$2:$V$1001,0),0), INDEX($AC$1004:$AS$1004,1,MATCH(COLUMNS($AC$1006:AE1006),$AC$1006:$AS$1006,0)))),"Fix")))</f>
        <v>0</v>
      </c>
      <c r="E982" s="5">
        <f>IF(OR(INDEX($W$2:$W$1001,MATCH(ROWS($V$2:V982),$V$2:$V$1001,0),1)&gt;=100000,INDEX($AC$1005:$AS$1005,1,MATCH(COLUMNS($AC$1006:AF1006),$AC$1006:$AS$1006,0))&gt;=100000), " ",IF(INDEX($AC$2:$AS$1001,MATCH(ROWS($V$2:V982),$V$2:$V$1001,0),MATCH(COLUMNS($AC$1006:AF1006),$AC$1006:$AS$1006,0)), HYPERLINK("#",""), HYPERLINK(CONCATENATE("#Metadata!", ADDRESS(INDEX($X$2:$X$1001,MATCH(ROWS($V$2:V982),$V$2:$V$1001,0),0), INDEX($AC$1004:$AS$1004,1,MATCH(COLUMNS($AC$1006:AF1006),$AC$1006:$AS$1006,0)))),"Fix")))</f>
        <v>0</v>
      </c>
      <c r="F982" s="5">
        <f>IF(OR(INDEX($W$2:$W$1001,MATCH(ROWS($V$2:V982),$V$2:$V$1001,0),1)&gt;=100000,INDEX($AC$1005:$AS$1005,1,MATCH(COLUMNS($AC$1006:AG1006),$AC$1006:$AS$1006,0))&gt;=100000), " ",IF(INDEX($AC$2:$AS$1001,MATCH(ROWS($V$2:V982),$V$2:$V$1001,0),MATCH(COLUMNS($AC$1006:AG1006),$AC$1006:$AS$1006,0)), HYPERLINK("#",""), HYPERLINK(CONCATENATE("#Metadata!", ADDRESS(INDEX($X$2:$X$1001,MATCH(ROWS($V$2:V982),$V$2:$V$1001,0),0), INDEX($AC$1004:$AS$1004,1,MATCH(COLUMNS($AC$1006:AG1006),$AC$1006:$AS$1006,0)))),"Fix")))</f>
        <v>0</v>
      </c>
      <c r="G982" s="5">
        <f>IF(OR(INDEX($W$2:$W$1001,MATCH(ROWS($V$2:V982),$V$2:$V$1001,0),1)&gt;=100000,INDEX($AC$1005:$AS$1005,1,MATCH(COLUMNS($AC$1006:AH1006),$AC$1006:$AS$1006,0))&gt;=100000), " ",IF(INDEX($AC$2:$AS$1001,MATCH(ROWS($V$2:V982),$V$2:$V$1001,0),MATCH(COLUMNS($AC$1006:AH1006),$AC$1006:$AS$1006,0)), HYPERLINK("#",""), HYPERLINK(CONCATENATE("#Metadata!", ADDRESS(INDEX($X$2:$X$1001,MATCH(ROWS($V$2:V982),$V$2:$V$1001,0),0), INDEX($AC$1004:$AS$1004,1,MATCH(COLUMNS($AC$1006:AH1006),$AC$1006:$AS$1006,0)))),"Fix")))</f>
        <v>0</v>
      </c>
      <c r="H982" s="5">
        <f>IF(OR(INDEX($W$2:$W$1001,MATCH(ROWS($V$2:V982),$V$2:$V$1001,0),1)&gt;=100000,INDEX($AC$1005:$AS$1005,1,MATCH(COLUMNS($AC$1006:AI1006),$AC$1006:$AS$1006,0))&gt;=100000), " ",IF(INDEX($AC$2:$AS$1001,MATCH(ROWS($V$2:V982),$V$2:$V$1001,0),MATCH(COLUMNS($AC$1006:AI1006),$AC$1006:$AS$1006,0)), HYPERLINK("#",""), HYPERLINK(CONCATENATE("#Metadata!", ADDRESS(INDEX($X$2:$X$1001,MATCH(ROWS($V$2:V982),$V$2:$V$1001,0),0), INDEX($AC$1004:$AS$1004,1,MATCH(COLUMNS($AC$1006:AI1006),$AC$1006:$AS$1006,0)))),"Fix")))</f>
        <v>0</v>
      </c>
      <c r="I982" s="5">
        <f>IF(OR(INDEX($W$2:$W$1001,MATCH(ROWS($V$2:V982),$V$2:$V$1001,0),1)&gt;=100000,INDEX($AC$1005:$AS$1005,1,MATCH(COLUMNS($AC$1006:AJ1006),$AC$1006:$AS$1006,0))&gt;=100000), " ",IF(INDEX($AC$2:$AS$1001,MATCH(ROWS($V$2:V982),$V$2:$V$1001,0),MATCH(COLUMNS($AC$1006:AJ1006),$AC$1006:$AS$1006,0)), HYPERLINK("#",""), HYPERLINK(CONCATENATE("#Metadata!", ADDRESS(INDEX($X$2:$X$1001,MATCH(ROWS($V$2:V982),$V$2:$V$1001,0),0), INDEX($AC$1004:$AS$1004,1,MATCH(COLUMNS($AC$1006:AJ1006),$AC$1006:$AS$1006,0)))),"Fix")))</f>
        <v>0</v>
      </c>
      <c r="J982" s="5">
        <f>IF(OR(INDEX($W$2:$W$1001,MATCH(ROWS($V$2:V982),$V$2:$V$1001,0),1)&gt;=100000,INDEX($AC$1005:$AS$1005,1,MATCH(COLUMNS($AC$1006:AK1006),$AC$1006:$AS$1006,0))&gt;=100000), " ",IF(INDEX($AC$2:$AS$1001,MATCH(ROWS($V$2:V982),$V$2:$V$1001,0),MATCH(COLUMNS($AC$1006:AK1006),$AC$1006:$AS$1006,0)), HYPERLINK("#",""), HYPERLINK(CONCATENATE("#Metadata!", ADDRESS(INDEX($X$2:$X$1001,MATCH(ROWS($V$2:V982),$V$2:$V$1001,0),0), INDEX($AC$1004:$AS$1004,1,MATCH(COLUMNS($AC$1006:AK1006),$AC$1006:$AS$1006,0)))),"Fix")))</f>
        <v>0</v>
      </c>
      <c r="K982" s="5">
        <f>IF(OR(INDEX($W$2:$W$1001,MATCH(ROWS($V$2:V982),$V$2:$V$1001,0),1)&gt;=100000,INDEX($AC$1005:$AS$1005,1,MATCH(COLUMNS($AC$1006:AL1006),$AC$1006:$AS$1006,0))&gt;=100000), " ",IF(INDEX($AC$2:$AS$1001,MATCH(ROWS($V$2:V982),$V$2:$V$1001,0),MATCH(COLUMNS($AC$1006:AL1006),$AC$1006:$AS$1006,0)), HYPERLINK("#",""), HYPERLINK(CONCATENATE("#Metadata!", ADDRESS(INDEX($X$2:$X$1001,MATCH(ROWS($V$2:V982),$V$2:$V$1001,0),0), INDEX($AC$1004:$AS$1004,1,MATCH(COLUMNS($AC$1006:AL1006),$AC$1006:$AS$1006,0)))),"Fix")))</f>
        <v>0</v>
      </c>
      <c r="L982" s="5">
        <f>IF(OR(INDEX($W$2:$W$1001,MATCH(ROWS($V$2:V982),$V$2:$V$1001,0),1)&gt;=100000,INDEX($AC$1005:$AS$1005,1,MATCH(COLUMNS($AC$1006:AM1006),$AC$1006:$AS$1006,0))&gt;=100000), " ",IF(INDEX($AC$2:$AS$1001,MATCH(ROWS($V$2:V982),$V$2:$V$1001,0),MATCH(COLUMNS($AC$1006:AM1006),$AC$1006:$AS$1006,0)), HYPERLINK("#",""), HYPERLINK(CONCATENATE("#Metadata!", ADDRESS(INDEX($X$2:$X$1001,MATCH(ROWS($V$2:V982),$V$2:$V$1001,0),0), INDEX($AC$1004:$AS$1004,1,MATCH(COLUMNS($AC$1006:AM1006),$AC$1006:$AS$1006,0)))),"Fix")))</f>
        <v>0</v>
      </c>
      <c r="M982" s="5">
        <f>IF(OR(INDEX($W$2:$W$1001,MATCH(ROWS($V$2:V982),$V$2:$V$1001,0),1)&gt;=100000,INDEX($AC$1005:$AS$1005,1,MATCH(COLUMNS($AC$1006:AN1006),$AC$1006:$AS$1006,0))&gt;=100000), " ",IF(INDEX($AC$2:$AS$1001,MATCH(ROWS($V$2:V982),$V$2:$V$1001,0),MATCH(COLUMNS($AC$1006:AN1006),$AC$1006:$AS$1006,0)), HYPERLINK("#",""), HYPERLINK(CONCATENATE("#Metadata!", ADDRESS(INDEX($X$2:$X$1001,MATCH(ROWS($V$2:V982),$V$2:$V$1001,0),0), INDEX($AC$1004:$AS$1004,1,MATCH(COLUMNS($AC$1006:AN1006),$AC$1006:$AS$1006,0)))),"Fix")))</f>
        <v>0</v>
      </c>
      <c r="N982" s="5">
        <f>IF(OR(INDEX($W$2:$W$1001,MATCH(ROWS($V$2:V982),$V$2:$V$1001,0),1)&gt;=100000,INDEX($AC$1005:$AS$1005,1,MATCH(COLUMNS($AC$1006:AO1006),$AC$1006:$AS$1006,0))&gt;=100000), " ",IF(INDEX($AC$2:$AS$1001,MATCH(ROWS($V$2:V982),$V$2:$V$1001,0),MATCH(COLUMNS($AC$1006:AO1006),$AC$1006:$AS$1006,0)), HYPERLINK("#",""), HYPERLINK(CONCATENATE("#Metadata!", ADDRESS(INDEX($X$2:$X$1001,MATCH(ROWS($V$2:V982),$V$2:$V$1001,0),0), INDEX($AC$1004:$AS$1004,1,MATCH(COLUMNS($AC$1006:AO1006),$AC$1006:$AS$1006,0)))),"Fix")))</f>
        <v>0</v>
      </c>
      <c r="O982" s="5">
        <f>IF(OR(INDEX($W$2:$W$1001,MATCH(ROWS($V$2:V982),$V$2:$V$1001,0),1)&gt;=100000,INDEX($AC$1005:$AS$1005,1,MATCH(COLUMNS($AC$1006:AP1006),$AC$1006:$AS$1006,0))&gt;=100000), " ",IF(INDEX($AC$2:$AS$1001,MATCH(ROWS($V$2:V982),$V$2:$V$1001,0),MATCH(COLUMNS($AC$1006:AP1006),$AC$1006:$AS$1006,0)), HYPERLINK("#",""), HYPERLINK(CONCATENATE("#Metadata!", ADDRESS(INDEX($X$2:$X$1001,MATCH(ROWS($V$2:V982),$V$2:$V$1001,0),0), INDEX($AC$1004:$AS$1004,1,MATCH(COLUMNS($AC$1006:AP1006),$AC$1006:$AS$1006,0)))),"Fix")))</f>
        <v>0</v>
      </c>
      <c r="P982" s="5">
        <f>IF(OR(INDEX($W$2:$W$1001,MATCH(ROWS($V$2:V982),$V$2:$V$1001,0),1)&gt;=100000,INDEX($AC$1005:$AS$1005,1,MATCH(COLUMNS($AC$1006:AQ1006),$AC$1006:$AS$1006,0))&gt;=100000), " ",IF(INDEX($AC$2:$AS$1001,MATCH(ROWS($V$2:V982),$V$2:$V$1001,0),MATCH(COLUMNS($AC$1006:AQ1006),$AC$1006:$AS$1006,0)), HYPERLINK("#",""), HYPERLINK(CONCATENATE("#Metadata!", ADDRESS(INDEX($X$2:$X$1001,MATCH(ROWS($V$2:V982),$V$2:$V$1001,0),0), INDEX($AC$1004:$AS$1004,1,MATCH(COLUMNS($AC$1006:AQ1006),$AC$1006:$AS$1006,0)))),"Fix")))</f>
        <v>0</v>
      </c>
      <c r="Q982" s="5">
        <f>IF(OR(INDEX($W$2:$W$1001,MATCH(ROWS($V$2:V982),$V$2:$V$1001,0),1)&gt;=100000,INDEX($AC$1005:$AS$1005,1,MATCH(COLUMNS($AC$1006:AR1006),$AC$1006:$AS$1006,0))&gt;=100000), " ",IF(INDEX($AC$2:$AS$1001,MATCH(ROWS($V$2:V982),$V$2:$V$1001,0),MATCH(COLUMNS($AC$1006:AR1006),$AC$1006:$AS$1006,0)), HYPERLINK("#",""), HYPERLINK(CONCATENATE("#Metadata!", ADDRESS(INDEX($X$2:$X$1001,MATCH(ROWS($V$2:V982),$V$2:$V$1001,0),0), INDEX($AC$1004:$AS$1004,1,MATCH(COLUMNS($AC$1006:AR1006),$AC$1006:$AS$1006,0)))),"Fix")))</f>
        <v>0</v>
      </c>
      <c r="R982" s="5">
        <f>IF(OR(INDEX($W$2:$W$1001,MATCH(ROWS($V$2:V982),$V$2:$V$1001,0),1)&gt;=100000,INDEX($AC$1005:$AS$1005,1,MATCH(COLUMNS($AC$1006:AS1006),$AC$1006:$AS$1006,0))&gt;=100000), " ",IF(INDEX($AC$2:$AS$1001,MATCH(ROWS($V$2:V982),$V$2:$V$1001,0),MATCH(COLUMNS($AC$1006:AS1006),$AC$1006:$AS$1006,0)), HYPERLINK("#",""), HYPERLINK(CONCATENATE("#Metadata!", ADDRESS(INDEX($X$2:$X$1001,MATCH(ROWS($V$2:V982),$V$2:$V$1001,0),0), INDEX($AC$1004:$AS$1004,1,MATCH(COLUMNS($AC$1006:AS1006),$AC$1006:$AS$1006,0)))),"Fix")))</f>
        <v>0</v>
      </c>
      <c r="V982">
        <v>0</v>
      </c>
      <c r="W982">
        <v>0</v>
      </c>
      <c r="X982">
        <v>0</v>
      </c>
      <c r="Y982">
        <f>IF(Z982,TRUE,AND(AC982:AS982))</f>
        <v>0</v>
      </c>
      <c r="Z982">
        <f>COUNTBLANK(Metadata!B982:R982)=COLUMNS(Metadata!B982:R982)</f>
        <v>0</v>
      </c>
      <c r="AA982">
        <v>0</v>
      </c>
      <c r="AC982">
        <f>AND(IF(Metadata!B982="",FALSE,TRUE),COUNTIF(Metadata!B:B, Metadata!B982) = 1,NOT(ISERROR(SUMPRODUCT(SEARCH(MID(Metadata!B982,ROW(INDIRECT("1:"&amp;LEN(Metadata!B982))), 1),"0123456789abcdefghijklmnopqrstuvwxyzABCDEFGHIJKLMNOPQRSTUVWXYZ.")))))</f>
        <v>0</v>
      </c>
      <c r="AD982">
        <f>AND(IF(Metadata!C982="",FALSE,TRUE),exact(Metadata!C982,"Host-associated"))</f>
        <v>0</v>
      </c>
      <c r="AE982">
        <f>AND(IF(Metadata!D982="",FALSE,TRUE),OR(exact(Metadata!D982,"Animal"),exact(Metadata!D982,"Fungus"),exact(Metadata!D982,"Plant")))</f>
        <v>0</v>
      </c>
      <c r="AF982">
        <f>AND(IF(Metadata!E982="",FALSE,TRUE),OR(exact(Metadata!E982,"Plant secretion"),exact(Metadata!E982,"Plant rhizosphere"),exact(Metadata!E982,"Plant surface"),exact(Metadata!E982,"Plant corpus"),exact(Metadata!E982,"Fungus surface"),exact(Metadata!E982,"Fungus corpus"),exact(Metadata!E982,"Animal surface"),exact(Metadata!E982,"Animal proximal gut"),exact(Metadata!E982,"Animal corpus"),exact(Metadata!E982,"Animal distal gut"),exact(Metadata!E982,"Animal secretion")))</f>
        <v>0</v>
      </c>
      <c r="AG982">
        <f>OR(AND(IF(Metadata!F982="",FALSE,TRUE),OR(exact(Metadata!F982,"not collected"),exact(Metadata!F982,"not provided"),exact(Metadata!F982,"restricted access"))),AND(IF(Metadata!F982="",FALSE,TRUE),OR(exact(Metadata!F982,"organism-associated habitat"),exact(Metadata!F982,"plant-associated habitat"),exact(Metadata!F982,"animal-associated habitat"),exact(Metadata!F982,"insecta-associated habitat"),exact(Metadata!F982,"mammalia-associated habitat"),exact(Metadata!F982,"human-associated habitat"),exact(Metadata!F982,"livestock-associated habitat"))))</f>
        <v>0</v>
      </c>
      <c r="AH982">
        <f>AND(IF(Metadata!G982="",FALSE,TRUE),exact(Metadata!G982,"host-associated"))</f>
        <v>0</v>
      </c>
      <c r="AI982">
        <f>OR(AND(IF(Metadata!H982="",FALSE,TRUE),OR(exact(Metadata!H982,"not collected"),exact(Metadata!H982,"not provided"))),AND(IF(Metadata!H982="",FALSE,ISNUMBER(VALUE(Metadata!H982))),Metadata!H982&gt;0))</f>
        <v>0</v>
      </c>
      <c r="AJ982">
        <f>AND(IF(Metadata!I982="",FALSE,TRUE),exact(Metadata!I982,"years"))</f>
        <v>0</v>
      </c>
      <c r="AK982">
        <f>IF(Metadata!J982="",FALSE,TRUE)</f>
        <v>0</v>
      </c>
      <c r="AL982">
        <f>OR(AND(IF(Metadata!K982="",FALSE,TRUE),OR(exact(Metadata!K982,"not collected"),exact(Metadata!K982,"not provided"))),AND(IF(Metadata!K982="",FALSE,ISNUMBER(VALUE(Metadata!K982))),Metadata!K982&gt;0))</f>
        <v>0</v>
      </c>
      <c r="AM982">
        <f>AND(IF(Metadata!L982="",FALSE,TRUE),exact(Metadata!L982,"cm"))</f>
        <v>0</v>
      </c>
      <c r="AN982">
        <f>IF(Metadata!M982="",FALSE,TRUE)</f>
        <v>0</v>
      </c>
      <c r="AO982">
        <f>OR(AND(IF(Metadata!N982="",FALSE,TRUE),OR(exact(Metadata!N982,"not applicable"),exact(Metadata!N982,"not collected"),exact(Metadata!N982,"not provided"))),AND(IF(Metadata!N982="",FALSE,IF(ISERROR(INT(Metadata!N982)),FALSE,INT(Metadata!N982)=Metadata!N982)),Metadata!N982&gt;0))</f>
        <v>0</v>
      </c>
      <c r="AP982">
        <f>OR(AND(IF(Metadata!O982="",FALSE,TRUE),OR(exact(Metadata!O982,"not collected"),exact(Metadata!O982,"not provided"))),AND(IF(Metadata!O982="",FALSE,ISNUMBER(VALUE(Metadata!O982))),Metadata!O982&gt;0))</f>
        <v>0</v>
      </c>
      <c r="AQ982">
        <f>AND(IF(Metadata!P982="",FALSE,TRUE),exact(Metadata!P982,"kg"))</f>
        <v>0</v>
      </c>
      <c r="AR982">
        <f>OR(AND(IF(Metadata!Q982="",FALSE,TRUE),OR(exact(Metadata!Q982,"not applicable"),exact(Metadata!Q982,"not collected"),exact(Metadata!Q982,"not provided"),exact(Metadata!Q982,"restricted access"))),IF(Metadata!Q982="",FALSE,IF(ISERROR(INT(Metadata!Q982)),FALSE,INT(Metadata!Q982)=Metadata!Q982)))</f>
        <v>0</v>
      </c>
      <c r="AS982">
        <f>AND(IF(Metadata!R982="",FALSE,TRUE),exact(Metadata!R982,"Not applicable"))</f>
        <v>0</v>
      </c>
    </row>
    <row r="983" spans="1:45">
      <c r="A983" s="4">
        <f>IF(B983=" "," ",HYPERLINK(CONCATENATE("#metadata!",ADDRESS(INDEX($X$2:$X$1001,MATCH(ROWS($V$2:V983),$V$2:$V$1001,0),0),2)),INDEX($AA$2:$AA$1001,MATCH(ROWS($V$2:V983),$V$2:$V$1001,0),0)))</f>
        <v>0</v>
      </c>
      <c r="B983" s="5">
        <f>IF(OR(INDEX($W$2:$W$1001,MATCH(ROWS($V$2:V983),$V$2:$V$1001,0),1)&gt;=100000,INDEX($AC$1005:$AS$1005,1,MATCH(COLUMNS($AC$1006:AC1006),$AC$1006:$AS$1006,0))&gt;=100000), " ",IF(INDEX($AC$2:$AS$1001,MATCH(ROWS($V$2:V983),$V$2:$V$1001,0),MATCH(COLUMNS($AC$1006:AC1006),$AC$1006:$AS$1006,0)), HYPERLINK("#",""), HYPERLINK(CONCATENATE("#Metadata!", ADDRESS(INDEX($X$2:$X$1001,MATCH(ROWS($V$2:V983),$V$2:$V$1001,0),0), INDEX($AC$1004:$AS$1004,1,MATCH(COLUMNS($AC$1006:AC1006),$AC$1006:$AS$1006,0)))),"Fix")))</f>
        <v>0</v>
      </c>
      <c r="C983" s="5">
        <f>IF(OR(INDEX($W$2:$W$1001,MATCH(ROWS($V$2:V983),$V$2:$V$1001,0),1)&gt;=100000,INDEX($AC$1005:$AS$1005,1,MATCH(COLUMNS($AC$1006:AD1006),$AC$1006:$AS$1006,0))&gt;=100000), " ",IF(INDEX($AC$2:$AS$1001,MATCH(ROWS($V$2:V983),$V$2:$V$1001,0),MATCH(COLUMNS($AC$1006:AD1006),$AC$1006:$AS$1006,0)), HYPERLINK("#",""), HYPERLINK(CONCATENATE("#Metadata!", ADDRESS(INDEX($X$2:$X$1001,MATCH(ROWS($V$2:V983),$V$2:$V$1001,0),0), INDEX($AC$1004:$AS$1004,1,MATCH(COLUMNS($AC$1006:AD1006),$AC$1006:$AS$1006,0)))),"Fix")))</f>
        <v>0</v>
      </c>
      <c r="D983" s="5">
        <f>IF(OR(INDEX($W$2:$W$1001,MATCH(ROWS($V$2:V983),$V$2:$V$1001,0),1)&gt;=100000,INDEX($AC$1005:$AS$1005,1,MATCH(COLUMNS($AC$1006:AE1006),$AC$1006:$AS$1006,0))&gt;=100000), " ",IF(INDEX($AC$2:$AS$1001,MATCH(ROWS($V$2:V983),$V$2:$V$1001,0),MATCH(COLUMNS($AC$1006:AE1006),$AC$1006:$AS$1006,0)), HYPERLINK("#",""), HYPERLINK(CONCATENATE("#Metadata!", ADDRESS(INDEX($X$2:$X$1001,MATCH(ROWS($V$2:V983),$V$2:$V$1001,0),0), INDEX($AC$1004:$AS$1004,1,MATCH(COLUMNS($AC$1006:AE1006),$AC$1006:$AS$1006,0)))),"Fix")))</f>
        <v>0</v>
      </c>
      <c r="E983" s="5">
        <f>IF(OR(INDEX($W$2:$W$1001,MATCH(ROWS($V$2:V983),$V$2:$V$1001,0),1)&gt;=100000,INDEX($AC$1005:$AS$1005,1,MATCH(COLUMNS($AC$1006:AF1006),$AC$1006:$AS$1006,0))&gt;=100000), " ",IF(INDEX($AC$2:$AS$1001,MATCH(ROWS($V$2:V983),$V$2:$V$1001,0),MATCH(COLUMNS($AC$1006:AF1006),$AC$1006:$AS$1006,0)), HYPERLINK("#",""), HYPERLINK(CONCATENATE("#Metadata!", ADDRESS(INDEX($X$2:$X$1001,MATCH(ROWS($V$2:V983),$V$2:$V$1001,0),0), INDEX($AC$1004:$AS$1004,1,MATCH(COLUMNS($AC$1006:AF1006),$AC$1006:$AS$1006,0)))),"Fix")))</f>
        <v>0</v>
      </c>
      <c r="F983" s="5">
        <f>IF(OR(INDEX($W$2:$W$1001,MATCH(ROWS($V$2:V983),$V$2:$V$1001,0),1)&gt;=100000,INDEX($AC$1005:$AS$1005,1,MATCH(COLUMNS($AC$1006:AG1006),$AC$1006:$AS$1006,0))&gt;=100000), " ",IF(INDEX($AC$2:$AS$1001,MATCH(ROWS($V$2:V983),$V$2:$V$1001,0),MATCH(COLUMNS($AC$1006:AG1006),$AC$1006:$AS$1006,0)), HYPERLINK("#",""), HYPERLINK(CONCATENATE("#Metadata!", ADDRESS(INDEX($X$2:$X$1001,MATCH(ROWS($V$2:V983),$V$2:$V$1001,0),0), INDEX($AC$1004:$AS$1004,1,MATCH(COLUMNS($AC$1006:AG1006),$AC$1006:$AS$1006,0)))),"Fix")))</f>
        <v>0</v>
      </c>
      <c r="G983" s="5">
        <f>IF(OR(INDEX($W$2:$W$1001,MATCH(ROWS($V$2:V983),$V$2:$V$1001,0),1)&gt;=100000,INDEX($AC$1005:$AS$1005,1,MATCH(COLUMNS($AC$1006:AH1006),$AC$1006:$AS$1006,0))&gt;=100000), " ",IF(INDEX($AC$2:$AS$1001,MATCH(ROWS($V$2:V983),$V$2:$V$1001,0),MATCH(COLUMNS($AC$1006:AH1006),$AC$1006:$AS$1006,0)), HYPERLINK("#",""), HYPERLINK(CONCATENATE("#Metadata!", ADDRESS(INDEX($X$2:$X$1001,MATCH(ROWS($V$2:V983),$V$2:$V$1001,0),0), INDEX($AC$1004:$AS$1004,1,MATCH(COLUMNS($AC$1006:AH1006),$AC$1006:$AS$1006,0)))),"Fix")))</f>
        <v>0</v>
      </c>
      <c r="H983" s="5">
        <f>IF(OR(INDEX($W$2:$W$1001,MATCH(ROWS($V$2:V983),$V$2:$V$1001,0),1)&gt;=100000,INDEX($AC$1005:$AS$1005,1,MATCH(COLUMNS($AC$1006:AI1006),$AC$1006:$AS$1006,0))&gt;=100000), " ",IF(INDEX($AC$2:$AS$1001,MATCH(ROWS($V$2:V983),$V$2:$V$1001,0),MATCH(COLUMNS($AC$1006:AI1006),$AC$1006:$AS$1006,0)), HYPERLINK("#",""), HYPERLINK(CONCATENATE("#Metadata!", ADDRESS(INDEX($X$2:$X$1001,MATCH(ROWS($V$2:V983),$V$2:$V$1001,0),0), INDEX($AC$1004:$AS$1004,1,MATCH(COLUMNS($AC$1006:AI1006),$AC$1006:$AS$1006,0)))),"Fix")))</f>
        <v>0</v>
      </c>
      <c r="I983" s="5">
        <f>IF(OR(INDEX($W$2:$W$1001,MATCH(ROWS($V$2:V983),$V$2:$V$1001,0),1)&gt;=100000,INDEX($AC$1005:$AS$1005,1,MATCH(COLUMNS($AC$1006:AJ1006),$AC$1006:$AS$1006,0))&gt;=100000), " ",IF(INDEX($AC$2:$AS$1001,MATCH(ROWS($V$2:V983),$V$2:$V$1001,0),MATCH(COLUMNS($AC$1006:AJ1006),$AC$1006:$AS$1006,0)), HYPERLINK("#",""), HYPERLINK(CONCATENATE("#Metadata!", ADDRESS(INDEX($X$2:$X$1001,MATCH(ROWS($V$2:V983),$V$2:$V$1001,0),0), INDEX($AC$1004:$AS$1004,1,MATCH(COLUMNS($AC$1006:AJ1006),$AC$1006:$AS$1006,0)))),"Fix")))</f>
        <v>0</v>
      </c>
      <c r="J983" s="5">
        <f>IF(OR(INDEX($W$2:$W$1001,MATCH(ROWS($V$2:V983),$V$2:$V$1001,0),1)&gt;=100000,INDEX($AC$1005:$AS$1005,1,MATCH(COLUMNS($AC$1006:AK1006),$AC$1006:$AS$1006,0))&gt;=100000), " ",IF(INDEX($AC$2:$AS$1001,MATCH(ROWS($V$2:V983),$V$2:$V$1001,0),MATCH(COLUMNS($AC$1006:AK1006),$AC$1006:$AS$1006,0)), HYPERLINK("#",""), HYPERLINK(CONCATENATE("#Metadata!", ADDRESS(INDEX($X$2:$X$1001,MATCH(ROWS($V$2:V983),$V$2:$V$1001,0),0), INDEX($AC$1004:$AS$1004,1,MATCH(COLUMNS($AC$1006:AK1006),$AC$1006:$AS$1006,0)))),"Fix")))</f>
        <v>0</v>
      </c>
      <c r="K983" s="5">
        <f>IF(OR(INDEX($W$2:$W$1001,MATCH(ROWS($V$2:V983),$V$2:$V$1001,0),1)&gt;=100000,INDEX($AC$1005:$AS$1005,1,MATCH(COLUMNS($AC$1006:AL1006),$AC$1006:$AS$1006,0))&gt;=100000), " ",IF(INDEX($AC$2:$AS$1001,MATCH(ROWS($V$2:V983),$V$2:$V$1001,0),MATCH(COLUMNS($AC$1006:AL1006),$AC$1006:$AS$1006,0)), HYPERLINK("#",""), HYPERLINK(CONCATENATE("#Metadata!", ADDRESS(INDEX($X$2:$X$1001,MATCH(ROWS($V$2:V983),$V$2:$V$1001,0),0), INDEX($AC$1004:$AS$1004,1,MATCH(COLUMNS($AC$1006:AL1006),$AC$1006:$AS$1006,0)))),"Fix")))</f>
        <v>0</v>
      </c>
      <c r="L983" s="5">
        <f>IF(OR(INDEX($W$2:$W$1001,MATCH(ROWS($V$2:V983),$V$2:$V$1001,0),1)&gt;=100000,INDEX($AC$1005:$AS$1005,1,MATCH(COLUMNS($AC$1006:AM1006),$AC$1006:$AS$1006,0))&gt;=100000), " ",IF(INDEX($AC$2:$AS$1001,MATCH(ROWS($V$2:V983),$V$2:$V$1001,0),MATCH(COLUMNS($AC$1006:AM1006),$AC$1006:$AS$1006,0)), HYPERLINK("#",""), HYPERLINK(CONCATENATE("#Metadata!", ADDRESS(INDEX($X$2:$X$1001,MATCH(ROWS($V$2:V983),$V$2:$V$1001,0),0), INDEX($AC$1004:$AS$1004,1,MATCH(COLUMNS($AC$1006:AM1006),$AC$1006:$AS$1006,0)))),"Fix")))</f>
        <v>0</v>
      </c>
      <c r="M983" s="5">
        <f>IF(OR(INDEX($W$2:$W$1001,MATCH(ROWS($V$2:V983),$V$2:$V$1001,0),1)&gt;=100000,INDEX($AC$1005:$AS$1005,1,MATCH(COLUMNS($AC$1006:AN1006),$AC$1006:$AS$1006,0))&gt;=100000), " ",IF(INDEX($AC$2:$AS$1001,MATCH(ROWS($V$2:V983),$V$2:$V$1001,0),MATCH(COLUMNS($AC$1006:AN1006),$AC$1006:$AS$1006,0)), HYPERLINK("#",""), HYPERLINK(CONCATENATE("#Metadata!", ADDRESS(INDEX($X$2:$X$1001,MATCH(ROWS($V$2:V983),$V$2:$V$1001,0),0), INDEX($AC$1004:$AS$1004,1,MATCH(COLUMNS($AC$1006:AN1006),$AC$1006:$AS$1006,0)))),"Fix")))</f>
        <v>0</v>
      </c>
      <c r="N983" s="5">
        <f>IF(OR(INDEX($W$2:$W$1001,MATCH(ROWS($V$2:V983),$V$2:$V$1001,0),1)&gt;=100000,INDEX($AC$1005:$AS$1005,1,MATCH(COLUMNS($AC$1006:AO1006),$AC$1006:$AS$1006,0))&gt;=100000), " ",IF(INDEX($AC$2:$AS$1001,MATCH(ROWS($V$2:V983),$V$2:$V$1001,0),MATCH(COLUMNS($AC$1006:AO1006),$AC$1006:$AS$1006,0)), HYPERLINK("#",""), HYPERLINK(CONCATENATE("#Metadata!", ADDRESS(INDEX($X$2:$X$1001,MATCH(ROWS($V$2:V983),$V$2:$V$1001,0),0), INDEX($AC$1004:$AS$1004,1,MATCH(COLUMNS($AC$1006:AO1006),$AC$1006:$AS$1006,0)))),"Fix")))</f>
        <v>0</v>
      </c>
      <c r="O983" s="5">
        <f>IF(OR(INDEX($W$2:$W$1001,MATCH(ROWS($V$2:V983),$V$2:$V$1001,0),1)&gt;=100000,INDEX($AC$1005:$AS$1005,1,MATCH(COLUMNS($AC$1006:AP1006),$AC$1006:$AS$1006,0))&gt;=100000), " ",IF(INDEX($AC$2:$AS$1001,MATCH(ROWS($V$2:V983),$V$2:$V$1001,0),MATCH(COLUMNS($AC$1006:AP1006),$AC$1006:$AS$1006,0)), HYPERLINK("#",""), HYPERLINK(CONCATENATE("#Metadata!", ADDRESS(INDEX($X$2:$X$1001,MATCH(ROWS($V$2:V983),$V$2:$V$1001,0),0), INDEX($AC$1004:$AS$1004,1,MATCH(COLUMNS($AC$1006:AP1006),$AC$1006:$AS$1006,0)))),"Fix")))</f>
        <v>0</v>
      </c>
      <c r="P983" s="5">
        <f>IF(OR(INDEX($W$2:$W$1001,MATCH(ROWS($V$2:V983),$V$2:$V$1001,0),1)&gt;=100000,INDEX($AC$1005:$AS$1005,1,MATCH(COLUMNS($AC$1006:AQ1006),$AC$1006:$AS$1006,0))&gt;=100000), " ",IF(INDEX($AC$2:$AS$1001,MATCH(ROWS($V$2:V983),$V$2:$V$1001,0),MATCH(COLUMNS($AC$1006:AQ1006),$AC$1006:$AS$1006,0)), HYPERLINK("#",""), HYPERLINK(CONCATENATE("#Metadata!", ADDRESS(INDEX($X$2:$X$1001,MATCH(ROWS($V$2:V983),$V$2:$V$1001,0),0), INDEX($AC$1004:$AS$1004,1,MATCH(COLUMNS($AC$1006:AQ1006),$AC$1006:$AS$1006,0)))),"Fix")))</f>
        <v>0</v>
      </c>
      <c r="Q983" s="5">
        <f>IF(OR(INDEX($W$2:$W$1001,MATCH(ROWS($V$2:V983),$V$2:$V$1001,0),1)&gt;=100000,INDEX($AC$1005:$AS$1005,1,MATCH(COLUMNS($AC$1006:AR1006),$AC$1006:$AS$1006,0))&gt;=100000), " ",IF(INDEX($AC$2:$AS$1001,MATCH(ROWS($V$2:V983),$V$2:$V$1001,0),MATCH(COLUMNS($AC$1006:AR1006),$AC$1006:$AS$1006,0)), HYPERLINK("#",""), HYPERLINK(CONCATENATE("#Metadata!", ADDRESS(INDEX($X$2:$X$1001,MATCH(ROWS($V$2:V983),$V$2:$V$1001,0),0), INDEX($AC$1004:$AS$1004,1,MATCH(COLUMNS($AC$1006:AR1006),$AC$1006:$AS$1006,0)))),"Fix")))</f>
        <v>0</v>
      </c>
      <c r="R983" s="5">
        <f>IF(OR(INDEX($W$2:$W$1001,MATCH(ROWS($V$2:V983),$V$2:$V$1001,0),1)&gt;=100000,INDEX($AC$1005:$AS$1005,1,MATCH(COLUMNS($AC$1006:AS1006),$AC$1006:$AS$1006,0))&gt;=100000), " ",IF(INDEX($AC$2:$AS$1001,MATCH(ROWS($V$2:V983),$V$2:$V$1001,0),MATCH(COLUMNS($AC$1006:AS1006),$AC$1006:$AS$1006,0)), HYPERLINK("#",""), HYPERLINK(CONCATENATE("#Metadata!", ADDRESS(INDEX($X$2:$X$1001,MATCH(ROWS($V$2:V983),$V$2:$V$1001,0),0), INDEX($AC$1004:$AS$1004,1,MATCH(COLUMNS($AC$1006:AS1006),$AC$1006:$AS$1006,0)))),"Fix")))</f>
        <v>0</v>
      </c>
      <c r="V983">
        <v>0</v>
      </c>
      <c r="W983">
        <v>0</v>
      </c>
      <c r="X983">
        <v>0</v>
      </c>
      <c r="Y983">
        <f>IF(Z983,TRUE,AND(AC983:AS983))</f>
        <v>0</v>
      </c>
      <c r="Z983">
        <f>COUNTBLANK(Metadata!B983:R983)=COLUMNS(Metadata!B983:R983)</f>
        <v>0</v>
      </c>
      <c r="AA983">
        <v>0</v>
      </c>
      <c r="AC983">
        <f>AND(IF(Metadata!B983="",FALSE,TRUE),COUNTIF(Metadata!B:B, Metadata!B983) = 1,NOT(ISERROR(SUMPRODUCT(SEARCH(MID(Metadata!B983,ROW(INDIRECT("1:"&amp;LEN(Metadata!B983))), 1),"0123456789abcdefghijklmnopqrstuvwxyzABCDEFGHIJKLMNOPQRSTUVWXYZ.")))))</f>
        <v>0</v>
      </c>
      <c r="AD983">
        <f>AND(IF(Metadata!C983="",FALSE,TRUE),exact(Metadata!C983,"Host-associated"))</f>
        <v>0</v>
      </c>
      <c r="AE983">
        <f>AND(IF(Metadata!D983="",FALSE,TRUE),OR(exact(Metadata!D983,"Animal"),exact(Metadata!D983,"Fungus"),exact(Metadata!D983,"Plant")))</f>
        <v>0</v>
      </c>
      <c r="AF983">
        <f>AND(IF(Metadata!E983="",FALSE,TRUE),OR(exact(Metadata!E983,"Plant secretion"),exact(Metadata!E983,"Plant rhizosphere"),exact(Metadata!E983,"Plant surface"),exact(Metadata!E983,"Plant corpus"),exact(Metadata!E983,"Fungus surface"),exact(Metadata!E983,"Fungus corpus"),exact(Metadata!E983,"Animal surface"),exact(Metadata!E983,"Animal proximal gut"),exact(Metadata!E983,"Animal corpus"),exact(Metadata!E983,"Animal distal gut"),exact(Metadata!E983,"Animal secretion")))</f>
        <v>0</v>
      </c>
      <c r="AG983">
        <f>OR(AND(IF(Metadata!F983="",FALSE,TRUE),OR(exact(Metadata!F983,"not collected"),exact(Metadata!F983,"not provided"),exact(Metadata!F983,"restricted access"))),AND(IF(Metadata!F983="",FALSE,TRUE),OR(exact(Metadata!F983,"organism-associated habitat"),exact(Metadata!F983,"plant-associated habitat"),exact(Metadata!F983,"animal-associated habitat"),exact(Metadata!F983,"insecta-associated habitat"),exact(Metadata!F983,"mammalia-associated habitat"),exact(Metadata!F983,"human-associated habitat"),exact(Metadata!F983,"livestock-associated habitat"))))</f>
        <v>0</v>
      </c>
      <c r="AH983">
        <f>AND(IF(Metadata!G983="",FALSE,TRUE),exact(Metadata!G983,"host-associated"))</f>
        <v>0</v>
      </c>
      <c r="AI983">
        <f>OR(AND(IF(Metadata!H983="",FALSE,TRUE),OR(exact(Metadata!H983,"not collected"),exact(Metadata!H983,"not provided"))),AND(IF(Metadata!H983="",FALSE,ISNUMBER(VALUE(Metadata!H983))),Metadata!H983&gt;0))</f>
        <v>0</v>
      </c>
      <c r="AJ983">
        <f>AND(IF(Metadata!I983="",FALSE,TRUE),exact(Metadata!I983,"years"))</f>
        <v>0</v>
      </c>
      <c r="AK983">
        <f>IF(Metadata!J983="",FALSE,TRUE)</f>
        <v>0</v>
      </c>
      <c r="AL983">
        <f>OR(AND(IF(Metadata!K983="",FALSE,TRUE),OR(exact(Metadata!K983,"not collected"),exact(Metadata!K983,"not provided"))),AND(IF(Metadata!K983="",FALSE,ISNUMBER(VALUE(Metadata!K983))),Metadata!K983&gt;0))</f>
        <v>0</v>
      </c>
      <c r="AM983">
        <f>AND(IF(Metadata!L983="",FALSE,TRUE),exact(Metadata!L983,"cm"))</f>
        <v>0</v>
      </c>
      <c r="AN983">
        <f>IF(Metadata!M983="",FALSE,TRUE)</f>
        <v>0</v>
      </c>
      <c r="AO983">
        <f>OR(AND(IF(Metadata!N983="",FALSE,TRUE),OR(exact(Metadata!N983,"not applicable"),exact(Metadata!N983,"not collected"),exact(Metadata!N983,"not provided"))),AND(IF(Metadata!N983="",FALSE,IF(ISERROR(INT(Metadata!N983)),FALSE,INT(Metadata!N983)=Metadata!N983)),Metadata!N983&gt;0))</f>
        <v>0</v>
      </c>
      <c r="AP983">
        <f>OR(AND(IF(Metadata!O983="",FALSE,TRUE),OR(exact(Metadata!O983,"not collected"),exact(Metadata!O983,"not provided"))),AND(IF(Metadata!O983="",FALSE,ISNUMBER(VALUE(Metadata!O983))),Metadata!O983&gt;0))</f>
        <v>0</v>
      </c>
      <c r="AQ983">
        <f>AND(IF(Metadata!P983="",FALSE,TRUE),exact(Metadata!P983,"kg"))</f>
        <v>0</v>
      </c>
      <c r="AR983">
        <f>OR(AND(IF(Metadata!Q983="",FALSE,TRUE),OR(exact(Metadata!Q983,"not applicable"),exact(Metadata!Q983,"not collected"),exact(Metadata!Q983,"not provided"),exact(Metadata!Q983,"restricted access"))),IF(Metadata!Q983="",FALSE,IF(ISERROR(INT(Metadata!Q983)),FALSE,INT(Metadata!Q983)=Metadata!Q983)))</f>
        <v>0</v>
      </c>
      <c r="AS983">
        <f>AND(IF(Metadata!R983="",FALSE,TRUE),exact(Metadata!R983,"Not applicable"))</f>
        <v>0</v>
      </c>
    </row>
    <row r="984" spans="1:45">
      <c r="A984" s="4">
        <f>IF(B984=" "," ",HYPERLINK(CONCATENATE("#metadata!",ADDRESS(INDEX($X$2:$X$1001,MATCH(ROWS($V$2:V984),$V$2:$V$1001,0),0),2)),INDEX($AA$2:$AA$1001,MATCH(ROWS($V$2:V984),$V$2:$V$1001,0),0)))</f>
        <v>0</v>
      </c>
      <c r="B984" s="5">
        <f>IF(OR(INDEX($W$2:$W$1001,MATCH(ROWS($V$2:V984),$V$2:$V$1001,0),1)&gt;=100000,INDEX($AC$1005:$AS$1005,1,MATCH(COLUMNS($AC$1006:AC1006),$AC$1006:$AS$1006,0))&gt;=100000), " ",IF(INDEX($AC$2:$AS$1001,MATCH(ROWS($V$2:V984),$V$2:$V$1001,0),MATCH(COLUMNS($AC$1006:AC1006),$AC$1006:$AS$1006,0)), HYPERLINK("#",""), HYPERLINK(CONCATENATE("#Metadata!", ADDRESS(INDEX($X$2:$X$1001,MATCH(ROWS($V$2:V984),$V$2:$V$1001,0),0), INDEX($AC$1004:$AS$1004,1,MATCH(COLUMNS($AC$1006:AC1006),$AC$1006:$AS$1006,0)))),"Fix")))</f>
        <v>0</v>
      </c>
      <c r="C984" s="5">
        <f>IF(OR(INDEX($W$2:$W$1001,MATCH(ROWS($V$2:V984),$V$2:$V$1001,0),1)&gt;=100000,INDEX($AC$1005:$AS$1005,1,MATCH(COLUMNS($AC$1006:AD1006),$AC$1006:$AS$1006,0))&gt;=100000), " ",IF(INDEX($AC$2:$AS$1001,MATCH(ROWS($V$2:V984),$V$2:$V$1001,0),MATCH(COLUMNS($AC$1006:AD1006),$AC$1006:$AS$1006,0)), HYPERLINK("#",""), HYPERLINK(CONCATENATE("#Metadata!", ADDRESS(INDEX($X$2:$X$1001,MATCH(ROWS($V$2:V984),$V$2:$V$1001,0),0), INDEX($AC$1004:$AS$1004,1,MATCH(COLUMNS($AC$1006:AD1006),$AC$1006:$AS$1006,0)))),"Fix")))</f>
        <v>0</v>
      </c>
      <c r="D984" s="5">
        <f>IF(OR(INDEX($W$2:$W$1001,MATCH(ROWS($V$2:V984),$V$2:$V$1001,0),1)&gt;=100000,INDEX($AC$1005:$AS$1005,1,MATCH(COLUMNS($AC$1006:AE1006),$AC$1006:$AS$1006,0))&gt;=100000), " ",IF(INDEX($AC$2:$AS$1001,MATCH(ROWS($V$2:V984),$V$2:$V$1001,0),MATCH(COLUMNS($AC$1006:AE1006),$AC$1006:$AS$1006,0)), HYPERLINK("#",""), HYPERLINK(CONCATENATE("#Metadata!", ADDRESS(INDEX($X$2:$X$1001,MATCH(ROWS($V$2:V984),$V$2:$V$1001,0),0), INDEX($AC$1004:$AS$1004,1,MATCH(COLUMNS($AC$1006:AE1006),$AC$1006:$AS$1006,0)))),"Fix")))</f>
        <v>0</v>
      </c>
      <c r="E984" s="5">
        <f>IF(OR(INDEX($W$2:$W$1001,MATCH(ROWS($V$2:V984),$V$2:$V$1001,0),1)&gt;=100000,INDEX($AC$1005:$AS$1005,1,MATCH(COLUMNS($AC$1006:AF1006),$AC$1006:$AS$1006,0))&gt;=100000), " ",IF(INDEX($AC$2:$AS$1001,MATCH(ROWS($V$2:V984),$V$2:$V$1001,0),MATCH(COLUMNS($AC$1006:AF1006),$AC$1006:$AS$1006,0)), HYPERLINK("#",""), HYPERLINK(CONCATENATE("#Metadata!", ADDRESS(INDEX($X$2:$X$1001,MATCH(ROWS($V$2:V984),$V$2:$V$1001,0),0), INDEX($AC$1004:$AS$1004,1,MATCH(COLUMNS($AC$1006:AF1006),$AC$1006:$AS$1006,0)))),"Fix")))</f>
        <v>0</v>
      </c>
      <c r="F984" s="5">
        <f>IF(OR(INDEX($W$2:$W$1001,MATCH(ROWS($V$2:V984),$V$2:$V$1001,0),1)&gt;=100000,INDEX($AC$1005:$AS$1005,1,MATCH(COLUMNS($AC$1006:AG1006),$AC$1006:$AS$1006,0))&gt;=100000), " ",IF(INDEX($AC$2:$AS$1001,MATCH(ROWS($V$2:V984),$V$2:$V$1001,0),MATCH(COLUMNS($AC$1006:AG1006),$AC$1006:$AS$1006,0)), HYPERLINK("#",""), HYPERLINK(CONCATENATE("#Metadata!", ADDRESS(INDEX($X$2:$X$1001,MATCH(ROWS($V$2:V984),$V$2:$V$1001,0),0), INDEX($AC$1004:$AS$1004,1,MATCH(COLUMNS($AC$1006:AG1006),$AC$1006:$AS$1006,0)))),"Fix")))</f>
        <v>0</v>
      </c>
      <c r="G984" s="5">
        <f>IF(OR(INDEX($W$2:$W$1001,MATCH(ROWS($V$2:V984),$V$2:$V$1001,0),1)&gt;=100000,INDEX($AC$1005:$AS$1005,1,MATCH(COLUMNS($AC$1006:AH1006),$AC$1006:$AS$1006,0))&gt;=100000), " ",IF(INDEX($AC$2:$AS$1001,MATCH(ROWS($V$2:V984),$V$2:$V$1001,0),MATCH(COLUMNS($AC$1006:AH1006),$AC$1006:$AS$1006,0)), HYPERLINK("#",""), HYPERLINK(CONCATENATE("#Metadata!", ADDRESS(INDEX($X$2:$X$1001,MATCH(ROWS($V$2:V984),$V$2:$V$1001,0),0), INDEX($AC$1004:$AS$1004,1,MATCH(COLUMNS($AC$1006:AH1006),$AC$1006:$AS$1006,0)))),"Fix")))</f>
        <v>0</v>
      </c>
      <c r="H984" s="5">
        <f>IF(OR(INDEX($W$2:$W$1001,MATCH(ROWS($V$2:V984),$V$2:$V$1001,0),1)&gt;=100000,INDEX($AC$1005:$AS$1005,1,MATCH(COLUMNS($AC$1006:AI1006),$AC$1006:$AS$1006,0))&gt;=100000), " ",IF(INDEX($AC$2:$AS$1001,MATCH(ROWS($V$2:V984),$V$2:$V$1001,0),MATCH(COLUMNS($AC$1006:AI1006),$AC$1006:$AS$1006,0)), HYPERLINK("#",""), HYPERLINK(CONCATENATE("#Metadata!", ADDRESS(INDEX($X$2:$X$1001,MATCH(ROWS($V$2:V984),$V$2:$V$1001,0),0), INDEX($AC$1004:$AS$1004,1,MATCH(COLUMNS($AC$1006:AI1006),$AC$1006:$AS$1006,0)))),"Fix")))</f>
        <v>0</v>
      </c>
      <c r="I984" s="5">
        <f>IF(OR(INDEX($W$2:$W$1001,MATCH(ROWS($V$2:V984),$V$2:$V$1001,0),1)&gt;=100000,INDEX($AC$1005:$AS$1005,1,MATCH(COLUMNS($AC$1006:AJ1006),$AC$1006:$AS$1006,0))&gt;=100000), " ",IF(INDEX($AC$2:$AS$1001,MATCH(ROWS($V$2:V984),$V$2:$V$1001,0),MATCH(COLUMNS($AC$1006:AJ1006),$AC$1006:$AS$1006,0)), HYPERLINK("#",""), HYPERLINK(CONCATENATE("#Metadata!", ADDRESS(INDEX($X$2:$X$1001,MATCH(ROWS($V$2:V984),$V$2:$V$1001,0),0), INDEX($AC$1004:$AS$1004,1,MATCH(COLUMNS($AC$1006:AJ1006),$AC$1006:$AS$1006,0)))),"Fix")))</f>
        <v>0</v>
      </c>
      <c r="J984" s="5">
        <f>IF(OR(INDEX($W$2:$W$1001,MATCH(ROWS($V$2:V984),$V$2:$V$1001,0),1)&gt;=100000,INDEX($AC$1005:$AS$1005,1,MATCH(COLUMNS($AC$1006:AK1006),$AC$1006:$AS$1006,0))&gt;=100000), " ",IF(INDEX($AC$2:$AS$1001,MATCH(ROWS($V$2:V984),$V$2:$V$1001,0),MATCH(COLUMNS($AC$1006:AK1006),$AC$1006:$AS$1006,0)), HYPERLINK("#",""), HYPERLINK(CONCATENATE("#Metadata!", ADDRESS(INDEX($X$2:$X$1001,MATCH(ROWS($V$2:V984),$V$2:$V$1001,0),0), INDEX($AC$1004:$AS$1004,1,MATCH(COLUMNS($AC$1006:AK1006),$AC$1006:$AS$1006,0)))),"Fix")))</f>
        <v>0</v>
      </c>
      <c r="K984" s="5">
        <f>IF(OR(INDEX($W$2:$W$1001,MATCH(ROWS($V$2:V984),$V$2:$V$1001,0),1)&gt;=100000,INDEX($AC$1005:$AS$1005,1,MATCH(COLUMNS($AC$1006:AL1006),$AC$1006:$AS$1006,0))&gt;=100000), " ",IF(INDEX($AC$2:$AS$1001,MATCH(ROWS($V$2:V984),$V$2:$V$1001,0),MATCH(COLUMNS($AC$1006:AL1006),$AC$1006:$AS$1006,0)), HYPERLINK("#",""), HYPERLINK(CONCATENATE("#Metadata!", ADDRESS(INDEX($X$2:$X$1001,MATCH(ROWS($V$2:V984),$V$2:$V$1001,0),0), INDEX($AC$1004:$AS$1004,1,MATCH(COLUMNS($AC$1006:AL1006),$AC$1006:$AS$1006,0)))),"Fix")))</f>
        <v>0</v>
      </c>
      <c r="L984" s="5">
        <f>IF(OR(INDEX($W$2:$W$1001,MATCH(ROWS($V$2:V984),$V$2:$V$1001,0),1)&gt;=100000,INDEX($AC$1005:$AS$1005,1,MATCH(COLUMNS($AC$1006:AM1006),$AC$1006:$AS$1006,0))&gt;=100000), " ",IF(INDEX($AC$2:$AS$1001,MATCH(ROWS($V$2:V984),$V$2:$V$1001,0),MATCH(COLUMNS($AC$1006:AM1006),$AC$1006:$AS$1006,0)), HYPERLINK("#",""), HYPERLINK(CONCATENATE("#Metadata!", ADDRESS(INDEX($X$2:$X$1001,MATCH(ROWS($V$2:V984),$V$2:$V$1001,0),0), INDEX($AC$1004:$AS$1004,1,MATCH(COLUMNS($AC$1006:AM1006),$AC$1006:$AS$1006,0)))),"Fix")))</f>
        <v>0</v>
      </c>
      <c r="M984" s="5">
        <f>IF(OR(INDEX($W$2:$W$1001,MATCH(ROWS($V$2:V984),$V$2:$V$1001,0),1)&gt;=100000,INDEX($AC$1005:$AS$1005,1,MATCH(COLUMNS($AC$1006:AN1006),$AC$1006:$AS$1006,0))&gt;=100000), " ",IF(INDEX($AC$2:$AS$1001,MATCH(ROWS($V$2:V984),$V$2:$V$1001,0),MATCH(COLUMNS($AC$1006:AN1006),$AC$1006:$AS$1006,0)), HYPERLINK("#",""), HYPERLINK(CONCATENATE("#Metadata!", ADDRESS(INDEX($X$2:$X$1001,MATCH(ROWS($V$2:V984),$V$2:$V$1001,0),0), INDEX($AC$1004:$AS$1004,1,MATCH(COLUMNS($AC$1006:AN1006),$AC$1006:$AS$1006,0)))),"Fix")))</f>
        <v>0</v>
      </c>
      <c r="N984" s="5">
        <f>IF(OR(INDEX($W$2:$W$1001,MATCH(ROWS($V$2:V984),$V$2:$V$1001,0),1)&gt;=100000,INDEX($AC$1005:$AS$1005,1,MATCH(COLUMNS($AC$1006:AO1006),$AC$1006:$AS$1006,0))&gt;=100000), " ",IF(INDEX($AC$2:$AS$1001,MATCH(ROWS($V$2:V984),$V$2:$V$1001,0),MATCH(COLUMNS($AC$1006:AO1006),$AC$1006:$AS$1006,0)), HYPERLINK("#",""), HYPERLINK(CONCATENATE("#Metadata!", ADDRESS(INDEX($X$2:$X$1001,MATCH(ROWS($V$2:V984),$V$2:$V$1001,0),0), INDEX($AC$1004:$AS$1004,1,MATCH(COLUMNS($AC$1006:AO1006),$AC$1006:$AS$1006,0)))),"Fix")))</f>
        <v>0</v>
      </c>
      <c r="O984" s="5">
        <f>IF(OR(INDEX($W$2:$W$1001,MATCH(ROWS($V$2:V984),$V$2:$V$1001,0),1)&gt;=100000,INDEX($AC$1005:$AS$1005,1,MATCH(COLUMNS($AC$1006:AP1006),$AC$1006:$AS$1006,0))&gt;=100000), " ",IF(INDEX($AC$2:$AS$1001,MATCH(ROWS($V$2:V984),$V$2:$V$1001,0),MATCH(COLUMNS($AC$1006:AP1006),$AC$1006:$AS$1006,0)), HYPERLINK("#",""), HYPERLINK(CONCATENATE("#Metadata!", ADDRESS(INDEX($X$2:$X$1001,MATCH(ROWS($V$2:V984),$V$2:$V$1001,0),0), INDEX($AC$1004:$AS$1004,1,MATCH(COLUMNS($AC$1006:AP1006),$AC$1006:$AS$1006,0)))),"Fix")))</f>
        <v>0</v>
      </c>
      <c r="P984" s="5">
        <f>IF(OR(INDEX($W$2:$W$1001,MATCH(ROWS($V$2:V984),$V$2:$V$1001,0),1)&gt;=100000,INDEX($AC$1005:$AS$1005,1,MATCH(COLUMNS($AC$1006:AQ1006),$AC$1006:$AS$1006,0))&gt;=100000), " ",IF(INDEX($AC$2:$AS$1001,MATCH(ROWS($V$2:V984),$V$2:$V$1001,0),MATCH(COLUMNS($AC$1006:AQ1006),$AC$1006:$AS$1006,0)), HYPERLINK("#",""), HYPERLINK(CONCATENATE("#Metadata!", ADDRESS(INDEX($X$2:$X$1001,MATCH(ROWS($V$2:V984),$V$2:$V$1001,0),0), INDEX($AC$1004:$AS$1004,1,MATCH(COLUMNS($AC$1006:AQ1006),$AC$1006:$AS$1006,0)))),"Fix")))</f>
        <v>0</v>
      </c>
      <c r="Q984" s="5">
        <f>IF(OR(INDEX($W$2:$W$1001,MATCH(ROWS($V$2:V984),$V$2:$V$1001,0),1)&gt;=100000,INDEX($AC$1005:$AS$1005,1,MATCH(COLUMNS($AC$1006:AR1006),$AC$1006:$AS$1006,0))&gt;=100000), " ",IF(INDEX($AC$2:$AS$1001,MATCH(ROWS($V$2:V984),$V$2:$V$1001,0),MATCH(COLUMNS($AC$1006:AR1006),$AC$1006:$AS$1006,0)), HYPERLINK("#",""), HYPERLINK(CONCATENATE("#Metadata!", ADDRESS(INDEX($X$2:$X$1001,MATCH(ROWS($V$2:V984),$V$2:$V$1001,0),0), INDEX($AC$1004:$AS$1004,1,MATCH(COLUMNS($AC$1006:AR1006),$AC$1006:$AS$1006,0)))),"Fix")))</f>
        <v>0</v>
      </c>
      <c r="R984" s="5">
        <f>IF(OR(INDEX($W$2:$W$1001,MATCH(ROWS($V$2:V984),$V$2:$V$1001,0),1)&gt;=100000,INDEX($AC$1005:$AS$1005,1,MATCH(COLUMNS($AC$1006:AS1006),$AC$1006:$AS$1006,0))&gt;=100000), " ",IF(INDEX($AC$2:$AS$1001,MATCH(ROWS($V$2:V984),$V$2:$V$1001,0),MATCH(COLUMNS($AC$1006:AS1006),$AC$1006:$AS$1006,0)), HYPERLINK("#",""), HYPERLINK(CONCATENATE("#Metadata!", ADDRESS(INDEX($X$2:$X$1001,MATCH(ROWS($V$2:V984),$V$2:$V$1001,0),0), INDEX($AC$1004:$AS$1004,1,MATCH(COLUMNS($AC$1006:AS1006),$AC$1006:$AS$1006,0)))),"Fix")))</f>
        <v>0</v>
      </c>
      <c r="V984">
        <v>0</v>
      </c>
      <c r="W984">
        <v>0</v>
      </c>
      <c r="X984">
        <v>0</v>
      </c>
      <c r="Y984">
        <f>IF(Z984,TRUE,AND(AC984:AS984))</f>
        <v>0</v>
      </c>
      <c r="Z984">
        <f>COUNTBLANK(Metadata!B984:R984)=COLUMNS(Metadata!B984:R984)</f>
        <v>0</v>
      </c>
      <c r="AA984">
        <v>0</v>
      </c>
      <c r="AC984">
        <f>AND(IF(Metadata!B984="",FALSE,TRUE),COUNTIF(Metadata!B:B, Metadata!B984) = 1,NOT(ISERROR(SUMPRODUCT(SEARCH(MID(Metadata!B984,ROW(INDIRECT("1:"&amp;LEN(Metadata!B984))), 1),"0123456789abcdefghijklmnopqrstuvwxyzABCDEFGHIJKLMNOPQRSTUVWXYZ.")))))</f>
        <v>0</v>
      </c>
      <c r="AD984">
        <f>AND(IF(Metadata!C984="",FALSE,TRUE),exact(Metadata!C984,"Host-associated"))</f>
        <v>0</v>
      </c>
      <c r="AE984">
        <f>AND(IF(Metadata!D984="",FALSE,TRUE),OR(exact(Metadata!D984,"Animal"),exact(Metadata!D984,"Fungus"),exact(Metadata!D984,"Plant")))</f>
        <v>0</v>
      </c>
      <c r="AF984">
        <f>AND(IF(Metadata!E984="",FALSE,TRUE),OR(exact(Metadata!E984,"Plant secretion"),exact(Metadata!E984,"Plant rhizosphere"),exact(Metadata!E984,"Plant surface"),exact(Metadata!E984,"Plant corpus"),exact(Metadata!E984,"Fungus surface"),exact(Metadata!E984,"Fungus corpus"),exact(Metadata!E984,"Animal surface"),exact(Metadata!E984,"Animal proximal gut"),exact(Metadata!E984,"Animal corpus"),exact(Metadata!E984,"Animal distal gut"),exact(Metadata!E984,"Animal secretion")))</f>
        <v>0</v>
      </c>
      <c r="AG984">
        <f>OR(AND(IF(Metadata!F984="",FALSE,TRUE),OR(exact(Metadata!F984,"not collected"),exact(Metadata!F984,"not provided"),exact(Metadata!F984,"restricted access"))),AND(IF(Metadata!F984="",FALSE,TRUE),OR(exact(Metadata!F984,"organism-associated habitat"),exact(Metadata!F984,"plant-associated habitat"),exact(Metadata!F984,"animal-associated habitat"),exact(Metadata!F984,"insecta-associated habitat"),exact(Metadata!F984,"mammalia-associated habitat"),exact(Metadata!F984,"human-associated habitat"),exact(Metadata!F984,"livestock-associated habitat"))))</f>
        <v>0</v>
      </c>
      <c r="AH984">
        <f>AND(IF(Metadata!G984="",FALSE,TRUE),exact(Metadata!G984,"host-associated"))</f>
        <v>0</v>
      </c>
      <c r="AI984">
        <f>OR(AND(IF(Metadata!H984="",FALSE,TRUE),OR(exact(Metadata!H984,"not collected"),exact(Metadata!H984,"not provided"))),AND(IF(Metadata!H984="",FALSE,ISNUMBER(VALUE(Metadata!H984))),Metadata!H984&gt;0))</f>
        <v>0</v>
      </c>
      <c r="AJ984">
        <f>AND(IF(Metadata!I984="",FALSE,TRUE),exact(Metadata!I984,"years"))</f>
        <v>0</v>
      </c>
      <c r="AK984">
        <f>IF(Metadata!J984="",FALSE,TRUE)</f>
        <v>0</v>
      </c>
      <c r="AL984">
        <f>OR(AND(IF(Metadata!K984="",FALSE,TRUE),OR(exact(Metadata!K984,"not collected"),exact(Metadata!K984,"not provided"))),AND(IF(Metadata!K984="",FALSE,ISNUMBER(VALUE(Metadata!K984))),Metadata!K984&gt;0))</f>
        <v>0</v>
      </c>
      <c r="AM984">
        <f>AND(IF(Metadata!L984="",FALSE,TRUE),exact(Metadata!L984,"cm"))</f>
        <v>0</v>
      </c>
      <c r="AN984">
        <f>IF(Metadata!M984="",FALSE,TRUE)</f>
        <v>0</v>
      </c>
      <c r="AO984">
        <f>OR(AND(IF(Metadata!N984="",FALSE,TRUE),OR(exact(Metadata!N984,"not applicable"),exact(Metadata!N984,"not collected"),exact(Metadata!N984,"not provided"))),AND(IF(Metadata!N984="",FALSE,IF(ISERROR(INT(Metadata!N984)),FALSE,INT(Metadata!N984)=Metadata!N984)),Metadata!N984&gt;0))</f>
        <v>0</v>
      </c>
      <c r="AP984">
        <f>OR(AND(IF(Metadata!O984="",FALSE,TRUE),OR(exact(Metadata!O984,"not collected"),exact(Metadata!O984,"not provided"))),AND(IF(Metadata!O984="",FALSE,ISNUMBER(VALUE(Metadata!O984))),Metadata!O984&gt;0))</f>
        <v>0</v>
      </c>
      <c r="AQ984">
        <f>AND(IF(Metadata!P984="",FALSE,TRUE),exact(Metadata!P984,"kg"))</f>
        <v>0</v>
      </c>
      <c r="AR984">
        <f>OR(AND(IF(Metadata!Q984="",FALSE,TRUE),OR(exact(Metadata!Q984,"not applicable"),exact(Metadata!Q984,"not collected"),exact(Metadata!Q984,"not provided"),exact(Metadata!Q984,"restricted access"))),IF(Metadata!Q984="",FALSE,IF(ISERROR(INT(Metadata!Q984)),FALSE,INT(Metadata!Q984)=Metadata!Q984)))</f>
        <v>0</v>
      </c>
      <c r="AS984">
        <f>AND(IF(Metadata!R984="",FALSE,TRUE),exact(Metadata!R984,"Not applicable"))</f>
        <v>0</v>
      </c>
    </row>
    <row r="985" spans="1:45">
      <c r="A985" s="4">
        <f>IF(B985=" "," ",HYPERLINK(CONCATENATE("#metadata!",ADDRESS(INDEX($X$2:$X$1001,MATCH(ROWS($V$2:V985),$V$2:$V$1001,0),0),2)),INDEX($AA$2:$AA$1001,MATCH(ROWS($V$2:V985),$V$2:$V$1001,0),0)))</f>
        <v>0</v>
      </c>
      <c r="B985" s="5">
        <f>IF(OR(INDEX($W$2:$W$1001,MATCH(ROWS($V$2:V985),$V$2:$V$1001,0),1)&gt;=100000,INDEX($AC$1005:$AS$1005,1,MATCH(COLUMNS($AC$1006:AC1006),$AC$1006:$AS$1006,0))&gt;=100000), " ",IF(INDEX($AC$2:$AS$1001,MATCH(ROWS($V$2:V985),$V$2:$V$1001,0),MATCH(COLUMNS($AC$1006:AC1006),$AC$1006:$AS$1006,0)), HYPERLINK("#",""), HYPERLINK(CONCATENATE("#Metadata!", ADDRESS(INDEX($X$2:$X$1001,MATCH(ROWS($V$2:V985),$V$2:$V$1001,0),0), INDEX($AC$1004:$AS$1004,1,MATCH(COLUMNS($AC$1006:AC1006),$AC$1006:$AS$1006,0)))),"Fix")))</f>
        <v>0</v>
      </c>
      <c r="C985" s="5">
        <f>IF(OR(INDEX($W$2:$W$1001,MATCH(ROWS($V$2:V985),$V$2:$V$1001,0),1)&gt;=100000,INDEX($AC$1005:$AS$1005,1,MATCH(COLUMNS($AC$1006:AD1006),$AC$1006:$AS$1006,0))&gt;=100000), " ",IF(INDEX($AC$2:$AS$1001,MATCH(ROWS($V$2:V985),$V$2:$V$1001,0),MATCH(COLUMNS($AC$1006:AD1006),$AC$1006:$AS$1006,0)), HYPERLINK("#",""), HYPERLINK(CONCATENATE("#Metadata!", ADDRESS(INDEX($X$2:$X$1001,MATCH(ROWS($V$2:V985),$V$2:$V$1001,0),0), INDEX($AC$1004:$AS$1004,1,MATCH(COLUMNS($AC$1006:AD1006),$AC$1006:$AS$1006,0)))),"Fix")))</f>
        <v>0</v>
      </c>
      <c r="D985" s="5">
        <f>IF(OR(INDEX($W$2:$W$1001,MATCH(ROWS($V$2:V985),$V$2:$V$1001,0),1)&gt;=100000,INDEX($AC$1005:$AS$1005,1,MATCH(COLUMNS($AC$1006:AE1006),$AC$1006:$AS$1006,0))&gt;=100000), " ",IF(INDEX($AC$2:$AS$1001,MATCH(ROWS($V$2:V985),$V$2:$V$1001,0),MATCH(COLUMNS($AC$1006:AE1006),$AC$1006:$AS$1006,0)), HYPERLINK("#",""), HYPERLINK(CONCATENATE("#Metadata!", ADDRESS(INDEX($X$2:$X$1001,MATCH(ROWS($V$2:V985),$V$2:$V$1001,0),0), INDEX($AC$1004:$AS$1004,1,MATCH(COLUMNS($AC$1006:AE1006),$AC$1006:$AS$1006,0)))),"Fix")))</f>
        <v>0</v>
      </c>
      <c r="E985" s="5">
        <f>IF(OR(INDEX($W$2:$W$1001,MATCH(ROWS($V$2:V985),$V$2:$V$1001,0),1)&gt;=100000,INDEX($AC$1005:$AS$1005,1,MATCH(COLUMNS($AC$1006:AF1006),$AC$1006:$AS$1006,0))&gt;=100000), " ",IF(INDEX($AC$2:$AS$1001,MATCH(ROWS($V$2:V985),$V$2:$V$1001,0),MATCH(COLUMNS($AC$1006:AF1006),$AC$1006:$AS$1006,0)), HYPERLINK("#",""), HYPERLINK(CONCATENATE("#Metadata!", ADDRESS(INDEX($X$2:$X$1001,MATCH(ROWS($V$2:V985),$V$2:$V$1001,0),0), INDEX($AC$1004:$AS$1004,1,MATCH(COLUMNS($AC$1006:AF1006),$AC$1006:$AS$1006,0)))),"Fix")))</f>
        <v>0</v>
      </c>
      <c r="F985" s="5">
        <f>IF(OR(INDEX($W$2:$W$1001,MATCH(ROWS($V$2:V985),$V$2:$V$1001,0),1)&gt;=100000,INDEX($AC$1005:$AS$1005,1,MATCH(COLUMNS($AC$1006:AG1006),$AC$1006:$AS$1006,0))&gt;=100000), " ",IF(INDEX($AC$2:$AS$1001,MATCH(ROWS($V$2:V985),$V$2:$V$1001,0),MATCH(COLUMNS($AC$1006:AG1006),$AC$1006:$AS$1006,0)), HYPERLINK("#",""), HYPERLINK(CONCATENATE("#Metadata!", ADDRESS(INDEX($X$2:$X$1001,MATCH(ROWS($V$2:V985),$V$2:$V$1001,0),0), INDEX($AC$1004:$AS$1004,1,MATCH(COLUMNS($AC$1006:AG1006),$AC$1006:$AS$1006,0)))),"Fix")))</f>
        <v>0</v>
      </c>
      <c r="G985" s="5">
        <f>IF(OR(INDEX($W$2:$W$1001,MATCH(ROWS($V$2:V985),$V$2:$V$1001,0),1)&gt;=100000,INDEX($AC$1005:$AS$1005,1,MATCH(COLUMNS($AC$1006:AH1006),$AC$1006:$AS$1006,0))&gt;=100000), " ",IF(INDEX($AC$2:$AS$1001,MATCH(ROWS($V$2:V985),$V$2:$V$1001,0),MATCH(COLUMNS($AC$1006:AH1006),$AC$1006:$AS$1006,0)), HYPERLINK("#",""), HYPERLINK(CONCATENATE("#Metadata!", ADDRESS(INDEX($X$2:$X$1001,MATCH(ROWS($V$2:V985),$V$2:$V$1001,0),0), INDEX($AC$1004:$AS$1004,1,MATCH(COLUMNS($AC$1006:AH1006),$AC$1006:$AS$1006,0)))),"Fix")))</f>
        <v>0</v>
      </c>
      <c r="H985" s="5">
        <f>IF(OR(INDEX($W$2:$W$1001,MATCH(ROWS($V$2:V985),$V$2:$V$1001,0),1)&gt;=100000,INDEX($AC$1005:$AS$1005,1,MATCH(COLUMNS($AC$1006:AI1006),$AC$1006:$AS$1006,0))&gt;=100000), " ",IF(INDEX($AC$2:$AS$1001,MATCH(ROWS($V$2:V985),$V$2:$V$1001,0),MATCH(COLUMNS($AC$1006:AI1006),$AC$1006:$AS$1006,0)), HYPERLINK("#",""), HYPERLINK(CONCATENATE("#Metadata!", ADDRESS(INDEX($X$2:$X$1001,MATCH(ROWS($V$2:V985),$V$2:$V$1001,0),0), INDEX($AC$1004:$AS$1004,1,MATCH(COLUMNS($AC$1006:AI1006),$AC$1006:$AS$1006,0)))),"Fix")))</f>
        <v>0</v>
      </c>
      <c r="I985" s="5">
        <f>IF(OR(INDEX($W$2:$W$1001,MATCH(ROWS($V$2:V985),$V$2:$V$1001,0),1)&gt;=100000,INDEX($AC$1005:$AS$1005,1,MATCH(COLUMNS($AC$1006:AJ1006),$AC$1006:$AS$1006,0))&gt;=100000), " ",IF(INDEX($AC$2:$AS$1001,MATCH(ROWS($V$2:V985),$V$2:$V$1001,0),MATCH(COLUMNS($AC$1006:AJ1006),$AC$1006:$AS$1006,0)), HYPERLINK("#",""), HYPERLINK(CONCATENATE("#Metadata!", ADDRESS(INDEX($X$2:$X$1001,MATCH(ROWS($V$2:V985),$V$2:$V$1001,0),0), INDEX($AC$1004:$AS$1004,1,MATCH(COLUMNS($AC$1006:AJ1006),$AC$1006:$AS$1006,0)))),"Fix")))</f>
        <v>0</v>
      </c>
      <c r="J985" s="5">
        <f>IF(OR(INDEX($W$2:$W$1001,MATCH(ROWS($V$2:V985),$V$2:$V$1001,0),1)&gt;=100000,INDEX($AC$1005:$AS$1005,1,MATCH(COLUMNS($AC$1006:AK1006),$AC$1006:$AS$1006,0))&gt;=100000), " ",IF(INDEX($AC$2:$AS$1001,MATCH(ROWS($V$2:V985),$V$2:$V$1001,0),MATCH(COLUMNS($AC$1006:AK1006),$AC$1006:$AS$1006,0)), HYPERLINK("#",""), HYPERLINK(CONCATENATE("#Metadata!", ADDRESS(INDEX($X$2:$X$1001,MATCH(ROWS($V$2:V985),$V$2:$V$1001,0),0), INDEX($AC$1004:$AS$1004,1,MATCH(COLUMNS($AC$1006:AK1006),$AC$1006:$AS$1006,0)))),"Fix")))</f>
        <v>0</v>
      </c>
      <c r="K985" s="5">
        <f>IF(OR(INDEX($W$2:$W$1001,MATCH(ROWS($V$2:V985),$V$2:$V$1001,0),1)&gt;=100000,INDEX($AC$1005:$AS$1005,1,MATCH(COLUMNS($AC$1006:AL1006),$AC$1006:$AS$1006,0))&gt;=100000), " ",IF(INDEX($AC$2:$AS$1001,MATCH(ROWS($V$2:V985),$V$2:$V$1001,0),MATCH(COLUMNS($AC$1006:AL1006),$AC$1006:$AS$1006,0)), HYPERLINK("#",""), HYPERLINK(CONCATENATE("#Metadata!", ADDRESS(INDEX($X$2:$X$1001,MATCH(ROWS($V$2:V985),$V$2:$V$1001,0),0), INDEX($AC$1004:$AS$1004,1,MATCH(COLUMNS($AC$1006:AL1006),$AC$1006:$AS$1006,0)))),"Fix")))</f>
        <v>0</v>
      </c>
      <c r="L985" s="5">
        <f>IF(OR(INDEX($W$2:$W$1001,MATCH(ROWS($V$2:V985),$V$2:$V$1001,0),1)&gt;=100000,INDEX($AC$1005:$AS$1005,1,MATCH(COLUMNS($AC$1006:AM1006),$AC$1006:$AS$1006,0))&gt;=100000), " ",IF(INDEX($AC$2:$AS$1001,MATCH(ROWS($V$2:V985),$V$2:$V$1001,0),MATCH(COLUMNS($AC$1006:AM1006),$AC$1006:$AS$1006,0)), HYPERLINK("#",""), HYPERLINK(CONCATENATE("#Metadata!", ADDRESS(INDEX($X$2:$X$1001,MATCH(ROWS($V$2:V985),$V$2:$V$1001,0),0), INDEX($AC$1004:$AS$1004,1,MATCH(COLUMNS($AC$1006:AM1006),$AC$1006:$AS$1006,0)))),"Fix")))</f>
        <v>0</v>
      </c>
      <c r="M985" s="5">
        <f>IF(OR(INDEX($W$2:$W$1001,MATCH(ROWS($V$2:V985),$V$2:$V$1001,0),1)&gt;=100000,INDEX($AC$1005:$AS$1005,1,MATCH(COLUMNS($AC$1006:AN1006),$AC$1006:$AS$1006,0))&gt;=100000), " ",IF(INDEX($AC$2:$AS$1001,MATCH(ROWS($V$2:V985),$V$2:$V$1001,0),MATCH(COLUMNS($AC$1006:AN1006),$AC$1006:$AS$1006,0)), HYPERLINK("#",""), HYPERLINK(CONCATENATE("#Metadata!", ADDRESS(INDEX($X$2:$X$1001,MATCH(ROWS($V$2:V985),$V$2:$V$1001,0),0), INDEX($AC$1004:$AS$1004,1,MATCH(COLUMNS($AC$1006:AN1006),$AC$1006:$AS$1006,0)))),"Fix")))</f>
        <v>0</v>
      </c>
      <c r="N985" s="5">
        <f>IF(OR(INDEX($W$2:$W$1001,MATCH(ROWS($V$2:V985),$V$2:$V$1001,0),1)&gt;=100000,INDEX($AC$1005:$AS$1005,1,MATCH(COLUMNS($AC$1006:AO1006),$AC$1006:$AS$1006,0))&gt;=100000), " ",IF(INDEX($AC$2:$AS$1001,MATCH(ROWS($V$2:V985),$V$2:$V$1001,0),MATCH(COLUMNS($AC$1006:AO1006),$AC$1006:$AS$1006,0)), HYPERLINK("#",""), HYPERLINK(CONCATENATE("#Metadata!", ADDRESS(INDEX($X$2:$X$1001,MATCH(ROWS($V$2:V985),$V$2:$V$1001,0),0), INDEX($AC$1004:$AS$1004,1,MATCH(COLUMNS($AC$1006:AO1006),$AC$1006:$AS$1006,0)))),"Fix")))</f>
        <v>0</v>
      </c>
      <c r="O985" s="5">
        <f>IF(OR(INDEX($W$2:$W$1001,MATCH(ROWS($V$2:V985),$V$2:$V$1001,0),1)&gt;=100000,INDEX($AC$1005:$AS$1005,1,MATCH(COLUMNS($AC$1006:AP1006),$AC$1006:$AS$1006,0))&gt;=100000), " ",IF(INDEX($AC$2:$AS$1001,MATCH(ROWS($V$2:V985),$V$2:$V$1001,0),MATCH(COLUMNS($AC$1006:AP1006),$AC$1006:$AS$1006,0)), HYPERLINK("#",""), HYPERLINK(CONCATENATE("#Metadata!", ADDRESS(INDEX($X$2:$X$1001,MATCH(ROWS($V$2:V985),$V$2:$V$1001,0),0), INDEX($AC$1004:$AS$1004,1,MATCH(COLUMNS($AC$1006:AP1006),$AC$1006:$AS$1006,0)))),"Fix")))</f>
        <v>0</v>
      </c>
      <c r="P985" s="5">
        <f>IF(OR(INDEX($W$2:$W$1001,MATCH(ROWS($V$2:V985),$V$2:$V$1001,0),1)&gt;=100000,INDEX($AC$1005:$AS$1005,1,MATCH(COLUMNS($AC$1006:AQ1006),$AC$1006:$AS$1006,0))&gt;=100000), " ",IF(INDEX($AC$2:$AS$1001,MATCH(ROWS($V$2:V985),$V$2:$V$1001,0),MATCH(COLUMNS($AC$1006:AQ1006),$AC$1006:$AS$1006,0)), HYPERLINK("#",""), HYPERLINK(CONCATENATE("#Metadata!", ADDRESS(INDEX($X$2:$X$1001,MATCH(ROWS($V$2:V985),$V$2:$V$1001,0),0), INDEX($AC$1004:$AS$1004,1,MATCH(COLUMNS($AC$1006:AQ1006),$AC$1006:$AS$1006,0)))),"Fix")))</f>
        <v>0</v>
      </c>
      <c r="Q985" s="5">
        <f>IF(OR(INDEX($W$2:$W$1001,MATCH(ROWS($V$2:V985),$V$2:$V$1001,0),1)&gt;=100000,INDEX($AC$1005:$AS$1005,1,MATCH(COLUMNS($AC$1006:AR1006),$AC$1006:$AS$1006,0))&gt;=100000), " ",IF(INDEX($AC$2:$AS$1001,MATCH(ROWS($V$2:V985),$V$2:$V$1001,0),MATCH(COLUMNS($AC$1006:AR1006),$AC$1006:$AS$1006,0)), HYPERLINK("#",""), HYPERLINK(CONCATENATE("#Metadata!", ADDRESS(INDEX($X$2:$X$1001,MATCH(ROWS($V$2:V985),$V$2:$V$1001,0),0), INDEX($AC$1004:$AS$1004,1,MATCH(COLUMNS($AC$1006:AR1006),$AC$1006:$AS$1006,0)))),"Fix")))</f>
        <v>0</v>
      </c>
      <c r="R985" s="5">
        <f>IF(OR(INDEX($W$2:$W$1001,MATCH(ROWS($V$2:V985),$V$2:$V$1001,0),1)&gt;=100000,INDEX($AC$1005:$AS$1005,1,MATCH(COLUMNS($AC$1006:AS1006),$AC$1006:$AS$1006,0))&gt;=100000), " ",IF(INDEX($AC$2:$AS$1001,MATCH(ROWS($V$2:V985),$V$2:$V$1001,0),MATCH(COLUMNS($AC$1006:AS1006),$AC$1006:$AS$1006,0)), HYPERLINK("#",""), HYPERLINK(CONCATENATE("#Metadata!", ADDRESS(INDEX($X$2:$X$1001,MATCH(ROWS($V$2:V985),$V$2:$V$1001,0),0), INDEX($AC$1004:$AS$1004,1,MATCH(COLUMNS($AC$1006:AS1006),$AC$1006:$AS$1006,0)))),"Fix")))</f>
        <v>0</v>
      </c>
      <c r="V985">
        <v>0</v>
      </c>
      <c r="W985">
        <v>0</v>
      </c>
      <c r="X985">
        <v>0</v>
      </c>
      <c r="Y985">
        <f>IF(Z985,TRUE,AND(AC985:AS985))</f>
        <v>0</v>
      </c>
      <c r="Z985">
        <f>COUNTBLANK(Metadata!B985:R985)=COLUMNS(Metadata!B985:R985)</f>
        <v>0</v>
      </c>
      <c r="AA985">
        <v>0</v>
      </c>
      <c r="AC985">
        <f>AND(IF(Metadata!B985="",FALSE,TRUE),COUNTIF(Metadata!B:B, Metadata!B985) = 1,NOT(ISERROR(SUMPRODUCT(SEARCH(MID(Metadata!B985,ROW(INDIRECT("1:"&amp;LEN(Metadata!B985))), 1),"0123456789abcdefghijklmnopqrstuvwxyzABCDEFGHIJKLMNOPQRSTUVWXYZ.")))))</f>
        <v>0</v>
      </c>
      <c r="AD985">
        <f>AND(IF(Metadata!C985="",FALSE,TRUE),exact(Metadata!C985,"Host-associated"))</f>
        <v>0</v>
      </c>
      <c r="AE985">
        <f>AND(IF(Metadata!D985="",FALSE,TRUE),OR(exact(Metadata!D985,"Animal"),exact(Metadata!D985,"Fungus"),exact(Metadata!D985,"Plant")))</f>
        <v>0</v>
      </c>
      <c r="AF985">
        <f>AND(IF(Metadata!E985="",FALSE,TRUE),OR(exact(Metadata!E985,"Plant secretion"),exact(Metadata!E985,"Plant rhizosphere"),exact(Metadata!E985,"Plant surface"),exact(Metadata!E985,"Plant corpus"),exact(Metadata!E985,"Fungus surface"),exact(Metadata!E985,"Fungus corpus"),exact(Metadata!E985,"Animal surface"),exact(Metadata!E985,"Animal proximal gut"),exact(Metadata!E985,"Animal corpus"),exact(Metadata!E985,"Animal distal gut"),exact(Metadata!E985,"Animal secretion")))</f>
        <v>0</v>
      </c>
      <c r="AG985">
        <f>OR(AND(IF(Metadata!F985="",FALSE,TRUE),OR(exact(Metadata!F985,"not collected"),exact(Metadata!F985,"not provided"),exact(Metadata!F985,"restricted access"))),AND(IF(Metadata!F985="",FALSE,TRUE),OR(exact(Metadata!F985,"organism-associated habitat"),exact(Metadata!F985,"plant-associated habitat"),exact(Metadata!F985,"animal-associated habitat"),exact(Metadata!F985,"insecta-associated habitat"),exact(Metadata!F985,"mammalia-associated habitat"),exact(Metadata!F985,"human-associated habitat"),exact(Metadata!F985,"livestock-associated habitat"))))</f>
        <v>0</v>
      </c>
      <c r="AH985">
        <f>AND(IF(Metadata!G985="",FALSE,TRUE),exact(Metadata!G985,"host-associated"))</f>
        <v>0</v>
      </c>
      <c r="AI985">
        <f>OR(AND(IF(Metadata!H985="",FALSE,TRUE),OR(exact(Metadata!H985,"not collected"),exact(Metadata!H985,"not provided"))),AND(IF(Metadata!H985="",FALSE,ISNUMBER(VALUE(Metadata!H985))),Metadata!H985&gt;0))</f>
        <v>0</v>
      </c>
      <c r="AJ985">
        <f>AND(IF(Metadata!I985="",FALSE,TRUE),exact(Metadata!I985,"years"))</f>
        <v>0</v>
      </c>
      <c r="AK985">
        <f>IF(Metadata!J985="",FALSE,TRUE)</f>
        <v>0</v>
      </c>
      <c r="AL985">
        <f>OR(AND(IF(Metadata!K985="",FALSE,TRUE),OR(exact(Metadata!K985,"not collected"),exact(Metadata!K985,"not provided"))),AND(IF(Metadata!K985="",FALSE,ISNUMBER(VALUE(Metadata!K985))),Metadata!K985&gt;0))</f>
        <v>0</v>
      </c>
      <c r="AM985">
        <f>AND(IF(Metadata!L985="",FALSE,TRUE),exact(Metadata!L985,"cm"))</f>
        <v>0</v>
      </c>
      <c r="AN985">
        <f>IF(Metadata!M985="",FALSE,TRUE)</f>
        <v>0</v>
      </c>
      <c r="AO985">
        <f>OR(AND(IF(Metadata!N985="",FALSE,TRUE),OR(exact(Metadata!N985,"not applicable"),exact(Metadata!N985,"not collected"),exact(Metadata!N985,"not provided"))),AND(IF(Metadata!N985="",FALSE,IF(ISERROR(INT(Metadata!N985)),FALSE,INT(Metadata!N985)=Metadata!N985)),Metadata!N985&gt;0))</f>
        <v>0</v>
      </c>
      <c r="AP985">
        <f>OR(AND(IF(Metadata!O985="",FALSE,TRUE),OR(exact(Metadata!O985,"not collected"),exact(Metadata!O985,"not provided"))),AND(IF(Metadata!O985="",FALSE,ISNUMBER(VALUE(Metadata!O985))),Metadata!O985&gt;0))</f>
        <v>0</v>
      </c>
      <c r="AQ985">
        <f>AND(IF(Metadata!P985="",FALSE,TRUE),exact(Metadata!P985,"kg"))</f>
        <v>0</v>
      </c>
      <c r="AR985">
        <f>OR(AND(IF(Metadata!Q985="",FALSE,TRUE),OR(exact(Metadata!Q985,"not applicable"),exact(Metadata!Q985,"not collected"),exact(Metadata!Q985,"not provided"),exact(Metadata!Q985,"restricted access"))),IF(Metadata!Q985="",FALSE,IF(ISERROR(INT(Metadata!Q985)),FALSE,INT(Metadata!Q985)=Metadata!Q985)))</f>
        <v>0</v>
      </c>
      <c r="AS985">
        <f>AND(IF(Metadata!R985="",FALSE,TRUE),exact(Metadata!R985,"Not applicable"))</f>
        <v>0</v>
      </c>
    </row>
    <row r="986" spans="1:45">
      <c r="A986" s="4">
        <f>IF(B986=" "," ",HYPERLINK(CONCATENATE("#metadata!",ADDRESS(INDEX($X$2:$X$1001,MATCH(ROWS($V$2:V986),$V$2:$V$1001,0),0),2)),INDEX($AA$2:$AA$1001,MATCH(ROWS($V$2:V986),$V$2:$V$1001,0),0)))</f>
        <v>0</v>
      </c>
      <c r="B986" s="5">
        <f>IF(OR(INDEX($W$2:$W$1001,MATCH(ROWS($V$2:V986),$V$2:$V$1001,0),1)&gt;=100000,INDEX($AC$1005:$AS$1005,1,MATCH(COLUMNS($AC$1006:AC1006),$AC$1006:$AS$1006,0))&gt;=100000), " ",IF(INDEX($AC$2:$AS$1001,MATCH(ROWS($V$2:V986),$V$2:$V$1001,0),MATCH(COLUMNS($AC$1006:AC1006),$AC$1006:$AS$1006,0)), HYPERLINK("#",""), HYPERLINK(CONCATENATE("#Metadata!", ADDRESS(INDEX($X$2:$X$1001,MATCH(ROWS($V$2:V986),$V$2:$V$1001,0),0), INDEX($AC$1004:$AS$1004,1,MATCH(COLUMNS($AC$1006:AC1006),$AC$1006:$AS$1006,0)))),"Fix")))</f>
        <v>0</v>
      </c>
      <c r="C986" s="5">
        <f>IF(OR(INDEX($W$2:$W$1001,MATCH(ROWS($V$2:V986),$V$2:$V$1001,0),1)&gt;=100000,INDEX($AC$1005:$AS$1005,1,MATCH(COLUMNS($AC$1006:AD1006),$AC$1006:$AS$1006,0))&gt;=100000), " ",IF(INDEX($AC$2:$AS$1001,MATCH(ROWS($V$2:V986),$V$2:$V$1001,0),MATCH(COLUMNS($AC$1006:AD1006),$AC$1006:$AS$1006,0)), HYPERLINK("#",""), HYPERLINK(CONCATENATE("#Metadata!", ADDRESS(INDEX($X$2:$X$1001,MATCH(ROWS($V$2:V986),$V$2:$V$1001,0),0), INDEX($AC$1004:$AS$1004,1,MATCH(COLUMNS($AC$1006:AD1006),$AC$1006:$AS$1006,0)))),"Fix")))</f>
        <v>0</v>
      </c>
      <c r="D986" s="5">
        <f>IF(OR(INDEX($W$2:$W$1001,MATCH(ROWS($V$2:V986),$V$2:$V$1001,0),1)&gt;=100000,INDEX($AC$1005:$AS$1005,1,MATCH(COLUMNS($AC$1006:AE1006),$AC$1006:$AS$1006,0))&gt;=100000), " ",IF(INDEX($AC$2:$AS$1001,MATCH(ROWS($V$2:V986),$V$2:$V$1001,0),MATCH(COLUMNS($AC$1006:AE1006),$AC$1006:$AS$1006,0)), HYPERLINK("#",""), HYPERLINK(CONCATENATE("#Metadata!", ADDRESS(INDEX($X$2:$X$1001,MATCH(ROWS($V$2:V986),$V$2:$V$1001,0),0), INDEX($AC$1004:$AS$1004,1,MATCH(COLUMNS($AC$1006:AE1006),$AC$1006:$AS$1006,0)))),"Fix")))</f>
        <v>0</v>
      </c>
      <c r="E986" s="5">
        <f>IF(OR(INDEX($W$2:$W$1001,MATCH(ROWS($V$2:V986),$V$2:$V$1001,0),1)&gt;=100000,INDEX($AC$1005:$AS$1005,1,MATCH(COLUMNS($AC$1006:AF1006),$AC$1006:$AS$1006,0))&gt;=100000), " ",IF(INDEX($AC$2:$AS$1001,MATCH(ROWS($V$2:V986),$V$2:$V$1001,0),MATCH(COLUMNS($AC$1006:AF1006),$AC$1006:$AS$1006,0)), HYPERLINK("#",""), HYPERLINK(CONCATENATE("#Metadata!", ADDRESS(INDEX($X$2:$X$1001,MATCH(ROWS($V$2:V986),$V$2:$V$1001,0),0), INDEX($AC$1004:$AS$1004,1,MATCH(COLUMNS($AC$1006:AF1006),$AC$1006:$AS$1006,0)))),"Fix")))</f>
        <v>0</v>
      </c>
      <c r="F986" s="5">
        <f>IF(OR(INDEX($W$2:$W$1001,MATCH(ROWS($V$2:V986),$V$2:$V$1001,0),1)&gt;=100000,INDEX($AC$1005:$AS$1005,1,MATCH(COLUMNS($AC$1006:AG1006),$AC$1006:$AS$1006,0))&gt;=100000), " ",IF(INDEX($AC$2:$AS$1001,MATCH(ROWS($V$2:V986),$V$2:$V$1001,0),MATCH(COLUMNS($AC$1006:AG1006),$AC$1006:$AS$1006,0)), HYPERLINK("#",""), HYPERLINK(CONCATENATE("#Metadata!", ADDRESS(INDEX($X$2:$X$1001,MATCH(ROWS($V$2:V986),$V$2:$V$1001,0),0), INDEX($AC$1004:$AS$1004,1,MATCH(COLUMNS($AC$1006:AG1006),$AC$1006:$AS$1006,0)))),"Fix")))</f>
        <v>0</v>
      </c>
      <c r="G986" s="5">
        <f>IF(OR(INDEX($W$2:$W$1001,MATCH(ROWS($V$2:V986),$V$2:$V$1001,0),1)&gt;=100000,INDEX($AC$1005:$AS$1005,1,MATCH(COLUMNS($AC$1006:AH1006),$AC$1006:$AS$1006,0))&gt;=100000), " ",IF(INDEX($AC$2:$AS$1001,MATCH(ROWS($V$2:V986),$V$2:$V$1001,0),MATCH(COLUMNS($AC$1006:AH1006),$AC$1006:$AS$1006,0)), HYPERLINK("#",""), HYPERLINK(CONCATENATE("#Metadata!", ADDRESS(INDEX($X$2:$X$1001,MATCH(ROWS($V$2:V986),$V$2:$V$1001,0),0), INDEX($AC$1004:$AS$1004,1,MATCH(COLUMNS($AC$1006:AH1006),$AC$1006:$AS$1006,0)))),"Fix")))</f>
        <v>0</v>
      </c>
      <c r="H986" s="5">
        <f>IF(OR(INDEX($W$2:$W$1001,MATCH(ROWS($V$2:V986),$V$2:$V$1001,0),1)&gt;=100000,INDEX($AC$1005:$AS$1005,1,MATCH(COLUMNS($AC$1006:AI1006),$AC$1006:$AS$1006,0))&gt;=100000), " ",IF(INDEX($AC$2:$AS$1001,MATCH(ROWS($V$2:V986),$V$2:$V$1001,0),MATCH(COLUMNS($AC$1006:AI1006),$AC$1006:$AS$1006,0)), HYPERLINK("#",""), HYPERLINK(CONCATENATE("#Metadata!", ADDRESS(INDEX($X$2:$X$1001,MATCH(ROWS($V$2:V986),$V$2:$V$1001,0),0), INDEX($AC$1004:$AS$1004,1,MATCH(COLUMNS($AC$1006:AI1006),$AC$1006:$AS$1006,0)))),"Fix")))</f>
        <v>0</v>
      </c>
      <c r="I986" s="5">
        <f>IF(OR(INDEX($W$2:$W$1001,MATCH(ROWS($V$2:V986),$V$2:$V$1001,0),1)&gt;=100000,INDEX($AC$1005:$AS$1005,1,MATCH(COLUMNS($AC$1006:AJ1006),$AC$1006:$AS$1006,0))&gt;=100000), " ",IF(INDEX($AC$2:$AS$1001,MATCH(ROWS($V$2:V986),$V$2:$V$1001,0),MATCH(COLUMNS($AC$1006:AJ1006),$AC$1006:$AS$1006,0)), HYPERLINK("#",""), HYPERLINK(CONCATENATE("#Metadata!", ADDRESS(INDEX($X$2:$X$1001,MATCH(ROWS($V$2:V986),$V$2:$V$1001,0),0), INDEX($AC$1004:$AS$1004,1,MATCH(COLUMNS($AC$1006:AJ1006),$AC$1006:$AS$1006,0)))),"Fix")))</f>
        <v>0</v>
      </c>
      <c r="J986" s="5">
        <f>IF(OR(INDEX($W$2:$W$1001,MATCH(ROWS($V$2:V986),$V$2:$V$1001,0),1)&gt;=100000,INDEX($AC$1005:$AS$1005,1,MATCH(COLUMNS($AC$1006:AK1006),$AC$1006:$AS$1006,0))&gt;=100000), " ",IF(INDEX($AC$2:$AS$1001,MATCH(ROWS($V$2:V986),$V$2:$V$1001,0),MATCH(COLUMNS($AC$1006:AK1006),$AC$1006:$AS$1006,0)), HYPERLINK("#",""), HYPERLINK(CONCATENATE("#Metadata!", ADDRESS(INDEX($X$2:$X$1001,MATCH(ROWS($V$2:V986),$V$2:$V$1001,0),0), INDEX($AC$1004:$AS$1004,1,MATCH(COLUMNS($AC$1006:AK1006),$AC$1006:$AS$1006,0)))),"Fix")))</f>
        <v>0</v>
      </c>
      <c r="K986" s="5">
        <f>IF(OR(INDEX($W$2:$W$1001,MATCH(ROWS($V$2:V986),$V$2:$V$1001,0),1)&gt;=100000,INDEX($AC$1005:$AS$1005,1,MATCH(COLUMNS($AC$1006:AL1006),$AC$1006:$AS$1006,0))&gt;=100000), " ",IF(INDEX($AC$2:$AS$1001,MATCH(ROWS($V$2:V986),$V$2:$V$1001,0),MATCH(COLUMNS($AC$1006:AL1006),$AC$1006:$AS$1006,0)), HYPERLINK("#",""), HYPERLINK(CONCATENATE("#Metadata!", ADDRESS(INDEX($X$2:$X$1001,MATCH(ROWS($V$2:V986),$V$2:$V$1001,0),0), INDEX($AC$1004:$AS$1004,1,MATCH(COLUMNS($AC$1006:AL1006),$AC$1006:$AS$1006,0)))),"Fix")))</f>
        <v>0</v>
      </c>
      <c r="L986" s="5">
        <f>IF(OR(INDEX($W$2:$W$1001,MATCH(ROWS($V$2:V986),$V$2:$V$1001,0),1)&gt;=100000,INDEX($AC$1005:$AS$1005,1,MATCH(COLUMNS($AC$1006:AM1006),$AC$1006:$AS$1006,0))&gt;=100000), " ",IF(INDEX($AC$2:$AS$1001,MATCH(ROWS($V$2:V986),$V$2:$V$1001,0),MATCH(COLUMNS($AC$1006:AM1006),$AC$1006:$AS$1006,0)), HYPERLINK("#",""), HYPERLINK(CONCATENATE("#Metadata!", ADDRESS(INDEX($X$2:$X$1001,MATCH(ROWS($V$2:V986),$V$2:$V$1001,0),0), INDEX($AC$1004:$AS$1004,1,MATCH(COLUMNS($AC$1006:AM1006),$AC$1006:$AS$1006,0)))),"Fix")))</f>
        <v>0</v>
      </c>
      <c r="M986" s="5">
        <f>IF(OR(INDEX($W$2:$W$1001,MATCH(ROWS($V$2:V986),$V$2:$V$1001,0),1)&gt;=100000,INDEX($AC$1005:$AS$1005,1,MATCH(COLUMNS($AC$1006:AN1006),$AC$1006:$AS$1006,0))&gt;=100000), " ",IF(INDEX($AC$2:$AS$1001,MATCH(ROWS($V$2:V986),$V$2:$V$1001,0),MATCH(COLUMNS($AC$1006:AN1006),$AC$1006:$AS$1006,0)), HYPERLINK("#",""), HYPERLINK(CONCATENATE("#Metadata!", ADDRESS(INDEX($X$2:$X$1001,MATCH(ROWS($V$2:V986),$V$2:$V$1001,0),0), INDEX($AC$1004:$AS$1004,1,MATCH(COLUMNS($AC$1006:AN1006),$AC$1006:$AS$1006,0)))),"Fix")))</f>
        <v>0</v>
      </c>
      <c r="N986" s="5">
        <f>IF(OR(INDEX($W$2:$W$1001,MATCH(ROWS($V$2:V986),$V$2:$V$1001,0),1)&gt;=100000,INDEX($AC$1005:$AS$1005,1,MATCH(COLUMNS($AC$1006:AO1006),$AC$1006:$AS$1006,0))&gt;=100000), " ",IF(INDEX($AC$2:$AS$1001,MATCH(ROWS($V$2:V986),$V$2:$V$1001,0),MATCH(COLUMNS($AC$1006:AO1006),$AC$1006:$AS$1006,0)), HYPERLINK("#",""), HYPERLINK(CONCATENATE("#Metadata!", ADDRESS(INDEX($X$2:$X$1001,MATCH(ROWS($V$2:V986),$V$2:$V$1001,0),0), INDEX($AC$1004:$AS$1004,1,MATCH(COLUMNS($AC$1006:AO1006),$AC$1006:$AS$1006,0)))),"Fix")))</f>
        <v>0</v>
      </c>
      <c r="O986" s="5">
        <f>IF(OR(INDEX($W$2:$W$1001,MATCH(ROWS($V$2:V986),$V$2:$V$1001,0),1)&gt;=100000,INDEX($AC$1005:$AS$1005,1,MATCH(COLUMNS($AC$1006:AP1006),$AC$1006:$AS$1006,0))&gt;=100000), " ",IF(INDEX($AC$2:$AS$1001,MATCH(ROWS($V$2:V986),$V$2:$V$1001,0),MATCH(COLUMNS($AC$1006:AP1006),$AC$1006:$AS$1006,0)), HYPERLINK("#",""), HYPERLINK(CONCATENATE("#Metadata!", ADDRESS(INDEX($X$2:$X$1001,MATCH(ROWS($V$2:V986),$V$2:$V$1001,0),0), INDEX($AC$1004:$AS$1004,1,MATCH(COLUMNS($AC$1006:AP1006),$AC$1006:$AS$1006,0)))),"Fix")))</f>
        <v>0</v>
      </c>
      <c r="P986" s="5">
        <f>IF(OR(INDEX($W$2:$W$1001,MATCH(ROWS($V$2:V986),$V$2:$V$1001,0),1)&gt;=100000,INDEX($AC$1005:$AS$1005,1,MATCH(COLUMNS($AC$1006:AQ1006),$AC$1006:$AS$1006,0))&gt;=100000), " ",IF(INDEX($AC$2:$AS$1001,MATCH(ROWS($V$2:V986),$V$2:$V$1001,0),MATCH(COLUMNS($AC$1006:AQ1006),$AC$1006:$AS$1006,0)), HYPERLINK("#",""), HYPERLINK(CONCATENATE("#Metadata!", ADDRESS(INDEX($X$2:$X$1001,MATCH(ROWS($V$2:V986),$V$2:$V$1001,0),0), INDEX($AC$1004:$AS$1004,1,MATCH(COLUMNS($AC$1006:AQ1006),$AC$1006:$AS$1006,0)))),"Fix")))</f>
        <v>0</v>
      </c>
      <c r="Q986" s="5">
        <f>IF(OR(INDEX($W$2:$W$1001,MATCH(ROWS($V$2:V986),$V$2:$V$1001,0),1)&gt;=100000,INDEX($AC$1005:$AS$1005,1,MATCH(COLUMNS($AC$1006:AR1006),$AC$1006:$AS$1006,0))&gt;=100000), " ",IF(INDEX($AC$2:$AS$1001,MATCH(ROWS($V$2:V986),$V$2:$V$1001,0),MATCH(COLUMNS($AC$1006:AR1006),$AC$1006:$AS$1006,0)), HYPERLINK("#",""), HYPERLINK(CONCATENATE("#Metadata!", ADDRESS(INDEX($X$2:$X$1001,MATCH(ROWS($V$2:V986),$V$2:$V$1001,0),0), INDEX($AC$1004:$AS$1004,1,MATCH(COLUMNS($AC$1006:AR1006),$AC$1006:$AS$1006,0)))),"Fix")))</f>
        <v>0</v>
      </c>
      <c r="R986" s="5">
        <f>IF(OR(INDEX($W$2:$W$1001,MATCH(ROWS($V$2:V986),$V$2:$V$1001,0),1)&gt;=100000,INDEX($AC$1005:$AS$1005,1,MATCH(COLUMNS($AC$1006:AS1006),$AC$1006:$AS$1006,0))&gt;=100000), " ",IF(INDEX($AC$2:$AS$1001,MATCH(ROWS($V$2:V986),$V$2:$V$1001,0),MATCH(COLUMNS($AC$1006:AS1006),$AC$1006:$AS$1006,0)), HYPERLINK("#",""), HYPERLINK(CONCATENATE("#Metadata!", ADDRESS(INDEX($X$2:$X$1001,MATCH(ROWS($V$2:V986),$V$2:$V$1001,0),0), INDEX($AC$1004:$AS$1004,1,MATCH(COLUMNS($AC$1006:AS1006),$AC$1006:$AS$1006,0)))),"Fix")))</f>
        <v>0</v>
      </c>
      <c r="V986">
        <v>0</v>
      </c>
      <c r="W986">
        <v>0</v>
      </c>
      <c r="X986">
        <v>0</v>
      </c>
      <c r="Y986">
        <f>IF(Z986,TRUE,AND(AC986:AS986))</f>
        <v>0</v>
      </c>
      <c r="Z986">
        <f>COUNTBLANK(Metadata!B986:R986)=COLUMNS(Metadata!B986:R986)</f>
        <v>0</v>
      </c>
      <c r="AA986">
        <v>0</v>
      </c>
      <c r="AC986">
        <f>AND(IF(Metadata!B986="",FALSE,TRUE),COUNTIF(Metadata!B:B, Metadata!B986) = 1,NOT(ISERROR(SUMPRODUCT(SEARCH(MID(Metadata!B986,ROW(INDIRECT("1:"&amp;LEN(Metadata!B986))), 1),"0123456789abcdefghijklmnopqrstuvwxyzABCDEFGHIJKLMNOPQRSTUVWXYZ.")))))</f>
        <v>0</v>
      </c>
      <c r="AD986">
        <f>AND(IF(Metadata!C986="",FALSE,TRUE),exact(Metadata!C986,"Host-associated"))</f>
        <v>0</v>
      </c>
      <c r="AE986">
        <f>AND(IF(Metadata!D986="",FALSE,TRUE),OR(exact(Metadata!D986,"Animal"),exact(Metadata!D986,"Fungus"),exact(Metadata!D986,"Plant")))</f>
        <v>0</v>
      </c>
      <c r="AF986">
        <f>AND(IF(Metadata!E986="",FALSE,TRUE),OR(exact(Metadata!E986,"Plant secretion"),exact(Metadata!E986,"Plant rhizosphere"),exact(Metadata!E986,"Plant surface"),exact(Metadata!E986,"Plant corpus"),exact(Metadata!E986,"Fungus surface"),exact(Metadata!E986,"Fungus corpus"),exact(Metadata!E986,"Animal surface"),exact(Metadata!E986,"Animal proximal gut"),exact(Metadata!E986,"Animal corpus"),exact(Metadata!E986,"Animal distal gut"),exact(Metadata!E986,"Animal secretion")))</f>
        <v>0</v>
      </c>
      <c r="AG986">
        <f>OR(AND(IF(Metadata!F986="",FALSE,TRUE),OR(exact(Metadata!F986,"not collected"),exact(Metadata!F986,"not provided"),exact(Metadata!F986,"restricted access"))),AND(IF(Metadata!F986="",FALSE,TRUE),OR(exact(Metadata!F986,"organism-associated habitat"),exact(Metadata!F986,"plant-associated habitat"),exact(Metadata!F986,"animal-associated habitat"),exact(Metadata!F986,"insecta-associated habitat"),exact(Metadata!F986,"mammalia-associated habitat"),exact(Metadata!F986,"human-associated habitat"),exact(Metadata!F986,"livestock-associated habitat"))))</f>
        <v>0</v>
      </c>
      <c r="AH986">
        <f>AND(IF(Metadata!G986="",FALSE,TRUE),exact(Metadata!G986,"host-associated"))</f>
        <v>0</v>
      </c>
      <c r="AI986">
        <f>OR(AND(IF(Metadata!H986="",FALSE,TRUE),OR(exact(Metadata!H986,"not collected"),exact(Metadata!H986,"not provided"))),AND(IF(Metadata!H986="",FALSE,ISNUMBER(VALUE(Metadata!H986))),Metadata!H986&gt;0))</f>
        <v>0</v>
      </c>
      <c r="AJ986">
        <f>AND(IF(Metadata!I986="",FALSE,TRUE),exact(Metadata!I986,"years"))</f>
        <v>0</v>
      </c>
      <c r="AK986">
        <f>IF(Metadata!J986="",FALSE,TRUE)</f>
        <v>0</v>
      </c>
      <c r="AL986">
        <f>OR(AND(IF(Metadata!K986="",FALSE,TRUE),OR(exact(Metadata!K986,"not collected"),exact(Metadata!K986,"not provided"))),AND(IF(Metadata!K986="",FALSE,ISNUMBER(VALUE(Metadata!K986))),Metadata!K986&gt;0))</f>
        <v>0</v>
      </c>
      <c r="AM986">
        <f>AND(IF(Metadata!L986="",FALSE,TRUE),exact(Metadata!L986,"cm"))</f>
        <v>0</v>
      </c>
      <c r="AN986">
        <f>IF(Metadata!M986="",FALSE,TRUE)</f>
        <v>0</v>
      </c>
      <c r="AO986">
        <f>OR(AND(IF(Metadata!N986="",FALSE,TRUE),OR(exact(Metadata!N986,"not applicable"),exact(Metadata!N986,"not collected"),exact(Metadata!N986,"not provided"))),AND(IF(Metadata!N986="",FALSE,IF(ISERROR(INT(Metadata!N986)),FALSE,INT(Metadata!N986)=Metadata!N986)),Metadata!N986&gt;0))</f>
        <v>0</v>
      </c>
      <c r="AP986">
        <f>OR(AND(IF(Metadata!O986="",FALSE,TRUE),OR(exact(Metadata!O986,"not collected"),exact(Metadata!O986,"not provided"))),AND(IF(Metadata!O986="",FALSE,ISNUMBER(VALUE(Metadata!O986))),Metadata!O986&gt;0))</f>
        <v>0</v>
      </c>
      <c r="AQ986">
        <f>AND(IF(Metadata!P986="",FALSE,TRUE),exact(Metadata!P986,"kg"))</f>
        <v>0</v>
      </c>
      <c r="AR986">
        <f>OR(AND(IF(Metadata!Q986="",FALSE,TRUE),OR(exact(Metadata!Q986,"not applicable"),exact(Metadata!Q986,"not collected"),exact(Metadata!Q986,"not provided"),exact(Metadata!Q986,"restricted access"))),IF(Metadata!Q986="",FALSE,IF(ISERROR(INT(Metadata!Q986)),FALSE,INT(Metadata!Q986)=Metadata!Q986)))</f>
        <v>0</v>
      </c>
      <c r="AS986">
        <f>AND(IF(Metadata!R986="",FALSE,TRUE),exact(Metadata!R986,"Not applicable"))</f>
        <v>0</v>
      </c>
    </row>
    <row r="987" spans="1:45">
      <c r="A987" s="4">
        <f>IF(B987=" "," ",HYPERLINK(CONCATENATE("#metadata!",ADDRESS(INDEX($X$2:$X$1001,MATCH(ROWS($V$2:V987),$V$2:$V$1001,0),0),2)),INDEX($AA$2:$AA$1001,MATCH(ROWS($V$2:V987),$V$2:$V$1001,0),0)))</f>
        <v>0</v>
      </c>
      <c r="B987" s="5">
        <f>IF(OR(INDEX($W$2:$W$1001,MATCH(ROWS($V$2:V987),$V$2:$V$1001,0),1)&gt;=100000,INDEX($AC$1005:$AS$1005,1,MATCH(COLUMNS($AC$1006:AC1006),$AC$1006:$AS$1006,0))&gt;=100000), " ",IF(INDEX($AC$2:$AS$1001,MATCH(ROWS($V$2:V987),$V$2:$V$1001,0),MATCH(COLUMNS($AC$1006:AC1006),$AC$1006:$AS$1006,0)), HYPERLINK("#",""), HYPERLINK(CONCATENATE("#Metadata!", ADDRESS(INDEX($X$2:$X$1001,MATCH(ROWS($V$2:V987),$V$2:$V$1001,0),0), INDEX($AC$1004:$AS$1004,1,MATCH(COLUMNS($AC$1006:AC1006),$AC$1006:$AS$1006,0)))),"Fix")))</f>
        <v>0</v>
      </c>
      <c r="C987" s="5">
        <f>IF(OR(INDEX($W$2:$W$1001,MATCH(ROWS($V$2:V987),$V$2:$V$1001,0),1)&gt;=100000,INDEX($AC$1005:$AS$1005,1,MATCH(COLUMNS($AC$1006:AD1006),$AC$1006:$AS$1006,0))&gt;=100000), " ",IF(INDEX($AC$2:$AS$1001,MATCH(ROWS($V$2:V987),$V$2:$V$1001,0),MATCH(COLUMNS($AC$1006:AD1006),$AC$1006:$AS$1006,0)), HYPERLINK("#",""), HYPERLINK(CONCATENATE("#Metadata!", ADDRESS(INDEX($X$2:$X$1001,MATCH(ROWS($V$2:V987),$V$2:$V$1001,0),0), INDEX($AC$1004:$AS$1004,1,MATCH(COLUMNS($AC$1006:AD1006),$AC$1006:$AS$1006,0)))),"Fix")))</f>
        <v>0</v>
      </c>
      <c r="D987" s="5">
        <f>IF(OR(INDEX($W$2:$W$1001,MATCH(ROWS($V$2:V987),$V$2:$V$1001,0),1)&gt;=100000,INDEX($AC$1005:$AS$1005,1,MATCH(COLUMNS($AC$1006:AE1006),$AC$1006:$AS$1006,0))&gt;=100000), " ",IF(INDEX($AC$2:$AS$1001,MATCH(ROWS($V$2:V987),$V$2:$V$1001,0),MATCH(COLUMNS($AC$1006:AE1006),$AC$1006:$AS$1006,0)), HYPERLINK("#",""), HYPERLINK(CONCATENATE("#Metadata!", ADDRESS(INDEX($X$2:$X$1001,MATCH(ROWS($V$2:V987),$V$2:$V$1001,0),0), INDEX($AC$1004:$AS$1004,1,MATCH(COLUMNS($AC$1006:AE1006),$AC$1006:$AS$1006,0)))),"Fix")))</f>
        <v>0</v>
      </c>
      <c r="E987" s="5">
        <f>IF(OR(INDEX($W$2:$W$1001,MATCH(ROWS($V$2:V987),$V$2:$V$1001,0),1)&gt;=100000,INDEX($AC$1005:$AS$1005,1,MATCH(COLUMNS($AC$1006:AF1006),$AC$1006:$AS$1006,0))&gt;=100000), " ",IF(INDEX($AC$2:$AS$1001,MATCH(ROWS($V$2:V987),$V$2:$V$1001,0),MATCH(COLUMNS($AC$1006:AF1006),$AC$1006:$AS$1006,0)), HYPERLINK("#",""), HYPERLINK(CONCATENATE("#Metadata!", ADDRESS(INDEX($X$2:$X$1001,MATCH(ROWS($V$2:V987),$V$2:$V$1001,0),0), INDEX($AC$1004:$AS$1004,1,MATCH(COLUMNS($AC$1006:AF1006),$AC$1006:$AS$1006,0)))),"Fix")))</f>
        <v>0</v>
      </c>
      <c r="F987" s="5">
        <f>IF(OR(INDEX($W$2:$W$1001,MATCH(ROWS($V$2:V987),$V$2:$V$1001,0),1)&gt;=100000,INDEX($AC$1005:$AS$1005,1,MATCH(COLUMNS($AC$1006:AG1006),$AC$1006:$AS$1006,0))&gt;=100000), " ",IF(INDEX($AC$2:$AS$1001,MATCH(ROWS($V$2:V987),$V$2:$V$1001,0),MATCH(COLUMNS($AC$1006:AG1006),$AC$1006:$AS$1006,0)), HYPERLINK("#",""), HYPERLINK(CONCATENATE("#Metadata!", ADDRESS(INDEX($X$2:$X$1001,MATCH(ROWS($V$2:V987),$V$2:$V$1001,0),0), INDEX($AC$1004:$AS$1004,1,MATCH(COLUMNS($AC$1006:AG1006),$AC$1006:$AS$1006,0)))),"Fix")))</f>
        <v>0</v>
      </c>
      <c r="G987" s="5">
        <f>IF(OR(INDEX($W$2:$W$1001,MATCH(ROWS($V$2:V987),$V$2:$V$1001,0),1)&gt;=100000,INDEX($AC$1005:$AS$1005,1,MATCH(COLUMNS($AC$1006:AH1006),$AC$1006:$AS$1006,0))&gt;=100000), " ",IF(INDEX($AC$2:$AS$1001,MATCH(ROWS($V$2:V987),$V$2:$V$1001,0),MATCH(COLUMNS($AC$1006:AH1006),$AC$1006:$AS$1006,0)), HYPERLINK("#",""), HYPERLINK(CONCATENATE("#Metadata!", ADDRESS(INDEX($X$2:$X$1001,MATCH(ROWS($V$2:V987),$V$2:$V$1001,0),0), INDEX($AC$1004:$AS$1004,1,MATCH(COLUMNS($AC$1006:AH1006),$AC$1006:$AS$1006,0)))),"Fix")))</f>
        <v>0</v>
      </c>
      <c r="H987" s="5">
        <f>IF(OR(INDEX($W$2:$W$1001,MATCH(ROWS($V$2:V987),$V$2:$V$1001,0),1)&gt;=100000,INDEX($AC$1005:$AS$1005,1,MATCH(COLUMNS($AC$1006:AI1006),$AC$1006:$AS$1006,0))&gt;=100000), " ",IF(INDEX($AC$2:$AS$1001,MATCH(ROWS($V$2:V987),$V$2:$V$1001,0),MATCH(COLUMNS($AC$1006:AI1006),$AC$1006:$AS$1006,0)), HYPERLINK("#",""), HYPERLINK(CONCATENATE("#Metadata!", ADDRESS(INDEX($X$2:$X$1001,MATCH(ROWS($V$2:V987),$V$2:$V$1001,0),0), INDEX($AC$1004:$AS$1004,1,MATCH(COLUMNS($AC$1006:AI1006),$AC$1006:$AS$1006,0)))),"Fix")))</f>
        <v>0</v>
      </c>
      <c r="I987" s="5">
        <f>IF(OR(INDEX($W$2:$W$1001,MATCH(ROWS($V$2:V987),$V$2:$V$1001,0),1)&gt;=100000,INDEX($AC$1005:$AS$1005,1,MATCH(COLUMNS($AC$1006:AJ1006),$AC$1006:$AS$1006,0))&gt;=100000), " ",IF(INDEX($AC$2:$AS$1001,MATCH(ROWS($V$2:V987),$V$2:$V$1001,0),MATCH(COLUMNS($AC$1006:AJ1006),$AC$1006:$AS$1006,0)), HYPERLINK("#",""), HYPERLINK(CONCATENATE("#Metadata!", ADDRESS(INDEX($X$2:$X$1001,MATCH(ROWS($V$2:V987),$V$2:$V$1001,0),0), INDEX($AC$1004:$AS$1004,1,MATCH(COLUMNS($AC$1006:AJ1006),$AC$1006:$AS$1006,0)))),"Fix")))</f>
        <v>0</v>
      </c>
      <c r="J987" s="5">
        <f>IF(OR(INDEX($W$2:$W$1001,MATCH(ROWS($V$2:V987),$V$2:$V$1001,0),1)&gt;=100000,INDEX($AC$1005:$AS$1005,1,MATCH(COLUMNS($AC$1006:AK1006),$AC$1006:$AS$1006,0))&gt;=100000), " ",IF(INDEX($AC$2:$AS$1001,MATCH(ROWS($V$2:V987),$V$2:$V$1001,0),MATCH(COLUMNS($AC$1006:AK1006),$AC$1006:$AS$1006,0)), HYPERLINK("#",""), HYPERLINK(CONCATENATE("#Metadata!", ADDRESS(INDEX($X$2:$X$1001,MATCH(ROWS($V$2:V987),$V$2:$V$1001,0),0), INDEX($AC$1004:$AS$1004,1,MATCH(COLUMNS($AC$1006:AK1006),$AC$1006:$AS$1006,0)))),"Fix")))</f>
        <v>0</v>
      </c>
      <c r="K987" s="5">
        <f>IF(OR(INDEX($W$2:$W$1001,MATCH(ROWS($V$2:V987),$V$2:$V$1001,0),1)&gt;=100000,INDEX($AC$1005:$AS$1005,1,MATCH(COLUMNS($AC$1006:AL1006),$AC$1006:$AS$1006,0))&gt;=100000), " ",IF(INDEX($AC$2:$AS$1001,MATCH(ROWS($V$2:V987),$V$2:$V$1001,0),MATCH(COLUMNS($AC$1006:AL1006),$AC$1006:$AS$1006,0)), HYPERLINK("#",""), HYPERLINK(CONCATENATE("#Metadata!", ADDRESS(INDEX($X$2:$X$1001,MATCH(ROWS($V$2:V987),$V$2:$V$1001,0),0), INDEX($AC$1004:$AS$1004,1,MATCH(COLUMNS($AC$1006:AL1006),$AC$1006:$AS$1006,0)))),"Fix")))</f>
        <v>0</v>
      </c>
      <c r="L987" s="5">
        <f>IF(OR(INDEX($W$2:$W$1001,MATCH(ROWS($V$2:V987),$V$2:$V$1001,0),1)&gt;=100000,INDEX($AC$1005:$AS$1005,1,MATCH(COLUMNS($AC$1006:AM1006),$AC$1006:$AS$1006,0))&gt;=100000), " ",IF(INDEX($AC$2:$AS$1001,MATCH(ROWS($V$2:V987),$V$2:$V$1001,0),MATCH(COLUMNS($AC$1006:AM1006),$AC$1006:$AS$1006,0)), HYPERLINK("#",""), HYPERLINK(CONCATENATE("#Metadata!", ADDRESS(INDEX($X$2:$X$1001,MATCH(ROWS($V$2:V987),$V$2:$V$1001,0),0), INDEX($AC$1004:$AS$1004,1,MATCH(COLUMNS($AC$1006:AM1006),$AC$1006:$AS$1006,0)))),"Fix")))</f>
        <v>0</v>
      </c>
      <c r="M987" s="5">
        <f>IF(OR(INDEX($W$2:$W$1001,MATCH(ROWS($V$2:V987),$V$2:$V$1001,0),1)&gt;=100000,INDEX($AC$1005:$AS$1005,1,MATCH(COLUMNS($AC$1006:AN1006),$AC$1006:$AS$1006,0))&gt;=100000), " ",IF(INDEX($AC$2:$AS$1001,MATCH(ROWS($V$2:V987),$V$2:$V$1001,0),MATCH(COLUMNS($AC$1006:AN1006),$AC$1006:$AS$1006,0)), HYPERLINK("#",""), HYPERLINK(CONCATENATE("#Metadata!", ADDRESS(INDEX($X$2:$X$1001,MATCH(ROWS($V$2:V987),$V$2:$V$1001,0),0), INDEX($AC$1004:$AS$1004,1,MATCH(COLUMNS($AC$1006:AN1006),$AC$1006:$AS$1006,0)))),"Fix")))</f>
        <v>0</v>
      </c>
      <c r="N987" s="5">
        <f>IF(OR(INDEX($W$2:$W$1001,MATCH(ROWS($V$2:V987),$V$2:$V$1001,0),1)&gt;=100000,INDEX($AC$1005:$AS$1005,1,MATCH(COLUMNS($AC$1006:AO1006),$AC$1006:$AS$1006,0))&gt;=100000), " ",IF(INDEX($AC$2:$AS$1001,MATCH(ROWS($V$2:V987),$V$2:$V$1001,0),MATCH(COLUMNS($AC$1006:AO1006),$AC$1006:$AS$1006,0)), HYPERLINK("#",""), HYPERLINK(CONCATENATE("#Metadata!", ADDRESS(INDEX($X$2:$X$1001,MATCH(ROWS($V$2:V987),$V$2:$V$1001,0),0), INDEX($AC$1004:$AS$1004,1,MATCH(COLUMNS($AC$1006:AO1006),$AC$1006:$AS$1006,0)))),"Fix")))</f>
        <v>0</v>
      </c>
      <c r="O987" s="5">
        <f>IF(OR(INDEX($W$2:$W$1001,MATCH(ROWS($V$2:V987),$V$2:$V$1001,0),1)&gt;=100000,INDEX($AC$1005:$AS$1005,1,MATCH(COLUMNS($AC$1006:AP1006),$AC$1006:$AS$1006,0))&gt;=100000), " ",IF(INDEX($AC$2:$AS$1001,MATCH(ROWS($V$2:V987),$V$2:$V$1001,0),MATCH(COLUMNS($AC$1006:AP1006),$AC$1006:$AS$1006,0)), HYPERLINK("#",""), HYPERLINK(CONCATENATE("#Metadata!", ADDRESS(INDEX($X$2:$X$1001,MATCH(ROWS($V$2:V987),$V$2:$V$1001,0),0), INDEX($AC$1004:$AS$1004,1,MATCH(COLUMNS($AC$1006:AP1006),$AC$1006:$AS$1006,0)))),"Fix")))</f>
        <v>0</v>
      </c>
      <c r="P987" s="5">
        <f>IF(OR(INDEX($W$2:$W$1001,MATCH(ROWS($V$2:V987),$V$2:$V$1001,0),1)&gt;=100000,INDEX($AC$1005:$AS$1005,1,MATCH(COLUMNS($AC$1006:AQ1006),$AC$1006:$AS$1006,0))&gt;=100000), " ",IF(INDEX($AC$2:$AS$1001,MATCH(ROWS($V$2:V987),$V$2:$V$1001,0),MATCH(COLUMNS($AC$1006:AQ1006),$AC$1006:$AS$1006,0)), HYPERLINK("#",""), HYPERLINK(CONCATENATE("#Metadata!", ADDRESS(INDEX($X$2:$X$1001,MATCH(ROWS($V$2:V987),$V$2:$V$1001,0),0), INDEX($AC$1004:$AS$1004,1,MATCH(COLUMNS($AC$1006:AQ1006),$AC$1006:$AS$1006,0)))),"Fix")))</f>
        <v>0</v>
      </c>
      <c r="Q987" s="5">
        <f>IF(OR(INDEX($W$2:$W$1001,MATCH(ROWS($V$2:V987),$V$2:$V$1001,0),1)&gt;=100000,INDEX($AC$1005:$AS$1005,1,MATCH(COLUMNS($AC$1006:AR1006),$AC$1006:$AS$1006,0))&gt;=100000), " ",IF(INDEX($AC$2:$AS$1001,MATCH(ROWS($V$2:V987),$V$2:$V$1001,0),MATCH(COLUMNS($AC$1006:AR1006),$AC$1006:$AS$1006,0)), HYPERLINK("#",""), HYPERLINK(CONCATENATE("#Metadata!", ADDRESS(INDEX($X$2:$X$1001,MATCH(ROWS($V$2:V987),$V$2:$V$1001,0),0), INDEX($AC$1004:$AS$1004,1,MATCH(COLUMNS($AC$1006:AR1006),$AC$1006:$AS$1006,0)))),"Fix")))</f>
        <v>0</v>
      </c>
      <c r="R987" s="5">
        <f>IF(OR(INDEX($W$2:$W$1001,MATCH(ROWS($V$2:V987),$V$2:$V$1001,0),1)&gt;=100000,INDEX($AC$1005:$AS$1005,1,MATCH(COLUMNS($AC$1006:AS1006),$AC$1006:$AS$1006,0))&gt;=100000), " ",IF(INDEX($AC$2:$AS$1001,MATCH(ROWS($V$2:V987),$V$2:$V$1001,0),MATCH(COLUMNS($AC$1006:AS1006),$AC$1006:$AS$1006,0)), HYPERLINK("#",""), HYPERLINK(CONCATENATE("#Metadata!", ADDRESS(INDEX($X$2:$X$1001,MATCH(ROWS($V$2:V987),$V$2:$V$1001,0),0), INDEX($AC$1004:$AS$1004,1,MATCH(COLUMNS($AC$1006:AS1006),$AC$1006:$AS$1006,0)))),"Fix")))</f>
        <v>0</v>
      </c>
      <c r="V987">
        <v>0</v>
      </c>
      <c r="W987">
        <v>0</v>
      </c>
      <c r="X987">
        <v>0</v>
      </c>
      <c r="Y987">
        <f>IF(Z987,TRUE,AND(AC987:AS987))</f>
        <v>0</v>
      </c>
      <c r="Z987">
        <f>COUNTBLANK(Metadata!B987:R987)=COLUMNS(Metadata!B987:R987)</f>
        <v>0</v>
      </c>
      <c r="AA987">
        <v>0</v>
      </c>
      <c r="AC987">
        <f>AND(IF(Metadata!B987="",FALSE,TRUE),COUNTIF(Metadata!B:B, Metadata!B987) = 1,NOT(ISERROR(SUMPRODUCT(SEARCH(MID(Metadata!B987,ROW(INDIRECT("1:"&amp;LEN(Metadata!B987))), 1),"0123456789abcdefghijklmnopqrstuvwxyzABCDEFGHIJKLMNOPQRSTUVWXYZ.")))))</f>
        <v>0</v>
      </c>
      <c r="AD987">
        <f>AND(IF(Metadata!C987="",FALSE,TRUE),exact(Metadata!C987,"Host-associated"))</f>
        <v>0</v>
      </c>
      <c r="AE987">
        <f>AND(IF(Metadata!D987="",FALSE,TRUE),OR(exact(Metadata!D987,"Animal"),exact(Metadata!D987,"Fungus"),exact(Metadata!D987,"Plant")))</f>
        <v>0</v>
      </c>
      <c r="AF987">
        <f>AND(IF(Metadata!E987="",FALSE,TRUE),OR(exact(Metadata!E987,"Plant secretion"),exact(Metadata!E987,"Plant rhizosphere"),exact(Metadata!E987,"Plant surface"),exact(Metadata!E987,"Plant corpus"),exact(Metadata!E987,"Fungus surface"),exact(Metadata!E987,"Fungus corpus"),exact(Metadata!E987,"Animal surface"),exact(Metadata!E987,"Animal proximal gut"),exact(Metadata!E987,"Animal corpus"),exact(Metadata!E987,"Animal distal gut"),exact(Metadata!E987,"Animal secretion")))</f>
        <v>0</v>
      </c>
      <c r="AG987">
        <f>OR(AND(IF(Metadata!F987="",FALSE,TRUE),OR(exact(Metadata!F987,"not collected"),exact(Metadata!F987,"not provided"),exact(Metadata!F987,"restricted access"))),AND(IF(Metadata!F987="",FALSE,TRUE),OR(exact(Metadata!F987,"organism-associated habitat"),exact(Metadata!F987,"plant-associated habitat"),exact(Metadata!F987,"animal-associated habitat"),exact(Metadata!F987,"insecta-associated habitat"),exact(Metadata!F987,"mammalia-associated habitat"),exact(Metadata!F987,"human-associated habitat"),exact(Metadata!F987,"livestock-associated habitat"))))</f>
        <v>0</v>
      </c>
      <c r="AH987">
        <f>AND(IF(Metadata!G987="",FALSE,TRUE),exact(Metadata!G987,"host-associated"))</f>
        <v>0</v>
      </c>
      <c r="AI987">
        <f>OR(AND(IF(Metadata!H987="",FALSE,TRUE),OR(exact(Metadata!H987,"not collected"),exact(Metadata!H987,"not provided"))),AND(IF(Metadata!H987="",FALSE,ISNUMBER(VALUE(Metadata!H987))),Metadata!H987&gt;0))</f>
        <v>0</v>
      </c>
      <c r="AJ987">
        <f>AND(IF(Metadata!I987="",FALSE,TRUE),exact(Metadata!I987,"years"))</f>
        <v>0</v>
      </c>
      <c r="AK987">
        <f>IF(Metadata!J987="",FALSE,TRUE)</f>
        <v>0</v>
      </c>
      <c r="AL987">
        <f>OR(AND(IF(Metadata!K987="",FALSE,TRUE),OR(exact(Metadata!K987,"not collected"),exact(Metadata!K987,"not provided"))),AND(IF(Metadata!K987="",FALSE,ISNUMBER(VALUE(Metadata!K987))),Metadata!K987&gt;0))</f>
        <v>0</v>
      </c>
      <c r="AM987">
        <f>AND(IF(Metadata!L987="",FALSE,TRUE),exact(Metadata!L987,"cm"))</f>
        <v>0</v>
      </c>
      <c r="AN987">
        <f>IF(Metadata!M987="",FALSE,TRUE)</f>
        <v>0</v>
      </c>
      <c r="AO987">
        <f>OR(AND(IF(Metadata!N987="",FALSE,TRUE),OR(exact(Metadata!N987,"not applicable"),exact(Metadata!N987,"not collected"),exact(Metadata!N987,"not provided"))),AND(IF(Metadata!N987="",FALSE,IF(ISERROR(INT(Metadata!N987)),FALSE,INT(Metadata!N987)=Metadata!N987)),Metadata!N987&gt;0))</f>
        <v>0</v>
      </c>
      <c r="AP987">
        <f>OR(AND(IF(Metadata!O987="",FALSE,TRUE),OR(exact(Metadata!O987,"not collected"),exact(Metadata!O987,"not provided"))),AND(IF(Metadata!O987="",FALSE,ISNUMBER(VALUE(Metadata!O987))),Metadata!O987&gt;0))</f>
        <v>0</v>
      </c>
      <c r="AQ987">
        <f>AND(IF(Metadata!P987="",FALSE,TRUE),exact(Metadata!P987,"kg"))</f>
        <v>0</v>
      </c>
      <c r="AR987">
        <f>OR(AND(IF(Metadata!Q987="",FALSE,TRUE),OR(exact(Metadata!Q987,"not applicable"),exact(Metadata!Q987,"not collected"),exact(Metadata!Q987,"not provided"),exact(Metadata!Q987,"restricted access"))),IF(Metadata!Q987="",FALSE,IF(ISERROR(INT(Metadata!Q987)),FALSE,INT(Metadata!Q987)=Metadata!Q987)))</f>
        <v>0</v>
      </c>
      <c r="AS987">
        <f>AND(IF(Metadata!R987="",FALSE,TRUE),exact(Metadata!R987,"Not applicable"))</f>
        <v>0</v>
      </c>
    </row>
    <row r="988" spans="1:45">
      <c r="A988" s="4">
        <f>IF(B988=" "," ",HYPERLINK(CONCATENATE("#metadata!",ADDRESS(INDEX($X$2:$X$1001,MATCH(ROWS($V$2:V988),$V$2:$V$1001,0),0),2)),INDEX($AA$2:$AA$1001,MATCH(ROWS($V$2:V988),$V$2:$V$1001,0),0)))</f>
        <v>0</v>
      </c>
      <c r="B988" s="5">
        <f>IF(OR(INDEX($W$2:$W$1001,MATCH(ROWS($V$2:V988),$V$2:$V$1001,0),1)&gt;=100000,INDEX($AC$1005:$AS$1005,1,MATCH(COLUMNS($AC$1006:AC1006),$AC$1006:$AS$1006,0))&gt;=100000), " ",IF(INDEX($AC$2:$AS$1001,MATCH(ROWS($V$2:V988),$V$2:$V$1001,0),MATCH(COLUMNS($AC$1006:AC1006),$AC$1006:$AS$1006,0)), HYPERLINK("#",""), HYPERLINK(CONCATENATE("#Metadata!", ADDRESS(INDEX($X$2:$X$1001,MATCH(ROWS($V$2:V988),$V$2:$V$1001,0),0), INDEX($AC$1004:$AS$1004,1,MATCH(COLUMNS($AC$1006:AC1006),$AC$1006:$AS$1006,0)))),"Fix")))</f>
        <v>0</v>
      </c>
      <c r="C988" s="5">
        <f>IF(OR(INDEX($W$2:$W$1001,MATCH(ROWS($V$2:V988),$V$2:$V$1001,0),1)&gt;=100000,INDEX($AC$1005:$AS$1005,1,MATCH(COLUMNS($AC$1006:AD1006),$AC$1006:$AS$1006,0))&gt;=100000), " ",IF(INDEX($AC$2:$AS$1001,MATCH(ROWS($V$2:V988),$V$2:$V$1001,0),MATCH(COLUMNS($AC$1006:AD1006),$AC$1006:$AS$1006,0)), HYPERLINK("#",""), HYPERLINK(CONCATENATE("#Metadata!", ADDRESS(INDEX($X$2:$X$1001,MATCH(ROWS($V$2:V988),$V$2:$V$1001,0),0), INDEX($AC$1004:$AS$1004,1,MATCH(COLUMNS($AC$1006:AD1006),$AC$1006:$AS$1006,0)))),"Fix")))</f>
        <v>0</v>
      </c>
      <c r="D988" s="5">
        <f>IF(OR(INDEX($W$2:$W$1001,MATCH(ROWS($V$2:V988),$V$2:$V$1001,0),1)&gt;=100000,INDEX($AC$1005:$AS$1005,1,MATCH(COLUMNS($AC$1006:AE1006),$AC$1006:$AS$1006,0))&gt;=100000), " ",IF(INDEX($AC$2:$AS$1001,MATCH(ROWS($V$2:V988),$V$2:$V$1001,0),MATCH(COLUMNS($AC$1006:AE1006),$AC$1006:$AS$1006,0)), HYPERLINK("#",""), HYPERLINK(CONCATENATE("#Metadata!", ADDRESS(INDEX($X$2:$X$1001,MATCH(ROWS($V$2:V988),$V$2:$V$1001,0),0), INDEX($AC$1004:$AS$1004,1,MATCH(COLUMNS($AC$1006:AE1006),$AC$1006:$AS$1006,0)))),"Fix")))</f>
        <v>0</v>
      </c>
      <c r="E988" s="5">
        <f>IF(OR(INDEX($W$2:$W$1001,MATCH(ROWS($V$2:V988),$V$2:$V$1001,0),1)&gt;=100000,INDEX($AC$1005:$AS$1005,1,MATCH(COLUMNS($AC$1006:AF1006),$AC$1006:$AS$1006,0))&gt;=100000), " ",IF(INDEX($AC$2:$AS$1001,MATCH(ROWS($V$2:V988),$V$2:$V$1001,0),MATCH(COLUMNS($AC$1006:AF1006),$AC$1006:$AS$1006,0)), HYPERLINK("#",""), HYPERLINK(CONCATENATE("#Metadata!", ADDRESS(INDEX($X$2:$X$1001,MATCH(ROWS($V$2:V988),$V$2:$V$1001,0),0), INDEX($AC$1004:$AS$1004,1,MATCH(COLUMNS($AC$1006:AF1006),$AC$1006:$AS$1006,0)))),"Fix")))</f>
        <v>0</v>
      </c>
      <c r="F988" s="5">
        <f>IF(OR(INDEX($W$2:$W$1001,MATCH(ROWS($V$2:V988),$V$2:$V$1001,0),1)&gt;=100000,INDEX($AC$1005:$AS$1005,1,MATCH(COLUMNS($AC$1006:AG1006),$AC$1006:$AS$1006,0))&gt;=100000), " ",IF(INDEX($AC$2:$AS$1001,MATCH(ROWS($V$2:V988),$V$2:$V$1001,0),MATCH(COLUMNS($AC$1006:AG1006),$AC$1006:$AS$1006,0)), HYPERLINK("#",""), HYPERLINK(CONCATENATE("#Metadata!", ADDRESS(INDEX($X$2:$X$1001,MATCH(ROWS($V$2:V988),$V$2:$V$1001,0),0), INDEX($AC$1004:$AS$1004,1,MATCH(COLUMNS($AC$1006:AG1006),$AC$1006:$AS$1006,0)))),"Fix")))</f>
        <v>0</v>
      </c>
      <c r="G988" s="5">
        <f>IF(OR(INDEX($W$2:$W$1001,MATCH(ROWS($V$2:V988),$V$2:$V$1001,0),1)&gt;=100000,INDEX($AC$1005:$AS$1005,1,MATCH(COLUMNS($AC$1006:AH1006),$AC$1006:$AS$1006,0))&gt;=100000), " ",IF(INDEX($AC$2:$AS$1001,MATCH(ROWS($V$2:V988),$V$2:$V$1001,0),MATCH(COLUMNS($AC$1006:AH1006),$AC$1006:$AS$1006,0)), HYPERLINK("#",""), HYPERLINK(CONCATENATE("#Metadata!", ADDRESS(INDEX($X$2:$X$1001,MATCH(ROWS($V$2:V988),$V$2:$V$1001,0),0), INDEX($AC$1004:$AS$1004,1,MATCH(COLUMNS($AC$1006:AH1006),$AC$1006:$AS$1006,0)))),"Fix")))</f>
        <v>0</v>
      </c>
      <c r="H988" s="5">
        <f>IF(OR(INDEX($W$2:$W$1001,MATCH(ROWS($V$2:V988),$V$2:$V$1001,0),1)&gt;=100000,INDEX($AC$1005:$AS$1005,1,MATCH(COLUMNS($AC$1006:AI1006),$AC$1006:$AS$1006,0))&gt;=100000), " ",IF(INDEX($AC$2:$AS$1001,MATCH(ROWS($V$2:V988),$V$2:$V$1001,0),MATCH(COLUMNS($AC$1006:AI1006),$AC$1006:$AS$1006,0)), HYPERLINK("#",""), HYPERLINK(CONCATENATE("#Metadata!", ADDRESS(INDEX($X$2:$X$1001,MATCH(ROWS($V$2:V988),$V$2:$V$1001,0),0), INDEX($AC$1004:$AS$1004,1,MATCH(COLUMNS($AC$1006:AI1006),$AC$1006:$AS$1006,0)))),"Fix")))</f>
        <v>0</v>
      </c>
      <c r="I988" s="5">
        <f>IF(OR(INDEX($W$2:$W$1001,MATCH(ROWS($V$2:V988),$V$2:$V$1001,0),1)&gt;=100000,INDEX($AC$1005:$AS$1005,1,MATCH(COLUMNS($AC$1006:AJ1006),$AC$1006:$AS$1006,0))&gt;=100000), " ",IF(INDEX($AC$2:$AS$1001,MATCH(ROWS($V$2:V988),$V$2:$V$1001,0),MATCH(COLUMNS($AC$1006:AJ1006),$AC$1006:$AS$1006,0)), HYPERLINK("#",""), HYPERLINK(CONCATENATE("#Metadata!", ADDRESS(INDEX($X$2:$X$1001,MATCH(ROWS($V$2:V988),$V$2:$V$1001,0),0), INDEX($AC$1004:$AS$1004,1,MATCH(COLUMNS($AC$1006:AJ1006),$AC$1006:$AS$1006,0)))),"Fix")))</f>
        <v>0</v>
      </c>
      <c r="J988" s="5">
        <f>IF(OR(INDEX($W$2:$W$1001,MATCH(ROWS($V$2:V988),$V$2:$V$1001,0),1)&gt;=100000,INDEX($AC$1005:$AS$1005,1,MATCH(COLUMNS($AC$1006:AK1006),$AC$1006:$AS$1006,0))&gt;=100000), " ",IF(INDEX($AC$2:$AS$1001,MATCH(ROWS($V$2:V988),$V$2:$V$1001,0),MATCH(COLUMNS($AC$1006:AK1006),$AC$1006:$AS$1006,0)), HYPERLINK("#",""), HYPERLINK(CONCATENATE("#Metadata!", ADDRESS(INDEX($X$2:$X$1001,MATCH(ROWS($V$2:V988),$V$2:$V$1001,0),0), INDEX($AC$1004:$AS$1004,1,MATCH(COLUMNS($AC$1006:AK1006),$AC$1006:$AS$1006,0)))),"Fix")))</f>
        <v>0</v>
      </c>
      <c r="K988" s="5">
        <f>IF(OR(INDEX($W$2:$W$1001,MATCH(ROWS($V$2:V988),$V$2:$V$1001,0),1)&gt;=100000,INDEX($AC$1005:$AS$1005,1,MATCH(COLUMNS($AC$1006:AL1006),$AC$1006:$AS$1006,0))&gt;=100000), " ",IF(INDEX($AC$2:$AS$1001,MATCH(ROWS($V$2:V988),$V$2:$V$1001,0),MATCH(COLUMNS($AC$1006:AL1006),$AC$1006:$AS$1006,0)), HYPERLINK("#",""), HYPERLINK(CONCATENATE("#Metadata!", ADDRESS(INDEX($X$2:$X$1001,MATCH(ROWS($V$2:V988),$V$2:$V$1001,0),0), INDEX($AC$1004:$AS$1004,1,MATCH(COLUMNS($AC$1006:AL1006),$AC$1006:$AS$1006,0)))),"Fix")))</f>
        <v>0</v>
      </c>
      <c r="L988" s="5">
        <f>IF(OR(INDEX($W$2:$W$1001,MATCH(ROWS($V$2:V988),$V$2:$V$1001,0),1)&gt;=100000,INDEX($AC$1005:$AS$1005,1,MATCH(COLUMNS($AC$1006:AM1006),$AC$1006:$AS$1006,0))&gt;=100000), " ",IF(INDEX($AC$2:$AS$1001,MATCH(ROWS($V$2:V988),$V$2:$V$1001,0),MATCH(COLUMNS($AC$1006:AM1006),$AC$1006:$AS$1006,0)), HYPERLINK("#",""), HYPERLINK(CONCATENATE("#Metadata!", ADDRESS(INDEX($X$2:$X$1001,MATCH(ROWS($V$2:V988),$V$2:$V$1001,0),0), INDEX($AC$1004:$AS$1004,1,MATCH(COLUMNS($AC$1006:AM1006),$AC$1006:$AS$1006,0)))),"Fix")))</f>
        <v>0</v>
      </c>
      <c r="M988" s="5">
        <f>IF(OR(INDEX($W$2:$W$1001,MATCH(ROWS($V$2:V988),$V$2:$V$1001,0),1)&gt;=100000,INDEX($AC$1005:$AS$1005,1,MATCH(COLUMNS($AC$1006:AN1006),$AC$1006:$AS$1006,0))&gt;=100000), " ",IF(INDEX($AC$2:$AS$1001,MATCH(ROWS($V$2:V988),$V$2:$V$1001,0),MATCH(COLUMNS($AC$1006:AN1006),$AC$1006:$AS$1006,0)), HYPERLINK("#",""), HYPERLINK(CONCATENATE("#Metadata!", ADDRESS(INDEX($X$2:$X$1001,MATCH(ROWS($V$2:V988),$V$2:$V$1001,0),0), INDEX($AC$1004:$AS$1004,1,MATCH(COLUMNS($AC$1006:AN1006),$AC$1006:$AS$1006,0)))),"Fix")))</f>
        <v>0</v>
      </c>
      <c r="N988" s="5">
        <f>IF(OR(INDEX($W$2:$W$1001,MATCH(ROWS($V$2:V988),$V$2:$V$1001,0),1)&gt;=100000,INDEX($AC$1005:$AS$1005,1,MATCH(COLUMNS($AC$1006:AO1006),$AC$1006:$AS$1006,0))&gt;=100000), " ",IF(INDEX($AC$2:$AS$1001,MATCH(ROWS($V$2:V988),$V$2:$V$1001,0),MATCH(COLUMNS($AC$1006:AO1006),$AC$1006:$AS$1006,0)), HYPERLINK("#",""), HYPERLINK(CONCATENATE("#Metadata!", ADDRESS(INDEX($X$2:$X$1001,MATCH(ROWS($V$2:V988),$V$2:$V$1001,0),0), INDEX($AC$1004:$AS$1004,1,MATCH(COLUMNS($AC$1006:AO1006),$AC$1006:$AS$1006,0)))),"Fix")))</f>
        <v>0</v>
      </c>
      <c r="O988" s="5">
        <f>IF(OR(INDEX($W$2:$W$1001,MATCH(ROWS($V$2:V988),$V$2:$V$1001,0),1)&gt;=100000,INDEX($AC$1005:$AS$1005,1,MATCH(COLUMNS($AC$1006:AP1006),$AC$1006:$AS$1006,0))&gt;=100000), " ",IF(INDEX($AC$2:$AS$1001,MATCH(ROWS($V$2:V988),$V$2:$V$1001,0),MATCH(COLUMNS($AC$1006:AP1006),$AC$1006:$AS$1006,0)), HYPERLINK("#",""), HYPERLINK(CONCATENATE("#Metadata!", ADDRESS(INDEX($X$2:$X$1001,MATCH(ROWS($V$2:V988),$V$2:$V$1001,0),0), INDEX($AC$1004:$AS$1004,1,MATCH(COLUMNS($AC$1006:AP1006),$AC$1006:$AS$1006,0)))),"Fix")))</f>
        <v>0</v>
      </c>
      <c r="P988" s="5">
        <f>IF(OR(INDEX($W$2:$W$1001,MATCH(ROWS($V$2:V988),$V$2:$V$1001,0),1)&gt;=100000,INDEX($AC$1005:$AS$1005,1,MATCH(COLUMNS($AC$1006:AQ1006),$AC$1006:$AS$1006,0))&gt;=100000), " ",IF(INDEX($AC$2:$AS$1001,MATCH(ROWS($V$2:V988),$V$2:$V$1001,0),MATCH(COLUMNS($AC$1006:AQ1006),$AC$1006:$AS$1006,0)), HYPERLINK("#",""), HYPERLINK(CONCATENATE("#Metadata!", ADDRESS(INDEX($X$2:$X$1001,MATCH(ROWS($V$2:V988),$V$2:$V$1001,0),0), INDEX($AC$1004:$AS$1004,1,MATCH(COLUMNS($AC$1006:AQ1006),$AC$1006:$AS$1006,0)))),"Fix")))</f>
        <v>0</v>
      </c>
      <c r="Q988" s="5">
        <f>IF(OR(INDEX($W$2:$W$1001,MATCH(ROWS($V$2:V988),$V$2:$V$1001,0),1)&gt;=100000,INDEX($AC$1005:$AS$1005,1,MATCH(COLUMNS($AC$1006:AR1006),$AC$1006:$AS$1006,0))&gt;=100000), " ",IF(INDEX($AC$2:$AS$1001,MATCH(ROWS($V$2:V988),$V$2:$V$1001,0),MATCH(COLUMNS($AC$1006:AR1006),$AC$1006:$AS$1006,0)), HYPERLINK("#",""), HYPERLINK(CONCATENATE("#Metadata!", ADDRESS(INDEX($X$2:$X$1001,MATCH(ROWS($V$2:V988),$V$2:$V$1001,0),0), INDEX($AC$1004:$AS$1004,1,MATCH(COLUMNS($AC$1006:AR1006),$AC$1006:$AS$1006,0)))),"Fix")))</f>
        <v>0</v>
      </c>
      <c r="R988" s="5">
        <f>IF(OR(INDEX($W$2:$W$1001,MATCH(ROWS($V$2:V988),$V$2:$V$1001,0),1)&gt;=100000,INDEX($AC$1005:$AS$1005,1,MATCH(COLUMNS($AC$1006:AS1006),$AC$1006:$AS$1006,0))&gt;=100000), " ",IF(INDEX($AC$2:$AS$1001,MATCH(ROWS($V$2:V988),$V$2:$V$1001,0),MATCH(COLUMNS($AC$1006:AS1006),$AC$1006:$AS$1006,0)), HYPERLINK("#",""), HYPERLINK(CONCATENATE("#Metadata!", ADDRESS(INDEX($X$2:$X$1001,MATCH(ROWS($V$2:V988),$V$2:$V$1001,0),0), INDEX($AC$1004:$AS$1004,1,MATCH(COLUMNS($AC$1006:AS1006),$AC$1006:$AS$1006,0)))),"Fix")))</f>
        <v>0</v>
      </c>
      <c r="V988">
        <v>0</v>
      </c>
      <c r="W988">
        <v>0</v>
      </c>
      <c r="X988">
        <v>0</v>
      </c>
      <c r="Y988">
        <f>IF(Z988,TRUE,AND(AC988:AS988))</f>
        <v>0</v>
      </c>
      <c r="Z988">
        <f>COUNTBLANK(Metadata!B988:R988)=COLUMNS(Metadata!B988:R988)</f>
        <v>0</v>
      </c>
      <c r="AA988">
        <v>0</v>
      </c>
      <c r="AC988">
        <f>AND(IF(Metadata!B988="",FALSE,TRUE),COUNTIF(Metadata!B:B, Metadata!B988) = 1,NOT(ISERROR(SUMPRODUCT(SEARCH(MID(Metadata!B988,ROW(INDIRECT("1:"&amp;LEN(Metadata!B988))), 1),"0123456789abcdefghijklmnopqrstuvwxyzABCDEFGHIJKLMNOPQRSTUVWXYZ.")))))</f>
        <v>0</v>
      </c>
      <c r="AD988">
        <f>AND(IF(Metadata!C988="",FALSE,TRUE),exact(Metadata!C988,"Host-associated"))</f>
        <v>0</v>
      </c>
      <c r="AE988">
        <f>AND(IF(Metadata!D988="",FALSE,TRUE),OR(exact(Metadata!D988,"Animal"),exact(Metadata!D988,"Fungus"),exact(Metadata!D988,"Plant")))</f>
        <v>0</v>
      </c>
      <c r="AF988">
        <f>AND(IF(Metadata!E988="",FALSE,TRUE),OR(exact(Metadata!E988,"Plant secretion"),exact(Metadata!E988,"Plant rhizosphere"),exact(Metadata!E988,"Plant surface"),exact(Metadata!E988,"Plant corpus"),exact(Metadata!E988,"Fungus surface"),exact(Metadata!E988,"Fungus corpus"),exact(Metadata!E988,"Animal surface"),exact(Metadata!E988,"Animal proximal gut"),exact(Metadata!E988,"Animal corpus"),exact(Metadata!E988,"Animal distal gut"),exact(Metadata!E988,"Animal secretion")))</f>
        <v>0</v>
      </c>
      <c r="AG988">
        <f>OR(AND(IF(Metadata!F988="",FALSE,TRUE),OR(exact(Metadata!F988,"not collected"),exact(Metadata!F988,"not provided"),exact(Metadata!F988,"restricted access"))),AND(IF(Metadata!F988="",FALSE,TRUE),OR(exact(Metadata!F988,"organism-associated habitat"),exact(Metadata!F988,"plant-associated habitat"),exact(Metadata!F988,"animal-associated habitat"),exact(Metadata!F988,"insecta-associated habitat"),exact(Metadata!F988,"mammalia-associated habitat"),exact(Metadata!F988,"human-associated habitat"),exact(Metadata!F988,"livestock-associated habitat"))))</f>
        <v>0</v>
      </c>
      <c r="AH988">
        <f>AND(IF(Metadata!G988="",FALSE,TRUE),exact(Metadata!G988,"host-associated"))</f>
        <v>0</v>
      </c>
      <c r="AI988">
        <f>OR(AND(IF(Metadata!H988="",FALSE,TRUE),OR(exact(Metadata!H988,"not collected"),exact(Metadata!H988,"not provided"))),AND(IF(Metadata!H988="",FALSE,ISNUMBER(VALUE(Metadata!H988))),Metadata!H988&gt;0))</f>
        <v>0</v>
      </c>
      <c r="AJ988">
        <f>AND(IF(Metadata!I988="",FALSE,TRUE),exact(Metadata!I988,"years"))</f>
        <v>0</v>
      </c>
      <c r="AK988">
        <f>IF(Metadata!J988="",FALSE,TRUE)</f>
        <v>0</v>
      </c>
      <c r="AL988">
        <f>OR(AND(IF(Metadata!K988="",FALSE,TRUE),OR(exact(Metadata!K988,"not collected"),exact(Metadata!K988,"not provided"))),AND(IF(Metadata!K988="",FALSE,ISNUMBER(VALUE(Metadata!K988))),Metadata!K988&gt;0))</f>
        <v>0</v>
      </c>
      <c r="AM988">
        <f>AND(IF(Metadata!L988="",FALSE,TRUE),exact(Metadata!L988,"cm"))</f>
        <v>0</v>
      </c>
      <c r="AN988">
        <f>IF(Metadata!M988="",FALSE,TRUE)</f>
        <v>0</v>
      </c>
      <c r="AO988">
        <f>OR(AND(IF(Metadata!N988="",FALSE,TRUE),OR(exact(Metadata!N988,"not applicable"),exact(Metadata!N988,"not collected"),exact(Metadata!N988,"not provided"))),AND(IF(Metadata!N988="",FALSE,IF(ISERROR(INT(Metadata!N988)),FALSE,INT(Metadata!N988)=Metadata!N988)),Metadata!N988&gt;0))</f>
        <v>0</v>
      </c>
      <c r="AP988">
        <f>OR(AND(IF(Metadata!O988="",FALSE,TRUE),OR(exact(Metadata!O988,"not collected"),exact(Metadata!O988,"not provided"))),AND(IF(Metadata!O988="",FALSE,ISNUMBER(VALUE(Metadata!O988))),Metadata!O988&gt;0))</f>
        <v>0</v>
      </c>
      <c r="AQ988">
        <f>AND(IF(Metadata!P988="",FALSE,TRUE),exact(Metadata!P988,"kg"))</f>
        <v>0</v>
      </c>
      <c r="AR988">
        <f>OR(AND(IF(Metadata!Q988="",FALSE,TRUE),OR(exact(Metadata!Q988,"not applicable"),exact(Metadata!Q988,"not collected"),exact(Metadata!Q988,"not provided"),exact(Metadata!Q988,"restricted access"))),IF(Metadata!Q988="",FALSE,IF(ISERROR(INT(Metadata!Q988)),FALSE,INT(Metadata!Q988)=Metadata!Q988)))</f>
        <v>0</v>
      </c>
      <c r="AS988">
        <f>AND(IF(Metadata!R988="",FALSE,TRUE),exact(Metadata!R988,"Not applicable"))</f>
        <v>0</v>
      </c>
    </row>
    <row r="989" spans="1:45">
      <c r="A989" s="4">
        <f>IF(B989=" "," ",HYPERLINK(CONCATENATE("#metadata!",ADDRESS(INDEX($X$2:$X$1001,MATCH(ROWS($V$2:V989),$V$2:$V$1001,0),0),2)),INDEX($AA$2:$AA$1001,MATCH(ROWS($V$2:V989),$V$2:$V$1001,0),0)))</f>
        <v>0</v>
      </c>
      <c r="B989" s="5">
        <f>IF(OR(INDEX($W$2:$W$1001,MATCH(ROWS($V$2:V989),$V$2:$V$1001,0),1)&gt;=100000,INDEX($AC$1005:$AS$1005,1,MATCH(COLUMNS($AC$1006:AC1006),$AC$1006:$AS$1006,0))&gt;=100000), " ",IF(INDEX($AC$2:$AS$1001,MATCH(ROWS($V$2:V989),$V$2:$V$1001,0),MATCH(COLUMNS($AC$1006:AC1006),$AC$1006:$AS$1006,0)), HYPERLINK("#",""), HYPERLINK(CONCATENATE("#Metadata!", ADDRESS(INDEX($X$2:$X$1001,MATCH(ROWS($V$2:V989),$V$2:$V$1001,0),0), INDEX($AC$1004:$AS$1004,1,MATCH(COLUMNS($AC$1006:AC1006),$AC$1006:$AS$1006,0)))),"Fix")))</f>
        <v>0</v>
      </c>
      <c r="C989" s="5">
        <f>IF(OR(INDEX($W$2:$W$1001,MATCH(ROWS($V$2:V989),$V$2:$V$1001,0),1)&gt;=100000,INDEX($AC$1005:$AS$1005,1,MATCH(COLUMNS($AC$1006:AD1006),$AC$1006:$AS$1006,0))&gt;=100000), " ",IF(INDEX($AC$2:$AS$1001,MATCH(ROWS($V$2:V989),$V$2:$V$1001,0),MATCH(COLUMNS($AC$1006:AD1006),$AC$1006:$AS$1006,0)), HYPERLINK("#",""), HYPERLINK(CONCATENATE("#Metadata!", ADDRESS(INDEX($X$2:$X$1001,MATCH(ROWS($V$2:V989),$V$2:$V$1001,0),0), INDEX($AC$1004:$AS$1004,1,MATCH(COLUMNS($AC$1006:AD1006),$AC$1006:$AS$1006,0)))),"Fix")))</f>
        <v>0</v>
      </c>
      <c r="D989" s="5">
        <f>IF(OR(INDEX($W$2:$W$1001,MATCH(ROWS($V$2:V989),$V$2:$V$1001,0),1)&gt;=100000,INDEX($AC$1005:$AS$1005,1,MATCH(COLUMNS($AC$1006:AE1006),$AC$1006:$AS$1006,0))&gt;=100000), " ",IF(INDEX($AC$2:$AS$1001,MATCH(ROWS($V$2:V989),$V$2:$V$1001,0),MATCH(COLUMNS($AC$1006:AE1006),$AC$1006:$AS$1006,0)), HYPERLINK("#",""), HYPERLINK(CONCATENATE("#Metadata!", ADDRESS(INDEX($X$2:$X$1001,MATCH(ROWS($V$2:V989),$V$2:$V$1001,0),0), INDEX($AC$1004:$AS$1004,1,MATCH(COLUMNS($AC$1006:AE1006),$AC$1006:$AS$1006,0)))),"Fix")))</f>
        <v>0</v>
      </c>
      <c r="E989" s="5">
        <f>IF(OR(INDEX($W$2:$W$1001,MATCH(ROWS($V$2:V989),$V$2:$V$1001,0),1)&gt;=100000,INDEX($AC$1005:$AS$1005,1,MATCH(COLUMNS($AC$1006:AF1006),$AC$1006:$AS$1006,0))&gt;=100000), " ",IF(INDEX($AC$2:$AS$1001,MATCH(ROWS($V$2:V989),$V$2:$V$1001,0),MATCH(COLUMNS($AC$1006:AF1006),$AC$1006:$AS$1006,0)), HYPERLINK("#",""), HYPERLINK(CONCATENATE("#Metadata!", ADDRESS(INDEX($X$2:$X$1001,MATCH(ROWS($V$2:V989),$V$2:$V$1001,0),0), INDEX($AC$1004:$AS$1004,1,MATCH(COLUMNS($AC$1006:AF1006),$AC$1006:$AS$1006,0)))),"Fix")))</f>
        <v>0</v>
      </c>
      <c r="F989" s="5">
        <f>IF(OR(INDEX($W$2:$W$1001,MATCH(ROWS($V$2:V989),$V$2:$V$1001,0),1)&gt;=100000,INDEX($AC$1005:$AS$1005,1,MATCH(COLUMNS($AC$1006:AG1006),$AC$1006:$AS$1006,0))&gt;=100000), " ",IF(INDEX($AC$2:$AS$1001,MATCH(ROWS($V$2:V989),$V$2:$V$1001,0),MATCH(COLUMNS($AC$1006:AG1006),$AC$1006:$AS$1006,0)), HYPERLINK("#",""), HYPERLINK(CONCATENATE("#Metadata!", ADDRESS(INDEX($X$2:$X$1001,MATCH(ROWS($V$2:V989),$V$2:$V$1001,0),0), INDEX($AC$1004:$AS$1004,1,MATCH(COLUMNS($AC$1006:AG1006),$AC$1006:$AS$1006,0)))),"Fix")))</f>
        <v>0</v>
      </c>
      <c r="G989" s="5">
        <f>IF(OR(INDEX($W$2:$W$1001,MATCH(ROWS($V$2:V989),$V$2:$V$1001,0),1)&gt;=100000,INDEX($AC$1005:$AS$1005,1,MATCH(COLUMNS($AC$1006:AH1006),$AC$1006:$AS$1006,0))&gt;=100000), " ",IF(INDEX($AC$2:$AS$1001,MATCH(ROWS($V$2:V989),$V$2:$V$1001,0),MATCH(COLUMNS($AC$1006:AH1006),$AC$1006:$AS$1006,0)), HYPERLINK("#",""), HYPERLINK(CONCATENATE("#Metadata!", ADDRESS(INDEX($X$2:$X$1001,MATCH(ROWS($V$2:V989),$V$2:$V$1001,0),0), INDEX($AC$1004:$AS$1004,1,MATCH(COLUMNS($AC$1006:AH1006),$AC$1006:$AS$1006,0)))),"Fix")))</f>
        <v>0</v>
      </c>
      <c r="H989" s="5">
        <f>IF(OR(INDEX($W$2:$W$1001,MATCH(ROWS($V$2:V989),$V$2:$V$1001,0),1)&gt;=100000,INDEX($AC$1005:$AS$1005,1,MATCH(COLUMNS($AC$1006:AI1006),$AC$1006:$AS$1006,0))&gt;=100000), " ",IF(INDEX($AC$2:$AS$1001,MATCH(ROWS($V$2:V989),$V$2:$V$1001,0),MATCH(COLUMNS($AC$1006:AI1006),$AC$1006:$AS$1006,0)), HYPERLINK("#",""), HYPERLINK(CONCATENATE("#Metadata!", ADDRESS(INDEX($X$2:$X$1001,MATCH(ROWS($V$2:V989),$V$2:$V$1001,0),0), INDEX($AC$1004:$AS$1004,1,MATCH(COLUMNS($AC$1006:AI1006),$AC$1006:$AS$1006,0)))),"Fix")))</f>
        <v>0</v>
      </c>
      <c r="I989" s="5">
        <f>IF(OR(INDEX($W$2:$W$1001,MATCH(ROWS($V$2:V989),$V$2:$V$1001,0),1)&gt;=100000,INDEX($AC$1005:$AS$1005,1,MATCH(COLUMNS($AC$1006:AJ1006),$AC$1006:$AS$1006,0))&gt;=100000), " ",IF(INDEX($AC$2:$AS$1001,MATCH(ROWS($V$2:V989),$V$2:$V$1001,0),MATCH(COLUMNS($AC$1006:AJ1006),$AC$1006:$AS$1006,0)), HYPERLINK("#",""), HYPERLINK(CONCATENATE("#Metadata!", ADDRESS(INDEX($X$2:$X$1001,MATCH(ROWS($V$2:V989),$V$2:$V$1001,0),0), INDEX($AC$1004:$AS$1004,1,MATCH(COLUMNS($AC$1006:AJ1006),$AC$1006:$AS$1006,0)))),"Fix")))</f>
        <v>0</v>
      </c>
      <c r="J989" s="5">
        <f>IF(OR(INDEX($W$2:$W$1001,MATCH(ROWS($V$2:V989),$V$2:$V$1001,0),1)&gt;=100000,INDEX($AC$1005:$AS$1005,1,MATCH(COLUMNS($AC$1006:AK1006),$AC$1006:$AS$1006,0))&gt;=100000), " ",IF(INDEX($AC$2:$AS$1001,MATCH(ROWS($V$2:V989),$V$2:$V$1001,0),MATCH(COLUMNS($AC$1006:AK1006),$AC$1006:$AS$1006,0)), HYPERLINK("#",""), HYPERLINK(CONCATENATE("#Metadata!", ADDRESS(INDEX($X$2:$X$1001,MATCH(ROWS($V$2:V989),$V$2:$V$1001,0),0), INDEX($AC$1004:$AS$1004,1,MATCH(COLUMNS($AC$1006:AK1006),$AC$1006:$AS$1006,0)))),"Fix")))</f>
        <v>0</v>
      </c>
      <c r="K989" s="5">
        <f>IF(OR(INDEX($W$2:$W$1001,MATCH(ROWS($V$2:V989),$V$2:$V$1001,0),1)&gt;=100000,INDEX($AC$1005:$AS$1005,1,MATCH(COLUMNS($AC$1006:AL1006),$AC$1006:$AS$1006,0))&gt;=100000), " ",IF(INDEX($AC$2:$AS$1001,MATCH(ROWS($V$2:V989),$V$2:$V$1001,0),MATCH(COLUMNS($AC$1006:AL1006),$AC$1006:$AS$1006,0)), HYPERLINK("#",""), HYPERLINK(CONCATENATE("#Metadata!", ADDRESS(INDEX($X$2:$X$1001,MATCH(ROWS($V$2:V989),$V$2:$V$1001,0),0), INDEX($AC$1004:$AS$1004,1,MATCH(COLUMNS($AC$1006:AL1006),$AC$1006:$AS$1006,0)))),"Fix")))</f>
        <v>0</v>
      </c>
      <c r="L989" s="5">
        <f>IF(OR(INDEX($W$2:$W$1001,MATCH(ROWS($V$2:V989),$V$2:$V$1001,0),1)&gt;=100000,INDEX($AC$1005:$AS$1005,1,MATCH(COLUMNS($AC$1006:AM1006),$AC$1006:$AS$1006,0))&gt;=100000), " ",IF(INDEX($AC$2:$AS$1001,MATCH(ROWS($V$2:V989),$V$2:$V$1001,0),MATCH(COLUMNS($AC$1006:AM1006),$AC$1006:$AS$1006,0)), HYPERLINK("#",""), HYPERLINK(CONCATENATE("#Metadata!", ADDRESS(INDEX($X$2:$X$1001,MATCH(ROWS($V$2:V989),$V$2:$V$1001,0),0), INDEX($AC$1004:$AS$1004,1,MATCH(COLUMNS($AC$1006:AM1006),$AC$1006:$AS$1006,0)))),"Fix")))</f>
        <v>0</v>
      </c>
      <c r="M989" s="5">
        <f>IF(OR(INDEX($W$2:$W$1001,MATCH(ROWS($V$2:V989),$V$2:$V$1001,0),1)&gt;=100000,INDEX($AC$1005:$AS$1005,1,MATCH(COLUMNS($AC$1006:AN1006),$AC$1006:$AS$1006,0))&gt;=100000), " ",IF(INDEX($AC$2:$AS$1001,MATCH(ROWS($V$2:V989),$V$2:$V$1001,0),MATCH(COLUMNS($AC$1006:AN1006),$AC$1006:$AS$1006,0)), HYPERLINK("#",""), HYPERLINK(CONCATENATE("#Metadata!", ADDRESS(INDEX($X$2:$X$1001,MATCH(ROWS($V$2:V989),$V$2:$V$1001,0),0), INDEX($AC$1004:$AS$1004,1,MATCH(COLUMNS($AC$1006:AN1006),$AC$1006:$AS$1006,0)))),"Fix")))</f>
        <v>0</v>
      </c>
      <c r="N989" s="5">
        <f>IF(OR(INDEX($W$2:$W$1001,MATCH(ROWS($V$2:V989),$V$2:$V$1001,0),1)&gt;=100000,INDEX($AC$1005:$AS$1005,1,MATCH(COLUMNS($AC$1006:AO1006),$AC$1006:$AS$1006,0))&gt;=100000), " ",IF(INDEX($AC$2:$AS$1001,MATCH(ROWS($V$2:V989),$V$2:$V$1001,0),MATCH(COLUMNS($AC$1006:AO1006),$AC$1006:$AS$1006,0)), HYPERLINK("#",""), HYPERLINK(CONCATENATE("#Metadata!", ADDRESS(INDEX($X$2:$X$1001,MATCH(ROWS($V$2:V989),$V$2:$V$1001,0),0), INDEX($AC$1004:$AS$1004,1,MATCH(COLUMNS($AC$1006:AO1006),$AC$1006:$AS$1006,0)))),"Fix")))</f>
        <v>0</v>
      </c>
      <c r="O989" s="5">
        <f>IF(OR(INDEX($W$2:$W$1001,MATCH(ROWS($V$2:V989),$V$2:$V$1001,0),1)&gt;=100000,INDEX($AC$1005:$AS$1005,1,MATCH(COLUMNS($AC$1006:AP1006),$AC$1006:$AS$1006,0))&gt;=100000), " ",IF(INDEX($AC$2:$AS$1001,MATCH(ROWS($V$2:V989),$V$2:$V$1001,0),MATCH(COLUMNS($AC$1006:AP1006),$AC$1006:$AS$1006,0)), HYPERLINK("#",""), HYPERLINK(CONCATENATE("#Metadata!", ADDRESS(INDEX($X$2:$X$1001,MATCH(ROWS($V$2:V989),$V$2:$V$1001,0),0), INDEX($AC$1004:$AS$1004,1,MATCH(COLUMNS($AC$1006:AP1006),$AC$1006:$AS$1006,0)))),"Fix")))</f>
        <v>0</v>
      </c>
      <c r="P989" s="5">
        <f>IF(OR(INDEX($W$2:$W$1001,MATCH(ROWS($V$2:V989),$V$2:$V$1001,0),1)&gt;=100000,INDEX($AC$1005:$AS$1005,1,MATCH(COLUMNS($AC$1006:AQ1006),$AC$1006:$AS$1006,0))&gt;=100000), " ",IF(INDEX($AC$2:$AS$1001,MATCH(ROWS($V$2:V989),$V$2:$V$1001,0),MATCH(COLUMNS($AC$1006:AQ1006),$AC$1006:$AS$1006,0)), HYPERLINK("#",""), HYPERLINK(CONCATENATE("#Metadata!", ADDRESS(INDEX($X$2:$X$1001,MATCH(ROWS($V$2:V989),$V$2:$V$1001,0),0), INDEX($AC$1004:$AS$1004,1,MATCH(COLUMNS($AC$1006:AQ1006),$AC$1006:$AS$1006,0)))),"Fix")))</f>
        <v>0</v>
      </c>
      <c r="Q989" s="5">
        <f>IF(OR(INDEX($W$2:$W$1001,MATCH(ROWS($V$2:V989),$V$2:$V$1001,0),1)&gt;=100000,INDEX($AC$1005:$AS$1005,1,MATCH(COLUMNS($AC$1006:AR1006),$AC$1006:$AS$1006,0))&gt;=100000), " ",IF(INDEX($AC$2:$AS$1001,MATCH(ROWS($V$2:V989),$V$2:$V$1001,0),MATCH(COLUMNS($AC$1006:AR1006),$AC$1006:$AS$1006,0)), HYPERLINK("#",""), HYPERLINK(CONCATENATE("#Metadata!", ADDRESS(INDEX($X$2:$X$1001,MATCH(ROWS($V$2:V989),$V$2:$V$1001,0),0), INDEX($AC$1004:$AS$1004,1,MATCH(COLUMNS($AC$1006:AR1006),$AC$1006:$AS$1006,0)))),"Fix")))</f>
        <v>0</v>
      </c>
      <c r="R989" s="5">
        <f>IF(OR(INDEX($W$2:$W$1001,MATCH(ROWS($V$2:V989),$V$2:$V$1001,0),1)&gt;=100000,INDEX($AC$1005:$AS$1005,1,MATCH(COLUMNS($AC$1006:AS1006),$AC$1006:$AS$1006,0))&gt;=100000), " ",IF(INDEX($AC$2:$AS$1001,MATCH(ROWS($V$2:V989),$V$2:$V$1001,0),MATCH(COLUMNS($AC$1006:AS1006),$AC$1006:$AS$1006,0)), HYPERLINK("#",""), HYPERLINK(CONCATENATE("#Metadata!", ADDRESS(INDEX($X$2:$X$1001,MATCH(ROWS($V$2:V989),$V$2:$V$1001,0),0), INDEX($AC$1004:$AS$1004,1,MATCH(COLUMNS($AC$1006:AS1006),$AC$1006:$AS$1006,0)))),"Fix")))</f>
        <v>0</v>
      </c>
      <c r="V989">
        <v>0</v>
      </c>
      <c r="W989">
        <v>0</v>
      </c>
      <c r="X989">
        <v>0</v>
      </c>
      <c r="Y989">
        <f>IF(Z989,TRUE,AND(AC989:AS989))</f>
        <v>0</v>
      </c>
      <c r="Z989">
        <f>COUNTBLANK(Metadata!B989:R989)=COLUMNS(Metadata!B989:R989)</f>
        <v>0</v>
      </c>
      <c r="AA989">
        <v>0</v>
      </c>
      <c r="AC989">
        <f>AND(IF(Metadata!B989="",FALSE,TRUE),COUNTIF(Metadata!B:B, Metadata!B989) = 1,NOT(ISERROR(SUMPRODUCT(SEARCH(MID(Metadata!B989,ROW(INDIRECT("1:"&amp;LEN(Metadata!B989))), 1),"0123456789abcdefghijklmnopqrstuvwxyzABCDEFGHIJKLMNOPQRSTUVWXYZ.")))))</f>
        <v>0</v>
      </c>
      <c r="AD989">
        <f>AND(IF(Metadata!C989="",FALSE,TRUE),exact(Metadata!C989,"Host-associated"))</f>
        <v>0</v>
      </c>
      <c r="AE989">
        <f>AND(IF(Metadata!D989="",FALSE,TRUE),OR(exact(Metadata!D989,"Animal"),exact(Metadata!D989,"Fungus"),exact(Metadata!D989,"Plant")))</f>
        <v>0</v>
      </c>
      <c r="AF989">
        <f>AND(IF(Metadata!E989="",FALSE,TRUE),OR(exact(Metadata!E989,"Plant secretion"),exact(Metadata!E989,"Plant rhizosphere"),exact(Metadata!E989,"Plant surface"),exact(Metadata!E989,"Plant corpus"),exact(Metadata!E989,"Fungus surface"),exact(Metadata!E989,"Fungus corpus"),exact(Metadata!E989,"Animal surface"),exact(Metadata!E989,"Animal proximal gut"),exact(Metadata!E989,"Animal corpus"),exact(Metadata!E989,"Animal distal gut"),exact(Metadata!E989,"Animal secretion")))</f>
        <v>0</v>
      </c>
      <c r="AG989">
        <f>OR(AND(IF(Metadata!F989="",FALSE,TRUE),OR(exact(Metadata!F989,"not collected"),exact(Metadata!F989,"not provided"),exact(Metadata!F989,"restricted access"))),AND(IF(Metadata!F989="",FALSE,TRUE),OR(exact(Metadata!F989,"organism-associated habitat"),exact(Metadata!F989,"plant-associated habitat"),exact(Metadata!F989,"animal-associated habitat"),exact(Metadata!F989,"insecta-associated habitat"),exact(Metadata!F989,"mammalia-associated habitat"),exact(Metadata!F989,"human-associated habitat"),exact(Metadata!F989,"livestock-associated habitat"))))</f>
        <v>0</v>
      </c>
      <c r="AH989">
        <f>AND(IF(Metadata!G989="",FALSE,TRUE),exact(Metadata!G989,"host-associated"))</f>
        <v>0</v>
      </c>
      <c r="AI989">
        <f>OR(AND(IF(Metadata!H989="",FALSE,TRUE),OR(exact(Metadata!H989,"not collected"),exact(Metadata!H989,"not provided"))),AND(IF(Metadata!H989="",FALSE,ISNUMBER(VALUE(Metadata!H989))),Metadata!H989&gt;0))</f>
        <v>0</v>
      </c>
      <c r="AJ989">
        <f>AND(IF(Metadata!I989="",FALSE,TRUE),exact(Metadata!I989,"years"))</f>
        <v>0</v>
      </c>
      <c r="AK989">
        <f>IF(Metadata!J989="",FALSE,TRUE)</f>
        <v>0</v>
      </c>
      <c r="AL989">
        <f>OR(AND(IF(Metadata!K989="",FALSE,TRUE),OR(exact(Metadata!K989,"not collected"),exact(Metadata!K989,"not provided"))),AND(IF(Metadata!K989="",FALSE,ISNUMBER(VALUE(Metadata!K989))),Metadata!K989&gt;0))</f>
        <v>0</v>
      </c>
      <c r="AM989">
        <f>AND(IF(Metadata!L989="",FALSE,TRUE),exact(Metadata!L989,"cm"))</f>
        <v>0</v>
      </c>
      <c r="AN989">
        <f>IF(Metadata!M989="",FALSE,TRUE)</f>
        <v>0</v>
      </c>
      <c r="AO989">
        <f>OR(AND(IF(Metadata!N989="",FALSE,TRUE),OR(exact(Metadata!N989,"not applicable"),exact(Metadata!N989,"not collected"),exact(Metadata!N989,"not provided"))),AND(IF(Metadata!N989="",FALSE,IF(ISERROR(INT(Metadata!N989)),FALSE,INT(Metadata!N989)=Metadata!N989)),Metadata!N989&gt;0))</f>
        <v>0</v>
      </c>
      <c r="AP989">
        <f>OR(AND(IF(Metadata!O989="",FALSE,TRUE),OR(exact(Metadata!O989,"not collected"),exact(Metadata!O989,"not provided"))),AND(IF(Metadata!O989="",FALSE,ISNUMBER(VALUE(Metadata!O989))),Metadata!O989&gt;0))</f>
        <v>0</v>
      </c>
      <c r="AQ989">
        <f>AND(IF(Metadata!P989="",FALSE,TRUE),exact(Metadata!P989,"kg"))</f>
        <v>0</v>
      </c>
      <c r="AR989">
        <f>OR(AND(IF(Metadata!Q989="",FALSE,TRUE),OR(exact(Metadata!Q989,"not applicable"),exact(Metadata!Q989,"not collected"),exact(Metadata!Q989,"not provided"),exact(Metadata!Q989,"restricted access"))),IF(Metadata!Q989="",FALSE,IF(ISERROR(INT(Metadata!Q989)),FALSE,INT(Metadata!Q989)=Metadata!Q989)))</f>
        <v>0</v>
      </c>
      <c r="AS989">
        <f>AND(IF(Metadata!R989="",FALSE,TRUE),exact(Metadata!R989,"Not applicable"))</f>
        <v>0</v>
      </c>
    </row>
    <row r="990" spans="1:45">
      <c r="A990" s="4">
        <f>IF(B990=" "," ",HYPERLINK(CONCATENATE("#metadata!",ADDRESS(INDEX($X$2:$X$1001,MATCH(ROWS($V$2:V990),$V$2:$V$1001,0),0),2)),INDEX($AA$2:$AA$1001,MATCH(ROWS($V$2:V990),$V$2:$V$1001,0),0)))</f>
        <v>0</v>
      </c>
      <c r="B990" s="5">
        <f>IF(OR(INDEX($W$2:$W$1001,MATCH(ROWS($V$2:V990),$V$2:$V$1001,0),1)&gt;=100000,INDEX($AC$1005:$AS$1005,1,MATCH(COLUMNS($AC$1006:AC1006),$AC$1006:$AS$1006,0))&gt;=100000), " ",IF(INDEX($AC$2:$AS$1001,MATCH(ROWS($V$2:V990),$V$2:$V$1001,0),MATCH(COLUMNS($AC$1006:AC1006),$AC$1006:$AS$1006,0)), HYPERLINK("#",""), HYPERLINK(CONCATENATE("#Metadata!", ADDRESS(INDEX($X$2:$X$1001,MATCH(ROWS($V$2:V990),$V$2:$V$1001,0),0), INDEX($AC$1004:$AS$1004,1,MATCH(COLUMNS($AC$1006:AC1006),$AC$1006:$AS$1006,0)))),"Fix")))</f>
        <v>0</v>
      </c>
      <c r="C990" s="5">
        <f>IF(OR(INDEX($W$2:$W$1001,MATCH(ROWS($V$2:V990),$V$2:$V$1001,0),1)&gt;=100000,INDEX($AC$1005:$AS$1005,1,MATCH(COLUMNS($AC$1006:AD1006),$AC$1006:$AS$1006,0))&gt;=100000), " ",IF(INDEX($AC$2:$AS$1001,MATCH(ROWS($V$2:V990),$V$2:$V$1001,0),MATCH(COLUMNS($AC$1006:AD1006),$AC$1006:$AS$1006,0)), HYPERLINK("#",""), HYPERLINK(CONCATENATE("#Metadata!", ADDRESS(INDEX($X$2:$X$1001,MATCH(ROWS($V$2:V990),$V$2:$V$1001,0),0), INDEX($AC$1004:$AS$1004,1,MATCH(COLUMNS($AC$1006:AD1006),$AC$1006:$AS$1006,0)))),"Fix")))</f>
        <v>0</v>
      </c>
      <c r="D990" s="5">
        <f>IF(OR(INDEX($W$2:$W$1001,MATCH(ROWS($V$2:V990),$V$2:$V$1001,0),1)&gt;=100000,INDEX($AC$1005:$AS$1005,1,MATCH(COLUMNS($AC$1006:AE1006),$AC$1006:$AS$1006,0))&gt;=100000), " ",IF(INDEX($AC$2:$AS$1001,MATCH(ROWS($V$2:V990),$V$2:$V$1001,0),MATCH(COLUMNS($AC$1006:AE1006),$AC$1006:$AS$1006,0)), HYPERLINK("#",""), HYPERLINK(CONCATENATE("#Metadata!", ADDRESS(INDEX($X$2:$X$1001,MATCH(ROWS($V$2:V990),$V$2:$V$1001,0),0), INDEX($AC$1004:$AS$1004,1,MATCH(COLUMNS($AC$1006:AE1006),$AC$1006:$AS$1006,0)))),"Fix")))</f>
        <v>0</v>
      </c>
      <c r="E990" s="5">
        <f>IF(OR(INDEX($W$2:$W$1001,MATCH(ROWS($V$2:V990),$V$2:$V$1001,0),1)&gt;=100000,INDEX($AC$1005:$AS$1005,1,MATCH(COLUMNS($AC$1006:AF1006),$AC$1006:$AS$1006,0))&gt;=100000), " ",IF(INDEX($AC$2:$AS$1001,MATCH(ROWS($V$2:V990),$V$2:$V$1001,0),MATCH(COLUMNS($AC$1006:AF1006),$AC$1006:$AS$1006,0)), HYPERLINK("#",""), HYPERLINK(CONCATENATE("#Metadata!", ADDRESS(INDEX($X$2:$X$1001,MATCH(ROWS($V$2:V990),$V$2:$V$1001,0),0), INDEX($AC$1004:$AS$1004,1,MATCH(COLUMNS($AC$1006:AF1006),$AC$1006:$AS$1006,0)))),"Fix")))</f>
        <v>0</v>
      </c>
      <c r="F990" s="5">
        <f>IF(OR(INDEX($W$2:$W$1001,MATCH(ROWS($V$2:V990),$V$2:$V$1001,0),1)&gt;=100000,INDEX($AC$1005:$AS$1005,1,MATCH(COLUMNS($AC$1006:AG1006),$AC$1006:$AS$1006,0))&gt;=100000), " ",IF(INDEX($AC$2:$AS$1001,MATCH(ROWS($V$2:V990),$V$2:$V$1001,0),MATCH(COLUMNS($AC$1006:AG1006),$AC$1006:$AS$1006,0)), HYPERLINK("#",""), HYPERLINK(CONCATENATE("#Metadata!", ADDRESS(INDEX($X$2:$X$1001,MATCH(ROWS($V$2:V990),$V$2:$V$1001,0),0), INDEX($AC$1004:$AS$1004,1,MATCH(COLUMNS($AC$1006:AG1006),$AC$1006:$AS$1006,0)))),"Fix")))</f>
        <v>0</v>
      </c>
      <c r="G990" s="5">
        <f>IF(OR(INDEX($W$2:$W$1001,MATCH(ROWS($V$2:V990),$V$2:$V$1001,0),1)&gt;=100000,INDEX($AC$1005:$AS$1005,1,MATCH(COLUMNS($AC$1006:AH1006),$AC$1006:$AS$1006,0))&gt;=100000), " ",IF(INDEX($AC$2:$AS$1001,MATCH(ROWS($V$2:V990),$V$2:$V$1001,0),MATCH(COLUMNS($AC$1006:AH1006),$AC$1006:$AS$1006,0)), HYPERLINK("#",""), HYPERLINK(CONCATENATE("#Metadata!", ADDRESS(INDEX($X$2:$X$1001,MATCH(ROWS($V$2:V990),$V$2:$V$1001,0),0), INDEX($AC$1004:$AS$1004,1,MATCH(COLUMNS($AC$1006:AH1006),$AC$1006:$AS$1006,0)))),"Fix")))</f>
        <v>0</v>
      </c>
      <c r="H990" s="5">
        <f>IF(OR(INDEX($W$2:$W$1001,MATCH(ROWS($V$2:V990),$V$2:$V$1001,0),1)&gt;=100000,INDEX($AC$1005:$AS$1005,1,MATCH(COLUMNS($AC$1006:AI1006),$AC$1006:$AS$1006,0))&gt;=100000), " ",IF(INDEX($AC$2:$AS$1001,MATCH(ROWS($V$2:V990),$V$2:$V$1001,0),MATCH(COLUMNS($AC$1006:AI1006),$AC$1006:$AS$1006,0)), HYPERLINK("#",""), HYPERLINK(CONCATENATE("#Metadata!", ADDRESS(INDEX($X$2:$X$1001,MATCH(ROWS($V$2:V990),$V$2:$V$1001,0),0), INDEX($AC$1004:$AS$1004,1,MATCH(COLUMNS($AC$1006:AI1006),$AC$1006:$AS$1006,0)))),"Fix")))</f>
        <v>0</v>
      </c>
      <c r="I990" s="5">
        <f>IF(OR(INDEX($W$2:$W$1001,MATCH(ROWS($V$2:V990),$V$2:$V$1001,0),1)&gt;=100000,INDEX($AC$1005:$AS$1005,1,MATCH(COLUMNS($AC$1006:AJ1006),$AC$1006:$AS$1006,0))&gt;=100000), " ",IF(INDEX($AC$2:$AS$1001,MATCH(ROWS($V$2:V990),$V$2:$V$1001,0),MATCH(COLUMNS($AC$1006:AJ1006),$AC$1006:$AS$1006,0)), HYPERLINK("#",""), HYPERLINK(CONCATENATE("#Metadata!", ADDRESS(INDEX($X$2:$X$1001,MATCH(ROWS($V$2:V990),$V$2:$V$1001,0),0), INDEX($AC$1004:$AS$1004,1,MATCH(COLUMNS($AC$1006:AJ1006),$AC$1006:$AS$1006,0)))),"Fix")))</f>
        <v>0</v>
      </c>
      <c r="J990" s="5">
        <f>IF(OR(INDEX($W$2:$W$1001,MATCH(ROWS($V$2:V990),$V$2:$V$1001,0),1)&gt;=100000,INDEX($AC$1005:$AS$1005,1,MATCH(COLUMNS($AC$1006:AK1006),$AC$1006:$AS$1006,0))&gt;=100000), " ",IF(INDEX($AC$2:$AS$1001,MATCH(ROWS($V$2:V990),$V$2:$V$1001,0),MATCH(COLUMNS($AC$1006:AK1006),$AC$1006:$AS$1006,0)), HYPERLINK("#",""), HYPERLINK(CONCATENATE("#Metadata!", ADDRESS(INDEX($X$2:$X$1001,MATCH(ROWS($V$2:V990),$V$2:$V$1001,0),0), INDEX($AC$1004:$AS$1004,1,MATCH(COLUMNS($AC$1006:AK1006),$AC$1006:$AS$1006,0)))),"Fix")))</f>
        <v>0</v>
      </c>
      <c r="K990" s="5">
        <f>IF(OR(INDEX($W$2:$W$1001,MATCH(ROWS($V$2:V990),$V$2:$V$1001,0),1)&gt;=100000,INDEX($AC$1005:$AS$1005,1,MATCH(COLUMNS($AC$1006:AL1006),$AC$1006:$AS$1006,0))&gt;=100000), " ",IF(INDEX($AC$2:$AS$1001,MATCH(ROWS($V$2:V990),$V$2:$V$1001,0),MATCH(COLUMNS($AC$1006:AL1006),$AC$1006:$AS$1006,0)), HYPERLINK("#",""), HYPERLINK(CONCATENATE("#Metadata!", ADDRESS(INDEX($X$2:$X$1001,MATCH(ROWS($V$2:V990),$V$2:$V$1001,0),0), INDEX($AC$1004:$AS$1004,1,MATCH(COLUMNS($AC$1006:AL1006),$AC$1006:$AS$1006,0)))),"Fix")))</f>
        <v>0</v>
      </c>
      <c r="L990" s="5">
        <f>IF(OR(INDEX($W$2:$W$1001,MATCH(ROWS($V$2:V990),$V$2:$V$1001,0),1)&gt;=100000,INDEX($AC$1005:$AS$1005,1,MATCH(COLUMNS($AC$1006:AM1006),$AC$1006:$AS$1006,0))&gt;=100000), " ",IF(INDEX($AC$2:$AS$1001,MATCH(ROWS($V$2:V990),$V$2:$V$1001,0),MATCH(COLUMNS($AC$1006:AM1006),$AC$1006:$AS$1006,0)), HYPERLINK("#",""), HYPERLINK(CONCATENATE("#Metadata!", ADDRESS(INDEX($X$2:$X$1001,MATCH(ROWS($V$2:V990),$V$2:$V$1001,0),0), INDEX($AC$1004:$AS$1004,1,MATCH(COLUMNS($AC$1006:AM1006),$AC$1006:$AS$1006,0)))),"Fix")))</f>
        <v>0</v>
      </c>
      <c r="M990" s="5">
        <f>IF(OR(INDEX($W$2:$W$1001,MATCH(ROWS($V$2:V990),$V$2:$V$1001,0),1)&gt;=100000,INDEX($AC$1005:$AS$1005,1,MATCH(COLUMNS($AC$1006:AN1006),$AC$1006:$AS$1006,0))&gt;=100000), " ",IF(INDEX($AC$2:$AS$1001,MATCH(ROWS($V$2:V990),$V$2:$V$1001,0),MATCH(COLUMNS($AC$1006:AN1006),$AC$1006:$AS$1006,0)), HYPERLINK("#",""), HYPERLINK(CONCATENATE("#Metadata!", ADDRESS(INDEX($X$2:$X$1001,MATCH(ROWS($V$2:V990),$V$2:$V$1001,0),0), INDEX($AC$1004:$AS$1004,1,MATCH(COLUMNS($AC$1006:AN1006),$AC$1006:$AS$1006,0)))),"Fix")))</f>
        <v>0</v>
      </c>
      <c r="N990" s="5">
        <f>IF(OR(INDEX($W$2:$W$1001,MATCH(ROWS($V$2:V990),$V$2:$V$1001,0),1)&gt;=100000,INDEX($AC$1005:$AS$1005,1,MATCH(COLUMNS($AC$1006:AO1006),$AC$1006:$AS$1006,0))&gt;=100000), " ",IF(INDEX($AC$2:$AS$1001,MATCH(ROWS($V$2:V990),$V$2:$V$1001,0),MATCH(COLUMNS($AC$1006:AO1006),$AC$1006:$AS$1006,0)), HYPERLINK("#",""), HYPERLINK(CONCATENATE("#Metadata!", ADDRESS(INDEX($X$2:$X$1001,MATCH(ROWS($V$2:V990),$V$2:$V$1001,0),0), INDEX($AC$1004:$AS$1004,1,MATCH(COLUMNS($AC$1006:AO1006),$AC$1006:$AS$1006,0)))),"Fix")))</f>
        <v>0</v>
      </c>
      <c r="O990" s="5">
        <f>IF(OR(INDEX($W$2:$W$1001,MATCH(ROWS($V$2:V990),$V$2:$V$1001,0),1)&gt;=100000,INDEX($AC$1005:$AS$1005,1,MATCH(COLUMNS($AC$1006:AP1006),$AC$1006:$AS$1006,0))&gt;=100000), " ",IF(INDEX($AC$2:$AS$1001,MATCH(ROWS($V$2:V990),$V$2:$V$1001,0),MATCH(COLUMNS($AC$1006:AP1006),$AC$1006:$AS$1006,0)), HYPERLINK("#",""), HYPERLINK(CONCATENATE("#Metadata!", ADDRESS(INDEX($X$2:$X$1001,MATCH(ROWS($V$2:V990),$V$2:$V$1001,0),0), INDEX($AC$1004:$AS$1004,1,MATCH(COLUMNS($AC$1006:AP1006),$AC$1006:$AS$1006,0)))),"Fix")))</f>
        <v>0</v>
      </c>
      <c r="P990" s="5">
        <f>IF(OR(INDEX($W$2:$W$1001,MATCH(ROWS($V$2:V990),$V$2:$V$1001,0),1)&gt;=100000,INDEX($AC$1005:$AS$1005,1,MATCH(COLUMNS($AC$1006:AQ1006),$AC$1006:$AS$1006,0))&gt;=100000), " ",IF(INDEX($AC$2:$AS$1001,MATCH(ROWS($V$2:V990),$V$2:$V$1001,0),MATCH(COLUMNS($AC$1006:AQ1006),$AC$1006:$AS$1006,0)), HYPERLINK("#",""), HYPERLINK(CONCATENATE("#Metadata!", ADDRESS(INDEX($X$2:$X$1001,MATCH(ROWS($V$2:V990),$V$2:$V$1001,0),0), INDEX($AC$1004:$AS$1004,1,MATCH(COLUMNS($AC$1006:AQ1006),$AC$1006:$AS$1006,0)))),"Fix")))</f>
        <v>0</v>
      </c>
      <c r="Q990" s="5">
        <f>IF(OR(INDEX($W$2:$W$1001,MATCH(ROWS($V$2:V990),$V$2:$V$1001,0),1)&gt;=100000,INDEX($AC$1005:$AS$1005,1,MATCH(COLUMNS($AC$1006:AR1006),$AC$1006:$AS$1006,0))&gt;=100000), " ",IF(INDEX($AC$2:$AS$1001,MATCH(ROWS($V$2:V990),$V$2:$V$1001,0),MATCH(COLUMNS($AC$1006:AR1006),$AC$1006:$AS$1006,0)), HYPERLINK("#",""), HYPERLINK(CONCATENATE("#Metadata!", ADDRESS(INDEX($X$2:$X$1001,MATCH(ROWS($V$2:V990),$V$2:$V$1001,0),0), INDEX($AC$1004:$AS$1004,1,MATCH(COLUMNS($AC$1006:AR1006),$AC$1006:$AS$1006,0)))),"Fix")))</f>
        <v>0</v>
      </c>
      <c r="R990" s="5">
        <f>IF(OR(INDEX($W$2:$W$1001,MATCH(ROWS($V$2:V990),$V$2:$V$1001,0),1)&gt;=100000,INDEX($AC$1005:$AS$1005,1,MATCH(COLUMNS($AC$1006:AS1006),$AC$1006:$AS$1006,0))&gt;=100000), " ",IF(INDEX($AC$2:$AS$1001,MATCH(ROWS($V$2:V990),$V$2:$V$1001,0),MATCH(COLUMNS($AC$1006:AS1006),$AC$1006:$AS$1006,0)), HYPERLINK("#",""), HYPERLINK(CONCATENATE("#Metadata!", ADDRESS(INDEX($X$2:$X$1001,MATCH(ROWS($V$2:V990),$V$2:$V$1001,0),0), INDEX($AC$1004:$AS$1004,1,MATCH(COLUMNS($AC$1006:AS1006),$AC$1006:$AS$1006,0)))),"Fix")))</f>
        <v>0</v>
      </c>
      <c r="V990">
        <v>0</v>
      </c>
      <c r="W990">
        <v>0</v>
      </c>
      <c r="X990">
        <v>0</v>
      </c>
      <c r="Y990">
        <f>IF(Z990,TRUE,AND(AC990:AS990))</f>
        <v>0</v>
      </c>
      <c r="Z990">
        <f>COUNTBLANK(Metadata!B990:R990)=COLUMNS(Metadata!B990:R990)</f>
        <v>0</v>
      </c>
      <c r="AA990">
        <v>0</v>
      </c>
      <c r="AC990">
        <f>AND(IF(Metadata!B990="",FALSE,TRUE),COUNTIF(Metadata!B:B, Metadata!B990) = 1,NOT(ISERROR(SUMPRODUCT(SEARCH(MID(Metadata!B990,ROW(INDIRECT("1:"&amp;LEN(Metadata!B990))), 1),"0123456789abcdefghijklmnopqrstuvwxyzABCDEFGHIJKLMNOPQRSTUVWXYZ.")))))</f>
        <v>0</v>
      </c>
      <c r="AD990">
        <f>AND(IF(Metadata!C990="",FALSE,TRUE),exact(Metadata!C990,"Host-associated"))</f>
        <v>0</v>
      </c>
      <c r="AE990">
        <f>AND(IF(Metadata!D990="",FALSE,TRUE),OR(exact(Metadata!D990,"Animal"),exact(Metadata!D990,"Fungus"),exact(Metadata!D990,"Plant")))</f>
        <v>0</v>
      </c>
      <c r="AF990">
        <f>AND(IF(Metadata!E990="",FALSE,TRUE),OR(exact(Metadata!E990,"Plant secretion"),exact(Metadata!E990,"Plant rhizosphere"),exact(Metadata!E990,"Plant surface"),exact(Metadata!E990,"Plant corpus"),exact(Metadata!E990,"Fungus surface"),exact(Metadata!E990,"Fungus corpus"),exact(Metadata!E990,"Animal surface"),exact(Metadata!E990,"Animal proximal gut"),exact(Metadata!E990,"Animal corpus"),exact(Metadata!E990,"Animal distal gut"),exact(Metadata!E990,"Animal secretion")))</f>
        <v>0</v>
      </c>
      <c r="AG990">
        <f>OR(AND(IF(Metadata!F990="",FALSE,TRUE),OR(exact(Metadata!F990,"not collected"),exact(Metadata!F990,"not provided"),exact(Metadata!F990,"restricted access"))),AND(IF(Metadata!F990="",FALSE,TRUE),OR(exact(Metadata!F990,"organism-associated habitat"),exact(Metadata!F990,"plant-associated habitat"),exact(Metadata!F990,"animal-associated habitat"),exact(Metadata!F990,"insecta-associated habitat"),exact(Metadata!F990,"mammalia-associated habitat"),exact(Metadata!F990,"human-associated habitat"),exact(Metadata!F990,"livestock-associated habitat"))))</f>
        <v>0</v>
      </c>
      <c r="AH990">
        <f>AND(IF(Metadata!G990="",FALSE,TRUE),exact(Metadata!G990,"host-associated"))</f>
        <v>0</v>
      </c>
      <c r="AI990">
        <f>OR(AND(IF(Metadata!H990="",FALSE,TRUE),OR(exact(Metadata!H990,"not collected"),exact(Metadata!H990,"not provided"))),AND(IF(Metadata!H990="",FALSE,ISNUMBER(VALUE(Metadata!H990))),Metadata!H990&gt;0))</f>
        <v>0</v>
      </c>
      <c r="AJ990">
        <f>AND(IF(Metadata!I990="",FALSE,TRUE),exact(Metadata!I990,"years"))</f>
        <v>0</v>
      </c>
      <c r="AK990">
        <f>IF(Metadata!J990="",FALSE,TRUE)</f>
        <v>0</v>
      </c>
      <c r="AL990">
        <f>OR(AND(IF(Metadata!K990="",FALSE,TRUE),OR(exact(Metadata!K990,"not collected"),exact(Metadata!K990,"not provided"))),AND(IF(Metadata!K990="",FALSE,ISNUMBER(VALUE(Metadata!K990))),Metadata!K990&gt;0))</f>
        <v>0</v>
      </c>
      <c r="AM990">
        <f>AND(IF(Metadata!L990="",FALSE,TRUE),exact(Metadata!L990,"cm"))</f>
        <v>0</v>
      </c>
      <c r="AN990">
        <f>IF(Metadata!M990="",FALSE,TRUE)</f>
        <v>0</v>
      </c>
      <c r="AO990">
        <f>OR(AND(IF(Metadata!N990="",FALSE,TRUE),OR(exact(Metadata!N990,"not applicable"),exact(Metadata!N990,"not collected"),exact(Metadata!N990,"not provided"))),AND(IF(Metadata!N990="",FALSE,IF(ISERROR(INT(Metadata!N990)),FALSE,INT(Metadata!N990)=Metadata!N990)),Metadata!N990&gt;0))</f>
        <v>0</v>
      </c>
      <c r="AP990">
        <f>OR(AND(IF(Metadata!O990="",FALSE,TRUE),OR(exact(Metadata!O990,"not collected"),exact(Metadata!O990,"not provided"))),AND(IF(Metadata!O990="",FALSE,ISNUMBER(VALUE(Metadata!O990))),Metadata!O990&gt;0))</f>
        <v>0</v>
      </c>
      <c r="AQ990">
        <f>AND(IF(Metadata!P990="",FALSE,TRUE),exact(Metadata!P990,"kg"))</f>
        <v>0</v>
      </c>
      <c r="AR990">
        <f>OR(AND(IF(Metadata!Q990="",FALSE,TRUE),OR(exact(Metadata!Q990,"not applicable"),exact(Metadata!Q990,"not collected"),exact(Metadata!Q990,"not provided"),exact(Metadata!Q990,"restricted access"))),IF(Metadata!Q990="",FALSE,IF(ISERROR(INT(Metadata!Q990)),FALSE,INT(Metadata!Q990)=Metadata!Q990)))</f>
        <v>0</v>
      </c>
      <c r="AS990">
        <f>AND(IF(Metadata!R990="",FALSE,TRUE),exact(Metadata!R990,"Not applicable"))</f>
        <v>0</v>
      </c>
    </row>
    <row r="991" spans="1:45">
      <c r="A991" s="4">
        <f>IF(B991=" "," ",HYPERLINK(CONCATENATE("#metadata!",ADDRESS(INDEX($X$2:$X$1001,MATCH(ROWS($V$2:V991),$V$2:$V$1001,0),0),2)),INDEX($AA$2:$AA$1001,MATCH(ROWS($V$2:V991),$V$2:$V$1001,0),0)))</f>
        <v>0</v>
      </c>
      <c r="B991" s="5">
        <f>IF(OR(INDEX($W$2:$W$1001,MATCH(ROWS($V$2:V991),$V$2:$V$1001,0),1)&gt;=100000,INDEX($AC$1005:$AS$1005,1,MATCH(COLUMNS($AC$1006:AC1006),$AC$1006:$AS$1006,0))&gt;=100000), " ",IF(INDEX($AC$2:$AS$1001,MATCH(ROWS($V$2:V991),$V$2:$V$1001,0),MATCH(COLUMNS($AC$1006:AC1006),$AC$1006:$AS$1006,0)), HYPERLINK("#",""), HYPERLINK(CONCATENATE("#Metadata!", ADDRESS(INDEX($X$2:$X$1001,MATCH(ROWS($V$2:V991),$V$2:$V$1001,0),0), INDEX($AC$1004:$AS$1004,1,MATCH(COLUMNS($AC$1006:AC1006),$AC$1006:$AS$1006,0)))),"Fix")))</f>
        <v>0</v>
      </c>
      <c r="C991" s="5">
        <f>IF(OR(INDEX($W$2:$W$1001,MATCH(ROWS($V$2:V991),$V$2:$V$1001,0),1)&gt;=100000,INDEX($AC$1005:$AS$1005,1,MATCH(COLUMNS($AC$1006:AD1006),$AC$1006:$AS$1006,0))&gt;=100000), " ",IF(INDEX($AC$2:$AS$1001,MATCH(ROWS($V$2:V991),$V$2:$V$1001,0),MATCH(COLUMNS($AC$1006:AD1006),$AC$1006:$AS$1006,0)), HYPERLINK("#",""), HYPERLINK(CONCATENATE("#Metadata!", ADDRESS(INDEX($X$2:$X$1001,MATCH(ROWS($V$2:V991),$V$2:$V$1001,0),0), INDEX($AC$1004:$AS$1004,1,MATCH(COLUMNS($AC$1006:AD1006),$AC$1006:$AS$1006,0)))),"Fix")))</f>
        <v>0</v>
      </c>
      <c r="D991" s="5">
        <f>IF(OR(INDEX($W$2:$W$1001,MATCH(ROWS($V$2:V991),$V$2:$V$1001,0),1)&gt;=100000,INDEX($AC$1005:$AS$1005,1,MATCH(COLUMNS($AC$1006:AE1006),$AC$1006:$AS$1006,0))&gt;=100000), " ",IF(INDEX($AC$2:$AS$1001,MATCH(ROWS($V$2:V991),$V$2:$V$1001,0),MATCH(COLUMNS($AC$1006:AE1006),$AC$1006:$AS$1006,0)), HYPERLINK("#",""), HYPERLINK(CONCATENATE("#Metadata!", ADDRESS(INDEX($X$2:$X$1001,MATCH(ROWS($V$2:V991),$V$2:$V$1001,0),0), INDEX($AC$1004:$AS$1004,1,MATCH(COLUMNS($AC$1006:AE1006),$AC$1006:$AS$1006,0)))),"Fix")))</f>
        <v>0</v>
      </c>
      <c r="E991" s="5">
        <f>IF(OR(INDEX($W$2:$W$1001,MATCH(ROWS($V$2:V991),$V$2:$V$1001,0),1)&gt;=100000,INDEX($AC$1005:$AS$1005,1,MATCH(COLUMNS($AC$1006:AF1006),$AC$1006:$AS$1006,0))&gt;=100000), " ",IF(INDEX($AC$2:$AS$1001,MATCH(ROWS($V$2:V991),$V$2:$V$1001,0),MATCH(COLUMNS($AC$1006:AF1006),$AC$1006:$AS$1006,0)), HYPERLINK("#",""), HYPERLINK(CONCATENATE("#Metadata!", ADDRESS(INDEX($X$2:$X$1001,MATCH(ROWS($V$2:V991),$V$2:$V$1001,0),0), INDEX($AC$1004:$AS$1004,1,MATCH(COLUMNS($AC$1006:AF1006),$AC$1006:$AS$1006,0)))),"Fix")))</f>
        <v>0</v>
      </c>
      <c r="F991" s="5">
        <f>IF(OR(INDEX($W$2:$W$1001,MATCH(ROWS($V$2:V991),$V$2:$V$1001,0),1)&gt;=100000,INDEX($AC$1005:$AS$1005,1,MATCH(COLUMNS($AC$1006:AG1006),$AC$1006:$AS$1006,0))&gt;=100000), " ",IF(INDEX($AC$2:$AS$1001,MATCH(ROWS($V$2:V991),$V$2:$V$1001,0),MATCH(COLUMNS($AC$1006:AG1006),$AC$1006:$AS$1006,0)), HYPERLINK("#",""), HYPERLINK(CONCATENATE("#Metadata!", ADDRESS(INDEX($X$2:$X$1001,MATCH(ROWS($V$2:V991),$V$2:$V$1001,0),0), INDEX($AC$1004:$AS$1004,1,MATCH(COLUMNS($AC$1006:AG1006),$AC$1006:$AS$1006,0)))),"Fix")))</f>
        <v>0</v>
      </c>
      <c r="G991" s="5">
        <f>IF(OR(INDEX($W$2:$W$1001,MATCH(ROWS($V$2:V991),$V$2:$V$1001,0),1)&gt;=100000,INDEX($AC$1005:$AS$1005,1,MATCH(COLUMNS($AC$1006:AH1006),$AC$1006:$AS$1006,0))&gt;=100000), " ",IF(INDEX($AC$2:$AS$1001,MATCH(ROWS($V$2:V991),$V$2:$V$1001,0),MATCH(COLUMNS($AC$1006:AH1006),$AC$1006:$AS$1006,0)), HYPERLINK("#",""), HYPERLINK(CONCATENATE("#Metadata!", ADDRESS(INDEX($X$2:$X$1001,MATCH(ROWS($V$2:V991),$V$2:$V$1001,0),0), INDEX($AC$1004:$AS$1004,1,MATCH(COLUMNS($AC$1006:AH1006),$AC$1006:$AS$1006,0)))),"Fix")))</f>
        <v>0</v>
      </c>
      <c r="H991" s="5">
        <f>IF(OR(INDEX($W$2:$W$1001,MATCH(ROWS($V$2:V991),$V$2:$V$1001,0),1)&gt;=100000,INDEX($AC$1005:$AS$1005,1,MATCH(COLUMNS($AC$1006:AI1006),$AC$1006:$AS$1006,0))&gt;=100000), " ",IF(INDEX($AC$2:$AS$1001,MATCH(ROWS($V$2:V991),$V$2:$V$1001,0),MATCH(COLUMNS($AC$1006:AI1006),$AC$1006:$AS$1006,0)), HYPERLINK("#",""), HYPERLINK(CONCATENATE("#Metadata!", ADDRESS(INDEX($X$2:$X$1001,MATCH(ROWS($V$2:V991),$V$2:$V$1001,0),0), INDEX($AC$1004:$AS$1004,1,MATCH(COLUMNS($AC$1006:AI1006),$AC$1006:$AS$1006,0)))),"Fix")))</f>
        <v>0</v>
      </c>
      <c r="I991" s="5">
        <f>IF(OR(INDEX($W$2:$W$1001,MATCH(ROWS($V$2:V991),$V$2:$V$1001,0),1)&gt;=100000,INDEX($AC$1005:$AS$1005,1,MATCH(COLUMNS($AC$1006:AJ1006),$AC$1006:$AS$1006,0))&gt;=100000), " ",IF(INDEX($AC$2:$AS$1001,MATCH(ROWS($V$2:V991),$V$2:$V$1001,0),MATCH(COLUMNS($AC$1006:AJ1006),$AC$1006:$AS$1006,0)), HYPERLINK("#",""), HYPERLINK(CONCATENATE("#Metadata!", ADDRESS(INDEX($X$2:$X$1001,MATCH(ROWS($V$2:V991),$V$2:$V$1001,0),0), INDEX($AC$1004:$AS$1004,1,MATCH(COLUMNS($AC$1006:AJ1006),$AC$1006:$AS$1006,0)))),"Fix")))</f>
        <v>0</v>
      </c>
      <c r="J991" s="5">
        <f>IF(OR(INDEX($W$2:$W$1001,MATCH(ROWS($V$2:V991),$V$2:$V$1001,0),1)&gt;=100000,INDEX($AC$1005:$AS$1005,1,MATCH(COLUMNS($AC$1006:AK1006),$AC$1006:$AS$1006,0))&gt;=100000), " ",IF(INDEX($AC$2:$AS$1001,MATCH(ROWS($V$2:V991),$V$2:$V$1001,0),MATCH(COLUMNS($AC$1006:AK1006),$AC$1006:$AS$1006,0)), HYPERLINK("#",""), HYPERLINK(CONCATENATE("#Metadata!", ADDRESS(INDEX($X$2:$X$1001,MATCH(ROWS($V$2:V991),$V$2:$V$1001,0),0), INDEX($AC$1004:$AS$1004,1,MATCH(COLUMNS($AC$1006:AK1006),$AC$1006:$AS$1006,0)))),"Fix")))</f>
        <v>0</v>
      </c>
      <c r="K991" s="5">
        <f>IF(OR(INDEX($W$2:$W$1001,MATCH(ROWS($V$2:V991),$V$2:$V$1001,0),1)&gt;=100000,INDEX($AC$1005:$AS$1005,1,MATCH(COLUMNS($AC$1006:AL1006),$AC$1006:$AS$1006,0))&gt;=100000), " ",IF(INDEX($AC$2:$AS$1001,MATCH(ROWS($V$2:V991),$V$2:$V$1001,0),MATCH(COLUMNS($AC$1006:AL1006),$AC$1006:$AS$1006,0)), HYPERLINK("#",""), HYPERLINK(CONCATENATE("#Metadata!", ADDRESS(INDEX($X$2:$X$1001,MATCH(ROWS($V$2:V991),$V$2:$V$1001,0),0), INDEX($AC$1004:$AS$1004,1,MATCH(COLUMNS($AC$1006:AL1006),$AC$1006:$AS$1006,0)))),"Fix")))</f>
        <v>0</v>
      </c>
      <c r="L991" s="5">
        <f>IF(OR(INDEX($W$2:$W$1001,MATCH(ROWS($V$2:V991),$V$2:$V$1001,0),1)&gt;=100000,INDEX($AC$1005:$AS$1005,1,MATCH(COLUMNS($AC$1006:AM1006),$AC$1006:$AS$1006,0))&gt;=100000), " ",IF(INDEX($AC$2:$AS$1001,MATCH(ROWS($V$2:V991),$V$2:$V$1001,0),MATCH(COLUMNS($AC$1006:AM1006),$AC$1006:$AS$1006,0)), HYPERLINK("#",""), HYPERLINK(CONCATENATE("#Metadata!", ADDRESS(INDEX($X$2:$X$1001,MATCH(ROWS($V$2:V991),$V$2:$V$1001,0),0), INDEX($AC$1004:$AS$1004,1,MATCH(COLUMNS($AC$1006:AM1006),$AC$1006:$AS$1006,0)))),"Fix")))</f>
        <v>0</v>
      </c>
      <c r="M991" s="5">
        <f>IF(OR(INDEX($W$2:$W$1001,MATCH(ROWS($V$2:V991),$V$2:$V$1001,0),1)&gt;=100000,INDEX($AC$1005:$AS$1005,1,MATCH(COLUMNS($AC$1006:AN1006),$AC$1006:$AS$1006,0))&gt;=100000), " ",IF(INDEX($AC$2:$AS$1001,MATCH(ROWS($V$2:V991),$V$2:$V$1001,0),MATCH(COLUMNS($AC$1006:AN1006),$AC$1006:$AS$1006,0)), HYPERLINK("#",""), HYPERLINK(CONCATENATE("#Metadata!", ADDRESS(INDEX($X$2:$X$1001,MATCH(ROWS($V$2:V991),$V$2:$V$1001,0),0), INDEX($AC$1004:$AS$1004,1,MATCH(COLUMNS($AC$1006:AN1006),$AC$1006:$AS$1006,0)))),"Fix")))</f>
        <v>0</v>
      </c>
      <c r="N991" s="5">
        <f>IF(OR(INDEX($W$2:$W$1001,MATCH(ROWS($V$2:V991),$V$2:$V$1001,0),1)&gt;=100000,INDEX($AC$1005:$AS$1005,1,MATCH(COLUMNS($AC$1006:AO1006),$AC$1006:$AS$1006,0))&gt;=100000), " ",IF(INDEX($AC$2:$AS$1001,MATCH(ROWS($V$2:V991),$V$2:$V$1001,0),MATCH(COLUMNS($AC$1006:AO1006),$AC$1006:$AS$1006,0)), HYPERLINK("#",""), HYPERLINK(CONCATENATE("#Metadata!", ADDRESS(INDEX($X$2:$X$1001,MATCH(ROWS($V$2:V991),$V$2:$V$1001,0),0), INDEX($AC$1004:$AS$1004,1,MATCH(COLUMNS($AC$1006:AO1006),$AC$1006:$AS$1006,0)))),"Fix")))</f>
        <v>0</v>
      </c>
      <c r="O991" s="5">
        <f>IF(OR(INDEX($W$2:$W$1001,MATCH(ROWS($V$2:V991),$V$2:$V$1001,0),1)&gt;=100000,INDEX($AC$1005:$AS$1005,1,MATCH(COLUMNS($AC$1006:AP1006),$AC$1006:$AS$1006,0))&gt;=100000), " ",IF(INDEX($AC$2:$AS$1001,MATCH(ROWS($V$2:V991),$V$2:$V$1001,0),MATCH(COLUMNS($AC$1006:AP1006),$AC$1006:$AS$1006,0)), HYPERLINK("#",""), HYPERLINK(CONCATENATE("#Metadata!", ADDRESS(INDEX($X$2:$X$1001,MATCH(ROWS($V$2:V991),$V$2:$V$1001,0),0), INDEX($AC$1004:$AS$1004,1,MATCH(COLUMNS($AC$1006:AP1006),$AC$1006:$AS$1006,0)))),"Fix")))</f>
        <v>0</v>
      </c>
      <c r="P991" s="5">
        <f>IF(OR(INDEX($W$2:$W$1001,MATCH(ROWS($V$2:V991),$V$2:$V$1001,0),1)&gt;=100000,INDEX($AC$1005:$AS$1005,1,MATCH(COLUMNS($AC$1006:AQ1006),$AC$1006:$AS$1006,0))&gt;=100000), " ",IF(INDEX($AC$2:$AS$1001,MATCH(ROWS($V$2:V991),$V$2:$V$1001,0),MATCH(COLUMNS($AC$1006:AQ1006),$AC$1006:$AS$1006,0)), HYPERLINK("#",""), HYPERLINK(CONCATENATE("#Metadata!", ADDRESS(INDEX($X$2:$X$1001,MATCH(ROWS($V$2:V991),$V$2:$V$1001,0),0), INDEX($AC$1004:$AS$1004,1,MATCH(COLUMNS($AC$1006:AQ1006),$AC$1006:$AS$1006,0)))),"Fix")))</f>
        <v>0</v>
      </c>
      <c r="Q991" s="5">
        <f>IF(OR(INDEX($W$2:$W$1001,MATCH(ROWS($V$2:V991),$V$2:$V$1001,0),1)&gt;=100000,INDEX($AC$1005:$AS$1005,1,MATCH(COLUMNS($AC$1006:AR1006),$AC$1006:$AS$1006,0))&gt;=100000), " ",IF(INDEX($AC$2:$AS$1001,MATCH(ROWS($V$2:V991),$V$2:$V$1001,0),MATCH(COLUMNS($AC$1006:AR1006),$AC$1006:$AS$1006,0)), HYPERLINK("#",""), HYPERLINK(CONCATENATE("#Metadata!", ADDRESS(INDEX($X$2:$X$1001,MATCH(ROWS($V$2:V991),$V$2:$V$1001,0),0), INDEX($AC$1004:$AS$1004,1,MATCH(COLUMNS($AC$1006:AR1006),$AC$1006:$AS$1006,0)))),"Fix")))</f>
        <v>0</v>
      </c>
      <c r="R991" s="5">
        <f>IF(OR(INDEX($W$2:$W$1001,MATCH(ROWS($V$2:V991),$V$2:$V$1001,0),1)&gt;=100000,INDEX($AC$1005:$AS$1005,1,MATCH(COLUMNS($AC$1006:AS1006),$AC$1006:$AS$1006,0))&gt;=100000), " ",IF(INDEX($AC$2:$AS$1001,MATCH(ROWS($V$2:V991),$V$2:$V$1001,0),MATCH(COLUMNS($AC$1006:AS1006),$AC$1006:$AS$1006,0)), HYPERLINK("#",""), HYPERLINK(CONCATENATE("#Metadata!", ADDRESS(INDEX($X$2:$X$1001,MATCH(ROWS($V$2:V991),$V$2:$V$1001,0),0), INDEX($AC$1004:$AS$1004,1,MATCH(COLUMNS($AC$1006:AS1006),$AC$1006:$AS$1006,0)))),"Fix")))</f>
        <v>0</v>
      </c>
      <c r="V991">
        <v>0</v>
      </c>
      <c r="W991">
        <v>0</v>
      </c>
      <c r="X991">
        <v>0</v>
      </c>
      <c r="Y991">
        <f>IF(Z991,TRUE,AND(AC991:AS991))</f>
        <v>0</v>
      </c>
      <c r="Z991">
        <f>COUNTBLANK(Metadata!B991:R991)=COLUMNS(Metadata!B991:R991)</f>
        <v>0</v>
      </c>
      <c r="AA991">
        <v>0</v>
      </c>
      <c r="AC991">
        <f>AND(IF(Metadata!B991="",FALSE,TRUE),COUNTIF(Metadata!B:B, Metadata!B991) = 1,NOT(ISERROR(SUMPRODUCT(SEARCH(MID(Metadata!B991,ROW(INDIRECT("1:"&amp;LEN(Metadata!B991))), 1),"0123456789abcdefghijklmnopqrstuvwxyzABCDEFGHIJKLMNOPQRSTUVWXYZ.")))))</f>
        <v>0</v>
      </c>
      <c r="AD991">
        <f>AND(IF(Metadata!C991="",FALSE,TRUE),exact(Metadata!C991,"Host-associated"))</f>
        <v>0</v>
      </c>
      <c r="AE991">
        <f>AND(IF(Metadata!D991="",FALSE,TRUE),OR(exact(Metadata!D991,"Animal"),exact(Metadata!D991,"Fungus"),exact(Metadata!D991,"Plant")))</f>
        <v>0</v>
      </c>
      <c r="AF991">
        <f>AND(IF(Metadata!E991="",FALSE,TRUE),OR(exact(Metadata!E991,"Plant secretion"),exact(Metadata!E991,"Plant rhizosphere"),exact(Metadata!E991,"Plant surface"),exact(Metadata!E991,"Plant corpus"),exact(Metadata!E991,"Fungus surface"),exact(Metadata!E991,"Fungus corpus"),exact(Metadata!E991,"Animal surface"),exact(Metadata!E991,"Animal proximal gut"),exact(Metadata!E991,"Animal corpus"),exact(Metadata!E991,"Animal distal gut"),exact(Metadata!E991,"Animal secretion")))</f>
        <v>0</v>
      </c>
      <c r="AG991">
        <f>OR(AND(IF(Metadata!F991="",FALSE,TRUE),OR(exact(Metadata!F991,"not collected"),exact(Metadata!F991,"not provided"),exact(Metadata!F991,"restricted access"))),AND(IF(Metadata!F991="",FALSE,TRUE),OR(exact(Metadata!F991,"organism-associated habitat"),exact(Metadata!F991,"plant-associated habitat"),exact(Metadata!F991,"animal-associated habitat"),exact(Metadata!F991,"insecta-associated habitat"),exact(Metadata!F991,"mammalia-associated habitat"),exact(Metadata!F991,"human-associated habitat"),exact(Metadata!F991,"livestock-associated habitat"))))</f>
        <v>0</v>
      </c>
      <c r="AH991">
        <f>AND(IF(Metadata!G991="",FALSE,TRUE),exact(Metadata!G991,"host-associated"))</f>
        <v>0</v>
      </c>
      <c r="AI991">
        <f>OR(AND(IF(Metadata!H991="",FALSE,TRUE),OR(exact(Metadata!H991,"not collected"),exact(Metadata!H991,"not provided"))),AND(IF(Metadata!H991="",FALSE,ISNUMBER(VALUE(Metadata!H991))),Metadata!H991&gt;0))</f>
        <v>0</v>
      </c>
      <c r="AJ991">
        <f>AND(IF(Metadata!I991="",FALSE,TRUE),exact(Metadata!I991,"years"))</f>
        <v>0</v>
      </c>
      <c r="AK991">
        <f>IF(Metadata!J991="",FALSE,TRUE)</f>
        <v>0</v>
      </c>
      <c r="AL991">
        <f>OR(AND(IF(Metadata!K991="",FALSE,TRUE),OR(exact(Metadata!K991,"not collected"),exact(Metadata!K991,"not provided"))),AND(IF(Metadata!K991="",FALSE,ISNUMBER(VALUE(Metadata!K991))),Metadata!K991&gt;0))</f>
        <v>0</v>
      </c>
      <c r="AM991">
        <f>AND(IF(Metadata!L991="",FALSE,TRUE),exact(Metadata!L991,"cm"))</f>
        <v>0</v>
      </c>
      <c r="AN991">
        <f>IF(Metadata!M991="",FALSE,TRUE)</f>
        <v>0</v>
      </c>
      <c r="AO991">
        <f>OR(AND(IF(Metadata!N991="",FALSE,TRUE),OR(exact(Metadata!N991,"not applicable"),exact(Metadata!N991,"not collected"),exact(Metadata!N991,"not provided"))),AND(IF(Metadata!N991="",FALSE,IF(ISERROR(INT(Metadata!N991)),FALSE,INT(Metadata!N991)=Metadata!N991)),Metadata!N991&gt;0))</f>
        <v>0</v>
      </c>
      <c r="AP991">
        <f>OR(AND(IF(Metadata!O991="",FALSE,TRUE),OR(exact(Metadata!O991,"not collected"),exact(Metadata!O991,"not provided"))),AND(IF(Metadata!O991="",FALSE,ISNUMBER(VALUE(Metadata!O991))),Metadata!O991&gt;0))</f>
        <v>0</v>
      </c>
      <c r="AQ991">
        <f>AND(IF(Metadata!P991="",FALSE,TRUE),exact(Metadata!P991,"kg"))</f>
        <v>0</v>
      </c>
      <c r="AR991">
        <f>OR(AND(IF(Metadata!Q991="",FALSE,TRUE),OR(exact(Metadata!Q991,"not applicable"),exact(Metadata!Q991,"not collected"),exact(Metadata!Q991,"not provided"),exact(Metadata!Q991,"restricted access"))),IF(Metadata!Q991="",FALSE,IF(ISERROR(INT(Metadata!Q991)),FALSE,INT(Metadata!Q991)=Metadata!Q991)))</f>
        <v>0</v>
      </c>
      <c r="AS991">
        <f>AND(IF(Metadata!R991="",FALSE,TRUE),exact(Metadata!R991,"Not applicable"))</f>
        <v>0</v>
      </c>
    </row>
    <row r="992" spans="1:45">
      <c r="A992" s="4">
        <f>IF(B992=" "," ",HYPERLINK(CONCATENATE("#metadata!",ADDRESS(INDEX($X$2:$X$1001,MATCH(ROWS($V$2:V992),$V$2:$V$1001,0),0),2)),INDEX($AA$2:$AA$1001,MATCH(ROWS($V$2:V992),$V$2:$V$1001,0),0)))</f>
        <v>0</v>
      </c>
      <c r="B992" s="5">
        <f>IF(OR(INDEX($W$2:$W$1001,MATCH(ROWS($V$2:V992),$V$2:$V$1001,0),1)&gt;=100000,INDEX($AC$1005:$AS$1005,1,MATCH(COLUMNS($AC$1006:AC1006),$AC$1006:$AS$1006,0))&gt;=100000), " ",IF(INDEX($AC$2:$AS$1001,MATCH(ROWS($V$2:V992),$V$2:$V$1001,0),MATCH(COLUMNS($AC$1006:AC1006),$AC$1006:$AS$1006,0)), HYPERLINK("#",""), HYPERLINK(CONCATENATE("#Metadata!", ADDRESS(INDEX($X$2:$X$1001,MATCH(ROWS($V$2:V992),$V$2:$V$1001,0),0), INDEX($AC$1004:$AS$1004,1,MATCH(COLUMNS($AC$1006:AC1006),$AC$1006:$AS$1006,0)))),"Fix")))</f>
        <v>0</v>
      </c>
      <c r="C992" s="5">
        <f>IF(OR(INDEX($W$2:$W$1001,MATCH(ROWS($V$2:V992),$V$2:$V$1001,0),1)&gt;=100000,INDEX($AC$1005:$AS$1005,1,MATCH(COLUMNS($AC$1006:AD1006),$AC$1006:$AS$1006,0))&gt;=100000), " ",IF(INDEX($AC$2:$AS$1001,MATCH(ROWS($V$2:V992),$V$2:$V$1001,0),MATCH(COLUMNS($AC$1006:AD1006),$AC$1006:$AS$1006,0)), HYPERLINK("#",""), HYPERLINK(CONCATENATE("#Metadata!", ADDRESS(INDEX($X$2:$X$1001,MATCH(ROWS($V$2:V992),$V$2:$V$1001,0),0), INDEX($AC$1004:$AS$1004,1,MATCH(COLUMNS($AC$1006:AD1006),$AC$1006:$AS$1006,0)))),"Fix")))</f>
        <v>0</v>
      </c>
      <c r="D992" s="5">
        <f>IF(OR(INDEX($W$2:$W$1001,MATCH(ROWS($V$2:V992),$V$2:$V$1001,0),1)&gt;=100000,INDEX($AC$1005:$AS$1005,1,MATCH(COLUMNS($AC$1006:AE1006),$AC$1006:$AS$1006,0))&gt;=100000), " ",IF(INDEX($AC$2:$AS$1001,MATCH(ROWS($V$2:V992),$V$2:$V$1001,0),MATCH(COLUMNS($AC$1006:AE1006),$AC$1006:$AS$1006,0)), HYPERLINK("#",""), HYPERLINK(CONCATENATE("#Metadata!", ADDRESS(INDEX($X$2:$X$1001,MATCH(ROWS($V$2:V992),$V$2:$V$1001,0),0), INDEX($AC$1004:$AS$1004,1,MATCH(COLUMNS($AC$1006:AE1006),$AC$1006:$AS$1006,0)))),"Fix")))</f>
        <v>0</v>
      </c>
      <c r="E992" s="5">
        <f>IF(OR(INDEX($W$2:$W$1001,MATCH(ROWS($V$2:V992),$V$2:$V$1001,0),1)&gt;=100000,INDEX($AC$1005:$AS$1005,1,MATCH(COLUMNS($AC$1006:AF1006),$AC$1006:$AS$1006,0))&gt;=100000), " ",IF(INDEX($AC$2:$AS$1001,MATCH(ROWS($V$2:V992),$V$2:$V$1001,0),MATCH(COLUMNS($AC$1006:AF1006),$AC$1006:$AS$1006,0)), HYPERLINK("#",""), HYPERLINK(CONCATENATE("#Metadata!", ADDRESS(INDEX($X$2:$X$1001,MATCH(ROWS($V$2:V992),$V$2:$V$1001,0),0), INDEX($AC$1004:$AS$1004,1,MATCH(COLUMNS($AC$1006:AF1006),$AC$1006:$AS$1006,0)))),"Fix")))</f>
        <v>0</v>
      </c>
      <c r="F992" s="5">
        <f>IF(OR(INDEX($W$2:$W$1001,MATCH(ROWS($V$2:V992),$V$2:$V$1001,0),1)&gt;=100000,INDEX($AC$1005:$AS$1005,1,MATCH(COLUMNS($AC$1006:AG1006),$AC$1006:$AS$1006,0))&gt;=100000), " ",IF(INDEX($AC$2:$AS$1001,MATCH(ROWS($V$2:V992),$V$2:$V$1001,0),MATCH(COLUMNS($AC$1006:AG1006),$AC$1006:$AS$1006,0)), HYPERLINK("#",""), HYPERLINK(CONCATENATE("#Metadata!", ADDRESS(INDEX($X$2:$X$1001,MATCH(ROWS($V$2:V992),$V$2:$V$1001,0),0), INDEX($AC$1004:$AS$1004,1,MATCH(COLUMNS($AC$1006:AG1006),$AC$1006:$AS$1006,0)))),"Fix")))</f>
        <v>0</v>
      </c>
      <c r="G992" s="5">
        <f>IF(OR(INDEX($W$2:$W$1001,MATCH(ROWS($V$2:V992),$V$2:$V$1001,0),1)&gt;=100000,INDEX($AC$1005:$AS$1005,1,MATCH(COLUMNS($AC$1006:AH1006),$AC$1006:$AS$1006,0))&gt;=100000), " ",IF(INDEX($AC$2:$AS$1001,MATCH(ROWS($V$2:V992),$V$2:$V$1001,0),MATCH(COLUMNS($AC$1006:AH1006),$AC$1006:$AS$1006,0)), HYPERLINK("#",""), HYPERLINK(CONCATENATE("#Metadata!", ADDRESS(INDEX($X$2:$X$1001,MATCH(ROWS($V$2:V992),$V$2:$V$1001,0),0), INDEX($AC$1004:$AS$1004,1,MATCH(COLUMNS($AC$1006:AH1006),$AC$1006:$AS$1006,0)))),"Fix")))</f>
        <v>0</v>
      </c>
      <c r="H992" s="5">
        <f>IF(OR(INDEX($W$2:$W$1001,MATCH(ROWS($V$2:V992),$V$2:$V$1001,0),1)&gt;=100000,INDEX($AC$1005:$AS$1005,1,MATCH(COLUMNS($AC$1006:AI1006),$AC$1006:$AS$1006,0))&gt;=100000), " ",IF(INDEX($AC$2:$AS$1001,MATCH(ROWS($V$2:V992),$V$2:$V$1001,0),MATCH(COLUMNS($AC$1006:AI1006),$AC$1006:$AS$1006,0)), HYPERLINK("#",""), HYPERLINK(CONCATENATE("#Metadata!", ADDRESS(INDEX($X$2:$X$1001,MATCH(ROWS($V$2:V992),$V$2:$V$1001,0),0), INDEX($AC$1004:$AS$1004,1,MATCH(COLUMNS($AC$1006:AI1006),$AC$1006:$AS$1006,0)))),"Fix")))</f>
        <v>0</v>
      </c>
      <c r="I992" s="5">
        <f>IF(OR(INDEX($W$2:$W$1001,MATCH(ROWS($V$2:V992),$V$2:$V$1001,0),1)&gt;=100000,INDEX($AC$1005:$AS$1005,1,MATCH(COLUMNS($AC$1006:AJ1006),$AC$1006:$AS$1006,0))&gt;=100000), " ",IF(INDEX($AC$2:$AS$1001,MATCH(ROWS($V$2:V992),$V$2:$V$1001,0),MATCH(COLUMNS($AC$1006:AJ1006),$AC$1006:$AS$1006,0)), HYPERLINK("#",""), HYPERLINK(CONCATENATE("#Metadata!", ADDRESS(INDEX($X$2:$X$1001,MATCH(ROWS($V$2:V992),$V$2:$V$1001,0),0), INDEX($AC$1004:$AS$1004,1,MATCH(COLUMNS($AC$1006:AJ1006),$AC$1006:$AS$1006,0)))),"Fix")))</f>
        <v>0</v>
      </c>
      <c r="J992" s="5">
        <f>IF(OR(INDEX($W$2:$W$1001,MATCH(ROWS($V$2:V992),$V$2:$V$1001,0),1)&gt;=100000,INDEX($AC$1005:$AS$1005,1,MATCH(COLUMNS($AC$1006:AK1006),$AC$1006:$AS$1006,0))&gt;=100000), " ",IF(INDEX($AC$2:$AS$1001,MATCH(ROWS($V$2:V992),$V$2:$V$1001,0),MATCH(COLUMNS($AC$1006:AK1006),$AC$1006:$AS$1006,0)), HYPERLINK("#",""), HYPERLINK(CONCATENATE("#Metadata!", ADDRESS(INDEX($X$2:$X$1001,MATCH(ROWS($V$2:V992),$V$2:$V$1001,0),0), INDEX($AC$1004:$AS$1004,1,MATCH(COLUMNS($AC$1006:AK1006),$AC$1006:$AS$1006,0)))),"Fix")))</f>
        <v>0</v>
      </c>
      <c r="K992" s="5">
        <f>IF(OR(INDEX($W$2:$W$1001,MATCH(ROWS($V$2:V992),$V$2:$V$1001,0),1)&gt;=100000,INDEX($AC$1005:$AS$1005,1,MATCH(COLUMNS($AC$1006:AL1006),$AC$1006:$AS$1006,0))&gt;=100000), " ",IF(INDEX($AC$2:$AS$1001,MATCH(ROWS($V$2:V992),$V$2:$V$1001,0),MATCH(COLUMNS($AC$1006:AL1006),$AC$1006:$AS$1006,0)), HYPERLINK("#",""), HYPERLINK(CONCATENATE("#Metadata!", ADDRESS(INDEX($X$2:$X$1001,MATCH(ROWS($V$2:V992),$V$2:$V$1001,0),0), INDEX($AC$1004:$AS$1004,1,MATCH(COLUMNS($AC$1006:AL1006),$AC$1006:$AS$1006,0)))),"Fix")))</f>
        <v>0</v>
      </c>
      <c r="L992" s="5">
        <f>IF(OR(INDEX($W$2:$W$1001,MATCH(ROWS($V$2:V992),$V$2:$V$1001,0),1)&gt;=100000,INDEX($AC$1005:$AS$1005,1,MATCH(COLUMNS($AC$1006:AM1006),$AC$1006:$AS$1006,0))&gt;=100000), " ",IF(INDEX($AC$2:$AS$1001,MATCH(ROWS($V$2:V992),$V$2:$V$1001,0),MATCH(COLUMNS($AC$1006:AM1006),$AC$1006:$AS$1006,0)), HYPERLINK("#",""), HYPERLINK(CONCATENATE("#Metadata!", ADDRESS(INDEX($X$2:$X$1001,MATCH(ROWS($V$2:V992),$V$2:$V$1001,0),0), INDEX($AC$1004:$AS$1004,1,MATCH(COLUMNS($AC$1006:AM1006),$AC$1006:$AS$1006,0)))),"Fix")))</f>
        <v>0</v>
      </c>
      <c r="M992" s="5">
        <f>IF(OR(INDEX($W$2:$W$1001,MATCH(ROWS($V$2:V992),$V$2:$V$1001,0),1)&gt;=100000,INDEX($AC$1005:$AS$1005,1,MATCH(COLUMNS($AC$1006:AN1006),$AC$1006:$AS$1006,0))&gt;=100000), " ",IF(INDEX($AC$2:$AS$1001,MATCH(ROWS($V$2:V992),$V$2:$V$1001,0),MATCH(COLUMNS($AC$1006:AN1006),$AC$1006:$AS$1006,0)), HYPERLINK("#",""), HYPERLINK(CONCATENATE("#Metadata!", ADDRESS(INDEX($X$2:$X$1001,MATCH(ROWS($V$2:V992),$V$2:$V$1001,0),0), INDEX($AC$1004:$AS$1004,1,MATCH(COLUMNS($AC$1006:AN1006),$AC$1006:$AS$1006,0)))),"Fix")))</f>
        <v>0</v>
      </c>
      <c r="N992" s="5">
        <f>IF(OR(INDEX($W$2:$W$1001,MATCH(ROWS($V$2:V992),$V$2:$V$1001,0),1)&gt;=100000,INDEX($AC$1005:$AS$1005,1,MATCH(COLUMNS($AC$1006:AO1006),$AC$1006:$AS$1006,0))&gt;=100000), " ",IF(INDEX($AC$2:$AS$1001,MATCH(ROWS($V$2:V992),$V$2:$V$1001,0),MATCH(COLUMNS($AC$1006:AO1006),$AC$1006:$AS$1006,0)), HYPERLINK("#",""), HYPERLINK(CONCATENATE("#Metadata!", ADDRESS(INDEX($X$2:$X$1001,MATCH(ROWS($V$2:V992),$V$2:$V$1001,0),0), INDEX($AC$1004:$AS$1004,1,MATCH(COLUMNS($AC$1006:AO1006),$AC$1006:$AS$1006,0)))),"Fix")))</f>
        <v>0</v>
      </c>
      <c r="O992" s="5">
        <f>IF(OR(INDEX($W$2:$W$1001,MATCH(ROWS($V$2:V992),$V$2:$V$1001,0),1)&gt;=100000,INDEX($AC$1005:$AS$1005,1,MATCH(COLUMNS($AC$1006:AP1006),$AC$1006:$AS$1006,0))&gt;=100000), " ",IF(INDEX($AC$2:$AS$1001,MATCH(ROWS($V$2:V992),$V$2:$V$1001,0),MATCH(COLUMNS($AC$1006:AP1006),$AC$1006:$AS$1006,0)), HYPERLINK("#",""), HYPERLINK(CONCATENATE("#Metadata!", ADDRESS(INDEX($X$2:$X$1001,MATCH(ROWS($V$2:V992),$V$2:$V$1001,0),0), INDEX($AC$1004:$AS$1004,1,MATCH(COLUMNS($AC$1006:AP1006),$AC$1006:$AS$1006,0)))),"Fix")))</f>
        <v>0</v>
      </c>
      <c r="P992" s="5">
        <f>IF(OR(INDEX($W$2:$W$1001,MATCH(ROWS($V$2:V992),$V$2:$V$1001,0),1)&gt;=100000,INDEX($AC$1005:$AS$1005,1,MATCH(COLUMNS($AC$1006:AQ1006),$AC$1006:$AS$1006,0))&gt;=100000), " ",IF(INDEX($AC$2:$AS$1001,MATCH(ROWS($V$2:V992),$V$2:$V$1001,0),MATCH(COLUMNS($AC$1006:AQ1006),$AC$1006:$AS$1006,0)), HYPERLINK("#",""), HYPERLINK(CONCATENATE("#Metadata!", ADDRESS(INDEX($X$2:$X$1001,MATCH(ROWS($V$2:V992),$V$2:$V$1001,0),0), INDEX($AC$1004:$AS$1004,1,MATCH(COLUMNS($AC$1006:AQ1006),$AC$1006:$AS$1006,0)))),"Fix")))</f>
        <v>0</v>
      </c>
      <c r="Q992" s="5">
        <f>IF(OR(INDEX($W$2:$W$1001,MATCH(ROWS($V$2:V992),$V$2:$V$1001,0),1)&gt;=100000,INDEX($AC$1005:$AS$1005,1,MATCH(COLUMNS($AC$1006:AR1006),$AC$1006:$AS$1006,0))&gt;=100000), " ",IF(INDEX($AC$2:$AS$1001,MATCH(ROWS($V$2:V992),$V$2:$V$1001,0),MATCH(COLUMNS($AC$1006:AR1006),$AC$1006:$AS$1006,0)), HYPERLINK("#",""), HYPERLINK(CONCATENATE("#Metadata!", ADDRESS(INDEX($X$2:$X$1001,MATCH(ROWS($V$2:V992),$V$2:$V$1001,0),0), INDEX($AC$1004:$AS$1004,1,MATCH(COLUMNS($AC$1006:AR1006),$AC$1006:$AS$1006,0)))),"Fix")))</f>
        <v>0</v>
      </c>
      <c r="R992" s="5">
        <f>IF(OR(INDEX($W$2:$W$1001,MATCH(ROWS($V$2:V992),$V$2:$V$1001,0),1)&gt;=100000,INDEX($AC$1005:$AS$1005,1,MATCH(COLUMNS($AC$1006:AS1006),$AC$1006:$AS$1006,0))&gt;=100000), " ",IF(INDEX($AC$2:$AS$1001,MATCH(ROWS($V$2:V992),$V$2:$V$1001,0),MATCH(COLUMNS($AC$1006:AS1006),$AC$1006:$AS$1006,0)), HYPERLINK("#",""), HYPERLINK(CONCATENATE("#Metadata!", ADDRESS(INDEX($X$2:$X$1001,MATCH(ROWS($V$2:V992),$V$2:$V$1001,0),0), INDEX($AC$1004:$AS$1004,1,MATCH(COLUMNS($AC$1006:AS1006),$AC$1006:$AS$1006,0)))),"Fix")))</f>
        <v>0</v>
      </c>
      <c r="V992">
        <v>0</v>
      </c>
      <c r="W992">
        <v>0</v>
      </c>
      <c r="X992">
        <v>0</v>
      </c>
      <c r="Y992">
        <f>IF(Z992,TRUE,AND(AC992:AS992))</f>
        <v>0</v>
      </c>
      <c r="Z992">
        <f>COUNTBLANK(Metadata!B992:R992)=COLUMNS(Metadata!B992:R992)</f>
        <v>0</v>
      </c>
      <c r="AA992">
        <v>0</v>
      </c>
      <c r="AC992">
        <f>AND(IF(Metadata!B992="",FALSE,TRUE),COUNTIF(Metadata!B:B, Metadata!B992) = 1,NOT(ISERROR(SUMPRODUCT(SEARCH(MID(Metadata!B992,ROW(INDIRECT("1:"&amp;LEN(Metadata!B992))), 1),"0123456789abcdefghijklmnopqrstuvwxyzABCDEFGHIJKLMNOPQRSTUVWXYZ.")))))</f>
        <v>0</v>
      </c>
      <c r="AD992">
        <f>AND(IF(Metadata!C992="",FALSE,TRUE),exact(Metadata!C992,"Host-associated"))</f>
        <v>0</v>
      </c>
      <c r="AE992">
        <f>AND(IF(Metadata!D992="",FALSE,TRUE),OR(exact(Metadata!D992,"Animal"),exact(Metadata!D992,"Fungus"),exact(Metadata!D992,"Plant")))</f>
        <v>0</v>
      </c>
      <c r="AF992">
        <f>AND(IF(Metadata!E992="",FALSE,TRUE),OR(exact(Metadata!E992,"Plant secretion"),exact(Metadata!E992,"Plant rhizosphere"),exact(Metadata!E992,"Plant surface"),exact(Metadata!E992,"Plant corpus"),exact(Metadata!E992,"Fungus surface"),exact(Metadata!E992,"Fungus corpus"),exact(Metadata!E992,"Animal surface"),exact(Metadata!E992,"Animal proximal gut"),exact(Metadata!E992,"Animal corpus"),exact(Metadata!E992,"Animal distal gut"),exact(Metadata!E992,"Animal secretion")))</f>
        <v>0</v>
      </c>
      <c r="AG992">
        <f>OR(AND(IF(Metadata!F992="",FALSE,TRUE),OR(exact(Metadata!F992,"not collected"),exact(Metadata!F992,"not provided"),exact(Metadata!F992,"restricted access"))),AND(IF(Metadata!F992="",FALSE,TRUE),OR(exact(Metadata!F992,"organism-associated habitat"),exact(Metadata!F992,"plant-associated habitat"),exact(Metadata!F992,"animal-associated habitat"),exact(Metadata!F992,"insecta-associated habitat"),exact(Metadata!F992,"mammalia-associated habitat"),exact(Metadata!F992,"human-associated habitat"),exact(Metadata!F992,"livestock-associated habitat"))))</f>
        <v>0</v>
      </c>
      <c r="AH992">
        <f>AND(IF(Metadata!G992="",FALSE,TRUE),exact(Metadata!G992,"host-associated"))</f>
        <v>0</v>
      </c>
      <c r="AI992">
        <f>OR(AND(IF(Metadata!H992="",FALSE,TRUE),OR(exact(Metadata!H992,"not collected"),exact(Metadata!H992,"not provided"))),AND(IF(Metadata!H992="",FALSE,ISNUMBER(VALUE(Metadata!H992))),Metadata!H992&gt;0))</f>
        <v>0</v>
      </c>
      <c r="AJ992">
        <f>AND(IF(Metadata!I992="",FALSE,TRUE),exact(Metadata!I992,"years"))</f>
        <v>0</v>
      </c>
      <c r="AK992">
        <f>IF(Metadata!J992="",FALSE,TRUE)</f>
        <v>0</v>
      </c>
      <c r="AL992">
        <f>OR(AND(IF(Metadata!K992="",FALSE,TRUE),OR(exact(Metadata!K992,"not collected"),exact(Metadata!K992,"not provided"))),AND(IF(Metadata!K992="",FALSE,ISNUMBER(VALUE(Metadata!K992))),Metadata!K992&gt;0))</f>
        <v>0</v>
      </c>
      <c r="AM992">
        <f>AND(IF(Metadata!L992="",FALSE,TRUE),exact(Metadata!L992,"cm"))</f>
        <v>0</v>
      </c>
      <c r="AN992">
        <f>IF(Metadata!M992="",FALSE,TRUE)</f>
        <v>0</v>
      </c>
      <c r="AO992">
        <f>OR(AND(IF(Metadata!N992="",FALSE,TRUE),OR(exact(Metadata!N992,"not applicable"),exact(Metadata!N992,"not collected"),exact(Metadata!N992,"not provided"))),AND(IF(Metadata!N992="",FALSE,IF(ISERROR(INT(Metadata!N992)),FALSE,INT(Metadata!N992)=Metadata!N992)),Metadata!N992&gt;0))</f>
        <v>0</v>
      </c>
      <c r="AP992">
        <f>OR(AND(IF(Metadata!O992="",FALSE,TRUE),OR(exact(Metadata!O992,"not collected"),exact(Metadata!O992,"not provided"))),AND(IF(Metadata!O992="",FALSE,ISNUMBER(VALUE(Metadata!O992))),Metadata!O992&gt;0))</f>
        <v>0</v>
      </c>
      <c r="AQ992">
        <f>AND(IF(Metadata!P992="",FALSE,TRUE),exact(Metadata!P992,"kg"))</f>
        <v>0</v>
      </c>
      <c r="AR992">
        <f>OR(AND(IF(Metadata!Q992="",FALSE,TRUE),OR(exact(Metadata!Q992,"not applicable"),exact(Metadata!Q992,"not collected"),exact(Metadata!Q992,"not provided"),exact(Metadata!Q992,"restricted access"))),IF(Metadata!Q992="",FALSE,IF(ISERROR(INT(Metadata!Q992)),FALSE,INT(Metadata!Q992)=Metadata!Q992)))</f>
        <v>0</v>
      </c>
      <c r="AS992">
        <f>AND(IF(Metadata!R992="",FALSE,TRUE),exact(Metadata!R992,"Not applicable"))</f>
        <v>0</v>
      </c>
    </row>
    <row r="993" spans="1:45">
      <c r="A993" s="4">
        <f>IF(B993=" "," ",HYPERLINK(CONCATENATE("#metadata!",ADDRESS(INDEX($X$2:$X$1001,MATCH(ROWS($V$2:V993),$V$2:$V$1001,0),0),2)),INDEX($AA$2:$AA$1001,MATCH(ROWS($V$2:V993),$V$2:$V$1001,0),0)))</f>
        <v>0</v>
      </c>
      <c r="B993" s="5">
        <f>IF(OR(INDEX($W$2:$W$1001,MATCH(ROWS($V$2:V993),$V$2:$V$1001,0),1)&gt;=100000,INDEX($AC$1005:$AS$1005,1,MATCH(COLUMNS($AC$1006:AC1006),$AC$1006:$AS$1006,0))&gt;=100000), " ",IF(INDEX($AC$2:$AS$1001,MATCH(ROWS($V$2:V993),$V$2:$V$1001,0),MATCH(COLUMNS($AC$1006:AC1006),$AC$1006:$AS$1006,0)), HYPERLINK("#",""), HYPERLINK(CONCATENATE("#Metadata!", ADDRESS(INDEX($X$2:$X$1001,MATCH(ROWS($V$2:V993),$V$2:$V$1001,0),0), INDEX($AC$1004:$AS$1004,1,MATCH(COLUMNS($AC$1006:AC1006),$AC$1006:$AS$1006,0)))),"Fix")))</f>
        <v>0</v>
      </c>
      <c r="C993" s="5">
        <f>IF(OR(INDEX($W$2:$W$1001,MATCH(ROWS($V$2:V993),$V$2:$V$1001,0),1)&gt;=100000,INDEX($AC$1005:$AS$1005,1,MATCH(COLUMNS($AC$1006:AD1006),$AC$1006:$AS$1006,0))&gt;=100000), " ",IF(INDEX($AC$2:$AS$1001,MATCH(ROWS($V$2:V993),$V$2:$V$1001,0),MATCH(COLUMNS($AC$1006:AD1006),$AC$1006:$AS$1006,0)), HYPERLINK("#",""), HYPERLINK(CONCATENATE("#Metadata!", ADDRESS(INDEX($X$2:$X$1001,MATCH(ROWS($V$2:V993),$V$2:$V$1001,0),0), INDEX($AC$1004:$AS$1004,1,MATCH(COLUMNS($AC$1006:AD1006),$AC$1006:$AS$1006,0)))),"Fix")))</f>
        <v>0</v>
      </c>
      <c r="D993" s="5">
        <f>IF(OR(INDEX($W$2:$W$1001,MATCH(ROWS($V$2:V993),$V$2:$V$1001,0),1)&gt;=100000,INDEX($AC$1005:$AS$1005,1,MATCH(COLUMNS($AC$1006:AE1006),$AC$1006:$AS$1006,0))&gt;=100000), " ",IF(INDEX($AC$2:$AS$1001,MATCH(ROWS($V$2:V993),$V$2:$V$1001,0),MATCH(COLUMNS($AC$1006:AE1006),$AC$1006:$AS$1006,0)), HYPERLINK("#",""), HYPERLINK(CONCATENATE("#Metadata!", ADDRESS(INDEX($X$2:$X$1001,MATCH(ROWS($V$2:V993),$V$2:$V$1001,0),0), INDEX($AC$1004:$AS$1004,1,MATCH(COLUMNS($AC$1006:AE1006),$AC$1006:$AS$1006,0)))),"Fix")))</f>
        <v>0</v>
      </c>
      <c r="E993" s="5">
        <f>IF(OR(INDEX($W$2:$W$1001,MATCH(ROWS($V$2:V993),$V$2:$V$1001,0),1)&gt;=100000,INDEX($AC$1005:$AS$1005,1,MATCH(COLUMNS($AC$1006:AF1006),$AC$1006:$AS$1006,0))&gt;=100000), " ",IF(INDEX($AC$2:$AS$1001,MATCH(ROWS($V$2:V993),$V$2:$V$1001,0),MATCH(COLUMNS($AC$1006:AF1006),$AC$1006:$AS$1006,0)), HYPERLINK("#",""), HYPERLINK(CONCATENATE("#Metadata!", ADDRESS(INDEX($X$2:$X$1001,MATCH(ROWS($V$2:V993),$V$2:$V$1001,0),0), INDEX($AC$1004:$AS$1004,1,MATCH(COLUMNS($AC$1006:AF1006),$AC$1006:$AS$1006,0)))),"Fix")))</f>
        <v>0</v>
      </c>
      <c r="F993" s="5">
        <f>IF(OR(INDEX($W$2:$W$1001,MATCH(ROWS($V$2:V993),$V$2:$V$1001,0),1)&gt;=100000,INDEX($AC$1005:$AS$1005,1,MATCH(COLUMNS($AC$1006:AG1006),$AC$1006:$AS$1006,0))&gt;=100000), " ",IF(INDEX($AC$2:$AS$1001,MATCH(ROWS($V$2:V993),$V$2:$V$1001,0),MATCH(COLUMNS($AC$1006:AG1006),$AC$1006:$AS$1006,0)), HYPERLINK("#",""), HYPERLINK(CONCATENATE("#Metadata!", ADDRESS(INDEX($X$2:$X$1001,MATCH(ROWS($V$2:V993),$V$2:$V$1001,0),0), INDEX($AC$1004:$AS$1004,1,MATCH(COLUMNS($AC$1006:AG1006),$AC$1006:$AS$1006,0)))),"Fix")))</f>
        <v>0</v>
      </c>
      <c r="G993" s="5">
        <f>IF(OR(INDEX($W$2:$W$1001,MATCH(ROWS($V$2:V993),$V$2:$V$1001,0),1)&gt;=100000,INDEX($AC$1005:$AS$1005,1,MATCH(COLUMNS($AC$1006:AH1006),$AC$1006:$AS$1006,0))&gt;=100000), " ",IF(INDEX($AC$2:$AS$1001,MATCH(ROWS($V$2:V993),$V$2:$V$1001,0),MATCH(COLUMNS($AC$1006:AH1006),$AC$1006:$AS$1006,0)), HYPERLINK("#",""), HYPERLINK(CONCATENATE("#Metadata!", ADDRESS(INDEX($X$2:$X$1001,MATCH(ROWS($V$2:V993),$V$2:$V$1001,0),0), INDEX($AC$1004:$AS$1004,1,MATCH(COLUMNS($AC$1006:AH1006),$AC$1006:$AS$1006,0)))),"Fix")))</f>
        <v>0</v>
      </c>
      <c r="H993" s="5">
        <f>IF(OR(INDEX($W$2:$W$1001,MATCH(ROWS($V$2:V993),$V$2:$V$1001,0),1)&gt;=100000,INDEX($AC$1005:$AS$1005,1,MATCH(COLUMNS($AC$1006:AI1006),$AC$1006:$AS$1006,0))&gt;=100000), " ",IF(INDEX($AC$2:$AS$1001,MATCH(ROWS($V$2:V993),$V$2:$V$1001,0),MATCH(COLUMNS($AC$1006:AI1006),$AC$1006:$AS$1006,0)), HYPERLINK("#",""), HYPERLINK(CONCATENATE("#Metadata!", ADDRESS(INDEX($X$2:$X$1001,MATCH(ROWS($V$2:V993),$V$2:$V$1001,0),0), INDEX($AC$1004:$AS$1004,1,MATCH(COLUMNS($AC$1006:AI1006),$AC$1006:$AS$1006,0)))),"Fix")))</f>
        <v>0</v>
      </c>
      <c r="I993" s="5">
        <f>IF(OR(INDEX($W$2:$W$1001,MATCH(ROWS($V$2:V993),$V$2:$V$1001,0),1)&gt;=100000,INDEX($AC$1005:$AS$1005,1,MATCH(COLUMNS($AC$1006:AJ1006),$AC$1006:$AS$1006,0))&gt;=100000), " ",IF(INDEX($AC$2:$AS$1001,MATCH(ROWS($V$2:V993),$V$2:$V$1001,0),MATCH(COLUMNS($AC$1006:AJ1006),$AC$1006:$AS$1006,0)), HYPERLINK("#",""), HYPERLINK(CONCATENATE("#Metadata!", ADDRESS(INDEX($X$2:$X$1001,MATCH(ROWS($V$2:V993),$V$2:$V$1001,0),0), INDEX($AC$1004:$AS$1004,1,MATCH(COLUMNS($AC$1006:AJ1006),$AC$1006:$AS$1006,0)))),"Fix")))</f>
        <v>0</v>
      </c>
      <c r="J993" s="5">
        <f>IF(OR(INDEX($W$2:$W$1001,MATCH(ROWS($V$2:V993),$V$2:$V$1001,0),1)&gt;=100000,INDEX($AC$1005:$AS$1005,1,MATCH(COLUMNS($AC$1006:AK1006),$AC$1006:$AS$1006,0))&gt;=100000), " ",IF(INDEX($AC$2:$AS$1001,MATCH(ROWS($V$2:V993),$V$2:$V$1001,0),MATCH(COLUMNS($AC$1006:AK1006),$AC$1006:$AS$1006,0)), HYPERLINK("#",""), HYPERLINK(CONCATENATE("#Metadata!", ADDRESS(INDEX($X$2:$X$1001,MATCH(ROWS($V$2:V993),$V$2:$V$1001,0),0), INDEX($AC$1004:$AS$1004,1,MATCH(COLUMNS($AC$1006:AK1006),$AC$1006:$AS$1006,0)))),"Fix")))</f>
        <v>0</v>
      </c>
      <c r="K993" s="5">
        <f>IF(OR(INDEX($W$2:$W$1001,MATCH(ROWS($V$2:V993),$V$2:$V$1001,0),1)&gt;=100000,INDEX($AC$1005:$AS$1005,1,MATCH(COLUMNS($AC$1006:AL1006),$AC$1006:$AS$1006,0))&gt;=100000), " ",IF(INDEX($AC$2:$AS$1001,MATCH(ROWS($V$2:V993),$V$2:$V$1001,0),MATCH(COLUMNS($AC$1006:AL1006),$AC$1006:$AS$1006,0)), HYPERLINK("#",""), HYPERLINK(CONCATENATE("#Metadata!", ADDRESS(INDEX($X$2:$X$1001,MATCH(ROWS($V$2:V993),$V$2:$V$1001,0),0), INDEX($AC$1004:$AS$1004,1,MATCH(COLUMNS($AC$1006:AL1006),$AC$1006:$AS$1006,0)))),"Fix")))</f>
        <v>0</v>
      </c>
      <c r="L993" s="5">
        <f>IF(OR(INDEX($W$2:$W$1001,MATCH(ROWS($V$2:V993),$V$2:$V$1001,0),1)&gt;=100000,INDEX($AC$1005:$AS$1005,1,MATCH(COLUMNS($AC$1006:AM1006),$AC$1006:$AS$1006,0))&gt;=100000), " ",IF(INDEX($AC$2:$AS$1001,MATCH(ROWS($V$2:V993),$V$2:$V$1001,0),MATCH(COLUMNS($AC$1006:AM1006),$AC$1006:$AS$1006,0)), HYPERLINK("#",""), HYPERLINK(CONCATENATE("#Metadata!", ADDRESS(INDEX($X$2:$X$1001,MATCH(ROWS($V$2:V993),$V$2:$V$1001,0),0), INDEX($AC$1004:$AS$1004,1,MATCH(COLUMNS($AC$1006:AM1006),$AC$1006:$AS$1006,0)))),"Fix")))</f>
        <v>0</v>
      </c>
      <c r="M993" s="5">
        <f>IF(OR(INDEX($W$2:$W$1001,MATCH(ROWS($V$2:V993),$V$2:$V$1001,0),1)&gt;=100000,INDEX($AC$1005:$AS$1005,1,MATCH(COLUMNS($AC$1006:AN1006),$AC$1006:$AS$1006,0))&gt;=100000), " ",IF(INDEX($AC$2:$AS$1001,MATCH(ROWS($V$2:V993),$V$2:$V$1001,0),MATCH(COLUMNS($AC$1006:AN1006),$AC$1006:$AS$1006,0)), HYPERLINK("#",""), HYPERLINK(CONCATENATE("#Metadata!", ADDRESS(INDEX($X$2:$X$1001,MATCH(ROWS($V$2:V993),$V$2:$V$1001,0),0), INDEX($AC$1004:$AS$1004,1,MATCH(COLUMNS($AC$1006:AN1006),$AC$1006:$AS$1006,0)))),"Fix")))</f>
        <v>0</v>
      </c>
      <c r="N993" s="5">
        <f>IF(OR(INDEX($W$2:$W$1001,MATCH(ROWS($V$2:V993),$V$2:$V$1001,0),1)&gt;=100000,INDEX($AC$1005:$AS$1005,1,MATCH(COLUMNS($AC$1006:AO1006),$AC$1006:$AS$1006,0))&gt;=100000), " ",IF(INDEX($AC$2:$AS$1001,MATCH(ROWS($V$2:V993),$V$2:$V$1001,0),MATCH(COLUMNS($AC$1006:AO1006),$AC$1006:$AS$1006,0)), HYPERLINK("#",""), HYPERLINK(CONCATENATE("#Metadata!", ADDRESS(INDEX($X$2:$X$1001,MATCH(ROWS($V$2:V993),$V$2:$V$1001,0),0), INDEX($AC$1004:$AS$1004,1,MATCH(COLUMNS($AC$1006:AO1006),$AC$1006:$AS$1006,0)))),"Fix")))</f>
        <v>0</v>
      </c>
      <c r="O993" s="5">
        <f>IF(OR(INDEX($W$2:$W$1001,MATCH(ROWS($V$2:V993),$V$2:$V$1001,0),1)&gt;=100000,INDEX($AC$1005:$AS$1005,1,MATCH(COLUMNS($AC$1006:AP1006),$AC$1006:$AS$1006,0))&gt;=100000), " ",IF(INDEX($AC$2:$AS$1001,MATCH(ROWS($V$2:V993),$V$2:$V$1001,0),MATCH(COLUMNS($AC$1006:AP1006),$AC$1006:$AS$1006,0)), HYPERLINK("#",""), HYPERLINK(CONCATENATE("#Metadata!", ADDRESS(INDEX($X$2:$X$1001,MATCH(ROWS($V$2:V993),$V$2:$V$1001,0),0), INDEX($AC$1004:$AS$1004,1,MATCH(COLUMNS($AC$1006:AP1006),$AC$1006:$AS$1006,0)))),"Fix")))</f>
        <v>0</v>
      </c>
      <c r="P993" s="5">
        <f>IF(OR(INDEX($W$2:$W$1001,MATCH(ROWS($V$2:V993),$V$2:$V$1001,0),1)&gt;=100000,INDEX($AC$1005:$AS$1005,1,MATCH(COLUMNS($AC$1006:AQ1006),$AC$1006:$AS$1006,0))&gt;=100000), " ",IF(INDEX($AC$2:$AS$1001,MATCH(ROWS($V$2:V993),$V$2:$V$1001,0),MATCH(COLUMNS($AC$1006:AQ1006),$AC$1006:$AS$1006,0)), HYPERLINK("#",""), HYPERLINK(CONCATENATE("#Metadata!", ADDRESS(INDEX($X$2:$X$1001,MATCH(ROWS($V$2:V993),$V$2:$V$1001,0),0), INDEX($AC$1004:$AS$1004,1,MATCH(COLUMNS($AC$1006:AQ1006),$AC$1006:$AS$1006,0)))),"Fix")))</f>
        <v>0</v>
      </c>
      <c r="Q993" s="5">
        <f>IF(OR(INDEX($W$2:$W$1001,MATCH(ROWS($V$2:V993),$V$2:$V$1001,0),1)&gt;=100000,INDEX($AC$1005:$AS$1005,1,MATCH(COLUMNS($AC$1006:AR1006),$AC$1006:$AS$1006,0))&gt;=100000), " ",IF(INDEX($AC$2:$AS$1001,MATCH(ROWS($V$2:V993),$V$2:$V$1001,0),MATCH(COLUMNS($AC$1006:AR1006),$AC$1006:$AS$1006,0)), HYPERLINK("#",""), HYPERLINK(CONCATENATE("#Metadata!", ADDRESS(INDEX($X$2:$X$1001,MATCH(ROWS($V$2:V993),$V$2:$V$1001,0),0), INDEX($AC$1004:$AS$1004,1,MATCH(COLUMNS($AC$1006:AR1006),$AC$1006:$AS$1006,0)))),"Fix")))</f>
        <v>0</v>
      </c>
      <c r="R993" s="5">
        <f>IF(OR(INDEX($W$2:$W$1001,MATCH(ROWS($V$2:V993),$V$2:$V$1001,0),1)&gt;=100000,INDEX($AC$1005:$AS$1005,1,MATCH(COLUMNS($AC$1006:AS1006),$AC$1006:$AS$1006,0))&gt;=100000), " ",IF(INDEX($AC$2:$AS$1001,MATCH(ROWS($V$2:V993),$V$2:$V$1001,0),MATCH(COLUMNS($AC$1006:AS1006),$AC$1006:$AS$1006,0)), HYPERLINK("#",""), HYPERLINK(CONCATENATE("#Metadata!", ADDRESS(INDEX($X$2:$X$1001,MATCH(ROWS($V$2:V993),$V$2:$V$1001,0),0), INDEX($AC$1004:$AS$1004,1,MATCH(COLUMNS($AC$1006:AS1006),$AC$1006:$AS$1006,0)))),"Fix")))</f>
        <v>0</v>
      </c>
      <c r="V993">
        <v>0</v>
      </c>
      <c r="W993">
        <v>0</v>
      </c>
      <c r="X993">
        <v>0</v>
      </c>
      <c r="Y993">
        <f>IF(Z993,TRUE,AND(AC993:AS993))</f>
        <v>0</v>
      </c>
      <c r="Z993">
        <f>COUNTBLANK(Metadata!B993:R993)=COLUMNS(Metadata!B993:R993)</f>
        <v>0</v>
      </c>
      <c r="AA993">
        <v>0</v>
      </c>
      <c r="AC993">
        <f>AND(IF(Metadata!B993="",FALSE,TRUE),COUNTIF(Metadata!B:B, Metadata!B993) = 1,NOT(ISERROR(SUMPRODUCT(SEARCH(MID(Metadata!B993,ROW(INDIRECT("1:"&amp;LEN(Metadata!B993))), 1),"0123456789abcdefghijklmnopqrstuvwxyzABCDEFGHIJKLMNOPQRSTUVWXYZ.")))))</f>
        <v>0</v>
      </c>
      <c r="AD993">
        <f>AND(IF(Metadata!C993="",FALSE,TRUE),exact(Metadata!C993,"Host-associated"))</f>
        <v>0</v>
      </c>
      <c r="AE993">
        <f>AND(IF(Metadata!D993="",FALSE,TRUE),OR(exact(Metadata!D993,"Animal"),exact(Metadata!D993,"Fungus"),exact(Metadata!D993,"Plant")))</f>
        <v>0</v>
      </c>
      <c r="AF993">
        <f>AND(IF(Metadata!E993="",FALSE,TRUE),OR(exact(Metadata!E993,"Plant secretion"),exact(Metadata!E993,"Plant rhizosphere"),exact(Metadata!E993,"Plant surface"),exact(Metadata!E993,"Plant corpus"),exact(Metadata!E993,"Fungus surface"),exact(Metadata!E993,"Fungus corpus"),exact(Metadata!E993,"Animal surface"),exact(Metadata!E993,"Animal proximal gut"),exact(Metadata!E993,"Animal corpus"),exact(Metadata!E993,"Animal distal gut"),exact(Metadata!E993,"Animal secretion")))</f>
        <v>0</v>
      </c>
      <c r="AG993">
        <f>OR(AND(IF(Metadata!F993="",FALSE,TRUE),OR(exact(Metadata!F993,"not collected"),exact(Metadata!F993,"not provided"),exact(Metadata!F993,"restricted access"))),AND(IF(Metadata!F993="",FALSE,TRUE),OR(exact(Metadata!F993,"organism-associated habitat"),exact(Metadata!F993,"plant-associated habitat"),exact(Metadata!F993,"animal-associated habitat"),exact(Metadata!F993,"insecta-associated habitat"),exact(Metadata!F993,"mammalia-associated habitat"),exact(Metadata!F993,"human-associated habitat"),exact(Metadata!F993,"livestock-associated habitat"))))</f>
        <v>0</v>
      </c>
      <c r="AH993">
        <f>AND(IF(Metadata!G993="",FALSE,TRUE),exact(Metadata!G993,"host-associated"))</f>
        <v>0</v>
      </c>
      <c r="AI993">
        <f>OR(AND(IF(Metadata!H993="",FALSE,TRUE),OR(exact(Metadata!H993,"not collected"),exact(Metadata!H993,"not provided"))),AND(IF(Metadata!H993="",FALSE,ISNUMBER(VALUE(Metadata!H993))),Metadata!H993&gt;0))</f>
        <v>0</v>
      </c>
      <c r="AJ993">
        <f>AND(IF(Metadata!I993="",FALSE,TRUE),exact(Metadata!I993,"years"))</f>
        <v>0</v>
      </c>
      <c r="AK993">
        <f>IF(Metadata!J993="",FALSE,TRUE)</f>
        <v>0</v>
      </c>
      <c r="AL993">
        <f>OR(AND(IF(Metadata!K993="",FALSE,TRUE),OR(exact(Metadata!K993,"not collected"),exact(Metadata!K993,"not provided"))),AND(IF(Metadata!K993="",FALSE,ISNUMBER(VALUE(Metadata!K993))),Metadata!K993&gt;0))</f>
        <v>0</v>
      </c>
      <c r="AM993">
        <f>AND(IF(Metadata!L993="",FALSE,TRUE),exact(Metadata!L993,"cm"))</f>
        <v>0</v>
      </c>
      <c r="AN993">
        <f>IF(Metadata!M993="",FALSE,TRUE)</f>
        <v>0</v>
      </c>
      <c r="AO993">
        <f>OR(AND(IF(Metadata!N993="",FALSE,TRUE),OR(exact(Metadata!N993,"not applicable"),exact(Metadata!N993,"not collected"),exact(Metadata!N993,"not provided"))),AND(IF(Metadata!N993="",FALSE,IF(ISERROR(INT(Metadata!N993)),FALSE,INT(Metadata!N993)=Metadata!N993)),Metadata!N993&gt;0))</f>
        <v>0</v>
      </c>
      <c r="AP993">
        <f>OR(AND(IF(Metadata!O993="",FALSE,TRUE),OR(exact(Metadata!O993,"not collected"),exact(Metadata!O993,"not provided"))),AND(IF(Metadata!O993="",FALSE,ISNUMBER(VALUE(Metadata!O993))),Metadata!O993&gt;0))</f>
        <v>0</v>
      </c>
      <c r="AQ993">
        <f>AND(IF(Metadata!P993="",FALSE,TRUE),exact(Metadata!P993,"kg"))</f>
        <v>0</v>
      </c>
      <c r="AR993">
        <f>OR(AND(IF(Metadata!Q993="",FALSE,TRUE),OR(exact(Metadata!Q993,"not applicable"),exact(Metadata!Q993,"not collected"),exact(Metadata!Q993,"not provided"),exact(Metadata!Q993,"restricted access"))),IF(Metadata!Q993="",FALSE,IF(ISERROR(INT(Metadata!Q993)),FALSE,INT(Metadata!Q993)=Metadata!Q993)))</f>
        <v>0</v>
      </c>
      <c r="AS993">
        <f>AND(IF(Metadata!R993="",FALSE,TRUE),exact(Metadata!R993,"Not applicable"))</f>
        <v>0</v>
      </c>
    </row>
    <row r="994" spans="1:45">
      <c r="A994" s="4">
        <f>IF(B994=" "," ",HYPERLINK(CONCATENATE("#metadata!",ADDRESS(INDEX($X$2:$X$1001,MATCH(ROWS($V$2:V994),$V$2:$V$1001,0),0),2)),INDEX($AA$2:$AA$1001,MATCH(ROWS($V$2:V994),$V$2:$V$1001,0),0)))</f>
        <v>0</v>
      </c>
      <c r="B994" s="5">
        <f>IF(OR(INDEX($W$2:$W$1001,MATCH(ROWS($V$2:V994),$V$2:$V$1001,0),1)&gt;=100000,INDEX($AC$1005:$AS$1005,1,MATCH(COLUMNS($AC$1006:AC1006),$AC$1006:$AS$1006,0))&gt;=100000), " ",IF(INDEX($AC$2:$AS$1001,MATCH(ROWS($V$2:V994),$V$2:$V$1001,0),MATCH(COLUMNS($AC$1006:AC1006),$AC$1006:$AS$1006,0)), HYPERLINK("#",""), HYPERLINK(CONCATENATE("#Metadata!", ADDRESS(INDEX($X$2:$X$1001,MATCH(ROWS($V$2:V994),$V$2:$V$1001,0),0), INDEX($AC$1004:$AS$1004,1,MATCH(COLUMNS($AC$1006:AC1006),$AC$1006:$AS$1006,0)))),"Fix")))</f>
        <v>0</v>
      </c>
      <c r="C994" s="5">
        <f>IF(OR(INDEX($W$2:$W$1001,MATCH(ROWS($V$2:V994),$V$2:$V$1001,0),1)&gt;=100000,INDEX($AC$1005:$AS$1005,1,MATCH(COLUMNS($AC$1006:AD1006),$AC$1006:$AS$1006,0))&gt;=100000), " ",IF(INDEX($AC$2:$AS$1001,MATCH(ROWS($V$2:V994),$V$2:$V$1001,0),MATCH(COLUMNS($AC$1006:AD1006),$AC$1006:$AS$1006,0)), HYPERLINK("#",""), HYPERLINK(CONCATENATE("#Metadata!", ADDRESS(INDEX($X$2:$X$1001,MATCH(ROWS($V$2:V994),$V$2:$V$1001,0),0), INDEX($AC$1004:$AS$1004,1,MATCH(COLUMNS($AC$1006:AD1006),$AC$1006:$AS$1006,0)))),"Fix")))</f>
        <v>0</v>
      </c>
      <c r="D994" s="5">
        <f>IF(OR(INDEX($W$2:$W$1001,MATCH(ROWS($V$2:V994),$V$2:$V$1001,0),1)&gt;=100000,INDEX($AC$1005:$AS$1005,1,MATCH(COLUMNS($AC$1006:AE1006),$AC$1006:$AS$1006,0))&gt;=100000), " ",IF(INDEX($AC$2:$AS$1001,MATCH(ROWS($V$2:V994),$V$2:$V$1001,0),MATCH(COLUMNS($AC$1006:AE1006),$AC$1006:$AS$1006,0)), HYPERLINK("#",""), HYPERLINK(CONCATENATE("#Metadata!", ADDRESS(INDEX($X$2:$X$1001,MATCH(ROWS($V$2:V994),$V$2:$V$1001,0),0), INDEX($AC$1004:$AS$1004,1,MATCH(COLUMNS($AC$1006:AE1006),$AC$1006:$AS$1006,0)))),"Fix")))</f>
        <v>0</v>
      </c>
      <c r="E994" s="5">
        <f>IF(OR(INDEX($W$2:$W$1001,MATCH(ROWS($V$2:V994),$V$2:$V$1001,0),1)&gt;=100000,INDEX($AC$1005:$AS$1005,1,MATCH(COLUMNS($AC$1006:AF1006),$AC$1006:$AS$1006,0))&gt;=100000), " ",IF(INDEX($AC$2:$AS$1001,MATCH(ROWS($V$2:V994),$V$2:$V$1001,0),MATCH(COLUMNS($AC$1006:AF1006),$AC$1006:$AS$1006,0)), HYPERLINK("#",""), HYPERLINK(CONCATENATE("#Metadata!", ADDRESS(INDEX($X$2:$X$1001,MATCH(ROWS($V$2:V994),$V$2:$V$1001,0),0), INDEX($AC$1004:$AS$1004,1,MATCH(COLUMNS($AC$1006:AF1006),$AC$1006:$AS$1006,0)))),"Fix")))</f>
        <v>0</v>
      </c>
      <c r="F994" s="5">
        <f>IF(OR(INDEX($W$2:$W$1001,MATCH(ROWS($V$2:V994),$V$2:$V$1001,0),1)&gt;=100000,INDEX($AC$1005:$AS$1005,1,MATCH(COLUMNS($AC$1006:AG1006),$AC$1006:$AS$1006,0))&gt;=100000), " ",IF(INDEX($AC$2:$AS$1001,MATCH(ROWS($V$2:V994),$V$2:$V$1001,0),MATCH(COLUMNS($AC$1006:AG1006),$AC$1006:$AS$1006,0)), HYPERLINK("#",""), HYPERLINK(CONCATENATE("#Metadata!", ADDRESS(INDEX($X$2:$X$1001,MATCH(ROWS($V$2:V994),$V$2:$V$1001,0),0), INDEX($AC$1004:$AS$1004,1,MATCH(COLUMNS($AC$1006:AG1006),$AC$1006:$AS$1006,0)))),"Fix")))</f>
        <v>0</v>
      </c>
      <c r="G994" s="5">
        <f>IF(OR(INDEX($W$2:$W$1001,MATCH(ROWS($V$2:V994),$V$2:$V$1001,0),1)&gt;=100000,INDEX($AC$1005:$AS$1005,1,MATCH(COLUMNS($AC$1006:AH1006),$AC$1006:$AS$1006,0))&gt;=100000), " ",IF(INDEX($AC$2:$AS$1001,MATCH(ROWS($V$2:V994),$V$2:$V$1001,0),MATCH(COLUMNS($AC$1006:AH1006),$AC$1006:$AS$1006,0)), HYPERLINK("#",""), HYPERLINK(CONCATENATE("#Metadata!", ADDRESS(INDEX($X$2:$X$1001,MATCH(ROWS($V$2:V994),$V$2:$V$1001,0),0), INDEX($AC$1004:$AS$1004,1,MATCH(COLUMNS($AC$1006:AH1006),$AC$1006:$AS$1006,0)))),"Fix")))</f>
        <v>0</v>
      </c>
      <c r="H994" s="5">
        <f>IF(OR(INDEX($W$2:$W$1001,MATCH(ROWS($V$2:V994),$V$2:$V$1001,0),1)&gt;=100000,INDEX($AC$1005:$AS$1005,1,MATCH(COLUMNS($AC$1006:AI1006),$AC$1006:$AS$1006,0))&gt;=100000), " ",IF(INDEX($AC$2:$AS$1001,MATCH(ROWS($V$2:V994),$V$2:$V$1001,0),MATCH(COLUMNS($AC$1006:AI1006),$AC$1006:$AS$1006,0)), HYPERLINK("#",""), HYPERLINK(CONCATENATE("#Metadata!", ADDRESS(INDEX($X$2:$X$1001,MATCH(ROWS($V$2:V994),$V$2:$V$1001,0),0), INDEX($AC$1004:$AS$1004,1,MATCH(COLUMNS($AC$1006:AI1006),$AC$1006:$AS$1006,0)))),"Fix")))</f>
        <v>0</v>
      </c>
      <c r="I994" s="5">
        <f>IF(OR(INDEX($W$2:$W$1001,MATCH(ROWS($V$2:V994),$V$2:$V$1001,0),1)&gt;=100000,INDEX($AC$1005:$AS$1005,1,MATCH(COLUMNS($AC$1006:AJ1006),$AC$1006:$AS$1006,0))&gt;=100000), " ",IF(INDEX($AC$2:$AS$1001,MATCH(ROWS($V$2:V994),$V$2:$V$1001,0),MATCH(COLUMNS($AC$1006:AJ1006),$AC$1006:$AS$1006,0)), HYPERLINK("#",""), HYPERLINK(CONCATENATE("#Metadata!", ADDRESS(INDEX($X$2:$X$1001,MATCH(ROWS($V$2:V994),$V$2:$V$1001,0),0), INDEX($AC$1004:$AS$1004,1,MATCH(COLUMNS($AC$1006:AJ1006),$AC$1006:$AS$1006,0)))),"Fix")))</f>
        <v>0</v>
      </c>
      <c r="J994" s="5">
        <f>IF(OR(INDEX($W$2:$W$1001,MATCH(ROWS($V$2:V994),$V$2:$V$1001,0),1)&gt;=100000,INDEX($AC$1005:$AS$1005,1,MATCH(COLUMNS($AC$1006:AK1006),$AC$1006:$AS$1006,0))&gt;=100000), " ",IF(INDEX($AC$2:$AS$1001,MATCH(ROWS($V$2:V994),$V$2:$V$1001,0),MATCH(COLUMNS($AC$1006:AK1006),$AC$1006:$AS$1006,0)), HYPERLINK("#",""), HYPERLINK(CONCATENATE("#Metadata!", ADDRESS(INDEX($X$2:$X$1001,MATCH(ROWS($V$2:V994),$V$2:$V$1001,0),0), INDEX($AC$1004:$AS$1004,1,MATCH(COLUMNS($AC$1006:AK1006),$AC$1006:$AS$1006,0)))),"Fix")))</f>
        <v>0</v>
      </c>
      <c r="K994" s="5">
        <f>IF(OR(INDEX($W$2:$W$1001,MATCH(ROWS($V$2:V994),$V$2:$V$1001,0),1)&gt;=100000,INDEX($AC$1005:$AS$1005,1,MATCH(COLUMNS($AC$1006:AL1006),$AC$1006:$AS$1006,0))&gt;=100000), " ",IF(INDEX($AC$2:$AS$1001,MATCH(ROWS($V$2:V994),$V$2:$V$1001,0),MATCH(COLUMNS($AC$1006:AL1006),$AC$1006:$AS$1006,0)), HYPERLINK("#",""), HYPERLINK(CONCATENATE("#Metadata!", ADDRESS(INDEX($X$2:$X$1001,MATCH(ROWS($V$2:V994),$V$2:$V$1001,0),0), INDEX($AC$1004:$AS$1004,1,MATCH(COLUMNS($AC$1006:AL1006),$AC$1006:$AS$1006,0)))),"Fix")))</f>
        <v>0</v>
      </c>
      <c r="L994" s="5">
        <f>IF(OR(INDEX($W$2:$W$1001,MATCH(ROWS($V$2:V994),$V$2:$V$1001,0),1)&gt;=100000,INDEX($AC$1005:$AS$1005,1,MATCH(COLUMNS($AC$1006:AM1006),$AC$1006:$AS$1006,0))&gt;=100000), " ",IF(INDEX($AC$2:$AS$1001,MATCH(ROWS($V$2:V994),$V$2:$V$1001,0),MATCH(COLUMNS($AC$1006:AM1006),$AC$1006:$AS$1006,0)), HYPERLINK("#",""), HYPERLINK(CONCATENATE("#Metadata!", ADDRESS(INDEX($X$2:$X$1001,MATCH(ROWS($V$2:V994),$V$2:$V$1001,0),0), INDEX($AC$1004:$AS$1004,1,MATCH(COLUMNS($AC$1006:AM1006),$AC$1006:$AS$1006,0)))),"Fix")))</f>
        <v>0</v>
      </c>
      <c r="M994" s="5">
        <f>IF(OR(INDEX($W$2:$W$1001,MATCH(ROWS($V$2:V994),$V$2:$V$1001,0),1)&gt;=100000,INDEX($AC$1005:$AS$1005,1,MATCH(COLUMNS($AC$1006:AN1006),$AC$1006:$AS$1006,0))&gt;=100000), " ",IF(INDEX($AC$2:$AS$1001,MATCH(ROWS($V$2:V994),$V$2:$V$1001,0),MATCH(COLUMNS($AC$1006:AN1006),$AC$1006:$AS$1006,0)), HYPERLINK("#",""), HYPERLINK(CONCATENATE("#Metadata!", ADDRESS(INDEX($X$2:$X$1001,MATCH(ROWS($V$2:V994),$V$2:$V$1001,0),0), INDEX($AC$1004:$AS$1004,1,MATCH(COLUMNS($AC$1006:AN1006),$AC$1006:$AS$1006,0)))),"Fix")))</f>
        <v>0</v>
      </c>
      <c r="N994" s="5">
        <f>IF(OR(INDEX($W$2:$W$1001,MATCH(ROWS($V$2:V994),$V$2:$V$1001,0),1)&gt;=100000,INDEX($AC$1005:$AS$1005,1,MATCH(COLUMNS($AC$1006:AO1006),$AC$1006:$AS$1006,0))&gt;=100000), " ",IF(INDEX($AC$2:$AS$1001,MATCH(ROWS($V$2:V994),$V$2:$V$1001,0),MATCH(COLUMNS($AC$1006:AO1006),$AC$1006:$AS$1006,0)), HYPERLINK("#",""), HYPERLINK(CONCATENATE("#Metadata!", ADDRESS(INDEX($X$2:$X$1001,MATCH(ROWS($V$2:V994),$V$2:$V$1001,0),0), INDEX($AC$1004:$AS$1004,1,MATCH(COLUMNS($AC$1006:AO1006),$AC$1006:$AS$1006,0)))),"Fix")))</f>
        <v>0</v>
      </c>
      <c r="O994" s="5">
        <f>IF(OR(INDEX($W$2:$W$1001,MATCH(ROWS($V$2:V994),$V$2:$V$1001,0),1)&gt;=100000,INDEX($AC$1005:$AS$1005,1,MATCH(COLUMNS($AC$1006:AP1006),$AC$1006:$AS$1006,0))&gt;=100000), " ",IF(INDEX($AC$2:$AS$1001,MATCH(ROWS($V$2:V994),$V$2:$V$1001,0),MATCH(COLUMNS($AC$1006:AP1006),$AC$1006:$AS$1006,0)), HYPERLINK("#",""), HYPERLINK(CONCATENATE("#Metadata!", ADDRESS(INDEX($X$2:$X$1001,MATCH(ROWS($V$2:V994),$V$2:$V$1001,0),0), INDEX($AC$1004:$AS$1004,1,MATCH(COLUMNS($AC$1006:AP1006),$AC$1006:$AS$1006,0)))),"Fix")))</f>
        <v>0</v>
      </c>
      <c r="P994" s="5">
        <f>IF(OR(INDEX($W$2:$W$1001,MATCH(ROWS($V$2:V994),$V$2:$V$1001,0),1)&gt;=100000,INDEX($AC$1005:$AS$1005,1,MATCH(COLUMNS($AC$1006:AQ1006),$AC$1006:$AS$1006,0))&gt;=100000), " ",IF(INDEX($AC$2:$AS$1001,MATCH(ROWS($V$2:V994),$V$2:$V$1001,0),MATCH(COLUMNS($AC$1006:AQ1006),$AC$1006:$AS$1006,0)), HYPERLINK("#",""), HYPERLINK(CONCATENATE("#Metadata!", ADDRESS(INDEX($X$2:$X$1001,MATCH(ROWS($V$2:V994),$V$2:$V$1001,0),0), INDEX($AC$1004:$AS$1004,1,MATCH(COLUMNS($AC$1006:AQ1006),$AC$1006:$AS$1006,0)))),"Fix")))</f>
        <v>0</v>
      </c>
      <c r="Q994" s="5">
        <f>IF(OR(INDEX($W$2:$W$1001,MATCH(ROWS($V$2:V994),$V$2:$V$1001,0),1)&gt;=100000,INDEX($AC$1005:$AS$1005,1,MATCH(COLUMNS($AC$1006:AR1006),$AC$1006:$AS$1006,0))&gt;=100000), " ",IF(INDEX($AC$2:$AS$1001,MATCH(ROWS($V$2:V994),$V$2:$V$1001,0),MATCH(COLUMNS($AC$1006:AR1006),$AC$1006:$AS$1006,0)), HYPERLINK("#",""), HYPERLINK(CONCATENATE("#Metadata!", ADDRESS(INDEX($X$2:$X$1001,MATCH(ROWS($V$2:V994),$V$2:$V$1001,0),0), INDEX($AC$1004:$AS$1004,1,MATCH(COLUMNS($AC$1006:AR1006),$AC$1006:$AS$1006,0)))),"Fix")))</f>
        <v>0</v>
      </c>
      <c r="R994" s="5">
        <f>IF(OR(INDEX($W$2:$W$1001,MATCH(ROWS($V$2:V994),$V$2:$V$1001,0),1)&gt;=100000,INDEX($AC$1005:$AS$1005,1,MATCH(COLUMNS($AC$1006:AS1006),$AC$1006:$AS$1006,0))&gt;=100000), " ",IF(INDEX($AC$2:$AS$1001,MATCH(ROWS($V$2:V994),$V$2:$V$1001,0),MATCH(COLUMNS($AC$1006:AS1006),$AC$1006:$AS$1006,0)), HYPERLINK("#",""), HYPERLINK(CONCATENATE("#Metadata!", ADDRESS(INDEX($X$2:$X$1001,MATCH(ROWS($V$2:V994),$V$2:$V$1001,0),0), INDEX($AC$1004:$AS$1004,1,MATCH(COLUMNS($AC$1006:AS1006),$AC$1006:$AS$1006,0)))),"Fix")))</f>
        <v>0</v>
      </c>
      <c r="V994">
        <v>0</v>
      </c>
      <c r="W994">
        <v>0</v>
      </c>
      <c r="X994">
        <v>0</v>
      </c>
      <c r="Y994">
        <f>IF(Z994,TRUE,AND(AC994:AS994))</f>
        <v>0</v>
      </c>
      <c r="Z994">
        <f>COUNTBLANK(Metadata!B994:R994)=COLUMNS(Metadata!B994:R994)</f>
        <v>0</v>
      </c>
      <c r="AA994">
        <v>0</v>
      </c>
      <c r="AC994">
        <f>AND(IF(Metadata!B994="",FALSE,TRUE),COUNTIF(Metadata!B:B, Metadata!B994) = 1,NOT(ISERROR(SUMPRODUCT(SEARCH(MID(Metadata!B994,ROW(INDIRECT("1:"&amp;LEN(Metadata!B994))), 1),"0123456789abcdefghijklmnopqrstuvwxyzABCDEFGHIJKLMNOPQRSTUVWXYZ.")))))</f>
        <v>0</v>
      </c>
      <c r="AD994">
        <f>AND(IF(Metadata!C994="",FALSE,TRUE),exact(Metadata!C994,"Host-associated"))</f>
        <v>0</v>
      </c>
      <c r="AE994">
        <f>AND(IF(Metadata!D994="",FALSE,TRUE),OR(exact(Metadata!D994,"Animal"),exact(Metadata!D994,"Fungus"),exact(Metadata!D994,"Plant")))</f>
        <v>0</v>
      </c>
      <c r="AF994">
        <f>AND(IF(Metadata!E994="",FALSE,TRUE),OR(exact(Metadata!E994,"Plant secretion"),exact(Metadata!E994,"Plant rhizosphere"),exact(Metadata!E994,"Plant surface"),exact(Metadata!E994,"Plant corpus"),exact(Metadata!E994,"Fungus surface"),exact(Metadata!E994,"Fungus corpus"),exact(Metadata!E994,"Animal surface"),exact(Metadata!E994,"Animal proximal gut"),exact(Metadata!E994,"Animal corpus"),exact(Metadata!E994,"Animal distal gut"),exact(Metadata!E994,"Animal secretion")))</f>
        <v>0</v>
      </c>
      <c r="AG994">
        <f>OR(AND(IF(Metadata!F994="",FALSE,TRUE),OR(exact(Metadata!F994,"not collected"),exact(Metadata!F994,"not provided"),exact(Metadata!F994,"restricted access"))),AND(IF(Metadata!F994="",FALSE,TRUE),OR(exact(Metadata!F994,"organism-associated habitat"),exact(Metadata!F994,"plant-associated habitat"),exact(Metadata!F994,"animal-associated habitat"),exact(Metadata!F994,"insecta-associated habitat"),exact(Metadata!F994,"mammalia-associated habitat"),exact(Metadata!F994,"human-associated habitat"),exact(Metadata!F994,"livestock-associated habitat"))))</f>
        <v>0</v>
      </c>
      <c r="AH994">
        <f>AND(IF(Metadata!G994="",FALSE,TRUE),exact(Metadata!G994,"host-associated"))</f>
        <v>0</v>
      </c>
      <c r="AI994">
        <f>OR(AND(IF(Metadata!H994="",FALSE,TRUE),OR(exact(Metadata!H994,"not collected"),exact(Metadata!H994,"not provided"))),AND(IF(Metadata!H994="",FALSE,ISNUMBER(VALUE(Metadata!H994))),Metadata!H994&gt;0))</f>
        <v>0</v>
      </c>
      <c r="AJ994">
        <f>AND(IF(Metadata!I994="",FALSE,TRUE),exact(Metadata!I994,"years"))</f>
        <v>0</v>
      </c>
      <c r="AK994">
        <f>IF(Metadata!J994="",FALSE,TRUE)</f>
        <v>0</v>
      </c>
      <c r="AL994">
        <f>OR(AND(IF(Metadata!K994="",FALSE,TRUE),OR(exact(Metadata!K994,"not collected"),exact(Metadata!K994,"not provided"))),AND(IF(Metadata!K994="",FALSE,ISNUMBER(VALUE(Metadata!K994))),Metadata!K994&gt;0))</f>
        <v>0</v>
      </c>
      <c r="AM994">
        <f>AND(IF(Metadata!L994="",FALSE,TRUE),exact(Metadata!L994,"cm"))</f>
        <v>0</v>
      </c>
      <c r="AN994">
        <f>IF(Metadata!M994="",FALSE,TRUE)</f>
        <v>0</v>
      </c>
      <c r="AO994">
        <f>OR(AND(IF(Metadata!N994="",FALSE,TRUE),OR(exact(Metadata!N994,"not applicable"),exact(Metadata!N994,"not collected"),exact(Metadata!N994,"not provided"))),AND(IF(Metadata!N994="",FALSE,IF(ISERROR(INT(Metadata!N994)),FALSE,INT(Metadata!N994)=Metadata!N994)),Metadata!N994&gt;0))</f>
        <v>0</v>
      </c>
      <c r="AP994">
        <f>OR(AND(IF(Metadata!O994="",FALSE,TRUE),OR(exact(Metadata!O994,"not collected"),exact(Metadata!O994,"not provided"))),AND(IF(Metadata!O994="",FALSE,ISNUMBER(VALUE(Metadata!O994))),Metadata!O994&gt;0))</f>
        <v>0</v>
      </c>
      <c r="AQ994">
        <f>AND(IF(Metadata!P994="",FALSE,TRUE),exact(Metadata!P994,"kg"))</f>
        <v>0</v>
      </c>
      <c r="AR994">
        <f>OR(AND(IF(Metadata!Q994="",FALSE,TRUE),OR(exact(Metadata!Q994,"not applicable"),exact(Metadata!Q994,"not collected"),exact(Metadata!Q994,"not provided"),exact(Metadata!Q994,"restricted access"))),IF(Metadata!Q994="",FALSE,IF(ISERROR(INT(Metadata!Q994)),FALSE,INT(Metadata!Q994)=Metadata!Q994)))</f>
        <v>0</v>
      </c>
      <c r="AS994">
        <f>AND(IF(Metadata!R994="",FALSE,TRUE),exact(Metadata!R994,"Not applicable"))</f>
        <v>0</v>
      </c>
    </row>
    <row r="995" spans="1:45">
      <c r="A995" s="4">
        <f>IF(B995=" "," ",HYPERLINK(CONCATENATE("#metadata!",ADDRESS(INDEX($X$2:$X$1001,MATCH(ROWS($V$2:V995),$V$2:$V$1001,0),0),2)),INDEX($AA$2:$AA$1001,MATCH(ROWS($V$2:V995),$V$2:$V$1001,0),0)))</f>
        <v>0</v>
      </c>
      <c r="B995" s="5">
        <f>IF(OR(INDEX($W$2:$W$1001,MATCH(ROWS($V$2:V995),$V$2:$V$1001,0),1)&gt;=100000,INDEX($AC$1005:$AS$1005,1,MATCH(COLUMNS($AC$1006:AC1006),$AC$1006:$AS$1006,0))&gt;=100000), " ",IF(INDEX($AC$2:$AS$1001,MATCH(ROWS($V$2:V995),$V$2:$V$1001,0),MATCH(COLUMNS($AC$1006:AC1006),$AC$1006:$AS$1006,0)), HYPERLINK("#",""), HYPERLINK(CONCATENATE("#Metadata!", ADDRESS(INDEX($X$2:$X$1001,MATCH(ROWS($V$2:V995),$V$2:$V$1001,0),0), INDEX($AC$1004:$AS$1004,1,MATCH(COLUMNS($AC$1006:AC1006),$AC$1006:$AS$1006,0)))),"Fix")))</f>
        <v>0</v>
      </c>
      <c r="C995" s="5">
        <f>IF(OR(INDEX($W$2:$W$1001,MATCH(ROWS($V$2:V995),$V$2:$V$1001,0),1)&gt;=100000,INDEX($AC$1005:$AS$1005,1,MATCH(COLUMNS($AC$1006:AD1006),$AC$1006:$AS$1006,0))&gt;=100000), " ",IF(INDEX($AC$2:$AS$1001,MATCH(ROWS($V$2:V995),$V$2:$V$1001,0),MATCH(COLUMNS($AC$1006:AD1006),$AC$1006:$AS$1006,0)), HYPERLINK("#",""), HYPERLINK(CONCATENATE("#Metadata!", ADDRESS(INDEX($X$2:$X$1001,MATCH(ROWS($V$2:V995),$V$2:$V$1001,0),0), INDEX($AC$1004:$AS$1004,1,MATCH(COLUMNS($AC$1006:AD1006),$AC$1006:$AS$1006,0)))),"Fix")))</f>
        <v>0</v>
      </c>
      <c r="D995" s="5">
        <f>IF(OR(INDEX($W$2:$W$1001,MATCH(ROWS($V$2:V995),$V$2:$V$1001,0),1)&gt;=100000,INDEX($AC$1005:$AS$1005,1,MATCH(COLUMNS($AC$1006:AE1006),$AC$1006:$AS$1006,0))&gt;=100000), " ",IF(INDEX($AC$2:$AS$1001,MATCH(ROWS($V$2:V995),$V$2:$V$1001,0),MATCH(COLUMNS($AC$1006:AE1006),$AC$1006:$AS$1006,0)), HYPERLINK("#",""), HYPERLINK(CONCATENATE("#Metadata!", ADDRESS(INDEX($X$2:$X$1001,MATCH(ROWS($V$2:V995),$V$2:$V$1001,0),0), INDEX($AC$1004:$AS$1004,1,MATCH(COLUMNS($AC$1006:AE1006),$AC$1006:$AS$1006,0)))),"Fix")))</f>
        <v>0</v>
      </c>
      <c r="E995" s="5">
        <f>IF(OR(INDEX($W$2:$W$1001,MATCH(ROWS($V$2:V995),$V$2:$V$1001,0),1)&gt;=100000,INDEX($AC$1005:$AS$1005,1,MATCH(COLUMNS($AC$1006:AF1006),$AC$1006:$AS$1006,0))&gt;=100000), " ",IF(INDEX($AC$2:$AS$1001,MATCH(ROWS($V$2:V995),$V$2:$V$1001,0),MATCH(COLUMNS($AC$1006:AF1006),$AC$1006:$AS$1006,0)), HYPERLINK("#",""), HYPERLINK(CONCATENATE("#Metadata!", ADDRESS(INDEX($X$2:$X$1001,MATCH(ROWS($V$2:V995),$V$2:$V$1001,0),0), INDEX($AC$1004:$AS$1004,1,MATCH(COLUMNS($AC$1006:AF1006),$AC$1006:$AS$1006,0)))),"Fix")))</f>
        <v>0</v>
      </c>
      <c r="F995" s="5">
        <f>IF(OR(INDEX($W$2:$W$1001,MATCH(ROWS($V$2:V995),$V$2:$V$1001,0),1)&gt;=100000,INDEX($AC$1005:$AS$1005,1,MATCH(COLUMNS($AC$1006:AG1006),$AC$1006:$AS$1006,0))&gt;=100000), " ",IF(INDEX($AC$2:$AS$1001,MATCH(ROWS($V$2:V995),$V$2:$V$1001,0),MATCH(COLUMNS($AC$1006:AG1006),$AC$1006:$AS$1006,0)), HYPERLINK("#",""), HYPERLINK(CONCATENATE("#Metadata!", ADDRESS(INDEX($X$2:$X$1001,MATCH(ROWS($V$2:V995),$V$2:$V$1001,0),0), INDEX($AC$1004:$AS$1004,1,MATCH(COLUMNS($AC$1006:AG1006),$AC$1006:$AS$1006,0)))),"Fix")))</f>
        <v>0</v>
      </c>
      <c r="G995" s="5">
        <f>IF(OR(INDEX($W$2:$W$1001,MATCH(ROWS($V$2:V995),$V$2:$V$1001,0),1)&gt;=100000,INDEX($AC$1005:$AS$1005,1,MATCH(COLUMNS($AC$1006:AH1006),$AC$1006:$AS$1006,0))&gt;=100000), " ",IF(INDEX($AC$2:$AS$1001,MATCH(ROWS($V$2:V995),$V$2:$V$1001,0),MATCH(COLUMNS($AC$1006:AH1006),$AC$1006:$AS$1006,0)), HYPERLINK("#",""), HYPERLINK(CONCATENATE("#Metadata!", ADDRESS(INDEX($X$2:$X$1001,MATCH(ROWS($V$2:V995),$V$2:$V$1001,0),0), INDEX($AC$1004:$AS$1004,1,MATCH(COLUMNS($AC$1006:AH1006),$AC$1006:$AS$1006,0)))),"Fix")))</f>
        <v>0</v>
      </c>
      <c r="H995" s="5">
        <f>IF(OR(INDEX($W$2:$W$1001,MATCH(ROWS($V$2:V995),$V$2:$V$1001,0),1)&gt;=100000,INDEX($AC$1005:$AS$1005,1,MATCH(COLUMNS($AC$1006:AI1006),$AC$1006:$AS$1006,0))&gt;=100000), " ",IF(INDEX($AC$2:$AS$1001,MATCH(ROWS($V$2:V995),$V$2:$V$1001,0),MATCH(COLUMNS($AC$1006:AI1006),$AC$1006:$AS$1006,0)), HYPERLINK("#",""), HYPERLINK(CONCATENATE("#Metadata!", ADDRESS(INDEX($X$2:$X$1001,MATCH(ROWS($V$2:V995),$V$2:$V$1001,0),0), INDEX($AC$1004:$AS$1004,1,MATCH(COLUMNS($AC$1006:AI1006),$AC$1006:$AS$1006,0)))),"Fix")))</f>
        <v>0</v>
      </c>
      <c r="I995" s="5">
        <f>IF(OR(INDEX($W$2:$W$1001,MATCH(ROWS($V$2:V995),$V$2:$V$1001,0),1)&gt;=100000,INDEX($AC$1005:$AS$1005,1,MATCH(COLUMNS($AC$1006:AJ1006),$AC$1006:$AS$1006,0))&gt;=100000), " ",IF(INDEX($AC$2:$AS$1001,MATCH(ROWS($V$2:V995),$V$2:$V$1001,0),MATCH(COLUMNS($AC$1006:AJ1006),$AC$1006:$AS$1006,0)), HYPERLINK("#",""), HYPERLINK(CONCATENATE("#Metadata!", ADDRESS(INDEX($X$2:$X$1001,MATCH(ROWS($V$2:V995),$V$2:$V$1001,0),0), INDEX($AC$1004:$AS$1004,1,MATCH(COLUMNS($AC$1006:AJ1006),$AC$1006:$AS$1006,0)))),"Fix")))</f>
        <v>0</v>
      </c>
      <c r="J995" s="5">
        <f>IF(OR(INDEX($W$2:$W$1001,MATCH(ROWS($V$2:V995),$V$2:$V$1001,0),1)&gt;=100000,INDEX($AC$1005:$AS$1005,1,MATCH(COLUMNS($AC$1006:AK1006),$AC$1006:$AS$1006,0))&gt;=100000), " ",IF(INDEX($AC$2:$AS$1001,MATCH(ROWS($V$2:V995),$V$2:$V$1001,0),MATCH(COLUMNS($AC$1006:AK1006),$AC$1006:$AS$1006,0)), HYPERLINK("#",""), HYPERLINK(CONCATENATE("#Metadata!", ADDRESS(INDEX($X$2:$X$1001,MATCH(ROWS($V$2:V995),$V$2:$V$1001,0),0), INDEX($AC$1004:$AS$1004,1,MATCH(COLUMNS($AC$1006:AK1006),$AC$1006:$AS$1006,0)))),"Fix")))</f>
        <v>0</v>
      </c>
      <c r="K995" s="5">
        <f>IF(OR(INDEX($W$2:$W$1001,MATCH(ROWS($V$2:V995),$V$2:$V$1001,0),1)&gt;=100000,INDEX($AC$1005:$AS$1005,1,MATCH(COLUMNS($AC$1006:AL1006),$AC$1006:$AS$1006,0))&gt;=100000), " ",IF(INDEX($AC$2:$AS$1001,MATCH(ROWS($V$2:V995),$V$2:$V$1001,0),MATCH(COLUMNS($AC$1006:AL1006),$AC$1006:$AS$1006,0)), HYPERLINK("#",""), HYPERLINK(CONCATENATE("#Metadata!", ADDRESS(INDEX($X$2:$X$1001,MATCH(ROWS($V$2:V995),$V$2:$V$1001,0),0), INDEX($AC$1004:$AS$1004,1,MATCH(COLUMNS($AC$1006:AL1006),$AC$1006:$AS$1006,0)))),"Fix")))</f>
        <v>0</v>
      </c>
      <c r="L995" s="5">
        <f>IF(OR(INDEX($W$2:$W$1001,MATCH(ROWS($V$2:V995),$V$2:$V$1001,0),1)&gt;=100000,INDEX($AC$1005:$AS$1005,1,MATCH(COLUMNS($AC$1006:AM1006),$AC$1006:$AS$1006,0))&gt;=100000), " ",IF(INDEX($AC$2:$AS$1001,MATCH(ROWS($V$2:V995),$V$2:$V$1001,0),MATCH(COLUMNS($AC$1006:AM1006),$AC$1006:$AS$1006,0)), HYPERLINK("#",""), HYPERLINK(CONCATENATE("#Metadata!", ADDRESS(INDEX($X$2:$X$1001,MATCH(ROWS($V$2:V995),$V$2:$V$1001,0),0), INDEX($AC$1004:$AS$1004,1,MATCH(COLUMNS($AC$1006:AM1006),$AC$1006:$AS$1006,0)))),"Fix")))</f>
        <v>0</v>
      </c>
      <c r="M995" s="5">
        <f>IF(OR(INDEX($W$2:$W$1001,MATCH(ROWS($V$2:V995),$V$2:$V$1001,0),1)&gt;=100000,INDEX($AC$1005:$AS$1005,1,MATCH(COLUMNS($AC$1006:AN1006),$AC$1006:$AS$1006,0))&gt;=100000), " ",IF(INDEX($AC$2:$AS$1001,MATCH(ROWS($V$2:V995),$V$2:$V$1001,0),MATCH(COLUMNS($AC$1006:AN1006),$AC$1006:$AS$1006,0)), HYPERLINK("#",""), HYPERLINK(CONCATENATE("#Metadata!", ADDRESS(INDEX($X$2:$X$1001,MATCH(ROWS($V$2:V995),$V$2:$V$1001,0),0), INDEX($AC$1004:$AS$1004,1,MATCH(COLUMNS($AC$1006:AN1006),$AC$1006:$AS$1006,0)))),"Fix")))</f>
        <v>0</v>
      </c>
      <c r="N995" s="5">
        <f>IF(OR(INDEX($W$2:$W$1001,MATCH(ROWS($V$2:V995),$V$2:$V$1001,0),1)&gt;=100000,INDEX($AC$1005:$AS$1005,1,MATCH(COLUMNS($AC$1006:AO1006),$AC$1006:$AS$1006,0))&gt;=100000), " ",IF(INDEX($AC$2:$AS$1001,MATCH(ROWS($V$2:V995),$V$2:$V$1001,0),MATCH(COLUMNS($AC$1006:AO1006),$AC$1006:$AS$1006,0)), HYPERLINK("#",""), HYPERLINK(CONCATENATE("#Metadata!", ADDRESS(INDEX($X$2:$X$1001,MATCH(ROWS($V$2:V995),$V$2:$V$1001,0),0), INDEX($AC$1004:$AS$1004,1,MATCH(COLUMNS($AC$1006:AO1006),$AC$1006:$AS$1006,0)))),"Fix")))</f>
        <v>0</v>
      </c>
      <c r="O995" s="5">
        <f>IF(OR(INDEX($W$2:$W$1001,MATCH(ROWS($V$2:V995),$V$2:$V$1001,0),1)&gt;=100000,INDEX($AC$1005:$AS$1005,1,MATCH(COLUMNS($AC$1006:AP1006),$AC$1006:$AS$1006,0))&gt;=100000), " ",IF(INDEX($AC$2:$AS$1001,MATCH(ROWS($V$2:V995),$V$2:$V$1001,0),MATCH(COLUMNS($AC$1006:AP1006),$AC$1006:$AS$1006,0)), HYPERLINK("#",""), HYPERLINK(CONCATENATE("#Metadata!", ADDRESS(INDEX($X$2:$X$1001,MATCH(ROWS($V$2:V995),$V$2:$V$1001,0),0), INDEX($AC$1004:$AS$1004,1,MATCH(COLUMNS($AC$1006:AP1006),$AC$1006:$AS$1006,0)))),"Fix")))</f>
        <v>0</v>
      </c>
      <c r="P995" s="5">
        <f>IF(OR(INDEX($W$2:$W$1001,MATCH(ROWS($V$2:V995),$V$2:$V$1001,0),1)&gt;=100000,INDEX($AC$1005:$AS$1005,1,MATCH(COLUMNS($AC$1006:AQ1006),$AC$1006:$AS$1006,0))&gt;=100000), " ",IF(INDEX($AC$2:$AS$1001,MATCH(ROWS($V$2:V995),$V$2:$V$1001,0),MATCH(COLUMNS($AC$1006:AQ1006),$AC$1006:$AS$1006,0)), HYPERLINK("#",""), HYPERLINK(CONCATENATE("#Metadata!", ADDRESS(INDEX($X$2:$X$1001,MATCH(ROWS($V$2:V995),$V$2:$V$1001,0),0), INDEX($AC$1004:$AS$1004,1,MATCH(COLUMNS($AC$1006:AQ1006),$AC$1006:$AS$1006,0)))),"Fix")))</f>
        <v>0</v>
      </c>
      <c r="Q995" s="5">
        <f>IF(OR(INDEX($W$2:$W$1001,MATCH(ROWS($V$2:V995),$V$2:$V$1001,0),1)&gt;=100000,INDEX($AC$1005:$AS$1005,1,MATCH(COLUMNS($AC$1006:AR1006),$AC$1006:$AS$1006,0))&gt;=100000), " ",IF(INDEX($AC$2:$AS$1001,MATCH(ROWS($V$2:V995),$V$2:$V$1001,0),MATCH(COLUMNS($AC$1006:AR1006),$AC$1006:$AS$1006,0)), HYPERLINK("#",""), HYPERLINK(CONCATENATE("#Metadata!", ADDRESS(INDEX($X$2:$X$1001,MATCH(ROWS($V$2:V995),$V$2:$V$1001,0),0), INDEX($AC$1004:$AS$1004,1,MATCH(COLUMNS($AC$1006:AR1006),$AC$1006:$AS$1006,0)))),"Fix")))</f>
        <v>0</v>
      </c>
      <c r="R995" s="5">
        <f>IF(OR(INDEX($W$2:$W$1001,MATCH(ROWS($V$2:V995),$V$2:$V$1001,0),1)&gt;=100000,INDEX($AC$1005:$AS$1005,1,MATCH(COLUMNS($AC$1006:AS1006),$AC$1006:$AS$1006,0))&gt;=100000), " ",IF(INDEX($AC$2:$AS$1001,MATCH(ROWS($V$2:V995),$V$2:$V$1001,0),MATCH(COLUMNS($AC$1006:AS1006),$AC$1006:$AS$1006,0)), HYPERLINK("#",""), HYPERLINK(CONCATENATE("#Metadata!", ADDRESS(INDEX($X$2:$X$1001,MATCH(ROWS($V$2:V995),$V$2:$V$1001,0),0), INDEX($AC$1004:$AS$1004,1,MATCH(COLUMNS($AC$1006:AS1006),$AC$1006:$AS$1006,0)))),"Fix")))</f>
        <v>0</v>
      </c>
      <c r="V995">
        <v>0</v>
      </c>
      <c r="W995">
        <v>0</v>
      </c>
      <c r="X995">
        <v>0</v>
      </c>
      <c r="Y995">
        <f>IF(Z995,TRUE,AND(AC995:AS995))</f>
        <v>0</v>
      </c>
      <c r="Z995">
        <f>COUNTBLANK(Metadata!B995:R995)=COLUMNS(Metadata!B995:R995)</f>
        <v>0</v>
      </c>
      <c r="AA995">
        <v>0</v>
      </c>
      <c r="AC995">
        <f>AND(IF(Metadata!B995="",FALSE,TRUE),COUNTIF(Metadata!B:B, Metadata!B995) = 1,NOT(ISERROR(SUMPRODUCT(SEARCH(MID(Metadata!B995,ROW(INDIRECT("1:"&amp;LEN(Metadata!B995))), 1),"0123456789abcdefghijklmnopqrstuvwxyzABCDEFGHIJKLMNOPQRSTUVWXYZ.")))))</f>
        <v>0</v>
      </c>
      <c r="AD995">
        <f>AND(IF(Metadata!C995="",FALSE,TRUE),exact(Metadata!C995,"Host-associated"))</f>
        <v>0</v>
      </c>
      <c r="AE995">
        <f>AND(IF(Metadata!D995="",FALSE,TRUE),OR(exact(Metadata!D995,"Animal"),exact(Metadata!D995,"Fungus"),exact(Metadata!D995,"Plant")))</f>
        <v>0</v>
      </c>
      <c r="AF995">
        <f>AND(IF(Metadata!E995="",FALSE,TRUE),OR(exact(Metadata!E995,"Plant secretion"),exact(Metadata!E995,"Plant rhizosphere"),exact(Metadata!E995,"Plant surface"),exact(Metadata!E995,"Plant corpus"),exact(Metadata!E995,"Fungus surface"),exact(Metadata!E995,"Fungus corpus"),exact(Metadata!E995,"Animal surface"),exact(Metadata!E995,"Animal proximal gut"),exact(Metadata!E995,"Animal corpus"),exact(Metadata!E995,"Animal distal gut"),exact(Metadata!E995,"Animal secretion")))</f>
        <v>0</v>
      </c>
      <c r="AG995">
        <f>OR(AND(IF(Metadata!F995="",FALSE,TRUE),OR(exact(Metadata!F995,"not collected"),exact(Metadata!F995,"not provided"),exact(Metadata!F995,"restricted access"))),AND(IF(Metadata!F995="",FALSE,TRUE),OR(exact(Metadata!F995,"organism-associated habitat"),exact(Metadata!F995,"plant-associated habitat"),exact(Metadata!F995,"animal-associated habitat"),exact(Metadata!F995,"insecta-associated habitat"),exact(Metadata!F995,"mammalia-associated habitat"),exact(Metadata!F995,"human-associated habitat"),exact(Metadata!F995,"livestock-associated habitat"))))</f>
        <v>0</v>
      </c>
      <c r="AH995">
        <f>AND(IF(Metadata!G995="",FALSE,TRUE),exact(Metadata!G995,"host-associated"))</f>
        <v>0</v>
      </c>
      <c r="AI995">
        <f>OR(AND(IF(Metadata!H995="",FALSE,TRUE),OR(exact(Metadata!H995,"not collected"),exact(Metadata!H995,"not provided"))),AND(IF(Metadata!H995="",FALSE,ISNUMBER(VALUE(Metadata!H995))),Metadata!H995&gt;0))</f>
        <v>0</v>
      </c>
      <c r="AJ995">
        <f>AND(IF(Metadata!I995="",FALSE,TRUE),exact(Metadata!I995,"years"))</f>
        <v>0</v>
      </c>
      <c r="AK995">
        <f>IF(Metadata!J995="",FALSE,TRUE)</f>
        <v>0</v>
      </c>
      <c r="AL995">
        <f>OR(AND(IF(Metadata!K995="",FALSE,TRUE),OR(exact(Metadata!K995,"not collected"),exact(Metadata!K995,"not provided"))),AND(IF(Metadata!K995="",FALSE,ISNUMBER(VALUE(Metadata!K995))),Metadata!K995&gt;0))</f>
        <v>0</v>
      </c>
      <c r="AM995">
        <f>AND(IF(Metadata!L995="",FALSE,TRUE),exact(Metadata!L995,"cm"))</f>
        <v>0</v>
      </c>
      <c r="AN995">
        <f>IF(Metadata!M995="",FALSE,TRUE)</f>
        <v>0</v>
      </c>
      <c r="AO995">
        <f>OR(AND(IF(Metadata!N995="",FALSE,TRUE),OR(exact(Metadata!N995,"not applicable"),exact(Metadata!N995,"not collected"),exact(Metadata!N995,"not provided"))),AND(IF(Metadata!N995="",FALSE,IF(ISERROR(INT(Metadata!N995)),FALSE,INT(Metadata!N995)=Metadata!N995)),Metadata!N995&gt;0))</f>
        <v>0</v>
      </c>
      <c r="AP995">
        <f>OR(AND(IF(Metadata!O995="",FALSE,TRUE),OR(exact(Metadata!O995,"not collected"),exact(Metadata!O995,"not provided"))),AND(IF(Metadata!O995="",FALSE,ISNUMBER(VALUE(Metadata!O995))),Metadata!O995&gt;0))</f>
        <v>0</v>
      </c>
      <c r="AQ995">
        <f>AND(IF(Metadata!P995="",FALSE,TRUE),exact(Metadata!P995,"kg"))</f>
        <v>0</v>
      </c>
      <c r="AR995">
        <f>OR(AND(IF(Metadata!Q995="",FALSE,TRUE),OR(exact(Metadata!Q995,"not applicable"),exact(Metadata!Q995,"not collected"),exact(Metadata!Q995,"not provided"),exact(Metadata!Q995,"restricted access"))),IF(Metadata!Q995="",FALSE,IF(ISERROR(INT(Metadata!Q995)),FALSE,INT(Metadata!Q995)=Metadata!Q995)))</f>
        <v>0</v>
      </c>
      <c r="AS995">
        <f>AND(IF(Metadata!R995="",FALSE,TRUE),exact(Metadata!R995,"Not applicable"))</f>
        <v>0</v>
      </c>
    </row>
    <row r="996" spans="1:45">
      <c r="A996" s="4">
        <f>IF(B996=" "," ",HYPERLINK(CONCATENATE("#metadata!",ADDRESS(INDEX($X$2:$X$1001,MATCH(ROWS($V$2:V996),$V$2:$V$1001,0),0),2)),INDEX($AA$2:$AA$1001,MATCH(ROWS($V$2:V996),$V$2:$V$1001,0),0)))</f>
        <v>0</v>
      </c>
      <c r="B996" s="5">
        <f>IF(OR(INDEX($W$2:$W$1001,MATCH(ROWS($V$2:V996),$V$2:$V$1001,0),1)&gt;=100000,INDEX($AC$1005:$AS$1005,1,MATCH(COLUMNS($AC$1006:AC1006),$AC$1006:$AS$1006,0))&gt;=100000), " ",IF(INDEX($AC$2:$AS$1001,MATCH(ROWS($V$2:V996),$V$2:$V$1001,0),MATCH(COLUMNS($AC$1006:AC1006),$AC$1006:$AS$1006,0)), HYPERLINK("#",""), HYPERLINK(CONCATENATE("#Metadata!", ADDRESS(INDEX($X$2:$X$1001,MATCH(ROWS($V$2:V996),$V$2:$V$1001,0),0), INDEX($AC$1004:$AS$1004,1,MATCH(COLUMNS($AC$1006:AC1006),$AC$1006:$AS$1006,0)))),"Fix")))</f>
        <v>0</v>
      </c>
      <c r="C996" s="5">
        <f>IF(OR(INDEX($W$2:$W$1001,MATCH(ROWS($V$2:V996),$V$2:$V$1001,0),1)&gt;=100000,INDEX($AC$1005:$AS$1005,1,MATCH(COLUMNS($AC$1006:AD1006),$AC$1006:$AS$1006,0))&gt;=100000), " ",IF(INDEX($AC$2:$AS$1001,MATCH(ROWS($V$2:V996),$V$2:$V$1001,0),MATCH(COLUMNS($AC$1006:AD1006),$AC$1006:$AS$1006,0)), HYPERLINK("#",""), HYPERLINK(CONCATENATE("#Metadata!", ADDRESS(INDEX($X$2:$X$1001,MATCH(ROWS($V$2:V996),$V$2:$V$1001,0),0), INDEX($AC$1004:$AS$1004,1,MATCH(COLUMNS($AC$1006:AD1006),$AC$1006:$AS$1006,0)))),"Fix")))</f>
        <v>0</v>
      </c>
      <c r="D996" s="5">
        <f>IF(OR(INDEX($W$2:$W$1001,MATCH(ROWS($V$2:V996),$V$2:$V$1001,0),1)&gt;=100000,INDEX($AC$1005:$AS$1005,1,MATCH(COLUMNS($AC$1006:AE1006),$AC$1006:$AS$1006,0))&gt;=100000), " ",IF(INDEX($AC$2:$AS$1001,MATCH(ROWS($V$2:V996),$V$2:$V$1001,0),MATCH(COLUMNS($AC$1006:AE1006),$AC$1006:$AS$1006,0)), HYPERLINK("#",""), HYPERLINK(CONCATENATE("#Metadata!", ADDRESS(INDEX($X$2:$X$1001,MATCH(ROWS($V$2:V996),$V$2:$V$1001,0),0), INDEX($AC$1004:$AS$1004,1,MATCH(COLUMNS($AC$1006:AE1006),$AC$1006:$AS$1006,0)))),"Fix")))</f>
        <v>0</v>
      </c>
      <c r="E996" s="5">
        <f>IF(OR(INDEX($W$2:$W$1001,MATCH(ROWS($V$2:V996),$V$2:$V$1001,0),1)&gt;=100000,INDEX($AC$1005:$AS$1005,1,MATCH(COLUMNS($AC$1006:AF1006),$AC$1006:$AS$1006,0))&gt;=100000), " ",IF(INDEX($AC$2:$AS$1001,MATCH(ROWS($V$2:V996),$V$2:$V$1001,0),MATCH(COLUMNS($AC$1006:AF1006),$AC$1006:$AS$1006,0)), HYPERLINK("#",""), HYPERLINK(CONCATENATE("#Metadata!", ADDRESS(INDEX($X$2:$X$1001,MATCH(ROWS($V$2:V996),$V$2:$V$1001,0),0), INDEX($AC$1004:$AS$1004,1,MATCH(COLUMNS($AC$1006:AF1006),$AC$1006:$AS$1006,0)))),"Fix")))</f>
        <v>0</v>
      </c>
      <c r="F996" s="5">
        <f>IF(OR(INDEX($W$2:$W$1001,MATCH(ROWS($V$2:V996),$V$2:$V$1001,0),1)&gt;=100000,INDEX($AC$1005:$AS$1005,1,MATCH(COLUMNS($AC$1006:AG1006),$AC$1006:$AS$1006,0))&gt;=100000), " ",IF(INDEX($AC$2:$AS$1001,MATCH(ROWS($V$2:V996),$V$2:$V$1001,0),MATCH(COLUMNS($AC$1006:AG1006),$AC$1006:$AS$1006,0)), HYPERLINK("#",""), HYPERLINK(CONCATENATE("#Metadata!", ADDRESS(INDEX($X$2:$X$1001,MATCH(ROWS($V$2:V996),$V$2:$V$1001,0),0), INDEX($AC$1004:$AS$1004,1,MATCH(COLUMNS($AC$1006:AG1006),$AC$1006:$AS$1006,0)))),"Fix")))</f>
        <v>0</v>
      </c>
      <c r="G996" s="5">
        <f>IF(OR(INDEX($W$2:$W$1001,MATCH(ROWS($V$2:V996),$V$2:$V$1001,0),1)&gt;=100000,INDEX($AC$1005:$AS$1005,1,MATCH(COLUMNS($AC$1006:AH1006),$AC$1006:$AS$1006,0))&gt;=100000), " ",IF(INDEX($AC$2:$AS$1001,MATCH(ROWS($V$2:V996),$V$2:$V$1001,0),MATCH(COLUMNS($AC$1006:AH1006),$AC$1006:$AS$1006,0)), HYPERLINK("#",""), HYPERLINK(CONCATENATE("#Metadata!", ADDRESS(INDEX($X$2:$X$1001,MATCH(ROWS($V$2:V996),$V$2:$V$1001,0),0), INDEX($AC$1004:$AS$1004,1,MATCH(COLUMNS($AC$1006:AH1006),$AC$1006:$AS$1006,0)))),"Fix")))</f>
        <v>0</v>
      </c>
      <c r="H996" s="5">
        <f>IF(OR(INDEX($W$2:$W$1001,MATCH(ROWS($V$2:V996),$V$2:$V$1001,0),1)&gt;=100000,INDEX($AC$1005:$AS$1005,1,MATCH(COLUMNS($AC$1006:AI1006),$AC$1006:$AS$1006,0))&gt;=100000), " ",IF(INDEX($AC$2:$AS$1001,MATCH(ROWS($V$2:V996),$V$2:$V$1001,0),MATCH(COLUMNS($AC$1006:AI1006),$AC$1006:$AS$1006,0)), HYPERLINK("#",""), HYPERLINK(CONCATENATE("#Metadata!", ADDRESS(INDEX($X$2:$X$1001,MATCH(ROWS($V$2:V996),$V$2:$V$1001,0),0), INDEX($AC$1004:$AS$1004,1,MATCH(COLUMNS($AC$1006:AI1006),$AC$1006:$AS$1006,0)))),"Fix")))</f>
        <v>0</v>
      </c>
      <c r="I996" s="5">
        <f>IF(OR(INDEX($W$2:$W$1001,MATCH(ROWS($V$2:V996),$V$2:$V$1001,0),1)&gt;=100000,INDEX($AC$1005:$AS$1005,1,MATCH(COLUMNS($AC$1006:AJ1006),$AC$1006:$AS$1006,0))&gt;=100000), " ",IF(INDEX($AC$2:$AS$1001,MATCH(ROWS($V$2:V996),$V$2:$V$1001,0),MATCH(COLUMNS($AC$1006:AJ1006),$AC$1006:$AS$1006,0)), HYPERLINK("#",""), HYPERLINK(CONCATENATE("#Metadata!", ADDRESS(INDEX($X$2:$X$1001,MATCH(ROWS($V$2:V996),$V$2:$V$1001,0),0), INDEX($AC$1004:$AS$1004,1,MATCH(COLUMNS($AC$1006:AJ1006),$AC$1006:$AS$1006,0)))),"Fix")))</f>
        <v>0</v>
      </c>
      <c r="J996" s="5">
        <f>IF(OR(INDEX($W$2:$W$1001,MATCH(ROWS($V$2:V996),$V$2:$V$1001,0),1)&gt;=100000,INDEX($AC$1005:$AS$1005,1,MATCH(COLUMNS($AC$1006:AK1006),$AC$1006:$AS$1006,0))&gt;=100000), " ",IF(INDEX($AC$2:$AS$1001,MATCH(ROWS($V$2:V996),$V$2:$V$1001,0),MATCH(COLUMNS($AC$1006:AK1006),$AC$1006:$AS$1006,0)), HYPERLINK("#",""), HYPERLINK(CONCATENATE("#Metadata!", ADDRESS(INDEX($X$2:$X$1001,MATCH(ROWS($V$2:V996),$V$2:$V$1001,0),0), INDEX($AC$1004:$AS$1004,1,MATCH(COLUMNS($AC$1006:AK1006),$AC$1006:$AS$1006,0)))),"Fix")))</f>
        <v>0</v>
      </c>
      <c r="K996" s="5">
        <f>IF(OR(INDEX($W$2:$W$1001,MATCH(ROWS($V$2:V996),$V$2:$V$1001,0),1)&gt;=100000,INDEX($AC$1005:$AS$1005,1,MATCH(COLUMNS($AC$1006:AL1006),$AC$1006:$AS$1006,0))&gt;=100000), " ",IF(INDEX($AC$2:$AS$1001,MATCH(ROWS($V$2:V996),$V$2:$V$1001,0),MATCH(COLUMNS($AC$1006:AL1006),$AC$1006:$AS$1006,0)), HYPERLINK("#",""), HYPERLINK(CONCATENATE("#Metadata!", ADDRESS(INDEX($X$2:$X$1001,MATCH(ROWS($V$2:V996),$V$2:$V$1001,0),0), INDEX($AC$1004:$AS$1004,1,MATCH(COLUMNS($AC$1006:AL1006),$AC$1006:$AS$1006,0)))),"Fix")))</f>
        <v>0</v>
      </c>
      <c r="L996" s="5">
        <f>IF(OR(INDEX($W$2:$W$1001,MATCH(ROWS($V$2:V996),$V$2:$V$1001,0),1)&gt;=100000,INDEX($AC$1005:$AS$1005,1,MATCH(COLUMNS($AC$1006:AM1006),$AC$1006:$AS$1006,0))&gt;=100000), " ",IF(INDEX($AC$2:$AS$1001,MATCH(ROWS($V$2:V996),$V$2:$V$1001,0),MATCH(COLUMNS($AC$1006:AM1006),$AC$1006:$AS$1006,0)), HYPERLINK("#",""), HYPERLINK(CONCATENATE("#Metadata!", ADDRESS(INDEX($X$2:$X$1001,MATCH(ROWS($V$2:V996),$V$2:$V$1001,0),0), INDEX($AC$1004:$AS$1004,1,MATCH(COLUMNS($AC$1006:AM1006),$AC$1006:$AS$1006,0)))),"Fix")))</f>
        <v>0</v>
      </c>
      <c r="M996" s="5">
        <f>IF(OR(INDEX($W$2:$W$1001,MATCH(ROWS($V$2:V996),$V$2:$V$1001,0),1)&gt;=100000,INDEX($AC$1005:$AS$1005,1,MATCH(COLUMNS($AC$1006:AN1006),$AC$1006:$AS$1006,0))&gt;=100000), " ",IF(INDEX($AC$2:$AS$1001,MATCH(ROWS($V$2:V996),$V$2:$V$1001,0),MATCH(COLUMNS($AC$1006:AN1006),$AC$1006:$AS$1006,0)), HYPERLINK("#",""), HYPERLINK(CONCATENATE("#Metadata!", ADDRESS(INDEX($X$2:$X$1001,MATCH(ROWS($V$2:V996),$V$2:$V$1001,0),0), INDEX($AC$1004:$AS$1004,1,MATCH(COLUMNS($AC$1006:AN1006),$AC$1006:$AS$1006,0)))),"Fix")))</f>
        <v>0</v>
      </c>
      <c r="N996" s="5">
        <f>IF(OR(INDEX($W$2:$W$1001,MATCH(ROWS($V$2:V996),$V$2:$V$1001,0),1)&gt;=100000,INDEX($AC$1005:$AS$1005,1,MATCH(COLUMNS($AC$1006:AO1006),$AC$1006:$AS$1006,0))&gt;=100000), " ",IF(INDEX($AC$2:$AS$1001,MATCH(ROWS($V$2:V996),$V$2:$V$1001,0),MATCH(COLUMNS($AC$1006:AO1006),$AC$1006:$AS$1006,0)), HYPERLINK("#",""), HYPERLINK(CONCATENATE("#Metadata!", ADDRESS(INDEX($X$2:$X$1001,MATCH(ROWS($V$2:V996),$V$2:$V$1001,0),0), INDEX($AC$1004:$AS$1004,1,MATCH(COLUMNS($AC$1006:AO1006),$AC$1006:$AS$1006,0)))),"Fix")))</f>
        <v>0</v>
      </c>
      <c r="O996" s="5">
        <f>IF(OR(INDEX($W$2:$W$1001,MATCH(ROWS($V$2:V996),$V$2:$V$1001,0),1)&gt;=100000,INDEX($AC$1005:$AS$1005,1,MATCH(COLUMNS($AC$1006:AP1006),$AC$1006:$AS$1006,0))&gt;=100000), " ",IF(INDEX($AC$2:$AS$1001,MATCH(ROWS($V$2:V996),$V$2:$V$1001,0),MATCH(COLUMNS($AC$1006:AP1006),$AC$1006:$AS$1006,0)), HYPERLINK("#",""), HYPERLINK(CONCATENATE("#Metadata!", ADDRESS(INDEX($X$2:$X$1001,MATCH(ROWS($V$2:V996),$V$2:$V$1001,0),0), INDEX($AC$1004:$AS$1004,1,MATCH(COLUMNS($AC$1006:AP1006),$AC$1006:$AS$1006,0)))),"Fix")))</f>
        <v>0</v>
      </c>
      <c r="P996" s="5">
        <f>IF(OR(INDEX($W$2:$W$1001,MATCH(ROWS($V$2:V996),$V$2:$V$1001,0),1)&gt;=100000,INDEX($AC$1005:$AS$1005,1,MATCH(COLUMNS($AC$1006:AQ1006),$AC$1006:$AS$1006,0))&gt;=100000), " ",IF(INDEX($AC$2:$AS$1001,MATCH(ROWS($V$2:V996),$V$2:$V$1001,0),MATCH(COLUMNS($AC$1006:AQ1006),$AC$1006:$AS$1006,0)), HYPERLINK("#",""), HYPERLINK(CONCATENATE("#Metadata!", ADDRESS(INDEX($X$2:$X$1001,MATCH(ROWS($V$2:V996),$V$2:$V$1001,0),0), INDEX($AC$1004:$AS$1004,1,MATCH(COLUMNS($AC$1006:AQ1006),$AC$1006:$AS$1006,0)))),"Fix")))</f>
        <v>0</v>
      </c>
      <c r="Q996" s="5">
        <f>IF(OR(INDEX($W$2:$W$1001,MATCH(ROWS($V$2:V996),$V$2:$V$1001,0),1)&gt;=100000,INDEX($AC$1005:$AS$1005,1,MATCH(COLUMNS($AC$1006:AR1006),$AC$1006:$AS$1006,0))&gt;=100000), " ",IF(INDEX($AC$2:$AS$1001,MATCH(ROWS($V$2:V996),$V$2:$V$1001,0),MATCH(COLUMNS($AC$1006:AR1006),$AC$1006:$AS$1006,0)), HYPERLINK("#",""), HYPERLINK(CONCATENATE("#Metadata!", ADDRESS(INDEX($X$2:$X$1001,MATCH(ROWS($V$2:V996),$V$2:$V$1001,0),0), INDEX($AC$1004:$AS$1004,1,MATCH(COLUMNS($AC$1006:AR1006),$AC$1006:$AS$1006,0)))),"Fix")))</f>
        <v>0</v>
      </c>
      <c r="R996" s="5">
        <f>IF(OR(INDEX($W$2:$W$1001,MATCH(ROWS($V$2:V996),$V$2:$V$1001,0),1)&gt;=100000,INDEX($AC$1005:$AS$1005,1,MATCH(COLUMNS($AC$1006:AS1006),$AC$1006:$AS$1006,0))&gt;=100000), " ",IF(INDEX($AC$2:$AS$1001,MATCH(ROWS($V$2:V996),$V$2:$V$1001,0),MATCH(COLUMNS($AC$1006:AS1006),$AC$1006:$AS$1006,0)), HYPERLINK("#",""), HYPERLINK(CONCATENATE("#Metadata!", ADDRESS(INDEX($X$2:$X$1001,MATCH(ROWS($V$2:V996),$V$2:$V$1001,0),0), INDEX($AC$1004:$AS$1004,1,MATCH(COLUMNS($AC$1006:AS1006),$AC$1006:$AS$1006,0)))),"Fix")))</f>
        <v>0</v>
      </c>
      <c r="V996">
        <v>0</v>
      </c>
      <c r="W996">
        <v>0</v>
      </c>
      <c r="X996">
        <v>0</v>
      </c>
      <c r="Y996">
        <f>IF(Z996,TRUE,AND(AC996:AS996))</f>
        <v>0</v>
      </c>
      <c r="Z996">
        <f>COUNTBLANK(Metadata!B996:R996)=COLUMNS(Metadata!B996:R996)</f>
        <v>0</v>
      </c>
      <c r="AA996">
        <v>0</v>
      </c>
      <c r="AC996">
        <f>AND(IF(Metadata!B996="",FALSE,TRUE),COUNTIF(Metadata!B:B, Metadata!B996) = 1,NOT(ISERROR(SUMPRODUCT(SEARCH(MID(Metadata!B996,ROW(INDIRECT("1:"&amp;LEN(Metadata!B996))), 1),"0123456789abcdefghijklmnopqrstuvwxyzABCDEFGHIJKLMNOPQRSTUVWXYZ.")))))</f>
        <v>0</v>
      </c>
      <c r="AD996">
        <f>AND(IF(Metadata!C996="",FALSE,TRUE),exact(Metadata!C996,"Host-associated"))</f>
        <v>0</v>
      </c>
      <c r="AE996">
        <f>AND(IF(Metadata!D996="",FALSE,TRUE),OR(exact(Metadata!D996,"Animal"),exact(Metadata!D996,"Fungus"),exact(Metadata!D996,"Plant")))</f>
        <v>0</v>
      </c>
      <c r="AF996">
        <f>AND(IF(Metadata!E996="",FALSE,TRUE),OR(exact(Metadata!E996,"Plant secretion"),exact(Metadata!E996,"Plant rhizosphere"),exact(Metadata!E996,"Plant surface"),exact(Metadata!E996,"Plant corpus"),exact(Metadata!E996,"Fungus surface"),exact(Metadata!E996,"Fungus corpus"),exact(Metadata!E996,"Animal surface"),exact(Metadata!E996,"Animal proximal gut"),exact(Metadata!E996,"Animal corpus"),exact(Metadata!E996,"Animal distal gut"),exact(Metadata!E996,"Animal secretion")))</f>
        <v>0</v>
      </c>
      <c r="AG996">
        <f>OR(AND(IF(Metadata!F996="",FALSE,TRUE),OR(exact(Metadata!F996,"not collected"),exact(Metadata!F996,"not provided"),exact(Metadata!F996,"restricted access"))),AND(IF(Metadata!F996="",FALSE,TRUE),OR(exact(Metadata!F996,"organism-associated habitat"),exact(Metadata!F996,"plant-associated habitat"),exact(Metadata!F996,"animal-associated habitat"),exact(Metadata!F996,"insecta-associated habitat"),exact(Metadata!F996,"mammalia-associated habitat"),exact(Metadata!F996,"human-associated habitat"),exact(Metadata!F996,"livestock-associated habitat"))))</f>
        <v>0</v>
      </c>
      <c r="AH996">
        <f>AND(IF(Metadata!G996="",FALSE,TRUE),exact(Metadata!G996,"host-associated"))</f>
        <v>0</v>
      </c>
      <c r="AI996">
        <f>OR(AND(IF(Metadata!H996="",FALSE,TRUE),OR(exact(Metadata!H996,"not collected"),exact(Metadata!H996,"not provided"))),AND(IF(Metadata!H996="",FALSE,ISNUMBER(VALUE(Metadata!H996))),Metadata!H996&gt;0))</f>
        <v>0</v>
      </c>
      <c r="AJ996">
        <f>AND(IF(Metadata!I996="",FALSE,TRUE),exact(Metadata!I996,"years"))</f>
        <v>0</v>
      </c>
      <c r="AK996">
        <f>IF(Metadata!J996="",FALSE,TRUE)</f>
        <v>0</v>
      </c>
      <c r="AL996">
        <f>OR(AND(IF(Metadata!K996="",FALSE,TRUE),OR(exact(Metadata!K996,"not collected"),exact(Metadata!K996,"not provided"))),AND(IF(Metadata!K996="",FALSE,ISNUMBER(VALUE(Metadata!K996))),Metadata!K996&gt;0))</f>
        <v>0</v>
      </c>
      <c r="AM996">
        <f>AND(IF(Metadata!L996="",FALSE,TRUE),exact(Metadata!L996,"cm"))</f>
        <v>0</v>
      </c>
      <c r="AN996">
        <f>IF(Metadata!M996="",FALSE,TRUE)</f>
        <v>0</v>
      </c>
      <c r="AO996">
        <f>OR(AND(IF(Metadata!N996="",FALSE,TRUE),OR(exact(Metadata!N996,"not applicable"),exact(Metadata!N996,"not collected"),exact(Metadata!N996,"not provided"))),AND(IF(Metadata!N996="",FALSE,IF(ISERROR(INT(Metadata!N996)),FALSE,INT(Metadata!N996)=Metadata!N996)),Metadata!N996&gt;0))</f>
        <v>0</v>
      </c>
      <c r="AP996">
        <f>OR(AND(IF(Metadata!O996="",FALSE,TRUE),OR(exact(Metadata!O996,"not collected"),exact(Metadata!O996,"not provided"))),AND(IF(Metadata!O996="",FALSE,ISNUMBER(VALUE(Metadata!O996))),Metadata!O996&gt;0))</f>
        <v>0</v>
      </c>
      <c r="AQ996">
        <f>AND(IF(Metadata!P996="",FALSE,TRUE),exact(Metadata!P996,"kg"))</f>
        <v>0</v>
      </c>
      <c r="AR996">
        <f>OR(AND(IF(Metadata!Q996="",FALSE,TRUE),OR(exact(Metadata!Q996,"not applicable"),exact(Metadata!Q996,"not collected"),exact(Metadata!Q996,"not provided"),exact(Metadata!Q996,"restricted access"))),IF(Metadata!Q996="",FALSE,IF(ISERROR(INT(Metadata!Q996)),FALSE,INT(Metadata!Q996)=Metadata!Q996)))</f>
        <v>0</v>
      </c>
      <c r="AS996">
        <f>AND(IF(Metadata!R996="",FALSE,TRUE),exact(Metadata!R996,"Not applicable"))</f>
        <v>0</v>
      </c>
    </row>
    <row r="997" spans="1:45">
      <c r="A997" s="4">
        <f>IF(B997=" "," ",HYPERLINK(CONCATENATE("#metadata!",ADDRESS(INDEX($X$2:$X$1001,MATCH(ROWS($V$2:V997),$V$2:$V$1001,0),0),2)),INDEX($AA$2:$AA$1001,MATCH(ROWS($V$2:V997),$V$2:$V$1001,0),0)))</f>
        <v>0</v>
      </c>
      <c r="B997" s="5">
        <f>IF(OR(INDEX($W$2:$W$1001,MATCH(ROWS($V$2:V997),$V$2:$V$1001,0),1)&gt;=100000,INDEX($AC$1005:$AS$1005,1,MATCH(COLUMNS($AC$1006:AC1006),$AC$1006:$AS$1006,0))&gt;=100000), " ",IF(INDEX($AC$2:$AS$1001,MATCH(ROWS($V$2:V997),$V$2:$V$1001,0),MATCH(COLUMNS($AC$1006:AC1006),$AC$1006:$AS$1006,0)), HYPERLINK("#",""), HYPERLINK(CONCATENATE("#Metadata!", ADDRESS(INDEX($X$2:$X$1001,MATCH(ROWS($V$2:V997),$V$2:$V$1001,0),0), INDEX($AC$1004:$AS$1004,1,MATCH(COLUMNS($AC$1006:AC1006),$AC$1006:$AS$1006,0)))),"Fix")))</f>
        <v>0</v>
      </c>
      <c r="C997" s="5">
        <f>IF(OR(INDEX($W$2:$W$1001,MATCH(ROWS($V$2:V997),$V$2:$V$1001,0),1)&gt;=100000,INDEX($AC$1005:$AS$1005,1,MATCH(COLUMNS($AC$1006:AD1006),$AC$1006:$AS$1006,0))&gt;=100000), " ",IF(INDEX($AC$2:$AS$1001,MATCH(ROWS($V$2:V997),$V$2:$V$1001,0),MATCH(COLUMNS($AC$1006:AD1006),$AC$1006:$AS$1006,0)), HYPERLINK("#",""), HYPERLINK(CONCATENATE("#Metadata!", ADDRESS(INDEX($X$2:$X$1001,MATCH(ROWS($V$2:V997),$V$2:$V$1001,0),0), INDEX($AC$1004:$AS$1004,1,MATCH(COLUMNS($AC$1006:AD1006),$AC$1006:$AS$1006,0)))),"Fix")))</f>
        <v>0</v>
      </c>
      <c r="D997" s="5">
        <f>IF(OR(INDEX($W$2:$W$1001,MATCH(ROWS($V$2:V997),$V$2:$V$1001,0),1)&gt;=100000,INDEX($AC$1005:$AS$1005,1,MATCH(COLUMNS($AC$1006:AE1006),$AC$1006:$AS$1006,0))&gt;=100000), " ",IF(INDEX($AC$2:$AS$1001,MATCH(ROWS($V$2:V997),$V$2:$V$1001,0),MATCH(COLUMNS($AC$1006:AE1006),$AC$1006:$AS$1006,0)), HYPERLINK("#",""), HYPERLINK(CONCATENATE("#Metadata!", ADDRESS(INDEX($X$2:$X$1001,MATCH(ROWS($V$2:V997),$V$2:$V$1001,0),0), INDEX($AC$1004:$AS$1004,1,MATCH(COLUMNS($AC$1006:AE1006),$AC$1006:$AS$1006,0)))),"Fix")))</f>
        <v>0</v>
      </c>
      <c r="E997" s="5">
        <f>IF(OR(INDEX($W$2:$W$1001,MATCH(ROWS($V$2:V997),$V$2:$V$1001,0),1)&gt;=100000,INDEX($AC$1005:$AS$1005,1,MATCH(COLUMNS($AC$1006:AF1006),$AC$1006:$AS$1006,0))&gt;=100000), " ",IF(INDEX($AC$2:$AS$1001,MATCH(ROWS($V$2:V997),$V$2:$V$1001,0),MATCH(COLUMNS($AC$1006:AF1006),$AC$1006:$AS$1006,0)), HYPERLINK("#",""), HYPERLINK(CONCATENATE("#Metadata!", ADDRESS(INDEX($X$2:$X$1001,MATCH(ROWS($V$2:V997),$V$2:$V$1001,0),0), INDEX($AC$1004:$AS$1004,1,MATCH(COLUMNS($AC$1006:AF1006),$AC$1006:$AS$1006,0)))),"Fix")))</f>
        <v>0</v>
      </c>
      <c r="F997" s="5">
        <f>IF(OR(INDEX($W$2:$W$1001,MATCH(ROWS($V$2:V997),$V$2:$V$1001,0),1)&gt;=100000,INDEX($AC$1005:$AS$1005,1,MATCH(COLUMNS($AC$1006:AG1006),$AC$1006:$AS$1006,0))&gt;=100000), " ",IF(INDEX($AC$2:$AS$1001,MATCH(ROWS($V$2:V997),$V$2:$V$1001,0),MATCH(COLUMNS($AC$1006:AG1006),$AC$1006:$AS$1006,0)), HYPERLINK("#",""), HYPERLINK(CONCATENATE("#Metadata!", ADDRESS(INDEX($X$2:$X$1001,MATCH(ROWS($V$2:V997),$V$2:$V$1001,0),0), INDEX($AC$1004:$AS$1004,1,MATCH(COLUMNS($AC$1006:AG1006),$AC$1006:$AS$1006,0)))),"Fix")))</f>
        <v>0</v>
      </c>
      <c r="G997" s="5">
        <f>IF(OR(INDEX($W$2:$W$1001,MATCH(ROWS($V$2:V997),$V$2:$V$1001,0),1)&gt;=100000,INDEX($AC$1005:$AS$1005,1,MATCH(COLUMNS($AC$1006:AH1006),$AC$1006:$AS$1006,0))&gt;=100000), " ",IF(INDEX($AC$2:$AS$1001,MATCH(ROWS($V$2:V997),$V$2:$V$1001,0),MATCH(COLUMNS($AC$1006:AH1006),$AC$1006:$AS$1006,0)), HYPERLINK("#",""), HYPERLINK(CONCATENATE("#Metadata!", ADDRESS(INDEX($X$2:$X$1001,MATCH(ROWS($V$2:V997),$V$2:$V$1001,0),0), INDEX($AC$1004:$AS$1004,1,MATCH(COLUMNS($AC$1006:AH1006),$AC$1006:$AS$1006,0)))),"Fix")))</f>
        <v>0</v>
      </c>
      <c r="H997" s="5">
        <f>IF(OR(INDEX($W$2:$W$1001,MATCH(ROWS($V$2:V997),$V$2:$V$1001,0),1)&gt;=100000,INDEX($AC$1005:$AS$1005,1,MATCH(COLUMNS($AC$1006:AI1006),$AC$1006:$AS$1006,0))&gt;=100000), " ",IF(INDEX($AC$2:$AS$1001,MATCH(ROWS($V$2:V997),$V$2:$V$1001,0),MATCH(COLUMNS($AC$1006:AI1006),$AC$1006:$AS$1006,0)), HYPERLINK("#",""), HYPERLINK(CONCATENATE("#Metadata!", ADDRESS(INDEX($X$2:$X$1001,MATCH(ROWS($V$2:V997),$V$2:$V$1001,0),0), INDEX($AC$1004:$AS$1004,1,MATCH(COLUMNS($AC$1006:AI1006),$AC$1006:$AS$1006,0)))),"Fix")))</f>
        <v>0</v>
      </c>
      <c r="I997" s="5">
        <f>IF(OR(INDEX($W$2:$W$1001,MATCH(ROWS($V$2:V997),$V$2:$V$1001,0),1)&gt;=100000,INDEX($AC$1005:$AS$1005,1,MATCH(COLUMNS($AC$1006:AJ1006),$AC$1006:$AS$1006,0))&gt;=100000), " ",IF(INDEX($AC$2:$AS$1001,MATCH(ROWS($V$2:V997),$V$2:$V$1001,0),MATCH(COLUMNS($AC$1006:AJ1006),$AC$1006:$AS$1006,0)), HYPERLINK("#",""), HYPERLINK(CONCATENATE("#Metadata!", ADDRESS(INDEX($X$2:$X$1001,MATCH(ROWS($V$2:V997),$V$2:$V$1001,0),0), INDEX($AC$1004:$AS$1004,1,MATCH(COLUMNS($AC$1006:AJ1006),$AC$1006:$AS$1006,0)))),"Fix")))</f>
        <v>0</v>
      </c>
      <c r="J997" s="5">
        <f>IF(OR(INDEX($W$2:$W$1001,MATCH(ROWS($V$2:V997),$V$2:$V$1001,0),1)&gt;=100000,INDEX($AC$1005:$AS$1005,1,MATCH(COLUMNS($AC$1006:AK1006),$AC$1006:$AS$1006,0))&gt;=100000), " ",IF(INDEX($AC$2:$AS$1001,MATCH(ROWS($V$2:V997),$V$2:$V$1001,0),MATCH(COLUMNS($AC$1006:AK1006),$AC$1006:$AS$1006,0)), HYPERLINK("#",""), HYPERLINK(CONCATENATE("#Metadata!", ADDRESS(INDEX($X$2:$X$1001,MATCH(ROWS($V$2:V997),$V$2:$V$1001,0),0), INDEX($AC$1004:$AS$1004,1,MATCH(COLUMNS($AC$1006:AK1006),$AC$1006:$AS$1006,0)))),"Fix")))</f>
        <v>0</v>
      </c>
      <c r="K997" s="5">
        <f>IF(OR(INDEX($W$2:$W$1001,MATCH(ROWS($V$2:V997),$V$2:$V$1001,0),1)&gt;=100000,INDEX($AC$1005:$AS$1005,1,MATCH(COLUMNS($AC$1006:AL1006),$AC$1006:$AS$1006,0))&gt;=100000), " ",IF(INDEX($AC$2:$AS$1001,MATCH(ROWS($V$2:V997),$V$2:$V$1001,0),MATCH(COLUMNS($AC$1006:AL1006),$AC$1006:$AS$1006,0)), HYPERLINK("#",""), HYPERLINK(CONCATENATE("#Metadata!", ADDRESS(INDEX($X$2:$X$1001,MATCH(ROWS($V$2:V997),$V$2:$V$1001,0),0), INDEX($AC$1004:$AS$1004,1,MATCH(COLUMNS($AC$1006:AL1006),$AC$1006:$AS$1006,0)))),"Fix")))</f>
        <v>0</v>
      </c>
      <c r="L997" s="5">
        <f>IF(OR(INDEX($W$2:$W$1001,MATCH(ROWS($V$2:V997),$V$2:$V$1001,0),1)&gt;=100000,INDEX($AC$1005:$AS$1005,1,MATCH(COLUMNS($AC$1006:AM1006),$AC$1006:$AS$1006,0))&gt;=100000), " ",IF(INDEX($AC$2:$AS$1001,MATCH(ROWS($V$2:V997),$V$2:$V$1001,0),MATCH(COLUMNS($AC$1006:AM1006),$AC$1006:$AS$1006,0)), HYPERLINK("#",""), HYPERLINK(CONCATENATE("#Metadata!", ADDRESS(INDEX($X$2:$X$1001,MATCH(ROWS($V$2:V997),$V$2:$V$1001,0),0), INDEX($AC$1004:$AS$1004,1,MATCH(COLUMNS($AC$1006:AM1006),$AC$1006:$AS$1006,0)))),"Fix")))</f>
        <v>0</v>
      </c>
      <c r="M997" s="5">
        <f>IF(OR(INDEX($W$2:$W$1001,MATCH(ROWS($V$2:V997),$V$2:$V$1001,0),1)&gt;=100000,INDEX($AC$1005:$AS$1005,1,MATCH(COLUMNS($AC$1006:AN1006),$AC$1006:$AS$1006,0))&gt;=100000), " ",IF(INDEX($AC$2:$AS$1001,MATCH(ROWS($V$2:V997),$V$2:$V$1001,0),MATCH(COLUMNS($AC$1006:AN1006),$AC$1006:$AS$1006,0)), HYPERLINK("#",""), HYPERLINK(CONCATENATE("#Metadata!", ADDRESS(INDEX($X$2:$X$1001,MATCH(ROWS($V$2:V997),$V$2:$V$1001,0),0), INDEX($AC$1004:$AS$1004,1,MATCH(COLUMNS($AC$1006:AN1006),$AC$1006:$AS$1006,0)))),"Fix")))</f>
        <v>0</v>
      </c>
      <c r="N997" s="5">
        <f>IF(OR(INDEX($W$2:$W$1001,MATCH(ROWS($V$2:V997),$V$2:$V$1001,0),1)&gt;=100000,INDEX($AC$1005:$AS$1005,1,MATCH(COLUMNS($AC$1006:AO1006),$AC$1006:$AS$1006,0))&gt;=100000), " ",IF(INDEX($AC$2:$AS$1001,MATCH(ROWS($V$2:V997),$V$2:$V$1001,0),MATCH(COLUMNS($AC$1006:AO1006),$AC$1006:$AS$1006,0)), HYPERLINK("#",""), HYPERLINK(CONCATENATE("#Metadata!", ADDRESS(INDEX($X$2:$X$1001,MATCH(ROWS($V$2:V997),$V$2:$V$1001,0),0), INDEX($AC$1004:$AS$1004,1,MATCH(COLUMNS($AC$1006:AO1006),$AC$1006:$AS$1006,0)))),"Fix")))</f>
        <v>0</v>
      </c>
      <c r="O997" s="5">
        <f>IF(OR(INDEX($W$2:$W$1001,MATCH(ROWS($V$2:V997),$V$2:$V$1001,0),1)&gt;=100000,INDEX($AC$1005:$AS$1005,1,MATCH(COLUMNS($AC$1006:AP1006),$AC$1006:$AS$1006,0))&gt;=100000), " ",IF(INDEX($AC$2:$AS$1001,MATCH(ROWS($V$2:V997),$V$2:$V$1001,0),MATCH(COLUMNS($AC$1006:AP1006),$AC$1006:$AS$1006,0)), HYPERLINK("#",""), HYPERLINK(CONCATENATE("#Metadata!", ADDRESS(INDEX($X$2:$X$1001,MATCH(ROWS($V$2:V997),$V$2:$V$1001,0),0), INDEX($AC$1004:$AS$1004,1,MATCH(COLUMNS($AC$1006:AP1006),$AC$1006:$AS$1006,0)))),"Fix")))</f>
        <v>0</v>
      </c>
      <c r="P997" s="5">
        <f>IF(OR(INDEX($W$2:$W$1001,MATCH(ROWS($V$2:V997),$V$2:$V$1001,0),1)&gt;=100000,INDEX($AC$1005:$AS$1005,1,MATCH(COLUMNS($AC$1006:AQ1006),$AC$1006:$AS$1006,0))&gt;=100000), " ",IF(INDEX($AC$2:$AS$1001,MATCH(ROWS($V$2:V997),$V$2:$V$1001,0),MATCH(COLUMNS($AC$1006:AQ1006),$AC$1006:$AS$1006,0)), HYPERLINK("#",""), HYPERLINK(CONCATENATE("#Metadata!", ADDRESS(INDEX($X$2:$X$1001,MATCH(ROWS($V$2:V997),$V$2:$V$1001,0),0), INDEX($AC$1004:$AS$1004,1,MATCH(COLUMNS($AC$1006:AQ1006),$AC$1006:$AS$1006,0)))),"Fix")))</f>
        <v>0</v>
      </c>
      <c r="Q997" s="5">
        <f>IF(OR(INDEX($W$2:$W$1001,MATCH(ROWS($V$2:V997),$V$2:$V$1001,0),1)&gt;=100000,INDEX($AC$1005:$AS$1005,1,MATCH(COLUMNS($AC$1006:AR1006),$AC$1006:$AS$1006,0))&gt;=100000), " ",IF(INDEX($AC$2:$AS$1001,MATCH(ROWS($V$2:V997),$V$2:$V$1001,0),MATCH(COLUMNS($AC$1006:AR1006),$AC$1006:$AS$1006,0)), HYPERLINK("#",""), HYPERLINK(CONCATENATE("#Metadata!", ADDRESS(INDEX($X$2:$X$1001,MATCH(ROWS($V$2:V997),$V$2:$V$1001,0),0), INDEX($AC$1004:$AS$1004,1,MATCH(COLUMNS($AC$1006:AR1006),$AC$1006:$AS$1006,0)))),"Fix")))</f>
        <v>0</v>
      </c>
      <c r="R997" s="5">
        <f>IF(OR(INDEX($W$2:$W$1001,MATCH(ROWS($V$2:V997),$V$2:$V$1001,0),1)&gt;=100000,INDEX($AC$1005:$AS$1005,1,MATCH(COLUMNS($AC$1006:AS1006),$AC$1006:$AS$1006,0))&gt;=100000), " ",IF(INDEX($AC$2:$AS$1001,MATCH(ROWS($V$2:V997),$V$2:$V$1001,0),MATCH(COLUMNS($AC$1006:AS1006),$AC$1006:$AS$1006,0)), HYPERLINK("#",""), HYPERLINK(CONCATENATE("#Metadata!", ADDRESS(INDEX($X$2:$X$1001,MATCH(ROWS($V$2:V997),$V$2:$V$1001,0),0), INDEX($AC$1004:$AS$1004,1,MATCH(COLUMNS($AC$1006:AS1006),$AC$1006:$AS$1006,0)))),"Fix")))</f>
        <v>0</v>
      </c>
      <c r="V997">
        <v>0</v>
      </c>
      <c r="W997">
        <v>0</v>
      </c>
      <c r="X997">
        <v>0</v>
      </c>
      <c r="Y997">
        <f>IF(Z997,TRUE,AND(AC997:AS997))</f>
        <v>0</v>
      </c>
      <c r="Z997">
        <f>COUNTBLANK(Metadata!B997:R997)=COLUMNS(Metadata!B997:R997)</f>
        <v>0</v>
      </c>
      <c r="AA997">
        <v>0</v>
      </c>
      <c r="AC997">
        <f>AND(IF(Metadata!B997="",FALSE,TRUE),COUNTIF(Metadata!B:B, Metadata!B997) = 1,NOT(ISERROR(SUMPRODUCT(SEARCH(MID(Metadata!B997,ROW(INDIRECT("1:"&amp;LEN(Metadata!B997))), 1),"0123456789abcdefghijklmnopqrstuvwxyzABCDEFGHIJKLMNOPQRSTUVWXYZ.")))))</f>
        <v>0</v>
      </c>
      <c r="AD997">
        <f>AND(IF(Metadata!C997="",FALSE,TRUE),exact(Metadata!C997,"Host-associated"))</f>
        <v>0</v>
      </c>
      <c r="AE997">
        <f>AND(IF(Metadata!D997="",FALSE,TRUE),OR(exact(Metadata!D997,"Animal"),exact(Metadata!D997,"Fungus"),exact(Metadata!D997,"Plant")))</f>
        <v>0</v>
      </c>
      <c r="AF997">
        <f>AND(IF(Metadata!E997="",FALSE,TRUE),OR(exact(Metadata!E997,"Plant secretion"),exact(Metadata!E997,"Plant rhizosphere"),exact(Metadata!E997,"Plant surface"),exact(Metadata!E997,"Plant corpus"),exact(Metadata!E997,"Fungus surface"),exact(Metadata!E997,"Fungus corpus"),exact(Metadata!E997,"Animal surface"),exact(Metadata!E997,"Animal proximal gut"),exact(Metadata!E997,"Animal corpus"),exact(Metadata!E997,"Animal distal gut"),exact(Metadata!E997,"Animal secretion")))</f>
        <v>0</v>
      </c>
      <c r="AG997">
        <f>OR(AND(IF(Metadata!F997="",FALSE,TRUE),OR(exact(Metadata!F997,"not collected"),exact(Metadata!F997,"not provided"),exact(Metadata!F997,"restricted access"))),AND(IF(Metadata!F997="",FALSE,TRUE),OR(exact(Metadata!F997,"organism-associated habitat"),exact(Metadata!F997,"plant-associated habitat"),exact(Metadata!F997,"animal-associated habitat"),exact(Metadata!F997,"insecta-associated habitat"),exact(Metadata!F997,"mammalia-associated habitat"),exact(Metadata!F997,"human-associated habitat"),exact(Metadata!F997,"livestock-associated habitat"))))</f>
        <v>0</v>
      </c>
      <c r="AH997">
        <f>AND(IF(Metadata!G997="",FALSE,TRUE),exact(Metadata!G997,"host-associated"))</f>
        <v>0</v>
      </c>
      <c r="AI997">
        <f>OR(AND(IF(Metadata!H997="",FALSE,TRUE),OR(exact(Metadata!H997,"not collected"),exact(Metadata!H997,"not provided"))),AND(IF(Metadata!H997="",FALSE,ISNUMBER(VALUE(Metadata!H997))),Metadata!H997&gt;0))</f>
        <v>0</v>
      </c>
      <c r="AJ997">
        <f>AND(IF(Metadata!I997="",FALSE,TRUE),exact(Metadata!I997,"years"))</f>
        <v>0</v>
      </c>
      <c r="AK997">
        <f>IF(Metadata!J997="",FALSE,TRUE)</f>
        <v>0</v>
      </c>
      <c r="AL997">
        <f>OR(AND(IF(Metadata!K997="",FALSE,TRUE),OR(exact(Metadata!K997,"not collected"),exact(Metadata!K997,"not provided"))),AND(IF(Metadata!K997="",FALSE,ISNUMBER(VALUE(Metadata!K997))),Metadata!K997&gt;0))</f>
        <v>0</v>
      </c>
      <c r="AM997">
        <f>AND(IF(Metadata!L997="",FALSE,TRUE),exact(Metadata!L997,"cm"))</f>
        <v>0</v>
      </c>
      <c r="AN997">
        <f>IF(Metadata!M997="",FALSE,TRUE)</f>
        <v>0</v>
      </c>
      <c r="AO997">
        <f>OR(AND(IF(Metadata!N997="",FALSE,TRUE),OR(exact(Metadata!N997,"not applicable"),exact(Metadata!N997,"not collected"),exact(Metadata!N997,"not provided"))),AND(IF(Metadata!N997="",FALSE,IF(ISERROR(INT(Metadata!N997)),FALSE,INT(Metadata!N997)=Metadata!N997)),Metadata!N997&gt;0))</f>
        <v>0</v>
      </c>
      <c r="AP997">
        <f>OR(AND(IF(Metadata!O997="",FALSE,TRUE),OR(exact(Metadata!O997,"not collected"),exact(Metadata!O997,"not provided"))),AND(IF(Metadata!O997="",FALSE,ISNUMBER(VALUE(Metadata!O997))),Metadata!O997&gt;0))</f>
        <v>0</v>
      </c>
      <c r="AQ997">
        <f>AND(IF(Metadata!P997="",FALSE,TRUE),exact(Metadata!P997,"kg"))</f>
        <v>0</v>
      </c>
      <c r="AR997">
        <f>OR(AND(IF(Metadata!Q997="",FALSE,TRUE),OR(exact(Metadata!Q997,"not applicable"),exact(Metadata!Q997,"not collected"),exact(Metadata!Q997,"not provided"),exact(Metadata!Q997,"restricted access"))),IF(Metadata!Q997="",FALSE,IF(ISERROR(INT(Metadata!Q997)),FALSE,INT(Metadata!Q997)=Metadata!Q997)))</f>
        <v>0</v>
      </c>
      <c r="AS997">
        <f>AND(IF(Metadata!R997="",FALSE,TRUE),exact(Metadata!R997,"Not applicable"))</f>
        <v>0</v>
      </c>
    </row>
    <row r="998" spans="1:45">
      <c r="A998" s="4">
        <f>IF(B998=" "," ",HYPERLINK(CONCATENATE("#metadata!",ADDRESS(INDEX($X$2:$X$1001,MATCH(ROWS($V$2:V998),$V$2:$V$1001,0),0),2)),INDEX($AA$2:$AA$1001,MATCH(ROWS($V$2:V998),$V$2:$V$1001,0),0)))</f>
        <v>0</v>
      </c>
      <c r="B998" s="5">
        <f>IF(OR(INDEX($W$2:$W$1001,MATCH(ROWS($V$2:V998),$V$2:$V$1001,0),1)&gt;=100000,INDEX($AC$1005:$AS$1005,1,MATCH(COLUMNS($AC$1006:AC1006),$AC$1006:$AS$1006,0))&gt;=100000), " ",IF(INDEX($AC$2:$AS$1001,MATCH(ROWS($V$2:V998),$V$2:$V$1001,0),MATCH(COLUMNS($AC$1006:AC1006),$AC$1006:$AS$1006,0)), HYPERLINK("#",""), HYPERLINK(CONCATENATE("#Metadata!", ADDRESS(INDEX($X$2:$X$1001,MATCH(ROWS($V$2:V998),$V$2:$V$1001,0),0), INDEX($AC$1004:$AS$1004,1,MATCH(COLUMNS($AC$1006:AC1006),$AC$1006:$AS$1006,0)))),"Fix")))</f>
        <v>0</v>
      </c>
      <c r="C998" s="5">
        <f>IF(OR(INDEX($W$2:$W$1001,MATCH(ROWS($V$2:V998),$V$2:$V$1001,0),1)&gt;=100000,INDEX($AC$1005:$AS$1005,1,MATCH(COLUMNS($AC$1006:AD1006),$AC$1006:$AS$1006,0))&gt;=100000), " ",IF(INDEX($AC$2:$AS$1001,MATCH(ROWS($V$2:V998),$V$2:$V$1001,0),MATCH(COLUMNS($AC$1006:AD1006),$AC$1006:$AS$1006,0)), HYPERLINK("#",""), HYPERLINK(CONCATENATE("#Metadata!", ADDRESS(INDEX($X$2:$X$1001,MATCH(ROWS($V$2:V998),$V$2:$V$1001,0),0), INDEX($AC$1004:$AS$1004,1,MATCH(COLUMNS($AC$1006:AD1006),$AC$1006:$AS$1006,0)))),"Fix")))</f>
        <v>0</v>
      </c>
      <c r="D998" s="5">
        <f>IF(OR(INDEX($W$2:$W$1001,MATCH(ROWS($V$2:V998),$V$2:$V$1001,0),1)&gt;=100000,INDEX($AC$1005:$AS$1005,1,MATCH(COLUMNS($AC$1006:AE1006),$AC$1006:$AS$1006,0))&gt;=100000), " ",IF(INDEX($AC$2:$AS$1001,MATCH(ROWS($V$2:V998),$V$2:$V$1001,0),MATCH(COLUMNS($AC$1006:AE1006),$AC$1006:$AS$1006,0)), HYPERLINK("#",""), HYPERLINK(CONCATENATE("#Metadata!", ADDRESS(INDEX($X$2:$X$1001,MATCH(ROWS($V$2:V998),$V$2:$V$1001,0),0), INDEX($AC$1004:$AS$1004,1,MATCH(COLUMNS($AC$1006:AE1006),$AC$1006:$AS$1006,0)))),"Fix")))</f>
        <v>0</v>
      </c>
      <c r="E998" s="5">
        <f>IF(OR(INDEX($W$2:$W$1001,MATCH(ROWS($V$2:V998),$V$2:$V$1001,0),1)&gt;=100000,INDEX($AC$1005:$AS$1005,1,MATCH(COLUMNS($AC$1006:AF1006),$AC$1006:$AS$1006,0))&gt;=100000), " ",IF(INDEX($AC$2:$AS$1001,MATCH(ROWS($V$2:V998),$V$2:$V$1001,0),MATCH(COLUMNS($AC$1006:AF1006),$AC$1006:$AS$1006,0)), HYPERLINK("#",""), HYPERLINK(CONCATENATE("#Metadata!", ADDRESS(INDEX($X$2:$X$1001,MATCH(ROWS($V$2:V998),$V$2:$V$1001,0),0), INDEX($AC$1004:$AS$1004,1,MATCH(COLUMNS($AC$1006:AF1006),$AC$1006:$AS$1006,0)))),"Fix")))</f>
        <v>0</v>
      </c>
      <c r="F998" s="5">
        <f>IF(OR(INDEX($W$2:$W$1001,MATCH(ROWS($V$2:V998),$V$2:$V$1001,0),1)&gt;=100000,INDEX($AC$1005:$AS$1005,1,MATCH(COLUMNS($AC$1006:AG1006),$AC$1006:$AS$1006,0))&gt;=100000), " ",IF(INDEX($AC$2:$AS$1001,MATCH(ROWS($V$2:V998),$V$2:$V$1001,0),MATCH(COLUMNS($AC$1006:AG1006),$AC$1006:$AS$1006,0)), HYPERLINK("#",""), HYPERLINK(CONCATENATE("#Metadata!", ADDRESS(INDEX($X$2:$X$1001,MATCH(ROWS($V$2:V998),$V$2:$V$1001,0),0), INDEX($AC$1004:$AS$1004,1,MATCH(COLUMNS($AC$1006:AG1006),$AC$1006:$AS$1006,0)))),"Fix")))</f>
        <v>0</v>
      </c>
      <c r="G998" s="5">
        <f>IF(OR(INDEX($W$2:$W$1001,MATCH(ROWS($V$2:V998),$V$2:$V$1001,0),1)&gt;=100000,INDEX($AC$1005:$AS$1005,1,MATCH(COLUMNS($AC$1006:AH1006),$AC$1006:$AS$1006,0))&gt;=100000), " ",IF(INDEX($AC$2:$AS$1001,MATCH(ROWS($V$2:V998),$V$2:$V$1001,0),MATCH(COLUMNS($AC$1006:AH1006),$AC$1006:$AS$1006,0)), HYPERLINK("#",""), HYPERLINK(CONCATENATE("#Metadata!", ADDRESS(INDEX($X$2:$X$1001,MATCH(ROWS($V$2:V998),$V$2:$V$1001,0),0), INDEX($AC$1004:$AS$1004,1,MATCH(COLUMNS($AC$1006:AH1006),$AC$1006:$AS$1006,0)))),"Fix")))</f>
        <v>0</v>
      </c>
      <c r="H998" s="5">
        <f>IF(OR(INDEX($W$2:$W$1001,MATCH(ROWS($V$2:V998),$V$2:$V$1001,0),1)&gt;=100000,INDEX($AC$1005:$AS$1005,1,MATCH(COLUMNS($AC$1006:AI1006),$AC$1006:$AS$1006,0))&gt;=100000), " ",IF(INDEX($AC$2:$AS$1001,MATCH(ROWS($V$2:V998),$V$2:$V$1001,0),MATCH(COLUMNS($AC$1006:AI1006),$AC$1006:$AS$1006,0)), HYPERLINK("#",""), HYPERLINK(CONCATENATE("#Metadata!", ADDRESS(INDEX($X$2:$X$1001,MATCH(ROWS($V$2:V998),$V$2:$V$1001,0),0), INDEX($AC$1004:$AS$1004,1,MATCH(COLUMNS($AC$1006:AI1006),$AC$1006:$AS$1006,0)))),"Fix")))</f>
        <v>0</v>
      </c>
      <c r="I998" s="5">
        <f>IF(OR(INDEX($W$2:$W$1001,MATCH(ROWS($V$2:V998),$V$2:$V$1001,0),1)&gt;=100000,INDEX($AC$1005:$AS$1005,1,MATCH(COLUMNS($AC$1006:AJ1006),$AC$1006:$AS$1006,0))&gt;=100000), " ",IF(INDEX($AC$2:$AS$1001,MATCH(ROWS($V$2:V998),$V$2:$V$1001,0),MATCH(COLUMNS($AC$1006:AJ1006),$AC$1006:$AS$1006,0)), HYPERLINK("#",""), HYPERLINK(CONCATENATE("#Metadata!", ADDRESS(INDEX($X$2:$X$1001,MATCH(ROWS($V$2:V998),$V$2:$V$1001,0),0), INDEX($AC$1004:$AS$1004,1,MATCH(COLUMNS($AC$1006:AJ1006),$AC$1006:$AS$1006,0)))),"Fix")))</f>
        <v>0</v>
      </c>
      <c r="J998" s="5">
        <f>IF(OR(INDEX($W$2:$W$1001,MATCH(ROWS($V$2:V998),$V$2:$V$1001,0),1)&gt;=100000,INDEX($AC$1005:$AS$1005,1,MATCH(COLUMNS($AC$1006:AK1006),$AC$1006:$AS$1006,0))&gt;=100000), " ",IF(INDEX($AC$2:$AS$1001,MATCH(ROWS($V$2:V998),$V$2:$V$1001,0),MATCH(COLUMNS($AC$1006:AK1006),$AC$1006:$AS$1006,0)), HYPERLINK("#",""), HYPERLINK(CONCATENATE("#Metadata!", ADDRESS(INDEX($X$2:$X$1001,MATCH(ROWS($V$2:V998),$V$2:$V$1001,0),0), INDEX($AC$1004:$AS$1004,1,MATCH(COLUMNS($AC$1006:AK1006),$AC$1006:$AS$1006,0)))),"Fix")))</f>
        <v>0</v>
      </c>
      <c r="K998" s="5">
        <f>IF(OR(INDEX($W$2:$W$1001,MATCH(ROWS($V$2:V998),$V$2:$V$1001,0),1)&gt;=100000,INDEX($AC$1005:$AS$1005,1,MATCH(COLUMNS($AC$1006:AL1006),$AC$1006:$AS$1006,0))&gt;=100000), " ",IF(INDEX($AC$2:$AS$1001,MATCH(ROWS($V$2:V998),$V$2:$V$1001,0),MATCH(COLUMNS($AC$1006:AL1006),$AC$1006:$AS$1006,0)), HYPERLINK("#",""), HYPERLINK(CONCATENATE("#Metadata!", ADDRESS(INDEX($X$2:$X$1001,MATCH(ROWS($V$2:V998),$V$2:$V$1001,0),0), INDEX($AC$1004:$AS$1004,1,MATCH(COLUMNS($AC$1006:AL1006),$AC$1006:$AS$1006,0)))),"Fix")))</f>
        <v>0</v>
      </c>
      <c r="L998" s="5">
        <f>IF(OR(INDEX($W$2:$W$1001,MATCH(ROWS($V$2:V998),$V$2:$V$1001,0),1)&gt;=100000,INDEX($AC$1005:$AS$1005,1,MATCH(COLUMNS($AC$1006:AM1006),$AC$1006:$AS$1006,0))&gt;=100000), " ",IF(INDEX($AC$2:$AS$1001,MATCH(ROWS($V$2:V998),$V$2:$V$1001,0),MATCH(COLUMNS($AC$1006:AM1006),$AC$1006:$AS$1006,0)), HYPERLINK("#",""), HYPERLINK(CONCATENATE("#Metadata!", ADDRESS(INDEX($X$2:$X$1001,MATCH(ROWS($V$2:V998),$V$2:$V$1001,0),0), INDEX($AC$1004:$AS$1004,1,MATCH(COLUMNS($AC$1006:AM1006),$AC$1006:$AS$1006,0)))),"Fix")))</f>
        <v>0</v>
      </c>
      <c r="M998" s="5">
        <f>IF(OR(INDEX($W$2:$W$1001,MATCH(ROWS($V$2:V998),$V$2:$V$1001,0),1)&gt;=100000,INDEX($AC$1005:$AS$1005,1,MATCH(COLUMNS($AC$1006:AN1006),$AC$1006:$AS$1006,0))&gt;=100000), " ",IF(INDEX($AC$2:$AS$1001,MATCH(ROWS($V$2:V998),$V$2:$V$1001,0),MATCH(COLUMNS($AC$1006:AN1006),$AC$1006:$AS$1006,0)), HYPERLINK("#",""), HYPERLINK(CONCATENATE("#Metadata!", ADDRESS(INDEX($X$2:$X$1001,MATCH(ROWS($V$2:V998),$V$2:$V$1001,0),0), INDEX($AC$1004:$AS$1004,1,MATCH(COLUMNS($AC$1006:AN1006),$AC$1006:$AS$1006,0)))),"Fix")))</f>
        <v>0</v>
      </c>
      <c r="N998" s="5">
        <f>IF(OR(INDEX($W$2:$W$1001,MATCH(ROWS($V$2:V998),$V$2:$V$1001,0),1)&gt;=100000,INDEX($AC$1005:$AS$1005,1,MATCH(COLUMNS($AC$1006:AO1006),$AC$1006:$AS$1006,0))&gt;=100000), " ",IF(INDEX($AC$2:$AS$1001,MATCH(ROWS($V$2:V998),$V$2:$V$1001,0),MATCH(COLUMNS($AC$1006:AO1006),$AC$1006:$AS$1006,0)), HYPERLINK("#",""), HYPERLINK(CONCATENATE("#Metadata!", ADDRESS(INDEX($X$2:$X$1001,MATCH(ROWS($V$2:V998),$V$2:$V$1001,0),0), INDEX($AC$1004:$AS$1004,1,MATCH(COLUMNS($AC$1006:AO1006),$AC$1006:$AS$1006,0)))),"Fix")))</f>
        <v>0</v>
      </c>
      <c r="O998" s="5">
        <f>IF(OR(INDEX($W$2:$W$1001,MATCH(ROWS($V$2:V998),$V$2:$V$1001,0),1)&gt;=100000,INDEX($AC$1005:$AS$1005,1,MATCH(COLUMNS($AC$1006:AP1006),$AC$1006:$AS$1006,0))&gt;=100000), " ",IF(INDEX($AC$2:$AS$1001,MATCH(ROWS($V$2:V998),$V$2:$V$1001,0),MATCH(COLUMNS($AC$1006:AP1006),$AC$1006:$AS$1006,0)), HYPERLINK("#",""), HYPERLINK(CONCATENATE("#Metadata!", ADDRESS(INDEX($X$2:$X$1001,MATCH(ROWS($V$2:V998),$V$2:$V$1001,0),0), INDEX($AC$1004:$AS$1004,1,MATCH(COLUMNS($AC$1006:AP1006),$AC$1006:$AS$1006,0)))),"Fix")))</f>
        <v>0</v>
      </c>
      <c r="P998" s="5">
        <f>IF(OR(INDEX($W$2:$W$1001,MATCH(ROWS($V$2:V998),$V$2:$V$1001,0),1)&gt;=100000,INDEX($AC$1005:$AS$1005,1,MATCH(COLUMNS($AC$1006:AQ1006),$AC$1006:$AS$1006,0))&gt;=100000), " ",IF(INDEX($AC$2:$AS$1001,MATCH(ROWS($V$2:V998),$V$2:$V$1001,0),MATCH(COLUMNS($AC$1006:AQ1006),$AC$1006:$AS$1006,0)), HYPERLINK("#",""), HYPERLINK(CONCATENATE("#Metadata!", ADDRESS(INDEX($X$2:$X$1001,MATCH(ROWS($V$2:V998),$V$2:$V$1001,0),0), INDEX($AC$1004:$AS$1004,1,MATCH(COLUMNS($AC$1006:AQ1006),$AC$1006:$AS$1006,0)))),"Fix")))</f>
        <v>0</v>
      </c>
      <c r="Q998" s="5">
        <f>IF(OR(INDEX($W$2:$W$1001,MATCH(ROWS($V$2:V998),$V$2:$V$1001,0),1)&gt;=100000,INDEX($AC$1005:$AS$1005,1,MATCH(COLUMNS($AC$1006:AR1006),$AC$1006:$AS$1006,0))&gt;=100000), " ",IF(INDEX($AC$2:$AS$1001,MATCH(ROWS($V$2:V998),$V$2:$V$1001,0),MATCH(COLUMNS($AC$1006:AR1006),$AC$1006:$AS$1006,0)), HYPERLINK("#",""), HYPERLINK(CONCATENATE("#Metadata!", ADDRESS(INDEX($X$2:$X$1001,MATCH(ROWS($V$2:V998),$V$2:$V$1001,0),0), INDEX($AC$1004:$AS$1004,1,MATCH(COLUMNS($AC$1006:AR1006),$AC$1006:$AS$1006,0)))),"Fix")))</f>
        <v>0</v>
      </c>
      <c r="R998" s="5">
        <f>IF(OR(INDEX($W$2:$W$1001,MATCH(ROWS($V$2:V998),$V$2:$V$1001,0),1)&gt;=100000,INDEX($AC$1005:$AS$1005,1,MATCH(COLUMNS($AC$1006:AS1006),$AC$1006:$AS$1006,0))&gt;=100000), " ",IF(INDEX($AC$2:$AS$1001,MATCH(ROWS($V$2:V998),$V$2:$V$1001,0),MATCH(COLUMNS($AC$1006:AS1006),$AC$1006:$AS$1006,0)), HYPERLINK("#",""), HYPERLINK(CONCATENATE("#Metadata!", ADDRESS(INDEX($X$2:$X$1001,MATCH(ROWS($V$2:V998),$V$2:$V$1001,0),0), INDEX($AC$1004:$AS$1004,1,MATCH(COLUMNS($AC$1006:AS1006),$AC$1006:$AS$1006,0)))),"Fix")))</f>
        <v>0</v>
      </c>
      <c r="V998">
        <v>0</v>
      </c>
      <c r="W998">
        <v>0</v>
      </c>
      <c r="X998">
        <v>0</v>
      </c>
      <c r="Y998">
        <f>IF(Z998,TRUE,AND(AC998:AS998))</f>
        <v>0</v>
      </c>
      <c r="Z998">
        <f>COUNTBLANK(Metadata!B998:R998)=COLUMNS(Metadata!B998:R998)</f>
        <v>0</v>
      </c>
      <c r="AA998">
        <v>0</v>
      </c>
      <c r="AC998">
        <f>AND(IF(Metadata!B998="",FALSE,TRUE),COUNTIF(Metadata!B:B, Metadata!B998) = 1,NOT(ISERROR(SUMPRODUCT(SEARCH(MID(Metadata!B998,ROW(INDIRECT("1:"&amp;LEN(Metadata!B998))), 1),"0123456789abcdefghijklmnopqrstuvwxyzABCDEFGHIJKLMNOPQRSTUVWXYZ.")))))</f>
        <v>0</v>
      </c>
      <c r="AD998">
        <f>AND(IF(Metadata!C998="",FALSE,TRUE),exact(Metadata!C998,"Host-associated"))</f>
        <v>0</v>
      </c>
      <c r="AE998">
        <f>AND(IF(Metadata!D998="",FALSE,TRUE),OR(exact(Metadata!D998,"Animal"),exact(Metadata!D998,"Fungus"),exact(Metadata!D998,"Plant")))</f>
        <v>0</v>
      </c>
      <c r="AF998">
        <f>AND(IF(Metadata!E998="",FALSE,TRUE),OR(exact(Metadata!E998,"Plant secretion"),exact(Metadata!E998,"Plant rhizosphere"),exact(Metadata!E998,"Plant surface"),exact(Metadata!E998,"Plant corpus"),exact(Metadata!E998,"Fungus surface"),exact(Metadata!E998,"Fungus corpus"),exact(Metadata!E998,"Animal surface"),exact(Metadata!E998,"Animal proximal gut"),exact(Metadata!E998,"Animal corpus"),exact(Metadata!E998,"Animal distal gut"),exact(Metadata!E998,"Animal secretion")))</f>
        <v>0</v>
      </c>
      <c r="AG998">
        <f>OR(AND(IF(Metadata!F998="",FALSE,TRUE),OR(exact(Metadata!F998,"not collected"),exact(Metadata!F998,"not provided"),exact(Metadata!F998,"restricted access"))),AND(IF(Metadata!F998="",FALSE,TRUE),OR(exact(Metadata!F998,"organism-associated habitat"),exact(Metadata!F998,"plant-associated habitat"),exact(Metadata!F998,"animal-associated habitat"),exact(Metadata!F998,"insecta-associated habitat"),exact(Metadata!F998,"mammalia-associated habitat"),exact(Metadata!F998,"human-associated habitat"),exact(Metadata!F998,"livestock-associated habitat"))))</f>
        <v>0</v>
      </c>
      <c r="AH998">
        <f>AND(IF(Metadata!G998="",FALSE,TRUE),exact(Metadata!G998,"host-associated"))</f>
        <v>0</v>
      </c>
      <c r="AI998">
        <f>OR(AND(IF(Metadata!H998="",FALSE,TRUE),OR(exact(Metadata!H998,"not collected"),exact(Metadata!H998,"not provided"))),AND(IF(Metadata!H998="",FALSE,ISNUMBER(VALUE(Metadata!H998))),Metadata!H998&gt;0))</f>
        <v>0</v>
      </c>
      <c r="AJ998">
        <f>AND(IF(Metadata!I998="",FALSE,TRUE),exact(Metadata!I998,"years"))</f>
        <v>0</v>
      </c>
      <c r="AK998">
        <f>IF(Metadata!J998="",FALSE,TRUE)</f>
        <v>0</v>
      </c>
      <c r="AL998">
        <f>OR(AND(IF(Metadata!K998="",FALSE,TRUE),OR(exact(Metadata!K998,"not collected"),exact(Metadata!K998,"not provided"))),AND(IF(Metadata!K998="",FALSE,ISNUMBER(VALUE(Metadata!K998))),Metadata!K998&gt;0))</f>
        <v>0</v>
      </c>
      <c r="AM998">
        <f>AND(IF(Metadata!L998="",FALSE,TRUE),exact(Metadata!L998,"cm"))</f>
        <v>0</v>
      </c>
      <c r="AN998">
        <f>IF(Metadata!M998="",FALSE,TRUE)</f>
        <v>0</v>
      </c>
      <c r="AO998">
        <f>OR(AND(IF(Metadata!N998="",FALSE,TRUE),OR(exact(Metadata!N998,"not applicable"),exact(Metadata!N998,"not collected"),exact(Metadata!N998,"not provided"))),AND(IF(Metadata!N998="",FALSE,IF(ISERROR(INT(Metadata!N998)),FALSE,INT(Metadata!N998)=Metadata!N998)),Metadata!N998&gt;0))</f>
        <v>0</v>
      </c>
      <c r="AP998">
        <f>OR(AND(IF(Metadata!O998="",FALSE,TRUE),OR(exact(Metadata!O998,"not collected"),exact(Metadata!O998,"not provided"))),AND(IF(Metadata!O998="",FALSE,ISNUMBER(VALUE(Metadata!O998))),Metadata!O998&gt;0))</f>
        <v>0</v>
      </c>
      <c r="AQ998">
        <f>AND(IF(Metadata!P998="",FALSE,TRUE),exact(Metadata!P998,"kg"))</f>
        <v>0</v>
      </c>
      <c r="AR998">
        <f>OR(AND(IF(Metadata!Q998="",FALSE,TRUE),OR(exact(Metadata!Q998,"not applicable"),exact(Metadata!Q998,"not collected"),exact(Metadata!Q998,"not provided"),exact(Metadata!Q998,"restricted access"))),IF(Metadata!Q998="",FALSE,IF(ISERROR(INT(Metadata!Q998)),FALSE,INT(Metadata!Q998)=Metadata!Q998)))</f>
        <v>0</v>
      </c>
      <c r="AS998">
        <f>AND(IF(Metadata!R998="",FALSE,TRUE),exact(Metadata!R998,"Not applicable"))</f>
        <v>0</v>
      </c>
    </row>
    <row r="999" spans="1:45">
      <c r="A999" s="4">
        <f>IF(B999=" "," ",HYPERLINK(CONCATENATE("#metadata!",ADDRESS(INDEX($X$2:$X$1001,MATCH(ROWS($V$2:V999),$V$2:$V$1001,0),0),2)),INDEX($AA$2:$AA$1001,MATCH(ROWS($V$2:V999),$V$2:$V$1001,0),0)))</f>
        <v>0</v>
      </c>
      <c r="B999" s="5">
        <f>IF(OR(INDEX($W$2:$W$1001,MATCH(ROWS($V$2:V999),$V$2:$V$1001,0),1)&gt;=100000,INDEX($AC$1005:$AS$1005,1,MATCH(COLUMNS($AC$1006:AC1006),$AC$1006:$AS$1006,0))&gt;=100000), " ",IF(INDEX($AC$2:$AS$1001,MATCH(ROWS($V$2:V999),$V$2:$V$1001,0),MATCH(COLUMNS($AC$1006:AC1006),$AC$1006:$AS$1006,0)), HYPERLINK("#",""), HYPERLINK(CONCATENATE("#Metadata!", ADDRESS(INDEX($X$2:$X$1001,MATCH(ROWS($V$2:V999),$V$2:$V$1001,0),0), INDEX($AC$1004:$AS$1004,1,MATCH(COLUMNS($AC$1006:AC1006),$AC$1006:$AS$1006,0)))),"Fix")))</f>
        <v>0</v>
      </c>
      <c r="C999" s="5">
        <f>IF(OR(INDEX($W$2:$W$1001,MATCH(ROWS($V$2:V999),$V$2:$V$1001,0),1)&gt;=100000,INDEX($AC$1005:$AS$1005,1,MATCH(COLUMNS($AC$1006:AD1006),$AC$1006:$AS$1006,0))&gt;=100000), " ",IF(INDEX($AC$2:$AS$1001,MATCH(ROWS($V$2:V999),$V$2:$V$1001,0),MATCH(COLUMNS($AC$1006:AD1006),$AC$1006:$AS$1006,0)), HYPERLINK("#",""), HYPERLINK(CONCATENATE("#Metadata!", ADDRESS(INDEX($X$2:$X$1001,MATCH(ROWS($V$2:V999),$V$2:$V$1001,0),0), INDEX($AC$1004:$AS$1004,1,MATCH(COLUMNS($AC$1006:AD1006),$AC$1006:$AS$1006,0)))),"Fix")))</f>
        <v>0</v>
      </c>
      <c r="D999" s="5">
        <f>IF(OR(INDEX($W$2:$W$1001,MATCH(ROWS($V$2:V999),$V$2:$V$1001,0),1)&gt;=100000,INDEX($AC$1005:$AS$1005,1,MATCH(COLUMNS($AC$1006:AE1006),$AC$1006:$AS$1006,0))&gt;=100000), " ",IF(INDEX($AC$2:$AS$1001,MATCH(ROWS($V$2:V999),$V$2:$V$1001,0),MATCH(COLUMNS($AC$1006:AE1006),$AC$1006:$AS$1006,0)), HYPERLINK("#",""), HYPERLINK(CONCATENATE("#Metadata!", ADDRESS(INDEX($X$2:$X$1001,MATCH(ROWS($V$2:V999),$V$2:$V$1001,0),0), INDEX($AC$1004:$AS$1004,1,MATCH(COLUMNS($AC$1006:AE1006),$AC$1006:$AS$1006,0)))),"Fix")))</f>
        <v>0</v>
      </c>
      <c r="E999" s="5">
        <f>IF(OR(INDEX($W$2:$W$1001,MATCH(ROWS($V$2:V999),$V$2:$V$1001,0),1)&gt;=100000,INDEX($AC$1005:$AS$1005,1,MATCH(COLUMNS($AC$1006:AF1006),$AC$1006:$AS$1006,0))&gt;=100000), " ",IF(INDEX($AC$2:$AS$1001,MATCH(ROWS($V$2:V999),$V$2:$V$1001,0),MATCH(COLUMNS($AC$1006:AF1006),$AC$1006:$AS$1006,0)), HYPERLINK("#",""), HYPERLINK(CONCATENATE("#Metadata!", ADDRESS(INDEX($X$2:$X$1001,MATCH(ROWS($V$2:V999),$V$2:$V$1001,0),0), INDEX($AC$1004:$AS$1004,1,MATCH(COLUMNS($AC$1006:AF1006),$AC$1006:$AS$1006,0)))),"Fix")))</f>
        <v>0</v>
      </c>
      <c r="F999" s="5">
        <f>IF(OR(INDEX($W$2:$W$1001,MATCH(ROWS($V$2:V999),$V$2:$V$1001,0),1)&gt;=100000,INDEX($AC$1005:$AS$1005,1,MATCH(COLUMNS($AC$1006:AG1006),$AC$1006:$AS$1006,0))&gt;=100000), " ",IF(INDEX($AC$2:$AS$1001,MATCH(ROWS($V$2:V999),$V$2:$V$1001,0),MATCH(COLUMNS($AC$1006:AG1006),$AC$1006:$AS$1006,0)), HYPERLINK("#",""), HYPERLINK(CONCATENATE("#Metadata!", ADDRESS(INDEX($X$2:$X$1001,MATCH(ROWS($V$2:V999),$V$2:$V$1001,0),0), INDEX($AC$1004:$AS$1004,1,MATCH(COLUMNS($AC$1006:AG1006),$AC$1006:$AS$1006,0)))),"Fix")))</f>
        <v>0</v>
      </c>
      <c r="G999" s="5">
        <f>IF(OR(INDEX($W$2:$W$1001,MATCH(ROWS($V$2:V999),$V$2:$V$1001,0),1)&gt;=100000,INDEX($AC$1005:$AS$1005,1,MATCH(COLUMNS($AC$1006:AH1006),$AC$1006:$AS$1006,0))&gt;=100000), " ",IF(INDEX($AC$2:$AS$1001,MATCH(ROWS($V$2:V999),$V$2:$V$1001,0),MATCH(COLUMNS($AC$1006:AH1006),$AC$1006:$AS$1006,0)), HYPERLINK("#",""), HYPERLINK(CONCATENATE("#Metadata!", ADDRESS(INDEX($X$2:$X$1001,MATCH(ROWS($V$2:V999),$V$2:$V$1001,0),0), INDEX($AC$1004:$AS$1004,1,MATCH(COLUMNS($AC$1006:AH1006),$AC$1006:$AS$1006,0)))),"Fix")))</f>
        <v>0</v>
      </c>
      <c r="H999" s="5">
        <f>IF(OR(INDEX($W$2:$W$1001,MATCH(ROWS($V$2:V999),$V$2:$V$1001,0),1)&gt;=100000,INDEX($AC$1005:$AS$1005,1,MATCH(COLUMNS($AC$1006:AI1006),$AC$1006:$AS$1006,0))&gt;=100000), " ",IF(INDEX($AC$2:$AS$1001,MATCH(ROWS($V$2:V999),$V$2:$V$1001,0),MATCH(COLUMNS($AC$1006:AI1006),$AC$1006:$AS$1006,0)), HYPERLINK("#",""), HYPERLINK(CONCATENATE("#Metadata!", ADDRESS(INDEX($X$2:$X$1001,MATCH(ROWS($V$2:V999),$V$2:$V$1001,0),0), INDEX($AC$1004:$AS$1004,1,MATCH(COLUMNS($AC$1006:AI1006),$AC$1006:$AS$1006,0)))),"Fix")))</f>
        <v>0</v>
      </c>
      <c r="I999" s="5">
        <f>IF(OR(INDEX($W$2:$W$1001,MATCH(ROWS($V$2:V999),$V$2:$V$1001,0),1)&gt;=100000,INDEX($AC$1005:$AS$1005,1,MATCH(COLUMNS($AC$1006:AJ1006),$AC$1006:$AS$1006,0))&gt;=100000), " ",IF(INDEX($AC$2:$AS$1001,MATCH(ROWS($V$2:V999),$V$2:$V$1001,0),MATCH(COLUMNS($AC$1006:AJ1006),$AC$1006:$AS$1006,0)), HYPERLINK("#",""), HYPERLINK(CONCATENATE("#Metadata!", ADDRESS(INDEX($X$2:$X$1001,MATCH(ROWS($V$2:V999),$V$2:$V$1001,0),0), INDEX($AC$1004:$AS$1004,1,MATCH(COLUMNS($AC$1006:AJ1006),$AC$1006:$AS$1006,0)))),"Fix")))</f>
        <v>0</v>
      </c>
      <c r="J999" s="5">
        <f>IF(OR(INDEX($W$2:$W$1001,MATCH(ROWS($V$2:V999),$V$2:$V$1001,0),1)&gt;=100000,INDEX($AC$1005:$AS$1005,1,MATCH(COLUMNS($AC$1006:AK1006),$AC$1006:$AS$1006,0))&gt;=100000), " ",IF(INDEX($AC$2:$AS$1001,MATCH(ROWS($V$2:V999),$V$2:$V$1001,0),MATCH(COLUMNS($AC$1006:AK1006),$AC$1006:$AS$1006,0)), HYPERLINK("#",""), HYPERLINK(CONCATENATE("#Metadata!", ADDRESS(INDEX($X$2:$X$1001,MATCH(ROWS($V$2:V999),$V$2:$V$1001,0),0), INDEX($AC$1004:$AS$1004,1,MATCH(COLUMNS($AC$1006:AK1006),$AC$1006:$AS$1006,0)))),"Fix")))</f>
        <v>0</v>
      </c>
      <c r="K999" s="5">
        <f>IF(OR(INDEX($W$2:$W$1001,MATCH(ROWS($V$2:V999),$V$2:$V$1001,0),1)&gt;=100000,INDEX($AC$1005:$AS$1005,1,MATCH(COLUMNS($AC$1006:AL1006),$AC$1006:$AS$1006,0))&gt;=100000), " ",IF(INDEX($AC$2:$AS$1001,MATCH(ROWS($V$2:V999),$V$2:$V$1001,0),MATCH(COLUMNS($AC$1006:AL1006),$AC$1006:$AS$1006,0)), HYPERLINK("#",""), HYPERLINK(CONCATENATE("#Metadata!", ADDRESS(INDEX($X$2:$X$1001,MATCH(ROWS($V$2:V999),$V$2:$V$1001,0),0), INDEX($AC$1004:$AS$1004,1,MATCH(COLUMNS($AC$1006:AL1006),$AC$1006:$AS$1006,0)))),"Fix")))</f>
        <v>0</v>
      </c>
      <c r="L999" s="5">
        <f>IF(OR(INDEX($W$2:$W$1001,MATCH(ROWS($V$2:V999),$V$2:$V$1001,0),1)&gt;=100000,INDEX($AC$1005:$AS$1005,1,MATCH(COLUMNS($AC$1006:AM1006),$AC$1006:$AS$1006,0))&gt;=100000), " ",IF(INDEX($AC$2:$AS$1001,MATCH(ROWS($V$2:V999),$V$2:$V$1001,0),MATCH(COLUMNS($AC$1006:AM1006),$AC$1006:$AS$1006,0)), HYPERLINK("#",""), HYPERLINK(CONCATENATE("#Metadata!", ADDRESS(INDEX($X$2:$X$1001,MATCH(ROWS($V$2:V999),$V$2:$V$1001,0),0), INDEX($AC$1004:$AS$1004,1,MATCH(COLUMNS($AC$1006:AM1006),$AC$1006:$AS$1006,0)))),"Fix")))</f>
        <v>0</v>
      </c>
      <c r="M999" s="5">
        <f>IF(OR(INDEX($W$2:$W$1001,MATCH(ROWS($V$2:V999),$V$2:$V$1001,0),1)&gt;=100000,INDEX($AC$1005:$AS$1005,1,MATCH(COLUMNS($AC$1006:AN1006),$AC$1006:$AS$1006,0))&gt;=100000), " ",IF(INDEX($AC$2:$AS$1001,MATCH(ROWS($V$2:V999),$V$2:$V$1001,0),MATCH(COLUMNS($AC$1006:AN1006),$AC$1006:$AS$1006,0)), HYPERLINK("#",""), HYPERLINK(CONCATENATE("#Metadata!", ADDRESS(INDEX($X$2:$X$1001,MATCH(ROWS($V$2:V999),$V$2:$V$1001,0),0), INDEX($AC$1004:$AS$1004,1,MATCH(COLUMNS($AC$1006:AN1006),$AC$1006:$AS$1006,0)))),"Fix")))</f>
        <v>0</v>
      </c>
      <c r="N999" s="5">
        <f>IF(OR(INDEX($W$2:$W$1001,MATCH(ROWS($V$2:V999),$V$2:$V$1001,0),1)&gt;=100000,INDEX($AC$1005:$AS$1005,1,MATCH(COLUMNS($AC$1006:AO1006),$AC$1006:$AS$1006,0))&gt;=100000), " ",IF(INDEX($AC$2:$AS$1001,MATCH(ROWS($V$2:V999),$V$2:$V$1001,0),MATCH(COLUMNS($AC$1006:AO1006),$AC$1006:$AS$1006,0)), HYPERLINK("#",""), HYPERLINK(CONCATENATE("#Metadata!", ADDRESS(INDEX($X$2:$X$1001,MATCH(ROWS($V$2:V999),$V$2:$V$1001,0),0), INDEX($AC$1004:$AS$1004,1,MATCH(COLUMNS($AC$1006:AO1006),$AC$1006:$AS$1006,0)))),"Fix")))</f>
        <v>0</v>
      </c>
      <c r="O999" s="5">
        <f>IF(OR(INDEX($W$2:$W$1001,MATCH(ROWS($V$2:V999),$V$2:$V$1001,0),1)&gt;=100000,INDEX($AC$1005:$AS$1005,1,MATCH(COLUMNS($AC$1006:AP1006),$AC$1006:$AS$1006,0))&gt;=100000), " ",IF(INDEX($AC$2:$AS$1001,MATCH(ROWS($V$2:V999),$V$2:$V$1001,0),MATCH(COLUMNS($AC$1006:AP1006),$AC$1006:$AS$1006,0)), HYPERLINK("#",""), HYPERLINK(CONCATENATE("#Metadata!", ADDRESS(INDEX($X$2:$X$1001,MATCH(ROWS($V$2:V999),$V$2:$V$1001,0),0), INDEX($AC$1004:$AS$1004,1,MATCH(COLUMNS($AC$1006:AP1006),$AC$1006:$AS$1006,0)))),"Fix")))</f>
        <v>0</v>
      </c>
      <c r="P999" s="5">
        <f>IF(OR(INDEX($W$2:$W$1001,MATCH(ROWS($V$2:V999),$V$2:$V$1001,0),1)&gt;=100000,INDEX($AC$1005:$AS$1005,1,MATCH(COLUMNS($AC$1006:AQ1006),$AC$1006:$AS$1006,0))&gt;=100000), " ",IF(INDEX($AC$2:$AS$1001,MATCH(ROWS($V$2:V999),$V$2:$V$1001,0),MATCH(COLUMNS($AC$1006:AQ1006),$AC$1006:$AS$1006,0)), HYPERLINK("#",""), HYPERLINK(CONCATENATE("#Metadata!", ADDRESS(INDEX($X$2:$X$1001,MATCH(ROWS($V$2:V999),$V$2:$V$1001,0),0), INDEX($AC$1004:$AS$1004,1,MATCH(COLUMNS($AC$1006:AQ1006),$AC$1006:$AS$1006,0)))),"Fix")))</f>
        <v>0</v>
      </c>
      <c r="Q999" s="5">
        <f>IF(OR(INDEX($W$2:$W$1001,MATCH(ROWS($V$2:V999),$V$2:$V$1001,0),1)&gt;=100000,INDEX($AC$1005:$AS$1005,1,MATCH(COLUMNS($AC$1006:AR1006),$AC$1006:$AS$1006,0))&gt;=100000), " ",IF(INDEX($AC$2:$AS$1001,MATCH(ROWS($V$2:V999),$V$2:$V$1001,0),MATCH(COLUMNS($AC$1006:AR1006),$AC$1006:$AS$1006,0)), HYPERLINK("#",""), HYPERLINK(CONCATENATE("#Metadata!", ADDRESS(INDEX($X$2:$X$1001,MATCH(ROWS($V$2:V999),$V$2:$V$1001,0),0), INDEX($AC$1004:$AS$1004,1,MATCH(COLUMNS($AC$1006:AR1006),$AC$1006:$AS$1006,0)))),"Fix")))</f>
        <v>0</v>
      </c>
      <c r="R999" s="5">
        <f>IF(OR(INDEX($W$2:$W$1001,MATCH(ROWS($V$2:V999),$V$2:$V$1001,0),1)&gt;=100000,INDEX($AC$1005:$AS$1005,1,MATCH(COLUMNS($AC$1006:AS1006),$AC$1006:$AS$1006,0))&gt;=100000), " ",IF(INDEX($AC$2:$AS$1001,MATCH(ROWS($V$2:V999),$V$2:$V$1001,0),MATCH(COLUMNS($AC$1006:AS1006),$AC$1006:$AS$1006,0)), HYPERLINK("#",""), HYPERLINK(CONCATENATE("#Metadata!", ADDRESS(INDEX($X$2:$X$1001,MATCH(ROWS($V$2:V999),$V$2:$V$1001,0),0), INDEX($AC$1004:$AS$1004,1,MATCH(COLUMNS($AC$1006:AS1006),$AC$1006:$AS$1006,0)))),"Fix")))</f>
        <v>0</v>
      </c>
      <c r="V999">
        <v>0</v>
      </c>
      <c r="W999">
        <v>0</v>
      </c>
      <c r="X999">
        <v>0</v>
      </c>
      <c r="Y999">
        <f>IF(Z999,TRUE,AND(AC999:AS999))</f>
        <v>0</v>
      </c>
      <c r="Z999">
        <f>COUNTBLANK(Metadata!B999:R999)=COLUMNS(Metadata!B999:R999)</f>
        <v>0</v>
      </c>
      <c r="AA999">
        <v>0</v>
      </c>
      <c r="AC999">
        <f>AND(IF(Metadata!B999="",FALSE,TRUE),COUNTIF(Metadata!B:B, Metadata!B999) = 1,NOT(ISERROR(SUMPRODUCT(SEARCH(MID(Metadata!B999,ROW(INDIRECT("1:"&amp;LEN(Metadata!B999))), 1),"0123456789abcdefghijklmnopqrstuvwxyzABCDEFGHIJKLMNOPQRSTUVWXYZ.")))))</f>
        <v>0</v>
      </c>
      <c r="AD999">
        <f>AND(IF(Metadata!C999="",FALSE,TRUE),exact(Metadata!C999,"Host-associated"))</f>
        <v>0</v>
      </c>
      <c r="AE999">
        <f>AND(IF(Metadata!D999="",FALSE,TRUE),OR(exact(Metadata!D999,"Animal"),exact(Metadata!D999,"Fungus"),exact(Metadata!D999,"Plant")))</f>
        <v>0</v>
      </c>
      <c r="AF999">
        <f>AND(IF(Metadata!E999="",FALSE,TRUE),OR(exact(Metadata!E999,"Plant secretion"),exact(Metadata!E999,"Plant rhizosphere"),exact(Metadata!E999,"Plant surface"),exact(Metadata!E999,"Plant corpus"),exact(Metadata!E999,"Fungus surface"),exact(Metadata!E999,"Fungus corpus"),exact(Metadata!E999,"Animal surface"),exact(Metadata!E999,"Animal proximal gut"),exact(Metadata!E999,"Animal corpus"),exact(Metadata!E999,"Animal distal gut"),exact(Metadata!E999,"Animal secretion")))</f>
        <v>0</v>
      </c>
      <c r="AG999">
        <f>OR(AND(IF(Metadata!F999="",FALSE,TRUE),OR(exact(Metadata!F999,"not collected"),exact(Metadata!F999,"not provided"),exact(Metadata!F999,"restricted access"))),AND(IF(Metadata!F999="",FALSE,TRUE),OR(exact(Metadata!F999,"organism-associated habitat"),exact(Metadata!F999,"plant-associated habitat"),exact(Metadata!F999,"animal-associated habitat"),exact(Metadata!F999,"insecta-associated habitat"),exact(Metadata!F999,"mammalia-associated habitat"),exact(Metadata!F999,"human-associated habitat"),exact(Metadata!F999,"livestock-associated habitat"))))</f>
        <v>0</v>
      </c>
      <c r="AH999">
        <f>AND(IF(Metadata!G999="",FALSE,TRUE),exact(Metadata!G999,"host-associated"))</f>
        <v>0</v>
      </c>
      <c r="AI999">
        <f>OR(AND(IF(Metadata!H999="",FALSE,TRUE),OR(exact(Metadata!H999,"not collected"),exact(Metadata!H999,"not provided"))),AND(IF(Metadata!H999="",FALSE,ISNUMBER(VALUE(Metadata!H999))),Metadata!H999&gt;0))</f>
        <v>0</v>
      </c>
      <c r="AJ999">
        <f>AND(IF(Metadata!I999="",FALSE,TRUE),exact(Metadata!I999,"years"))</f>
        <v>0</v>
      </c>
      <c r="AK999">
        <f>IF(Metadata!J999="",FALSE,TRUE)</f>
        <v>0</v>
      </c>
      <c r="AL999">
        <f>OR(AND(IF(Metadata!K999="",FALSE,TRUE),OR(exact(Metadata!K999,"not collected"),exact(Metadata!K999,"not provided"))),AND(IF(Metadata!K999="",FALSE,ISNUMBER(VALUE(Metadata!K999))),Metadata!K999&gt;0))</f>
        <v>0</v>
      </c>
      <c r="AM999">
        <f>AND(IF(Metadata!L999="",FALSE,TRUE),exact(Metadata!L999,"cm"))</f>
        <v>0</v>
      </c>
      <c r="AN999">
        <f>IF(Metadata!M999="",FALSE,TRUE)</f>
        <v>0</v>
      </c>
      <c r="AO999">
        <f>OR(AND(IF(Metadata!N999="",FALSE,TRUE),OR(exact(Metadata!N999,"not applicable"),exact(Metadata!N999,"not collected"),exact(Metadata!N999,"not provided"))),AND(IF(Metadata!N999="",FALSE,IF(ISERROR(INT(Metadata!N999)),FALSE,INT(Metadata!N999)=Metadata!N999)),Metadata!N999&gt;0))</f>
        <v>0</v>
      </c>
      <c r="AP999">
        <f>OR(AND(IF(Metadata!O999="",FALSE,TRUE),OR(exact(Metadata!O999,"not collected"),exact(Metadata!O999,"not provided"))),AND(IF(Metadata!O999="",FALSE,ISNUMBER(VALUE(Metadata!O999))),Metadata!O999&gt;0))</f>
        <v>0</v>
      </c>
      <c r="AQ999">
        <f>AND(IF(Metadata!P999="",FALSE,TRUE),exact(Metadata!P999,"kg"))</f>
        <v>0</v>
      </c>
      <c r="AR999">
        <f>OR(AND(IF(Metadata!Q999="",FALSE,TRUE),OR(exact(Metadata!Q999,"not applicable"),exact(Metadata!Q999,"not collected"),exact(Metadata!Q999,"not provided"),exact(Metadata!Q999,"restricted access"))),IF(Metadata!Q999="",FALSE,IF(ISERROR(INT(Metadata!Q999)),FALSE,INT(Metadata!Q999)=Metadata!Q999)))</f>
        <v>0</v>
      </c>
      <c r="AS999">
        <f>AND(IF(Metadata!R999="",FALSE,TRUE),exact(Metadata!R999,"Not applicable"))</f>
        <v>0</v>
      </c>
    </row>
    <row r="1000" spans="1:45">
      <c r="A1000" s="4">
        <f>IF(B1000=" "," ",HYPERLINK(CONCATENATE("#metadata!",ADDRESS(INDEX($X$2:$X$1001,MATCH(ROWS($V$2:V1000),$V$2:$V$1001,0),0),2)),INDEX($AA$2:$AA$1001,MATCH(ROWS($V$2:V1000),$V$2:$V$1001,0),0)))</f>
        <v>0</v>
      </c>
      <c r="B1000" s="5">
        <f>IF(OR(INDEX($W$2:$W$1001,MATCH(ROWS($V$2:V1000),$V$2:$V$1001,0),1)&gt;=100000,INDEX($AC$1005:$AS$1005,1,MATCH(COLUMNS($AC$1006:AC1006),$AC$1006:$AS$1006,0))&gt;=100000), " ",IF(INDEX($AC$2:$AS$1001,MATCH(ROWS($V$2:V1000),$V$2:$V$1001,0),MATCH(COLUMNS($AC$1006:AC1006),$AC$1006:$AS$1006,0)), HYPERLINK("#",""), HYPERLINK(CONCATENATE("#Metadata!", ADDRESS(INDEX($X$2:$X$1001,MATCH(ROWS($V$2:V1000),$V$2:$V$1001,0),0), INDEX($AC$1004:$AS$1004,1,MATCH(COLUMNS($AC$1006:AC1006),$AC$1006:$AS$1006,0)))),"Fix")))</f>
        <v>0</v>
      </c>
      <c r="C1000" s="5">
        <f>IF(OR(INDEX($W$2:$W$1001,MATCH(ROWS($V$2:V1000),$V$2:$V$1001,0),1)&gt;=100000,INDEX($AC$1005:$AS$1005,1,MATCH(COLUMNS($AC$1006:AD1006),$AC$1006:$AS$1006,0))&gt;=100000), " ",IF(INDEX($AC$2:$AS$1001,MATCH(ROWS($V$2:V1000),$V$2:$V$1001,0),MATCH(COLUMNS($AC$1006:AD1006),$AC$1006:$AS$1006,0)), HYPERLINK("#",""), HYPERLINK(CONCATENATE("#Metadata!", ADDRESS(INDEX($X$2:$X$1001,MATCH(ROWS($V$2:V1000),$V$2:$V$1001,0),0), INDEX($AC$1004:$AS$1004,1,MATCH(COLUMNS($AC$1006:AD1006),$AC$1006:$AS$1006,0)))),"Fix")))</f>
        <v>0</v>
      </c>
      <c r="D1000" s="5">
        <f>IF(OR(INDEX($W$2:$W$1001,MATCH(ROWS($V$2:V1000),$V$2:$V$1001,0),1)&gt;=100000,INDEX($AC$1005:$AS$1005,1,MATCH(COLUMNS($AC$1006:AE1006),$AC$1006:$AS$1006,0))&gt;=100000), " ",IF(INDEX($AC$2:$AS$1001,MATCH(ROWS($V$2:V1000),$V$2:$V$1001,0),MATCH(COLUMNS($AC$1006:AE1006),$AC$1006:$AS$1006,0)), HYPERLINK("#",""), HYPERLINK(CONCATENATE("#Metadata!", ADDRESS(INDEX($X$2:$X$1001,MATCH(ROWS($V$2:V1000),$V$2:$V$1001,0),0), INDEX($AC$1004:$AS$1004,1,MATCH(COLUMNS($AC$1006:AE1006),$AC$1006:$AS$1006,0)))),"Fix")))</f>
        <v>0</v>
      </c>
      <c r="E1000" s="5">
        <f>IF(OR(INDEX($W$2:$W$1001,MATCH(ROWS($V$2:V1000),$V$2:$V$1001,0),1)&gt;=100000,INDEX($AC$1005:$AS$1005,1,MATCH(COLUMNS($AC$1006:AF1006),$AC$1006:$AS$1006,0))&gt;=100000), " ",IF(INDEX($AC$2:$AS$1001,MATCH(ROWS($V$2:V1000),$V$2:$V$1001,0),MATCH(COLUMNS($AC$1006:AF1006),$AC$1006:$AS$1006,0)), HYPERLINK("#",""), HYPERLINK(CONCATENATE("#Metadata!", ADDRESS(INDEX($X$2:$X$1001,MATCH(ROWS($V$2:V1000),$V$2:$V$1001,0),0), INDEX($AC$1004:$AS$1004,1,MATCH(COLUMNS($AC$1006:AF1006),$AC$1006:$AS$1006,0)))),"Fix")))</f>
        <v>0</v>
      </c>
      <c r="F1000" s="5">
        <f>IF(OR(INDEX($W$2:$W$1001,MATCH(ROWS($V$2:V1000),$V$2:$V$1001,0),1)&gt;=100000,INDEX($AC$1005:$AS$1005,1,MATCH(COLUMNS($AC$1006:AG1006),$AC$1006:$AS$1006,0))&gt;=100000), " ",IF(INDEX($AC$2:$AS$1001,MATCH(ROWS($V$2:V1000),$V$2:$V$1001,0),MATCH(COLUMNS($AC$1006:AG1006),$AC$1006:$AS$1006,0)), HYPERLINK("#",""), HYPERLINK(CONCATENATE("#Metadata!", ADDRESS(INDEX($X$2:$X$1001,MATCH(ROWS($V$2:V1000),$V$2:$V$1001,0),0), INDEX($AC$1004:$AS$1004,1,MATCH(COLUMNS($AC$1006:AG1006),$AC$1006:$AS$1006,0)))),"Fix")))</f>
        <v>0</v>
      </c>
      <c r="G1000" s="5">
        <f>IF(OR(INDEX($W$2:$W$1001,MATCH(ROWS($V$2:V1000),$V$2:$V$1001,0),1)&gt;=100000,INDEX($AC$1005:$AS$1005,1,MATCH(COLUMNS($AC$1006:AH1006),$AC$1006:$AS$1006,0))&gt;=100000), " ",IF(INDEX($AC$2:$AS$1001,MATCH(ROWS($V$2:V1000),$V$2:$V$1001,0),MATCH(COLUMNS($AC$1006:AH1006),$AC$1006:$AS$1006,0)), HYPERLINK("#",""), HYPERLINK(CONCATENATE("#Metadata!", ADDRESS(INDEX($X$2:$X$1001,MATCH(ROWS($V$2:V1000),$V$2:$V$1001,0),0), INDEX($AC$1004:$AS$1004,1,MATCH(COLUMNS($AC$1006:AH1006),$AC$1006:$AS$1006,0)))),"Fix")))</f>
        <v>0</v>
      </c>
      <c r="H1000" s="5">
        <f>IF(OR(INDEX($W$2:$W$1001,MATCH(ROWS($V$2:V1000),$V$2:$V$1001,0),1)&gt;=100000,INDEX($AC$1005:$AS$1005,1,MATCH(COLUMNS($AC$1006:AI1006),$AC$1006:$AS$1006,0))&gt;=100000), " ",IF(INDEX($AC$2:$AS$1001,MATCH(ROWS($V$2:V1000),$V$2:$V$1001,0),MATCH(COLUMNS($AC$1006:AI1006),$AC$1006:$AS$1006,0)), HYPERLINK("#",""), HYPERLINK(CONCATENATE("#Metadata!", ADDRESS(INDEX($X$2:$X$1001,MATCH(ROWS($V$2:V1000),$V$2:$V$1001,0),0), INDEX($AC$1004:$AS$1004,1,MATCH(COLUMNS($AC$1006:AI1006),$AC$1006:$AS$1006,0)))),"Fix")))</f>
        <v>0</v>
      </c>
      <c r="I1000" s="5">
        <f>IF(OR(INDEX($W$2:$W$1001,MATCH(ROWS($V$2:V1000),$V$2:$V$1001,0),1)&gt;=100000,INDEX($AC$1005:$AS$1005,1,MATCH(COLUMNS($AC$1006:AJ1006),$AC$1006:$AS$1006,0))&gt;=100000), " ",IF(INDEX($AC$2:$AS$1001,MATCH(ROWS($V$2:V1000),$V$2:$V$1001,0),MATCH(COLUMNS($AC$1006:AJ1006),$AC$1006:$AS$1006,0)), HYPERLINK("#",""), HYPERLINK(CONCATENATE("#Metadata!", ADDRESS(INDEX($X$2:$X$1001,MATCH(ROWS($V$2:V1000),$V$2:$V$1001,0),0), INDEX($AC$1004:$AS$1004,1,MATCH(COLUMNS($AC$1006:AJ1006),$AC$1006:$AS$1006,0)))),"Fix")))</f>
        <v>0</v>
      </c>
      <c r="J1000" s="5">
        <f>IF(OR(INDEX($W$2:$W$1001,MATCH(ROWS($V$2:V1000),$V$2:$V$1001,0),1)&gt;=100000,INDEX($AC$1005:$AS$1005,1,MATCH(COLUMNS($AC$1006:AK1006),$AC$1006:$AS$1006,0))&gt;=100000), " ",IF(INDEX($AC$2:$AS$1001,MATCH(ROWS($V$2:V1000),$V$2:$V$1001,0),MATCH(COLUMNS($AC$1006:AK1006),$AC$1006:$AS$1006,0)), HYPERLINK("#",""), HYPERLINK(CONCATENATE("#Metadata!", ADDRESS(INDEX($X$2:$X$1001,MATCH(ROWS($V$2:V1000),$V$2:$V$1001,0),0), INDEX($AC$1004:$AS$1004,1,MATCH(COLUMNS($AC$1006:AK1006),$AC$1006:$AS$1006,0)))),"Fix")))</f>
        <v>0</v>
      </c>
      <c r="K1000" s="5">
        <f>IF(OR(INDEX($W$2:$W$1001,MATCH(ROWS($V$2:V1000),$V$2:$V$1001,0),1)&gt;=100000,INDEX($AC$1005:$AS$1005,1,MATCH(COLUMNS($AC$1006:AL1006),$AC$1006:$AS$1006,0))&gt;=100000), " ",IF(INDEX($AC$2:$AS$1001,MATCH(ROWS($V$2:V1000),$V$2:$V$1001,0),MATCH(COLUMNS($AC$1006:AL1006),$AC$1006:$AS$1006,0)), HYPERLINK("#",""), HYPERLINK(CONCATENATE("#Metadata!", ADDRESS(INDEX($X$2:$X$1001,MATCH(ROWS($V$2:V1000),$V$2:$V$1001,0),0), INDEX($AC$1004:$AS$1004,1,MATCH(COLUMNS($AC$1006:AL1006),$AC$1006:$AS$1006,0)))),"Fix")))</f>
        <v>0</v>
      </c>
      <c r="L1000" s="5">
        <f>IF(OR(INDEX($W$2:$W$1001,MATCH(ROWS($V$2:V1000),$V$2:$V$1001,0),1)&gt;=100000,INDEX($AC$1005:$AS$1005,1,MATCH(COLUMNS($AC$1006:AM1006),$AC$1006:$AS$1006,0))&gt;=100000), " ",IF(INDEX($AC$2:$AS$1001,MATCH(ROWS($V$2:V1000),$V$2:$V$1001,0),MATCH(COLUMNS($AC$1006:AM1006),$AC$1006:$AS$1006,0)), HYPERLINK("#",""), HYPERLINK(CONCATENATE("#Metadata!", ADDRESS(INDEX($X$2:$X$1001,MATCH(ROWS($V$2:V1000),$V$2:$V$1001,0),0), INDEX($AC$1004:$AS$1004,1,MATCH(COLUMNS($AC$1006:AM1006),$AC$1006:$AS$1006,0)))),"Fix")))</f>
        <v>0</v>
      </c>
      <c r="M1000" s="5">
        <f>IF(OR(INDEX($W$2:$W$1001,MATCH(ROWS($V$2:V1000),$V$2:$V$1001,0),1)&gt;=100000,INDEX($AC$1005:$AS$1005,1,MATCH(COLUMNS($AC$1006:AN1006),$AC$1006:$AS$1006,0))&gt;=100000), " ",IF(INDEX($AC$2:$AS$1001,MATCH(ROWS($V$2:V1000),$V$2:$V$1001,0),MATCH(COLUMNS($AC$1006:AN1006),$AC$1006:$AS$1006,0)), HYPERLINK("#",""), HYPERLINK(CONCATENATE("#Metadata!", ADDRESS(INDEX($X$2:$X$1001,MATCH(ROWS($V$2:V1000),$V$2:$V$1001,0),0), INDEX($AC$1004:$AS$1004,1,MATCH(COLUMNS($AC$1006:AN1006),$AC$1006:$AS$1006,0)))),"Fix")))</f>
        <v>0</v>
      </c>
      <c r="N1000" s="5">
        <f>IF(OR(INDEX($W$2:$W$1001,MATCH(ROWS($V$2:V1000),$V$2:$V$1001,0),1)&gt;=100000,INDEX($AC$1005:$AS$1005,1,MATCH(COLUMNS($AC$1006:AO1006),$AC$1006:$AS$1006,0))&gt;=100000), " ",IF(INDEX($AC$2:$AS$1001,MATCH(ROWS($V$2:V1000),$V$2:$V$1001,0),MATCH(COLUMNS($AC$1006:AO1006),$AC$1006:$AS$1006,0)), HYPERLINK("#",""), HYPERLINK(CONCATENATE("#Metadata!", ADDRESS(INDEX($X$2:$X$1001,MATCH(ROWS($V$2:V1000),$V$2:$V$1001,0),0), INDEX($AC$1004:$AS$1004,1,MATCH(COLUMNS($AC$1006:AO1006),$AC$1006:$AS$1006,0)))),"Fix")))</f>
        <v>0</v>
      </c>
      <c r="O1000" s="5">
        <f>IF(OR(INDEX($W$2:$W$1001,MATCH(ROWS($V$2:V1000),$V$2:$V$1001,0),1)&gt;=100000,INDEX($AC$1005:$AS$1005,1,MATCH(COLUMNS($AC$1006:AP1006),$AC$1006:$AS$1006,0))&gt;=100000), " ",IF(INDEX($AC$2:$AS$1001,MATCH(ROWS($V$2:V1000),$V$2:$V$1001,0),MATCH(COLUMNS($AC$1006:AP1006),$AC$1006:$AS$1006,0)), HYPERLINK("#",""), HYPERLINK(CONCATENATE("#Metadata!", ADDRESS(INDEX($X$2:$X$1001,MATCH(ROWS($V$2:V1000),$V$2:$V$1001,0),0), INDEX($AC$1004:$AS$1004,1,MATCH(COLUMNS($AC$1006:AP1006),$AC$1006:$AS$1006,0)))),"Fix")))</f>
        <v>0</v>
      </c>
      <c r="P1000" s="5">
        <f>IF(OR(INDEX($W$2:$W$1001,MATCH(ROWS($V$2:V1000),$V$2:$V$1001,0),1)&gt;=100000,INDEX($AC$1005:$AS$1005,1,MATCH(COLUMNS($AC$1006:AQ1006),$AC$1006:$AS$1006,0))&gt;=100000), " ",IF(INDEX($AC$2:$AS$1001,MATCH(ROWS($V$2:V1000),$V$2:$V$1001,0),MATCH(COLUMNS($AC$1006:AQ1006),$AC$1006:$AS$1006,0)), HYPERLINK("#",""), HYPERLINK(CONCATENATE("#Metadata!", ADDRESS(INDEX($X$2:$X$1001,MATCH(ROWS($V$2:V1000),$V$2:$V$1001,0),0), INDEX($AC$1004:$AS$1004,1,MATCH(COLUMNS($AC$1006:AQ1006),$AC$1006:$AS$1006,0)))),"Fix")))</f>
        <v>0</v>
      </c>
      <c r="Q1000" s="5">
        <f>IF(OR(INDEX($W$2:$W$1001,MATCH(ROWS($V$2:V1000),$V$2:$V$1001,0),1)&gt;=100000,INDEX($AC$1005:$AS$1005,1,MATCH(COLUMNS($AC$1006:AR1006),$AC$1006:$AS$1006,0))&gt;=100000), " ",IF(INDEX($AC$2:$AS$1001,MATCH(ROWS($V$2:V1000),$V$2:$V$1001,0),MATCH(COLUMNS($AC$1006:AR1006),$AC$1006:$AS$1006,0)), HYPERLINK("#",""), HYPERLINK(CONCATENATE("#Metadata!", ADDRESS(INDEX($X$2:$X$1001,MATCH(ROWS($V$2:V1000),$V$2:$V$1001,0),0), INDEX($AC$1004:$AS$1004,1,MATCH(COLUMNS($AC$1006:AR1006),$AC$1006:$AS$1006,0)))),"Fix")))</f>
        <v>0</v>
      </c>
      <c r="R1000" s="5">
        <f>IF(OR(INDEX($W$2:$W$1001,MATCH(ROWS($V$2:V1000),$V$2:$V$1001,0),1)&gt;=100000,INDEX($AC$1005:$AS$1005,1,MATCH(COLUMNS($AC$1006:AS1006),$AC$1006:$AS$1006,0))&gt;=100000), " ",IF(INDEX($AC$2:$AS$1001,MATCH(ROWS($V$2:V1000),$V$2:$V$1001,0),MATCH(COLUMNS($AC$1006:AS1006),$AC$1006:$AS$1006,0)), HYPERLINK("#",""), HYPERLINK(CONCATENATE("#Metadata!", ADDRESS(INDEX($X$2:$X$1001,MATCH(ROWS($V$2:V1000),$V$2:$V$1001,0),0), INDEX($AC$1004:$AS$1004,1,MATCH(COLUMNS($AC$1006:AS1006),$AC$1006:$AS$1006,0)))),"Fix")))</f>
        <v>0</v>
      </c>
      <c r="V1000">
        <v>0</v>
      </c>
      <c r="W1000">
        <v>0</v>
      </c>
      <c r="X1000">
        <v>0</v>
      </c>
      <c r="Y1000">
        <f>IF(Z1000,TRUE,AND(AC1000:AS1000))</f>
        <v>0</v>
      </c>
      <c r="Z1000">
        <f>COUNTBLANK(Metadata!B1000:R1000)=COLUMNS(Metadata!B1000:R1000)</f>
        <v>0</v>
      </c>
      <c r="AA1000">
        <v>0</v>
      </c>
      <c r="AC1000">
        <f>AND(IF(Metadata!B1000="",FALSE,TRUE),COUNTIF(Metadata!B:B, Metadata!B1000) = 1,NOT(ISERROR(SUMPRODUCT(SEARCH(MID(Metadata!B1000,ROW(INDIRECT("1:"&amp;LEN(Metadata!B1000))), 1),"0123456789abcdefghijklmnopqrstuvwxyzABCDEFGHIJKLMNOPQRSTUVWXYZ.")))))</f>
        <v>0</v>
      </c>
      <c r="AD1000">
        <f>AND(IF(Metadata!C1000="",FALSE,TRUE),exact(Metadata!C1000,"Host-associated"))</f>
        <v>0</v>
      </c>
      <c r="AE1000">
        <f>AND(IF(Metadata!D1000="",FALSE,TRUE),OR(exact(Metadata!D1000,"Animal"),exact(Metadata!D1000,"Fungus"),exact(Metadata!D1000,"Plant")))</f>
        <v>0</v>
      </c>
      <c r="AF1000">
        <f>AND(IF(Metadata!E1000="",FALSE,TRUE),OR(exact(Metadata!E1000,"Plant secretion"),exact(Metadata!E1000,"Plant rhizosphere"),exact(Metadata!E1000,"Plant surface"),exact(Metadata!E1000,"Plant corpus"),exact(Metadata!E1000,"Fungus surface"),exact(Metadata!E1000,"Fungus corpus"),exact(Metadata!E1000,"Animal surface"),exact(Metadata!E1000,"Animal proximal gut"),exact(Metadata!E1000,"Animal corpus"),exact(Metadata!E1000,"Animal distal gut"),exact(Metadata!E1000,"Animal secretion")))</f>
        <v>0</v>
      </c>
      <c r="AG1000">
        <f>OR(AND(IF(Metadata!F1000="",FALSE,TRUE),OR(exact(Metadata!F1000,"not collected"),exact(Metadata!F1000,"not provided"),exact(Metadata!F1000,"restricted access"))),AND(IF(Metadata!F1000="",FALSE,TRUE),OR(exact(Metadata!F1000,"organism-associated habitat"),exact(Metadata!F1000,"plant-associated habitat"),exact(Metadata!F1000,"animal-associated habitat"),exact(Metadata!F1000,"insecta-associated habitat"),exact(Metadata!F1000,"mammalia-associated habitat"),exact(Metadata!F1000,"human-associated habitat"),exact(Metadata!F1000,"livestock-associated habitat"))))</f>
        <v>0</v>
      </c>
      <c r="AH1000">
        <f>AND(IF(Metadata!G1000="",FALSE,TRUE),exact(Metadata!G1000,"host-associated"))</f>
        <v>0</v>
      </c>
      <c r="AI1000">
        <f>OR(AND(IF(Metadata!H1000="",FALSE,TRUE),OR(exact(Metadata!H1000,"not collected"),exact(Metadata!H1000,"not provided"))),AND(IF(Metadata!H1000="",FALSE,ISNUMBER(VALUE(Metadata!H1000))),Metadata!H1000&gt;0))</f>
        <v>0</v>
      </c>
      <c r="AJ1000">
        <f>AND(IF(Metadata!I1000="",FALSE,TRUE),exact(Metadata!I1000,"years"))</f>
        <v>0</v>
      </c>
      <c r="AK1000">
        <f>IF(Metadata!J1000="",FALSE,TRUE)</f>
        <v>0</v>
      </c>
      <c r="AL1000">
        <f>OR(AND(IF(Metadata!K1000="",FALSE,TRUE),OR(exact(Metadata!K1000,"not collected"),exact(Metadata!K1000,"not provided"))),AND(IF(Metadata!K1000="",FALSE,ISNUMBER(VALUE(Metadata!K1000))),Metadata!K1000&gt;0))</f>
        <v>0</v>
      </c>
      <c r="AM1000">
        <f>AND(IF(Metadata!L1000="",FALSE,TRUE),exact(Metadata!L1000,"cm"))</f>
        <v>0</v>
      </c>
      <c r="AN1000">
        <f>IF(Metadata!M1000="",FALSE,TRUE)</f>
        <v>0</v>
      </c>
      <c r="AO1000">
        <f>OR(AND(IF(Metadata!N1000="",FALSE,TRUE),OR(exact(Metadata!N1000,"not applicable"),exact(Metadata!N1000,"not collected"),exact(Metadata!N1000,"not provided"))),AND(IF(Metadata!N1000="",FALSE,IF(ISERROR(INT(Metadata!N1000)),FALSE,INT(Metadata!N1000)=Metadata!N1000)),Metadata!N1000&gt;0))</f>
        <v>0</v>
      </c>
      <c r="AP1000">
        <f>OR(AND(IF(Metadata!O1000="",FALSE,TRUE),OR(exact(Metadata!O1000,"not collected"),exact(Metadata!O1000,"not provided"))),AND(IF(Metadata!O1000="",FALSE,ISNUMBER(VALUE(Metadata!O1000))),Metadata!O1000&gt;0))</f>
        <v>0</v>
      </c>
      <c r="AQ1000">
        <f>AND(IF(Metadata!P1000="",FALSE,TRUE),exact(Metadata!P1000,"kg"))</f>
        <v>0</v>
      </c>
      <c r="AR1000">
        <f>OR(AND(IF(Metadata!Q1000="",FALSE,TRUE),OR(exact(Metadata!Q1000,"not applicable"),exact(Metadata!Q1000,"not collected"),exact(Metadata!Q1000,"not provided"),exact(Metadata!Q1000,"restricted access"))),IF(Metadata!Q1000="",FALSE,IF(ISERROR(INT(Metadata!Q1000)),FALSE,INT(Metadata!Q1000)=Metadata!Q1000)))</f>
        <v>0</v>
      </c>
      <c r="AS1000">
        <f>AND(IF(Metadata!R1000="",FALSE,TRUE),exact(Metadata!R1000,"Not applicable"))</f>
        <v>0</v>
      </c>
    </row>
    <row r="1001" spans="1:45">
      <c r="A1001" s="4">
        <f>IF(B1001=" "," ",HYPERLINK(CONCATENATE("#metadata!",ADDRESS(INDEX($X$2:$X$1001,MATCH(ROWS($V$2:V1001),$V$2:$V$1001,0),0),2)),INDEX($AA$2:$AA$1001,MATCH(ROWS($V$2:V1001),$V$2:$V$1001,0),0)))</f>
        <v>0</v>
      </c>
      <c r="B1001" s="5">
        <f>IF(OR(INDEX($W$2:$W$1001,MATCH(ROWS($V$2:V1001),$V$2:$V$1001,0),1)&gt;=100000,INDEX($AC$1005:$AS$1005,1,MATCH(COLUMNS($AC$1006:AC1006),$AC$1006:$AS$1006,0))&gt;=100000), " ",IF(INDEX($AC$2:$AS$1001,MATCH(ROWS($V$2:V1001),$V$2:$V$1001,0),MATCH(COLUMNS($AC$1006:AC1006),$AC$1006:$AS$1006,0)), HYPERLINK("#",""), HYPERLINK(CONCATENATE("#Metadata!", ADDRESS(INDEX($X$2:$X$1001,MATCH(ROWS($V$2:V1001),$V$2:$V$1001,0),0), INDEX($AC$1004:$AS$1004,1,MATCH(COLUMNS($AC$1006:AC1006),$AC$1006:$AS$1006,0)))),"Fix")))</f>
        <v>0</v>
      </c>
      <c r="C1001" s="5">
        <f>IF(OR(INDEX($W$2:$W$1001,MATCH(ROWS($V$2:V1001),$V$2:$V$1001,0),1)&gt;=100000,INDEX($AC$1005:$AS$1005,1,MATCH(COLUMNS($AC$1006:AD1006),$AC$1006:$AS$1006,0))&gt;=100000), " ",IF(INDEX($AC$2:$AS$1001,MATCH(ROWS($V$2:V1001),$V$2:$V$1001,0),MATCH(COLUMNS($AC$1006:AD1006),$AC$1006:$AS$1006,0)), HYPERLINK("#",""), HYPERLINK(CONCATENATE("#Metadata!", ADDRESS(INDEX($X$2:$X$1001,MATCH(ROWS($V$2:V1001),$V$2:$V$1001,0),0), INDEX($AC$1004:$AS$1004,1,MATCH(COLUMNS($AC$1006:AD1006),$AC$1006:$AS$1006,0)))),"Fix")))</f>
        <v>0</v>
      </c>
      <c r="D1001" s="5">
        <f>IF(OR(INDEX($W$2:$W$1001,MATCH(ROWS($V$2:V1001),$V$2:$V$1001,0),1)&gt;=100000,INDEX($AC$1005:$AS$1005,1,MATCH(COLUMNS($AC$1006:AE1006),$AC$1006:$AS$1006,0))&gt;=100000), " ",IF(INDEX($AC$2:$AS$1001,MATCH(ROWS($V$2:V1001),$V$2:$V$1001,0),MATCH(COLUMNS($AC$1006:AE1006),$AC$1006:$AS$1006,0)), HYPERLINK("#",""), HYPERLINK(CONCATENATE("#Metadata!", ADDRESS(INDEX($X$2:$X$1001,MATCH(ROWS($V$2:V1001),$V$2:$V$1001,0),0), INDEX($AC$1004:$AS$1004,1,MATCH(COLUMNS($AC$1006:AE1006),$AC$1006:$AS$1006,0)))),"Fix")))</f>
        <v>0</v>
      </c>
      <c r="E1001" s="5">
        <f>IF(OR(INDEX($W$2:$W$1001,MATCH(ROWS($V$2:V1001),$V$2:$V$1001,0),1)&gt;=100000,INDEX($AC$1005:$AS$1005,1,MATCH(COLUMNS($AC$1006:AF1006),$AC$1006:$AS$1006,0))&gt;=100000), " ",IF(INDEX($AC$2:$AS$1001,MATCH(ROWS($V$2:V1001),$V$2:$V$1001,0),MATCH(COLUMNS($AC$1006:AF1006),$AC$1006:$AS$1006,0)), HYPERLINK("#",""), HYPERLINK(CONCATENATE("#Metadata!", ADDRESS(INDEX($X$2:$X$1001,MATCH(ROWS($V$2:V1001),$V$2:$V$1001,0),0), INDEX($AC$1004:$AS$1004,1,MATCH(COLUMNS($AC$1006:AF1006),$AC$1006:$AS$1006,0)))),"Fix")))</f>
        <v>0</v>
      </c>
      <c r="F1001" s="5">
        <f>IF(OR(INDEX($W$2:$W$1001,MATCH(ROWS($V$2:V1001),$V$2:$V$1001,0),1)&gt;=100000,INDEX($AC$1005:$AS$1005,1,MATCH(COLUMNS($AC$1006:AG1006),$AC$1006:$AS$1006,0))&gt;=100000), " ",IF(INDEX($AC$2:$AS$1001,MATCH(ROWS($V$2:V1001),$V$2:$V$1001,0),MATCH(COLUMNS($AC$1006:AG1006),$AC$1006:$AS$1006,0)), HYPERLINK("#",""), HYPERLINK(CONCATENATE("#Metadata!", ADDRESS(INDEX($X$2:$X$1001,MATCH(ROWS($V$2:V1001),$V$2:$V$1001,0),0), INDEX($AC$1004:$AS$1004,1,MATCH(COLUMNS($AC$1006:AG1006),$AC$1006:$AS$1006,0)))),"Fix")))</f>
        <v>0</v>
      </c>
      <c r="G1001" s="5">
        <f>IF(OR(INDEX($W$2:$W$1001,MATCH(ROWS($V$2:V1001),$V$2:$V$1001,0),1)&gt;=100000,INDEX($AC$1005:$AS$1005,1,MATCH(COLUMNS($AC$1006:AH1006),$AC$1006:$AS$1006,0))&gt;=100000), " ",IF(INDEX($AC$2:$AS$1001,MATCH(ROWS($V$2:V1001),$V$2:$V$1001,0),MATCH(COLUMNS($AC$1006:AH1006),$AC$1006:$AS$1006,0)), HYPERLINK("#",""), HYPERLINK(CONCATENATE("#Metadata!", ADDRESS(INDEX($X$2:$X$1001,MATCH(ROWS($V$2:V1001),$V$2:$V$1001,0),0), INDEX($AC$1004:$AS$1004,1,MATCH(COLUMNS($AC$1006:AH1006),$AC$1006:$AS$1006,0)))),"Fix")))</f>
        <v>0</v>
      </c>
      <c r="H1001" s="5">
        <f>IF(OR(INDEX($W$2:$W$1001,MATCH(ROWS($V$2:V1001),$V$2:$V$1001,0),1)&gt;=100000,INDEX($AC$1005:$AS$1005,1,MATCH(COLUMNS($AC$1006:AI1006),$AC$1006:$AS$1006,0))&gt;=100000), " ",IF(INDEX($AC$2:$AS$1001,MATCH(ROWS($V$2:V1001),$V$2:$V$1001,0),MATCH(COLUMNS($AC$1006:AI1006),$AC$1006:$AS$1006,0)), HYPERLINK("#",""), HYPERLINK(CONCATENATE("#Metadata!", ADDRESS(INDEX($X$2:$X$1001,MATCH(ROWS($V$2:V1001),$V$2:$V$1001,0),0), INDEX($AC$1004:$AS$1004,1,MATCH(COLUMNS($AC$1006:AI1006),$AC$1006:$AS$1006,0)))),"Fix")))</f>
        <v>0</v>
      </c>
      <c r="I1001" s="5">
        <f>IF(OR(INDEX($W$2:$W$1001,MATCH(ROWS($V$2:V1001),$V$2:$V$1001,0),1)&gt;=100000,INDEX($AC$1005:$AS$1005,1,MATCH(COLUMNS($AC$1006:AJ1006),$AC$1006:$AS$1006,0))&gt;=100000), " ",IF(INDEX($AC$2:$AS$1001,MATCH(ROWS($V$2:V1001),$V$2:$V$1001,0),MATCH(COLUMNS($AC$1006:AJ1006),$AC$1006:$AS$1006,0)), HYPERLINK("#",""), HYPERLINK(CONCATENATE("#Metadata!", ADDRESS(INDEX($X$2:$X$1001,MATCH(ROWS($V$2:V1001),$V$2:$V$1001,0),0), INDEX($AC$1004:$AS$1004,1,MATCH(COLUMNS($AC$1006:AJ1006),$AC$1006:$AS$1006,0)))),"Fix")))</f>
        <v>0</v>
      </c>
      <c r="J1001" s="5">
        <f>IF(OR(INDEX($W$2:$W$1001,MATCH(ROWS($V$2:V1001),$V$2:$V$1001,0),1)&gt;=100000,INDEX($AC$1005:$AS$1005,1,MATCH(COLUMNS($AC$1006:AK1006),$AC$1006:$AS$1006,0))&gt;=100000), " ",IF(INDEX($AC$2:$AS$1001,MATCH(ROWS($V$2:V1001),$V$2:$V$1001,0),MATCH(COLUMNS($AC$1006:AK1006),$AC$1006:$AS$1006,0)), HYPERLINK("#",""), HYPERLINK(CONCATENATE("#Metadata!", ADDRESS(INDEX($X$2:$X$1001,MATCH(ROWS($V$2:V1001),$V$2:$V$1001,0),0), INDEX($AC$1004:$AS$1004,1,MATCH(COLUMNS($AC$1006:AK1006),$AC$1006:$AS$1006,0)))),"Fix")))</f>
        <v>0</v>
      </c>
      <c r="K1001" s="5">
        <f>IF(OR(INDEX($W$2:$W$1001,MATCH(ROWS($V$2:V1001),$V$2:$V$1001,0),1)&gt;=100000,INDEX($AC$1005:$AS$1005,1,MATCH(COLUMNS($AC$1006:AL1006),$AC$1006:$AS$1006,0))&gt;=100000), " ",IF(INDEX($AC$2:$AS$1001,MATCH(ROWS($V$2:V1001),$V$2:$V$1001,0),MATCH(COLUMNS($AC$1006:AL1006),$AC$1006:$AS$1006,0)), HYPERLINK("#",""), HYPERLINK(CONCATENATE("#Metadata!", ADDRESS(INDEX($X$2:$X$1001,MATCH(ROWS($V$2:V1001),$V$2:$V$1001,0),0), INDEX($AC$1004:$AS$1004,1,MATCH(COLUMNS($AC$1006:AL1006),$AC$1006:$AS$1006,0)))),"Fix")))</f>
        <v>0</v>
      </c>
      <c r="L1001" s="5">
        <f>IF(OR(INDEX($W$2:$W$1001,MATCH(ROWS($V$2:V1001),$V$2:$V$1001,0),1)&gt;=100000,INDEX($AC$1005:$AS$1005,1,MATCH(COLUMNS($AC$1006:AM1006),$AC$1006:$AS$1006,0))&gt;=100000), " ",IF(INDEX($AC$2:$AS$1001,MATCH(ROWS($V$2:V1001),$V$2:$V$1001,0),MATCH(COLUMNS($AC$1006:AM1006),$AC$1006:$AS$1006,0)), HYPERLINK("#",""), HYPERLINK(CONCATENATE("#Metadata!", ADDRESS(INDEX($X$2:$X$1001,MATCH(ROWS($V$2:V1001),$V$2:$V$1001,0),0), INDEX($AC$1004:$AS$1004,1,MATCH(COLUMNS($AC$1006:AM1006),$AC$1006:$AS$1006,0)))),"Fix")))</f>
        <v>0</v>
      </c>
      <c r="M1001" s="5">
        <f>IF(OR(INDEX($W$2:$W$1001,MATCH(ROWS($V$2:V1001),$V$2:$V$1001,0),1)&gt;=100000,INDEX($AC$1005:$AS$1005,1,MATCH(COLUMNS($AC$1006:AN1006),$AC$1006:$AS$1006,0))&gt;=100000), " ",IF(INDEX($AC$2:$AS$1001,MATCH(ROWS($V$2:V1001),$V$2:$V$1001,0),MATCH(COLUMNS($AC$1006:AN1006),$AC$1006:$AS$1006,0)), HYPERLINK("#",""), HYPERLINK(CONCATENATE("#Metadata!", ADDRESS(INDEX($X$2:$X$1001,MATCH(ROWS($V$2:V1001),$V$2:$V$1001,0),0), INDEX($AC$1004:$AS$1004,1,MATCH(COLUMNS($AC$1006:AN1006),$AC$1006:$AS$1006,0)))),"Fix")))</f>
        <v>0</v>
      </c>
      <c r="N1001" s="5">
        <f>IF(OR(INDEX($W$2:$W$1001,MATCH(ROWS($V$2:V1001),$V$2:$V$1001,0),1)&gt;=100000,INDEX($AC$1005:$AS$1005,1,MATCH(COLUMNS($AC$1006:AO1006),$AC$1006:$AS$1006,0))&gt;=100000), " ",IF(INDEX($AC$2:$AS$1001,MATCH(ROWS($V$2:V1001),$V$2:$V$1001,0),MATCH(COLUMNS($AC$1006:AO1006),$AC$1006:$AS$1006,0)), HYPERLINK("#",""), HYPERLINK(CONCATENATE("#Metadata!", ADDRESS(INDEX($X$2:$X$1001,MATCH(ROWS($V$2:V1001),$V$2:$V$1001,0),0), INDEX($AC$1004:$AS$1004,1,MATCH(COLUMNS($AC$1006:AO1006),$AC$1006:$AS$1006,0)))),"Fix")))</f>
        <v>0</v>
      </c>
      <c r="O1001" s="5">
        <f>IF(OR(INDEX($W$2:$W$1001,MATCH(ROWS($V$2:V1001),$V$2:$V$1001,0),1)&gt;=100000,INDEX($AC$1005:$AS$1005,1,MATCH(COLUMNS($AC$1006:AP1006),$AC$1006:$AS$1006,0))&gt;=100000), " ",IF(INDEX($AC$2:$AS$1001,MATCH(ROWS($V$2:V1001),$V$2:$V$1001,0),MATCH(COLUMNS($AC$1006:AP1006),$AC$1006:$AS$1006,0)), HYPERLINK("#",""), HYPERLINK(CONCATENATE("#Metadata!", ADDRESS(INDEX($X$2:$X$1001,MATCH(ROWS($V$2:V1001),$V$2:$V$1001,0),0), INDEX($AC$1004:$AS$1004,1,MATCH(COLUMNS($AC$1006:AP1006),$AC$1006:$AS$1006,0)))),"Fix")))</f>
        <v>0</v>
      </c>
      <c r="P1001" s="5">
        <f>IF(OR(INDEX($W$2:$W$1001,MATCH(ROWS($V$2:V1001),$V$2:$V$1001,0),1)&gt;=100000,INDEX($AC$1005:$AS$1005,1,MATCH(COLUMNS($AC$1006:AQ1006),$AC$1006:$AS$1006,0))&gt;=100000), " ",IF(INDEX($AC$2:$AS$1001,MATCH(ROWS($V$2:V1001),$V$2:$V$1001,0),MATCH(COLUMNS($AC$1006:AQ1006),$AC$1006:$AS$1006,0)), HYPERLINK("#",""), HYPERLINK(CONCATENATE("#Metadata!", ADDRESS(INDEX($X$2:$X$1001,MATCH(ROWS($V$2:V1001),$V$2:$V$1001,0),0), INDEX($AC$1004:$AS$1004,1,MATCH(COLUMNS($AC$1006:AQ1006),$AC$1006:$AS$1006,0)))),"Fix")))</f>
        <v>0</v>
      </c>
      <c r="Q1001" s="5">
        <f>IF(OR(INDEX($W$2:$W$1001,MATCH(ROWS($V$2:V1001),$V$2:$V$1001,0),1)&gt;=100000,INDEX($AC$1005:$AS$1005,1,MATCH(COLUMNS($AC$1006:AR1006),$AC$1006:$AS$1006,0))&gt;=100000), " ",IF(INDEX($AC$2:$AS$1001,MATCH(ROWS($V$2:V1001),$V$2:$V$1001,0),MATCH(COLUMNS($AC$1006:AR1006),$AC$1006:$AS$1006,0)), HYPERLINK("#",""), HYPERLINK(CONCATENATE("#Metadata!", ADDRESS(INDEX($X$2:$X$1001,MATCH(ROWS($V$2:V1001),$V$2:$V$1001,0),0), INDEX($AC$1004:$AS$1004,1,MATCH(COLUMNS($AC$1006:AR1006),$AC$1006:$AS$1006,0)))),"Fix")))</f>
        <v>0</v>
      </c>
      <c r="R1001" s="5">
        <f>IF(OR(INDEX($W$2:$W$1001,MATCH(ROWS($V$2:V1001),$V$2:$V$1001,0),1)&gt;=100000,INDEX($AC$1005:$AS$1005,1,MATCH(COLUMNS($AC$1006:AS1006),$AC$1006:$AS$1006,0))&gt;=100000), " ",IF(INDEX($AC$2:$AS$1001,MATCH(ROWS($V$2:V1001),$V$2:$V$1001,0),MATCH(COLUMNS($AC$1006:AS1006),$AC$1006:$AS$1006,0)), HYPERLINK("#",""), HYPERLINK(CONCATENATE("#Metadata!", ADDRESS(INDEX($X$2:$X$1001,MATCH(ROWS($V$2:V1001),$V$2:$V$1001,0),0), INDEX($AC$1004:$AS$1004,1,MATCH(COLUMNS($AC$1006:AS1006),$AC$1006:$AS$1006,0)))),"Fix")))</f>
        <v>0</v>
      </c>
      <c r="V1001">
        <v>0</v>
      </c>
      <c r="W1001">
        <v>0</v>
      </c>
      <c r="X1001">
        <v>0</v>
      </c>
      <c r="Y1001">
        <f>IF(Z1001,TRUE,AND(AC1001:AS1001))</f>
        <v>0</v>
      </c>
      <c r="Z1001">
        <f>COUNTBLANK(Metadata!B1001:R1001)=COLUMNS(Metadata!B1001:R1001)</f>
        <v>0</v>
      </c>
      <c r="AA1001">
        <v>0</v>
      </c>
      <c r="AC1001">
        <f>AND(IF(Metadata!B1001="",FALSE,TRUE),COUNTIF(Metadata!B:B, Metadata!B1001) = 1,NOT(ISERROR(SUMPRODUCT(SEARCH(MID(Metadata!B1001,ROW(INDIRECT("1:"&amp;LEN(Metadata!B1001))), 1),"0123456789abcdefghijklmnopqrstuvwxyzABCDEFGHIJKLMNOPQRSTUVWXYZ.")))))</f>
        <v>0</v>
      </c>
      <c r="AD1001">
        <f>AND(IF(Metadata!C1001="",FALSE,TRUE),exact(Metadata!C1001,"Host-associated"))</f>
        <v>0</v>
      </c>
      <c r="AE1001">
        <f>AND(IF(Metadata!D1001="",FALSE,TRUE),OR(exact(Metadata!D1001,"Animal"),exact(Metadata!D1001,"Fungus"),exact(Metadata!D1001,"Plant")))</f>
        <v>0</v>
      </c>
      <c r="AF1001">
        <f>AND(IF(Metadata!E1001="",FALSE,TRUE),OR(exact(Metadata!E1001,"Plant secretion"),exact(Metadata!E1001,"Plant rhizosphere"),exact(Metadata!E1001,"Plant surface"),exact(Metadata!E1001,"Plant corpus"),exact(Metadata!E1001,"Fungus surface"),exact(Metadata!E1001,"Fungus corpus"),exact(Metadata!E1001,"Animal surface"),exact(Metadata!E1001,"Animal proximal gut"),exact(Metadata!E1001,"Animal corpus"),exact(Metadata!E1001,"Animal distal gut"),exact(Metadata!E1001,"Animal secretion")))</f>
        <v>0</v>
      </c>
      <c r="AG1001">
        <f>OR(AND(IF(Metadata!F1001="",FALSE,TRUE),OR(exact(Metadata!F1001,"not collected"),exact(Metadata!F1001,"not provided"),exact(Metadata!F1001,"restricted access"))),AND(IF(Metadata!F1001="",FALSE,TRUE),OR(exact(Metadata!F1001,"organism-associated habitat"),exact(Metadata!F1001,"plant-associated habitat"),exact(Metadata!F1001,"animal-associated habitat"),exact(Metadata!F1001,"insecta-associated habitat"),exact(Metadata!F1001,"mammalia-associated habitat"),exact(Metadata!F1001,"human-associated habitat"),exact(Metadata!F1001,"livestock-associated habitat"))))</f>
        <v>0</v>
      </c>
      <c r="AH1001">
        <f>AND(IF(Metadata!G1001="",FALSE,TRUE),exact(Metadata!G1001,"host-associated"))</f>
        <v>0</v>
      </c>
      <c r="AI1001">
        <f>OR(AND(IF(Metadata!H1001="",FALSE,TRUE),OR(exact(Metadata!H1001,"not collected"),exact(Metadata!H1001,"not provided"))),AND(IF(Metadata!H1001="",FALSE,ISNUMBER(VALUE(Metadata!H1001))),Metadata!H1001&gt;0))</f>
        <v>0</v>
      </c>
      <c r="AJ1001">
        <f>AND(IF(Metadata!I1001="",FALSE,TRUE),exact(Metadata!I1001,"years"))</f>
        <v>0</v>
      </c>
      <c r="AK1001">
        <f>IF(Metadata!J1001="",FALSE,TRUE)</f>
        <v>0</v>
      </c>
      <c r="AL1001">
        <f>OR(AND(IF(Metadata!K1001="",FALSE,TRUE),OR(exact(Metadata!K1001,"not collected"),exact(Metadata!K1001,"not provided"))),AND(IF(Metadata!K1001="",FALSE,ISNUMBER(VALUE(Metadata!K1001))),Metadata!K1001&gt;0))</f>
        <v>0</v>
      </c>
      <c r="AM1001">
        <f>AND(IF(Metadata!L1001="",FALSE,TRUE),exact(Metadata!L1001,"cm"))</f>
        <v>0</v>
      </c>
      <c r="AN1001">
        <f>IF(Metadata!M1001="",FALSE,TRUE)</f>
        <v>0</v>
      </c>
      <c r="AO1001">
        <f>OR(AND(IF(Metadata!N1001="",FALSE,TRUE),OR(exact(Metadata!N1001,"not applicable"),exact(Metadata!N1001,"not collected"),exact(Metadata!N1001,"not provided"))),AND(IF(Metadata!N1001="",FALSE,IF(ISERROR(INT(Metadata!N1001)),FALSE,INT(Metadata!N1001)=Metadata!N1001)),Metadata!N1001&gt;0))</f>
        <v>0</v>
      </c>
      <c r="AP1001">
        <f>OR(AND(IF(Metadata!O1001="",FALSE,TRUE),OR(exact(Metadata!O1001,"not collected"),exact(Metadata!O1001,"not provided"))),AND(IF(Metadata!O1001="",FALSE,ISNUMBER(VALUE(Metadata!O1001))),Metadata!O1001&gt;0))</f>
        <v>0</v>
      </c>
      <c r="AQ1001">
        <f>AND(IF(Metadata!P1001="",FALSE,TRUE),exact(Metadata!P1001,"kg"))</f>
        <v>0</v>
      </c>
      <c r="AR1001">
        <f>OR(AND(IF(Metadata!Q1001="",FALSE,TRUE),OR(exact(Metadata!Q1001,"not applicable"),exact(Metadata!Q1001,"not collected"),exact(Metadata!Q1001,"not provided"),exact(Metadata!Q1001,"restricted access"))),IF(Metadata!Q1001="",FALSE,IF(ISERROR(INT(Metadata!Q1001)),FALSE,INT(Metadata!Q1001)=Metadata!Q1001)))</f>
        <v>0</v>
      </c>
      <c r="AS1001">
        <f>AND(IF(Metadata!R1001="",FALSE,TRUE),exact(Metadata!R1001,"Not applicable"))</f>
        <v>0</v>
      </c>
    </row>
    <row r="1003" spans="1:45">
      <c r="AB1003" s="3" t="s">
        <v>24</v>
      </c>
      <c r="AC1003">
        <f t="array" ref="AC1003">AND(IF($Z2:$Z1001,TRUE,AC2:AC1001))</f>
        <v>0</v>
      </c>
      <c r="AD1003">
        <f t="array" ref="AD1003">AND(IF($Z2:$Z1001,TRUE,AD2:AD1001))</f>
        <v>0</v>
      </c>
      <c r="AE1003">
        <f t="array" ref="AE1003">AND(IF($Z2:$Z1001,TRUE,AE2:AE1001))</f>
        <v>0</v>
      </c>
      <c r="AF1003">
        <f t="array" ref="AF1003">AND(IF($Z2:$Z1001,TRUE,AF2:AF1001))</f>
        <v>0</v>
      </c>
      <c r="AG1003">
        <f t="array" ref="AG1003">AND(IF($Z2:$Z1001,TRUE,AG2:AG1001))</f>
        <v>0</v>
      </c>
      <c r="AH1003">
        <f t="array" ref="AH1003">AND(IF($Z2:$Z1001,TRUE,AH2:AH1001))</f>
        <v>0</v>
      </c>
      <c r="AI1003">
        <f t="array" ref="AI1003">AND(IF($Z2:$Z1001,TRUE,AI2:AI1001))</f>
        <v>0</v>
      </c>
      <c r="AJ1003">
        <f t="array" ref="AJ1003">AND(IF($Z2:$Z1001,TRUE,AJ2:AJ1001))</f>
        <v>0</v>
      </c>
      <c r="AK1003">
        <f t="array" ref="AK1003">AND(IF($Z2:$Z1001,TRUE,AK2:AK1001))</f>
        <v>0</v>
      </c>
      <c r="AL1003">
        <f t="array" ref="AL1003">AND(IF($Z2:$Z1001,TRUE,AL2:AL1001))</f>
        <v>0</v>
      </c>
      <c r="AM1003">
        <f t="array" ref="AM1003">AND(IF($Z2:$Z1001,TRUE,AM2:AM1001))</f>
        <v>0</v>
      </c>
      <c r="AN1003">
        <f t="array" ref="AN1003">AND(IF($Z2:$Z1001,TRUE,AN2:AN1001))</f>
        <v>0</v>
      </c>
      <c r="AO1003">
        <f t="array" ref="AO1003">AND(IF($Z2:$Z1001,TRUE,AO2:AO1001))</f>
        <v>0</v>
      </c>
      <c r="AP1003">
        <f t="array" ref="AP1003">AND(IF($Z2:$Z1001,TRUE,AP2:AP1001))</f>
        <v>0</v>
      </c>
      <c r="AQ1003">
        <f t="array" ref="AQ1003">AND(IF($Z2:$Z1001,TRUE,AQ2:AQ1001))</f>
        <v>0</v>
      </c>
      <c r="AR1003">
        <f t="array" ref="AR1003">AND(IF($Z2:$Z1001,TRUE,AR2:AR1001))</f>
        <v>0</v>
      </c>
      <c r="AS1003">
        <f t="array" ref="AS1003">AND(IF($Z2:$Z1001,TRUE,AS2:AS1001))</f>
        <v>0</v>
      </c>
    </row>
    <row r="1004" spans="1:45">
      <c r="AB1004" s="3" t="s">
        <v>25</v>
      </c>
      <c r="AC1004">
        <f t="array" ref="AC1004:AS1004">COLUMN(Metadata!B1004:R1004)</f>
        <v>0</v>
      </c>
      <c r="AD1004">
        <v>0</v>
      </c>
      <c r="AE1004">
        <v>0</v>
      </c>
      <c r="AF1004">
        <v>0</v>
      </c>
      <c r="AG1004">
        <v>0</v>
      </c>
      <c r="AH1004">
        <v>0</v>
      </c>
      <c r="AI1004">
        <v>0</v>
      </c>
      <c r="AJ1004">
        <v>0</v>
      </c>
      <c r="AK1004">
        <v>0</v>
      </c>
      <c r="AL1004">
        <v>0</v>
      </c>
      <c r="AM1004">
        <v>0</v>
      </c>
      <c r="AN1004">
        <v>0</v>
      </c>
      <c r="AO1004">
        <v>0</v>
      </c>
      <c r="AP1004">
        <v>0</v>
      </c>
      <c r="AQ1004">
        <v>0</v>
      </c>
      <c r="AR1004">
        <v>0</v>
      </c>
      <c r="AS1004">
        <v>0</v>
      </c>
    </row>
    <row r="1005" spans="1:45">
      <c r="AB1005" s="3" t="s">
        <v>26</v>
      </c>
      <c r="AC1005">
        <f t="array" ref="AC1005:AS1005">INT(AC1003:AS1003)*100000+$AC$1004:$AS$1004</f>
        <v>0</v>
      </c>
      <c r="AD1005">
        <v>0</v>
      </c>
      <c r="AE1005">
        <v>0</v>
      </c>
      <c r="AF1005">
        <v>0</v>
      </c>
      <c r="AG1005">
        <v>0</v>
      </c>
      <c r="AH1005">
        <v>0</v>
      </c>
      <c r="AI1005">
        <v>0</v>
      </c>
      <c r="AJ1005">
        <v>0</v>
      </c>
      <c r="AK1005">
        <v>0</v>
      </c>
      <c r="AL1005">
        <v>0</v>
      </c>
      <c r="AM1005">
        <v>0</v>
      </c>
      <c r="AN1005">
        <v>0</v>
      </c>
      <c r="AO1005">
        <v>0</v>
      </c>
      <c r="AP1005">
        <v>0</v>
      </c>
      <c r="AQ1005">
        <v>0</v>
      </c>
      <c r="AR1005">
        <v>0</v>
      </c>
      <c r="AS1005">
        <v>0</v>
      </c>
    </row>
    <row r="1006" spans="1:45">
      <c r="AB1006" s="3" t="s">
        <v>27</v>
      </c>
      <c r="AC1006">
        <f t="array" ref="AC1006:AS1006">COUNTIF($AC1005:$AS1005,"&lt;="&amp;AC$1005:AS1005)</f>
        <v>0</v>
      </c>
      <c r="AD1006">
        <v>0</v>
      </c>
      <c r="AE1006">
        <v>0</v>
      </c>
      <c r="AF1006">
        <v>0</v>
      </c>
      <c r="AG1006">
        <v>0</v>
      </c>
      <c r="AH1006">
        <v>0</v>
      </c>
      <c r="AI1006">
        <v>0</v>
      </c>
      <c r="AJ1006">
        <v>0</v>
      </c>
      <c r="AK1006">
        <v>0</v>
      </c>
      <c r="AL1006">
        <v>0</v>
      </c>
      <c r="AM1006">
        <v>0</v>
      </c>
      <c r="AN1006">
        <v>0</v>
      </c>
      <c r="AO1006">
        <v>0</v>
      </c>
      <c r="AP1006">
        <v>0</v>
      </c>
      <c r="AQ1006">
        <v>0</v>
      </c>
      <c r="AR1006">
        <v>0</v>
      </c>
      <c r="AS1006">
        <v>0</v>
      </c>
    </row>
  </sheetData>
  <sheetProtection password="EE32" sheet="1" objects="1" scenarios="1"/>
  <conditionalFormatting sqref="B2:R1001">
    <cfRule type="cellIs" dxfId="0" priority="1" operator="equal">
      <formula>""</formula>
    </cfRule>
    <cfRule type="cellIs" dxfId="1" priority="2" operator="equal">
      <formula>"Fix"</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25.7109375" customWidth="1"/>
    <col min="2" max="2" width="25.7109375" customWidth="1"/>
  </cols>
  <sheetData>
    <row r="1" spans="1:2">
      <c r="A1" s="3" t="s">
        <v>28</v>
      </c>
      <c r="B1" s="3" t="s">
        <v>29</v>
      </c>
    </row>
    <row r="2" spans="1:2">
      <c r="A2" s="3" t="s">
        <v>1</v>
      </c>
      <c r="B2" t="s">
        <v>30</v>
      </c>
    </row>
    <row r="3" spans="1:2">
      <c r="A3" s="3" t="s">
        <v>3</v>
      </c>
      <c r="B3" t="s">
        <v>31</v>
      </c>
    </row>
    <row r="4" spans="1:2">
      <c r="A4" s="3" t="s">
        <v>4</v>
      </c>
      <c r="B4" t="s">
        <v>32</v>
      </c>
    </row>
    <row r="5" spans="1:2">
      <c r="A5" s="3" t="s">
        <v>5</v>
      </c>
      <c r="B5" t="s">
        <v>33</v>
      </c>
    </row>
    <row r="6" spans="1:2">
      <c r="A6" s="3" t="s">
        <v>6</v>
      </c>
      <c r="B6" t="s">
        <v>34</v>
      </c>
    </row>
    <row r="7" spans="1:2">
      <c r="A7" s="3" t="s">
        <v>7</v>
      </c>
      <c r="B7" t="s">
        <v>35</v>
      </c>
    </row>
    <row r="8" spans="1:2">
      <c r="A8" s="3" t="s">
        <v>8</v>
      </c>
      <c r="B8" t="s">
        <v>36</v>
      </c>
    </row>
    <row r="9" spans="1:2">
      <c r="A9" s="3" t="s">
        <v>9</v>
      </c>
      <c r="B9" t="s">
        <v>37</v>
      </c>
    </row>
    <row r="10" spans="1:2">
      <c r="A10" s="3" t="s">
        <v>10</v>
      </c>
      <c r="B10" t="s">
        <v>38</v>
      </c>
    </row>
    <row r="11" spans="1:2">
      <c r="A11" s="3" t="s">
        <v>11</v>
      </c>
      <c r="B11" t="s">
        <v>39</v>
      </c>
    </row>
    <row r="12" spans="1:2">
      <c r="A12" s="3" t="s">
        <v>12</v>
      </c>
      <c r="B12" t="s">
        <v>40</v>
      </c>
    </row>
    <row r="13" spans="1:2">
      <c r="A13" s="3" t="s">
        <v>13</v>
      </c>
      <c r="B13" t="s">
        <v>41</v>
      </c>
    </row>
    <row r="14" spans="1:2">
      <c r="A14" s="3" t="s">
        <v>14</v>
      </c>
      <c r="B14" t="s">
        <v>42</v>
      </c>
    </row>
    <row r="15" spans="1:2">
      <c r="A15" s="3" t="s">
        <v>15</v>
      </c>
      <c r="B15" t="s">
        <v>43</v>
      </c>
    </row>
    <row r="16" spans="1:2">
      <c r="A16" s="3" t="s">
        <v>16</v>
      </c>
      <c r="B16" t="s">
        <v>44</v>
      </c>
    </row>
    <row r="17" spans="1:2">
      <c r="A17" s="3" t="s">
        <v>17</v>
      </c>
      <c r="B17" t="s">
        <v>45</v>
      </c>
    </row>
    <row r="18" spans="1:2">
      <c r="A18" s="3" t="s">
        <v>18</v>
      </c>
      <c r="B18" t="s">
        <v>46</v>
      </c>
    </row>
  </sheetData>
  <sheetProtection password="EE32" sheet="1" objects="1" scenarios="1" formatCells="0" formatColumns="0" formatRows="0"/>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1">
      <c r="A1" t="s">
        <v>47</v>
      </c>
    </row>
  </sheetData>
  <sheetProtection password="EE32"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1">
      <c r="A1" t="s">
        <v>48</v>
      </c>
    </row>
  </sheetData>
  <sheetProtection password="EE32"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3"/>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00.7109375" customWidth="1"/>
  </cols>
  <sheetData>
    <row r="1" spans="1:1">
      <c r="A1" s="4">
        <f>HYPERLINK("http://metadata-wizard-tutorial.readthedocs.io/en/latest/", "Click here for instructions on using this spreadsheet.")</f>
        <v>0</v>
      </c>
    </row>
    <row r="3" spans="1:1">
      <c r="A3" s="6" t="s">
        <v>49</v>
      </c>
    </row>
  </sheetData>
  <sheetProtection password="EE32"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Metadata</vt:lpstr>
      <vt:lpstr>Validation</vt:lpstr>
      <vt:lpstr>Data Dictionary</vt:lpstr>
      <vt:lpstr>metadata_schema</vt:lpstr>
      <vt:lpstr>metadata_form</vt:lpstr>
      <vt:lpstr>Instructions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2018-09-10T07:27:05Z</dcterms:created>
  <dcterms:modified xsi:type="dcterms:W3CDTF">2018-09-10T07:27:05Z</dcterms:modified>
</cp:coreProperties>
</file>